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portal.bud.bpa.gov/sites/RateCase/BP-26/Models and Datasets/Initial Proposal/"/>
    </mc:Choice>
  </mc:AlternateContent>
  <xr:revisionPtr revIDLastSave="0" documentId="13_ncr:1_{760D6130-3391-4A51-AA32-25DCD369ADEE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Init" sheetId="11" r:id="rId1"/>
    <sheet name="TOCA_previous" sheetId="10" r:id="rId2"/>
    <sheet name="TOCA_current" sheetId="9" r:id="rId3"/>
    <sheet name="LS_previous" sheetId="8" r:id="rId4"/>
    <sheet name="LS_current" sheetId="7" r:id="rId5"/>
    <sheet name="Demand_previous" sheetId="6" r:id="rId6"/>
    <sheet name="Demand_current" sheetId="4" r:id="rId7"/>
    <sheet name="Rates_previous" sheetId="2" r:id="rId8"/>
    <sheet name="Rates_current" sheetId="3" r:id="rId9"/>
    <sheet name="IRD" sheetId="1" r:id="rId10"/>
    <sheet name="RT1SC" sheetId="16" r:id="rId11"/>
    <sheet name="LS_Demand_Rates_Restatement" sheetId="13" r:id="rId12"/>
    <sheet name="Staging Table" sheetId="27" r:id="rId13"/>
    <sheet name="Charges_Including Slice and LS" sheetId="12" r:id="rId14"/>
    <sheet name="Charges_NonSlice" sheetId="30" r:id="rId15"/>
    <sheet name="Charges_NonSlice &amp; Excl LS" sheetId="31" r:id="rId16"/>
    <sheet name="Outputs" sheetId="20" r:id="rId17"/>
    <sheet name="Restatement" sheetId="23" r:id="rId18"/>
    <sheet name="Non-Slice Chart" sheetId="24" r:id="rId19"/>
    <sheet name="Non-Slice - Ordered Chart" sheetId="25" r:id="rId20"/>
  </sheets>
  <definedNames>
    <definedName name="_xlnm._FilterDatabase" localSheetId="16" hidden="1">Outputs!$AG$3:$AG$109</definedName>
    <definedName name="_xlnm._FilterDatabase" localSheetId="17" hidden="1">Restatement!$X$3:$AB$3</definedName>
    <definedName name="CurrentYear">Init!$AS$3:$AS$5</definedName>
    <definedName name="_xlnm.Print_Area" localSheetId="8">Rates_current!$A$1:$P$81</definedName>
    <definedName name="YesNo">Init!$AT$3:$AT$4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3" i="3" l="1"/>
  <c r="F82" i="3"/>
  <c r="Z1" i="12"/>
  <c r="Z1" i="31"/>
  <c r="G76" i="2"/>
  <c r="D1" i="30"/>
  <c r="F1" i="30"/>
  <c r="G1" i="30"/>
  <c r="H1" i="30"/>
  <c r="I1" i="30"/>
  <c r="K1" i="30"/>
  <c r="M1" i="30"/>
  <c r="O1" i="30"/>
  <c r="P1" i="30"/>
  <c r="Q1" i="30"/>
  <c r="R1" i="30"/>
  <c r="S1" i="30"/>
  <c r="T1" i="30"/>
  <c r="U1" i="30"/>
  <c r="V1" i="30"/>
  <c r="W1" i="30"/>
  <c r="Y1" i="30" s="1"/>
  <c r="X1" i="30"/>
  <c r="D1" i="12"/>
  <c r="F1" i="12"/>
  <c r="G1" i="12"/>
  <c r="H1" i="12"/>
  <c r="I1" i="12"/>
  <c r="K1" i="12"/>
  <c r="M1" i="12"/>
  <c r="O1" i="12"/>
  <c r="P1" i="12"/>
  <c r="Q1" i="12"/>
  <c r="R1" i="12"/>
  <c r="S1" i="12"/>
  <c r="T1" i="12"/>
  <c r="U1" i="12"/>
  <c r="V1" i="12"/>
  <c r="W1" i="12"/>
  <c r="Y1" i="12" s="1"/>
  <c r="X1" i="12"/>
  <c r="AD6" i="30"/>
  <c r="G78" i="2"/>
  <c r="H69" i="2"/>
  <c r="H68" i="2"/>
  <c r="H67" i="2"/>
  <c r="P3" i="3"/>
  <c r="P2" i="3"/>
  <c r="K2" i="3"/>
  <c r="AB1" i="30" l="1"/>
  <c r="N8" i="31"/>
  <c r="N10" i="31"/>
  <c r="N43" i="31"/>
  <c r="N49" i="31"/>
  <c r="N50" i="31"/>
  <c r="N52" i="31"/>
  <c r="N60" i="31"/>
  <c r="N63" i="31"/>
  <c r="N72" i="31"/>
  <c r="N75" i="31"/>
  <c r="N77" i="31"/>
  <c r="N79" i="31"/>
  <c r="N89" i="31"/>
  <c r="N92" i="31"/>
  <c r="N94" i="31"/>
  <c r="N101" i="31"/>
  <c r="N102" i="31"/>
  <c r="N128" i="31"/>
  <c r="N8" i="12"/>
  <c r="N10" i="12"/>
  <c r="N43" i="12"/>
  <c r="N49" i="12"/>
  <c r="N50" i="12"/>
  <c r="N52" i="12"/>
  <c r="N60" i="12"/>
  <c r="N63" i="12"/>
  <c r="N72" i="12"/>
  <c r="N75" i="12"/>
  <c r="N77" i="12"/>
  <c r="N79" i="12"/>
  <c r="N89" i="12"/>
  <c r="N92" i="12"/>
  <c r="N94" i="12"/>
  <c r="N101" i="12"/>
  <c r="N102" i="12"/>
  <c r="N128" i="12"/>
  <c r="N8" i="30"/>
  <c r="N10" i="30"/>
  <c r="N43" i="30"/>
  <c r="N49" i="30"/>
  <c r="N50" i="30"/>
  <c r="N52" i="30"/>
  <c r="N60" i="30"/>
  <c r="N63" i="30"/>
  <c r="N72" i="30"/>
  <c r="N75" i="30"/>
  <c r="N77" i="30"/>
  <c r="N79" i="30"/>
  <c r="N89" i="30"/>
  <c r="N92" i="30"/>
  <c r="N94" i="30"/>
  <c r="N101" i="30"/>
  <c r="N102" i="30"/>
  <c r="N128" i="30"/>
  <c r="I1" i="31"/>
  <c r="H1" i="31"/>
  <c r="F1" i="31"/>
  <c r="T1" i="31"/>
  <c r="S1" i="31"/>
  <c r="Q1" i="31"/>
  <c r="K3" i="3"/>
  <c r="O3" i="2"/>
  <c r="J3" i="2"/>
  <c r="I48" i="3" l="1"/>
  <c r="W8" i="30"/>
  <c r="X8" i="30"/>
  <c r="Y8" i="30"/>
  <c r="W10" i="30"/>
  <c r="X10" i="30"/>
  <c r="Y10" i="30"/>
  <c r="W43" i="30"/>
  <c r="X43" i="30"/>
  <c r="Y43" i="30"/>
  <c r="W49" i="30"/>
  <c r="X49" i="30"/>
  <c r="Y49" i="30"/>
  <c r="W50" i="30"/>
  <c r="X50" i="30"/>
  <c r="Y50" i="30"/>
  <c r="W52" i="30"/>
  <c r="X52" i="30"/>
  <c r="Y52" i="30"/>
  <c r="W60" i="30"/>
  <c r="X60" i="30"/>
  <c r="Y60" i="30"/>
  <c r="W63" i="30"/>
  <c r="X63" i="30"/>
  <c r="Y63" i="30"/>
  <c r="W72" i="30"/>
  <c r="X72" i="30"/>
  <c r="Y72" i="30"/>
  <c r="W75" i="30"/>
  <c r="X75" i="30"/>
  <c r="Y75" i="30"/>
  <c r="W77" i="30"/>
  <c r="X77" i="30"/>
  <c r="Y77" i="30"/>
  <c r="W79" i="30"/>
  <c r="X79" i="30"/>
  <c r="Y79" i="30"/>
  <c r="W89" i="30"/>
  <c r="X89" i="30"/>
  <c r="Y89" i="30"/>
  <c r="W92" i="30"/>
  <c r="X92" i="30"/>
  <c r="Y92" i="30"/>
  <c r="W94" i="30"/>
  <c r="X94" i="30"/>
  <c r="Y94" i="30"/>
  <c r="W101" i="30"/>
  <c r="X101" i="30"/>
  <c r="Y101" i="30"/>
  <c r="W102" i="30"/>
  <c r="X102" i="30"/>
  <c r="Y102" i="30"/>
  <c r="W128" i="30"/>
  <c r="X128" i="30"/>
  <c r="Y128" i="30"/>
  <c r="L8" i="30"/>
  <c r="M8" i="30"/>
  <c r="L10" i="30"/>
  <c r="M10" i="30"/>
  <c r="L43" i="30"/>
  <c r="M43" i="30"/>
  <c r="L49" i="30"/>
  <c r="M49" i="30"/>
  <c r="L50" i="30"/>
  <c r="M50" i="30"/>
  <c r="L52" i="30"/>
  <c r="M52" i="30"/>
  <c r="L60" i="30"/>
  <c r="M60" i="30"/>
  <c r="L63" i="30"/>
  <c r="M63" i="30"/>
  <c r="L72" i="30"/>
  <c r="M72" i="30"/>
  <c r="L75" i="30"/>
  <c r="M75" i="30"/>
  <c r="L77" i="30"/>
  <c r="M77" i="30"/>
  <c r="L79" i="30"/>
  <c r="M79" i="30"/>
  <c r="L89" i="30"/>
  <c r="M89" i="30"/>
  <c r="L92" i="30"/>
  <c r="M92" i="30"/>
  <c r="L94" i="30"/>
  <c r="M94" i="30"/>
  <c r="L101" i="30"/>
  <c r="M101" i="30"/>
  <c r="L102" i="30"/>
  <c r="M102" i="30"/>
  <c r="L128" i="30"/>
  <c r="M128" i="30"/>
  <c r="W121" i="20" l="1"/>
  <c r="DU44" i="27"/>
  <c r="DU53" i="27"/>
  <c r="DU60" i="27"/>
  <c r="DU66" i="27"/>
  <c r="DU73" i="27"/>
  <c r="DU80" i="27"/>
  <c r="DU95" i="27"/>
  <c r="DU100" i="27"/>
  <c r="DU108" i="27"/>
  <c r="DU114" i="27"/>
  <c r="BH44" i="27"/>
  <c r="BH53" i="27"/>
  <c r="BH60" i="27"/>
  <c r="BH66" i="27"/>
  <c r="BH73" i="27"/>
  <c r="BH80" i="27"/>
  <c r="BH95" i="27"/>
  <c r="BH100" i="27"/>
  <c r="BH108" i="27"/>
  <c r="BH114" i="27"/>
  <c r="A5" i="23"/>
  <c r="A6" i="23"/>
  <c r="A7" i="23"/>
  <c r="A8" i="23"/>
  <c r="A9" i="23"/>
  <c r="A10" i="23"/>
  <c r="A11" i="23"/>
  <c r="A12" i="23"/>
  <c r="A13" i="23"/>
  <c r="A14" i="23"/>
  <c r="A15" i="23"/>
  <c r="A16" i="23"/>
  <c r="A17" i="23"/>
  <c r="A18" i="23"/>
  <c r="A19" i="23"/>
  <c r="A20" i="23"/>
  <c r="A21" i="23"/>
  <c r="A22" i="23"/>
  <c r="A23" i="23"/>
  <c r="A24" i="23"/>
  <c r="A25" i="23"/>
  <c r="A26" i="23"/>
  <c r="A27" i="23"/>
  <c r="A28" i="23"/>
  <c r="A29" i="23"/>
  <c r="A30" i="23"/>
  <c r="A31" i="23"/>
  <c r="A32" i="23"/>
  <c r="A33" i="23"/>
  <c r="A34" i="23"/>
  <c r="A35" i="23"/>
  <c r="A36" i="23"/>
  <c r="A37" i="23"/>
  <c r="A38" i="23"/>
  <c r="A39" i="23"/>
  <c r="A40" i="23"/>
  <c r="A41" i="23"/>
  <c r="A42" i="23"/>
  <c r="A43" i="23"/>
  <c r="A44" i="23"/>
  <c r="A45" i="23"/>
  <c r="A46" i="23"/>
  <c r="A47" i="23"/>
  <c r="A48" i="23"/>
  <c r="A49" i="23"/>
  <c r="A50" i="23"/>
  <c r="A51" i="23"/>
  <c r="A52" i="23"/>
  <c r="A53" i="23"/>
  <c r="A54" i="23"/>
  <c r="A55" i="23"/>
  <c r="A56" i="23"/>
  <c r="A57" i="23"/>
  <c r="A58" i="23"/>
  <c r="A59" i="23"/>
  <c r="A60" i="23"/>
  <c r="A61" i="23"/>
  <c r="A62" i="23"/>
  <c r="A63" i="23"/>
  <c r="A64" i="23"/>
  <c r="A65" i="23"/>
  <c r="A66" i="23"/>
  <c r="A67" i="23"/>
  <c r="A68" i="23"/>
  <c r="A69" i="23"/>
  <c r="A70" i="23"/>
  <c r="A71" i="23"/>
  <c r="A72" i="23"/>
  <c r="A73" i="23"/>
  <c r="A74" i="23"/>
  <c r="A75" i="23"/>
  <c r="A76" i="23"/>
  <c r="A77" i="23"/>
  <c r="A78" i="23"/>
  <c r="A79" i="23"/>
  <c r="A80" i="23"/>
  <c r="A81" i="23"/>
  <c r="A82" i="23"/>
  <c r="A83" i="23"/>
  <c r="A84" i="23"/>
  <c r="A85" i="23"/>
  <c r="A86" i="23"/>
  <c r="A87" i="23"/>
  <c r="A88" i="23"/>
  <c r="A89" i="23"/>
  <c r="A90" i="23"/>
  <c r="A91" i="23"/>
  <c r="A92" i="23"/>
  <c r="A93" i="23"/>
  <c r="A94" i="23"/>
  <c r="A95" i="23"/>
  <c r="A96" i="23"/>
  <c r="A97" i="23"/>
  <c r="A98" i="23"/>
  <c r="A99" i="23"/>
  <c r="A100" i="23"/>
  <c r="A101" i="23"/>
  <c r="A102" i="23"/>
  <c r="A103" i="23"/>
  <c r="A104" i="23"/>
  <c r="A105" i="23"/>
  <c r="A106" i="23"/>
  <c r="A107" i="23"/>
  <c r="A108" i="23"/>
  <c r="A109" i="23"/>
  <c r="A110" i="23"/>
  <c r="A111" i="23"/>
  <c r="A112" i="23"/>
  <c r="A113" i="23"/>
  <c r="A114" i="23"/>
  <c r="A115" i="23"/>
  <c r="A116" i="23"/>
  <c r="A117" i="23"/>
  <c r="A118" i="23"/>
  <c r="A119" i="23"/>
  <c r="A4" i="23"/>
  <c r="K7" i="27" l="1"/>
  <c r="K5" i="30" s="1"/>
  <c r="BX7" i="27"/>
  <c r="V5" i="30" s="1"/>
  <c r="K8" i="27"/>
  <c r="K6" i="30" s="1"/>
  <c r="BX8" i="27"/>
  <c r="V6" i="30" s="1"/>
  <c r="K9" i="27"/>
  <c r="K7" i="30" s="1"/>
  <c r="BX9" i="27"/>
  <c r="V7" i="30" s="1"/>
  <c r="K10" i="27"/>
  <c r="K8" i="30" s="1"/>
  <c r="BX10" i="27"/>
  <c r="V8" i="30" s="1"/>
  <c r="K11" i="27"/>
  <c r="K9" i="30" s="1"/>
  <c r="BX11" i="27"/>
  <c r="V9" i="30" s="1"/>
  <c r="K12" i="27"/>
  <c r="K10" i="30" s="1"/>
  <c r="BX12" i="27"/>
  <c r="V10" i="30" s="1"/>
  <c r="K13" i="27"/>
  <c r="K11" i="30" s="1"/>
  <c r="BX13" i="27"/>
  <c r="V11" i="30" s="1"/>
  <c r="K14" i="27"/>
  <c r="K12" i="30" s="1"/>
  <c r="BX14" i="27"/>
  <c r="V12" i="30" s="1"/>
  <c r="K15" i="27"/>
  <c r="K13" i="30" s="1"/>
  <c r="BX15" i="27"/>
  <c r="V13" i="30" s="1"/>
  <c r="K16" i="27"/>
  <c r="K14" i="30" s="1"/>
  <c r="BX16" i="27"/>
  <c r="V14" i="30" s="1"/>
  <c r="K17" i="27"/>
  <c r="K15" i="30" s="1"/>
  <c r="BX17" i="27"/>
  <c r="V15" i="30" s="1"/>
  <c r="K18" i="27"/>
  <c r="K16" i="30" s="1"/>
  <c r="BX18" i="27"/>
  <c r="V16" i="30" s="1"/>
  <c r="K19" i="27"/>
  <c r="K17" i="30" s="1"/>
  <c r="BX19" i="27"/>
  <c r="V17" i="30" s="1"/>
  <c r="K20" i="27"/>
  <c r="K18" i="30" s="1"/>
  <c r="BX20" i="27"/>
  <c r="V18" i="30" s="1"/>
  <c r="K21" i="27"/>
  <c r="K19" i="30" s="1"/>
  <c r="BX21" i="27"/>
  <c r="V19" i="30" s="1"/>
  <c r="K22" i="27"/>
  <c r="K20" i="30" s="1"/>
  <c r="BX22" i="27"/>
  <c r="V20" i="30" s="1"/>
  <c r="K23" i="27"/>
  <c r="K21" i="30" s="1"/>
  <c r="BX23" i="27"/>
  <c r="V21" i="30" s="1"/>
  <c r="K24" i="27"/>
  <c r="K22" i="30" s="1"/>
  <c r="BX24" i="27"/>
  <c r="V22" i="30" s="1"/>
  <c r="K25" i="27"/>
  <c r="K23" i="30" s="1"/>
  <c r="BX25" i="27"/>
  <c r="V23" i="30" s="1"/>
  <c r="K26" i="27"/>
  <c r="K24" i="30" s="1"/>
  <c r="BX26" i="27"/>
  <c r="V24" i="30" s="1"/>
  <c r="K27" i="27"/>
  <c r="K25" i="30" s="1"/>
  <c r="BX27" i="27"/>
  <c r="V25" i="30" s="1"/>
  <c r="K28" i="27"/>
  <c r="K26" i="30" s="1"/>
  <c r="BX28" i="27"/>
  <c r="V26" i="30" s="1"/>
  <c r="K29" i="27"/>
  <c r="K27" i="30" s="1"/>
  <c r="BX29" i="27"/>
  <c r="V27" i="30" s="1"/>
  <c r="K30" i="27"/>
  <c r="K28" i="30" s="1"/>
  <c r="BX30" i="27"/>
  <c r="V28" i="30" s="1"/>
  <c r="K31" i="27"/>
  <c r="K29" i="30" s="1"/>
  <c r="BX31" i="27"/>
  <c r="V29" i="30" s="1"/>
  <c r="K32" i="27"/>
  <c r="K30" i="30" s="1"/>
  <c r="BX32" i="27"/>
  <c r="V30" i="30" s="1"/>
  <c r="K33" i="27"/>
  <c r="K31" i="30" s="1"/>
  <c r="BX33" i="27"/>
  <c r="V31" i="30" s="1"/>
  <c r="K34" i="27"/>
  <c r="K32" i="30" s="1"/>
  <c r="BX34" i="27"/>
  <c r="V32" i="30" s="1"/>
  <c r="K35" i="27"/>
  <c r="K33" i="30" s="1"/>
  <c r="BX35" i="27"/>
  <c r="V33" i="30" s="1"/>
  <c r="K36" i="27"/>
  <c r="K34" i="30" s="1"/>
  <c r="BX36" i="27"/>
  <c r="V34" i="30" s="1"/>
  <c r="K37" i="27"/>
  <c r="K35" i="30" s="1"/>
  <c r="BX37" i="27"/>
  <c r="V35" i="30" s="1"/>
  <c r="K38" i="27"/>
  <c r="K36" i="30" s="1"/>
  <c r="BX38" i="27"/>
  <c r="V36" i="30" s="1"/>
  <c r="K39" i="27"/>
  <c r="K37" i="30" s="1"/>
  <c r="BX39" i="27"/>
  <c r="V37" i="30" s="1"/>
  <c r="K40" i="27"/>
  <c r="K38" i="30" s="1"/>
  <c r="BX40" i="27"/>
  <c r="V38" i="30" s="1"/>
  <c r="K41" i="27"/>
  <c r="K39" i="30" s="1"/>
  <c r="BX41" i="27"/>
  <c r="V39" i="30" s="1"/>
  <c r="K42" i="27"/>
  <c r="K40" i="30" s="1"/>
  <c r="BX42" i="27"/>
  <c r="V40" i="30" s="1"/>
  <c r="K43" i="27"/>
  <c r="K41" i="30" s="1"/>
  <c r="BX43" i="27"/>
  <c r="V41" i="30" s="1"/>
  <c r="K44" i="27"/>
  <c r="K42" i="30" s="1"/>
  <c r="BQ44" i="27"/>
  <c r="BX44" i="27"/>
  <c r="V42" i="30" s="1"/>
  <c r="ED44" i="27"/>
  <c r="K45" i="27"/>
  <c r="K43" i="30" s="1"/>
  <c r="BX45" i="27"/>
  <c r="V43" i="30" s="1"/>
  <c r="K46" i="27"/>
  <c r="K44" i="30" s="1"/>
  <c r="BX46" i="27"/>
  <c r="V44" i="30" s="1"/>
  <c r="K47" i="27"/>
  <c r="K45" i="30" s="1"/>
  <c r="BX47" i="27"/>
  <c r="V45" i="30" s="1"/>
  <c r="K48" i="27"/>
  <c r="K46" i="30" s="1"/>
  <c r="BX48" i="27"/>
  <c r="V46" i="30" s="1"/>
  <c r="K49" i="27"/>
  <c r="K47" i="30" s="1"/>
  <c r="BX49" i="27"/>
  <c r="V47" i="30" s="1"/>
  <c r="K50" i="27"/>
  <c r="K48" i="30" s="1"/>
  <c r="BX50" i="27"/>
  <c r="V48" i="30" s="1"/>
  <c r="K51" i="27"/>
  <c r="K49" i="30" s="1"/>
  <c r="BX51" i="27"/>
  <c r="V49" i="30" s="1"/>
  <c r="K52" i="27"/>
  <c r="K50" i="30" s="1"/>
  <c r="BX52" i="27"/>
  <c r="V50" i="30" s="1"/>
  <c r="K53" i="27"/>
  <c r="K51" i="30" s="1"/>
  <c r="BQ53" i="27"/>
  <c r="BX53" i="27"/>
  <c r="V51" i="30" s="1"/>
  <c r="ED53" i="27"/>
  <c r="K54" i="27"/>
  <c r="K52" i="30" s="1"/>
  <c r="BX54" i="27"/>
  <c r="V52" i="30" s="1"/>
  <c r="K55" i="27"/>
  <c r="K53" i="30" s="1"/>
  <c r="BX55" i="27"/>
  <c r="V53" i="30" s="1"/>
  <c r="K56" i="27"/>
  <c r="K54" i="30" s="1"/>
  <c r="BX56" i="27"/>
  <c r="V54" i="30" s="1"/>
  <c r="K57" i="27"/>
  <c r="K55" i="30" s="1"/>
  <c r="BX57" i="27"/>
  <c r="V55" i="30" s="1"/>
  <c r="K58" i="27"/>
  <c r="K56" i="30" s="1"/>
  <c r="BX58" i="27"/>
  <c r="V56" i="30" s="1"/>
  <c r="K59" i="27"/>
  <c r="K57" i="30" s="1"/>
  <c r="BX59" i="27"/>
  <c r="V57" i="30" s="1"/>
  <c r="K60" i="27"/>
  <c r="K58" i="30" s="1"/>
  <c r="BQ60" i="27"/>
  <c r="BX60" i="27"/>
  <c r="V58" i="30" s="1"/>
  <c r="ED60" i="27"/>
  <c r="K61" i="27"/>
  <c r="K59" i="30" s="1"/>
  <c r="BX61" i="27"/>
  <c r="V59" i="30" s="1"/>
  <c r="K62" i="27"/>
  <c r="K60" i="30" s="1"/>
  <c r="BX62" i="27"/>
  <c r="V60" i="30" s="1"/>
  <c r="K63" i="27"/>
  <c r="K61" i="30" s="1"/>
  <c r="BX63" i="27"/>
  <c r="V61" i="30" s="1"/>
  <c r="K64" i="27"/>
  <c r="K62" i="30" s="1"/>
  <c r="BX64" i="27"/>
  <c r="V62" i="30" s="1"/>
  <c r="K65" i="27"/>
  <c r="K63" i="30" s="1"/>
  <c r="BX65" i="27"/>
  <c r="V63" i="30" s="1"/>
  <c r="K66" i="27"/>
  <c r="K64" i="30" s="1"/>
  <c r="BQ66" i="27"/>
  <c r="BX66" i="27"/>
  <c r="V64" i="30" s="1"/>
  <c r="ED66" i="27"/>
  <c r="K67" i="27"/>
  <c r="K65" i="30" s="1"/>
  <c r="BX67" i="27"/>
  <c r="V65" i="30" s="1"/>
  <c r="K68" i="27"/>
  <c r="K66" i="30" s="1"/>
  <c r="BX68" i="27"/>
  <c r="V66" i="30" s="1"/>
  <c r="K69" i="27"/>
  <c r="K67" i="30" s="1"/>
  <c r="BX69" i="27"/>
  <c r="V67" i="30" s="1"/>
  <c r="K70" i="27"/>
  <c r="K68" i="30" s="1"/>
  <c r="BX70" i="27"/>
  <c r="V68" i="30" s="1"/>
  <c r="K71" i="27"/>
  <c r="K69" i="30" s="1"/>
  <c r="BX71" i="27"/>
  <c r="V69" i="30" s="1"/>
  <c r="K72" i="27"/>
  <c r="K70" i="30" s="1"/>
  <c r="BX72" i="27"/>
  <c r="V70" i="30" s="1"/>
  <c r="K73" i="27"/>
  <c r="K71" i="30" s="1"/>
  <c r="BQ73" i="27"/>
  <c r="BX73" i="27"/>
  <c r="V71" i="30" s="1"/>
  <c r="ED73" i="27"/>
  <c r="K74" i="27"/>
  <c r="K72" i="30" s="1"/>
  <c r="BX74" i="27"/>
  <c r="V72" i="30" s="1"/>
  <c r="K75" i="27"/>
  <c r="K73" i="30" s="1"/>
  <c r="BX75" i="27"/>
  <c r="V73" i="30" s="1"/>
  <c r="K76" i="27"/>
  <c r="K74" i="30" s="1"/>
  <c r="BX76" i="27"/>
  <c r="V74" i="30" s="1"/>
  <c r="K77" i="27"/>
  <c r="K75" i="30" s="1"/>
  <c r="BX77" i="27"/>
  <c r="V75" i="30" s="1"/>
  <c r="K78" i="27"/>
  <c r="K76" i="30" s="1"/>
  <c r="BX78" i="27"/>
  <c r="V76" i="30" s="1"/>
  <c r="K79" i="27"/>
  <c r="K77" i="30" s="1"/>
  <c r="BX79" i="27"/>
  <c r="V77" i="30" s="1"/>
  <c r="K80" i="27"/>
  <c r="K78" i="30" s="1"/>
  <c r="BQ80" i="27"/>
  <c r="BX80" i="27"/>
  <c r="V78" i="30" s="1"/>
  <c r="ED80" i="27"/>
  <c r="K81" i="27"/>
  <c r="K79" i="30" s="1"/>
  <c r="BX81" i="27"/>
  <c r="V79" i="30" s="1"/>
  <c r="K82" i="27"/>
  <c r="K80" i="30" s="1"/>
  <c r="BX82" i="27"/>
  <c r="V80" i="30" s="1"/>
  <c r="K83" i="27"/>
  <c r="K81" i="30" s="1"/>
  <c r="BX83" i="27"/>
  <c r="V81" i="30" s="1"/>
  <c r="K84" i="27"/>
  <c r="K82" i="30" s="1"/>
  <c r="BX84" i="27"/>
  <c r="V82" i="30" s="1"/>
  <c r="K85" i="27"/>
  <c r="K83" i="30" s="1"/>
  <c r="BX85" i="27"/>
  <c r="V83" i="30" s="1"/>
  <c r="K86" i="27"/>
  <c r="K84" i="30" s="1"/>
  <c r="BX86" i="27"/>
  <c r="V84" i="30" s="1"/>
  <c r="K87" i="27"/>
  <c r="K85" i="30" s="1"/>
  <c r="BX87" i="27"/>
  <c r="V85" i="30" s="1"/>
  <c r="K88" i="27"/>
  <c r="K86" i="30" s="1"/>
  <c r="BX88" i="27"/>
  <c r="V86" i="30" s="1"/>
  <c r="K89" i="27"/>
  <c r="K87" i="30" s="1"/>
  <c r="BX89" i="27"/>
  <c r="V87" i="30" s="1"/>
  <c r="K90" i="27"/>
  <c r="K88" i="30" s="1"/>
  <c r="BX90" i="27"/>
  <c r="V88" i="30" s="1"/>
  <c r="K91" i="27"/>
  <c r="K89" i="30" s="1"/>
  <c r="BX91" i="27"/>
  <c r="V89" i="30" s="1"/>
  <c r="K92" i="27"/>
  <c r="K90" i="30" s="1"/>
  <c r="BX92" i="27"/>
  <c r="V90" i="30" s="1"/>
  <c r="K93" i="27"/>
  <c r="K91" i="30" s="1"/>
  <c r="BX93" i="27"/>
  <c r="V91" i="30" s="1"/>
  <c r="K94" i="27"/>
  <c r="K92" i="30" s="1"/>
  <c r="BX94" i="27"/>
  <c r="V92" i="30" s="1"/>
  <c r="K95" i="27"/>
  <c r="K93" i="30" s="1"/>
  <c r="BQ95" i="27"/>
  <c r="BX95" i="27"/>
  <c r="V93" i="30" s="1"/>
  <c r="ED95" i="27"/>
  <c r="K96" i="27"/>
  <c r="K94" i="30" s="1"/>
  <c r="BX96" i="27"/>
  <c r="V94" i="30" s="1"/>
  <c r="K97" i="27"/>
  <c r="K95" i="30" s="1"/>
  <c r="BX97" i="27"/>
  <c r="V95" i="30" s="1"/>
  <c r="K98" i="27"/>
  <c r="K96" i="30" s="1"/>
  <c r="BX98" i="27"/>
  <c r="V96" i="30" s="1"/>
  <c r="K99" i="27"/>
  <c r="K97" i="30" s="1"/>
  <c r="BX99" i="27"/>
  <c r="V97" i="30" s="1"/>
  <c r="K100" i="27"/>
  <c r="K98" i="30" s="1"/>
  <c r="BQ100" i="27"/>
  <c r="BX100" i="27"/>
  <c r="V98" i="30" s="1"/>
  <c r="ED100" i="27"/>
  <c r="K101" i="27"/>
  <c r="K99" i="30" s="1"/>
  <c r="BX101" i="27"/>
  <c r="V99" i="30" s="1"/>
  <c r="K102" i="27"/>
  <c r="K100" i="30" s="1"/>
  <c r="BX102" i="27"/>
  <c r="V100" i="30" s="1"/>
  <c r="K103" i="27"/>
  <c r="K101" i="30" s="1"/>
  <c r="BX103" i="27"/>
  <c r="V101" i="30" s="1"/>
  <c r="K104" i="27"/>
  <c r="K102" i="30" s="1"/>
  <c r="BX104" i="27"/>
  <c r="V102" i="30" s="1"/>
  <c r="K105" i="27"/>
  <c r="K103" i="30" s="1"/>
  <c r="BX105" i="27"/>
  <c r="V103" i="30" s="1"/>
  <c r="K106" i="27"/>
  <c r="K104" i="30" s="1"/>
  <c r="BX106" i="27"/>
  <c r="V104" i="30" s="1"/>
  <c r="K107" i="27"/>
  <c r="K105" i="30" s="1"/>
  <c r="BX107" i="27"/>
  <c r="V105" i="30" s="1"/>
  <c r="K108" i="27"/>
  <c r="K106" i="30" s="1"/>
  <c r="BQ108" i="27"/>
  <c r="BX108" i="27"/>
  <c r="V106" i="30" s="1"/>
  <c r="ED108" i="27"/>
  <c r="K109" i="27"/>
  <c r="K107" i="30" s="1"/>
  <c r="BX109" i="27"/>
  <c r="V107" i="30" s="1"/>
  <c r="K110" i="27"/>
  <c r="K108" i="30" s="1"/>
  <c r="BX110" i="27"/>
  <c r="V108" i="30" s="1"/>
  <c r="K111" i="27"/>
  <c r="K109" i="30" s="1"/>
  <c r="BX111" i="27"/>
  <c r="V109" i="30" s="1"/>
  <c r="K112" i="27"/>
  <c r="K110" i="30" s="1"/>
  <c r="BX112" i="27"/>
  <c r="V110" i="30" s="1"/>
  <c r="K113" i="27"/>
  <c r="K111" i="30" s="1"/>
  <c r="BX113" i="27"/>
  <c r="V111" i="30" s="1"/>
  <c r="K114" i="27"/>
  <c r="K112" i="30" s="1"/>
  <c r="BQ114" i="27"/>
  <c r="BX114" i="27"/>
  <c r="V112" i="30" s="1"/>
  <c r="ED114" i="27"/>
  <c r="K115" i="27"/>
  <c r="K113" i="30" s="1"/>
  <c r="BX115" i="27"/>
  <c r="V113" i="30" s="1"/>
  <c r="K116" i="27"/>
  <c r="K114" i="30" s="1"/>
  <c r="BX116" i="27"/>
  <c r="V114" i="30" s="1"/>
  <c r="K117" i="27"/>
  <c r="K115" i="30" s="1"/>
  <c r="BX117" i="27"/>
  <c r="V115" i="30" s="1"/>
  <c r="K118" i="27"/>
  <c r="K116" i="30" s="1"/>
  <c r="BX118" i="27"/>
  <c r="V116" i="30" s="1"/>
  <c r="K119" i="27"/>
  <c r="K117" i="30" s="1"/>
  <c r="BX119" i="27"/>
  <c r="V117" i="30" s="1"/>
  <c r="K120" i="27"/>
  <c r="K118" i="30" s="1"/>
  <c r="BX120" i="27"/>
  <c r="V118" i="30" s="1"/>
  <c r="K121" i="27"/>
  <c r="K119" i="30" s="1"/>
  <c r="BX121" i="27"/>
  <c r="V119" i="30" s="1"/>
  <c r="K122" i="27"/>
  <c r="K120" i="30" s="1"/>
  <c r="BX122" i="27"/>
  <c r="V120" i="30" s="1"/>
  <c r="K123" i="27"/>
  <c r="K121" i="30" s="1"/>
  <c r="BX123" i="27"/>
  <c r="V121" i="30" s="1"/>
  <c r="K124" i="27"/>
  <c r="K122" i="30" s="1"/>
  <c r="BX124" i="27"/>
  <c r="V122" i="30" s="1"/>
  <c r="K125" i="27"/>
  <c r="K123" i="30" s="1"/>
  <c r="BX125" i="27"/>
  <c r="V123" i="30" s="1"/>
  <c r="K126" i="27"/>
  <c r="K124" i="30" s="1"/>
  <c r="BX126" i="27"/>
  <c r="V124" i="30" s="1"/>
  <c r="K127" i="27"/>
  <c r="K125" i="30" s="1"/>
  <c r="BX127" i="27"/>
  <c r="V125" i="30" s="1"/>
  <c r="K128" i="27"/>
  <c r="K126" i="30" s="1"/>
  <c r="BX128" i="27"/>
  <c r="V126" i="30" s="1"/>
  <c r="K129" i="27"/>
  <c r="K127" i="30" s="1"/>
  <c r="BX129" i="27"/>
  <c r="V127" i="30" s="1"/>
  <c r="K130" i="27"/>
  <c r="K128" i="30" s="1"/>
  <c r="BX130" i="27"/>
  <c r="V128" i="30" s="1"/>
  <c r="K131" i="27"/>
  <c r="K129" i="30" s="1"/>
  <c r="BX131" i="27"/>
  <c r="V129" i="30" s="1"/>
  <c r="K132" i="27"/>
  <c r="K130" i="30" s="1"/>
  <c r="BX132" i="27"/>
  <c r="V130" i="30" s="1"/>
  <c r="K133" i="27"/>
  <c r="K131" i="30" s="1"/>
  <c r="BX133" i="27"/>
  <c r="V131" i="30" s="1"/>
  <c r="K134" i="27"/>
  <c r="K132" i="30" s="1"/>
  <c r="BX134" i="27"/>
  <c r="V132" i="30" s="1"/>
  <c r="K135" i="27"/>
  <c r="K133" i="30" s="1"/>
  <c r="BX135" i="27"/>
  <c r="V133" i="30" s="1"/>
  <c r="K136" i="27"/>
  <c r="K134" i="30" s="1"/>
  <c r="BX136" i="27"/>
  <c r="V134" i="30" s="1"/>
  <c r="K137" i="27"/>
  <c r="K135" i="30" s="1"/>
  <c r="BX137" i="27"/>
  <c r="V135" i="30" s="1"/>
  <c r="K138" i="27"/>
  <c r="K136" i="30" s="1"/>
  <c r="BX138" i="27"/>
  <c r="V136" i="30" s="1"/>
  <c r="H36" i="2"/>
  <c r="S112" i="30" l="1"/>
  <c r="S98" i="30"/>
  <c r="S93" i="30"/>
  <c r="S78" i="30"/>
  <c r="S71" i="30"/>
  <c r="S64" i="30"/>
  <c r="S106" i="30"/>
  <c r="S58" i="30"/>
  <c r="S51" i="30"/>
  <c r="S42" i="30"/>
  <c r="R3" i="11"/>
  <c r="H112" i="30" s="1"/>
  <c r="H42" i="30" l="1"/>
  <c r="H58" i="30"/>
  <c r="H78" i="30"/>
  <c r="H98" i="30"/>
  <c r="H64" i="30"/>
  <c r="H51" i="30"/>
  <c r="H106" i="30"/>
  <c r="H71" i="30"/>
  <c r="H93" i="30"/>
  <c r="AA4" i="13"/>
  <c r="AB4" i="13"/>
  <c r="AC4" i="13"/>
  <c r="AD4" i="13"/>
  <c r="AE4" i="13"/>
  <c r="AF4" i="13"/>
  <c r="AG4" i="13"/>
  <c r="AH4" i="13"/>
  <c r="AI4" i="13"/>
  <c r="AJ4" i="13"/>
  <c r="AK4" i="13"/>
  <c r="AL4" i="13"/>
  <c r="AM4" i="13"/>
  <c r="AN4" i="13"/>
  <c r="AO4" i="13"/>
  <c r="AP4" i="13"/>
  <c r="AQ4" i="13"/>
  <c r="AR4" i="13"/>
  <c r="AS4" i="13"/>
  <c r="AT4" i="13"/>
  <c r="AU4" i="13"/>
  <c r="AV4" i="13"/>
  <c r="AW4" i="13"/>
  <c r="AX4" i="13"/>
  <c r="AA5" i="13"/>
  <c r="AB5" i="13"/>
  <c r="AC5" i="13"/>
  <c r="AD5" i="13"/>
  <c r="AE5" i="13"/>
  <c r="AF5" i="13"/>
  <c r="AG5" i="13"/>
  <c r="AH5" i="13"/>
  <c r="AI5" i="13"/>
  <c r="AJ5" i="13"/>
  <c r="AK5" i="13"/>
  <c r="AL5" i="13"/>
  <c r="AM5" i="13"/>
  <c r="AN5" i="13"/>
  <c r="AO5" i="13"/>
  <c r="AP5" i="13"/>
  <c r="AQ5" i="13"/>
  <c r="AR5" i="13"/>
  <c r="AS5" i="13"/>
  <c r="AT5" i="13"/>
  <c r="AU5" i="13"/>
  <c r="AV5" i="13"/>
  <c r="AW5" i="13"/>
  <c r="AX5" i="13"/>
  <c r="AY5" i="13"/>
  <c r="AZ5" i="13"/>
  <c r="BA5" i="13"/>
  <c r="BB5" i="13"/>
  <c r="BC5" i="13"/>
  <c r="BD5" i="13"/>
  <c r="BE5" i="13"/>
  <c r="BF5" i="13"/>
  <c r="BG5" i="13"/>
  <c r="BH5" i="13"/>
  <c r="BI5" i="13"/>
  <c r="BJ5" i="13"/>
  <c r="BK5" i="13"/>
  <c r="BL5" i="13"/>
  <c r="BM5" i="13"/>
  <c r="BN5" i="13"/>
  <c r="BO5" i="13"/>
  <c r="BP5" i="13"/>
  <c r="BQ5" i="13"/>
  <c r="BR5" i="13"/>
  <c r="BS5" i="13"/>
  <c r="BT5" i="13"/>
  <c r="BU5" i="13"/>
  <c r="BV5" i="13"/>
  <c r="AA6" i="13"/>
  <c r="AB6" i="13"/>
  <c r="AC6" i="13"/>
  <c r="P10" i="13" s="1"/>
  <c r="AD6" i="13"/>
  <c r="AE6" i="13"/>
  <c r="AF6" i="13"/>
  <c r="AG6" i="13"/>
  <c r="AH6" i="13"/>
  <c r="AI6" i="13"/>
  <c r="S10" i="13" s="1"/>
  <c r="AJ6" i="13"/>
  <c r="AK6" i="13"/>
  <c r="T10" i="13" s="1"/>
  <c r="AL6" i="13"/>
  <c r="AM6" i="13"/>
  <c r="U10" i="13" s="1"/>
  <c r="AN6" i="13"/>
  <c r="AO6" i="13"/>
  <c r="V10" i="13" s="1"/>
  <c r="AP6" i="13"/>
  <c r="AQ6" i="13"/>
  <c r="W10" i="13" s="1"/>
  <c r="AR6" i="13"/>
  <c r="AS6" i="13"/>
  <c r="X10" i="13" s="1"/>
  <c r="AT6" i="13"/>
  <c r="AU6" i="13"/>
  <c r="Y10" i="13" s="1"/>
  <c r="AV6" i="13"/>
  <c r="AW6" i="13"/>
  <c r="Z10" i="13" s="1"/>
  <c r="AX6" i="13"/>
  <c r="AA7" i="13"/>
  <c r="O11" i="13" s="1"/>
  <c r="AB7" i="13"/>
  <c r="AC7" i="13"/>
  <c r="P11" i="13" s="1"/>
  <c r="AD7" i="13"/>
  <c r="AE7" i="13"/>
  <c r="Q11" i="13" s="1"/>
  <c r="AF7" i="13"/>
  <c r="AG7" i="13"/>
  <c r="R11" i="13" s="1"/>
  <c r="AH7" i="13"/>
  <c r="AI7" i="13"/>
  <c r="S11" i="13" s="1"/>
  <c r="AJ7" i="13"/>
  <c r="AK7" i="13"/>
  <c r="T11" i="13" s="1"/>
  <c r="AL7" i="13"/>
  <c r="AM7" i="13"/>
  <c r="U11" i="13" s="1"/>
  <c r="AN7" i="13"/>
  <c r="AO7" i="13"/>
  <c r="V11" i="13" s="1"/>
  <c r="AP7" i="13"/>
  <c r="AQ7" i="13"/>
  <c r="W11" i="13" s="1"/>
  <c r="AR7" i="13"/>
  <c r="AS7" i="13"/>
  <c r="X11" i="13" s="1"/>
  <c r="AT7" i="13"/>
  <c r="AU7" i="13"/>
  <c r="Y11" i="13" s="1"/>
  <c r="AV7" i="13"/>
  <c r="AW7" i="13"/>
  <c r="Z11" i="13" s="1"/>
  <c r="AX7" i="13"/>
  <c r="AY7" i="13"/>
  <c r="AA11" i="13" s="1"/>
  <c r="AZ7" i="13"/>
  <c r="BA7" i="13"/>
  <c r="AB11" i="13" s="1"/>
  <c r="BB7" i="13"/>
  <c r="BC7" i="13"/>
  <c r="AC11" i="13" s="1"/>
  <c r="BD7" i="13"/>
  <c r="BE7" i="13"/>
  <c r="AD11" i="13" s="1"/>
  <c r="BF7" i="13"/>
  <c r="BG7" i="13"/>
  <c r="AE11" i="13" s="1"/>
  <c r="BH7" i="13"/>
  <c r="BI7" i="13"/>
  <c r="AF11" i="13" s="1"/>
  <c r="BJ7" i="13"/>
  <c r="BK7" i="13"/>
  <c r="AG11" i="13" s="1"/>
  <c r="BL7" i="13"/>
  <c r="BM7" i="13"/>
  <c r="BN7" i="13"/>
  <c r="BO7" i="13"/>
  <c r="AI11" i="13" s="1"/>
  <c r="BP7" i="13"/>
  <c r="BQ7" i="13"/>
  <c r="AJ11" i="13" s="1"/>
  <c r="BR7" i="13"/>
  <c r="BS7" i="13"/>
  <c r="AK11" i="13" s="1"/>
  <c r="BT7" i="13"/>
  <c r="BU7" i="13"/>
  <c r="AL11" i="13" s="1"/>
  <c r="BV7" i="13"/>
  <c r="O10" i="13"/>
  <c r="Q10" i="13"/>
  <c r="R10" i="13"/>
  <c r="AH11" i="13"/>
  <c r="O12" i="13"/>
  <c r="P12" i="13" s="1"/>
  <c r="O9" i="13"/>
  <c r="AA2" i="13"/>
  <c r="AB2" i="13" s="1"/>
  <c r="AC2" i="13" s="1"/>
  <c r="AD2" i="13" s="1"/>
  <c r="AE2" i="13" s="1"/>
  <c r="AF2" i="13" s="1"/>
  <c r="AG2" i="13" s="1"/>
  <c r="AH2" i="13" s="1"/>
  <c r="AI2" i="13" s="1"/>
  <c r="AJ2" i="13" s="1"/>
  <c r="AK2" i="13" s="1"/>
  <c r="AL2" i="13" s="1"/>
  <c r="AM2" i="13" s="1"/>
  <c r="AN2" i="13" s="1"/>
  <c r="AO2" i="13" s="1"/>
  <c r="AP2" i="13" s="1"/>
  <c r="AQ2" i="13" s="1"/>
  <c r="AR2" i="13" s="1"/>
  <c r="AS2" i="13" s="1"/>
  <c r="AT2" i="13" s="1"/>
  <c r="AU2" i="13" s="1"/>
  <c r="AV2" i="13" s="1"/>
  <c r="AW2" i="13" s="1"/>
  <c r="AX2" i="13" s="1"/>
  <c r="AY2" i="13" s="1"/>
  <c r="AZ2" i="13" s="1"/>
  <c r="BA2" i="13" s="1"/>
  <c r="BB2" i="13" s="1"/>
  <c r="BC2" i="13" s="1"/>
  <c r="BD2" i="13" s="1"/>
  <c r="BE2" i="13" s="1"/>
  <c r="BF2" i="13" s="1"/>
  <c r="BG2" i="13" s="1"/>
  <c r="BH2" i="13" s="1"/>
  <c r="BI2" i="13" s="1"/>
  <c r="BJ2" i="13" s="1"/>
  <c r="BK2" i="13" s="1"/>
  <c r="BL2" i="13" s="1"/>
  <c r="BM2" i="13" s="1"/>
  <c r="BN2" i="13" s="1"/>
  <c r="BO2" i="13" s="1"/>
  <c r="BP2" i="13" s="1"/>
  <c r="BQ2" i="13" s="1"/>
  <c r="BR2" i="13" s="1"/>
  <c r="BS2" i="13" s="1"/>
  <c r="BT2" i="13" s="1"/>
  <c r="BU2" i="13" s="1"/>
  <c r="BV2" i="13" s="1"/>
  <c r="S18" i="3"/>
  <c r="T18" i="3"/>
  <c r="S19" i="3"/>
  <c r="T19" i="3"/>
  <c r="S20" i="3"/>
  <c r="T20" i="3"/>
  <c r="S21" i="3"/>
  <c r="T21" i="3"/>
  <c r="S22" i="3"/>
  <c r="T22" i="3"/>
  <c r="S23" i="3"/>
  <c r="T23" i="3"/>
  <c r="S24" i="3"/>
  <c r="T24" i="3"/>
  <c r="S25" i="3"/>
  <c r="T25" i="3"/>
  <c r="S26" i="3"/>
  <c r="T26" i="3"/>
  <c r="S27" i="3"/>
  <c r="T27" i="3"/>
  <c r="S28" i="3"/>
  <c r="T28" i="3"/>
  <c r="S29" i="3"/>
  <c r="T29" i="3"/>
  <c r="P9" i="13" l="1"/>
  <c r="Q12" i="13"/>
  <c r="Q9" i="13" l="1"/>
  <c r="R12" i="13"/>
  <c r="S12" i="13" l="1"/>
  <c r="R9" i="13"/>
  <c r="T12" i="13" l="1"/>
  <c r="S9" i="13"/>
  <c r="T9" i="13" l="1"/>
  <c r="U12" i="13"/>
  <c r="V12" i="13" l="1"/>
  <c r="U9" i="13"/>
  <c r="W12" i="13" l="1"/>
  <c r="V9" i="13"/>
  <c r="X12" i="13" l="1"/>
  <c r="W9" i="13"/>
  <c r="X9" i="13" l="1"/>
  <c r="Y12" i="13"/>
  <c r="Y9" i="13" l="1"/>
  <c r="Z12" i="13"/>
  <c r="AA12" i="13" l="1"/>
  <c r="Z9" i="13"/>
  <c r="AB12" i="13" l="1"/>
  <c r="AA9" i="13"/>
  <c r="AB9" i="13" l="1"/>
  <c r="AC12" i="13"/>
  <c r="AC9" i="13" l="1"/>
  <c r="AD12" i="13"/>
  <c r="AE12" i="13" l="1"/>
  <c r="AD9" i="13"/>
  <c r="AF12" i="13" l="1"/>
  <c r="AE9" i="13"/>
  <c r="AF9" i="13" l="1"/>
  <c r="AG12" i="13"/>
  <c r="AG9" i="13" l="1"/>
  <c r="AH12" i="13"/>
  <c r="AI12" i="13" l="1"/>
  <c r="AH9" i="13"/>
  <c r="AJ12" i="13" l="1"/>
  <c r="AI9" i="13"/>
  <c r="AJ9" i="13" l="1"/>
  <c r="AK12" i="13"/>
  <c r="AK9" i="13" l="1"/>
  <c r="AL12" i="13"/>
  <c r="AL9" i="13" s="1"/>
  <c r="E2" i="13" l="1"/>
  <c r="F2" i="13" s="1"/>
  <c r="G2" i="13" s="1"/>
  <c r="H2" i="13" s="1"/>
  <c r="I2" i="13" s="1"/>
  <c r="J2" i="13" s="1"/>
  <c r="K2" i="13" s="1"/>
  <c r="L2" i="13" s="1"/>
  <c r="M2" i="13" s="1"/>
  <c r="N2" i="13" s="1"/>
  <c r="O2" i="13" s="1"/>
  <c r="P2" i="13" s="1"/>
  <c r="Q2" i="13" s="1"/>
  <c r="R2" i="13" s="1"/>
  <c r="S2" i="13" s="1"/>
  <c r="T2" i="13" s="1"/>
  <c r="U2" i="13" s="1"/>
  <c r="V2" i="13" s="1"/>
  <c r="W2" i="13" s="1"/>
  <c r="X2" i="13" s="1"/>
  <c r="Y2" i="13" s="1"/>
  <c r="Z2" i="13" s="1"/>
  <c r="D2" i="13"/>
  <c r="S6" i="3" l="1"/>
  <c r="K136" i="12" l="1"/>
  <c r="K136" i="31" l="1"/>
  <c r="C6" i="27" l="1"/>
  <c r="C7" i="27"/>
  <c r="C8" i="27"/>
  <c r="C9" i="27"/>
  <c r="C10" i="27"/>
  <c r="C11" i="27"/>
  <c r="C12" i="27"/>
  <c r="C13" i="27"/>
  <c r="C14" i="27"/>
  <c r="C15" i="27"/>
  <c r="C16" i="27"/>
  <c r="C17" i="27"/>
  <c r="C18" i="27"/>
  <c r="C19" i="27"/>
  <c r="C20" i="27"/>
  <c r="C21" i="27"/>
  <c r="C22" i="27"/>
  <c r="C23" i="27"/>
  <c r="C24" i="27"/>
  <c r="C25" i="27"/>
  <c r="C26" i="27"/>
  <c r="C27" i="27"/>
  <c r="C28" i="27"/>
  <c r="C29" i="27"/>
  <c r="C30" i="27"/>
  <c r="C31" i="27"/>
  <c r="C32" i="27"/>
  <c r="C33" i="27"/>
  <c r="C34" i="27"/>
  <c r="C35" i="27"/>
  <c r="C36" i="27"/>
  <c r="C37" i="27"/>
  <c r="C38" i="27"/>
  <c r="C39" i="27"/>
  <c r="C40" i="27"/>
  <c r="C41" i="27"/>
  <c r="C42" i="27"/>
  <c r="C43" i="27"/>
  <c r="C44" i="27"/>
  <c r="C45" i="27"/>
  <c r="C46" i="27"/>
  <c r="C47" i="27"/>
  <c r="C48" i="27"/>
  <c r="C49" i="27"/>
  <c r="C50" i="27"/>
  <c r="C51" i="27"/>
  <c r="C52" i="27"/>
  <c r="C53" i="27"/>
  <c r="C54" i="27"/>
  <c r="C55" i="27"/>
  <c r="C56" i="27"/>
  <c r="C57" i="27"/>
  <c r="C58" i="27"/>
  <c r="C59" i="27"/>
  <c r="C60" i="27"/>
  <c r="C61" i="27"/>
  <c r="C62" i="27"/>
  <c r="C63" i="27"/>
  <c r="C64" i="27"/>
  <c r="C65" i="27"/>
  <c r="C66" i="27"/>
  <c r="C67" i="27"/>
  <c r="C68" i="27"/>
  <c r="C69" i="27"/>
  <c r="C70" i="27"/>
  <c r="C71" i="27"/>
  <c r="C72" i="27"/>
  <c r="C73" i="27"/>
  <c r="C74" i="27"/>
  <c r="C75" i="27"/>
  <c r="C76" i="27"/>
  <c r="C77" i="27"/>
  <c r="C78" i="27"/>
  <c r="C79" i="27"/>
  <c r="C80" i="27"/>
  <c r="C81" i="27"/>
  <c r="C82" i="27"/>
  <c r="C83" i="27"/>
  <c r="C84" i="27"/>
  <c r="C85" i="27"/>
  <c r="C86" i="27"/>
  <c r="C87" i="27"/>
  <c r="C88" i="27"/>
  <c r="C89" i="27"/>
  <c r="C90" i="27"/>
  <c r="C91" i="27"/>
  <c r="C92" i="27"/>
  <c r="C93" i="27"/>
  <c r="C94" i="27"/>
  <c r="C95" i="27"/>
  <c r="C96" i="27"/>
  <c r="C97" i="27"/>
  <c r="C98" i="27"/>
  <c r="C99" i="27"/>
  <c r="C100" i="27"/>
  <c r="C101" i="27"/>
  <c r="C102" i="27"/>
  <c r="C103" i="27"/>
  <c r="C104" i="27"/>
  <c r="C105" i="27"/>
  <c r="C106" i="27"/>
  <c r="C107" i="27"/>
  <c r="C108" i="27"/>
  <c r="C109" i="27"/>
  <c r="C110" i="27"/>
  <c r="C111" i="27"/>
  <c r="C112" i="27"/>
  <c r="C113" i="27"/>
  <c r="C114" i="27"/>
  <c r="C115" i="27"/>
  <c r="C116" i="27"/>
  <c r="C117" i="27"/>
  <c r="C118" i="27"/>
  <c r="C119" i="27"/>
  <c r="C120" i="27"/>
  <c r="C121" i="27"/>
  <c r="C122" i="27"/>
  <c r="C123" i="27"/>
  <c r="C124" i="27"/>
  <c r="C125" i="27"/>
  <c r="C126" i="27"/>
  <c r="C127" i="27"/>
  <c r="C128" i="27"/>
  <c r="C129" i="27"/>
  <c r="C130" i="27"/>
  <c r="C131" i="27"/>
  <c r="C132" i="27"/>
  <c r="C133" i="27"/>
  <c r="C134" i="27"/>
  <c r="C135" i="27"/>
  <c r="C136" i="27"/>
  <c r="C137" i="27"/>
  <c r="C138" i="27"/>
  <c r="C139" i="27"/>
  <c r="S7" i="3"/>
  <c r="T7" i="3"/>
  <c r="S8" i="3"/>
  <c r="T8" i="3"/>
  <c r="S9" i="3"/>
  <c r="T9" i="3"/>
  <c r="S10" i="3"/>
  <c r="T10" i="3"/>
  <c r="S11" i="3"/>
  <c r="T11" i="3"/>
  <c r="S12" i="3"/>
  <c r="T12" i="3"/>
  <c r="S13" i="3"/>
  <c r="T13" i="3"/>
  <c r="S14" i="3"/>
  <c r="T14" i="3"/>
  <c r="S15" i="3"/>
  <c r="T15" i="3"/>
  <c r="S16" i="3"/>
  <c r="T16" i="3"/>
  <c r="S17" i="3"/>
  <c r="T17" i="3"/>
  <c r="S30" i="3"/>
  <c r="T30" i="3"/>
  <c r="S31" i="3"/>
  <c r="T31" i="3"/>
  <c r="S32" i="3"/>
  <c r="T32" i="3"/>
  <c r="S33" i="3"/>
  <c r="T33" i="3"/>
  <c r="S34" i="3"/>
  <c r="T34" i="3"/>
  <c r="S35" i="3"/>
  <c r="T35" i="3"/>
  <c r="S36" i="3"/>
  <c r="T36" i="3"/>
  <c r="S37" i="3"/>
  <c r="T37" i="3"/>
  <c r="S38" i="3"/>
  <c r="T38" i="3"/>
  <c r="S39" i="3"/>
  <c r="T39" i="3"/>
  <c r="S40" i="3"/>
  <c r="T40" i="3"/>
  <c r="S41" i="3"/>
  <c r="T41" i="3"/>
  <c r="T6" i="3"/>
  <c r="I46" i="3" l="1"/>
  <c r="BW137" i="27"/>
  <c r="I137" i="27"/>
  <c r="J137" i="27"/>
  <c r="BV137" i="27"/>
  <c r="BW133" i="27"/>
  <c r="I133" i="27"/>
  <c r="J133" i="27"/>
  <c r="BV133" i="27"/>
  <c r="BW129" i="27"/>
  <c r="BV129" i="27"/>
  <c r="J129" i="27"/>
  <c r="I129" i="27"/>
  <c r="BW125" i="27"/>
  <c r="BV125" i="27"/>
  <c r="J125" i="27"/>
  <c r="I125" i="27"/>
  <c r="BW121" i="27"/>
  <c r="BV121" i="27"/>
  <c r="J121" i="27"/>
  <c r="I121" i="27"/>
  <c r="BW117" i="27"/>
  <c r="BV117" i="27"/>
  <c r="J117" i="27"/>
  <c r="I117" i="27"/>
  <c r="BW113" i="27"/>
  <c r="J113" i="27"/>
  <c r="BV113" i="27"/>
  <c r="I113" i="27"/>
  <c r="BW109" i="27"/>
  <c r="J109" i="27"/>
  <c r="BV109" i="27"/>
  <c r="I109" i="27"/>
  <c r="BW105" i="27"/>
  <c r="BV105" i="27"/>
  <c r="J105" i="27"/>
  <c r="I105" i="27"/>
  <c r="BW101" i="27"/>
  <c r="J101" i="27"/>
  <c r="BV101" i="27"/>
  <c r="I101" i="27"/>
  <c r="BV97" i="27"/>
  <c r="BW97" i="27"/>
  <c r="J97" i="27"/>
  <c r="I97" i="27"/>
  <c r="BW93" i="27"/>
  <c r="J93" i="27"/>
  <c r="BV93" i="27"/>
  <c r="I93" i="27"/>
  <c r="BV89" i="27"/>
  <c r="BW89" i="27"/>
  <c r="I89" i="27"/>
  <c r="J89" i="27"/>
  <c r="BV85" i="27"/>
  <c r="BW85" i="27"/>
  <c r="I85" i="27"/>
  <c r="J85" i="27"/>
  <c r="DU81" i="27"/>
  <c r="BH81" i="27"/>
  <c r="DU77" i="27"/>
  <c r="BH77" i="27"/>
  <c r="BV73" i="27"/>
  <c r="BW73" i="27"/>
  <c r="I73" i="27"/>
  <c r="J73" i="27"/>
  <c r="BV69" i="27"/>
  <c r="BW69" i="27"/>
  <c r="I69" i="27"/>
  <c r="J69" i="27"/>
  <c r="DU65" i="27"/>
  <c r="BH65" i="27"/>
  <c r="BW61" i="27"/>
  <c r="BV61" i="27"/>
  <c r="I61" i="27"/>
  <c r="J61" i="27"/>
  <c r="BV57" i="27"/>
  <c r="BW57" i="27"/>
  <c r="I57" i="27"/>
  <c r="J57" i="27"/>
  <c r="BV53" i="27"/>
  <c r="BW53" i="27"/>
  <c r="J53" i="27"/>
  <c r="I53" i="27"/>
  <c r="BV49" i="27"/>
  <c r="BW49" i="27"/>
  <c r="J49" i="27"/>
  <c r="I49" i="27"/>
  <c r="DU45" i="27"/>
  <c r="BH45" i="27"/>
  <c r="BV41" i="27"/>
  <c r="BW41" i="27"/>
  <c r="I41" i="27"/>
  <c r="J41" i="27"/>
  <c r="BV37" i="27"/>
  <c r="BW37" i="27"/>
  <c r="I37" i="27"/>
  <c r="J37" i="27"/>
  <c r="BV33" i="27"/>
  <c r="BW33" i="27"/>
  <c r="I33" i="27"/>
  <c r="J33" i="27"/>
  <c r="BV29" i="27"/>
  <c r="BW29" i="27"/>
  <c r="I29" i="27"/>
  <c r="J29" i="27"/>
  <c r="BV25" i="27"/>
  <c r="BW25" i="27"/>
  <c r="I25" i="27"/>
  <c r="J25" i="27"/>
  <c r="BV21" i="27"/>
  <c r="BW21" i="27"/>
  <c r="I21" i="27"/>
  <c r="J21" i="27"/>
  <c r="BV17" i="27"/>
  <c r="BW17" i="27"/>
  <c r="I17" i="27"/>
  <c r="J17" i="27"/>
  <c r="BV13" i="27"/>
  <c r="BW13" i="27"/>
  <c r="I13" i="27"/>
  <c r="J13" i="27"/>
  <c r="BV9" i="27"/>
  <c r="BW9" i="27"/>
  <c r="I9" i="27"/>
  <c r="J9" i="27"/>
  <c r="BW136" i="27"/>
  <c r="BV136" i="27"/>
  <c r="J136" i="27"/>
  <c r="I136" i="27"/>
  <c r="BW132" i="27"/>
  <c r="BV132" i="27"/>
  <c r="J132" i="27"/>
  <c r="I132" i="27"/>
  <c r="BW128" i="27"/>
  <c r="BV128" i="27"/>
  <c r="I128" i="27"/>
  <c r="J128" i="27"/>
  <c r="BW124" i="27"/>
  <c r="BV124" i="27"/>
  <c r="I124" i="27"/>
  <c r="J124" i="27"/>
  <c r="BW120" i="27"/>
  <c r="BV120" i="27"/>
  <c r="I120" i="27"/>
  <c r="J120" i="27"/>
  <c r="BW116" i="27"/>
  <c r="BV116" i="27"/>
  <c r="I116" i="27"/>
  <c r="J116" i="27"/>
  <c r="BW112" i="27"/>
  <c r="I112" i="27"/>
  <c r="J112" i="27"/>
  <c r="BV112" i="27"/>
  <c r="BV108" i="27"/>
  <c r="I108" i="27"/>
  <c r="BW108" i="27"/>
  <c r="J108" i="27"/>
  <c r="DU104" i="27"/>
  <c r="BH104" i="27"/>
  <c r="BV100" i="27"/>
  <c r="I100" i="27"/>
  <c r="BW100" i="27"/>
  <c r="J100" i="27"/>
  <c r="DU96" i="27"/>
  <c r="BH96" i="27"/>
  <c r="BW92" i="27"/>
  <c r="BV92" i="27"/>
  <c r="I92" i="27"/>
  <c r="J92" i="27"/>
  <c r="BV88" i="27"/>
  <c r="BW88" i="27"/>
  <c r="J88" i="27"/>
  <c r="I88" i="27"/>
  <c r="BV84" i="27"/>
  <c r="BW84" i="27"/>
  <c r="J84" i="27"/>
  <c r="I84" i="27"/>
  <c r="BV80" i="27"/>
  <c r="I80" i="27"/>
  <c r="BW80" i="27"/>
  <c r="J80" i="27"/>
  <c r="BV76" i="27"/>
  <c r="BW76" i="27"/>
  <c r="I76" i="27"/>
  <c r="J76" i="27"/>
  <c r="BV72" i="27"/>
  <c r="BW72" i="27"/>
  <c r="J72" i="27"/>
  <c r="I72" i="27"/>
  <c r="BV68" i="27"/>
  <c r="BW68" i="27"/>
  <c r="J68" i="27"/>
  <c r="I68" i="27"/>
  <c r="BV64" i="27"/>
  <c r="BW64" i="27"/>
  <c r="I64" i="27"/>
  <c r="J64" i="27"/>
  <c r="BV60" i="27"/>
  <c r="BW60" i="27"/>
  <c r="J60" i="27"/>
  <c r="I60" i="27"/>
  <c r="BV56" i="27"/>
  <c r="BW56" i="27"/>
  <c r="J56" i="27"/>
  <c r="I56" i="27"/>
  <c r="DU52" i="27"/>
  <c r="BH52" i="27"/>
  <c r="BV48" i="27"/>
  <c r="BW48" i="27"/>
  <c r="I48" i="27"/>
  <c r="J48" i="27"/>
  <c r="BV44" i="27"/>
  <c r="BW44" i="27"/>
  <c r="J44" i="27"/>
  <c r="I44" i="27"/>
  <c r="BV40" i="27"/>
  <c r="BW40" i="27"/>
  <c r="J40" i="27"/>
  <c r="I40" i="27"/>
  <c r="BV36" i="27"/>
  <c r="BW36" i="27"/>
  <c r="J36" i="27"/>
  <c r="I36" i="27"/>
  <c r="BV32" i="27"/>
  <c r="BW32" i="27"/>
  <c r="J32" i="27"/>
  <c r="I32" i="27"/>
  <c r="BV28" i="27"/>
  <c r="BW28" i="27"/>
  <c r="J28" i="27"/>
  <c r="I28" i="27"/>
  <c r="BV24" i="27"/>
  <c r="BW24" i="27"/>
  <c r="J24" i="27"/>
  <c r="I24" i="27"/>
  <c r="BV20" i="27"/>
  <c r="BW20" i="27"/>
  <c r="J20" i="27"/>
  <c r="I20" i="27"/>
  <c r="BV16" i="27"/>
  <c r="BW16" i="27"/>
  <c r="J16" i="27"/>
  <c r="I16" i="27"/>
  <c r="DU12" i="27"/>
  <c r="BH12" i="27"/>
  <c r="BV8" i="27"/>
  <c r="BW8" i="27"/>
  <c r="J8" i="27"/>
  <c r="I8" i="27"/>
  <c r="I139" i="27"/>
  <c r="BV139" i="27"/>
  <c r="J139" i="27"/>
  <c r="BW139" i="27"/>
  <c r="BW135" i="27"/>
  <c r="BV135" i="27"/>
  <c r="I135" i="27"/>
  <c r="J135" i="27"/>
  <c r="BW131" i="27"/>
  <c r="BV131" i="27"/>
  <c r="I131" i="27"/>
  <c r="J131" i="27"/>
  <c r="BW127" i="27"/>
  <c r="J127" i="27"/>
  <c r="BV127" i="27"/>
  <c r="I127" i="27"/>
  <c r="BW123" i="27"/>
  <c r="J123" i="27"/>
  <c r="BV123" i="27"/>
  <c r="I123" i="27"/>
  <c r="BW119" i="27"/>
  <c r="J119" i="27"/>
  <c r="BV119" i="27"/>
  <c r="I119" i="27"/>
  <c r="BW115" i="27"/>
  <c r="J115" i="27"/>
  <c r="BV115" i="27"/>
  <c r="I115" i="27"/>
  <c r="BW111" i="27"/>
  <c r="BV111" i="27"/>
  <c r="J111" i="27"/>
  <c r="I111" i="27"/>
  <c r="BW107" i="27"/>
  <c r="J107" i="27"/>
  <c r="BV107" i="27"/>
  <c r="I107" i="27"/>
  <c r="DU103" i="27"/>
  <c r="BH103" i="27"/>
  <c r="BV99" i="27"/>
  <c r="BW99" i="27"/>
  <c r="J99" i="27"/>
  <c r="I99" i="27"/>
  <c r="BV95" i="27"/>
  <c r="BW95" i="27"/>
  <c r="I95" i="27"/>
  <c r="J95" i="27"/>
  <c r="DU91" i="27"/>
  <c r="BH91" i="27"/>
  <c r="BV87" i="27"/>
  <c r="BW87" i="27"/>
  <c r="I87" i="27"/>
  <c r="J87" i="27"/>
  <c r="BV83" i="27"/>
  <c r="BW83" i="27"/>
  <c r="I83" i="27"/>
  <c r="J83" i="27"/>
  <c r="DU79" i="27"/>
  <c r="BH79" i="27"/>
  <c r="BV75" i="27"/>
  <c r="BW75" i="27"/>
  <c r="J75" i="27"/>
  <c r="I75" i="27"/>
  <c r="BV71" i="27"/>
  <c r="BW71" i="27"/>
  <c r="I71" i="27"/>
  <c r="J71" i="27"/>
  <c r="BV67" i="27"/>
  <c r="BW67" i="27"/>
  <c r="I67" i="27"/>
  <c r="J67" i="27"/>
  <c r="BV63" i="27"/>
  <c r="BW63" i="27"/>
  <c r="J63" i="27"/>
  <c r="I63" i="27"/>
  <c r="BV59" i="27"/>
  <c r="BW59" i="27"/>
  <c r="I59" i="27"/>
  <c r="J59" i="27"/>
  <c r="BV55" i="27"/>
  <c r="BW55" i="27"/>
  <c r="I55" i="27"/>
  <c r="J55" i="27"/>
  <c r="DU51" i="27"/>
  <c r="BH51" i="27"/>
  <c r="BV47" i="27"/>
  <c r="BW47" i="27"/>
  <c r="J47" i="27"/>
  <c r="I47" i="27"/>
  <c r="BV43" i="27"/>
  <c r="BW43" i="27"/>
  <c r="I43" i="27"/>
  <c r="J43" i="27"/>
  <c r="BV39" i="27"/>
  <c r="BW39" i="27"/>
  <c r="I39" i="27"/>
  <c r="J39" i="27"/>
  <c r="BV35" i="27"/>
  <c r="BW35" i="27"/>
  <c r="I35" i="27"/>
  <c r="J35" i="27"/>
  <c r="BV31" i="27"/>
  <c r="BW31" i="27"/>
  <c r="I31" i="27"/>
  <c r="J31" i="27"/>
  <c r="BV27" i="27"/>
  <c r="BW27" i="27"/>
  <c r="I27" i="27"/>
  <c r="J27" i="27"/>
  <c r="BV23" i="27"/>
  <c r="BW23" i="27"/>
  <c r="I23" i="27"/>
  <c r="J23" i="27"/>
  <c r="BV19" i="27"/>
  <c r="BW19" i="27"/>
  <c r="I19" i="27"/>
  <c r="J19" i="27"/>
  <c r="BV15" i="27"/>
  <c r="BW15" i="27"/>
  <c r="I15" i="27"/>
  <c r="J15" i="27"/>
  <c r="BW11" i="27"/>
  <c r="BV11" i="27"/>
  <c r="J11" i="27"/>
  <c r="I11" i="27"/>
  <c r="BV7" i="27"/>
  <c r="BW7" i="27"/>
  <c r="I7" i="27"/>
  <c r="J7" i="27"/>
  <c r="BW138" i="27"/>
  <c r="J138" i="27"/>
  <c r="BV138" i="27"/>
  <c r="I138" i="27"/>
  <c r="BW134" i="27"/>
  <c r="J134" i="27"/>
  <c r="BV134" i="27"/>
  <c r="I134" i="27"/>
  <c r="DU130" i="27"/>
  <c r="BH130" i="27"/>
  <c r="BW126" i="27"/>
  <c r="I126" i="27"/>
  <c r="J126" i="27"/>
  <c r="BV126" i="27"/>
  <c r="BW122" i="27"/>
  <c r="I122" i="27"/>
  <c r="J122" i="27"/>
  <c r="BV122" i="27"/>
  <c r="BW118" i="27"/>
  <c r="I118" i="27"/>
  <c r="J118" i="27"/>
  <c r="BV118" i="27"/>
  <c r="BV114" i="27"/>
  <c r="I114" i="27"/>
  <c r="BW114" i="27"/>
  <c r="J114" i="27"/>
  <c r="BW110" i="27"/>
  <c r="BV110" i="27"/>
  <c r="I110" i="27"/>
  <c r="J110" i="27"/>
  <c r="BW106" i="27"/>
  <c r="I106" i="27"/>
  <c r="J106" i="27"/>
  <c r="BV106" i="27"/>
  <c r="BW102" i="27"/>
  <c r="BV102" i="27"/>
  <c r="I102" i="27"/>
  <c r="J102" i="27"/>
  <c r="BV98" i="27"/>
  <c r="BW98" i="27"/>
  <c r="I98" i="27"/>
  <c r="J98" i="27"/>
  <c r="DU94" i="27"/>
  <c r="BH94" i="27"/>
  <c r="BV90" i="27"/>
  <c r="BW90" i="27"/>
  <c r="J90" i="27"/>
  <c r="I90" i="27"/>
  <c r="BV86" i="27"/>
  <c r="BW86" i="27"/>
  <c r="J86" i="27"/>
  <c r="I86" i="27"/>
  <c r="BV82" i="27"/>
  <c r="BW82" i="27"/>
  <c r="J82" i="27"/>
  <c r="I82" i="27"/>
  <c r="BW78" i="27"/>
  <c r="BV78" i="27"/>
  <c r="J78" i="27"/>
  <c r="I78" i="27"/>
  <c r="DU74" i="27"/>
  <c r="BH74" i="27"/>
  <c r="BV70" i="27"/>
  <c r="BW70" i="27"/>
  <c r="J70" i="27"/>
  <c r="I70" i="27"/>
  <c r="BV66" i="27"/>
  <c r="BW66" i="27"/>
  <c r="J66" i="27"/>
  <c r="I66" i="27"/>
  <c r="DU62" i="27"/>
  <c r="BH62" i="27"/>
  <c r="BV58" i="27"/>
  <c r="BW58" i="27"/>
  <c r="J58" i="27"/>
  <c r="I58" i="27"/>
  <c r="DU54" i="27"/>
  <c r="BH54" i="27"/>
  <c r="BV50" i="27"/>
  <c r="BW50" i="27"/>
  <c r="I50" i="27"/>
  <c r="J50" i="27"/>
  <c r="BV46" i="27"/>
  <c r="BW46" i="27"/>
  <c r="I46" i="27"/>
  <c r="J46" i="27"/>
  <c r="BV42" i="27"/>
  <c r="BW42" i="27"/>
  <c r="J42" i="27"/>
  <c r="I42" i="27"/>
  <c r="BV38" i="27"/>
  <c r="BW38" i="27"/>
  <c r="J38" i="27"/>
  <c r="I38" i="27"/>
  <c r="BV34" i="27"/>
  <c r="BW34" i="27"/>
  <c r="J34" i="27"/>
  <c r="I34" i="27"/>
  <c r="BV30" i="27"/>
  <c r="BW30" i="27"/>
  <c r="J30" i="27"/>
  <c r="I30" i="27"/>
  <c r="BV26" i="27"/>
  <c r="BW26" i="27"/>
  <c r="J26" i="27"/>
  <c r="I26" i="27"/>
  <c r="BV22" i="27"/>
  <c r="BW22" i="27"/>
  <c r="J22" i="27"/>
  <c r="I22" i="27"/>
  <c r="BV18" i="27"/>
  <c r="BW18" i="27"/>
  <c r="J18" i="27"/>
  <c r="I18" i="27"/>
  <c r="BV14" i="27"/>
  <c r="BW14" i="27"/>
  <c r="J14" i="27"/>
  <c r="I14" i="27"/>
  <c r="DU10" i="27"/>
  <c r="BH10" i="27"/>
  <c r="X102" i="12"/>
  <c r="M102" i="12"/>
  <c r="Y102" i="12"/>
  <c r="W102" i="12"/>
  <c r="L102" i="12"/>
  <c r="Y10" i="12"/>
  <c r="W10" i="12"/>
  <c r="L10" i="12"/>
  <c r="X10" i="12"/>
  <c r="M10" i="12"/>
  <c r="X101" i="12"/>
  <c r="M101" i="12"/>
  <c r="Y101" i="12"/>
  <c r="W101" i="12"/>
  <c r="L101" i="12"/>
  <c r="Y89" i="12"/>
  <c r="W89" i="12"/>
  <c r="L89" i="12"/>
  <c r="X89" i="12"/>
  <c r="M89" i="12"/>
  <c r="X77" i="12"/>
  <c r="M77" i="12"/>
  <c r="Y77" i="12"/>
  <c r="W77" i="12"/>
  <c r="L77" i="12"/>
  <c r="X49" i="12"/>
  <c r="M49" i="12"/>
  <c r="Y49" i="12"/>
  <c r="W49" i="12"/>
  <c r="L49" i="12"/>
  <c r="W79" i="12"/>
  <c r="L79" i="12"/>
  <c r="X79" i="12"/>
  <c r="M79" i="12"/>
  <c r="Y79" i="12"/>
  <c r="Y63" i="12"/>
  <c r="W63" i="12"/>
  <c r="L63" i="12"/>
  <c r="X63" i="12"/>
  <c r="M63" i="12"/>
  <c r="Y43" i="12"/>
  <c r="W43" i="12"/>
  <c r="L43" i="12"/>
  <c r="X43" i="12"/>
  <c r="M43" i="12"/>
  <c r="W94" i="12"/>
  <c r="L94" i="12"/>
  <c r="X94" i="12"/>
  <c r="M94" i="12"/>
  <c r="Y94" i="12"/>
  <c r="X50" i="12"/>
  <c r="M50" i="12"/>
  <c r="Y50" i="12"/>
  <c r="W50" i="12"/>
  <c r="L50" i="12"/>
  <c r="W128" i="12"/>
  <c r="X128" i="12"/>
  <c r="Y128" i="12"/>
  <c r="L128" i="12"/>
  <c r="M128" i="12"/>
  <c r="W92" i="12"/>
  <c r="L92" i="12"/>
  <c r="X92" i="12"/>
  <c r="M92" i="12"/>
  <c r="Y92" i="12"/>
  <c r="W60" i="12"/>
  <c r="L60" i="12"/>
  <c r="X60" i="12"/>
  <c r="M60" i="12"/>
  <c r="Y60" i="12"/>
  <c r="W52" i="12"/>
  <c r="L52" i="12"/>
  <c r="X52" i="12"/>
  <c r="M52" i="12"/>
  <c r="Y52" i="12"/>
  <c r="W8" i="12"/>
  <c r="L8" i="12"/>
  <c r="X8" i="12"/>
  <c r="M8" i="12"/>
  <c r="Y8" i="12"/>
  <c r="X52" i="31"/>
  <c r="Z52" i="31"/>
  <c r="AA52" i="31" s="1"/>
  <c r="Z52" i="12"/>
  <c r="Z52" i="30"/>
  <c r="W52" i="31"/>
  <c r="M52" i="31"/>
  <c r="L52" i="31"/>
  <c r="Y52" i="31"/>
  <c r="M43" i="31"/>
  <c r="Y43" i="31"/>
  <c r="W43" i="31"/>
  <c r="L43" i="31"/>
  <c r="X43" i="31"/>
  <c r="Z43" i="31"/>
  <c r="AA43" i="31" s="1"/>
  <c r="Z43" i="12"/>
  <c r="Z43" i="30"/>
  <c r="X10" i="31"/>
  <c r="M10" i="31"/>
  <c r="Y10" i="31"/>
  <c r="Z10" i="31"/>
  <c r="AA10" i="31" s="1"/>
  <c r="Z10" i="12"/>
  <c r="Z10" i="30"/>
  <c r="W10" i="31"/>
  <c r="L10" i="31"/>
  <c r="Z92" i="31"/>
  <c r="AA92" i="31" s="1"/>
  <c r="W92" i="31"/>
  <c r="L92" i="31"/>
  <c r="X92" i="31"/>
  <c r="M92" i="31"/>
  <c r="Y92" i="31"/>
  <c r="Z92" i="12"/>
  <c r="Z92" i="30"/>
  <c r="Z50" i="31"/>
  <c r="AA50" i="31" s="1"/>
  <c r="W50" i="31"/>
  <c r="L50" i="31"/>
  <c r="Z50" i="12"/>
  <c r="Z50" i="30"/>
  <c r="X50" i="31"/>
  <c r="M50" i="31"/>
  <c r="Y50" i="31"/>
  <c r="W89" i="31"/>
  <c r="L89" i="31"/>
  <c r="Y89" i="31"/>
  <c r="X89" i="31"/>
  <c r="M89" i="31"/>
  <c r="Z89" i="31"/>
  <c r="AA89" i="31" s="1"/>
  <c r="Z89" i="12"/>
  <c r="Z89" i="30"/>
  <c r="Z49" i="31"/>
  <c r="AA49" i="31" s="1"/>
  <c r="W49" i="31"/>
  <c r="L49" i="31"/>
  <c r="X49" i="31"/>
  <c r="M49" i="31"/>
  <c r="Z49" i="12"/>
  <c r="Y49" i="31"/>
  <c r="Z49" i="30"/>
  <c r="W128" i="31"/>
  <c r="L128" i="31"/>
  <c r="Z128" i="31"/>
  <c r="AA128" i="31" s="1"/>
  <c r="Z128" i="12"/>
  <c r="X128" i="31"/>
  <c r="M128" i="31"/>
  <c r="Y128" i="31"/>
  <c r="Z128" i="30"/>
  <c r="Z8" i="30"/>
  <c r="Z8" i="31"/>
  <c r="AA8" i="31" s="1"/>
  <c r="L8" i="31"/>
  <c r="Z8" i="12"/>
  <c r="W8" i="31"/>
  <c r="X8" i="31"/>
  <c r="M8" i="31"/>
  <c r="Y8" i="31"/>
  <c r="X79" i="31"/>
  <c r="M79" i="31"/>
  <c r="Y79" i="31"/>
  <c r="Z79" i="31"/>
  <c r="AA79" i="31" s="1"/>
  <c r="Z79" i="12"/>
  <c r="Z79" i="30"/>
  <c r="W79" i="31"/>
  <c r="L79" i="31"/>
  <c r="W63" i="31"/>
  <c r="L63" i="31"/>
  <c r="Y63" i="31"/>
  <c r="Z63" i="12"/>
  <c r="Z63" i="30"/>
  <c r="X63" i="31"/>
  <c r="M63" i="31"/>
  <c r="Z63" i="31"/>
  <c r="Y60" i="31"/>
  <c r="Z60" i="31"/>
  <c r="AA60" i="31" s="1"/>
  <c r="Z60" i="12"/>
  <c r="Z60" i="30"/>
  <c r="W60" i="31"/>
  <c r="L60" i="31"/>
  <c r="X60" i="31"/>
  <c r="M60" i="31"/>
  <c r="Y102" i="31"/>
  <c r="Z102" i="31"/>
  <c r="Z102" i="12"/>
  <c r="Z102" i="30"/>
  <c r="W102" i="31"/>
  <c r="L102" i="31"/>
  <c r="M102" i="31"/>
  <c r="X102" i="31"/>
  <c r="Z94" i="31"/>
  <c r="AA94" i="31" s="1"/>
  <c r="W94" i="31"/>
  <c r="L94" i="31"/>
  <c r="Z94" i="12"/>
  <c r="Z94" i="30"/>
  <c r="X94" i="31"/>
  <c r="M94" i="31"/>
  <c r="Y94" i="31"/>
  <c r="Z101" i="31"/>
  <c r="AA101" i="31" s="1"/>
  <c r="Z101" i="12"/>
  <c r="Z101" i="30"/>
  <c r="W101" i="31"/>
  <c r="L101" i="31"/>
  <c r="M101" i="31"/>
  <c r="X101" i="31"/>
  <c r="Y101" i="31"/>
  <c r="L77" i="31"/>
  <c r="Z77" i="30"/>
  <c r="Z77" i="31"/>
  <c r="AA77" i="31" s="1"/>
  <c r="Z77" i="12"/>
  <c r="W77" i="31"/>
  <c r="X77" i="31"/>
  <c r="M77" i="31"/>
  <c r="Y77" i="31"/>
  <c r="AA52" i="12" l="1"/>
  <c r="AA49" i="12"/>
  <c r="AA92" i="12"/>
  <c r="AA43" i="12"/>
  <c r="AA50" i="12"/>
  <c r="AA94" i="12"/>
  <c r="AA89" i="12"/>
  <c r="AA10" i="12"/>
  <c r="AA79" i="12"/>
  <c r="AA8" i="12"/>
  <c r="AA77" i="12"/>
  <c r="AA60" i="12"/>
  <c r="AA49" i="30"/>
  <c r="AA128" i="30"/>
  <c r="AA92" i="30"/>
  <c r="AA60" i="30"/>
  <c r="AA43" i="30"/>
  <c r="AA89" i="30"/>
  <c r="AA52" i="30"/>
  <c r="AA10" i="30"/>
  <c r="AA101" i="30"/>
  <c r="AA79" i="30"/>
  <c r="AA50" i="30"/>
  <c r="AA8" i="30"/>
  <c r="AA94" i="30"/>
  <c r="AA77" i="30"/>
  <c r="F1" i="27" l="1"/>
  <c r="BK4" i="27" l="1"/>
  <c r="BV6" i="27"/>
  <c r="BW6" i="27"/>
  <c r="J6" i="27"/>
  <c r="I6" i="27"/>
  <c r="AA101" i="12" l="1"/>
  <c r="AA128" i="12"/>
  <c r="D9" i="13" l="1"/>
  <c r="C9" i="13"/>
  <c r="E12" i="13"/>
  <c r="E9" i="13" s="1"/>
  <c r="S42" i="12"/>
  <c r="S51" i="12"/>
  <c r="S58" i="12"/>
  <c r="S64" i="12"/>
  <c r="S71" i="12"/>
  <c r="S78" i="12"/>
  <c r="S93" i="12"/>
  <c r="S98" i="12"/>
  <c r="S106" i="12"/>
  <c r="S112" i="12"/>
  <c r="H42" i="12"/>
  <c r="H51" i="12"/>
  <c r="H58" i="12"/>
  <c r="H64" i="12"/>
  <c r="H71" i="12"/>
  <c r="H78" i="12"/>
  <c r="H93" i="12"/>
  <c r="H98" i="12"/>
  <c r="H106" i="12"/>
  <c r="H112" i="12"/>
  <c r="F12" i="13" l="1"/>
  <c r="F9" i="13" l="1"/>
  <c r="G12" i="13"/>
  <c r="F2" i="27"/>
  <c r="BI10" i="27" l="1"/>
  <c r="BM10" i="27" s="1"/>
  <c r="BI26" i="27"/>
  <c r="BM26" i="27" s="1"/>
  <c r="BI42" i="27"/>
  <c r="BM42" i="27" s="1"/>
  <c r="BI58" i="27"/>
  <c r="BM58" i="27" s="1"/>
  <c r="BI74" i="27"/>
  <c r="BM74" i="27" s="1"/>
  <c r="BI90" i="27"/>
  <c r="BM90" i="27" s="1"/>
  <c r="BI106" i="27"/>
  <c r="BM106" i="27" s="1"/>
  <c r="BI122" i="27"/>
  <c r="BM122" i="27" s="1"/>
  <c r="BI138" i="27"/>
  <c r="BM138" i="27" s="1"/>
  <c r="BI83" i="27"/>
  <c r="BM83" i="27" s="1"/>
  <c r="BI107" i="27"/>
  <c r="BM107" i="27" s="1"/>
  <c r="BI123" i="27"/>
  <c r="BM123" i="27" s="1"/>
  <c r="BI7" i="27"/>
  <c r="BM7" i="27" s="1"/>
  <c r="BI23" i="27"/>
  <c r="BM23" i="27" s="1"/>
  <c r="BI39" i="27"/>
  <c r="BM39" i="27" s="1"/>
  <c r="BI55" i="27"/>
  <c r="BM55" i="27" s="1"/>
  <c r="BI87" i="27"/>
  <c r="BM87" i="27" s="1"/>
  <c r="BI12" i="27"/>
  <c r="BM12" i="27" s="1"/>
  <c r="BI28" i="27"/>
  <c r="BM28" i="27" s="1"/>
  <c r="BI44" i="27"/>
  <c r="BM44" i="27" s="1"/>
  <c r="BI60" i="27"/>
  <c r="BM60" i="27" s="1"/>
  <c r="BI76" i="27"/>
  <c r="BM76" i="27" s="1"/>
  <c r="BI92" i="27"/>
  <c r="BM92" i="27" s="1"/>
  <c r="BI108" i="27"/>
  <c r="BM108" i="27" s="1"/>
  <c r="BI124" i="27"/>
  <c r="BM124" i="27" s="1"/>
  <c r="BI6" i="27"/>
  <c r="BM6" i="27" s="1"/>
  <c r="BI65" i="27"/>
  <c r="BM65" i="27" s="1"/>
  <c r="BI129" i="27"/>
  <c r="BM129" i="27" s="1"/>
  <c r="BI101" i="27"/>
  <c r="BM101" i="27" s="1"/>
  <c r="BI45" i="27"/>
  <c r="BM45" i="27" s="1"/>
  <c r="BI109" i="27"/>
  <c r="BM109" i="27" s="1"/>
  <c r="BI57" i="27"/>
  <c r="BM57" i="27" s="1"/>
  <c r="BI121" i="27"/>
  <c r="BM121" i="27" s="1"/>
  <c r="BI77" i="27"/>
  <c r="BM77" i="27" s="1"/>
  <c r="BI131" i="27"/>
  <c r="BM131" i="27" s="1"/>
  <c r="BI27" i="27"/>
  <c r="BM27" i="27" s="1"/>
  <c r="BI43" i="27"/>
  <c r="BM43" i="27" s="1"/>
  <c r="BI103" i="27"/>
  <c r="BM103" i="27" s="1"/>
  <c r="BI16" i="27"/>
  <c r="BM16" i="27" s="1"/>
  <c r="BI32" i="27"/>
  <c r="BM32" i="27" s="1"/>
  <c r="BI64" i="27"/>
  <c r="BM64" i="27" s="1"/>
  <c r="BI80" i="27"/>
  <c r="BM80" i="27" s="1"/>
  <c r="BI96" i="27"/>
  <c r="BM96" i="27" s="1"/>
  <c r="BI128" i="27"/>
  <c r="BM128" i="27" s="1"/>
  <c r="BI17" i="27"/>
  <c r="BM17" i="27" s="1"/>
  <c r="BI81" i="27"/>
  <c r="BM81" i="27" s="1"/>
  <c r="BI117" i="27"/>
  <c r="BM117" i="27" s="1"/>
  <c r="BI93" i="27"/>
  <c r="BM93" i="27" s="1"/>
  <c r="BI73" i="27"/>
  <c r="BM73" i="27" s="1"/>
  <c r="BI125" i="27"/>
  <c r="BM125" i="27" s="1"/>
  <c r="BI102" i="27"/>
  <c r="BM102" i="27" s="1"/>
  <c r="BI134" i="27"/>
  <c r="BM134" i="27" s="1"/>
  <c r="BI119" i="27"/>
  <c r="BM119" i="27" s="1"/>
  <c r="BI19" i="27"/>
  <c r="BM19" i="27" s="1"/>
  <c r="BI51" i="27"/>
  <c r="BM51" i="27" s="1"/>
  <c r="BI75" i="27"/>
  <c r="BM75" i="27" s="1"/>
  <c r="BI24" i="27"/>
  <c r="BM24" i="27" s="1"/>
  <c r="BI72" i="27"/>
  <c r="BM72" i="27" s="1"/>
  <c r="BI104" i="27"/>
  <c r="BM104" i="27" s="1"/>
  <c r="BI49" i="27"/>
  <c r="BM49" i="27" s="1"/>
  <c r="BI113" i="27"/>
  <c r="BM113" i="27" s="1"/>
  <c r="BI69" i="27"/>
  <c r="BM69" i="27" s="1"/>
  <c r="BI105" i="27"/>
  <c r="BM105" i="27" s="1"/>
  <c r="BI14" i="27"/>
  <c r="BM14" i="27" s="1"/>
  <c r="BI30" i="27"/>
  <c r="BM30" i="27" s="1"/>
  <c r="BI46" i="27"/>
  <c r="BM46" i="27" s="1"/>
  <c r="BI62" i="27"/>
  <c r="BM62" i="27" s="1"/>
  <c r="BI78" i="27"/>
  <c r="BM78" i="27" s="1"/>
  <c r="BI94" i="27"/>
  <c r="BM94" i="27" s="1"/>
  <c r="BI110" i="27"/>
  <c r="BM110" i="27" s="1"/>
  <c r="BI126" i="27"/>
  <c r="BM126" i="27" s="1"/>
  <c r="BI59" i="27"/>
  <c r="BM59" i="27" s="1"/>
  <c r="BI91" i="27"/>
  <c r="BM91" i="27" s="1"/>
  <c r="BI111" i="27"/>
  <c r="BM111" i="27" s="1"/>
  <c r="BI11" i="27"/>
  <c r="BM11" i="27" s="1"/>
  <c r="BI63" i="27"/>
  <c r="BM63" i="27" s="1"/>
  <c r="BI48" i="27"/>
  <c r="BM48" i="27" s="1"/>
  <c r="BI112" i="27"/>
  <c r="BM112" i="27" s="1"/>
  <c r="BI37" i="27"/>
  <c r="BM37" i="27" s="1"/>
  <c r="BI9" i="27"/>
  <c r="BM9" i="27" s="1"/>
  <c r="BI137" i="27"/>
  <c r="BM137" i="27" s="1"/>
  <c r="BI79" i="27"/>
  <c r="BM79" i="27" s="1"/>
  <c r="BI35" i="27"/>
  <c r="BM35" i="27" s="1"/>
  <c r="BI40" i="27"/>
  <c r="BM40" i="27" s="1"/>
  <c r="BI120" i="27"/>
  <c r="BM120" i="27" s="1"/>
  <c r="BI29" i="27"/>
  <c r="BM29" i="27" s="1"/>
  <c r="BI61" i="27"/>
  <c r="BM61" i="27" s="1"/>
  <c r="BI18" i="27"/>
  <c r="BM18" i="27" s="1"/>
  <c r="BI34" i="27"/>
  <c r="BM34" i="27" s="1"/>
  <c r="BI50" i="27"/>
  <c r="BM50" i="27" s="1"/>
  <c r="BI66" i="27"/>
  <c r="BM66" i="27" s="1"/>
  <c r="BI82" i="27"/>
  <c r="BM82" i="27" s="1"/>
  <c r="BI98" i="27"/>
  <c r="BM98" i="27" s="1"/>
  <c r="BI114" i="27"/>
  <c r="BM114" i="27" s="1"/>
  <c r="BI130" i="27"/>
  <c r="BM130" i="27" s="1"/>
  <c r="BI71" i="27"/>
  <c r="BM71" i="27" s="1"/>
  <c r="BI95" i="27"/>
  <c r="BM95" i="27" s="1"/>
  <c r="BI115" i="27"/>
  <c r="BM115" i="27" s="1"/>
  <c r="BI135" i="27"/>
  <c r="BM135" i="27" s="1"/>
  <c r="BI15" i="27"/>
  <c r="BM15" i="27" s="1"/>
  <c r="BI31" i="27"/>
  <c r="BM31" i="27" s="1"/>
  <c r="BI47" i="27"/>
  <c r="BM47" i="27" s="1"/>
  <c r="BI67" i="27"/>
  <c r="BM67" i="27" s="1"/>
  <c r="BI127" i="27"/>
  <c r="BM127" i="27" s="1"/>
  <c r="BI20" i="27"/>
  <c r="BM20" i="27" s="1"/>
  <c r="BI36" i="27"/>
  <c r="BM36" i="27" s="1"/>
  <c r="BI52" i="27"/>
  <c r="BM52" i="27" s="1"/>
  <c r="BI68" i="27"/>
  <c r="BM68" i="27" s="1"/>
  <c r="BI84" i="27"/>
  <c r="BM84" i="27" s="1"/>
  <c r="BI100" i="27"/>
  <c r="BM100" i="27" s="1"/>
  <c r="BI116" i="27"/>
  <c r="BM116" i="27" s="1"/>
  <c r="BI132" i="27"/>
  <c r="BM132" i="27" s="1"/>
  <c r="BI33" i="27"/>
  <c r="BM33" i="27" s="1"/>
  <c r="BI97" i="27"/>
  <c r="BM97" i="27" s="1"/>
  <c r="BI53" i="27"/>
  <c r="BM53" i="27" s="1"/>
  <c r="BI133" i="27"/>
  <c r="BM133" i="27" s="1"/>
  <c r="BI21" i="27"/>
  <c r="BM21" i="27" s="1"/>
  <c r="BI25" i="27"/>
  <c r="BM25" i="27" s="1"/>
  <c r="BI89" i="27"/>
  <c r="BM89" i="27" s="1"/>
  <c r="BI13" i="27"/>
  <c r="BM13" i="27" s="1"/>
  <c r="BI22" i="27"/>
  <c r="BM22" i="27" s="1"/>
  <c r="BI38" i="27"/>
  <c r="BM38" i="27" s="1"/>
  <c r="BI54" i="27"/>
  <c r="BM54" i="27" s="1"/>
  <c r="BI70" i="27"/>
  <c r="BM70" i="27" s="1"/>
  <c r="BI86" i="27"/>
  <c r="BM86" i="27" s="1"/>
  <c r="BI118" i="27"/>
  <c r="BM118" i="27" s="1"/>
  <c r="BI99" i="27"/>
  <c r="BM99" i="27" s="1"/>
  <c r="BI139" i="27"/>
  <c r="BM139" i="27" s="1"/>
  <c r="BI8" i="27"/>
  <c r="BM8" i="27" s="1"/>
  <c r="BI56" i="27"/>
  <c r="BM56" i="27" s="1"/>
  <c r="BI88" i="27"/>
  <c r="BM88" i="27" s="1"/>
  <c r="BI136" i="27"/>
  <c r="BM136" i="27" s="1"/>
  <c r="BI85" i="27"/>
  <c r="BM85" i="27" s="1"/>
  <c r="BI41" i="27"/>
  <c r="BM41" i="27" s="1"/>
  <c r="BK8" i="27"/>
  <c r="BK9" i="27"/>
  <c r="BP9" i="27" s="1"/>
  <c r="BK11" i="27"/>
  <c r="BK17" i="27"/>
  <c r="BK22" i="27"/>
  <c r="BK26" i="27"/>
  <c r="BK29" i="27"/>
  <c r="BK30" i="27"/>
  <c r="BK36" i="27"/>
  <c r="BK37" i="27"/>
  <c r="BK45" i="27"/>
  <c r="BK15" i="27"/>
  <c r="BK18" i="27"/>
  <c r="BK21" i="27"/>
  <c r="BK23" i="27"/>
  <c r="BK28" i="27"/>
  <c r="BK31" i="27"/>
  <c r="BK33" i="27"/>
  <c r="BK34" i="27"/>
  <c r="BK44" i="27"/>
  <c r="BK47" i="27"/>
  <c r="BK51" i="27"/>
  <c r="BK52" i="27"/>
  <c r="BK53" i="27"/>
  <c r="BK10" i="27"/>
  <c r="BK14" i="27"/>
  <c r="BK19" i="27"/>
  <c r="BK24" i="27"/>
  <c r="BK39" i="27"/>
  <c r="BK40" i="27"/>
  <c r="BK41" i="27"/>
  <c r="BK42" i="27"/>
  <c r="BK46" i="27"/>
  <c r="BK12" i="27"/>
  <c r="BK20" i="27"/>
  <c r="BK25" i="27"/>
  <c r="BK38" i="27"/>
  <c r="BK43" i="27"/>
  <c r="BK48" i="27"/>
  <c r="BK56" i="27"/>
  <c r="BP56" i="27" s="1"/>
  <c r="BK59" i="27"/>
  <c r="BK60" i="27"/>
  <c r="BK62" i="27"/>
  <c r="BK63" i="27"/>
  <c r="BK66" i="27"/>
  <c r="BP66" i="27" s="1"/>
  <c r="BK69" i="27"/>
  <c r="BK77" i="27"/>
  <c r="BK82" i="27"/>
  <c r="BK86" i="27"/>
  <c r="BK7" i="27"/>
  <c r="BK55" i="27"/>
  <c r="BK57" i="27"/>
  <c r="BK64" i="27"/>
  <c r="BK65" i="27"/>
  <c r="BK68" i="27"/>
  <c r="BK71" i="27"/>
  <c r="BK74" i="27"/>
  <c r="BK76" i="27"/>
  <c r="BK81" i="27"/>
  <c r="BK85" i="27"/>
  <c r="BK27" i="27"/>
  <c r="BK50" i="27"/>
  <c r="BK54" i="27"/>
  <c r="BP54" i="27" s="1"/>
  <c r="BK58" i="27"/>
  <c r="BK61" i="27"/>
  <c r="BK67" i="27"/>
  <c r="BK70" i="27"/>
  <c r="BK84" i="27"/>
  <c r="BK87" i="27"/>
  <c r="BK13" i="27"/>
  <c r="BK32" i="27"/>
  <c r="BK73" i="27"/>
  <c r="BK80" i="27"/>
  <c r="BK91" i="27"/>
  <c r="BK94" i="27"/>
  <c r="BK97" i="27"/>
  <c r="BK100" i="27"/>
  <c r="BK101" i="27"/>
  <c r="BK103" i="27"/>
  <c r="BK104" i="27"/>
  <c r="BK106" i="27"/>
  <c r="BK108" i="27"/>
  <c r="BP108" i="27" s="1"/>
  <c r="BK114" i="27"/>
  <c r="BK135" i="27"/>
  <c r="BK138" i="27"/>
  <c r="BK134" i="27"/>
  <c r="BK16" i="27"/>
  <c r="BK79" i="27"/>
  <c r="BK89" i="27"/>
  <c r="BK93" i="27"/>
  <c r="BP93" i="27" s="1"/>
  <c r="BK95" i="27"/>
  <c r="BK98" i="27"/>
  <c r="BK121" i="27"/>
  <c r="BK122" i="27"/>
  <c r="BK123" i="27"/>
  <c r="BK124" i="27"/>
  <c r="BK125" i="27"/>
  <c r="BK126" i="27"/>
  <c r="BK127" i="27"/>
  <c r="BK129" i="27"/>
  <c r="BK130" i="27"/>
  <c r="BK133" i="27"/>
  <c r="BK136" i="27"/>
  <c r="BK139" i="27"/>
  <c r="BK72" i="27"/>
  <c r="BK75" i="27"/>
  <c r="BK83" i="27"/>
  <c r="BK99" i="27"/>
  <c r="BK105" i="27"/>
  <c r="BK107" i="27"/>
  <c r="BK120" i="27"/>
  <c r="BK131" i="27"/>
  <c r="BK132" i="27"/>
  <c r="BK78" i="27"/>
  <c r="BK90" i="27"/>
  <c r="BK110" i="27"/>
  <c r="BK115" i="27"/>
  <c r="BK119" i="27"/>
  <c r="BK35" i="27"/>
  <c r="BK92" i="27"/>
  <c r="BK96" i="27"/>
  <c r="BK109" i="27"/>
  <c r="BK113" i="27"/>
  <c r="BK118" i="27"/>
  <c r="BK128" i="27"/>
  <c r="BK49" i="27"/>
  <c r="BK88" i="27"/>
  <c r="BK112" i="27"/>
  <c r="BK117" i="27"/>
  <c r="BK102" i="27"/>
  <c r="BK111" i="27"/>
  <c r="BK116" i="27"/>
  <c r="BK137" i="27"/>
  <c r="H12" i="13"/>
  <c r="G9" i="13"/>
  <c r="BK6" i="27"/>
  <c r="BI4" i="27"/>
  <c r="BJ4" i="27"/>
  <c r="BL4" i="27"/>
  <c r="BM4" i="27"/>
  <c r="BQ4" i="27"/>
  <c r="BP86" i="27" l="1"/>
  <c r="BP45" i="27"/>
  <c r="BP11" i="27"/>
  <c r="BP104" i="27"/>
  <c r="BP55" i="27"/>
  <c r="BP82" i="27"/>
  <c r="BP107" i="27"/>
  <c r="BP77" i="27"/>
  <c r="BP62" i="27"/>
  <c r="BP52" i="27"/>
  <c r="BP101" i="27"/>
  <c r="BP91" i="27"/>
  <c r="BP87" i="27"/>
  <c r="BP90" i="27"/>
  <c r="BP70" i="27"/>
  <c r="BP64" i="27"/>
  <c r="BP80" i="27"/>
  <c r="BP74" i="27"/>
  <c r="BP46" i="27"/>
  <c r="BP51" i="27"/>
  <c r="BP118" i="27"/>
  <c r="BP100" i="27"/>
  <c r="BP16" i="27"/>
  <c r="BP61" i="27"/>
  <c r="BP68" i="27"/>
  <c r="BP57" i="27"/>
  <c r="BP69" i="27"/>
  <c r="BP83" i="27"/>
  <c r="BP67" i="27"/>
  <c r="BP81" i="27"/>
  <c r="BP50" i="27"/>
  <c r="BP88" i="27"/>
  <c r="BP126" i="27"/>
  <c r="BP122" i="27"/>
  <c r="BP85" i="27"/>
  <c r="BP71" i="27"/>
  <c r="BP49" i="27"/>
  <c r="BP39" i="27"/>
  <c r="BP32" i="27"/>
  <c r="BP115" i="27"/>
  <c r="BP78" i="27"/>
  <c r="BP137" i="27"/>
  <c r="BP117" i="27"/>
  <c r="BP35" i="27"/>
  <c r="BP110" i="27"/>
  <c r="BP99" i="27"/>
  <c r="BP125" i="27"/>
  <c r="BP121" i="27"/>
  <c r="BP73" i="27"/>
  <c r="BP65" i="27"/>
  <c r="BP7" i="27"/>
  <c r="BP43" i="27"/>
  <c r="BP12" i="27"/>
  <c r="BP42" i="27"/>
  <c r="BP44" i="27"/>
  <c r="BP33" i="27"/>
  <c r="BP28" i="27"/>
  <c r="BP23" i="27"/>
  <c r="BP18" i="27"/>
  <c r="BP37" i="27"/>
  <c r="BP111" i="27"/>
  <c r="BP30" i="27"/>
  <c r="BP112" i="27"/>
  <c r="BP94" i="27"/>
  <c r="BP75" i="27"/>
  <c r="BP133" i="27"/>
  <c r="BP95" i="27"/>
  <c r="BP84" i="27"/>
  <c r="BP58" i="27"/>
  <c r="BP134" i="27"/>
  <c r="BP27" i="27"/>
  <c r="BP60" i="27"/>
  <c r="BP25" i="27"/>
  <c r="BP41" i="27"/>
  <c r="BP24" i="27"/>
  <c r="BP19" i="27"/>
  <c r="BP10" i="27"/>
  <c r="BP31" i="27"/>
  <c r="BP36" i="27"/>
  <c r="BP8" i="27"/>
  <c r="BP139" i="27"/>
  <c r="BP98" i="27"/>
  <c r="BP89" i="27"/>
  <c r="BP138" i="27"/>
  <c r="BP114" i="27"/>
  <c r="BP63" i="27"/>
  <c r="BP34" i="27"/>
  <c r="BP26" i="27"/>
  <c r="BP113" i="27"/>
  <c r="BP116" i="27"/>
  <c r="BP128" i="27"/>
  <c r="BP92" i="27"/>
  <c r="BP119" i="27"/>
  <c r="BP132" i="27"/>
  <c r="BP120" i="27"/>
  <c r="BP105" i="27"/>
  <c r="BP72" i="27"/>
  <c r="BP136" i="27"/>
  <c r="BP127" i="27"/>
  <c r="BP123" i="27"/>
  <c r="BP79" i="27"/>
  <c r="BP135" i="27"/>
  <c r="BP106" i="27"/>
  <c r="BP13" i="27"/>
  <c r="BP76" i="27"/>
  <c r="BP59" i="27"/>
  <c r="BP48" i="27"/>
  <c r="BP38" i="27"/>
  <c r="BP20" i="27"/>
  <c r="BP53" i="27"/>
  <c r="BP40" i="27"/>
  <c r="BP14" i="27"/>
  <c r="BP47" i="27"/>
  <c r="BP21" i="27"/>
  <c r="BP15" i="27"/>
  <c r="BP22" i="27"/>
  <c r="BP17" i="27"/>
  <c r="I12" i="13"/>
  <c r="H9" i="13"/>
  <c r="BX6" i="27"/>
  <c r="V4" i="12" s="1"/>
  <c r="V5" i="12"/>
  <c r="V6" i="12"/>
  <c r="V7" i="12"/>
  <c r="V8" i="12"/>
  <c r="V9" i="12"/>
  <c r="V10" i="12"/>
  <c r="V11" i="12"/>
  <c r="V12" i="12"/>
  <c r="V13" i="12"/>
  <c r="V14" i="12"/>
  <c r="V15" i="12"/>
  <c r="V16" i="12"/>
  <c r="V17" i="12"/>
  <c r="V18" i="12"/>
  <c r="V19" i="12"/>
  <c r="V20" i="12"/>
  <c r="V21" i="12"/>
  <c r="V22" i="12"/>
  <c r="V23" i="12"/>
  <c r="V24" i="12"/>
  <c r="V25" i="12"/>
  <c r="V26" i="12"/>
  <c r="V27" i="12"/>
  <c r="V28" i="12"/>
  <c r="V29" i="12"/>
  <c r="V30" i="12"/>
  <c r="V31" i="12"/>
  <c r="V32" i="12"/>
  <c r="V33" i="12"/>
  <c r="V34" i="12"/>
  <c r="V35" i="12"/>
  <c r="V36" i="12"/>
  <c r="V37" i="12"/>
  <c r="V38" i="12"/>
  <c r="V39" i="12"/>
  <c r="V40" i="12"/>
  <c r="V41" i="12"/>
  <c r="V42" i="12"/>
  <c r="V43" i="12"/>
  <c r="V44" i="12"/>
  <c r="V45" i="12"/>
  <c r="V46" i="12"/>
  <c r="V47" i="12"/>
  <c r="V48" i="12"/>
  <c r="V49" i="12"/>
  <c r="V50" i="12"/>
  <c r="V51" i="12"/>
  <c r="V52" i="12"/>
  <c r="V53" i="12"/>
  <c r="V54" i="12"/>
  <c r="V55" i="12"/>
  <c r="V56" i="12"/>
  <c r="V57" i="12"/>
  <c r="V58" i="12"/>
  <c r="V59" i="12"/>
  <c r="V60" i="12"/>
  <c r="V61" i="12"/>
  <c r="V62" i="12"/>
  <c r="V63" i="12"/>
  <c r="V64" i="12"/>
  <c r="V65" i="12"/>
  <c r="V66" i="12"/>
  <c r="V67" i="12"/>
  <c r="V68" i="12"/>
  <c r="V69" i="12"/>
  <c r="V70" i="12"/>
  <c r="V71" i="12"/>
  <c r="V72" i="12"/>
  <c r="V73" i="12"/>
  <c r="V74" i="12"/>
  <c r="V75" i="12"/>
  <c r="V76" i="12"/>
  <c r="V77" i="12"/>
  <c r="V78" i="12"/>
  <c r="V79" i="12"/>
  <c r="V80" i="12"/>
  <c r="V81" i="12"/>
  <c r="V82" i="12"/>
  <c r="V83" i="12"/>
  <c r="V84" i="12"/>
  <c r="V85" i="12"/>
  <c r="V86" i="12"/>
  <c r="V87" i="12"/>
  <c r="V88" i="12"/>
  <c r="V89" i="12"/>
  <c r="V90" i="12"/>
  <c r="V91" i="12"/>
  <c r="V92" i="12"/>
  <c r="V93" i="12"/>
  <c r="V94" i="12"/>
  <c r="V95" i="12"/>
  <c r="V96" i="12"/>
  <c r="V97" i="12"/>
  <c r="V98" i="12"/>
  <c r="V99" i="12"/>
  <c r="V100" i="12"/>
  <c r="V101" i="12"/>
  <c r="V102" i="12"/>
  <c r="V103" i="12"/>
  <c r="V104" i="12"/>
  <c r="V105" i="12"/>
  <c r="V106" i="12"/>
  <c r="V107" i="12"/>
  <c r="V108" i="12"/>
  <c r="V109" i="12"/>
  <c r="V110" i="12"/>
  <c r="V111" i="12"/>
  <c r="V112" i="12"/>
  <c r="V113" i="12"/>
  <c r="V114" i="12"/>
  <c r="V115" i="12"/>
  <c r="V116" i="12"/>
  <c r="V117" i="12"/>
  <c r="V118" i="12"/>
  <c r="V119" i="12"/>
  <c r="V120" i="12"/>
  <c r="V121" i="12"/>
  <c r="V122" i="12"/>
  <c r="V123" i="12"/>
  <c r="V124" i="12"/>
  <c r="V125" i="12"/>
  <c r="V126" i="12"/>
  <c r="V127" i="12"/>
  <c r="V128" i="12"/>
  <c r="V129" i="12"/>
  <c r="V130" i="12"/>
  <c r="V131" i="12"/>
  <c r="V132" i="12"/>
  <c r="V133" i="12"/>
  <c r="V134" i="12"/>
  <c r="V135" i="12"/>
  <c r="V136" i="12"/>
  <c r="V129" i="31" l="1"/>
  <c r="V121" i="31"/>
  <c r="V113" i="31"/>
  <c r="V105" i="31"/>
  <c r="V97" i="31"/>
  <c r="V89" i="31"/>
  <c r="V81" i="31"/>
  <c r="V73" i="31"/>
  <c r="V65" i="31"/>
  <c r="V57" i="31"/>
  <c r="V49" i="31"/>
  <c r="V41" i="31"/>
  <c r="V33" i="31"/>
  <c r="V25" i="31"/>
  <c r="V17" i="31"/>
  <c r="V9" i="31"/>
  <c r="V128" i="31"/>
  <c r="V120" i="31"/>
  <c r="V112" i="31"/>
  <c r="V104" i="31"/>
  <c r="V96" i="31"/>
  <c r="V88" i="31"/>
  <c r="V80" i="31"/>
  <c r="V72" i="31"/>
  <c r="V64" i="31"/>
  <c r="V56" i="31"/>
  <c r="V48" i="31"/>
  <c r="V40" i="31"/>
  <c r="V32" i="31"/>
  <c r="V24" i="31"/>
  <c r="V16" i="31"/>
  <c r="V8" i="31"/>
  <c r="V127" i="31"/>
  <c r="V119" i="31"/>
  <c r="V111" i="31"/>
  <c r="V103" i="31"/>
  <c r="V95" i="31"/>
  <c r="V87" i="31"/>
  <c r="V79" i="31"/>
  <c r="V71" i="31"/>
  <c r="V63" i="31"/>
  <c r="V55" i="31"/>
  <c r="V47" i="31"/>
  <c r="V39" i="31"/>
  <c r="V31" i="31"/>
  <c r="V23" i="31"/>
  <c r="V15" i="31"/>
  <c r="V7" i="31"/>
  <c r="V135" i="31"/>
  <c r="V126" i="31"/>
  <c r="V118" i="31"/>
  <c r="V110" i="31"/>
  <c r="V102" i="31"/>
  <c r="V94" i="31"/>
  <c r="V86" i="31"/>
  <c r="V78" i="31"/>
  <c r="V70" i="31"/>
  <c r="V62" i="31"/>
  <c r="V54" i="31"/>
  <c r="V46" i="31"/>
  <c r="V38" i="31"/>
  <c r="V30" i="31"/>
  <c r="V22" i="31"/>
  <c r="V14" i="31"/>
  <c r="V6" i="31"/>
  <c r="V136" i="31"/>
  <c r="V125" i="31"/>
  <c r="V117" i="31"/>
  <c r="V109" i="31"/>
  <c r="V101" i="31"/>
  <c r="V93" i="31"/>
  <c r="V85" i="31"/>
  <c r="V77" i="31"/>
  <c r="V69" i="31"/>
  <c r="V61" i="31"/>
  <c r="V53" i="31"/>
  <c r="V45" i="31"/>
  <c r="V37" i="31"/>
  <c r="V29" i="31"/>
  <c r="V21" i="31"/>
  <c r="V13" i="31"/>
  <c r="V5" i="31"/>
  <c r="V134" i="31"/>
  <c r="V124" i="31"/>
  <c r="V116" i="31"/>
  <c r="V108" i="31"/>
  <c r="V100" i="31"/>
  <c r="V92" i="31"/>
  <c r="V84" i="31"/>
  <c r="V76" i="31"/>
  <c r="V68" i="31"/>
  <c r="V60" i="31"/>
  <c r="V52" i="31"/>
  <c r="V44" i="31"/>
  <c r="V36" i="31"/>
  <c r="V28" i="31"/>
  <c r="V20" i="31"/>
  <c r="V12" i="31"/>
  <c r="V4" i="31"/>
  <c r="V4" i="30"/>
  <c r="V133" i="31"/>
  <c r="V131" i="31"/>
  <c r="V123" i="31"/>
  <c r="V115" i="31"/>
  <c r="V107" i="31"/>
  <c r="V99" i="31"/>
  <c r="V91" i="31"/>
  <c r="V83" i="31"/>
  <c r="V75" i="31"/>
  <c r="V67" i="31"/>
  <c r="V59" i="31"/>
  <c r="V51" i="31"/>
  <c r="V43" i="31"/>
  <c r="V35" i="31"/>
  <c r="V27" i="31"/>
  <c r="V19" i="31"/>
  <c r="V11" i="31"/>
  <c r="V132" i="31"/>
  <c r="V130" i="31"/>
  <c r="V122" i="31"/>
  <c r="V114" i="31"/>
  <c r="V106" i="31"/>
  <c r="V98" i="31"/>
  <c r="V90" i="31"/>
  <c r="V82" i="31"/>
  <c r="V74" i="31"/>
  <c r="V66" i="31"/>
  <c r="V58" i="31"/>
  <c r="V50" i="31"/>
  <c r="V42" i="31"/>
  <c r="V34" i="31"/>
  <c r="V26" i="31"/>
  <c r="V18" i="31"/>
  <c r="V10" i="31"/>
  <c r="J12" i="13"/>
  <c r="I9" i="13"/>
  <c r="BH4" i="27"/>
  <c r="K12" i="13" l="1"/>
  <c r="J9" i="13"/>
  <c r="K6" i="27"/>
  <c r="K4" i="12" s="1"/>
  <c r="K5" i="12"/>
  <c r="K6" i="12"/>
  <c r="K7" i="12"/>
  <c r="K8" i="12"/>
  <c r="K9" i="12"/>
  <c r="K10" i="12"/>
  <c r="K11" i="12"/>
  <c r="K12" i="12"/>
  <c r="K13" i="12"/>
  <c r="K14" i="12"/>
  <c r="K15" i="12"/>
  <c r="K16" i="12"/>
  <c r="K17" i="12"/>
  <c r="K18" i="12"/>
  <c r="K19" i="12"/>
  <c r="K20" i="12"/>
  <c r="K21" i="12"/>
  <c r="K22" i="12"/>
  <c r="K23" i="12"/>
  <c r="K24" i="12"/>
  <c r="K25" i="12"/>
  <c r="K26" i="12"/>
  <c r="K27" i="12"/>
  <c r="K28" i="12"/>
  <c r="K29" i="12"/>
  <c r="K30" i="12"/>
  <c r="K31" i="12"/>
  <c r="K32" i="12"/>
  <c r="K33" i="12"/>
  <c r="K34" i="12"/>
  <c r="K35" i="12"/>
  <c r="K36" i="12"/>
  <c r="K37" i="12"/>
  <c r="K38" i="12"/>
  <c r="K39" i="12"/>
  <c r="K40" i="12"/>
  <c r="K41" i="12"/>
  <c r="K42" i="12"/>
  <c r="K43" i="12"/>
  <c r="K44" i="12"/>
  <c r="K45" i="12"/>
  <c r="K46" i="12"/>
  <c r="K47" i="12"/>
  <c r="K48" i="12"/>
  <c r="K49" i="12"/>
  <c r="K50" i="12"/>
  <c r="K51" i="12"/>
  <c r="K52" i="12"/>
  <c r="K53" i="12"/>
  <c r="K54" i="12"/>
  <c r="K55" i="12"/>
  <c r="K56" i="12"/>
  <c r="K57" i="12"/>
  <c r="K58" i="12"/>
  <c r="K59" i="12"/>
  <c r="K60" i="12"/>
  <c r="K61" i="12"/>
  <c r="K62" i="12"/>
  <c r="K63" i="12"/>
  <c r="K64" i="12"/>
  <c r="K65" i="12"/>
  <c r="K66" i="12"/>
  <c r="K67" i="12"/>
  <c r="K68" i="12"/>
  <c r="K69" i="12"/>
  <c r="K70" i="12"/>
  <c r="K71" i="12"/>
  <c r="K72" i="12"/>
  <c r="K73" i="12"/>
  <c r="K74" i="12"/>
  <c r="K75" i="12"/>
  <c r="K76" i="12"/>
  <c r="K77" i="12"/>
  <c r="K78" i="12"/>
  <c r="K79" i="12"/>
  <c r="K80" i="12"/>
  <c r="K81" i="12"/>
  <c r="K82" i="12"/>
  <c r="K83" i="12"/>
  <c r="K84" i="12"/>
  <c r="K85" i="12"/>
  <c r="K86" i="12"/>
  <c r="K87" i="12"/>
  <c r="K88" i="12"/>
  <c r="K89" i="12"/>
  <c r="K90" i="12"/>
  <c r="K91" i="12"/>
  <c r="K92" i="12"/>
  <c r="K93" i="12"/>
  <c r="K94" i="12"/>
  <c r="K95" i="12"/>
  <c r="K96" i="12"/>
  <c r="K97" i="12"/>
  <c r="K98" i="12"/>
  <c r="K99" i="12"/>
  <c r="K100" i="12"/>
  <c r="K101" i="12"/>
  <c r="K102" i="12"/>
  <c r="K103" i="12"/>
  <c r="K104" i="12"/>
  <c r="K105" i="12"/>
  <c r="K106" i="12"/>
  <c r="K107" i="12"/>
  <c r="K108" i="12"/>
  <c r="K109" i="12"/>
  <c r="K110" i="12"/>
  <c r="K111" i="12"/>
  <c r="K112" i="12"/>
  <c r="K113" i="12"/>
  <c r="K114" i="12"/>
  <c r="K115" i="12"/>
  <c r="K116" i="12"/>
  <c r="K117" i="12"/>
  <c r="K118" i="12"/>
  <c r="K119" i="12"/>
  <c r="K120" i="12"/>
  <c r="K121" i="12"/>
  <c r="K122" i="12"/>
  <c r="K123" i="12"/>
  <c r="K124" i="12"/>
  <c r="K125" i="12"/>
  <c r="K126" i="12"/>
  <c r="K127" i="12"/>
  <c r="K128" i="12"/>
  <c r="K129" i="12"/>
  <c r="K130" i="12"/>
  <c r="K131" i="12"/>
  <c r="K132" i="12"/>
  <c r="K133" i="12"/>
  <c r="K134" i="12"/>
  <c r="K135" i="12"/>
  <c r="BS1" i="27"/>
  <c r="H4" i="27"/>
  <c r="H7" i="27" l="1"/>
  <c r="H8" i="27"/>
  <c r="H9" i="27"/>
  <c r="H10" i="27"/>
  <c r="I10" i="27" s="1"/>
  <c r="H11" i="27"/>
  <c r="H12" i="27"/>
  <c r="I12" i="27" s="1"/>
  <c r="H13" i="27"/>
  <c r="H14" i="27"/>
  <c r="H15" i="27"/>
  <c r="H16" i="27"/>
  <c r="H17" i="27"/>
  <c r="H18" i="27"/>
  <c r="H19" i="27"/>
  <c r="H20" i="27"/>
  <c r="H21" i="27"/>
  <c r="H22" i="27"/>
  <c r="H23" i="27"/>
  <c r="H24" i="27"/>
  <c r="H25" i="27"/>
  <c r="H26" i="27"/>
  <c r="H27" i="27"/>
  <c r="H28" i="27"/>
  <c r="H29" i="27"/>
  <c r="H30" i="27"/>
  <c r="H31" i="27"/>
  <c r="H32" i="27"/>
  <c r="H33" i="27"/>
  <c r="H34" i="27"/>
  <c r="H35" i="27"/>
  <c r="H36" i="27"/>
  <c r="H37" i="27"/>
  <c r="H38" i="27"/>
  <c r="H39" i="27"/>
  <c r="H40" i="27"/>
  <c r="H41" i="27"/>
  <c r="H42" i="27"/>
  <c r="H43" i="27"/>
  <c r="H44" i="27"/>
  <c r="H45" i="27"/>
  <c r="I45" i="27" s="1"/>
  <c r="H46" i="27"/>
  <c r="H47" i="27"/>
  <c r="H48" i="27"/>
  <c r="H49" i="27"/>
  <c r="H50" i="27"/>
  <c r="H51" i="27"/>
  <c r="I51" i="27" s="1"/>
  <c r="H52" i="27"/>
  <c r="I52" i="27" s="1"/>
  <c r="H53" i="27"/>
  <c r="H54" i="27"/>
  <c r="I54" i="27" s="1"/>
  <c r="H55" i="27"/>
  <c r="H56" i="27"/>
  <c r="H57" i="27"/>
  <c r="H58" i="27"/>
  <c r="H59" i="27"/>
  <c r="H60" i="27"/>
  <c r="H61" i="27"/>
  <c r="H62" i="27"/>
  <c r="I62" i="27" s="1"/>
  <c r="H63" i="27"/>
  <c r="H64" i="27"/>
  <c r="H65" i="27"/>
  <c r="I65" i="27" s="1"/>
  <c r="H66" i="27"/>
  <c r="H67" i="27"/>
  <c r="H68" i="27"/>
  <c r="H69" i="27"/>
  <c r="H70" i="27"/>
  <c r="H71" i="27"/>
  <c r="H72" i="27"/>
  <c r="H73" i="27"/>
  <c r="H74" i="27"/>
  <c r="I74" i="27" s="1"/>
  <c r="H75" i="27"/>
  <c r="H76" i="27"/>
  <c r="H77" i="27"/>
  <c r="I77" i="27" s="1"/>
  <c r="H78" i="27"/>
  <c r="H79" i="27"/>
  <c r="I79" i="27" s="1"/>
  <c r="H80" i="27"/>
  <c r="H81" i="27"/>
  <c r="I81" i="27" s="1"/>
  <c r="H82" i="27"/>
  <c r="H83" i="27"/>
  <c r="H84" i="27"/>
  <c r="H85" i="27"/>
  <c r="H86" i="27"/>
  <c r="H87" i="27"/>
  <c r="H88" i="27"/>
  <c r="H89" i="27"/>
  <c r="H90" i="27"/>
  <c r="H91" i="27"/>
  <c r="I91" i="27" s="1"/>
  <c r="H92" i="27"/>
  <c r="H93" i="27"/>
  <c r="H94" i="27"/>
  <c r="I94" i="27" s="1"/>
  <c r="H95" i="27"/>
  <c r="H96" i="27"/>
  <c r="I96" i="27" s="1"/>
  <c r="H97" i="27"/>
  <c r="H98" i="27"/>
  <c r="H99" i="27"/>
  <c r="H100" i="27"/>
  <c r="H101" i="27"/>
  <c r="H102" i="27"/>
  <c r="H103" i="27"/>
  <c r="I103" i="27" s="1"/>
  <c r="H104" i="27"/>
  <c r="I104" i="27" s="1"/>
  <c r="H105" i="27"/>
  <c r="H106" i="27"/>
  <c r="H107" i="27"/>
  <c r="H108" i="27"/>
  <c r="H109" i="27"/>
  <c r="H110" i="27"/>
  <c r="H111" i="27"/>
  <c r="H112" i="27"/>
  <c r="H113" i="27"/>
  <c r="H114" i="27"/>
  <c r="H115" i="27"/>
  <c r="H116" i="27"/>
  <c r="H117" i="27"/>
  <c r="H118" i="27"/>
  <c r="H119" i="27"/>
  <c r="H120" i="27"/>
  <c r="H121" i="27"/>
  <c r="H122" i="27"/>
  <c r="H123" i="27"/>
  <c r="H124" i="27"/>
  <c r="H125" i="27"/>
  <c r="H126" i="27"/>
  <c r="H127" i="27"/>
  <c r="H128" i="27"/>
  <c r="H129" i="27"/>
  <c r="H130" i="27"/>
  <c r="I130" i="27" s="1"/>
  <c r="H131" i="27"/>
  <c r="H132" i="27"/>
  <c r="H133" i="27"/>
  <c r="H134" i="27"/>
  <c r="H135" i="27"/>
  <c r="H136" i="27"/>
  <c r="H137" i="27"/>
  <c r="H138" i="27"/>
  <c r="H139" i="27"/>
  <c r="K129" i="31"/>
  <c r="K121" i="31"/>
  <c r="K113" i="31"/>
  <c r="K105" i="31"/>
  <c r="K97" i="31"/>
  <c r="K89" i="31"/>
  <c r="K81" i="31"/>
  <c r="K73" i="31"/>
  <c r="K65" i="31"/>
  <c r="K57" i="31"/>
  <c r="K49" i="31"/>
  <c r="K41" i="31"/>
  <c r="K33" i="31"/>
  <c r="K25" i="31"/>
  <c r="K17" i="31"/>
  <c r="K9" i="31"/>
  <c r="K128" i="31"/>
  <c r="K120" i="31"/>
  <c r="K112" i="31"/>
  <c r="K104" i="31"/>
  <c r="K96" i="31"/>
  <c r="K88" i="31"/>
  <c r="K80" i="31"/>
  <c r="K72" i="31"/>
  <c r="K64" i="31"/>
  <c r="K56" i="31"/>
  <c r="K48" i="31"/>
  <c r="K40" i="31"/>
  <c r="K32" i="31"/>
  <c r="K24" i="31"/>
  <c r="K16" i="31"/>
  <c r="K8" i="31"/>
  <c r="K127" i="31"/>
  <c r="K119" i="31"/>
  <c r="K111" i="31"/>
  <c r="K103" i="31"/>
  <c r="K95" i="31"/>
  <c r="K87" i="31"/>
  <c r="K79" i="31"/>
  <c r="K71" i="31"/>
  <c r="K63" i="31"/>
  <c r="K55" i="31"/>
  <c r="K47" i="31"/>
  <c r="K39" i="31"/>
  <c r="K31" i="31"/>
  <c r="K23" i="31"/>
  <c r="K15" i="31"/>
  <c r="K7" i="31"/>
  <c r="K135" i="31"/>
  <c r="K134" i="31"/>
  <c r="K126" i="31"/>
  <c r="K118" i="31"/>
  <c r="K110" i="31"/>
  <c r="K102" i="31"/>
  <c r="K94" i="31"/>
  <c r="K86" i="31"/>
  <c r="K78" i="31"/>
  <c r="K70" i="31"/>
  <c r="K62" i="31"/>
  <c r="K54" i="31"/>
  <c r="K46" i="31"/>
  <c r="K38" i="31"/>
  <c r="K30" i="31"/>
  <c r="K22" i="31"/>
  <c r="K14" i="31"/>
  <c r="K6" i="31"/>
  <c r="K133" i="31"/>
  <c r="K125" i="31"/>
  <c r="K117" i="31"/>
  <c r="K109" i="31"/>
  <c r="K101" i="31"/>
  <c r="K93" i="31"/>
  <c r="K85" i="31"/>
  <c r="K77" i="31"/>
  <c r="K69" i="31"/>
  <c r="K61" i="31"/>
  <c r="K53" i="31"/>
  <c r="K45" i="31"/>
  <c r="K37" i="31"/>
  <c r="K29" i="31"/>
  <c r="K21" i="31"/>
  <c r="K13" i="31"/>
  <c r="K5" i="31"/>
  <c r="K124" i="31"/>
  <c r="K116" i="31"/>
  <c r="K108" i="31"/>
  <c r="K100" i="31"/>
  <c r="K92" i="31"/>
  <c r="K84" i="31"/>
  <c r="K76" i="31"/>
  <c r="K68" i="31"/>
  <c r="K60" i="31"/>
  <c r="K52" i="31"/>
  <c r="K44" i="31"/>
  <c r="K36" i="31"/>
  <c r="K28" i="31"/>
  <c r="K20" i="31"/>
  <c r="K12" i="31"/>
  <c r="K4" i="31"/>
  <c r="K4" i="30"/>
  <c r="K132" i="31"/>
  <c r="K123" i="31"/>
  <c r="K107" i="31"/>
  <c r="K99" i="31"/>
  <c r="K91" i="31"/>
  <c r="K83" i="31"/>
  <c r="K75" i="31"/>
  <c r="K67" i="31"/>
  <c r="K59" i="31"/>
  <c r="K51" i="31"/>
  <c r="K43" i="31"/>
  <c r="K35" i="31"/>
  <c r="K27" i="31"/>
  <c r="K19" i="31"/>
  <c r="K11" i="31"/>
  <c r="K131" i="31"/>
  <c r="K115" i="31"/>
  <c r="K130" i="31"/>
  <c r="K122" i="31"/>
  <c r="K114" i="31"/>
  <c r="K106" i="31"/>
  <c r="K98" i="31"/>
  <c r="K90" i="31"/>
  <c r="K82" i="31"/>
  <c r="K74" i="31"/>
  <c r="K66" i="31"/>
  <c r="K58" i="31"/>
  <c r="K50" i="31"/>
  <c r="K42" i="31"/>
  <c r="K34" i="31"/>
  <c r="K26" i="31"/>
  <c r="K18" i="31"/>
  <c r="K10" i="31"/>
  <c r="L12" i="13"/>
  <c r="K9" i="13"/>
  <c r="DX4" i="27"/>
  <c r="DV4" i="27"/>
  <c r="ED4" i="27"/>
  <c r="DU4" i="27"/>
  <c r="DZ4" i="27"/>
  <c r="DW4" i="27"/>
  <c r="BS2" i="27"/>
  <c r="DY4" i="27"/>
  <c r="CS4" i="27"/>
  <c r="CG4" i="27"/>
  <c r="BU4" i="27"/>
  <c r="CQ4" i="27"/>
  <c r="CO4" i="27"/>
  <c r="CE4" i="27"/>
  <c r="CM4" i="27"/>
  <c r="CC4" i="27"/>
  <c r="CK4" i="27"/>
  <c r="CA4" i="27"/>
  <c r="CU4" i="27"/>
  <c r="CI4" i="27"/>
  <c r="BY4" i="27"/>
  <c r="BT4" i="27"/>
  <c r="BR4" i="27"/>
  <c r="BX4" i="27"/>
  <c r="BS4" i="27"/>
  <c r="K4" i="27"/>
  <c r="G4" i="27"/>
  <c r="R4" i="27"/>
  <c r="AM4" i="27" s="1"/>
  <c r="V4" i="27"/>
  <c r="AO4" i="27" s="1"/>
  <c r="AD4" i="27"/>
  <c r="AS4" i="27" s="1"/>
  <c r="X4" i="27"/>
  <c r="AP4" i="27" s="1"/>
  <c r="AF4" i="27"/>
  <c r="AT4" i="27" s="1"/>
  <c r="Z4" i="27"/>
  <c r="AQ4" i="27" s="1"/>
  <c r="AH4" i="27"/>
  <c r="AU4" i="27" s="1"/>
  <c r="T4" i="27"/>
  <c r="AN4" i="27" s="1"/>
  <c r="AB4" i="27"/>
  <c r="AR4" i="27" s="1"/>
  <c r="L4" i="27"/>
  <c r="AJ4" i="27" s="1"/>
  <c r="P4" i="27"/>
  <c r="AL4" i="27" s="1"/>
  <c r="N4" i="27"/>
  <c r="E4" i="27"/>
  <c r="H6" i="27"/>
  <c r="F4" i="27"/>
  <c r="F132" i="27" s="1"/>
  <c r="DV10" i="27" l="1"/>
  <c r="DZ10" i="27" s="1"/>
  <c r="DV101" i="27"/>
  <c r="DZ101" i="27" s="1"/>
  <c r="DV41" i="27"/>
  <c r="DZ41" i="27" s="1"/>
  <c r="DV117" i="27"/>
  <c r="DZ117" i="27" s="1"/>
  <c r="DV53" i="27"/>
  <c r="DZ53" i="27" s="1"/>
  <c r="BS7" i="27"/>
  <c r="BS11" i="27"/>
  <c r="BS15" i="27"/>
  <c r="BS19" i="27"/>
  <c r="BS23" i="27"/>
  <c r="BS27" i="27"/>
  <c r="BS31" i="27"/>
  <c r="P29" i="12" s="1"/>
  <c r="BS35" i="27"/>
  <c r="BS39" i="27"/>
  <c r="BS43" i="27"/>
  <c r="BS47" i="27"/>
  <c r="BS51" i="27"/>
  <c r="BS55" i="27"/>
  <c r="BS59" i="27"/>
  <c r="BS63" i="27"/>
  <c r="P61" i="12" s="1"/>
  <c r="BS67" i="27"/>
  <c r="BS71" i="27"/>
  <c r="BS75" i="27"/>
  <c r="BS79" i="27"/>
  <c r="BS83" i="27"/>
  <c r="BS87" i="27"/>
  <c r="BS91" i="27"/>
  <c r="BS95" i="27"/>
  <c r="BS99" i="27"/>
  <c r="BS103" i="27"/>
  <c r="BS107" i="27"/>
  <c r="BS111" i="27"/>
  <c r="P109" i="12" s="1"/>
  <c r="BS115" i="27"/>
  <c r="BS119" i="27"/>
  <c r="BS123" i="27"/>
  <c r="BS127" i="27"/>
  <c r="BS131" i="27"/>
  <c r="BS135" i="27"/>
  <c r="BS139" i="27"/>
  <c r="BS8" i="27"/>
  <c r="BS12" i="27"/>
  <c r="BS16" i="27"/>
  <c r="BS20" i="27"/>
  <c r="BS24" i="27"/>
  <c r="BS28" i="27"/>
  <c r="BS32" i="27"/>
  <c r="BS36" i="27"/>
  <c r="BS40" i="27"/>
  <c r="BS44" i="27"/>
  <c r="BS48" i="27"/>
  <c r="BS52" i="27"/>
  <c r="BS56" i="27"/>
  <c r="P54" i="12" s="1"/>
  <c r="BS60" i="27"/>
  <c r="BS64" i="27"/>
  <c r="BS68" i="27"/>
  <c r="BS72" i="27"/>
  <c r="P70" i="12" s="1"/>
  <c r="BS76" i="27"/>
  <c r="BS80" i="27"/>
  <c r="BS84" i="27"/>
  <c r="BS88" i="27"/>
  <c r="P86" i="12" s="1"/>
  <c r="BS92" i="27"/>
  <c r="BS96" i="27"/>
  <c r="BS100" i="27"/>
  <c r="BS104" i="27"/>
  <c r="BS108" i="27"/>
  <c r="BS112" i="27"/>
  <c r="BS116" i="27"/>
  <c r="BS120" i="27"/>
  <c r="BS124" i="27"/>
  <c r="BS128" i="27"/>
  <c r="BS132" i="27"/>
  <c r="BS136" i="27"/>
  <c r="BS6" i="27"/>
  <c r="P4" i="12" s="1"/>
  <c r="BS14" i="27"/>
  <c r="BS22" i="27"/>
  <c r="BS30" i="27"/>
  <c r="BS38" i="27"/>
  <c r="BS46" i="27"/>
  <c r="BS54" i="27"/>
  <c r="BS62" i="27"/>
  <c r="BS70" i="27"/>
  <c r="BS78" i="27"/>
  <c r="BS86" i="27"/>
  <c r="BS94" i="27"/>
  <c r="P92" i="12" s="1"/>
  <c r="BS102" i="27"/>
  <c r="BS110" i="27"/>
  <c r="BS118" i="27"/>
  <c r="BS126" i="27"/>
  <c r="BS134" i="27"/>
  <c r="BS9" i="27"/>
  <c r="BS17" i="27"/>
  <c r="BS25" i="27"/>
  <c r="BS33" i="27"/>
  <c r="BS41" i="27"/>
  <c r="BS49" i="27"/>
  <c r="BS57" i="27"/>
  <c r="BS65" i="27"/>
  <c r="BS73" i="27"/>
  <c r="BS81" i="27"/>
  <c r="BS89" i="27"/>
  <c r="BS97" i="27"/>
  <c r="BS105" i="27"/>
  <c r="BS113" i="27"/>
  <c r="BS121" i="27"/>
  <c r="BS129" i="27"/>
  <c r="BS137" i="27"/>
  <c r="BS10" i="27"/>
  <c r="BS18" i="27"/>
  <c r="P16" i="12" s="1"/>
  <c r="BS26" i="27"/>
  <c r="BS34" i="27"/>
  <c r="BS42" i="27"/>
  <c r="BS50" i="27"/>
  <c r="BS58" i="27"/>
  <c r="BS66" i="27"/>
  <c r="BS74" i="27"/>
  <c r="BS82" i="27"/>
  <c r="BS90" i="27"/>
  <c r="BS98" i="27"/>
  <c r="BS106" i="27"/>
  <c r="BS114" i="27"/>
  <c r="P112" i="12" s="1"/>
  <c r="BS122" i="27"/>
  <c r="BS37" i="27"/>
  <c r="BS101" i="27"/>
  <c r="P99" i="12" s="1"/>
  <c r="BS13" i="27"/>
  <c r="BS45" i="27"/>
  <c r="BS77" i="27"/>
  <c r="BS109" i="27"/>
  <c r="BS133" i="27"/>
  <c r="BS21" i="27"/>
  <c r="BS53" i="27"/>
  <c r="BS85" i="27"/>
  <c r="BS117" i="27"/>
  <c r="BS138" i="27"/>
  <c r="BS29" i="27"/>
  <c r="BS61" i="27"/>
  <c r="BS93" i="27"/>
  <c r="P91" i="12" s="1"/>
  <c r="BS125" i="27"/>
  <c r="BS69" i="27"/>
  <c r="BS130" i="27"/>
  <c r="BR9" i="27"/>
  <c r="BR13" i="27"/>
  <c r="BR17" i="27"/>
  <c r="BR21" i="27"/>
  <c r="BR25" i="27"/>
  <c r="BR29" i="27"/>
  <c r="BR33" i="27"/>
  <c r="BR37" i="27"/>
  <c r="BR41" i="27"/>
  <c r="BT41" i="27" s="1"/>
  <c r="BR45" i="27"/>
  <c r="O43" i="12" s="1"/>
  <c r="BR49" i="27"/>
  <c r="BR53" i="27"/>
  <c r="BR57" i="27"/>
  <c r="BR61" i="27"/>
  <c r="BR65" i="27"/>
  <c r="BR69" i="27"/>
  <c r="BR73" i="27"/>
  <c r="BT73" i="27" s="1"/>
  <c r="BR77" i="27"/>
  <c r="BR81" i="27"/>
  <c r="BR85" i="27"/>
  <c r="BR89" i="27"/>
  <c r="BR93" i="27"/>
  <c r="BR97" i="27"/>
  <c r="BR101" i="27"/>
  <c r="BR105" i="27"/>
  <c r="BT105" i="27" s="1"/>
  <c r="BR109" i="27"/>
  <c r="BR113" i="27"/>
  <c r="BR117" i="27"/>
  <c r="BR121" i="27"/>
  <c r="BT121" i="27" s="1"/>
  <c r="BR125" i="27"/>
  <c r="BT125" i="27" s="1"/>
  <c r="BR129" i="27"/>
  <c r="BR133" i="27"/>
  <c r="BR137" i="27"/>
  <c r="BR7" i="27"/>
  <c r="BR15" i="27"/>
  <c r="BR19" i="27"/>
  <c r="BR23" i="27"/>
  <c r="BT23" i="27" s="1"/>
  <c r="BR27" i="27"/>
  <c r="BR31" i="27"/>
  <c r="BR35" i="27"/>
  <c r="BR39" i="27"/>
  <c r="BT39" i="27" s="1"/>
  <c r="BR43" i="27"/>
  <c r="BR47" i="27"/>
  <c r="BR51" i="27"/>
  <c r="O49" i="12" s="1"/>
  <c r="BR55" i="27"/>
  <c r="BR59" i="27"/>
  <c r="BR63" i="27"/>
  <c r="BR67" i="27"/>
  <c r="BR71" i="27"/>
  <c r="BT71" i="27" s="1"/>
  <c r="BR75" i="27"/>
  <c r="BR79" i="27"/>
  <c r="BR10" i="27"/>
  <c r="O8" i="12" s="1"/>
  <c r="BR14" i="27"/>
  <c r="BR18" i="27"/>
  <c r="BR22" i="27"/>
  <c r="BR26" i="27"/>
  <c r="BR30" i="27"/>
  <c r="BT30" i="27" s="1"/>
  <c r="BR34" i="27"/>
  <c r="BR38" i="27"/>
  <c r="BR42" i="27"/>
  <c r="BR46" i="27"/>
  <c r="BR50" i="27"/>
  <c r="BR54" i="27"/>
  <c r="BR58" i="27"/>
  <c r="BR62" i="27"/>
  <c r="O60" i="12" s="1"/>
  <c r="BR66" i="27"/>
  <c r="BR70" i="27"/>
  <c r="BR74" i="27"/>
  <c r="BR78" i="27"/>
  <c r="BR82" i="27"/>
  <c r="BR86" i="27"/>
  <c r="BR90" i="27"/>
  <c r="BR94" i="27"/>
  <c r="O92" i="12" s="1"/>
  <c r="BR98" i="27"/>
  <c r="BR102" i="27"/>
  <c r="BR106" i="27"/>
  <c r="BT106" i="27" s="1"/>
  <c r="BR110" i="27"/>
  <c r="BT110" i="27" s="1"/>
  <c r="BR114" i="27"/>
  <c r="BR118" i="27"/>
  <c r="BR122" i="27"/>
  <c r="BR126" i="27"/>
  <c r="BR130" i="27"/>
  <c r="O128" i="12" s="1"/>
  <c r="BR134" i="27"/>
  <c r="BR138" i="27"/>
  <c r="BR11" i="27"/>
  <c r="BR24" i="27"/>
  <c r="BR40" i="27"/>
  <c r="BR56" i="27"/>
  <c r="BR72" i="27"/>
  <c r="BR84" i="27"/>
  <c r="BR92" i="27"/>
  <c r="BR100" i="27"/>
  <c r="BT100" i="27" s="1"/>
  <c r="BR108" i="27"/>
  <c r="BR116" i="27"/>
  <c r="BR124" i="27"/>
  <c r="BR132" i="27"/>
  <c r="BR6" i="27"/>
  <c r="O4" i="12" s="1"/>
  <c r="BR12" i="27"/>
  <c r="O10" i="12" s="1"/>
  <c r="BR28" i="27"/>
  <c r="BR44" i="27"/>
  <c r="BR60" i="27"/>
  <c r="BR76" i="27"/>
  <c r="BT76" i="27" s="1"/>
  <c r="BR87" i="27"/>
  <c r="BR95" i="27"/>
  <c r="BR103" i="27"/>
  <c r="O101" i="12" s="1"/>
  <c r="BR111" i="27"/>
  <c r="BR119" i="27"/>
  <c r="BR127" i="27"/>
  <c r="BR135" i="27"/>
  <c r="BT135" i="27" s="1"/>
  <c r="BR16" i="27"/>
  <c r="BT16" i="27" s="1"/>
  <c r="BR32" i="27"/>
  <c r="BR48" i="27"/>
  <c r="BR64" i="27"/>
  <c r="BT64" i="27" s="1"/>
  <c r="BR80" i="27"/>
  <c r="BR88" i="27"/>
  <c r="BR96" i="27"/>
  <c r="BR104" i="27"/>
  <c r="O102" i="12" s="1"/>
  <c r="BR112" i="27"/>
  <c r="BR120" i="27"/>
  <c r="BR128" i="27"/>
  <c r="BR136" i="27"/>
  <c r="BR8" i="27"/>
  <c r="BR68" i="27"/>
  <c r="BR107" i="27"/>
  <c r="BR139" i="27"/>
  <c r="BT139" i="27" s="1"/>
  <c r="BR20" i="27"/>
  <c r="BR83" i="27"/>
  <c r="BR115" i="27"/>
  <c r="BR36" i="27"/>
  <c r="BR91" i="27"/>
  <c r="O89" i="12" s="1"/>
  <c r="BR123" i="27"/>
  <c r="BR52" i="27"/>
  <c r="O50" i="12" s="1"/>
  <c r="BR99" i="27"/>
  <c r="BR131" i="27"/>
  <c r="DV111" i="27"/>
  <c r="DZ111" i="27" s="1"/>
  <c r="DV128" i="27"/>
  <c r="DZ128" i="27" s="1"/>
  <c r="DV51" i="27"/>
  <c r="DZ51" i="27" s="1"/>
  <c r="DV70" i="27"/>
  <c r="DZ70" i="27" s="1"/>
  <c r="DV135" i="27"/>
  <c r="DZ135" i="27" s="1"/>
  <c r="DV25" i="27"/>
  <c r="DZ25" i="27" s="1"/>
  <c r="DV94" i="27"/>
  <c r="DZ94" i="27" s="1"/>
  <c r="DV32" i="27"/>
  <c r="DZ32" i="27" s="1"/>
  <c r="DV96" i="27"/>
  <c r="DZ96" i="27" s="1"/>
  <c r="DV39" i="27"/>
  <c r="DZ39" i="27" s="1"/>
  <c r="DV113" i="27"/>
  <c r="DZ113" i="27" s="1"/>
  <c r="DV49" i="27"/>
  <c r="DZ49" i="27" s="1"/>
  <c r="DV83" i="27"/>
  <c r="DZ83" i="27" s="1"/>
  <c r="DV9" i="27"/>
  <c r="DZ9" i="27" s="1"/>
  <c r="DV79" i="27"/>
  <c r="DZ79" i="27" s="1"/>
  <c r="DV16" i="27"/>
  <c r="DZ16" i="27" s="1"/>
  <c r="DV81" i="27"/>
  <c r="DZ81" i="27" s="1"/>
  <c r="DV23" i="27"/>
  <c r="DZ23" i="27" s="1"/>
  <c r="DV99" i="27"/>
  <c r="DZ99" i="27" s="1"/>
  <c r="DV34" i="27"/>
  <c r="DZ34" i="27" s="1"/>
  <c r="DV105" i="27"/>
  <c r="DZ105" i="27" s="1"/>
  <c r="DV55" i="27"/>
  <c r="DZ55" i="27" s="1"/>
  <c r="DV126" i="27"/>
  <c r="DZ126" i="27" s="1"/>
  <c r="DV65" i="27"/>
  <c r="DZ65" i="27" s="1"/>
  <c r="DV133" i="27"/>
  <c r="DZ133" i="27" s="1"/>
  <c r="DV67" i="27"/>
  <c r="DZ67" i="27" s="1"/>
  <c r="DV7" i="27"/>
  <c r="DZ7" i="27" s="1"/>
  <c r="DV84" i="27"/>
  <c r="DZ84" i="27" s="1"/>
  <c r="DV18" i="27"/>
  <c r="DZ18" i="27" s="1"/>
  <c r="DV127" i="27"/>
  <c r="DZ127" i="27" s="1"/>
  <c r="DV112" i="27"/>
  <c r="DZ112" i="27" s="1"/>
  <c r="DV98" i="27"/>
  <c r="DZ98" i="27" s="1"/>
  <c r="DV87" i="27"/>
  <c r="DZ87" i="27" s="1"/>
  <c r="DV62" i="27"/>
  <c r="DZ62" i="27" s="1"/>
  <c r="DV44" i="27"/>
  <c r="DZ44" i="27" s="1"/>
  <c r="DV29" i="27"/>
  <c r="DZ29" i="27" s="1"/>
  <c r="DV13" i="27"/>
  <c r="DZ13" i="27" s="1"/>
  <c r="DV130" i="27"/>
  <c r="DZ130" i="27" s="1"/>
  <c r="DV114" i="27"/>
  <c r="DZ114" i="27" s="1"/>
  <c r="DV97" i="27"/>
  <c r="DZ97" i="27" s="1"/>
  <c r="DV82" i="27"/>
  <c r="DZ82" i="27" s="1"/>
  <c r="DV68" i="27"/>
  <c r="DZ68" i="27" s="1"/>
  <c r="DV54" i="27"/>
  <c r="DZ54" i="27" s="1"/>
  <c r="DV36" i="27"/>
  <c r="DZ36" i="27" s="1"/>
  <c r="DV20" i="27"/>
  <c r="DZ20" i="27" s="1"/>
  <c r="DV137" i="27"/>
  <c r="DZ137" i="27" s="1"/>
  <c r="DV121" i="27"/>
  <c r="DZ121" i="27" s="1"/>
  <c r="DV103" i="27"/>
  <c r="DZ103" i="27" s="1"/>
  <c r="DV85" i="27"/>
  <c r="DZ85" i="27" s="1"/>
  <c r="DV71" i="27"/>
  <c r="DZ71" i="27" s="1"/>
  <c r="DV57" i="27"/>
  <c r="DZ57" i="27" s="1"/>
  <c r="DV43" i="27"/>
  <c r="DZ43" i="27" s="1"/>
  <c r="DV27" i="27"/>
  <c r="DZ27" i="27" s="1"/>
  <c r="DV11" i="27"/>
  <c r="DZ11" i="27" s="1"/>
  <c r="DV132" i="27"/>
  <c r="DZ132" i="27" s="1"/>
  <c r="DV116" i="27"/>
  <c r="DZ116" i="27" s="1"/>
  <c r="DV102" i="27"/>
  <c r="DZ102" i="27" s="1"/>
  <c r="DV88" i="27"/>
  <c r="DZ88" i="27" s="1"/>
  <c r="DV73" i="27"/>
  <c r="DZ73" i="27" s="1"/>
  <c r="DV56" i="27"/>
  <c r="DZ56" i="27" s="1"/>
  <c r="DV38" i="27"/>
  <c r="DZ38" i="27" s="1"/>
  <c r="DV22" i="27"/>
  <c r="DZ22" i="27" s="1"/>
  <c r="DV115" i="27"/>
  <c r="DZ115" i="27" s="1"/>
  <c r="DV139" i="27"/>
  <c r="DZ139" i="27" s="1"/>
  <c r="DV91" i="27"/>
  <c r="DZ91" i="27" s="1"/>
  <c r="DV119" i="27"/>
  <c r="DZ119" i="27" s="1"/>
  <c r="DV76" i="27"/>
  <c r="DZ76" i="27" s="1"/>
  <c r="DV52" i="27"/>
  <c r="DZ52" i="27" s="1"/>
  <c r="DV37" i="27"/>
  <c r="DZ37" i="27" s="1"/>
  <c r="DV21" i="27"/>
  <c r="DZ21" i="27" s="1"/>
  <c r="DV138" i="27"/>
  <c r="DZ138" i="27" s="1"/>
  <c r="DV122" i="27"/>
  <c r="DZ122" i="27" s="1"/>
  <c r="DV104" i="27"/>
  <c r="DZ104" i="27" s="1"/>
  <c r="DV90" i="27"/>
  <c r="DZ90" i="27" s="1"/>
  <c r="DV75" i="27"/>
  <c r="DZ75" i="27" s="1"/>
  <c r="DV61" i="27"/>
  <c r="DZ61" i="27" s="1"/>
  <c r="DV47" i="27"/>
  <c r="DZ47" i="27" s="1"/>
  <c r="DV28" i="27"/>
  <c r="DZ28" i="27" s="1"/>
  <c r="DV12" i="27"/>
  <c r="DZ12" i="27" s="1"/>
  <c r="DV129" i="27"/>
  <c r="DZ129" i="27" s="1"/>
  <c r="DV110" i="27"/>
  <c r="DZ110" i="27" s="1"/>
  <c r="DV93" i="27"/>
  <c r="DZ93" i="27" s="1"/>
  <c r="DV78" i="27"/>
  <c r="DZ78" i="27" s="1"/>
  <c r="DV64" i="27"/>
  <c r="DZ64" i="27" s="1"/>
  <c r="DV50" i="27"/>
  <c r="DZ50" i="27" s="1"/>
  <c r="DV35" i="27"/>
  <c r="DZ35" i="27" s="1"/>
  <c r="DV19" i="27"/>
  <c r="DZ19" i="27" s="1"/>
  <c r="DV6" i="27"/>
  <c r="DZ6" i="27" s="1"/>
  <c r="DV124" i="27"/>
  <c r="DZ124" i="27" s="1"/>
  <c r="DV109" i="27"/>
  <c r="DZ109" i="27" s="1"/>
  <c r="DV95" i="27"/>
  <c r="DZ95" i="27" s="1"/>
  <c r="DV80" i="27"/>
  <c r="DZ80" i="27" s="1"/>
  <c r="DV66" i="27"/>
  <c r="DZ66" i="27" s="1"/>
  <c r="DV45" i="27"/>
  <c r="DZ45" i="27" s="1"/>
  <c r="DV30" i="27"/>
  <c r="DZ30" i="27" s="1"/>
  <c r="DV14" i="27"/>
  <c r="DZ14" i="27" s="1"/>
  <c r="DV59" i="27"/>
  <c r="DZ59" i="27" s="1"/>
  <c r="DV123" i="27"/>
  <c r="DZ123" i="27" s="1"/>
  <c r="DV131" i="27"/>
  <c r="DZ131" i="27" s="1"/>
  <c r="DV108" i="27"/>
  <c r="DZ108" i="27" s="1"/>
  <c r="DV69" i="27"/>
  <c r="DZ69" i="27" s="1"/>
  <c r="DV48" i="27"/>
  <c r="DZ48" i="27" s="1"/>
  <c r="DV33" i="27"/>
  <c r="DZ33" i="27" s="1"/>
  <c r="DV17" i="27"/>
  <c r="DZ17" i="27" s="1"/>
  <c r="DV134" i="27"/>
  <c r="DZ134" i="27" s="1"/>
  <c r="DV118" i="27"/>
  <c r="DZ118" i="27" s="1"/>
  <c r="DV100" i="27"/>
  <c r="DZ100" i="27" s="1"/>
  <c r="DV86" i="27"/>
  <c r="DZ86" i="27" s="1"/>
  <c r="DV72" i="27"/>
  <c r="DZ72" i="27" s="1"/>
  <c r="DV58" i="27"/>
  <c r="DZ58" i="27" s="1"/>
  <c r="DV40" i="27"/>
  <c r="DZ40" i="27" s="1"/>
  <c r="DV24" i="27"/>
  <c r="DZ24" i="27" s="1"/>
  <c r="DV8" i="27"/>
  <c r="DZ8" i="27" s="1"/>
  <c r="DV125" i="27"/>
  <c r="DZ125" i="27" s="1"/>
  <c r="DV107" i="27"/>
  <c r="DZ107" i="27" s="1"/>
  <c r="DV89" i="27"/>
  <c r="DZ89" i="27" s="1"/>
  <c r="DV74" i="27"/>
  <c r="DZ74" i="27" s="1"/>
  <c r="DV60" i="27"/>
  <c r="DZ60" i="27" s="1"/>
  <c r="DV46" i="27"/>
  <c r="DZ46" i="27" s="1"/>
  <c r="DV31" i="27"/>
  <c r="DZ31" i="27" s="1"/>
  <c r="DV15" i="27"/>
  <c r="DZ15" i="27" s="1"/>
  <c r="DV136" i="27"/>
  <c r="DZ136" i="27" s="1"/>
  <c r="DV120" i="27"/>
  <c r="DZ120" i="27" s="1"/>
  <c r="DV106" i="27"/>
  <c r="DZ106" i="27" s="1"/>
  <c r="DV92" i="27"/>
  <c r="DZ92" i="27" s="1"/>
  <c r="DV77" i="27"/>
  <c r="DZ77" i="27" s="1"/>
  <c r="DV63" i="27"/>
  <c r="DZ63" i="27" s="1"/>
  <c r="DV42" i="27"/>
  <c r="DZ42" i="27" s="1"/>
  <c r="DV26" i="27"/>
  <c r="DZ26" i="27" s="1"/>
  <c r="AJ7" i="27" a="1"/>
  <c r="AJ7" i="27" s="1"/>
  <c r="AJ8" i="27" a="1"/>
  <c r="AJ8" i="27" s="1"/>
  <c r="AJ10" i="27" a="1"/>
  <c r="AJ10" i="27" s="1"/>
  <c r="AJ11" i="27" a="1"/>
  <c r="AJ11" i="27" s="1"/>
  <c r="AJ12" i="27" a="1"/>
  <c r="AJ12" i="27" s="1"/>
  <c r="AJ9" i="27" a="1"/>
  <c r="AJ9" i="27" s="1"/>
  <c r="AJ15" i="27" a="1"/>
  <c r="AJ15" i="27" s="1"/>
  <c r="AJ17" i="27" a="1"/>
  <c r="AJ17" i="27" s="1"/>
  <c r="AJ18" i="27" a="1"/>
  <c r="AJ18" i="27" s="1"/>
  <c r="AJ14" i="27" a="1"/>
  <c r="AJ14" i="27" s="1"/>
  <c r="AJ22" i="27" a="1"/>
  <c r="AJ22" i="27" s="1"/>
  <c r="AJ13" i="27" a="1"/>
  <c r="AJ13" i="27" s="1"/>
  <c r="AJ16" i="27" a="1"/>
  <c r="AJ16" i="27" s="1"/>
  <c r="AJ20" i="27" a="1"/>
  <c r="AJ20" i="27" s="1"/>
  <c r="AJ21" i="27" a="1"/>
  <c r="AJ21" i="27" s="1"/>
  <c r="AJ19" i="27" a="1"/>
  <c r="AJ19" i="27" s="1"/>
  <c r="AJ28" i="27" a="1"/>
  <c r="AJ28" i="27" s="1"/>
  <c r="AJ23" i="27" a="1"/>
  <c r="AJ23" i="27" s="1"/>
  <c r="AJ24" i="27" a="1"/>
  <c r="AJ24" i="27" s="1"/>
  <c r="AJ26" i="27" a="1"/>
  <c r="AJ26" i="27" s="1"/>
  <c r="AJ29" i="27" a="1"/>
  <c r="AJ29" i="27" s="1"/>
  <c r="AJ32" i="27" a="1"/>
  <c r="AJ32" i="27" s="1"/>
  <c r="AJ33" i="27" a="1"/>
  <c r="AJ33" i="27" s="1"/>
  <c r="AJ36" i="27" a="1"/>
  <c r="AJ36" i="27" s="1"/>
  <c r="AJ38" i="27" a="1"/>
  <c r="AJ38" i="27" s="1"/>
  <c r="AJ39" i="27" a="1"/>
  <c r="AJ39" i="27" s="1"/>
  <c r="AJ25" i="27" a="1"/>
  <c r="AJ25" i="27" s="1"/>
  <c r="AJ27" i="27" a="1"/>
  <c r="AJ27" i="27" s="1"/>
  <c r="AJ30" i="27" a="1"/>
  <c r="AJ30" i="27" s="1"/>
  <c r="AJ34" i="27" a="1"/>
  <c r="AJ34" i="27" s="1"/>
  <c r="AJ35" i="27" a="1"/>
  <c r="AJ35" i="27" s="1"/>
  <c r="AJ43" i="27" a="1"/>
  <c r="AJ43" i="27" s="1"/>
  <c r="AJ37" i="27" a="1"/>
  <c r="AJ37" i="27" s="1"/>
  <c r="AJ40" i="27" a="1"/>
  <c r="AJ40" i="27" s="1"/>
  <c r="AJ46" i="27" a="1"/>
  <c r="AJ46" i="27" s="1"/>
  <c r="AJ47" i="27" a="1"/>
  <c r="AJ47" i="27" s="1"/>
  <c r="AJ41" i="27" a="1"/>
  <c r="AJ41" i="27" s="1"/>
  <c r="AJ45" i="27" a="1"/>
  <c r="AJ45" i="27" s="1"/>
  <c r="AJ49" i="27" a="1"/>
  <c r="AJ49" i="27" s="1"/>
  <c r="AJ50" i="27" a="1"/>
  <c r="AJ50" i="27" s="1"/>
  <c r="AJ52" i="27" a="1"/>
  <c r="AJ52" i="27" s="1"/>
  <c r="AJ44" i="27" a="1"/>
  <c r="AJ44" i="27" s="1"/>
  <c r="AJ55" i="27" a="1"/>
  <c r="AJ55" i="27" s="1"/>
  <c r="AJ48" i="27" a="1"/>
  <c r="AJ48" i="27" s="1"/>
  <c r="AJ51" i="27" a="1"/>
  <c r="AJ51" i="27" s="1"/>
  <c r="AJ53" i="27" a="1"/>
  <c r="AJ53" i="27" s="1"/>
  <c r="AJ56" i="27" a="1"/>
  <c r="AJ56" i="27" s="1"/>
  <c r="AJ64" i="27" a="1"/>
  <c r="AJ64" i="27" s="1"/>
  <c r="AJ65" i="27" a="1"/>
  <c r="AJ65" i="27" s="1"/>
  <c r="AJ66" i="27" a="1"/>
  <c r="AJ66" i="27" s="1"/>
  <c r="AJ67" i="27" a="1"/>
  <c r="AJ67" i="27" s="1"/>
  <c r="AJ68" i="27" a="1"/>
  <c r="AJ68" i="27" s="1"/>
  <c r="AJ71" i="27" a="1"/>
  <c r="AJ71" i="27" s="1"/>
  <c r="AJ72" i="27" a="1"/>
  <c r="AJ72" i="27" s="1"/>
  <c r="AJ73" i="27" a="1"/>
  <c r="AJ73" i="27" s="1"/>
  <c r="AJ74" i="27" a="1"/>
  <c r="AJ74" i="27" s="1"/>
  <c r="AJ75" i="27" a="1"/>
  <c r="AJ75" i="27" s="1"/>
  <c r="AJ79" i="27" a="1"/>
  <c r="AJ79" i="27" s="1"/>
  <c r="AJ42" i="27" a="1"/>
  <c r="AJ42" i="27" s="1"/>
  <c r="AJ57" i="27" a="1"/>
  <c r="AJ57" i="27" s="1"/>
  <c r="AJ58" i="27" a="1"/>
  <c r="AJ58" i="27" s="1"/>
  <c r="AJ59" i="27" a="1"/>
  <c r="AJ59" i="27" s="1"/>
  <c r="AJ31" i="27" a="1"/>
  <c r="AJ31" i="27" s="1"/>
  <c r="AJ60" i="27" a="1"/>
  <c r="AJ60" i="27" s="1"/>
  <c r="AJ63" i="27" a="1"/>
  <c r="AJ63" i="27" s="1"/>
  <c r="AJ54" i="27" a="1"/>
  <c r="AJ54" i="27" s="1"/>
  <c r="AJ77" i="27" a="1"/>
  <c r="AJ77" i="27" s="1"/>
  <c r="AJ78" i="27" a="1"/>
  <c r="AJ78" i="27" s="1"/>
  <c r="AJ83" i="27" a="1"/>
  <c r="AJ83" i="27" s="1"/>
  <c r="AJ89" i="27" a="1"/>
  <c r="AJ89" i="27" s="1"/>
  <c r="AJ90" i="27" a="1"/>
  <c r="AJ90" i="27" s="1"/>
  <c r="AJ91" i="27" a="1"/>
  <c r="AJ91" i="27" s="1"/>
  <c r="AJ95" i="27" a="1"/>
  <c r="AJ95" i="27" s="1"/>
  <c r="AJ96" i="27" a="1"/>
  <c r="AJ96" i="27" s="1"/>
  <c r="AJ61" i="27" a="1"/>
  <c r="AJ61" i="27" s="1"/>
  <c r="AJ70" i="27" a="1"/>
  <c r="AJ70" i="27" s="1"/>
  <c r="AJ76" i="27" a="1"/>
  <c r="AJ76" i="27" s="1"/>
  <c r="AJ84" i="27" a="1"/>
  <c r="AJ84" i="27" s="1"/>
  <c r="AJ92" i="27" a="1"/>
  <c r="AJ92" i="27" s="1"/>
  <c r="AJ93" i="27" a="1"/>
  <c r="AJ93" i="27" s="1"/>
  <c r="AJ62" i="27" a="1"/>
  <c r="AJ62" i="27" s="1"/>
  <c r="AJ69" i="27" a="1"/>
  <c r="AJ69" i="27" s="1"/>
  <c r="AJ81" i="27" a="1"/>
  <c r="AJ81" i="27" s="1"/>
  <c r="AJ85" i="27" a="1"/>
  <c r="AJ85" i="27" s="1"/>
  <c r="AJ88" i="27" a="1"/>
  <c r="AJ88" i="27" s="1"/>
  <c r="AJ97" i="27" a="1"/>
  <c r="AJ97" i="27" s="1"/>
  <c r="AJ80" i="27" a="1"/>
  <c r="AJ80" i="27" s="1"/>
  <c r="AJ94" i="27" a="1"/>
  <c r="AJ94" i="27" s="1"/>
  <c r="AJ103" i="27" a="1"/>
  <c r="AJ103" i="27" s="1"/>
  <c r="AJ108" i="27" a="1"/>
  <c r="AJ108" i="27" s="1"/>
  <c r="AJ82" i="27" a="1"/>
  <c r="AJ82" i="27" s="1"/>
  <c r="AJ87" i="27" a="1"/>
  <c r="AJ87" i="27" s="1"/>
  <c r="AJ98" i="27" a="1"/>
  <c r="AJ98" i="27" s="1"/>
  <c r="AJ99" i="27" a="1"/>
  <c r="AJ99" i="27" s="1"/>
  <c r="AJ101" i="27" a="1"/>
  <c r="AJ101" i="27" s="1"/>
  <c r="AJ106" i="27" a="1"/>
  <c r="AJ106" i="27" s="1"/>
  <c r="AJ107" i="27" a="1"/>
  <c r="AJ107" i="27" s="1"/>
  <c r="AJ110" i="27" a="1"/>
  <c r="AJ110" i="27" s="1"/>
  <c r="AJ112" i="27" a="1"/>
  <c r="AJ112" i="27" s="1"/>
  <c r="AJ114" i="27" a="1"/>
  <c r="AJ114" i="27" s="1"/>
  <c r="AJ116" i="27" a="1"/>
  <c r="AJ116" i="27" s="1"/>
  <c r="AJ86" i="27" a="1"/>
  <c r="AJ86" i="27" s="1"/>
  <c r="AJ102" i="27" a="1"/>
  <c r="AJ102" i="27" s="1"/>
  <c r="AJ104" i="27" a="1"/>
  <c r="AJ104" i="27" s="1"/>
  <c r="AJ105" i="27" a="1"/>
  <c r="AJ105" i="27" s="1"/>
  <c r="AJ117" i="27" a="1"/>
  <c r="AJ117" i="27" s="1"/>
  <c r="AJ130" i="27" a="1"/>
  <c r="AJ130" i="27" s="1"/>
  <c r="AJ131" i="27" a="1"/>
  <c r="AJ131" i="27" s="1"/>
  <c r="AJ135" i="27" a="1"/>
  <c r="AJ135" i="27" s="1"/>
  <c r="AJ136" i="27" a="1"/>
  <c r="AJ136" i="27" s="1"/>
  <c r="AJ127" i="27" a="1"/>
  <c r="AJ127" i="27" s="1"/>
  <c r="AJ129" i="27" a="1"/>
  <c r="AJ129" i="27" s="1"/>
  <c r="AJ111" i="27" a="1"/>
  <c r="AJ111" i="27" s="1"/>
  <c r="AJ118" i="27" a="1"/>
  <c r="AJ118" i="27" s="1"/>
  <c r="AJ120" i="27" a="1"/>
  <c r="AJ120" i="27" s="1"/>
  <c r="AJ122" i="27" a="1"/>
  <c r="AJ122" i="27" s="1"/>
  <c r="AJ124" i="27" a="1"/>
  <c r="AJ124" i="27" s="1"/>
  <c r="AJ126" i="27" a="1"/>
  <c r="AJ126" i="27" s="1"/>
  <c r="AJ137" i="27" a="1"/>
  <c r="AJ137" i="27" s="1"/>
  <c r="AJ138" i="27" a="1"/>
  <c r="AJ138" i="27" s="1"/>
  <c r="AJ113" i="27" a="1"/>
  <c r="AJ113" i="27" s="1"/>
  <c r="AJ119" i="27" a="1"/>
  <c r="AJ119" i="27" s="1"/>
  <c r="AJ123" i="27" a="1"/>
  <c r="AJ123" i="27" s="1"/>
  <c r="AJ128" i="27" a="1"/>
  <c r="AJ128" i="27" s="1"/>
  <c r="AJ133" i="27" a="1"/>
  <c r="AJ133" i="27" s="1"/>
  <c r="AJ115" i="27" a="1"/>
  <c r="AJ115" i="27" s="1"/>
  <c r="AJ132" i="27" a="1"/>
  <c r="AJ132" i="27" s="1"/>
  <c r="AJ139" i="27" a="1"/>
  <c r="AJ139" i="27" s="1"/>
  <c r="AJ100" i="27" a="1"/>
  <c r="AJ100" i="27" s="1"/>
  <c r="AJ109" i="27" a="1"/>
  <c r="AJ109" i="27" s="1"/>
  <c r="AJ121" i="27" a="1"/>
  <c r="AJ121" i="27" s="1"/>
  <c r="AJ125" i="27" a="1"/>
  <c r="AJ125" i="27" s="1"/>
  <c r="AJ134" i="27" a="1"/>
  <c r="AJ134" i="27" s="1"/>
  <c r="AQ7" i="27" a="1"/>
  <c r="AQ7" i="27" s="1"/>
  <c r="AQ9" i="27" a="1"/>
  <c r="AQ9" i="27" s="1"/>
  <c r="AQ10" i="27" a="1"/>
  <c r="AQ10" i="27" s="1"/>
  <c r="AQ8" i="27" a="1"/>
  <c r="AQ8" i="27" s="1"/>
  <c r="AQ11" i="27" a="1"/>
  <c r="AQ11" i="27" s="1"/>
  <c r="AQ14" i="27" a="1"/>
  <c r="AQ14" i="27" s="1"/>
  <c r="AQ18" i="27" a="1"/>
  <c r="AQ18" i="27" s="1"/>
  <c r="AQ12" i="27" a="1"/>
  <c r="AQ12" i="27" s="1"/>
  <c r="AQ16" i="27" a="1"/>
  <c r="AQ16" i="27" s="1"/>
  <c r="AQ22" i="27" a="1"/>
  <c r="AQ22" i="27" s="1"/>
  <c r="AQ19" i="27" a="1"/>
  <c r="AQ19" i="27" s="1"/>
  <c r="AQ21" i="27" a="1"/>
  <c r="AQ21" i="27" s="1"/>
  <c r="AQ24" i="27" a="1"/>
  <c r="AQ24" i="27" s="1"/>
  <c r="AQ27" i="27" a="1"/>
  <c r="AQ27" i="27" s="1"/>
  <c r="AQ23" i="27" a="1"/>
  <c r="AQ23" i="27" s="1"/>
  <c r="AQ25" i="27" a="1"/>
  <c r="AQ25" i="27" s="1"/>
  <c r="AQ26" i="27" a="1"/>
  <c r="AQ26" i="27" s="1"/>
  <c r="AQ28" i="27" a="1"/>
  <c r="AQ28" i="27" s="1"/>
  <c r="AQ30" i="27" a="1"/>
  <c r="AQ30" i="27" s="1"/>
  <c r="AQ37" i="27" a="1"/>
  <c r="AQ37" i="27" s="1"/>
  <c r="AQ15" i="27" a="1"/>
  <c r="AQ15" i="27" s="1"/>
  <c r="AQ20" i="27" a="1"/>
  <c r="AQ20" i="27" s="1"/>
  <c r="AQ32" i="27" a="1"/>
  <c r="AQ32" i="27" s="1"/>
  <c r="AQ35" i="27" a="1"/>
  <c r="AQ35" i="27" s="1"/>
  <c r="AQ17" i="27" a="1"/>
  <c r="AQ17" i="27" s="1"/>
  <c r="AQ40" i="27" a="1"/>
  <c r="AQ40" i="27" s="1"/>
  <c r="AQ41" i="27" a="1"/>
  <c r="AQ41" i="27" s="1"/>
  <c r="AQ43" i="27" a="1"/>
  <c r="AQ43" i="27" s="1"/>
  <c r="AQ13" i="27" a="1"/>
  <c r="AQ13" i="27" s="1"/>
  <c r="AQ29" i="27" a="1"/>
  <c r="AQ29" i="27" s="1"/>
  <c r="AQ33" i="27" a="1"/>
  <c r="AQ33" i="27" s="1"/>
  <c r="AQ31" i="27" a="1"/>
  <c r="AQ31" i="27" s="1"/>
  <c r="AQ38" i="27" a="1"/>
  <c r="AQ38" i="27" s="1"/>
  <c r="AQ42" i="27" a="1"/>
  <c r="AQ42" i="27" s="1"/>
  <c r="AQ44" i="27" a="1"/>
  <c r="AQ44" i="27" s="1"/>
  <c r="AQ46" i="27" a="1"/>
  <c r="AQ46" i="27" s="1"/>
  <c r="AQ47" i="27" a="1"/>
  <c r="AQ47" i="27" s="1"/>
  <c r="AQ49" i="27" a="1"/>
  <c r="AQ49" i="27" s="1"/>
  <c r="AQ55" i="27" a="1"/>
  <c r="AQ55" i="27" s="1"/>
  <c r="AQ39" i="27" a="1"/>
  <c r="AQ39" i="27" s="1"/>
  <c r="AQ45" i="27" a="1"/>
  <c r="AQ45" i="27" s="1"/>
  <c r="AQ51" i="27" a="1"/>
  <c r="AQ51" i="27" s="1"/>
  <c r="AQ53" i="27" a="1"/>
  <c r="AQ53" i="27" s="1"/>
  <c r="AQ56" i="27" a="1"/>
  <c r="AQ56" i="27" s="1"/>
  <c r="AQ34" i="27" a="1"/>
  <c r="AQ34" i="27" s="1"/>
  <c r="AQ48" i="27" a="1"/>
  <c r="AQ48" i="27" s="1"/>
  <c r="AQ52" i="27" a="1"/>
  <c r="AQ52" i="27" s="1"/>
  <c r="AQ54" i="27" a="1"/>
  <c r="AQ54" i="27" s="1"/>
  <c r="AQ57" i="27" a="1"/>
  <c r="AQ57" i="27" s="1"/>
  <c r="AQ60" i="27" a="1"/>
  <c r="AQ60" i="27" s="1"/>
  <c r="AQ70" i="27" a="1"/>
  <c r="AQ70" i="27" s="1"/>
  <c r="AQ76" i="27" a="1"/>
  <c r="AQ76" i="27" s="1"/>
  <c r="AQ77" i="27" a="1"/>
  <c r="AQ77" i="27" s="1"/>
  <c r="AQ50" i="27" a="1"/>
  <c r="AQ50" i="27" s="1"/>
  <c r="AQ61" i="27" a="1"/>
  <c r="AQ61" i="27" s="1"/>
  <c r="AQ62" i="27" a="1"/>
  <c r="AQ62" i="27" s="1"/>
  <c r="AQ69" i="27" a="1"/>
  <c r="AQ69" i="27" s="1"/>
  <c r="AQ72" i="27" a="1"/>
  <c r="AQ72" i="27" s="1"/>
  <c r="AQ73" i="27" a="1"/>
  <c r="AQ73" i="27" s="1"/>
  <c r="AQ74" i="27" a="1"/>
  <c r="AQ74" i="27" s="1"/>
  <c r="AQ75" i="27" a="1"/>
  <c r="AQ75" i="27" s="1"/>
  <c r="AQ36" i="27" a="1"/>
  <c r="AQ36" i="27" s="1"/>
  <c r="AQ71" i="27" a="1"/>
  <c r="AQ71" i="27" s="1"/>
  <c r="AQ59" i="27" a="1"/>
  <c r="AQ59" i="27" s="1"/>
  <c r="AQ65" i="27" a="1"/>
  <c r="AQ65" i="27" s="1"/>
  <c r="AQ80" i="27" a="1"/>
  <c r="AQ80" i="27" s="1"/>
  <c r="AQ81" i="27" a="1"/>
  <c r="AQ81" i="27" s="1"/>
  <c r="AQ84" i="27" a="1"/>
  <c r="AQ84" i="27" s="1"/>
  <c r="AQ91" i="27" a="1"/>
  <c r="AQ91" i="27" s="1"/>
  <c r="AQ64" i="27" a="1"/>
  <c r="AQ64" i="27" s="1"/>
  <c r="AQ78" i="27" a="1"/>
  <c r="AQ78" i="27" s="1"/>
  <c r="AQ79" i="27" a="1"/>
  <c r="AQ79" i="27" s="1"/>
  <c r="AQ85" i="27" a="1"/>
  <c r="AQ85" i="27" s="1"/>
  <c r="AQ88" i="27" a="1"/>
  <c r="AQ88" i="27" s="1"/>
  <c r="AQ89" i="27" a="1"/>
  <c r="AQ89" i="27" s="1"/>
  <c r="AQ90" i="27" a="1"/>
  <c r="AQ90" i="27" s="1"/>
  <c r="AQ68" i="27" a="1"/>
  <c r="AQ68" i="27" s="1"/>
  <c r="AQ82" i="27" a="1"/>
  <c r="AQ82" i="27" s="1"/>
  <c r="AQ86" i="27" a="1"/>
  <c r="AQ86" i="27" s="1"/>
  <c r="AQ87" i="27" a="1"/>
  <c r="AQ87" i="27" s="1"/>
  <c r="AQ92" i="27" a="1"/>
  <c r="AQ92" i="27" s="1"/>
  <c r="AQ93" i="27" a="1"/>
  <c r="AQ93" i="27" s="1"/>
  <c r="AQ96" i="27" a="1"/>
  <c r="AQ96" i="27" s="1"/>
  <c r="AQ67" i="27" a="1"/>
  <c r="AQ67" i="27" s="1"/>
  <c r="AQ94" i="27" a="1"/>
  <c r="AQ94" i="27" s="1"/>
  <c r="AQ99" i="27" a="1"/>
  <c r="AQ99" i="27" s="1"/>
  <c r="AQ101" i="27" a="1"/>
  <c r="AQ101" i="27" s="1"/>
  <c r="AQ58" i="27" a="1"/>
  <c r="AQ58" i="27" s="1"/>
  <c r="AQ66" i="27" a="1"/>
  <c r="AQ66" i="27" s="1"/>
  <c r="AQ95" i="27" a="1"/>
  <c r="AQ95" i="27" s="1"/>
  <c r="AQ98" i="27" a="1"/>
  <c r="AQ98" i="27" s="1"/>
  <c r="AQ102" i="27" a="1"/>
  <c r="AQ102" i="27" s="1"/>
  <c r="AQ108" i="27" a="1"/>
  <c r="AQ108" i="27" s="1"/>
  <c r="AQ109" i="27" a="1"/>
  <c r="AQ109" i="27" s="1"/>
  <c r="AQ111" i="27" a="1"/>
  <c r="AQ111" i="27" s="1"/>
  <c r="AQ113" i="27" a="1"/>
  <c r="AQ113" i="27" s="1"/>
  <c r="AQ115" i="27" a="1"/>
  <c r="AQ115" i="27" s="1"/>
  <c r="AQ117" i="27" a="1"/>
  <c r="AQ117" i="27" s="1"/>
  <c r="AQ63" i="27" a="1"/>
  <c r="AQ63" i="27" s="1"/>
  <c r="AQ83" i="27" a="1"/>
  <c r="AQ83" i="27" s="1"/>
  <c r="AQ100" i="27" a="1"/>
  <c r="AQ100" i="27" s="1"/>
  <c r="AQ106" i="27" a="1"/>
  <c r="AQ106" i="27" s="1"/>
  <c r="AQ107" i="27" a="1"/>
  <c r="AQ107" i="27" s="1"/>
  <c r="AQ97" i="27" a="1"/>
  <c r="AQ97" i="27" s="1"/>
  <c r="AQ103" i="27" a="1"/>
  <c r="AQ103" i="27" s="1"/>
  <c r="AQ116" i="27" a="1"/>
  <c r="AQ116" i="27" s="1"/>
  <c r="AQ119" i="27" a="1"/>
  <c r="AQ119" i="27" s="1"/>
  <c r="AQ121" i="27" a="1"/>
  <c r="AQ121" i="27" s="1"/>
  <c r="AQ123" i="27" a="1"/>
  <c r="AQ123" i="27" s="1"/>
  <c r="AQ132" i="27" a="1"/>
  <c r="AQ132" i="27" s="1"/>
  <c r="AQ139" i="27" a="1"/>
  <c r="AQ139" i="27" s="1"/>
  <c r="AQ110" i="27" a="1"/>
  <c r="AQ110" i="27" s="1"/>
  <c r="AQ114" i="27" a="1"/>
  <c r="AQ114" i="27" s="1"/>
  <c r="AQ125" i="27" a="1"/>
  <c r="AQ125" i="27" s="1"/>
  <c r="AQ127" i="27" a="1"/>
  <c r="AQ127" i="27" s="1"/>
  <c r="AQ128" i="27" a="1"/>
  <c r="AQ128" i="27" s="1"/>
  <c r="AQ129" i="27" a="1"/>
  <c r="AQ129" i="27" s="1"/>
  <c r="AQ133" i="27" a="1"/>
  <c r="AQ133" i="27" s="1"/>
  <c r="AQ134" i="27" a="1"/>
  <c r="AQ134" i="27" s="1"/>
  <c r="AQ112" i="27" a="1"/>
  <c r="AQ112" i="27" s="1"/>
  <c r="AQ137" i="27" a="1"/>
  <c r="AQ137" i="27" s="1"/>
  <c r="AQ104" i="27" a="1"/>
  <c r="AQ104" i="27" s="1"/>
  <c r="AQ105" i="27" a="1"/>
  <c r="AQ105" i="27" s="1"/>
  <c r="AQ118" i="27" a="1"/>
  <c r="AQ118" i="27" s="1"/>
  <c r="AQ120" i="27" a="1"/>
  <c r="AQ120" i="27" s="1"/>
  <c r="AQ122" i="27" a="1"/>
  <c r="AQ122" i="27" s="1"/>
  <c r="AQ124" i="27" a="1"/>
  <c r="AQ124" i="27" s="1"/>
  <c r="AQ130" i="27" a="1"/>
  <c r="AQ130" i="27" s="1"/>
  <c r="AQ131" i="27" a="1"/>
  <c r="AQ131" i="27" s="1"/>
  <c r="AQ135" i="27" a="1"/>
  <c r="AQ135" i="27" s="1"/>
  <c r="AQ136" i="27" a="1"/>
  <c r="AQ136" i="27" s="1"/>
  <c r="AQ126" i="27" a="1"/>
  <c r="AQ126" i="27" s="1"/>
  <c r="AQ138" i="27" a="1"/>
  <c r="AQ138" i="27" s="1"/>
  <c r="AO8" i="27" a="1"/>
  <c r="AO8" i="27" s="1"/>
  <c r="AO9" i="27" a="1"/>
  <c r="AO9" i="27" s="1"/>
  <c r="AO7" i="27" a="1"/>
  <c r="AO7" i="27" s="1"/>
  <c r="AO10" i="27" a="1"/>
  <c r="AO10" i="27" s="1"/>
  <c r="AO11" i="27" a="1"/>
  <c r="AO11" i="27" s="1"/>
  <c r="AO13" i="27" a="1"/>
  <c r="AO13" i="27" s="1"/>
  <c r="AO16" i="27" a="1"/>
  <c r="AO16" i="27" s="1"/>
  <c r="AO12" i="27" a="1"/>
  <c r="AO12" i="27" s="1"/>
  <c r="AO14" i="27" a="1"/>
  <c r="AO14" i="27" s="1"/>
  <c r="AO15" i="27" a="1"/>
  <c r="AO15" i="27" s="1"/>
  <c r="AO17" i="27" a="1"/>
  <c r="AO17" i="27" s="1"/>
  <c r="AO20" i="27" a="1"/>
  <c r="AO20" i="27" s="1"/>
  <c r="AO21" i="27" a="1"/>
  <c r="AO21" i="27" s="1"/>
  <c r="AO23" i="27" a="1"/>
  <c r="AO23" i="27" s="1"/>
  <c r="AO18" i="27" a="1"/>
  <c r="AO18" i="27" s="1"/>
  <c r="AO19" i="27" a="1"/>
  <c r="AO19" i="27" s="1"/>
  <c r="AO22" i="27" a="1"/>
  <c r="AO22" i="27" s="1"/>
  <c r="AO25" i="27" a="1"/>
  <c r="AO25" i="27" s="1"/>
  <c r="AO26" i="27" a="1"/>
  <c r="AO26" i="27" s="1"/>
  <c r="AO31" i="27" a="1"/>
  <c r="AO31" i="27" s="1"/>
  <c r="AO34" i="27" a="1"/>
  <c r="AO34" i="27" s="1"/>
  <c r="AO27" i="27" a="1"/>
  <c r="AO27" i="27" s="1"/>
  <c r="AO29" i="27" a="1"/>
  <c r="AO29" i="27" s="1"/>
  <c r="AO28" i="27" a="1"/>
  <c r="AO28" i="27" s="1"/>
  <c r="AO32" i="27" a="1"/>
  <c r="AO32" i="27" s="1"/>
  <c r="AO33" i="27" a="1"/>
  <c r="AO33" i="27" s="1"/>
  <c r="AO35" i="27" a="1"/>
  <c r="AO35" i="27" s="1"/>
  <c r="AO38" i="27" a="1"/>
  <c r="AO38" i="27" s="1"/>
  <c r="AO42" i="27" a="1"/>
  <c r="AO42" i="27" s="1"/>
  <c r="AO30" i="27" a="1"/>
  <c r="AO30" i="27" s="1"/>
  <c r="AO36" i="27" a="1"/>
  <c r="AO36" i="27" s="1"/>
  <c r="AO39" i="27" a="1"/>
  <c r="AO39" i="27" s="1"/>
  <c r="AO24" i="27" a="1"/>
  <c r="AO24" i="27" s="1"/>
  <c r="AO37" i="27" a="1"/>
  <c r="AO37" i="27" s="1"/>
  <c r="AO40" i="27" a="1"/>
  <c r="AO40" i="27" s="1"/>
  <c r="AO41" i="27" a="1"/>
  <c r="AO41" i="27" s="1"/>
  <c r="AO43" i="27" a="1"/>
  <c r="AO43" i="27" s="1"/>
  <c r="AO45" i="27" a="1"/>
  <c r="AO45" i="27" s="1"/>
  <c r="AO44" i="27" a="1"/>
  <c r="AO44" i="27" s="1"/>
  <c r="AO48" i="27" a="1"/>
  <c r="AO48" i="27" s="1"/>
  <c r="AO50" i="27" a="1"/>
  <c r="AO50" i="27" s="1"/>
  <c r="AO52" i="27" a="1"/>
  <c r="AO52" i="27" s="1"/>
  <c r="AO46" i="27" a="1"/>
  <c r="AO46" i="27" s="1"/>
  <c r="AO49" i="27" a="1"/>
  <c r="AO49" i="27" s="1"/>
  <c r="AO55" i="27" a="1"/>
  <c r="AO55" i="27" s="1"/>
  <c r="AO51" i="27" a="1"/>
  <c r="AO51" i="27" s="1"/>
  <c r="AO53" i="27" a="1"/>
  <c r="AO53" i="27" s="1"/>
  <c r="AO47" i="27" a="1"/>
  <c r="AO47" i="27" s="1"/>
  <c r="AO56" i="27" a="1"/>
  <c r="AO56" i="27" s="1"/>
  <c r="AO58" i="27" a="1"/>
  <c r="AO58" i="27" s="1"/>
  <c r="AO63" i="27" a="1"/>
  <c r="AO63" i="27" s="1"/>
  <c r="AO64" i="27" a="1"/>
  <c r="AO64" i="27" s="1"/>
  <c r="AO65" i="27" a="1"/>
  <c r="AO65" i="27" s="1"/>
  <c r="AO66" i="27" a="1"/>
  <c r="AO66" i="27" s="1"/>
  <c r="AO67" i="27" a="1"/>
  <c r="AO67" i="27" s="1"/>
  <c r="AO68" i="27" a="1"/>
  <c r="AO68" i="27" s="1"/>
  <c r="AO57" i="27" a="1"/>
  <c r="AO57" i="27" s="1"/>
  <c r="AO59" i="27" a="1"/>
  <c r="AO59" i="27" s="1"/>
  <c r="AO60" i="27" a="1"/>
  <c r="AO60" i="27" s="1"/>
  <c r="AO61" i="27" a="1"/>
  <c r="AO61" i="27" s="1"/>
  <c r="AO62" i="27" a="1"/>
  <c r="AO62" i="27" s="1"/>
  <c r="AO69" i="27" a="1"/>
  <c r="AO69" i="27" s="1"/>
  <c r="AO70" i="27" a="1"/>
  <c r="AO70" i="27" s="1"/>
  <c r="AO73" i="27" a="1"/>
  <c r="AO73" i="27" s="1"/>
  <c r="AO74" i="27" a="1"/>
  <c r="AO74" i="27" s="1"/>
  <c r="AO79" i="27" a="1"/>
  <c r="AO79" i="27" s="1"/>
  <c r="AO71" i="27" a="1"/>
  <c r="AO71" i="27" s="1"/>
  <c r="AO72" i="27" a="1"/>
  <c r="AO72" i="27" s="1"/>
  <c r="AO76" i="27" a="1"/>
  <c r="AO76" i="27" s="1"/>
  <c r="AO78" i="27" a="1"/>
  <c r="AO78" i="27" s="1"/>
  <c r="AO83" i="27" a="1"/>
  <c r="AO83" i="27" s="1"/>
  <c r="AO92" i="27" a="1"/>
  <c r="AO92" i="27" s="1"/>
  <c r="AO54" i="27" a="1"/>
  <c r="AO54" i="27" s="1"/>
  <c r="AO75" i="27" a="1"/>
  <c r="AO75" i="27" s="1"/>
  <c r="AO84" i="27" a="1"/>
  <c r="AO84" i="27" s="1"/>
  <c r="AO80" i="27" a="1"/>
  <c r="AO80" i="27" s="1"/>
  <c r="AO81" i="27" a="1"/>
  <c r="AO81" i="27" s="1"/>
  <c r="AO85" i="27" a="1"/>
  <c r="AO85" i="27" s="1"/>
  <c r="AO88" i="27" a="1"/>
  <c r="AO88" i="27" s="1"/>
  <c r="AO90" i="27" a="1"/>
  <c r="AO90" i="27" s="1"/>
  <c r="AO91" i="27" a="1"/>
  <c r="AO91" i="27" s="1"/>
  <c r="AO96" i="27" a="1"/>
  <c r="AO96" i="27" s="1"/>
  <c r="AO97" i="27" a="1"/>
  <c r="AO97" i="27" s="1"/>
  <c r="AO77" i="27" a="1"/>
  <c r="AO77" i="27" s="1"/>
  <c r="AO86" i="27" a="1"/>
  <c r="AO86" i="27" s="1"/>
  <c r="AO95" i="27" a="1"/>
  <c r="AO95" i="27" s="1"/>
  <c r="AO103" i="27" a="1"/>
  <c r="AO103" i="27" s="1"/>
  <c r="AO104" i="27" a="1"/>
  <c r="AO104" i="27" s="1"/>
  <c r="AO110" i="27" a="1"/>
  <c r="AO110" i="27" s="1"/>
  <c r="AO112" i="27" a="1"/>
  <c r="AO112" i="27" s="1"/>
  <c r="AO114" i="27" a="1"/>
  <c r="AO114" i="27" s="1"/>
  <c r="AO116" i="27" a="1"/>
  <c r="AO116" i="27" s="1"/>
  <c r="AO118" i="27" a="1"/>
  <c r="AO118" i="27" s="1"/>
  <c r="AO120" i="27" a="1"/>
  <c r="AO120" i="27" s="1"/>
  <c r="AO122" i="27" a="1"/>
  <c r="AO122" i="27" s="1"/>
  <c r="AO124" i="27" a="1"/>
  <c r="AO124" i="27" s="1"/>
  <c r="AO99" i="27" a="1"/>
  <c r="AO99" i="27" s="1"/>
  <c r="AO101" i="27" a="1"/>
  <c r="AO101" i="27" s="1"/>
  <c r="AO105" i="27" a="1"/>
  <c r="AO105" i="27" s="1"/>
  <c r="AO102" i="27" a="1"/>
  <c r="AO102" i="27" s="1"/>
  <c r="AO109" i="27" a="1"/>
  <c r="AO109" i="27" s="1"/>
  <c r="AO111" i="27" a="1"/>
  <c r="AO111" i="27" s="1"/>
  <c r="AO113" i="27" a="1"/>
  <c r="AO113" i="27" s="1"/>
  <c r="AO115" i="27" a="1"/>
  <c r="AO115" i="27" s="1"/>
  <c r="AO117" i="27" a="1"/>
  <c r="AO117" i="27" s="1"/>
  <c r="AO119" i="27" a="1"/>
  <c r="AO119" i="27" s="1"/>
  <c r="AO121" i="27" a="1"/>
  <c r="AO121" i="27" s="1"/>
  <c r="AO123" i="27" a="1"/>
  <c r="AO123" i="27" s="1"/>
  <c r="AO82" i="27" a="1"/>
  <c r="AO82" i="27" s="1"/>
  <c r="AO89" i="27" a="1"/>
  <c r="AO89" i="27" s="1"/>
  <c r="AO93" i="27" a="1"/>
  <c r="AO93" i="27" s="1"/>
  <c r="AO126" i="27" a="1"/>
  <c r="AO126" i="27" s="1"/>
  <c r="AO137" i="27" a="1"/>
  <c r="AO137" i="27" s="1"/>
  <c r="AO138" i="27" a="1"/>
  <c r="AO138" i="27" s="1"/>
  <c r="AO98" i="27" a="1"/>
  <c r="AO98" i="27" s="1"/>
  <c r="AO100" i="27" a="1"/>
  <c r="AO100" i="27" s="1"/>
  <c r="AO106" i="27" a="1"/>
  <c r="AO106" i="27" s="1"/>
  <c r="AO132" i="27" a="1"/>
  <c r="AO132" i="27" s="1"/>
  <c r="AO139" i="27" a="1"/>
  <c r="AO139" i="27" s="1"/>
  <c r="AO94" i="27" a="1"/>
  <c r="AO94" i="27" s="1"/>
  <c r="AO108" i="27" a="1"/>
  <c r="AO108" i="27" s="1"/>
  <c r="AO130" i="27" a="1"/>
  <c r="AO130" i="27" s="1"/>
  <c r="AO135" i="27" a="1"/>
  <c r="AO135" i="27" s="1"/>
  <c r="AO136" i="27" a="1"/>
  <c r="AO136" i="27" s="1"/>
  <c r="AO87" i="27" a="1"/>
  <c r="AO87" i="27" s="1"/>
  <c r="AO125" i="27" a="1"/>
  <c r="AO125" i="27" s="1"/>
  <c r="AO127" i="27" a="1"/>
  <c r="AO127" i="27" s="1"/>
  <c r="AO128" i="27" a="1"/>
  <c r="AO128" i="27" s="1"/>
  <c r="AO129" i="27" a="1"/>
  <c r="AO129" i="27" s="1"/>
  <c r="AO133" i="27" a="1"/>
  <c r="AO133" i="27" s="1"/>
  <c r="AO134" i="27" a="1"/>
  <c r="AO134" i="27" s="1"/>
  <c r="AO107" i="27" a="1"/>
  <c r="AO107" i="27" s="1"/>
  <c r="AO131" i="27" a="1"/>
  <c r="AO131" i="27" s="1"/>
  <c r="P12" i="12"/>
  <c r="P32" i="12"/>
  <c r="P27" i="12"/>
  <c r="P53" i="12"/>
  <c r="P44" i="12"/>
  <c r="P59" i="12"/>
  <c r="P67" i="12"/>
  <c r="P64" i="12"/>
  <c r="P78" i="12"/>
  <c r="P75" i="12"/>
  <c r="P85" i="12"/>
  <c r="P110" i="12"/>
  <c r="P117" i="12"/>
  <c r="P94" i="12"/>
  <c r="P135" i="12"/>
  <c r="P76" i="12"/>
  <c r="AU7" i="27" a="1"/>
  <c r="AU7" i="27" s="1"/>
  <c r="AU9" i="27" a="1"/>
  <c r="AU9" i="27" s="1"/>
  <c r="AU8" i="27" a="1"/>
  <c r="AU8" i="27" s="1"/>
  <c r="AU10" i="27" a="1"/>
  <c r="AU10" i="27" s="1"/>
  <c r="AU12" i="27" a="1"/>
  <c r="AU12" i="27" s="1"/>
  <c r="AU11" i="27" a="1"/>
  <c r="AU11" i="27" s="1"/>
  <c r="AU13" i="27" a="1"/>
  <c r="AU13" i="27" s="1"/>
  <c r="AU18" i="27" a="1"/>
  <c r="AU18" i="27" s="1"/>
  <c r="AU14" i="27" a="1"/>
  <c r="AU14" i="27" s="1"/>
  <c r="AU15" i="27" a="1"/>
  <c r="AU15" i="27" s="1"/>
  <c r="AU17" i="27" a="1"/>
  <c r="AU17" i="27" s="1"/>
  <c r="AU20" i="27" a="1"/>
  <c r="AU20" i="27" s="1"/>
  <c r="AU21" i="27" a="1"/>
  <c r="AU21" i="27" s="1"/>
  <c r="AU22" i="27" a="1"/>
  <c r="AU22" i="27" s="1"/>
  <c r="AU16" i="27" a="1"/>
  <c r="AU16" i="27" s="1"/>
  <c r="AU23" i="27" a="1"/>
  <c r="AU23" i="27" s="1"/>
  <c r="AU24" i="27" a="1"/>
  <c r="AU24" i="27" s="1"/>
  <c r="AU30" i="27" a="1"/>
  <c r="AU30" i="27" s="1"/>
  <c r="AU33" i="27" a="1"/>
  <c r="AU33" i="27" s="1"/>
  <c r="AU37" i="27" a="1"/>
  <c r="AU37" i="27" s="1"/>
  <c r="AU38" i="27" a="1"/>
  <c r="AU38" i="27" s="1"/>
  <c r="AU35" i="27" a="1"/>
  <c r="AU35" i="27" s="1"/>
  <c r="AU19" i="27" a="1"/>
  <c r="AU19" i="27" s="1"/>
  <c r="AU25" i="27" a="1"/>
  <c r="AU25" i="27" s="1"/>
  <c r="AU27" i="27" a="1"/>
  <c r="AU27" i="27" s="1"/>
  <c r="AU31" i="27" a="1"/>
  <c r="AU31" i="27" s="1"/>
  <c r="AU32" i="27" a="1"/>
  <c r="AU32" i="27" s="1"/>
  <c r="AU43" i="27" a="1"/>
  <c r="AU43" i="27" s="1"/>
  <c r="AU26" i="27" a="1"/>
  <c r="AU26" i="27" s="1"/>
  <c r="AU28" i="27" a="1"/>
  <c r="AU28" i="27" s="1"/>
  <c r="AU34" i="27" a="1"/>
  <c r="AU34" i="27" s="1"/>
  <c r="AU41" i="27" a="1"/>
  <c r="AU41" i="27" s="1"/>
  <c r="AU45" i="27" a="1"/>
  <c r="AU45" i="27" s="1"/>
  <c r="AU29" i="27" a="1"/>
  <c r="AU29" i="27" s="1"/>
  <c r="AU36" i="27" a="1"/>
  <c r="AU36" i="27" s="1"/>
  <c r="AU39" i="27" a="1"/>
  <c r="AU39" i="27" s="1"/>
  <c r="AU42" i="27" a="1"/>
  <c r="AU42" i="27" s="1"/>
  <c r="AU44" i="27" a="1"/>
  <c r="AU44" i="27" s="1"/>
  <c r="AU46" i="27" a="1"/>
  <c r="AU46" i="27" s="1"/>
  <c r="AU47" i="27" a="1"/>
  <c r="AU47" i="27" s="1"/>
  <c r="AU49" i="27" a="1"/>
  <c r="AU49" i="27" s="1"/>
  <c r="AU54" i="27" a="1"/>
  <c r="AU54" i="27" s="1"/>
  <c r="AU50" i="27" a="1"/>
  <c r="AU50" i="27" s="1"/>
  <c r="AU52" i="27" a="1"/>
  <c r="AU52" i="27" s="1"/>
  <c r="AU40" i="27" a="1"/>
  <c r="AU40" i="27" s="1"/>
  <c r="AU48" i="27" a="1"/>
  <c r="AU48" i="27" s="1"/>
  <c r="AU53" i="27" a="1"/>
  <c r="AU53" i="27" s="1"/>
  <c r="AU55" i="27" a="1"/>
  <c r="AU55" i="27" s="1"/>
  <c r="AU58" i="27" a="1"/>
  <c r="AU58" i="27" s="1"/>
  <c r="AU63" i="27" a="1"/>
  <c r="AU63" i="27" s="1"/>
  <c r="AU77" i="27" a="1"/>
  <c r="AU77" i="27" s="1"/>
  <c r="AU56" i="27" a="1"/>
  <c r="AU56" i="27" s="1"/>
  <c r="AU57" i="27" a="1"/>
  <c r="AU57" i="27" s="1"/>
  <c r="AU59" i="27" a="1"/>
  <c r="AU59" i="27" s="1"/>
  <c r="AU64" i="27" a="1"/>
  <c r="AU64" i="27" s="1"/>
  <c r="AU65" i="27" a="1"/>
  <c r="AU65" i="27" s="1"/>
  <c r="AU66" i="27" a="1"/>
  <c r="AU66" i="27" s="1"/>
  <c r="AU67" i="27" a="1"/>
  <c r="AU67" i="27" s="1"/>
  <c r="AU68" i="27" a="1"/>
  <c r="AU68" i="27" s="1"/>
  <c r="AU74" i="27" a="1"/>
  <c r="AU74" i="27" s="1"/>
  <c r="AU60" i="27" a="1"/>
  <c r="AU60" i="27" s="1"/>
  <c r="AU61" i="27" a="1"/>
  <c r="AU61" i="27" s="1"/>
  <c r="AU62" i="27" a="1"/>
  <c r="AU62" i="27" s="1"/>
  <c r="AU69" i="27" a="1"/>
  <c r="AU69" i="27" s="1"/>
  <c r="AU70" i="27" a="1"/>
  <c r="AU70" i="27" s="1"/>
  <c r="AU73" i="27" a="1"/>
  <c r="AU73" i="27" s="1"/>
  <c r="AU76" i="27" a="1"/>
  <c r="AU76" i="27" s="1"/>
  <c r="AU78" i="27" a="1"/>
  <c r="AU78" i="27" s="1"/>
  <c r="AU82" i="27" a="1"/>
  <c r="AU82" i="27" s="1"/>
  <c r="AU86" i="27" a="1"/>
  <c r="AU86" i="27" s="1"/>
  <c r="AU87" i="27" a="1"/>
  <c r="AU87" i="27" s="1"/>
  <c r="AU91" i="27" a="1"/>
  <c r="AU91" i="27" s="1"/>
  <c r="AU96" i="27" a="1"/>
  <c r="AU96" i="27" s="1"/>
  <c r="AU79" i="27" a="1"/>
  <c r="AU79" i="27" s="1"/>
  <c r="AU80" i="27" a="1"/>
  <c r="AU80" i="27" s="1"/>
  <c r="AU83" i="27" a="1"/>
  <c r="AU83" i="27" s="1"/>
  <c r="AU51" i="27" a="1"/>
  <c r="AU51" i="27" s="1"/>
  <c r="AU71" i="27" a="1"/>
  <c r="AU71" i="27" s="1"/>
  <c r="AU72" i="27" a="1"/>
  <c r="AU72" i="27" s="1"/>
  <c r="AU81" i="27" a="1"/>
  <c r="AU81" i="27" s="1"/>
  <c r="AU84" i="27" a="1"/>
  <c r="AU84" i="27" s="1"/>
  <c r="AU89" i="27" a="1"/>
  <c r="AU89" i="27" s="1"/>
  <c r="AU90" i="27" a="1"/>
  <c r="AU90" i="27" s="1"/>
  <c r="AU95" i="27" a="1"/>
  <c r="AU95" i="27" s="1"/>
  <c r="AU85" i="27" a="1"/>
  <c r="AU85" i="27" s="1"/>
  <c r="AU100" i="27" a="1"/>
  <c r="AU100" i="27" s="1"/>
  <c r="AU75" i="27" a="1"/>
  <c r="AU75" i="27" s="1"/>
  <c r="AU103" i="27" a="1"/>
  <c r="AU103" i="27" s="1"/>
  <c r="AU105" i="27" a="1"/>
  <c r="AU105" i="27" s="1"/>
  <c r="AU110" i="27" a="1"/>
  <c r="AU110" i="27" s="1"/>
  <c r="AU112" i="27" a="1"/>
  <c r="AU112" i="27" s="1"/>
  <c r="AU114" i="27" a="1"/>
  <c r="AU114" i="27" s="1"/>
  <c r="AU116" i="27" a="1"/>
  <c r="AU116" i="27" s="1"/>
  <c r="AU88" i="27" a="1"/>
  <c r="AU88" i="27" s="1"/>
  <c r="AU94" i="27" a="1"/>
  <c r="AU94" i="27" s="1"/>
  <c r="AU97" i="27" a="1"/>
  <c r="AU97" i="27" s="1"/>
  <c r="AU98" i="27" a="1"/>
  <c r="AU98" i="27" s="1"/>
  <c r="AU99" i="27" a="1"/>
  <c r="AU99" i="27" s="1"/>
  <c r="AU101" i="27" a="1"/>
  <c r="AU101" i="27" s="1"/>
  <c r="AU107" i="27" a="1"/>
  <c r="AU107" i="27" s="1"/>
  <c r="AU108" i="27" a="1"/>
  <c r="AU108" i="27" s="1"/>
  <c r="AU117" i="27" a="1"/>
  <c r="AU117" i="27" s="1"/>
  <c r="AU130" i="27" a="1"/>
  <c r="AU130" i="27" s="1"/>
  <c r="AU131" i="27" a="1"/>
  <c r="AU131" i="27" s="1"/>
  <c r="AU135" i="27" a="1"/>
  <c r="AU135" i="27" s="1"/>
  <c r="AU136" i="27" a="1"/>
  <c r="AU136" i="27" s="1"/>
  <c r="AU123" i="27" a="1"/>
  <c r="AU123" i="27" s="1"/>
  <c r="AU92" i="27" a="1"/>
  <c r="AU92" i="27" s="1"/>
  <c r="AU93" i="27" a="1"/>
  <c r="AU93" i="27" s="1"/>
  <c r="AU102" i="27" a="1"/>
  <c r="AU102" i="27" s="1"/>
  <c r="AU111" i="27" a="1"/>
  <c r="AU111" i="27" s="1"/>
  <c r="AU118" i="27" a="1"/>
  <c r="AU118" i="27" s="1"/>
  <c r="AU120" i="27" a="1"/>
  <c r="AU120" i="27" s="1"/>
  <c r="AU122" i="27" a="1"/>
  <c r="AU122" i="27" s="1"/>
  <c r="AU124" i="27" a="1"/>
  <c r="AU124" i="27" s="1"/>
  <c r="AU126" i="27" a="1"/>
  <c r="AU126" i="27" s="1"/>
  <c r="AU137" i="27" a="1"/>
  <c r="AU137" i="27" s="1"/>
  <c r="AU138" i="27" a="1"/>
  <c r="AU138" i="27" s="1"/>
  <c r="AU104" i="27" a="1"/>
  <c r="AU104" i="27" s="1"/>
  <c r="AU106" i="27" a="1"/>
  <c r="AU106" i="27" s="1"/>
  <c r="AU109" i="27" a="1"/>
  <c r="AU109" i="27" s="1"/>
  <c r="AU121" i="27" a="1"/>
  <c r="AU121" i="27" s="1"/>
  <c r="AU127" i="27" a="1"/>
  <c r="AU127" i="27" s="1"/>
  <c r="AU128" i="27" a="1"/>
  <c r="AU128" i="27" s="1"/>
  <c r="AU133" i="27" a="1"/>
  <c r="AU133" i="27" s="1"/>
  <c r="AU115" i="27" a="1"/>
  <c r="AU115" i="27" s="1"/>
  <c r="AU132" i="27" a="1"/>
  <c r="AU132" i="27" s="1"/>
  <c r="AU139" i="27" a="1"/>
  <c r="AU139" i="27" s="1"/>
  <c r="AU113" i="27" a="1"/>
  <c r="AU113" i="27" s="1"/>
  <c r="AU119" i="27" a="1"/>
  <c r="AU119" i="27" s="1"/>
  <c r="AU125" i="27" a="1"/>
  <c r="AU125" i="27" s="1"/>
  <c r="AU129" i="27" a="1"/>
  <c r="AU129" i="27" s="1"/>
  <c r="AU134" i="27" a="1"/>
  <c r="AU134" i="27" s="1"/>
  <c r="AR7" i="27" a="1"/>
  <c r="AR7" i="27" s="1"/>
  <c r="AR9" i="27" a="1"/>
  <c r="AR9" i="27" s="1"/>
  <c r="AR8" i="27" a="1"/>
  <c r="AR8" i="27" s="1"/>
  <c r="AR11" i="27" a="1"/>
  <c r="AR11" i="27" s="1"/>
  <c r="AR12" i="27" a="1"/>
  <c r="AR12" i="27" s="1"/>
  <c r="AR10" i="27" a="1"/>
  <c r="AR10" i="27" s="1"/>
  <c r="AR13" i="27" a="1"/>
  <c r="AR13" i="27" s="1"/>
  <c r="AR15" i="27" a="1"/>
  <c r="AR15" i="27" s="1"/>
  <c r="AR17" i="27" a="1"/>
  <c r="AR17" i="27" s="1"/>
  <c r="AR18" i="27" a="1"/>
  <c r="AR18" i="27" s="1"/>
  <c r="AR23" i="27" a="1"/>
  <c r="AR23" i="27" s="1"/>
  <c r="AR16" i="27" a="1"/>
  <c r="AR16" i="27" s="1"/>
  <c r="AR20" i="27" a="1"/>
  <c r="AR20" i="27" s="1"/>
  <c r="AR21" i="27" a="1"/>
  <c r="AR21" i="27" s="1"/>
  <c r="AR22" i="27" a="1"/>
  <c r="AR22" i="27" s="1"/>
  <c r="AR14" i="27" a="1"/>
  <c r="AR14" i="27" s="1"/>
  <c r="AR19" i="27" a="1"/>
  <c r="AR19" i="27" s="1"/>
  <c r="AR26" i="27" a="1"/>
  <c r="AR26" i="27" s="1"/>
  <c r="AR24" i="27" a="1"/>
  <c r="AR24" i="27" s="1"/>
  <c r="AR27" i="27" a="1"/>
  <c r="AR27" i="27" s="1"/>
  <c r="AR29" i="27" a="1"/>
  <c r="AR29" i="27" s="1"/>
  <c r="AR33" i="27" a="1"/>
  <c r="AR33" i="27" s="1"/>
  <c r="AR36" i="27" a="1"/>
  <c r="AR36" i="27" s="1"/>
  <c r="AR40" i="27" a="1"/>
  <c r="AR40" i="27" s="1"/>
  <c r="AR25" i="27" a="1"/>
  <c r="AR25" i="27" s="1"/>
  <c r="AR28" i="27" a="1"/>
  <c r="AR28" i="27" s="1"/>
  <c r="AR30" i="27" a="1"/>
  <c r="AR30" i="27" s="1"/>
  <c r="AR34" i="27" a="1"/>
  <c r="AR34" i="27" s="1"/>
  <c r="AR37" i="27" a="1"/>
  <c r="AR37" i="27" s="1"/>
  <c r="AR39" i="27" a="1"/>
  <c r="AR39" i="27" s="1"/>
  <c r="AR35" i="27" a="1"/>
  <c r="AR35" i="27" s="1"/>
  <c r="AR41" i="27" a="1"/>
  <c r="AR41" i="27" s="1"/>
  <c r="AR43" i="27" a="1"/>
  <c r="AR43" i="27" s="1"/>
  <c r="AR45" i="27" a="1"/>
  <c r="AR45" i="27" s="1"/>
  <c r="AR32" i="27" a="1"/>
  <c r="AR32" i="27" s="1"/>
  <c r="AR31" i="27" a="1"/>
  <c r="AR31" i="27" s="1"/>
  <c r="AR50" i="27" a="1"/>
  <c r="AR50" i="27" s="1"/>
  <c r="AR52" i="27" a="1"/>
  <c r="AR52" i="27" s="1"/>
  <c r="AR42" i="27" a="1"/>
  <c r="AR42" i="27" s="1"/>
  <c r="AR44" i="27" a="1"/>
  <c r="AR44" i="27" s="1"/>
  <c r="AR47" i="27" a="1"/>
  <c r="AR47" i="27" s="1"/>
  <c r="AR49" i="27" a="1"/>
  <c r="AR49" i="27" s="1"/>
  <c r="AR55" i="27" a="1"/>
  <c r="AR55" i="27" s="1"/>
  <c r="AR38" i="27" a="1"/>
  <c r="AR38" i="27" s="1"/>
  <c r="AR46" i="27" a="1"/>
  <c r="AR46" i="27" s="1"/>
  <c r="AR51" i="27" a="1"/>
  <c r="AR51" i="27" s="1"/>
  <c r="AR53" i="27" a="1"/>
  <c r="AR53" i="27" s="1"/>
  <c r="AR58" i="27" a="1"/>
  <c r="AR58" i="27" s="1"/>
  <c r="AR59" i="27" a="1"/>
  <c r="AR59" i="27" s="1"/>
  <c r="AR63" i="27" a="1"/>
  <c r="AR63" i="27" s="1"/>
  <c r="AR64" i="27" a="1"/>
  <c r="AR64" i="27" s="1"/>
  <c r="AR65" i="27" a="1"/>
  <c r="AR65" i="27" s="1"/>
  <c r="AR66" i="27" a="1"/>
  <c r="AR66" i="27" s="1"/>
  <c r="AR67" i="27" a="1"/>
  <c r="AR67" i="27" s="1"/>
  <c r="AR68" i="27" a="1"/>
  <c r="AR68" i="27" s="1"/>
  <c r="AR54" i="27" a="1"/>
  <c r="AR54" i="27" s="1"/>
  <c r="AR57" i="27" a="1"/>
  <c r="AR57" i="27" s="1"/>
  <c r="AR60" i="27" a="1"/>
  <c r="AR60" i="27" s="1"/>
  <c r="AR70" i="27" a="1"/>
  <c r="AR70" i="27" s="1"/>
  <c r="AR56" i="27" a="1"/>
  <c r="AR56" i="27" s="1"/>
  <c r="AR61" i="27" a="1"/>
  <c r="AR61" i="27" s="1"/>
  <c r="AR62" i="27" a="1"/>
  <c r="AR62" i="27" s="1"/>
  <c r="AR69" i="27" a="1"/>
  <c r="AR69" i="27" s="1"/>
  <c r="AR72" i="27" a="1"/>
  <c r="AR72" i="27" s="1"/>
  <c r="AR73" i="27" a="1"/>
  <c r="AR73" i="27" s="1"/>
  <c r="AR74" i="27" a="1"/>
  <c r="AR74" i="27" s="1"/>
  <c r="AR75" i="27" a="1"/>
  <c r="AR75" i="27" s="1"/>
  <c r="AR78" i="27" a="1"/>
  <c r="AR78" i="27" s="1"/>
  <c r="AR83" i="27" a="1"/>
  <c r="AR83" i="27" s="1"/>
  <c r="AR94" i="27" a="1"/>
  <c r="AR94" i="27" s="1"/>
  <c r="AR71" i="27" a="1"/>
  <c r="AR71" i="27" s="1"/>
  <c r="AR77" i="27" a="1"/>
  <c r="AR77" i="27" s="1"/>
  <c r="AR80" i="27" a="1"/>
  <c r="AR80" i="27" s="1"/>
  <c r="AR81" i="27" a="1"/>
  <c r="AR81" i="27" s="1"/>
  <c r="AR84" i="27" a="1"/>
  <c r="AR84" i="27" s="1"/>
  <c r="AR91" i="27" a="1"/>
  <c r="AR91" i="27" s="1"/>
  <c r="AR76" i="27" a="1"/>
  <c r="AR76" i="27" s="1"/>
  <c r="AR79" i="27" a="1"/>
  <c r="AR79" i="27" s="1"/>
  <c r="AR85" i="27" a="1"/>
  <c r="AR85" i="27" s="1"/>
  <c r="AR88" i="27" a="1"/>
  <c r="AR88" i="27" s="1"/>
  <c r="AR89" i="27" a="1"/>
  <c r="AR89" i="27" s="1"/>
  <c r="AR90" i="27" a="1"/>
  <c r="AR90" i="27" s="1"/>
  <c r="AR95" i="27" a="1"/>
  <c r="AR95" i="27" s="1"/>
  <c r="AR97" i="27" a="1"/>
  <c r="AR97" i="27" s="1"/>
  <c r="AR82" i="27" a="1"/>
  <c r="AR82" i="27" s="1"/>
  <c r="AR87" i="27" a="1"/>
  <c r="AR87" i="27" s="1"/>
  <c r="AR103" i="27" a="1"/>
  <c r="AR103" i="27" s="1"/>
  <c r="AR104" i="27" a="1"/>
  <c r="AR104" i="27" s="1"/>
  <c r="AR105" i="27" a="1"/>
  <c r="AR105" i="27" s="1"/>
  <c r="AR48" i="27" a="1"/>
  <c r="AR48" i="27" s="1"/>
  <c r="AR86" i="27" a="1"/>
  <c r="AR86" i="27" s="1"/>
  <c r="AR93" i="27" a="1"/>
  <c r="AR93" i="27" s="1"/>
  <c r="AR96" i="27" a="1"/>
  <c r="AR96" i="27" s="1"/>
  <c r="AR99" i="27" a="1"/>
  <c r="AR99" i="27" s="1"/>
  <c r="AR101" i="27" a="1"/>
  <c r="AR101" i="27" s="1"/>
  <c r="AR110" i="27" a="1"/>
  <c r="AR110" i="27" s="1"/>
  <c r="AR112" i="27" a="1"/>
  <c r="AR112" i="27" s="1"/>
  <c r="AR114" i="27" a="1"/>
  <c r="AR114" i="27" s="1"/>
  <c r="AR116" i="27" a="1"/>
  <c r="AR116" i="27" s="1"/>
  <c r="AR92" i="27" a="1"/>
  <c r="AR92" i="27" s="1"/>
  <c r="AR98" i="27" a="1"/>
  <c r="AR98" i="27" s="1"/>
  <c r="AR102" i="27" a="1"/>
  <c r="AR102" i="27" s="1"/>
  <c r="AR108" i="27" a="1"/>
  <c r="AR108" i="27" s="1"/>
  <c r="AR107" i="27" a="1"/>
  <c r="AR107" i="27" s="1"/>
  <c r="AR111" i="27" a="1"/>
  <c r="AR111" i="27" s="1"/>
  <c r="AR130" i="27" a="1"/>
  <c r="AR130" i="27" s="1"/>
  <c r="AR131" i="27" a="1"/>
  <c r="AR131" i="27" s="1"/>
  <c r="AR135" i="27" a="1"/>
  <c r="AR135" i="27" s="1"/>
  <c r="AR136" i="27" a="1"/>
  <c r="AR136" i="27" s="1"/>
  <c r="AR115" i="27" a="1"/>
  <c r="AR115" i="27" s="1"/>
  <c r="AR119" i="27" a="1"/>
  <c r="AR119" i="27" s="1"/>
  <c r="AR121" i="27" a="1"/>
  <c r="AR121" i="27" s="1"/>
  <c r="AR123" i="27" a="1"/>
  <c r="AR123" i="27" s="1"/>
  <c r="AR126" i="27" a="1"/>
  <c r="AR126" i="27" s="1"/>
  <c r="AR137" i="27" a="1"/>
  <c r="AR137" i="27" s="1"/>
  <c r="AR138" i="27" a="1"/>
  <c r="AR138" i="27" s="1"/>
  <c r="AR117" i="27" a="1"/>
  <c r="AR117" i="27" s="1"/>
  <c r="AR120" i="27" a="1"/>
  <c r="AR120" i="27" s="1"/>
  <c r="AR122" i="27" a="1"/>
  <c r="AR122" i="27" s="1"/>
  <c r="AR124" i="27" a="1"/>
  <c r="AR124" i="27" s="1"/>
  <c r="AR125" i="27" a="1"/>
  <c r="AR125" i="27" s="1"/>
  <c r="AR127" i="27" a="1"/>
  <c r="AR127" i="27" s="1"/>
  <c r="AR129" i="27" a="1"/>
  <c r="AR129" i="27" s="1"/>
  <c r="AR134" i="27" a="1"/>
  <c r="AR134" i="27" s="1"/>
  <c r="AR100" i="27" a="1"/>
  <c r="AR100" i="27" s="1"/>
  <c r="AR106" i="27" a="1"/>
  <c r="AR106" i="27" s="1"/>
  <c r="AR109" i="27" a="1"/>
  <c r="AR109" i="27" s="1"/>
  <c r="AR113" i="27" a="1"/>
  <c r="AR113" i="27" s="1"/>
  <c r="AR132" i="27" a="1"/>
  <c r="AR132" i="27" s="1"/>
  <c r="AR139" i="27" a="1"/>
  <c r="AR139" i="27" s="1"/>
  <c r="AR118" i="27" a="1"/>
  <c r="AR118" i="27" s="1"/>
  <c r="AR128" i="27" a="1"/>
  <c r="AR128" i="27" s="1"/>
  <c r="AR133" i="27" a="1"/>
  <c r="AR133" i="27" s="1"/>
  <c r="AT10" i="27" a="1"/>
  <c r="AT10" i="27" s="1"/>
  <c r="AT8" i="27" a="1"/>
  <c r="AT8" i="27" s="1"/>
  <c r="AT9" i="27" a="1"/>
  <c r="AT9" i="27" s="1"/>
  <c r="AT7" i="27" a="1"/>
  <c r="AT7" i="27" s="1"/>
  <c r="AT13" i="27" a="1"/>
  <c r="AT13" i="27" s="1"/>
  <c r="AT18" i="27" a="1"/>
  <c r="AT18" i="27" s="1"/>
  <c r="AT12" i="27" a="1"/>
  <c r="AT12" i="27" s="1"/>
  <c r="AT14" i="27" a="1"/>
  <c r="AT14" i="27" s="1"/>
  <c r="AT16" i="27" a="1"/>
  <c r="AT16" i="27" s="1"/>
  <c r="AT15" i="27" a="1"/>
  <c r="AT15" i="27" s="1"/>
  <c r="AT17" i="27" a="1"/>
  <c r="AT17" i="27" s="1"/>
  <c r="AT20" i="27" a="1"/>
  <c r="AT20" i="27" s="1"/>
  <c r="AT21" i="27" a="1"/>
  <c r="AT21" i="27" s="1"/>
  <c r="AT22" i="27" a="1"/>
  <c r="AT22" i="27" s="1"/>
  <c r="AT11" i="27" a="1"/>
  <c r="AT11" i="27" s="1"/>
  <c r="AT23" i="27" a="1"/>
  <c r="AT23" i="27" s="1"/>
  <c r="AT24" i="27" a="1"/>
  <c r="AT24" i="27" s="1"/>
  <c r="AT19" i="27" a="1"/>
  <c r="AT19" i="27" s="1"/>
  <c r="AT25" i="27" a="1"/>
  <c r="AT25" i="27" s="1"/>
  <c r="AT32" i="27" a="1"/>
  <c r="AT32" i="27" s="1"/>
  <c r="AT35" i="27" a="1"/>
  <c r="AT35" i="27" s="1"/>
  <c r="AT39" i="27" a="1"/>
  <c r="AT39" i="27" s="1"/>
  <c r="AT27" i="27" a="1"/>
  <c r="AT27" i="27" s="1"/>
  <c r="AT31" i="27" a="1"/>
  <c r="AT31" i="27" s="1"/>
  <c r="AT34" i="27" a="1"/>
  <c r="AT34" i="27" s="1"/>
  <c r="AT26" i="27" a="1"/>
  <c r="AT26" i="27" s="1"/>
  <c r="AT28" i="27" a="1"/>
  <c r="AT28" i="27" s="1"/>
  <c r="AT29" i="27" a="1"/>
  <c r="AT29" i="27" s="1"/>
  <c r="AT30" i="27" a="1"/>
  <c r="AT30" i="27" s="1"/>
  <c r="AT33" i="27" a="1"/>
  <c r="AT33" i="27" s="1"/>
  <c r="AT41" i="27" a="1"/>
  <c r="AT41" i="27" s="1"/>
  <c r="AT36" i="27" a="1"/>
  <c r="AT36" i="27" s="1"/>
  <c r="AT38" i="27" a="1"/>
  <c r="AT38" i="27" s="1"/>
  <c r="AT42" i="27" a="1"/>
  <c r="AT42" i="27" s="1"/>
  <c r="AT44" i="27" a="1"/>
  <c r="AT44" i="27" s="1"/>
  <c r="AT46" i="27" a="1"/>
  <c r="AT46" i="27" s="1"/>
  <c r="AT37" i="27" a="1"/>
  <c r="AT37" i="27" s="1"/>
  <c r="AT40" i="27" a="1"/>
  <c r="AT40" i="27" s="1"/>
  <c r="AT47" i="27" a="1"/>
  <c r="AT47" i="27" s="1"/>
  <c r="AT55" i="27" a="1"/>
  <c r="AT55" i="27" s="1"/>
  <c r="AT51" i="27" a="1"/>
  <c r="AT51" i="27" s="1"/>
  <c r="AT53" i="27" a="1"/>
  <c r="AT53" i="27" s="1"/>
  <c r="AT56" i="27" a="1"/>
  <c r="AT56" i="27" s="1"/>
  <c r="AT43" i="27" a="1"/>
  <c r="AT43" i="27" s="1"/>
  <c r="AT48" i="27" a="1"/>
  <c r="AT48" i="27" s="1"/>
  <c r="AT57" i="27" a="1"/>
  <c r="AT57" i="27" s="1"/>
  <c r="AT60" i="27" a="1"/>
  <c r="AT60" i="27" s="1"/>
  <c r="AT62" i="27" a="1"/>
  <c r="AT62" i="27" s="1"/>
  <c r="AT70" i="27" a="1"/>
  <c r="AT70" i="27" s="1"/>
  <c r="AT74" i="27" a="1"/>
  <c r="AT74" i="27" s="1"/>
  <c r="AT76" i="27" a="1"/>
  <c r="AT76" i="27" s="1"/>
  <c r="AT52" i="27" a="1"/>
  <c r="AT52" i="27" s="1"/>
  <c r="AT61" i="27" a="1"/>
  <c r="AT61" i="27" s="1"/>
  <c r="AT69" i="27" a="1"/>
  <c r="AT69" i="27" s="1"/>
  <c r="AT72" i="27" a="1"/>
  <c r="AT72" i="27" s="1"/>
  <c r="AT73" i="27" a="1"/>
  <c r="AT73" i="27" s="1"/>
  <c r="AT75" i="27" a="1"/>
  <c r="AT75" i="27" s="1"/>
  <c r="AT45" i="27" a="1"/>
  <c r="AT45" i="27" s="1"/>
  <c r="AT50" i="27" a="1"/>
  <c r="AT50" i="27" s="1"/>
  <c r="AT54" i="27" a="1"/>
  <c r="AT54" i="27" s="1"/>
  <c r="AT58" i="27" a="1"/>
  <c r="AT58" i="27" s="1"/>
  <c r="AT71" i="27" a="1"/>
  <c r="AT71" i="27" s="1"/>
  <c r="AT63" i="27" a="1"/>
  <c r="AT63" i="27" s="1"/>
  <c r="AT66" i="27" a="1"/>
  <c r="AT66" i="27" s="1"/>
  <c r="AT67" i="27" a="1"/>
  <c r="AT67" i="27" s="1"/>
  <c r="AT79" i="27" a="1"/>
  <c r="AT79" i="27" s="1"/>
  <c r="AT81" i="27" a="1"/>
  <c r="AT81" i="27" s="1"/>
  <c r="AT84" i="27" a="1"/>
  <c r="AT84" i="27" s="1"/>
  <c r="AT90" i="27" a="1"/>
  <c r="AT90" i="27" s="1"/>
  <c r="AT49" i="27" a="1"/>
  <c r="AT49" i="27" s="1"/>
  <c r="AT59" i="27" a="1"/>
  <c r="AT59" i="27" s="1"/>
  <c r="AT65" i="27" a="1"/>
  <c r="AT65" i="27" s="1"/>
  <c r="AT85" i="27" a="1"/>
  <c r="AT85" i="27" s="1"/>
  <c r="AT88" i="27" a="1"/>
  <c r="AT88" i="27" s="1"/>
  <c r="AT89" i="27" a="1"/>
  <c r="AT89" i="27" s="1"/>
  <c r="AT64" i="27" a="1"/>
  <c r="AT64" i="27" s="1"/>
  <c r="AT77" i="27" a="1"/>
  <c r="AT77" i="27" s="1"/>
  <c r="AT82" i="27" a="1"/>
  <c r="AT82" i="27" s="1"/>
  <c r="AT86" i="27" a="1"/>
  <c r="AT86" i="27" s="1"/>
  <c r="AT87" i="27" a="1"/>
  <c r="AT87" i="27" s="1"/>
  <c r="AT92" i="27" a="1"/>
  <c r="AT92" i="27" s="1"/>
  <c r="AT94" i="27" a="1"/>
  <c r="AT94" i="27" s="1"/>
  <c r="AT96" i="27" a="1"/>
  <c r="AT96" i="27" s="1"/>
  <c r="AT98" i="27" a="1"/>
  <c r="AT98" i="27" s="1"/>
  <c r="AT99" i="27" a="1"/>
  <c r="AT99" i="27" s="1"/>
  <c r="AT101" i="27" a="1"/>
  <c r="AT101" i="27" s="1"/>
  <c r="AT108" i="27" a="1"/>
  <c r="AT108" i="27" s="1"/>
  <c r="AT110" i="27" a="1"/>
  <c r="AT110" i="27" s="1"/>
  <c r="AT112" i="27" a="1"/>
  <c r="AT112" i="27" s="1"/>
  <c r="AT114" i="27" a="1"/>
  <c r="AT114" i="27" s="1"/>
  <c r="AT116" i="27" a="1"/>
  <c r="AT116" i="27" s="1"/>
  <c r="AT118" i="27" a="1"/>
  <c r="AT118" i="27" s="1"/>
  <c r="AT120" i="27" a="1"/>
  <c r="AT120" i="27" s="1"/>
  <c r="AT122" i="27" a="1"/>
  <c r="AT122" i="27" s="1"/>
  <c r="AT124" i="27" a="1"/>
  <c r="AT124" i="27" s="1"/>
  <c r="AT78" i="27" a="1"/>
  <c r="AT78" i="27" s="1"/>
  <c r="AT97" i="27" a="1"/>
  <c r="AT97" i="27" s="1"/>
  <c r="AT102" i="27" a="1"/>
  <c r="AT102" i="27" s="1"/>
  <c r="AT107" i="27" a="1"/>
  <c r="AT107" i="27" s="1"/>
  <c r="AT93" i="27" a="1"/>
  <c r="AT93" i="27" s="1"/>
  <c r="AT100" i="27" a="1"/>
  <c r="AT100" i="27" s="1"/>
  <c r="AT104" i="27" a="1"/>
  <c r="AT104" i="27" s="1"/>
  <c r="AT106" i="27" a="1"/>
  <c r="AT106" i="27" s="1"/>
  <c r="AT109" i="27" a="1"/>
  <c r="AT109" i="27" s="1"/>
  <c r="AT111" i="27" a="1"/>
  <c r="AT111" i="27" s="1"/>
  <c r="AT113" i="27" a="1"/>
  <c r="AT113" i="27" s="1"/>
  <c r="AT115" i="27" a="1"/>
  <c r="AT115" i="27" s="1"/>
  <c r="AT117" i="27" a="1"/>
  <c r="AT117" i="27" s="1"/>
  <c r="AT119" i="27" a="1"/>
  <c r="AT119" i="27" s="1"/>
  <c r="AT121" i="27" a="1"/>
  <c r="AT121" i="27" s="1"/>
  <c r="AT123" i="27" a="1"/>
  <c r="AT123" i="27" s="1"/>
  <c r="AT91" i="27" a="1"/>
  <c r="AT91" i="27" s="1"/>
  <c r="AT95" i="27" a="1"/>
  <c r="AT95" i="27" s="1"/>
  <c r="AT126" i="27" a="1"/>
  <c r="AT126" i="27" s="1"/>
  <c r="AT137" i="27" a="1"/>
  <c r="AT137" i="27" s="1"/>
  <c r="AT138" i="27" a="1"/>
  <c r="AT138" i="27" s="1"/>
  <c r="AT131" i="27" a="1"/>
  <c r="AT131" i="27" s="1"/>
  <c r="AT68" i="27" a="1"/>
  <c r="AT68" i="27" s="1"/>
  <c r="AT103" i="27" a="1"/>
  <c r="AT103" i="27" s="1"/>
  <c r="AT132" i="27" a="1"/>
  <c r="AT132" i="27" s="1"/>
  <c r="AT139" i="27" a="1"/>
  <c r="AT139" i="27" s="1"/>
  <c r="AT83" i="27" a="1"/>
  <c r="AT83" i="27" s="1"/>
  <c r="AT105" i="27" a="1"/>
  <c r="AT105" i="27" s="1"/>
  <c r="AT135" i="27" a="1"/>
  <c r="AT135" i="27" s="1"/>
  <c r="AT136" i="27" a="1"/>
  <c r="AT136" i="27" s="1"/>
  <c r="AT80" i="27" a="1"/>
  <c r="AT80" i="27" s="1"/>
  <c r="AT125" i="27" a="1"/>
  <c r="AT125" i="27" s="1"/>
  <c r="AT127" i="27" a="1"/>
  <c r="AT127" i="27" s="1"/>
  <c r="AT128" i="27" a="1"/>
  <c r="AT128" i="27" s="1"/>
  <c r="AT129" i="27" a="1"/>
  <c r="AT129" i="27" s="1"/>
  <c r="AT133" i="27" a="1"/>
  <c r="AT133" i="27" s="1"/>
  <c r="AT134" i="27" a="1"/>
  <c r="AT134" i="27" s="1"/>
  <c r="AT130" i="27" a="1"/>
  <c r="AT130" i="27" s="1"/>
  <c r="AM7" i="27" a="1"/>
  <c r="AM7" i="27" s="1"/>
  <c r="AM8" i="27" a="1"/>
  <c r="AM8" i="27" s="1"/>
  <c r="AM12" i="27" a="1"/>
  <c r="AM12" i="27" s="1"/>
  <c r="AM11" i="27" a="1"/>
  <c r="AM11" i="27" s="1"/>
  <c r="AM18" i="27" a="1"/>
  <c r="AM18" i="27" s="1"/>
  <c r="AM9" i="27" a="1"/>
  <c r="AM9" i="27" s="1"/>
  <c r="AM10" i="27" a="1"/>
  <c r="AM10" i="27" s="1"/>
  <c r="AM22" i="27" a="1"/>
  <c r="AM22" i="27" s="1"/>
  <c r="AM14" i="27" a="1"/>
  <c r="AM14" i="27" s="1"/>
  <c r="AM15" i="27" a="1"/>
  <c r="AM15" i="27" s="1"/>
  <c r="AM17" i="27" a="1"/>
  <c r="AM17" i="27" s="1"/>
  <c r="AM20" i="27" a="1"/>
  <c r="AM20" i="27" s="1"/>
  <c r="AM21" i="27" a="1"/>
  <c r="AM21" i="27" s="1"/>
  <c r="AM13" i="27" a="1"/>
  <c r="AM13" i="27" s="1"/>
  <c r="AM16" i="27" a="1"/>
  <c r="AM16" i="27" s="1"/>
  <c r="AM23" i="27" a="1"/>
  <c r="AM23" i="27" s="1"/>
  <c r="AM28" i="27" a="1"/>
  <c r="AM28" i="27" s="1"/>
  <c r="AM19" i="27" a="1"/>
  <c r="AM19" i="27" s="1"/>
  <c r="AM24" i="27" a="1"/>
  <c r="AM24" i="27" s="1"/>
  <c r="AM26" i="27" a="1"/>
  <c r="AM26" i="27" s="1"/>
  <c r="AM27" i="27" a="1"/>
  <c r="AM27" i="27" s="1"/>
  <c r="AM30" i="27" a="1"/>
  <c r="AM30" i="27" s="1"/>
  <c r="AM32" i="27" a="1"/>
  <c r="AM32" i="27" s="1"/>
  <c r="AM33" i="27" a="1"/>
  <c r="AM33" i="27" s="1"/>
  <c r="AM37" i="27" a="1"/>
  <c r="AM37" i="27" s="1"/>
  <c r="AM34" i="27" a="1"/>
  <c r="AM34" i="27" s="1"/>
  <c r="AM35" i="27" a="1"/>
  <c r="AM35" i="27" s="1"/>
  <c r="AM25" i="27" a="1"/>
  <c r="AM25" i="27" s="1"/>
  <c r="AM29" i="27" a="1"/>
  <c r="AM29" i="27" s="1"/>
  <c r="AM31" i="27" a="1"/>
  <c r="AM31" i="27" s="1"/>
  <c r="AM36" i="27" a="1"/>
  <c r="AM36" i="27" s="1"/>
  <c r="AM40" i="27" a="1"/>
  <c r="AM40" i="27" s="1"/>
  <c r="AM43" i="27" a="1"/>
  <c r="AM43" i="27" s="1"/>
  <c r="AM46" i="27" a="1"/>
  <c r="AM46" i="27" s="1"/>
  <c r="AM42" i="27" a="1"/>
  <c r="AM42" i="27" s="1"/>
  <c r="AM44" i="27" a="1"/>
  <c r="AM44" i="27" s="1"/>
  <c r="AM47" i="27" a="1"/>
  <c r="AM47" i="27" s="1"/>
  <c r="AM39" i="27" a="1"/>
  <c r="AM39" i="27" s="1"/>
  <c r="AM54" i="27" a="1"/>
  <c r="AM54" i="27" s="1"/>
  <c r="AM38" i="27" a="1"/>
  <c r="AM38" i="27" s="1"/>
  <c r="AM41" i="27" a="1"/>
  <c r="AM41" i="27" s="1"/>
  <c r="AM50" i="27" a="1"/>
  <c r="AM50" i="27" s="1"/>
  <c r="AM52" i="27" a="1"/>
  <c r="AM52" i="27" s="1"/>
  <c r="AM45" i="27" a="1"/>
  <c r="AM45" i="27" s="1"/>
  <c r="AM48" i="27" a="1"/>
  <c r="AM48" i="27" s="1"/>
  <c r="AM51" i="27" a="1"/>
  <c r="AM51" i="27" s="1"/>
  <c r="AM70" i="27" a="1"/>
  <c r="AM70" i="27" s="1"/>
  <c r="AM71" i="27" a="1"/>
  <c r="AM71" i="27" s="1"/>
  <c r="AM73" i="27" a="1"/>
  <c r="AM73" i="27" s="1"/>
  <c r="AM78" i="27" a="1"/>
  <c r="AM78" i="27" s="1"/>
  <c r="AM79" i="27" a="1"/>
  <c r="AM79" i="27" s="1"/>
  <c r="AM49" i="27" a="1"/>
  <c r="AM49" i="27" s="1"/>
  <c r="AM53" i="27" a="1"/>
  <c r="AM53" i="27" s="1"/>
  <c r="AM58" i="27" a="1"/>
  <c r="AM58" i="27" s="1"/>
  <c r="AM64" i="27" a="1"/>
  <c r="AM64" i="27" s="1"/>
  <c r="AM65" i="27" a="1"/>
  <c r="AM65" i="27" s="1"/>
  <c r="AM66" i="27" a="1"/>
  <c r="AM66" i="27" s="1"/>
  <c r="AM67" i="27" a="1"/>
  <c r="AM67" i="27" s="1"/>
  <c r="AM68" i="27" a="1"/>
  <c r="AM68" i="27" s="1"/>
  <c r="AM72" i="27" a="1"/>
  <c r="AM72" i="27" s="1"/>
  <c r="AM75" i="27" a="1"/>
  <c r="AM75" i="27" s="1"/>
  <c r="AM55" i="27" a="1"/>
  <c r="AM55" i="27" s="1"/>
  <c r="AM57" i="27" a="1"/>
  <c r="AM57" i="27" s="1"/>
  <c r="AM59" i="27" a="1"/>
  <c r="AM59" i="27" s="1"/>
  <c r="AM63" i="27" a="1"/>
  <c r="AM63" i="27" s="1"/>
  <c r="AM77" i="27" a="1"/>
  <c r="AM77" i="27" s="1"/>
  <c r="AM74" i="27" a="1"/>
  <c r="AM74" i="27" s="1"/>
  <c r="AM82" i="27" a="1"/>
  <c r="AM82" i="27" s="1"/>
  <c r="AM86" i="27" a="1"/>
  <c r="AM86" i="27" s="1"/>
  <c r="AM87" i="27" a="1"/>
  <c r="AM87" i="27" s="1"/>
  <c r="AM89" i="27" a="1"/>
  <c r="AM89" i="27" s="1"/>
  <c r="AM90" i="27" a="1"/>
  <c r="AM90" i="27" s="1"/>
  <c r="AM95" i="27" a="1"/>
  <c r="AM95" i="27" s="1"/>
  <c r="AM56" i="27" a="1"/>
  <c r="AM56" i="27" s="1"/>
  <c r="AM60" i="27" a="1"/>
  <c r="AM60" i="27" s="1"/>
  <c r="AM83" i="27" a="1"/>
  <c r="AM83" i="27" s="1"/>
  <c r="AM92" i="27" a="1"/>
  <c r="AM92" i="27" s="1"/>
  <c r="AM93" i="27" a="1"/>
  <c r="AM93" i="27" s="1"/>
  <c r="AM61" i="27" a="1"/>
  <c r="AM61" i="27" s="1"/>
  <c r="AM84" i="27" a="1"/>
  <c r="AM84" i="27" s="1"/>
  <c r="AM94" i="27" a="1"/>
  <c r="AM94" i="27" s="1"/>
  <c r="AM96" i="27" a="1"/>
  <c r="AM96" i="27" s="1"/>
  <c r="AM62" i="27" a="1"/>
  <c r="AM62" i="27" s="1"/>
  <c r="AM97" i="27" a="1"/>
  <c r="AM97" i="27" s="1"/>
  <c r="AM100" i="27" a="1"/>
  <c r="AM100" i="27" s="1"/>
  <c r="AM107" i="27" a="1"/>
  <c r="AM107" i="27" s="1"/>
  <c r="AM108" i="27" a="1"/>
  <c r="AM108" i="27" s="1"/>
  <c r="AM80" i="27" a="1"/>
  <c r="AM80" i="27" s="1"/>
  <c r="AM81" i="27" a="1"/>
  <c r="AM81" i="27" s="1"/>
  <c r="AM85" i="27" a="1"/>
  <c r="AM85" i="27" s="1"/>
  <c r="AM91" i="27" a="1"/>
  <c r="AM91" i="27" s="1"/>
  <c r="AM98" i="27" a="1"/>
  <c r="AM98" i="27" s="1"/>
  <c r="AM103" i="27" a="1"/>
  <c r="AM103" i="27" s="1"/>
  <c r="AM104" i="27" a="1"/>
  <c r="AM104" i="27" s="1"/>
  <c r="AM106" i="27" a="1"/>
  <c r="AM106" i="27" s="1"/>
  <c r="AM110" i="27" a="1"/>
  <c r="AM110" i="27" s="1"/>
  <c r="AM112" i="27" a="1"/>
  <c r="AM112" i="27" s="1"/>
  <c r="AM114" i="27" a="1"/>
  <c r="AM114" i="27" s="1"/>
  <c r="AM116" i="27" a="1"/>
  <c r="AM116" i="27" s="1"/>
  <c r="AM69" i="27" a="1"/>
  <c r="AM69" i="27" s="1"/>
  <c r="AM99" i="27" a="1"/>
  <c r="AM99" i="27" s="1"/>
  <c r="AM101" i="27" a="1"/>
  <c r="AM101" i="27" s="1"/>
  <c r="AM109" i="27" a="1"/>
  <c r="AM109" i="27" s="1"/>
  <c r="AM113" i="27" a="1"/>
  <c r="AM113" i="27" s="1"/>
  <c r="AM130" i="27" a="1"/>
  <c r="AM130" i="27" s="1"/>
  <c r="AM131" i="27" a="1"/>
  <c r="AM131" i="27" s="1"/>
  <c r="AM135" i="27" a="1"/>
  <c r="AM135" i="27" s="1"/>
  <c r="AM136" i="27" a="1"/>
  <c r="AM136" i="27" s="1"/>
  <c r="AM124" i="27" a="1"/>
  <c r="AM124" i="27" s="1"/>
  <c r="AM125" i="27" a="1"/>
  <c r="AM125" i="27" s="1"/>
  <c r="AM128" i="27" a="1"/>
  <c r="AM128" i="27" s="1"/>
  <c r="AM133" i="27" a="1"/>
  <c r="AM133" i="27" s="1"/>
  <c r="AM134" i="27" a="1"/>
  <c r="AM134" i="27" s="1"/>
  <c r="AM76" i="27" a="1"/>
  <c r="AM76" i="27" s="1"/>
  <c r="AM88" i="27" a="1"/>
  <c r="AM88" i="27" s="1"/>
  <c r="AM105" i="27" a="1"/>
  <c r="AM105" i="27" s="1"/>
  <c r="AM117" i="27" a="1"/>
  <c r="AM117" i="27" s="1"/>
  <c r="AM119" i="27" a="1"/>
  <c r="AM119" i="27" s="1"/>
  <c r="AM121" i="27" a="1"/>
  <c r="AM121" i="27" s="1"/>
  <c r="AM123" i="27" a="1"/>
  <c r="AM123" i="27" s="1"/>
  <c r="AM126" i="27" a="1"/>
  <c r="AM126" i="27" s="1"/>
  <c r="AM137" i="27" a="1"/>
  <c r="AM137" i="27" s="1"/>
  <c r="AM138" i="27" a="1"/>
  <c r="AM138" i="27" s="1"/>
  <c r="AM115" i="27" a="1"/>
  <c r="AM115" i="27" s="1"/>
  <c r="AM118" i="27" a="1"/>
  <c r="AM118" i="27" s="1"/>
  <c r="AM102" i="27" a="1"/>
  <c r="AM102" i="27" s="1"/>
  <c r="AM111" i="27" a="1"/>
  <c r="AM111" i="27" s="1"/>
  <c r="AM132" i="27" a="1"/>
  <c r="AM132" i="27" s="1"/>
  <c r="AM139" i="27" a="1"/>
  <c r="AM139" i="27" s="1"/>
  <c r="AM120" i="27" a="1"/>
  <c r="AM120" i="27" s="1"/>
  <c r="AM122" i="27" a="1"/>
  <c r="AM122" i="27" s="1"/>
  <c r="AM127" i="27" a="1"/>
  <c r="AM127" i="27" s="1"/>
  <c r="AM129" i="27" a="1"/>
  <c r="AM129" i="27" s="1"/>
  <c r="AL8" i="27" a="1"/>
  <c r="AL8" i="27" s="1"/>
  <c r="AL9" i="27" a="1"/>
  <c r="AL9" i="27" s="1"/>
  <c r="AL10" i="27" a="1"/>
  <c r="AL10" i="27" s="1"/>
  <c r="AL12" i="27" a="1"/>
  <c r="AL12" i="27" s="1"/>
  <c r="AL11" i="27" a="1"/>
  <c r="AL11" i="27" s="1"/>
  <c r="AL7" i="27" a="1"/>
  <c r="AL7" i="27" s="1"/>
  <c r="AL13" i="27" a="1"/>
  <c r="AL13" i="27" s="1"/>
  <c r="AL14" i="27" a="1"/>
  <c r="AL14" i="27" s="1"/>
  <c r="AL16" i="27" a="1"/>
  <c r="AL16" i="27" s="1"/>
  <c r="AL15" i="27" a="1"/>
  <c r="AL15" i="27" s="1"/>
  <c r="AL17" i="27" a="1"/>
  <c r="AL17" i="27" s="1"/>
  <c r="AL20" i="27" a="1"/>
  <c r="AL20" i="27" s="1"/>
  <c r="AL21" i="27" a="1"/>
  <c r="AL21" i="27" s="1"/>
  <c r="AL18" i="27" a="1"/>
  <c r="AL18" i="27" s="1"/>
  <c r="AL23" i="27" a="1"/>
  <c r="AL23" i="27" s="1"/>
  <c r="AL19" i="27" a="1"/>
  <c r="AL19" i="27" s="1"/>
  <c r="AL24" i="27" a="1"/>
  <c r="AL24" i="27" s="1"/>
  <c r="AL26" i="27" a="1"/>
  <c r="AL26" i="27" s="1"/>
  <c r="AL25" i="27" a="1"/>
  <c r="AL25" i="27" s="1"/>
  <c r="AL22" i="27" a="1"/>
  <c r="AL22" i="27" s="1"/>
  <c r="AL34" i="27" a="1"/>
  <c r="AL34" i="27" s="1"/>
  <c r="AL35" i="27" a="1"/>
  <c r="AL35" i="27" s="1"/>
  <c r="AL31" i="27" a="1"/>
  <c r="AL31" i="27" s="1"/>
  <c r="AL29" i="27" a="1"/>
  <c r="AL29" i="27" s="1"/>
  <c r="AL30" i="27" a="1"/>
  <c r="AL30" i="27" s="1"/>
  <c r="AL37" i="27" a="1"/>
  <c r="AL37" i="27" s="1"/>
  <c r="AL27" i="27" a="1"/>
  <c r="AL27" i="27" s="1"/>
  <c r="AL42" i="27" a="1"/>
  <c r="AL42" i="27" s="1"/>
  <c r="AL44" i="27" a="1"/>
  <c r="AL44" i="27" s="1"/>
  <c r="AL32" i="27" a="1"/>
  <c r="AL32" i="27" s="1"/>
  <c r="AL33" i="27" a="1"/>
  <c r="AL33" i="27" s="1"/>
  <c r="AL38" i="27" a="1"/>
  <c r="AL38" i="27" s="1"/>
  <c r="AL39" i="27" a="1"/>
  <c r="AL39" i="27" s="1"/>
  <c r="AL41" i="27" a="1"/>
  <c r="AL41" i="27" s="1"/>
  <c r="AL45" i="27" a="1"/>
  <c r="AL45" i="27" s="1"/>
  <c r="AL43" i="27" a="1"/>
  <c r="AL43" i="27" s="1"/>
  <c r="AL55" i="27" a="1"/>
  <c r="AL55" i="27" s="1"/>
  <c r="AL40" i="27" a="1"/>
  <c r="AL40" i="27" s="1"/>
  <c r="AL48" i="27" a="1"/>
  <c r="AL48" i="27" s="1"/>
  <c r="AL51" i="27" a="1"/>
  <c r="AL51" i="27" s="1"/>
  <c r="AL53" i="27" a="1"/>
  <c r="AL53" i="27" s="1"/>
  <c r="AL56" i="27" a="1"/>
  <c r="AL56" i="27" s="1"/>
  <c r="AL28" i="27" a="1"/>
  <c r="AL28" i="27" s="1"/>
  <c r="AL36" i="27" a="1"/>
  <c r="AL36" i="27" s="1"/>
  <c r="AL49" i="27" a="1"/>
  <c r="AL49" i="27" s="1"/>
  <c r="AL54" i="27" a="1"/>
  <c r="AL54" i="27" s="1"/>
  <c r="AL57" i="27" a="1"/>
  <c r="AL57" i="27" s="1"/>
  <c r="AL59" i="27" a="1"/>
  <c r="AL59" i="27" s="1"/>
  <c r="AL46" i="27" a="1"/>
  <c r="AL46" i="27" s="1"/>
  <c r="AL60" i="27" a="1"/>
  <c r="AL60" i="27" s="1"/>
  <c r="AL62" i="27" a="1"/>
  <c r="AL62" i="27" s="1"/>
  <c r="AL63" i="27" a="1"/>
  <c r="AL63" i="27" s="1"/>
  <c r="AL52" i="27" a="1"/>
  <c r="AL52" i="27" s="1"/>
  <c r="AL61" i="27" a="1"/>
  <c r="AL61" i="27" s="1"/>
  <c r="AL69" i="27" a="1"/>
  <c r="AL69" i="27" s="1"/>
  <c r="AL70" i="27" a="1"/>
  <c r="AL70" i="27" s="1"/>
  <c r="AL74" i="27" a="1"/>
  <c r="AL74" i="27" s="1"/>
  <c r="AL76" i="27" a="1"/>
  <c r="AL76" i="27" s="1"/>
  <c r="AL78" i="27" a="1"/>
  <c r="AL78" i="27" s="1"/>
  <c r="AL68" i="27" a="1"/>
  <c r="AL68" i="27" s="1"/>
  <c r="AL73" i="27" a="1"/>
  <c r="AL73" i="27" s="1"/>
  <c r="AL75" i="27" a="1"/>
  <c r="AL75" i="27" s="1"/>
  <c r="AL84" i="27" a="1"/>
  <c r="AL84" i="27" s="1"/>
  <c r="AL92" i="27" a="1"/>
  <c r="AL92" i="27" s="1"/>
  <c r="AL96" i="27" a="1"/>
  <c r="AL96" i="27" s="1"/>
  <c r="AL58" i="27" a="1"/>
  <c r="AL58" i="27" s="1"/>
  <c r="AL66" i="27" a="1"/>
  <c r="AL66" i="27" s="1"/>
  <c r="AL67" i="27" a="1"/>
  <c r="AL67" i="27" s="1"/>
  <c r="AL77" i="27" a="1"/>
  <c r="AL77" i="27" s="1"/>
  <c r="AL80" i="27" a="1"/>
  <c r="AL80" i="27" s="1"/>
  <c r="AL81" i="27" a="1"/>
  <c r="AL81" i="27" s="1"/>
  <c r="AL85" i="27" a="1"/>
  <c r="AL85" i="27" s="1"/>
  <c r="AL88" i="27" a="1"/>
  <c r="AL88" i="27" s="1"/>
  <c r="AL65" i="27" a="1"/>
  <c r="AL65" i="27" s="1"/>
  <c r="AL79" i="27" a="1"/>
  <c r="AL79" i="27" s="1"/>
  <c r="AL82" i="27" a="1"/>
  <c r="AL82" i="27" s="1"/>
  <c r="AL86" i="27" a="1"/>
  <c r="AL86" i="27" s="1"/>
  <c r="AL87" i="27" a="1"/>
  <c r="AL87" i="27" s="1"/>
  <c r="AL90" i="27" a="1"/>
  <c r="AL90" i="27" s="1"/>
  <c r="AL91" i="27" a="1"/>
  <c r="AL91" i="27" s="1"/>
  <c r="AL47" i="27" a="1"/>
  <c r="AL47" i="27" s="1"/>
  <c r="AL50" i="27" a="1"/>
  <c r="AL50" i="27" s="1"/>
  <c r="AL64" i="27" a="1"/>
  <c r="AL64" i="27" s="1"/>
  <c r="AL72" i="27" a="1"/>
  <c r="AL72" i="27" s="1"/>
  <c r="AL83" i="27" a="1"/>
  <c r="AL83" i="27" s="1"/>
  <c r="AL99" i="27" a="1"/>
  <c r="AL99" i="27" s="1"/>
  <c r="AL101" i="27" a="1"/>
  <c r="AL101" i="27" s="1"/>
  <c r="AL104" i="27" a="1"/>
  <c r="AL104" i="27" s="1"/>
  <c r="AL106" i="27" a="1"/>
  <c r="AL106" i="27" s="1"/>
  <c r="AL110" i="27" a="1"/>
  <c r="AL110" i="27" s="1"/>
  <c r="AL112" i="27" a="1"/>
  <c r="AL112" i="27" s="1"/>
  <c r="AL114" i="27" a="1"/>
  <c r="AL114" i="27" s="1"/>
  <c r="AL116" i="27" a="1"/>
  <c r="AL116" i="27" s="1"/>
  <c r="AL118" i="27" a="1"/>
  <c r="AL118" i="27" s="1"/>
  <c r="AL120" i="27" a="1"/>
  <c r="AL120" i="27" s="1"/>
  <c r="AL122" i="27" a="1"/>
  <c r="AL122" i="27" s="1"/>
  <c r="AL124" i="27" a="1"/>
  <c r="AL124" i="27" s="1"/>
  <c r="AL94" i="27" a="1"/>
  <c r="AL94" i="27" s="1"/>
  <c r="AL102" i="27" a="1"/>
  <c r="AL102" i="27" s="1"/>
  <c r="AL105" i="27" a="1"/>
  <c r="AL105" i="27" s="1"/>
  <c r="AL71" i="27" a="1"/>
  <c r="AL71" i="27" s="1"/>
  <c r="AL89" i="27" a="1"/>
  <c r="AL89" i="27" s="1"/>
  <c r="AL93" i="27" a="1"/>
  <c r="AL93" i="27" s="1"/>
  <c r="AL95" i="27" a="1"/>
  <c r="AL95" i="27" s="1"/>
  <c r="AL100" i="27" a="1"/>
  <c r="AL100" i="27" s="1"/>
  <c r="AL108" i="27" a="1"/>
  <c r="AL108" i="27" s="1"/>
  <c r="AL109" i="27" a="1"/>
  <c r="AL109" i="27" s="1"/>
  <c r="AL111" i="27" a="1"/>
  <c r="AL111" i="27" s="1"/>
  <c r="AL113" i="27" a="1"/>
  <c r="AL113" i="27" s="1"/>
  <c r="AL115" i="27" a="1"/>
  <c r="AL115" i="27" s="1"/>
  <c r="AL117" i="27" a="1"/>
  <c r="AL117" i="27" s="1"/>
  <c r="AL119" i="27" a="1"/>
  <c r="AL119" i="27" s="1"/>
  <c r="AL121" i="27" a="1"/>
  <c r="AL121" i="27" s="1"/>
  <c r="AL123" i="27" a="1"/>
  <c r="AL123" i="27" s="1"/>
  <c r="AL98" i="27" a="1"/>
  <c r="AL98" i="27" s="1"/>
  <c r="AL126" i="27" a="1"/>
  <c r="AL126" i="27" s="1"/>
  <c r="AL137" i="27" a="1"/>
  <c r="AL137" i="27" s="1"/>
  <c r="AL138" i="27" a="1"/>
  <c r="AL138" i="27" s="1"/>
  <c r="AL130" i="27" a="1"/>
  <c r="AL130" i="27" s="1"/>
  <c r="AL132" i="27" a="1"/>
  <c r="AL132" i="27" s="1"/>
  <c r="AL139" i="27" a="1"/>
  <c r="AL139" i="27" s="1"/>
  <c r="AL97" i="27" a="1"/>
  <c r="AL97" i="27" s="1"/>
  <c r="AL131" i="27" a="1"/>
  <c r="AL131" i="27" s="1"/>
  <c r="AL103" i="27" a="1"/>
  <c r="AL103" i="27" s="1"/>
  <c r="AL107" i="27" a="1"/>
  <c r="AL107" i="27" s="1"/>
  <c r="AL125" i="27" a="1"/>
  <c r="AL125" i="27" s="1"/>
  <c r="AL127" i="27" a="1"/>
  <c r="AL127" i="27" s="1"/>
  <c r="AL128" i="27" a="1"/>
  <c r="AL128" i="27" s="1"/>
  <c r="AL129" i="27" a="1"/>
  <c r="AL129" i="27" s="1"/>
  <c r="AL133" i="27" a="1"/>
  <c r="AL133" i="27" s="1"/>
  <c r="AL134" i="27" a="1"/>
  <c r="AL134" i="27" s="1"/>
  <c r="AL135" i="27" a="1"/>
  <c r="AL135" i="27" s="1"/>
  <c r="AL136" i="27" a="1"/>
  <c r="AL136" i="27" s="1"/>
  <c r="AN10" i="27" a="1"/>
  <c r="AN10" i="27" s="1"/>
  <c r="AN7" i="27" a="1"/>
  <c r="AN7" i="27" s="1"/>
  <c r="AN9" i="27" a="1"/>
  <c r="AN9" i="27" s="1"/>
  <c r="AN8" i="27" a="1"/>
  <c r="AN8" i="27" s="1"/>
  <c r="AN13" i="27" a="1"/>
  <c r="AN13" i="27" s="1"/>
  <c r="AN12" i="27" a="1"/>
  <c r="AN12" i="27" s="1"/>
  <c r="AN14" i="27" a="1"/>
  <c r="AN14" i="27" s="1"/>
  <c r="AN15" i="27" a="1"/>
  <c r="AN15" i="27" s="1"/>
  <c r="AN17" i="27" a="1"/>
  <c r="AN17" i="27" s="1"/>
  <c r="AN11" i="27" a="1"/>
  <c r="AN11" i="27" s="1"/>
  <c r="AN18" i="27" a="1"/>
  <c r="AN18" i="27" s="1"/>
  <c r="AN23" i="27" a="1"/>
  <c r="AN23" i="27" s="1"/>
  <c r="AN19" i="27" a="1"/>
  <c r="AN19" i="27" s="1"/>
  <c r="AN22" i="27" a="1"/>
  <c r="AN22" i="27" s="1"/>
  <c r="AN21" i="27" a="1"/>
  <c r="AN21" i="27" s="1"/>
  <c r="AN16" i="27" a="1"/>
  <c r="AN16" i="27" s="1"/>
  <c r="AN20" i="27" a="1"/>
  <c r="AN20" i="27" s="1"/>
  <c r="AN27" i="27" a="1"/>
  <c r="AN27" i="27" s="1"/>
  <c r="AN29" i="27" a="1"/>
  <c r="AN29" i="27" s="1"/>
  <c r="AN36" i="27" a="1"/>
  <c r="AN36" i="27" s="1"/>
  <c r="AN38" i="27" a="1"/>
  <c r="AN38" i="27" s="1"/>
  <c r="AN40" i="27" a="1"/>
  <c r="AN40" i="27" s="1"/>
  <c r="AN28" i="27" a="1"/>
  <c r="AN28" i="27" s="1"/>
  <c r="AN30" i="27" a="1"/>
  <c r="AN30" i="27" s="1"/>
  <c r="AN32" i="27" a="1"/>
  <c r="AN32" i="27" s="1"/>
  <c r="AN24" i="27" a="1"/>
  <c r="AN24" i="27" s="1"/>
  <c r="AN25" i="27" a="1"/>
  <c r="AN25" i="27" s="1"/>
  <c r="AN26" i="27" a="1"/>
  <c r="AN26" i="27" s="1"/>
  <c r="AN39" i="27" a="1"/>
  <c r="AN39" i="27" s="1"/>
  <c r="AN31" i="27" a="1"/>
  <c r="AN31" i="27" s="1"/>
  <c r="AN37" i="27" a="1"/>
  <c r="AN37" i="27" s="1"/>
  <c r="AN41" i="27" a="1"/>
  <c r="AN41" i="27" s="1"/>
  <c r="AN43" i="27" a="1"/>
  <c r="AN43" i="27" s="1"/>
  <c r="AN34" i="27" a="1"/>
  <c r="AN34" i="27" s="1"/>
  <c r="AN46" i="27" a="1"/>
  <c r="AN46" i="27" s="1"/>
  <c r="AN42" i="27" a="1"/>
  <c r="AN42" i="27" s="1"/>
  <c r="AN49" i="27" a="1"/>
  <c r="AN49" i="27" s="1"/>
  <c r="AN51" i="27" a="1"/>
  <c r="AN51" i="27" s="1"/>
  <c r="AN53" i="27" a="1"/>
  <c r="AN53" i="27" s="1"/>
  <c r="AN56" i="27" a="1"/>
  <c r="AN56" i="27" s="1"/>
  <c r="AN35" i="27" a="1"/>
  <c r="AN35" i="27" s="1"/>
  <c r="AN47" i="27" a="1"/>
  <c r="AN47" i="27" s="1"/>
  <c r="AN54" i="27" a="1"/>
  <c r="AN54" i="27" s="1"/>
  <c r="AN33" i="27" a="1"/>
  <c r="AN33" i="27" s="1"/>
  <c r="AN50" i="27" a="1"/>
  <c r="AN50" i="27" s="1"/>
  <c r="AN52" i="27" a="1"/>
  <c r="AN52" i="27" s="1"/>
  <c r="AN60" i="27" a="1"/>
  <c r="AN60" i="27" s="1"/>
  <c r="AN61" i="27" a="1"/>
  <c r="AN61" i="27" s="1"/>
  <c r="AN62" i="27" a="1"/>
  <c r="AN62" i="27" s="1"/>
  <c r="AN69" i="27" a="1"/>
  <c r="AN69" i="27" s="1"/>
  <c r="AN74" i="27" a="1"/>
  <c r="AN74" i="27" s="1"/>
  <c r="AN76" i="27" a="1"/>
  <c r="AN76" i="27" s="1"/>
  <c r="AN45" i="27" a="1"/>
  <c r="AN45" i="27" s="1"/>
  <c r="AN70" i="27" a="1"/>
  <c r="AN70" i="27" s="1"/>
  <c r="AN71" i="27" a="1"/>
  <c r="AN71" i="27" s="1"/>
  <c r="AN73" i="27" a="1"/>
  <c r="AN73" i="27" s="1"/>
  <c r="AN44" i="27" a="1"/>
  <c r="AN44" i="27" s="1"/>
  <c r="AN48" i="27" a="1"/>
  <c r="AN48" i="27" s="1"/>
  <c r="AN58" i="27" a="1"/>
  <c r="AN58" i="27" s="1"/>
  <c r="AN64" i="27" a="1"/>
  <c r="AN64" i="27" s="1"/>
  <c r="AN65" i="27" a="1"/>
  <c r="AN65" i="27" s="1"/>
  <c r="AN66" i="27" a="1"/>
  <c r="AN66" i="27" s="1"/>
  <c r="AN67" i="27" a="1"/>
  <c r="AN67" i="27" s="1"/>
  <c r="AN68" i="27" a="1"/>
  <c r="AN68" i="27" s="1"/>
  <c r="AN72" i="27" a="1"/>
  <c r="AN72" i="27" s="1"/>
  <c r="AN75" i="27" a="1"/>
  <c r="AN75" i="27" s="1"/>
  <c r="AN80" i="27" a="1"/>
  <c r="AN80" i="27" s="1"/>
  <c r="AN81" i="27" a="1"/>
  <c r="AN81" i="27" s="1"/>
  <c r="AN85" i="27" a="1"/>
  <c r="AN85" i="27" s="1"/>
  <c r="AN88" i="27" a="1"/>
  <c r="AN88" i="27" s="1"/>
  <c r="AN91" i="27" a="1"/>
  <c r="AN91" i="27" s="1"/>
  <c r="AN96" i="27" a="1"/>
  <c r="AN96" i="27" s="1"/>
  <c r="AN97" i="27" a="1"/>
  <c r="AN97" i="27" s="1"/>
  <c r="AN82" i="27" a="1"/>
  <c r="AN82" i="27" s="1"/>
  <c r="AN86" i="27" a="1"/>
  <c r="AN86" i="27" s="1"/>
  <c r="AN87" i="27" a="1"/>
  <c r="AN87" i="27" s="1"/>
  <c r="AN89" i="27" a="1"/>
  <c r="AN89" i="27" s="1"/>
  <c r="AN90" i="27" a="1"/>
  <c r="AN90" i="27" s="1"/>
  <c r="AN63" i="27" a="1"/>
  <c r="AN63" i="27" s="1"/>
  <c r="AN77" i="27" a="1"/>
  <c r="AN77" i="27" s="1"/>
  <c r="AN83" i="27" a="1"/>
  <c r="AN83" i="27" s="1"/>
  <c r="AN92" i="27" a="1"/>
  <c r="AN92" i="27" s="1"/>
  <c r="AN93" i="27" a="1"/>
  <c r="AN93" i="27" s="1"/>
  <c r="AN98" i="27" a="1"/>
  <c r="AN98" i="27" s="1"/>
  <c r="AN55" i="27" a="1"/>
  <c r="AN55" i="27" s="1"/>
  <c r="AN78" i="27" a="1"/>
  <c r="AN78" i="27" s="1"/>
  <c r="AN79" i="27" a="1"/>
  <c r="AN79" i="27" s="1"/>
  <c r="AN102" i="27" a="1"/>
  <c r="AN102" i="27" s="1"/>
  <c r="AN105" i="27" a="1"/>
  <c r="AN105" i="27" s="1"/>
  <c r="AN100" i="27" a="1"/>
  <c r="AN100" i="27" s="1"/>
  <c r="AN107" i="27" a="1"/>
  <c r="AN107" i="27" s="1"/>
  <c r="AN108" i="27" a="1"/>
  <c r="AN108" i="27" s="1"/>
  <c r="AN109" i="27" a="1"/>
  <c r="AN109" i="27" s="1"/>
  <c r="AN111" i="27" a="1"/>
  <c r="AN111" i="27" s="1"/>
  <c r="AN113" i="27" a="1"/>
  <c r="AN113" i="27" s="1"/>
  <c r="AN115" i="27" a="1"/>
  <c r="AN115" i="27" s="1"/>
  <c r="AN117" i="27" a="1"/>
  <c r="AN117" i="27" s="1"/>
  <c r="AN94" i="27" a="1"/>
  <c r="AN94" i="27" s="1"/>
  <c r="AN103" i="27" a="1"/>
  <c r="AN103" i="27" s="1"/>
  <c r="AN104" i="27" a="1"/>
  <c r="AN104" i="27" s="1"/>
  <c r="AN106" i="27" a="1"/>
  <c r="AN106" i="27" s="1"/>
  <c r="AN57" i="27" a="1"/>
  <c r="AN57" i="27" s="1"/>
  <c r="AN101" i="27" a="1"/>
  <c r="AN101" i="27" s="1"/>
  <c r="AN110" i="27" a="1"/>
  <c r="AN110" i="27" s="1"/>
  <c r="AN114" i="27" a="1"/>
  <c r="AN114" i="27" s="1"/>
  <c r="AN118" i="27" a="1"/>
  <c r="AN118" i="27" s="1"/>
  <c r="AN120" i="27" a="1"/>
  <c r="AN120" i="27" s="1"/>
  <c r="AN122" i="27" a="1"/>
  <c r="AN122" i="27" s="1"/>
  <c r="AN124" i="27" a="1"/>
  <c r="AN124" i="27" s="1"/>
  <c r="AN132" i="27" a="1"/>
  <c r="AN132" i="27" s="1"/>
  <c r="AN139" i="27" a="1"/>
  <c r="AN139" i="27" s="1"/>
  <c r="AN125" i="27" a="1"/>
  <c r="AN125" i="27" s="1"/>
  <c r="AN127" i="27" a="1"/>
  <c r="AN127" i="27" s="1"/>
  <c r="AN128" i="27" a="1"/>
  <c r="AN128" i="27" s="1"/>
  <c r="AN129" i="27" a="1"/>
  <c r="AN129" i="27" s="1"/>
  <c r="AN133" i="27" a="1"/>
  <c r="AN133" i="27" s="1"/>
  <c r="AN134" i="27" a="1"/>
  <c r="AN134" i="27" s="1"/>
  <c r="AN99" i="27" a="1"/>
  <c r="AN99" i="27" s="1"/>
  <c r="AN126" i="27" a="1"/>
  <c r="AN126" i="27" s="1"/>
  <c r="AN138" i="27" a="1"/>
  <c r="AN138" i="27" s="1"/>
  <c r="AN84" i="27" a="1"/>
  <c r="AN84" i="27" s="1"/>
  <c r="AN112" i="27" a="1"/>
  <c r="AN112" i="27" s="1"/>
  <c r="AN119" i="27" a="1"/>
  <c r="AN119" i="27" s="1"/>
  <c r="AN121" i="27" a="1"/>
  <c r="AN121" i="27" s="1"/>
  <c r="AN123" i="27" a="1"/>
  <c r="AN123" i="27" s="1"/>
  <c r="AN130" i="27" a="1"/>
  <c r="AN130" i="27" s="1"/>
  <c r="AN131" i="27" a="1"/>
  <c r="AN131" i="27" s="1"/>
  <c r="AN135" i="27" a="1"/>
  <c r="AN135" i="27" s="1"/>
  <c r="AN136" i="27" a="1"/>
  <c r="AN136" i="27" s="1"/>
  <c r="AN59" i="27" a="1"/>
  <c r="AN59" i="27" s="1"/>
  <c r="AN95" i="27" a="1"/>
  <c r="AN95" i="27" s="1"/>
  <c r="AN116" i="27" a="1"/>
  <c r="AN116" i="27" s="1"/>
  <c r="AN137" i="27" a="1"/>
  <c r="AN137" i="27" s="1"/>
  <c r="AP8" i="27" a="1"/>
  <c r="AP8" i="27" s="1"/>
  <c r="AP7" i="27" a="1"/>
  <c r="AP7" i="27" s="1"/>
  <c r="AP9" i="27" a="1"/>
  <c r="AP9" i="27" s="1"/>
  <c r="AP10" i="27" a="1"/>
  <c r="AP10" i="27" s="1"/>
  <c r="AP11" i="27" a="1"/>
  <c r="AP11" i="27" s="1"/>
  <c r="AP12" i="27" a="1"/>
  <c r="AP12" i="27" s="1"/>
  <c r="AP14" i="27" a="1"/>
  <c r="AP14" i="27" s="1"/>
  <c r="AP13" i="27" a="1"/>
  <c r="AP13" i="27" s="1"/>
  <c r="AP16" i="27" a="1"/>
  <c r="AP16" i="27" s="1"/>
  <c r="AP19" i="27" a="1"/>
  <c r="AP19" i="27" s="1"/>
  <c r="AP15" i="27" a="1"/>
  <c r="AP15" i="27" s="1"/>
  <c r="AP17" i="27" a="1"/>
  <c r="AP17" i="27" s="1"/>
  <c r="AP21" i="27" a="1"/>
  <c r="AP21" i="27" s="1"/>
  <c r="AP22" i="27" a="1"/>
  <c r="AP22" i="27" s="1"/>
  <c r="AP24" i="27" a="1"/>
  <c r="AP24" i="27" s="1"/>
  <c r="AP27" i="27" a="1"/>
  <c r="AP27" i="27" s="1"/>
  <c r="AP18" i="27" a="1"/>
  <c r="AP18" i="27" s="1"/>
  <c r="AP20" i="27" a="1"/>
  <c r="AP20" i="27" s="1"/>
  <c r="AP23" i="27" a="1"/>
  <c r="AP23" i="27" s="1"/>
  <c r="AP25" i="27" a="1"/>
  <c r="AP25" i="27" s="1"/>
  <c r="AP26" i="27" a="1"/>
  <c r="AP26" i="27" s="1"/>
  <c r="AP35" i="27" a="1"/>
  <c r="AP35" i="27" s="1"/>
  <c r="AP39" i="27" a="1"/>
  <c r="AP39" i="27" s="1"/>
  <c r="AP31" i="27" a="1"/>
  <c r="AP31" i="27" s="1"/>
  <c r="AP33" i="27" a="1"/>
  <c r="AP33" i="27" s="1"/>
  <c r="AP34" i="27" a="1"/>
  <c r="AP34" i="27" s="1"/>
  <c r="AP29" i="27" a="1"/>
  <c r="AP29" i="27" s="1"/>
  <c r="AP28" i="27" a="1"/>
  <c r="AP28" i="27" s="1"/>
  <c r="AP32" i="27" a="1"/>
  <c r="AP32" i="27" s="1"/>
  <c r="AP38" i="27" a="1"/>
  <c r="AP38" i="27" s="1"/>
  <c r="AP42" i="27" a="1"/>
  <c r="AP42" i="27" s="1"/>
  <c r="AP44" i="27" a="1"/>
  <c r="AP44" i="27" s="1"/>
  <c r="AP46" i="27" a="1"/>
  <c r="AP46" i="27" s="1"/>
  <c r="AP30" i="27" a="1"/>
  <c r="AP30" i="27" s="1"/>
  <c r="AP36" i="27" a="1"/>
  <c r="AP36" i="27" s="1"/>
  <c r="AP47" i="27" a="1"/>
  <c r="AP47" i="27" s="1"/>
  <c r="AP45" i="27" a="1"/>
  <c r="AP45" i="27" s="1"/>
  <c r="AP54" i="27" a="1"/>
  <c r="AP54" i="27" s="1"/>
  <c r="AP43" i="27" a="1"/>
  <c r="AP43" i="27" s="1"/>
  <c r="AP48" i="27" a="1"/>
  <c r="AP48" i="27" s="1"/>
  <c r="AP50" i="27" a="1"/>
  <c r="AP50" i="27" s="1"/>
  <c r="AP52" i="27" a="1"/>
  <c r="AP52" i="27" s="1"/>
  <c r="AP37" i="27" a="1"/>
  <c r="AP37" i="27" s="1"/>
  <c r="AP40" i="27" a="1"/>
  <c r="AP40" i="27" s="1"/>
  <c r="AP41" i="27" a="1"/>
  <c r="AP41" i="27" s="1"/>
  <c r="AP49" i="27" a="1"/>
  <c r="AP49" i="27" s="1"/>
  <c r="AP55" i="27" a="1"/>
  <c r="AP55" i="27" s="1"/>
  <c r="AP71" i="27" a="1"/>
  <c r="AP71" i="27" s="1"/>
  <c r="AP72" i="27" a="1"/>
  <c r="AP72" i="27" s="1"/>
  <c r="AP75" i="27" a="1"/>
  <c r="AP75" i="27" s="1"/>
  <c r="AP78" i="27" a="1"/>
  <c r="AP78" i="27" s="1"/>
  <c r="AP51" i="27" a="1"/>
  <c r="AP51" i="27" s="1"/>
  <c r="AP56" i="27" a="1"/>
  <c r="AP56" i="27" s="1"/>
  <c r="AP58" i="27" a="1"/>
  <c r="AP58" i="27" s="1"/>
  <c r="AP63" i="27" a="1"/>
  <c r="AP63" i="27" s="1"/>
  <c r="AP64" i="27" a="1"/>
  <c r="AP64" i="27" s="1"/>
  <c r="AP65" i="27" a="1"/>
  <c r="AP65" i="27" s="1"/>
  <c r="AP66" i="27" a="1"/>
  <c r="AP66" i="27" s="1"/>
  <c r="AP67" i="27" a="1"/>
  <c r="AP67" i="27" s="1"/>
  <c r="AP68" i="27" a="1"/>
  <c r="AP68" i="27" s="1"/>
  <c r="AP53" i="27" a="1"/>
  <c r="AP53" i="27" s="1"/>
  <c r="AP57" i="27" a="1"/>
  <c r="AP57" i="27" s="1"/>
  <c r="AP59" i="27" a="1"/>
  <c r="AP59" i="27" s="1"/>
  <c r="AP60" i="27" a="1"/>
  <c r="AP60" i="27" s="1"/>
  <c r="AP76" i="27" a="1"/>
  <c r="AP76" i="27" s="1"/>
  <c r="AP77" i="27" a="1"/>
  <c r="AP77" i="27" s="1"/>
  <c r="AP62" i="27" a="1"/>
  <c r="AP62" i="27" s="1"/>
  <c r="AP69" i="27" a="1"/>
  <c r="AP69" i="27" s="1"/>
  <c r="AP79" i="27" a="1"/>
  <c r="AP79" i="27" s="1"/>
  <c r="AP82" i="27" a="1"/>
  <c r="AP82" i="27" s="1"/>
  <c r="AP86" i="27" a="1"/>
  <c r="AP86" i="27" s="1"/>
  <c r="AP87" i="27" a="1"/>
  <c r="AP87" i="27" s="1"/>
  <c r="AP89" i="27" a="1"/>
  <c r="AP89" i="27" s="1"/>
  <c r="AP93" i="27" a="1"/>
  <c r="AP93" i="27" s="1"/>
  <c r="AP95" i="27" a="1"/>
  <c r="AP95" i="27" s="1"/>
  <c r="AP96" i="27" a="1"/>
  <c r="AP96" i="27" s="1"/>
  <c r="AP73" i="27" a="1"/>
  <c r="AP73" i="27" s="1"/>
  <c r="AP74" i="27" a="1"/>
  <c r="AP74" i="27" s="1"/>
  <c r="AP83" i="27" a="1"/>
  <c r="AP83" i="27" s="1"/>
  <c r="AP92" i="27" a="1"/>
  <c r="AP92" i="27" s="1"/>
  <c r="AP84" i="27" a="1"/>
  <c r="AP84" i="27" s="1"/>
  <c r="AP94" i="27" a="1"/>
  <c r="AP94" i="27" s="1"/>
  <c r="AP70" i="27" a="1"/>
  <c r="AP70" i="27" s="1"/>
  <c r="AP88" i="27" a="1"/>
  <c r="AP88" i="27" s="1"/>
  <c r="AP90" i="27" a="1"/>
  <c r="AP90" i="27" s="1"/>
  <c r="AP98" i="27" a="1"/>
  <c r="AP98" i="27" s="1"/>
  <c r="AP100" i="27" a="1"/>
  <c r="AP100" i="27" s="1"/>
  <c r="AP106" i="27" a="1"/>
  <c r="AP106" i="27" s="1"/>
  <c r="AP107" i="27" a="1"/>
  <c r="AP107" i="27" s="1"/>
  <c r="AP108" i="27" a="1"/>
  <c r="AP108" i="27" s="1"/>
  <c r="AP109" i="27" a="1"/>
  <c r="AP109" i="27" s="1"/>
  <c r="AP111" i="27" a="1"/>
  <c r="AP111" i="27" s="1"/>
  <c r="AP113" i="27" a="1"/>
  <c r="AP113" i="27" s="1"/>
  <c r="AP115" i="27" a="1"/>
  <c r="AP115" i="27" s="1"/>
  <c r="AP117" i="27" a="1"/>
  <c r="AP117" i="27" s="1"/>
  <c r="AP119" i="27" a="1"/>
  <c r="AP119" i="27" s="1"/>
  <c r="AP121" i="27" a="1"/>
  <c r="AP121" i="27" s="1"/>
  <c r="AP123" i="27" a="1"/>
  <c r="AP123" i="27" s="1"/>
  <c r="AP103" i="27" a="1"/>
  <c r="AP103" i="27" s="1"/>
  <c r="AP104" i="27" a="1"/>
  <c r="AP104" i="27" s="1"/>
  <c r="AP61" i="27" a="1"/>
  <c r="AP61" i="27" s="1"/>
  <c r="AP80" i="27" a="1"/>
  <c r="AP80" i="27" s="1"/>
  <c r="AP81" i="27" a="1"/>
  <c r="AP81" i="27" s="1"/>
  <c r="AP85" i="27" a="1"/>
  <c r="AP85" i="27" s="1"/>
  <c r="AP91" i="27" a="1"/>
  <c r="AP91" i="27" s="1"/>
  <c r="AP97" i="27" a="1"/>
  <c r="AP97" i="27" s="1"/>
  <c r="AP99" i="27" a="1"/>
  <c r="AP99" i="27" s="1"/>
  <c r="AP101" i="27" a="1"/>
  <c r="AP101" i="27" s="1"/>
  <c r="AP105" i="27" a="1"/>
  <c r="AP105" i="27" s="1"/>
  <c r="AP110" i="27" a="1"/>
  <c r="AP110" i="27" s="1"/>
  <c r="AP112" i="27" a="1"/>
  <c r="AP112" i="27" s="1"/>
  <c r="AP114" i="27" a="1"/>
  <c r="AP114" i="27" s="1"/>
  <c r="AP116" i="27" a="1"/>
  <c r="AP116" i="27" s="1"/>
  <c r="AP118" i="27" a="1"/>
  <c r="AP118" i="27" s="1"/>
  <c r="AP120" i="27" a="1"/>
  <c r="AP120" i="27" s="1"/>
  <c r="AP122" i="27" a="1"/>
  <c r="AP122" i="27" s="1"/>
  <c r="AP124" i="27" a="1"/>
  <c r="AP124" i="27" s="1"/>
  <c r="AP125" i="27" a="1"/>
  <c r="AP125" i="27" s="1"/>
  <c r="AP127" i="27" a="1"/>
  <c r="AP127" i="27" s="1"/>
  <c r="AP128" i="27" a="1"/>
  <c r="AP128" i="27" s="1"/>
  <c r="AP129" i="27" a="1"/>
  <c r="AP129" i="27" s="1"/>
  <c r="AP133" i="27" a="1"/>
  <c r="AP133" i="27" s="1"/>
  <c r="AP134" i="27" a="1"/>
  <c r="AP134" i="27" s="1"/>
  <c r="AP130" i="27" a="1"/>
  <c r="AP130" i="27" s="1"/>
  <c r="AP131" i="27" a="1"/>
  <c r="AP131" i="27" s="1"/>
  <c r="AP135" i="27" a="1"/>
  <c r="AP135" i="27" s="1"/>
  <c r="AP136" i="27" a="1"/>
  <c r="AP136" i="27" s="1"/>
  <c r="AP132" i="27" a="1"/>
  <c r="AP132" i="27" s="1"/>
  <c r="AP139" i="27" a="1"/>
  <c r="AP139" i="27" s="1"/>
  <c r="AP126" i="27" a="1"/>
  <c r="AP126" i="27" s="1"/>
  <c r="AP137" i="27" a="1"/>
  <c r="AP137" i="27" s="1"/>
  <c r="AP138" i="27" a="1"/>
  <c r="AP138" i="27" s="1"/>
  <c r="AP102" i="27" a="1"/>
  <c r="AP102" i="27" s="1"/>
  <c r="BT37" i="27"/>
  <c r="BT48" i="27"/>
  <c r="BT32" i="27"/>
  <c r="O79" i="12"/>
  <c r="O52" i="12"/>
  <c r="BT86" i="27"/>
  <c r="BT87" i="27"/>
  <c r="O63" i="12"/>
  <c r="O94" i="12"/>
  <c r="BT113" i="27"/>
  <c r="BT128" i="27"/>
  <c r="BU9" i="27"/>
  <c r="BU7" i="27"/>
  <c r="BU8" i="27"/>
  <c r="BU11" i="27"/>
  <c r="BU10" i="27"/>
  <c r="BV10" i="27" s="1"/>
  <c r="BU13" i="27"/>
  <c r="BU14" i="27"/>
  <c r="BU18" i="27"/>
  <c r="BU12" i="27"/>
  <c r="BV12" i="27" s="1"/>
  <c r="BU19" i="27"/>
  <c r="BU22" i="27"/>
  <c r="BU15" i="27"/>
  <c r="BU17" i="27"/>
  <c r="BU21" i="27"/>
  <c r="BU16" i="27"/>
  <c r="BU23" i="27"/>
  <c r="BU27" i="27"/>
  <c r="BU20" i="27"/>
  <c r="BU24" i="27"/>
  <c r="BU30" i="27"/>
  <c r="BU31" i="27"/>
  <c r="BU32" i="27"/>
  <c r="BU33" i="27"/>
  <c r="BU35" i="27"/>
  <c r="BU25" i="27"/>
  <c r="BU28" i="27"/>
  <c r="BU40" i="27"/>
  <c r="BU43" i="27"/>
  <c r="BU34" i="27"/>
  <c r="BU38" i="27"/>
  <c r="BU41" i="27"/>
  <c r="BU46" i="27"/>
  <c r="BU29" i="27"/>
  <c r="BU36" i="27"/>
  <c r="BU37" i="27"/>
  <c r="BU42" i="27"/>
  <c r="BU45" i="27"/>
  <c r="BV45" i="27" s="1"/>
  <c r="BU26" i="27"/>
  <c r="BU44" i="27"/>
  <c r="BU47" i="27"/>
  <c r="BU50" i="27"/>
  <c r="BU53" i="27"/>
  <c r="BU54" i="27"/>
  <c r="BV54" i="27" s="1"/>
  <c r="BU39" i="27"/>
  <c r="BU52" i="27"/>
  <c r="BV52" i="27" s="1"/>
  <c r="BU55" i="27"/>
  <c r="BU48" i="27"/>
  <c r="BU51" i="27"/>
  <c r="BV51" i="27" s="1"/>
  <c r="BU56" i="27"/>
  <c r="BU57" i="27"/>
  <c r="BU60" i="27"/>
  <c r="BU63" i="27"/>
  <c r="BU73" i="27"/>
  <c r="BU77" i="27"/>
  <c r="BV77" i="27" s="1"/>
  <c r="BU59" i="27"/>
  <c r="BU61" i="27"/>
  <c r="BU64" i="27"/>
  <c r="BU67" i="27"/>
  <c r="BU68" i="27"/>
  <c r="BU74" i="27"/>
  <c r="BV74" i="27" s="1"/>
  <c r="BU62" i="27"/>
  <c r="BV62" i="27" s="1"/>
  <c r="BU65" i="27"/>
  <c r="BV65" i="27" s="1"/>
  <c r="BU69" i="27"/>
  <c r="BU70" i="27"/>
  <c r="BU58" i="27"/>
  <c r="BU76" i="27"/>
  <c r="BU78" i="27"/>
  <c r="BU79" i="27"/>
  <c r="BV79" i="27" s="1"/>
  <c r="BU83" i="27"/>
  <c r="BU91" i="27"/>
  <c r="BV91" i="27" s="1"/>
  <c r="BU95" i="27"/>
  <c r="BU96" i="27"/>
  <c r="BV96" i="27" s="1"/>
  <c r="BU84" i="27"/>
  <c r="BU90" i="27"/>
  <c r="BU49" i="27"/>
  <c r="BU66" i="27"/>
  <c r="BU71" i="27"/>
  <c r="BU72" i="27"/>
  <c r="BU80" i="27"/>
  <c r="BU81" i="27"/>
  <c r="BV81" i="27" s="1"/>
  <c r="BU85" i="27"/>
  <c r="BU89" i="27"/>
  <c r="BU93" i="27"/>
  <c r="BU97" i="27"/>
  <c r="BU82" i="27"/>
  <c r="BU87" i="27"/>
  <c r="BU98" i="27"/>
  <c r="BU99" i="27"/>
  <c r="BU100" i="27"/>
  <c r="BU101" i="27"/>
  <c r="BU103" i="27"/>
  <c r="BV103" i="27" s="1"/>
  <c r="BU105" i="27"/>
  <c r="BU107" i="27"/>
  <c r="BU110" i="27"/>
  <c r="BU112" i="27"/>
  <c r="BU116" i="27"/>
  <c r="BU75" i="27"/>
  <c r="BU86" i="27"/>
  <c r="BU88" i="27"/>
  <c r="BU102" i="27"/>
  <c r="BU104" i="27"/>
  <c r="BV104" i="27" s="1"/>
  <c r="BU114" i="27"/>
  <c r="BU117" i="27"/>
  <c r="BU131" i="27"/>
  <c r="BU135" i="27"/>
  <c r="BU136" i="27"/>
  <c r="BU127" i="27"/>
  <c r="BU129" i="27"/>
  <c r="BU111" i="27"/>
  <c r="BU118" i="27"/>
  <c r="BU120" i="27"/>
  <c r="BU122" i="27"/>
  <c r="BU124" i="27"/>
  <c r="BU126" i="27"/>
  <c r="BU130" i="27"/>
  <c r="BV130" i="27" s="1"/>
  <c r="BU137" i="27"/>
  <c r="BU138" i="27"/>
  <c r="BU113" i="27"/>
  <c r="BU125" i="27"/>
  <c r="BU134" i="27"/>
  <c r="BU92" i="27"/>
  <c r="BU108" i="27"/>
  <c r="BU115" i="27"/>
  <c r="BU132" i="27"/>
  <c r="BU139" i="27"/>
  <c r="BU94" i="27"/>
  <c r="BV94" i="27" s="1"/>
  <c r="BU106" i="27"/>
  <c r="BU109" i="27"/>
  <c r="BU119" i="27"/>
  <c r="BU121" i="27"/>
  <c r="BU123" i="27"/>
  <c r="BU128" i="27"/>
  <c r="BU133" i="27"/>
  <c r="AS10" i="27" a="1"/>
  <c r="AS10" i="27" s="1"/>
  <c r="AS8" i="27" a="1"/>
  <c r="AS8" i="27" s="1"/>
  <c r="AS7" i="27" a="1"/>
  <c r="AS7" i="27" s="1"/>
  <c r="AS12" i="27" a="1"/>
  <c r="AS12" i="27" s="1"/>
  <c r="AS14" i="27" a="1"/>
  <c r="AS14" i="27" s="1"/>
  <c r="AS16" i="27" a="1"/>
  <c r="AS16" i="27" s="1"/>
  <c r="AS11" i="27" a="1"/>
  <c r="AS11" i="27" s="1"/>
  <c r="AS13" i="27" a="1"/>
  <c r="AS13" i="27" s="1"/>
  <c r="AS15" i="27" a="1"/>
  <c r="AS15" i="27" s="1"/>
  <c r="AS17" i="27" a="1"/>
  <c r="AS17" i="27" s="1"/>
  <c r="AS19" i="27" a="1"/>
  <c r="AS19" i="27" s="1"/>
  <c r="AS18" i="27" a="1"/>
  <c r="AS18" i="27" s="1"/>
  <c r="AS23" i="27" a="1"/>
  <c r="AS23" i="27" s="1"/>
  <c r="AS9" i="27" a="1"/>
  <c r="AS9" i="27" s="1"/>
  <c r="AS20" i="27" a="1"/>
  <c r="AS20" i="27" s="1"/>
  <c r="AS25" i="27" a="1"/>
  <c r="AS25" i="27" s="1"/>
  <c r="AS27" i="27" a="1"/>
  <c r="AS27" i="27" s="1"/>
  <c r="AS28" i="27" a="1"/>
  <c r="AS28" i="27" s="1"/>
  <c r="AS22" i="27" a="1"/>
  <c r="AS22" i="27" s="1"/>
  <c r="AS26" i="27" a="1"/>
  <c r="AS26" i="27" s="1"/>
  <c r="AS31" i="27" a="1"/>
  <c r="AS31" i="27" s="1"/>
  <c r="AS34" i="27" a="1"/>
  <c r="AS34" i="27" s="1"/>
  <c r="AS24" i="27" a="1"/>
  <c r="AS24" i="27" s="1"/>
  <c r="AS29" i="27" a="1"/>
  <c r="AS29" i="27" s="1"/>
  <c r="AS33" i="27" a="1"/>
  <c r="AS33" i="27" s="1"/>
  <c r="AS21" i="27" a="1"/>
  <c r="AS21" i="27" s="1"/>
  <c r="AS36" i="27" a="1"/>
  <c r="AS36" i="27" s="1"/>
  <c r="AS38" i="27" a="1"/>
  <c r="AS38" i="27" s="1"/>
  <c r="AS42" i="27" a="1"/>
  <c r="AS42" i="27" s="1"/>
  <c r="AS37" i="27" a="1"/>
  <c r="AS37" i="27" s="1"/>
  <c r="AS39" i="27" a="1"/>
  <c r="AS39" i="27" s="1"/>
  <c r="AS40" i="27" a="1"/>
  <c r="AS40" i="27" s="1"/>
  <c r="AS35" i="27" a="1"/>
  <c r="AS35" i="27" s="1"/>
  <c r="AS41" i="27" a="1"/>
  <c r="AS41" i="27" s="1"/>
  <c r="AS43" i="27" a="1"/>
  <c r="AS43" i="27" s="1"/>
  <c r="AS51" i="27" a="1"/>
  <c r="AS51" i="27" s="1"/>
  <c r="AS53" i="27" a="1"/>
  <c r="AS53" i="27" s="1"/>
  <c r="AS56" i="27" a="1"/>
  <c r="AS56" i="27" s="1"/>
  <c r="AS32" i="27" a="1"/>
  <c r="AS32" i="27" s="1"/>
  <c r="AS48" i="27" a="1"/>
  <c r="AS48" i="27" s="1"/>
  <c r="AS54" i="27" a="1"/>
  <c r="AS54" i="27" s="1"/>
  <c r="AS30" i="27" a="1"/>
  <c r="AS30" i="27" s="1"/>
  <c r="AS44" i="27" a="1"/>
  <c r="AS44" i="27" s="1"/>
  <c r="AS45" i="27" a="1"/>
  <c r="AS45" i="27" s="1"/>
  <c r="AS47" i="27" a="1"/>
  <c r="AS47" i="27" s="1"/>
  <c r="AS49" i="27" a="1"/>
  <c r="AS49" i="27" s="1"/>
  <c r="AS50" i="27" a="1"/>
  <c r="AS50" i="27" s="1"/>
  <c r="AS52" i="27" a="1"/>
  <c r="AS52" i="27" s="1"/>
  <c r="AS61" i="27" a="1"/>
  <c r="AS61" i="27" s="1"/>
  <c r="AS69" i="27" a="1"/>
  <c r="AS69" i="27" s="1"/>
  <c r="AS72" i="27" a="1"/>
  <c r="AS72" i="27" s="1"/>
  <c r="AS73" i="27" a="1"/>
  <c r="AS73" i="27" s="1"/>
  <c r="AS75" i="27" a="1"/>
  <c r="AS75" i="27" s="1"/>
  <c r="AS78" i="27" a="1"/>
  <c r="AS78" i="27" s="1"/>
  <c r="AS79" i="27" a="1"/>
  <c r="AS79" i="27" s="1"/>
  <c r="AS58" i="27" a="1"/>
  <c r="AS58" i="27" s="1"/>
  <c r="AS71" i="27" a="1"/>
  <c r="AS71" i="27" s="1"/>
  <c r="AS46" i="27" a="1"/>
  <c r="AS46" i="27" s="1"/>
  <c r="AS59" i="27" a="1"/>
  <c r="AS59" i="27" s="1"/>
  <c r="AS63" i="27" a="1"/>
  <c r="AS63" i="27" s="1"/>
  <c r="AS64" i="27" a="1"/>
  <c r="AS64" i="27" s="1"/>
  <c r="AS65" i="27" a="1"/>
  <c r="AS65" i="27" s="1"/>
  <c r="AS66" i="27" a="1"/>
  <c r="AS66" i="27" s="1"/>
  <c r="AS67" i="27" a="1"/>
  <c r="AS67" i="27" s="1"/>
  <c r="AS68" i="27" a="1"/>
  <c r="AS68" i="27" s="1"/>
  <c r="AS77" i="27" a="1"/>
  <c r="AS77" i="27" s="1"/>
  <c r="AS55" i="27" a="1"/>
  <c r="AS55" i="27" s="1"/>
  <c r="AS70" i="27" a="1"/>
  <c r="AS70" i="27" s="1"/>
  <c r="AS85" i="27" a="1"/>
  <c r="AS85" i="27" s="1"/>
  <c r="AS88" i="27" a="1"/>
  <c r="AS88" i="27" s="1"/>
  <c r="AS89" i="27" a="1"/>
  <c r="AS89" i="27" s="1"/>
  <c r="AS93" i="27" a="1"/>
  <c r="AS93" i="27" s="1"/>
  <c r="AS95" i="27" a="1"/>
  <c r="AS95" i="27" s="1"/>
  <c r="AS97" i="27" a="1"/>
  <c r="AS97" i="27" s="1"/>
  <c r="AS57" i="27" a="1"/>
  <c r="AS57" i="27" s="1"/>
  <c r="AS62" i="27" a="1"/>
  <c r="AS62" i="27" s="1"/>
  <c r="AS82" i="27" a="1"/>
  <c r="AS82" i="27" s="1"/>
  <c r="AS86" i="27" a="1"/>
  <c r="AS86" i="27" s="1"/>
  <c r="AS87" i="27" a="1"/>
  <c r="AS87" i="27" s="1"/>
  <c r="AS92" i="27" a="1"/>
  <c r="AS92" i="27" s="1"/>
  <c r="AS74" i="27" a="1"/>
  <c r="AS74" i="27" s="1"/>
  <c r="AS80" i="27" a="1"/>
  <c r="AS80" i="27" s="1"/>
  <c r="AS83" i="27" a="1"/>
  <c r="AS83" i="27" s="1"/>
  <c r="AS91" i="27" a="1"/>
  <c r="AS91" i="27" s="1"/>
  <c r="AS98" i="27" a="1"/>
  <c r="AS98" i="27" s="1"/>
  <c r="AS76" i="27" a="1"/>
  <c r="AS76" i="27" s="1"/>
  <c r="AS102" i="27" a="1"/>
  <c r="AS102" i="27" s="1"/>
  <c r="AS107" i="27" a="1"/>
  <c r="AS107" i="27" s="1"/>
  <c r="AS109" i="27" a="1"/>
  <c r="AS109" i="27" s="1"/>
  <c r="AS111" i="27" a="1"/>
  <c r="AS111" i="27" s="1"/>
  <c r="AS113" i="27" a="1"/>
  <c r="AS113" i="27" s="1"/>
  <c r="AS115" i="27" a="1"/>
  <c r="AS115" i="27" s="1"/>
  <c r="AS117" i="27" a="1"/>
  <c r="AS117" i="27" s="1"/>
  <c r="AS119" i="27" a="1"/>
  <c r="AS119" i="27" s="1"/>
  <c r="AS121" i="27" a="1"/>
  <c r="AS121" i="27" s="1"/>
  <c r="AS123" i="27" a="1"/>
  <c r="AS123" i="27" s="1"/>
  <c r="AS60" i="27" a="1"/>
  <c r="AS60" i="27" s="1"/>
  <c r="AS84" i="27" a="1"/>
  <c r="AS84" i="27" s="1"/>
  <c r="AS90" i="27" a="1"/>
  <c r="AS90" i="27" s="1"/>
  <c r="AS94" i="27" a="1"/>
  <c r="AS94" i="27" s="1"/>
  <c r="AS100" i="27" a="1"/>
  <c r="AS100" i="27" s="1"/>
  <c r="AS104" i="27" a="1"/>
  <c r="AS104" i="27" s="1"/>
  <c r="AS106" i="27" a="1"/>
  <c r="AS106" i="27" s="1"/>
  <c r="AS96" i="27" a="1"/>
  <c r="AS96" i="27" s="1"/>
  <c r="AS103" i="27" a="1"/>
  <c r="AS103" i="27" s="1"/>
  <c r="AS105" i="27" a="1"/>
  <c r="AS105" i="27" s="1"/>
  <c r="AS110" i="27" a="1"/>
  <c r="AS110" i="27" s="1"/>
  <c r="AS112" i="27" a="1"/>
  <c r="AS112" i="27" s="1"/>
  <c r="AS114" i="27" a="1"/>
  <c r="AS114" i="27" s="1"/>
  <c r="AS116" i="27" a="1"/>
  <c r="AS116" i="27" s="1"/>
  <c r="AS118" i="27" a="1"/>
  <c r="AS118" i="27" s="1"/>
  <c r="AS120" i="27" a="1"/>
  <c r="AS120" i="27" s="1"/>
  <c r="AS122" i="27" a="1"/>
  <c r="AS122" i="27" s="1"/>
  <c r="AS124" i="27" a="1"/>
  <c r="AS124" i="27" s="1"/>
  <c r="AS108" i="27" a="1"/>
  <c r="AS108" i="27" s="1"/>
  <c r="AS125" i="27" a="1"/>
  <c r="AS125" i="27" s="1"/>
  <c r="AS127" i="27" a="1"/>
  <c r="AS127" i="27" s="1"/>
  <c r="AS128" i="27" a="1"/>
  <c r="AS128" i="27" s="1"/>
  <c r="AS129" i="27" a="1"/>
  <c r="AS129" i="27" s="1"/>
  <c r="AS133" i="27" a="1"/>
  <c r="AS133" i="27" s="1"/>
  <c r="AS134" i="27" a="1"/>
  <c r="AS134" i="27" s="1"/>
  <c r="AS132" i="27" a="1"/>
  <c r="AS132" i="27" s="1"/>
  <c r="AS99" i="27" a="1"/>
  <c r="AS99" i="27" s="1"/>
  <c r="AS130" i="27" a="1"/>
  <c r="AS130" i="27" s="1"/>
  <c r="AS131" i="27" a="1"/>
  <c r="AS131" i="27" s="1"/>
  <c r="AS135" i="27" a="1"/>
  <c r="AS135" i="27" s="1"/>
  <c r="AS136" i="27" a="1"/>
  <c r="AS136" i="27" s="1"/>
  <c r="AS101" i="27" a="1"/>
  <c r="AS101" i="27" s="1"/>
  <c r="AS126" i="27" a="1"/>
  <c r="AS126" i="27" s="1"/>
  <c r="AS137" i="27" a="1"/>
  <c r="AS137" i="27" s="1"/>
  <c r="AS138" i="27" a="1"/>
  <c r="AS138" i="27" s="1"/>
  <c r="AS81" i="27" a="1"/>
  <c r="AS81" i="27" s="1"/>
  <c r="AS139" i="27" a="1"/>
  <c r="AS139" i="27" s="1"/>
  <c r="DX8" i="27"/>
  <c r="DX12" i="27"/>
  <c r="DX14" i="27"/>
  <c r="DX20" i="27"/>
  <c r="DX36" i="27"/>
  <c r="DX40" i="27"/>
  <c r="DX43" i="27"/>
  <c r="DX44" i="27"/>
  <c r="DX49" i="27"/>
  <c r="DX7" i="27"/>
  <c r="DX18" i="27"/>
  <c r="DX19" i="27"/>
  <c r="DX21" i="27"/>
  <c r="DX24" i="27"/>
  <c r="DX27" i="27"/>
  <c r="DX29" i="27"/>
  <c r="DX30" i="27"/>
  <c r="DX32" i="27"/>
  <c r="DX34" i="27"/>
  <c r="DX39" i="27"/>
  <c r="DX47" i="27"/>
  <c r="DX50" i="27"/>
  <c r="DX13" i="27"/>
  <c r="DX23" i="27"/>
  <c r="DX28" i="27"/>
  <c r="DX38" i="27"/>
  <c r="DX41" i="27"/>
  <c r="DX45" i="27"/>
  <c r="DX51" i="27"/>
  <c r="DX52" i="27"/>
  <c r="DX16" i="27"/>
  <c r="DX31" i="27"/>
  <c r="DX35" i="27"/>
  <c r="DX57" i="27"/>
  <c r="DX60" i="27"/>
  <c r="EC60" i="27" s="1"/>
  <c r="DX65" i="27"/>
  <c r="DX68" i="27"/>
  <c r="DX71" i="27"/>
  <c r="DX72" i="27"/>
  <c r="DX78" i="27"/>
  <c r="DX83" i="27"/>
  <c r="EC83" i="27" s="1"/>
  <c r="DX86" i="27"/>
  <c r="DX87" i="27"/>
  <c r="DX88" i="27"/>
  <c r="DX9" i="27"/>
  <c r="DX10" i="27"/>
  <c r="DX15" i="27"/>
  <c r="DX25" i="27"/>
  <c r="DX26" i="27"/>
  <c r="DX48" i="27"/>
  <c r="DX56" i="27"/>
  <c r="DX64" i="27"/>
  <c r="DX77" i="27"/>
  <c r="DX82" i="27"/>
  <c r="DX11" i="27"/>
  <c r="DX17" i="27"/>
  <c r="DX22" i="27"/>
  <c r="DX37" i="27"/>
  <c r="DX42" i="27"/>
  <c r="DX53" i="27"/>
  <c r="DX55" i="27"/>
  <c r="DX59" i="27"/>
  <c r="DX62" i="27"/>
  <c r="DX63" i="27"/>
  <c r="DX66" i="27"/>
  <c r="DX67" i="27"/>
  <c r="DX74" i="27"/>
  <c r="DX79" i="27"/>
  <c r="DX80" i="27"/>
  <c r="DX81" i="27"/>
  <c r="DX85" i="27"/>
  <c r="DX58" i="27"/>
  <c r="DX84" i="27"/>
  <c r="DX96" i="27"/>
  <c r="DX99" i="27"/>
  <c r="DX100" i="27"/>
  <c r="DX101" i="27"/>
  <c r="DX102" i="27"/>
  <c r="DX108" i="27"/>
  <c r="DX114" i="27"/>
  <c r="DX120" i="27"/>
  <c r="DX130" i="27"/>
  <c r="DX131" i="27"/>
  <c r="DX135" i="27"/>
  <c r="DX136" i="27"/>
  <c r="DX54" i="27"/>
  <c r="DX73" i="27"/>
  <c r="DX76" i="27"/>
  <c r="DX92" i="27"/>
  <c r="DX104" i="27"/>
  <c r="DX109" i="27"/>
  <c r="DX110" i="27"/>
  <c r="DX111" i="27"/>
  <c r="DX112" i="27"/>
  <c r="DX113" i="27"/>
  <c r="DX115" i="27"/>
  <c r="DX116" i="27"/>
  <c r="DX117" i="27"/>
  <c r="DX118" i="27"/>
  <c r="DX119" i="27"/>
  <c r="DX127" i="27"/>
  <c r="DX133" i="27"/>
  <c r="DX138" i="27"/>
  <c r="DX70" i="27"/>
  <c r="DX91" i="27"/>
  <c r="DX94" i="27"/>
  <c r="DX97" i="27"/>
  <c r="DX105" i="27"/>
  <c r="DX106" i="27"/>
  <c r="DX129" i="27"/>
  <c r="DX139" i="27"/>
  <c r="DX95" i="27"/>
  <c r="DX98" i="27"/>
  <c r="DX123" i="27"/>
  <c r="DX134" i="27"/>
  <c r="DX33" i="27"/>
  <c r="DX89" i="27"/>
  <c r="DX93" i="27"/>
  <c r="DX103" i="27"/>
  <c r="DX122" i="27"/>
  <c r="DX126" i="27"/>
  <c r="DX132" i="27"/>
  <c r="DX137" i="27"/>
  <c r="EC137" i="27" s="1"/>
  <c r="DX46" i="27"/>
  <c r="DX61" i="27"/>
  <c r="DX69" i="27"/>
  <c r="DX90" i="27"/>
  <c r="DX107" i="27"/>
  <c r="DX121" i="27"/>
  <c r="DX125" i="27"/>
  <c r="DX75" i="27"/>
  <c r="DX124" i="27"/>
  <c r="DX128" i="27"/>
  <c r="M12" i="13"/>
  <c r="L9" i="13"/>
  <c r="BB4" i="27"/>
  <c r="BB132" i="27" s="1"/>
  <c r="AX4" i="27"/>
  <c r="AX132" i="27" s="1"/>
  <c r="BE4" i="27"/>
  <c r="BE132" i="27" s="1"/>
  <c r="AV4" i="27"/>
  <c r="AV132" i="27" s="1"/>
  <c r="BA4" i="27"/>
  <c r="BA132" i="27" s="1"/>
  <c r="BD4" i="27"/>
  <c r="BD132" i="27" s="1"/>
  <c r="AY4" i="27"/>
  <c r="AY132" i="27" s="1"/>
  <c r="AZ4" i="27"/>
  <c r="AZ132" i="27" s="1"/>
  <c r="BG4" i="27"/>
  <c r="BG132" i="27" s="1"/>
  <c r="BF4" i="27"/>
  <c r="BF132" i="27" s="1"/>
  <c r="BC4" i="27"/>
  <c r="BC132" i="27" s="1"/>
  <c r="DX6" i="27"/>
  <c r="E105" i="27"/>
  <c r="E41" i="27"/>
  <c r="E9" i="27"/>
  <c r="E138" i="27"/>
  <c r="F100" i="27"/>
  <c r="E73" i="27"/>
  <c r="O77" i="12"/>
  <c r="P37" i="12"/>
  <c r="P7" i="12"/>
  <c r="P103" i="12"/>
  <c r="P104" i="12"/>
  <c r="P62" i="12"/>
  <c r="P20" i="12"/>
  <c r="P14" i="12"/>
  <c r="P133" i="12"/>
  <c r="P126" i="12"/>
  <c r="P108" i="12"/>
  <c r="P96" i="12"/>
  <c r="P84" i="12"/>
  <c r="P30" i="12"/>
  <c r="P101" i="12"/>
  <c r="P95" i="12"/>
  <c r="P71" i="12"/>
  <c r="P35" i="12"/>
  <c r="P5" i="12"/>
  <c r="P88" i="12"/>
  <c r="P46" i="12"/>
  <c r="P69" i="12"/>
  <c r="P51" i="12"/>
  <c r="P39" i="12"/>
  <c r="P21" i="12"/>
  <c r="F68" i="27"/>
  <c r="E132" i="27"/>
  <c r="G132" i="27" s="1"/>
  <c r="E100" i="27"/>
  <c r="E68" i="27"/>
  <c r="E36" i="27"/>
  <c r="E125" i="27"/>
  <c r="E93" i="27"/>
  <c r="E61" i="27"/>
  <c r="E29" i="27"/>
  <c r="E121" i="27"/>
  <c r="E89" i="27"/>
  <c r="E57" i="27"/>
  <c r="E25" i="27"/>
  <c r="E116" i="27"/>
  <c r="E84" i="27"/>
  <c r="E52" i="27"/>
  <c r="E20" i="27"/>
  <c r="E109" i="27"/>
  <c r="E77" i="27"/>
  <c r="E45" i="27"/>
  <c r="E13" i="27"/>
  <c r="CJ4" i="27"/>
  <c r="DB4" i="27"/>
  <c r="CF4" i="27"/>
  <c r="CZ4" i="27"/>
  <c r="DH4" i="27"/>
  <c r="CV4" i="27"/>
  <c r="DE4" i="27"/>
  <c r="CP4" i="27"/>
  <c r="CB4" i="27"/>
  <c r="CX4" i="27"/>
  <c r="CR4" i="27"/>
  <c r="DF4" i="27"/>
  <c r="CL4" i="27"/>
  <c r="DC4" i="27"/>
  <c r="BU6" i="27"/>
  <c r="CY4" i="27"/>
  <c r="CD4" i="27"/>
  <c r="DA4" i="27"/>
  <c r="CH4" i="27"/>
  <c r="CW4" i="27"/>
  <c r="BZ4" i="27"/>
  <c r="DD4" i="27"/>
  <c r="CN4" i="27"/>
  <c r="CT4" i="27"/>
  <c r="DG4" i="27"/>
  <c r="AK4" i="27"/>
  <c r="F36" i="27"/>
  <c r="Q4" i="27"/>
  <c r="AI4" i="27"/>
  <c r="AE4" i="27"/>
  <c r="E129" i="27"/>
  <c r="E117" i="27"/>
  <c r="E108" i="27"/>
  <c r="E97" i="27"/>
  <c r="E85" i="27"/>
  <c r="E76" i="27"/>
  <c r="E65" i="27"/>
  <c r="E53" i="27"/>
  <c r="E44" i="27"/>
  <c r="E33" i="27"/>
  <c r="E21" i="27"/>
  <c r="E12" i="27"/>
  <c r="F104" i="27"/>
  <c r="F40" i="27"/>
  <c r="M4" i="27"/>
  <c r="AA4" i="27"/>
  <c r="W4" i="27"/>
  <c r="AC4" i="27"/>
  <c r="AG4" i="27"/>
  <c r="S4" i="27"/>
  <c r="E133" i="27"/>
  <c r="E124" i="27"/>
  <c r="E113" i="27"/>
  <c r="E101" i="27"/>
  <c r="E92" i="27"/>
  <c r="E81" i="27"/>
  <c r="E69" i="27"/>
  <c r="E60" i="27"/>
  <c r="E49" i="27"/>
  <c r="E37" i="27"/>
  <c r="E28" i="27"/>
  <c r="E17" i="27"/>
  <c r="F137" i="27"/>
  <c r="F72" i="27"/>
  <c r="F8" i="27"/>
  <c r="O4" i="27"/>
  <c r="U4" i="27"/>
  <c r="Y4" i="27"/>
  <c r="F120" i="27"/>
  <c r="F88" i="27"/>
  <c r="F56" i="27"/>
  <c r="F24" i="27"/>
  <c r="E137" i="27"/>
  <c r="E128" i="27"/>
  <c r="E120" i="27"/>
  <c r="E112" i="27"/>
  <c r="E104" i="27"/>
  <c r="E96" i="27"/>
  <c r="E88" i="27"/>
  <c r="E80" i="27"/>
  <c r="E72" i="27"/>
  <c r="E64" i="27"/>
  <c r="E56" i="27"/>
  <c r="G56" i="27" s="1"/>
  <c r="E48" i="27"/>
  <c r="E40" i="27"/>
  <c r="E32" i="27"/>
  <c r="E24" i="27"/>
  <c r="E16" i="27"/>
  <c r="E8" i="27"/>
  <c r="G8" i="27" s="1"/>
  <c r="F116" i="27"/>
  <c r="F84" i="27"/>
  <c r="F52" i="27"/>
  <c r="F20" i="27"/>
  <c r="E123" i="27"/>
  <c r="E139" i="27"/>
  <c r="E135" i="27"/>
  <c r="E130" i="27"/>
  <c r="E126" i="27"/>
  <c r="E122" i="27"/>
  <c r="E118" i="27"/>
  <c r="E114" i="27"/>
  <c r="E110" i="27"/>
  <c r="E106" i="27"/>
  <c r="E102" i="27"/>
  <c r="E98" i="27"/>
  <c r="E94" i="27"/>
  <c r="E90" i="27"/>
  <c r="E86" i="27"/>
  <c r="E82" i="27"/>
  <c r="E78" i="27"/>
  <c r="E74" i="27"/>
  <c r="E70" i="27"/>
  <c r="E66" i="27"/>
  <c r="E62" i="27"/>
  <c r="E58" i="27"/>
  <c r="E54" i="27"/>
  <c r="E50" i="27"/>
  <c r="E46" i="27"/>
  <c r="E42" i="27"/>
  <c r="E38" i="27"/>
  <c r="E34" i="27"/>
  <c r="E30" i="27"/>
  <c r="E26" i="27"/>
  <c r="E22" i="27"/>
  <c r="E18" i="27"/>
  <c r="E14" i="27"/>
  <c r="E10" i="27"/>
  <c r="E6" i="27"/>
  <c r="F124" i="27"/>
  <c r="F108" i="27"/>
  <c r="F92" i="27"/>
  <c r="F76" i="27"/>
  <c r="F60" i="27"/>
  <c r="F44" i="27"/>
  <c r="F28" i="27"/>
  <c r="F12" i="27"/>
  <c r="E134" i="27"/>
  <c r="E136" i="27"/>
  <c r="E131" i="27"/>
  <c r="E127" i="27"/>
  <c r="E119" i="27"/>
  <c r="E115" i="27"/>
  <c r="E111" i="27"/>
  <c r="E107" i="27"/>
  <c r="E103" i="27"/>
  <c r="E99" i="27"/>
  <c r="E95" i="27"/>
  <c r="E91" i="27"/>
  <c r="E87" i="27"/>
  <c r="E83" i="27"/>
  <c r="E79" i="27"/>
  <c r="E75" i="27"/>
  <c r="E71" i="27"/>
  <c r="E67" i="27"/>
  <c r="E63" i="27"/>
  <c r="E59" i="27"/>
  <c r="E55" i="27"/>
  <c r="E51" i="27"/>
  <c r="E47" i="27"/>
  <c r="E43" i="27"/>
  <c r="E39" i="27"/>
  <c r="E35" i="27"/>
  <c r="E31" i="27"/>
  <c r="E27" i="27"/>
  <c r="E23" i="27"/>
  <c r="E19" i="27"/>
  <c r="E15" i="27"/>
  <c r="E11" i="27"/>
  <c r="E7" i="27"/>
  <c r="F128" i="27"/>
  <c r="F112" i="27"/>
  <c r="F96" i="27"/>
  <c r="F80" i="27"/>
  <c r="F64" i="27"/>
  <c r="F48" i="27"/>
  <c r="F32" i="27"/>
  <c r="F16" i="27"/>
  <c r="F131" i="27"/>
  <c r="F123" i="27"/>
  <c r="F115" i="27"/>
  <c r="F107" i="27"/>
  <c r="F99" i="27"/>
  <c r="F91" i="27"/>
  <c r="F83" i="27"/>
  <c r="F75" i="27"/>
  <c r="F67" i="27"/>
  <c r="F55" i="27"/>
  <c r="F43" i="27"/>
  <c r="F134" i="27"/>
  <c r="F139" i="27"/>
  <c r="F135" i="27"/>
  <c r="F130" i="27"/>
  <c r="F126" i="27"/>
  <c r="F122" i="27"/>
  <c r="F118" i="27"/>
  <c r="F114" i="27"/>
  <c r="F110" i="27"/>
  <c r="F106" i="27"/>
  <c r="F102" i="27"/>
  <c r="F98" i="27"/>
  <c r="F94" i="27"/>
  <c r="F90" i="27"/>
  <c r="F86" i="27"/>
  <c r="F82" i="27"/>
  <c r="F78" i="27"/>
  <c r="F74" i="27"/>
  <c r="F70" i="27"/>
  <c r="F66" i="27"/>
  <c r="F62" i="27"/>
  <c r="F58" i="27"/>
  <c r="F54" i="27"/>
  <c r="F50" i="27"/>
  <c r="F46" i="27"/>
  <c r="F42" i="27"/>
  <c r="F38" i="27"/>
  <c r="F34" i="27"/>
  <c r="F30" i="27"/>
  <c r="F26" i="27"/>
  <c r="F22" i="27"/>
  <c r="F18" i="27"/>
  <c r="F14" i="27"/>
  <c r="F10" i="27"/>
  <c r="F6" i="27"/>
  <c r="F136" i="27"/>
  <c r="F127" i="27"/>
  <c r="F119" i="27"/>
  <c r="F111" i="27"/>
  <c r="F103" i="27"/>
  <c r="F95" i="27"/>
  <c r="F87" i="27"/>
  <c r="F79" i="27"/>
  <c r="F71" i="27"/>
  <c r="F63" i="27"/>
  <c r="F59" i="27"/>
  <c r="F51" i="27"/>
  <c r="F47" i="27"/>
  <c r="F39" i="27"/>
  <c r="F35" i="27"/>
  <c r="F31" i="27"/>
  <c r="F27" i="27"/>
  <c r="F23" i="27"/>
  <c r="F19" i="27"/>
  <c r="F15" i="27"/>
  <c r="F11" i="27"/>
  <c r="F7" i="27"/>
  <c r="F138" i="27"/>
  <c r="F133" i="27"/>
  <c r="F129" i="27"/>
  <c r="F125" i="27"/>
  <c r="F121" i="27"/>
  <c r="F117" i="27"/>
  <c r="F113" i="27"/>
  <c r="F109" i="27"/>
  <c r="F105" i="27"/>
  <c r="F101" i="27"/>
  <c r="F97" i="27"/>
  <c r="F93" i="27"/>
  <c r="F89" i="27"/>
  <c r="F85" i="27"/>
  <c r="F81" i="27"/>
  <c r="F77" i="27"/>
  <c r="F73" i="27"/>
  <c r="F69" i="27"/>
  <c r="F65" i="27"/>
  <c r="F61" i="27"/>
  <c r="F57" i="27"/>
  <c r="F53" i="27"/>
  <c r="F49" i="27"/>
  <c r="F45" i="27"/>
  <c r="F41" i="27"/>
  <c r="F37" i="27"/>
  <c r="F33" i="27"/>
  <c r="F29" i="27"/>
  <c r="F25" i="27"/>
  <c r="F21" i="27"/>
  <c r="F17" i="27"/>
  <c r="F13" i="27"/>
  <c r="F9" i="27"/>
  <c r="BT88" i="27" l="1"/>
  <c r="BT40" i="27"/>
  <c r="EC87" i="27"/>
  <c r="EC133" i="27"/>
  <c r="BT111" i="27"/>
  <c r="BT114" i="27"/>
  <c r="BT82" i="27"/>
  <c r="BT93" i="27"/>
  <c r="BT13" i="27"/>
  <c r="J106" i="12"/>
  <c r="J106" i="30"/>
  <c r="U106" i="30"/>
  <c r="P123" i="12"/>
  <c r="P123" i="30"/>
  <c r="O123" i="30"/>
  <c r="D123" i="30"/>
  <c r="P136" i="12"/>
  <c r="P136" i="30"/>
  <c r="O136" i="30"/>
  <c r="D136" i="30"/>
  <c r="P19" i="12"/>
  <c r="P19" i="30"/>
  <c r="O19" i="30"/>
  <c r="D19" i="30"/>
  <c r="P43" i="12"/>
  <c r="O43" i="30"/>
  <c r="P43" i="30"/>
  <c r="D43" i="30"/>
  <c r="P120" i="12"/>
  <c r="O120" i="30"/>
  <c r="P120" i="30"/>
  <c r="D120" i="30"/>
  <c r="P88" i="30"/>
  <c r="O88" i="30"/>
  <c r="D88" i="30"/>
  <c r="P56" i="12"/>
  <c r="D56" i="30"/>
  <c r="O56" i="30"/>
  <c r="P56" i="30"/>
  <c r="P24" i="12"/>
  <c r="O24" i="30"/>
  <c r="P24" i="30"/>
  <c r="D24" i="30"/>
  <c r="P127" i="12"/>
  <c r="P127" i="30"/>
  <c r="O127" i="30"/>
  <c r="D127" i="30"/>
  <c r="O95" i="30"/>
  <c r="P95" i="30"/>
  <c r="D95" i="30"/>
  <c r="P63" i="12"/>
  <c r="O63" i="30"/>
  <c r="P63" i="30"/>
  <c r="D63" i="30"/>
  <c r="P31" i="12"/>
  <c r="P31" i="30"/>
  <c r="O31" i="30"/>
  <c r="D31" i="30"/>
  <c r="P132" i="12"/>
  <c r="P132" i="30"/>
  <c r="O132" i="30"/>
  <c r="D132" i="30"/>
  <c r="P100" i="12"/>
  <c r="D100" i="30"/>
  <c r="O100" i="30"/>
  <c r="P100" i="30"/>
  <c r="P68" i="12"/>
  <c r="O68" i="30"/>
  <c r="D68" i="30"/>
  <c r="P68" i="30"/>
  <c r="O36" i="30"/>
  <c r="P36" i="30"/>
  <c r="D36" i="30"/>
  <c r="P122" i="12"/>
  <c r="O122" i="30"/>
  <c r="P122" i="30"/>
  <c r="D122" i="30"/>
  <c r="P106" i="12"/>
  <c r="O106" i="30"/>
  <c r="P106" i="30"/>
  <c r="D106" i="30"/>
  <c r="P90" i="12"/>
  <c r="O90" i="30"/>
  <c r="P90" i="30"/>
  <c r="D90" i="30"/>
  <c r="P74" i="12"/>
  <c r="O74" i="30"/>
  <c r="P74" i="30"/>
  <c r="D74" i="30"/>
  <c r="P58" i="12"/>
  <c r="O58" i="30"/>
  <c r="D58" i="30"/>
  <c r="P58" i="30"/>
  <c r="P42" i="12"/>
  <c r="O42" i="30"/>
  <c r="P42" i="30"/>
  <c r="D42" i="30"/>
  <c r="P26" i="12"/>
  <c r="D26" i="30"/>
  <c r="O26" i="30"/>
  <c r="P26" i="30"/>
  <c r="P10" i="12"/>
  <c r="P10" i="30"/>
  <c r="O10" i="30"/>
  <c r="D10" i="30"/>
  <c r="P129" i="12"/>
  <c r="O129" i="30"/>
  <c r="P129" i="30"/>
  <c r="D129" i="30"/>
  <c r="P113" i="12"/>
  <c r="O113" i="30"/>
  <c r="P113" i="30"/>
  <c r="D113" i="30"/>
  <c r="P97" i="12"/>
  <c r="O97" i="30"/>
  <c r="D97" i="30"/>
  <c r="P97" i="30"/>
  <c r="P81" i="12"/>
  <c r="P81" i="30"/>
  <c r="O81" i="30"/>
  <c r="D81" i="30"/>
  <c r="P65" i="12"/>
  <c r="P65" i="30"/>
  <c r="O65" i="30"/>
  <c r="D65" i="30"/>
  <c r="P49" i="12"/>
  <c r="O49" i="30"/>
  <c r="P49" i="30"/>
  <c r="D49" i="30"/>
  <c r="P33" i="12"/>
  <c r="O33" i="30"/>
  <c r="P33" i="30"/>
  <c r="D33" i="30"/>
  <c r="P17" i="12"/>
  <c r="O17" i="30"/>
  <c r="P17" i="30"/>
  <c r="D17" i="30"/>
  <c r="J112" i="12"/>
  <c r="U112" i="30"/>
  <c r="J112" i="30"/>
  <c r="J98" i="12"/>
  <c r="U98" i="30"/>
  <c r="J98" i="30"/>
  <c r="O91" i="30"/>
  <c r="P91" i="30"/>
  <c r="D91" i="30"/>
  <c r="P115" i="12"/>
  <c r="P115" i="30"/>
  <c r="O115" i="30"/>
  <c r="D115" i="30"/>
  <c r="P131" i="12"/>
  <c r="P131" i="30"/>
  <c r="O131" i="30"/>
  <c r="D131" i="30"/>
  <c r="P11" i="12"/>
  <c r="P11" i="30"/>
  <c r="O11" i="30"/>
  <c r="D11" i="30"/>
  <c r="O112" i="30"/>
  <c r="P112" i="30"/>
  <c r="D112" i="30"/>
  <c r="P80" i="12"/>
  <c r="O80" i="30"/>
  <c r="P80" i="30"/>
  <c r="D80" i="30"/>
  <c r="P48" i="12"/>
  <c r="O48" i="30"/>
  <c r="P48" i="30"/>
  <c r="D48" i="30"/>
  <c r="O16" i="30"/>
  <c r="P16" i="30"/>
  <c r="D16" i="30"/>
  <c r="P119" i="12"/>
  <c r="P119" i="30"/>
  <c r="O119" i="30"/>
  <c r="D119" i="30"/>
  <c r="P87" i="12"/>
  <c r="P87" i="30"/>
  <c r="D87" i="30"/>
  <c r="O87" i="30"/>
  <c r="P55" i="12"/>
  <c r="O55" i="30"/>
  <c r="P55" i="30"/>
  <c r="D55" i="30"/>
  <c r="P23" i="12"/>
  <c r="P23" i="30"/>
  <c r="O23" i="30"/>
  <c r="D23" i="30"/>
  <c r="P124" i="12"/>
  <c r="O124" i="30"/>
  <c r="P124" i="30"/>
  <c r="D124" i="30"/>
  <c r="P92" i="30"/>
  <c r="D92" i="30"/>
  <c r="O92" i="30"/>
  <c r="P60" i="12"/>
  <c r="P60" i="30"/>
  <c r="O60" i="30"/>
  <c r="D60" i="30"/>
  <c r="P28" i="12"/>
  <c r="O28" i="30"/>
  <c r="P28" i="30"/>
  <c r="D28" i="30"/>
  <c r="P134" i="12"/>
  <c r="O134" i="30"/>
  <c r="P134" i="30"/>
  <c r="D134" i="30"/>
  <c r="O118" i="30"/>
  <c r="D118" i="30"/>
  <c r="P118" i="30"/>
  <c r="P102" i="12"/>
  <c r="O102" i="30"/>
  <c r="P102" i="30"/>
  <c r="D102" i="30"/>
  <c r="P86" i="30"/>
  <c r="O86" i="30"/>
  <c r="D86" i="30"/>
  <c r="O70" i="30"/>
  <c r="P70" i="30"/>
  <c r="D70" i="30"/>
  <c r="O54" i="30"/>
  <c r="P54" i="30"/>
  <c r="D54" i="30"/>
  <c r="P38" i="12"/>
  <c r="O38" i="30"/>
  <c r="P38" i="30"/>
  <c r="D38" i="30"/>
  <c r="P22" i="12"/>
  <c r="D22" i="30"/>
  <c r="O22" i="30"/>
  <c r="P22" i="30"/>
  <c r="P6" i="12"/>
  <c r="O6" i="30"/>
  <c r="P6" i="30"/>
  <c r="D6" i="30"/>
  <c r="P125" i="12"/>
  <c r="O125" i="30"/>
  <c r="P125" i="30"/>
  <c r="D125" i="30"/>
  <c r="O109" i="30"/>
  <c r="P109" i="30"/>
  <c r="D109" i="30"/>
  <c r="P93" i="12"/>
  <c r="O93" i="30"/>
  <c r="D93" i="30"/>
  <c r="P93" i="30"/>
  <c r="P77" i="12"/>
  <c r="O77" i="30"/>
  <c r="P77" i="30"/>
  <c r="D77" i="30"/>
  <c r="P61" i="30"/>
  <c r="O61" i="30"/>
  <c r="D61" i="30"/>
  <c r="P45" i="12"/>
  <c r="O45" i="30"/>
  <c r="P45" i="30"/>
  <c r="D45" i="30"/>
  <c r="O29" i="30"/>
  <c r="P29" i="30"/>
  <c r="D29" i="30"/>
  <c r="P13" i="12"/>
  <c r="O13" i="30"/>
  <c r="P13" i="30"/>
  <c r="D13" i="30"/>
  <c r="J64" i="12"/>
  <c r="U64" i="30"/>
  <c r="J64" i="30"/>
  <c r="P128" i="12"/>
  <c r="O128" i="30"/>
  <c r="P128" i="30"/>
  <c r="D128" i="30"/>
  <c r="D59" i="30"/>
  <c r="O59" i="30"/>
  <c r="P59" i="30"/>
  <c r="P83" i="12"/>
  <c r="P83" i="30"/>
  <c r="D83" i="30"/>
  <c r="O83" i="30"/>
  <c r="P107" i="12"/>
  <c r="P107" i="30"/>
  <c r="O107" i="30"/>
  <c r="D107" i="30"/>
  <c r="O99" i="30"/>
  <c r="D99" i="30"/>
  <c r="P99" i="30"/>
  <c r="P104" i="30"/>
  <c r="O104" i="30"/>
  <c r="D104" i="30"/>
  <c r="P72" i="12"/>
  <c r="P72" i="30"/>
  <c r="D72" i="30"/>
  <c r="O72" i="30"/>
  <c r="P40" i="12"/>
  <c r="O40" i="30"/>
  <c r="P40" i="30"/>
  <c r="D40" i="30"/>
  <c r="P8" i="12"/>
  <c r="D8" i="30"/>
  <c r="O8" i="30"/>
  <c r="P8" i="30"/>
  <c r="P111" i="12"/>
  <c r="P111" i="30"/>
  <c r="O111" i="30"/>
  <c r="D111" i="30"/>
  <c r="P79" i="12"/>
  <c r="O79" i="30"/>
  <c r="P79" i="30"/>
  <c r="D79" i="30"/>
  <c r="P47" i="12"/>
  <c r="P47" i="30"/>
  <c r="O47" i="30"/>
  <c r="D47" i="30"/>
  <c r="P15" i="12"/>
  <c r="P15" i="30"/>
  <c r="O15" i="30"/>
  <c r="D15" i="30"/>
  <c r="O116" i="30"/>
  <c r="P116" i="30"/>
  <c r="D116" i="30"/>
  <c r="O84" i="30"/>
  <c r="P84" i="30"/>
  <c r="D84" i="30"/>
  <c r="P52" i="12"/>
  <c r="P52" i="30"/>
  <c r="D52" i="30"/>
  <c r="O52" i="30"/>
  <c r="O20" i="30"/>
  <c r="P20" i="30"/>
  <c r="D20" i="30"/>
  <c r="P130" i="12"/>
  <c r="O130" i="30"/>
  <c r="P130" i="30"/>
  <c r="D130" i="30"/>
  <c r="P114" i="12"/>
  <c r="O114" i="30"/>
  <c r="D114" i="30"/>
  <c r="P114" i="30"/>
  <c r="P98" i="12"/>
  <c r="O98" i="30"/>
  <c r="P98" i="30"/>
  <c r="D98" i="30"/>
  <c r="P82" i="12"/>
  <c r="P82" i="30"/>
  <c r="O82" i="30"/>
  <c r="D82" i="30"/>
  <c r="O66" i="30"/>
  <c r="P66" i="30"/>
  <c r="D66" i="30"/>
  <c r="P50" i="12"/>
  <c r="P50" i="30"/>
  <c r="O50" i="30"/>
  <c r="D50" i="30"/>
  <c r="D34" i="30"/>
  <c r="O34" i="30"/>
  <c r="P34" i="30"/>
  <c r="P18" i="12"/>
  <c r="D18" i="30"/>
  <c r="O18" i="30"/>
  <c r="P18" i="30"/>
  <c r="P137" i="12"/>
  <c r="O137" i="30"/>
  <c r="P137" i="30"/>
  <c r="D137" i="30"/>
  <c r="P121" i="12"/>
  <c r="O121" i="30"/>
  <c r="P121" i="30"/>
  <c r="D121" i="30"/>
  <c r="P105" i="12"/>
  <c r="O105" i="30"/>
  <c r="P105" i="30"/>
  <c r="D105" i="30"/>
  <c r="P89" i="12"/>
  <c r="O89" i="30"/>
  <c r="P89" i="30"/>
  <c r="D89" i="30"/>
  <c r="P73" i="12"/>
  <c r="P73" i="30"/>
  <c r="O73" i="30"/>
  <c r="D73" i="30"/>
  <c r="P57" i="12"/>
  <c r="P57" i="30"/>
  <c r="O57" i="30"/>
  <c r="D57" i="30"/>
  <c r="P41" i="12"/>
  <c r="O41" i="30"/>
  <c r="P41" i="30"/>
  <c r="D41" i="30"/>
  <c r="P25" i="12"/>
  <c r="O25" i="30"/>
  <c r="P25" i="30"/>
  <c r="D25" i="30"/>
  <c r="P9" i="12"/>
  <c r="O9" i="30"/>
  <c r="P9" i="30"/>
  <c r="D9" i="30"/>
  <c r="J51" i="12"/>
  <c r="U51" i="30"/>
  <c r="J51" i="30"/>
  <c r="U71" i="12"/>
  <c r="U71" i="30"/>
  <c r="J71" i="30"/>
  <c r="U78" i="12"/>
  <c r="J78" i="30"/>
  <c r="U78" i="30"/>
  <c r="U93" i="12"/>
  <c r="J93" i="30"/>
  <c r="U93" i="30"/>
  <c r="U58" i="30"/>
  <c r="J58" i="30"/>
  <c r="U42" i="30"/>
  <c r="J42" i="30"/>
  <c r="O67" i="30"/>
  <c r="P67" i="30"/>
  <c r="D67" i="30"/>
  <c r="P27" i="30"/>
  <c r="O27" i="30"/>
  <c r="D27" i="30"/>
  <c r="O51" i="30"/>
  <c r="P51" i="30"/>
  <c r="D51" i="30"/>
  <c r="O75" i="30"/>
  <c r="P75" i="30"/>
  <c r="D75" i="30"/>
  <c r="P35" i="30"/>
  <c r="O35" i="30"/>
  <c r="D35" i="30"/>
  <c r="O96" i="30"/>
  <c r="D96" i="30"/>
  <c r="P96" i="30"/>
  <c r="O64" i="30"/>
  <c r="P64" i="30"/>
  <c r="D64" i="30"/>
  <c r="O32" i="30"/>
  <c r="P32" i="30"/>
  <c r="D32" i="30"/>
  <c r="P135" i="30"/>
  <c r="O135" i="30"/>
  <c r="D135" i="30"/>
  <c r="O103" i="30"/>
  <c r="P103" i="30"/>
  <c r="D103" i="30"/>
  <c r="O71" i="30"/>
  <c r="P71" i="30"/>
  <c r="D71" i="30"/>
  <c r="P39" i="30"/>
  <c r="O39" i="30"/>
  <c r="D39" i="30"/>
  <c r="O7" i="30"/>
  <c r="P7" i="30"/>
  <c r="D7" i="30"/>
  <c r="O108" i="30"/>
  <c r="P108" i="30"/>
  <c r="D108" i="30"/>
  <c r="O76" i="30"/>
  <c r="P76" i="30"/>
  <c r="D76" i="30"/>
  <c r="O44" i="30"/>
  <c r="P44" i="30"/>
  <c r="D44" i="30"/>
  <c r="O12" i="30"/>
  <c r="P12" i="30"/>
  <c r="D12" i="30"/>
  <c r="O126" i="30"/>
  <c r="P126" i="30"/>
  <c r="D126" i="30"/>
  <c r="O110" i="30"/>
  <c r="P110" i="30"/>
  <c r="D110" i="30"/>
  <c r="O94" i="30"/>
  <c r="P94" i="30"/>
  <c r="D94" i="30"/>
  <c r="P78" i="30"/>
  <c r="O78" i="30"/>
  <c r="D78" i="30"/>
  <c r="O62" i="30"/>
  <c r="P62" i="30"/>
  <c r="D62" i="30"/>
  <c r="O46" i="30"/>
  <c r="P46" i="30"/>
  <c r="D46" i="30"/>
  <c r="D30" i="30"/>
  <c r="O30" i="30"/>
  <c r="P30" i="30"/>
  <c r="D14" i="30"/>
  <c r="O14" i="30"/>
  <c r="P14" i="30"/>
  <c r="O133" i="30"/>
  <c r="P133" i="30"/>
  <c r="D133" i="30"/>
  <c r="O117" i="30"/>
  <c r="P117" i="30"/>
  <c r="D117" i="30"/>
  <c r="O101" i="30"/>
  <c r="P101" i="30"/>
  <c r="D101" i="30"/>
  <c r="P85" i="30"/>
  <c r="O85" i="30"/>
  <c r="D85" i="30"/>
  <c r="P69" i="30"/>
  <c r="O69" i="30"/>
  <c r="D69" i="30"/>
  <c r="P53" i="30"/>
  <c r="O53" i="30"/>
  <c r="D53" i="30"/>
  <c r="O37" i="30"/>
  <c r="P37" i="30"/>
  <c r="D37" i="30"/>
  <c r="O21" i="30"/>
  <c r="P21" i="30"/>
  <c r="D21" i="30"/>
  <c r="P5" i="30"/>
  <c r="O5" i="30"/>
  <c r="D5" i="30"/>
  <c r="BT97" i="27"/>
  <c r="CO97" i="27" s="1" a="1"/>
  <c r="CO97" i="27" s="1"/>
  <c r="BT120" i="27"/>
  <c r="P118" i="12"/>
  <c r="BT15" i="27"/>
  <c r="EC139" i="27"/>
  <c r="BT127" i="27"/>
  <c r="BT56" i="27"/>
  <c r="BT133" i="27"/>
  <c r="BT117" i="27"/>
  <c r="CQ117" i="27" s="1" a="1"/>
  <c r="CQ117" i="27" s="1"/>
  <c r="BT53" i="27"/>
  <c r="U106" i="12"/>
  <c r="U51" i="12"/>
  <c r="EC86" i="27"/>
  <c r="BT83" i="27"/>
  <c r="BT21" i="27"/>
  <c r="EC106" i="27"/>
  <c r="EC84" i="27"/>
  <c r="BT124" i="27"/>
  <c r="BY124" i="27" s="1" a="1"/>
  <c r="BY124" i="27" s="1"/>
  <c r="BT70" i="27"/>
  <c r="BT28" i="27"/>
  <c r="BT115" i="27"/>
  <c r="CI115" i="27" s="1" a="1"/>
  <c r="CI115" i="27" s="1"/>
  <c r="BT44" i="27"/>
  <c r="BT138" i="27"/>
  <c r="BT122" i="27"/>
  <c r="BT90" i="27"/>
  <c r="CJ90" i="27" s="1" a="1"/>
  <c r="CJ90" i="27" s="1"/>
  <c r="BT26" i="27"/>
  <c r="BT118" i="27"/>
  <c r="BT22" i="27"/>
  <c r="BT68" i="27"/>
  <c r="BT36" i="27"/>
  <c r="CF36" i="27" s="1" a="1"/>
  <c r="CF36" i="27" s="1"/>
  <c r="D130" i="31"/>
  <c r="BT109" i="27"/>
  <c r="BT59" i="27"/>
  <c r="CQ59" i="27" s="1" a="1"/>
  <c r="CQ59" i="27" s="1"/>
  <c r="BT11" i="27"/>
  <c r="BT75" i="27"/>
  <c r="P116" i="12"/>
  <c r="BT20" i="27"/>
  <c r="BZ20" i="27" s="1" a="1"/>
  <c r="BZ20" i="27" s="1"/>
  <c r="BT116" i="27"/>
  <c r="CF116" i="27" s="1" a="1"/>
  <c r="CF116" i="27" s="1"/>
  <c r="BT84" i="27"/>
  <c r="CJ84" i="27" s="1" a="1"/>
  <c r="CJ84" i="27" s="1"/>
  <c r="BT98" i="27"/>
  <c r="CC98" i="27" s="1" a="1"/>
  <c r="CC98" i="27" s="1"/>
  <c r="BT27" i="27"/>
  <c r="CC27" i="27" s="1" a="1"/>
  <c r="CC27" i="27" s="1"/>
  <c r="BT7" i="27"/>
  <c r="BT129" i="27"/>
  <c r="CG129" i="27" s="1" a="1"/>
  <c r="CG129" i="27" s="1"/>
  <c r="BT38" i="27"/>
  <c r="CG38" i="27" s="1" a="1"/>
  <c r="CG38" i="27" s="1"/>
  <c r="BT108" i="27"/>
  <c r="BT60" i="27"/>
  <c r="P34" i="12"/>
  <c r="G120" i="27"/>
  <c r="N120" i="27" s="1" a="1"/>
  <c r="N120" i="27" s="1"/>
  <c r="P66" i="12"/>
  <c r="U112" i="12"/>
  <c r="P36" i="12"/>
  <c r="BT35" i="27"/>
  <c r="BT134" i="27"/>
  <c r="CO134" i="27" s="1" a="1"/>
  <c r="CO134" i="27" s="1"/>
  <c r="J71" i="12"/>
  <c r="U98" i="12"/>
  <c r="BT42" i="27"/>
  <c r="U64" i="12"/>
  <c r="U58" i="12"/>
  <c r="J58" i="12"/>
  <c r="U42" i="12"/>
  <c r="J42" i="12"/>
  <c r="BT137" i="27"/>
  <c r="BT119" i="27"/>
  <c r="CM119" i="27" s="1" a="1"/>
  <c r="CM119" i="27" s="1"/>
  <c r="BT99" i="27"/>
  <c r="BT107" i="27"/>
  <c r="CA107" i="27" s="1" a="1"/>
  <c r="CA107" i="27" s="1"/>
  <c r="BT95" i="27"/>
  <c r="BT69" i="27"/>
  <c r="CD69" i="27" s="1" a="1"/>
  <c r="CD69" i="27" s="1"/>
  <c r="BT92" i="27"/>
  <c r="BT80" i="27"/>
  <c r="CM80" i="27" s="1" a="1"/>
  <c r="CM80" i="27" s="1"/>
  <c r="BT63" i="27"/>
  <c r="BT31" i="27"/>
  <c r="CN31" i="27" s="1" a="1"/>
  <c r="CN31" i="27" s="1"/>
  <c r="BT24" i="27"/>
  <c r="J93" i="12"/>
  <c r="BT102" i="27"/>
  <c r="BT46" i="27"/>
  <c r="CJ46" i="27" s="1" a="1"/>
  <c r="CJ46" i="27" s="1"/>
  <c r="BT14" i="27"/>
  <c r="G100" i="27"/>
  <c r="AG100" i="27" s="1" a="1"/>
  <c r="AG100" i="27" s="1"/>
  <c r="BT131" i="27"/>
  <c r="BT89" i="27"/>
  <c r="BT78" i="27"/>
  <c r="BT66" i="27"/>
  <c r="CI66" i="27" s="1" a="1"/>
  <c r="CI66" i="27" s="1"/>
  <c r="BT50" i="27"/>
  <c r="BT33" i="27"/>
  <c r="BT43" i="27"/>
  <c r="BT25" i="27"/>
  <c r="CR25" i="27" s="1" a="1"/>
  <c r="CR25" i="27" s="1"/>
  <c r="J78" i="12"/>
  <c r="EC134" i="27"/>
  <c r="EC38" i="27"/>
  <c r="G24" i="27"/>
  <c r="G88" i="27"/>
  <c r="X132" i="31"/>
  <c r="BT126" i="27"/>
  <c r="CQ126" i="27" s="1" a="1"/>
  <c r="CQ126" i="27" s="1"/>
  <c r="BT57" i="27"/>
  <c r="BT18" i="27"/>
  <c r="BT17" i="27"/>
  <c r="BT9" i="27"/>
  <c r="CB9" i="27" s="1" a="1"/>
  <c r="CB9" i="27" s="1"/>
  <c r="G40" i="27"/>
  <c r="Z40" i="27" s="1" a="1"/>
  <c r="Z40" i="27" s="1"/>
  <c r="G72" i="27"/>
  <c r="P132" i="31"/>
  <c r="BT123" i="27"/>
  <c r="CK123" i="27" s="1" a="1"/>
  <c r="CK123" i="27" s="1"/>
  <c r="BT85" i="27"/>
  <c r="CT85" i="27" s="1" a="1"/>
  <c r="CT85" i="27" s="1"/>
  <c r="BT61" i="27"/>
  <c r="BT67" i="27"/>
  <c r="CE67" i="27" s="1" a="1"/>
  <c r="CE67" i="27" s="1"/>
  <c r="BT58" i="27"/>
  <c r="CF58" i="27" s="1" a="1"/>
  <c r="CF58" i="27" s="1"/>
  <c r="BT47" i="27"/>
  <c r="CI47" i="27" s="1" a="1"/>
  <c r="CI47" i="27" s="1"/>
  <c r="BT49" i="27"/>
  <c r="BT34" i="27"/>
  <c r="O132" i="31"/>
  <c r="BT136" i="27"/>
  <c r="BT101" i="27"/>
  <c r="BT132" i="27"/>
  <c r="CA132" i="27" s="1" a="1"/>
  <c r="CA132" i="27" s="1"/>
  <c r="BT112" i="27"/>
  <c r="BT55" i="27"/>
  <c r="BT72" i="27"/>
  <c r="BT29" i="27"/>
  <c r="CB29" i="27" s="1" a="1"/>
  <c r="CB29" i="27" s="1"/>
  <c r="BT19" i="27"/>
  <c r="BT8" i="27"/>
  <c r="G47" i="27"/>
  <c r="G63" i="27"/>
  <c r="Z63" i="27" s="1" a="1"/>
  <c r="Z63" i="27" s="1"/>
  <c r="G95" i="27"/>
  <c r="G131" i="27"/>
  <c r="G26" i="27"/>
  <c r="G42" i="27"/>
  <c r="AD42" i="27" s="1" a="1"/>
  <c r="AD42" i="27" s="1"/>
  <c r="G58" i="27"/>
  <c r="G90" i="27"/>
  <c r="AH90" i="27" s="1" a="1"/>
  <c r="AH90" i="27" s="1"/>
  <c r="G106" i="27"/>
  <c r="G122" i="27"/>
  <c r="Z122" i="27" s="1" a="1"/>
  <c r="Z122" i="27" s="1"/>
  <c r="G139" i="27"/>
  <c r="G49" i="27"/>
  <c r="G44" i="27"/>
  <c r="G129" i="27"/>
  <c r="S129" i="27" s="1" a="1"/>
  <c r="S129" i="27" s="1"/>
  <c r="G13" i="27"/>
  <c r="G20" i="27"/>
  <c r="G25" i="27"/>
  <c r="G29" i="27"/>
  <c r="G73" i="27"/>
  <c r="G9" i="27"/>
  <c r="G83" i="27"/>
  <c r="G115" i="27"/>
  <c r="U115" i="27" s="1" a="1"/>
  <c r="U115" i="27" s="1"/>
  <c r="G136" i="27"/>
  <c r="G14" i="27"/>
  <c r="AF14" i="27" s="1" a="1"/>
  <c r="AF14" i="27" s="1"/>
  <c r="G30" i="27"/>
  <c r="G46" i="27"/>
  <c r="V46" i="27" s="1" a="1"/>
  <c r="V46" i="27" s="1"/>
  <c r="G78" i="27"/>
  <c r="G110" i="27"/>
  <c r="O110" i="27" s="1" a="1"/>
  <c r="O110" i="27" s="1"/>
  <c r="G126" i="27"/>
  <c r="G32" i="27"/>
  <c r="T32" i="27" s="1" a="1"/>
  <c r="T32" i="27" s="1"/>
  <c r="G17" i="27"/>
  <c r="G60" i="27"/>
  <c r="N60" i="27" s="1" a="1"/>
  <c r="N60" i="27" s="1"/>
  <c r="G97" i="27"/>
  <c r="G61" i="27"/>
  <c r="M61" i="27" s="1" a="1"/>
  <c r="M61" i="27" s="1"/>
  <c r="G71" i="27"/>
  <c r="G18" i="27"/>
  <c r="G34" i="27"/>
  <c r="G50" i="27"/>
  <c r="AH50" i="27" s="1" a="1"/>
  <c r="AH50" i="27" s="1"/>
  <c r="G66" i="27"/>
  <c r="G82" i="27"/>
  <c r="G98" i="27"/>
  <c r="G114" i="27"/>
  <c r="U114" i="27" s="1" a="1"/>
  <c r="U114" i="27" s="1"/>
  <c r="G113" i="27"/>
  <c r="Z113" i="27" s="1" a="1"/>
  <c r="Z113" i="27" s="1"/>
  <c r="AV53" i="27"/>
  <c r="AZ53" i="27"/>
  <c r="BD53" i="27"/>
  <c r="BA53" i="27"/>
  <c r="BE53" i="27"/>
  <c r="AX53" i="27"/>
  <c r="BB53" i="27"/>
  <c r="BF53" i="27"/>
  <c r="AY53" i="27"/>
  <c r="BC53" i="27"/>
  <c r="BG53" i="27"/>
  <c r="AY133" i="27"/>
  <c r="BC133" i="27"/>
  <c r="BG133" i="27"/>
  <c r="BB133" i="27"/>
  <c r="AV133" i="27"/>
  <c r="AZ133" i="27"/>
  <c r="BD133" i="27"/>
  <c r="BA133" i="27"/>
  <c r="BE133" i="27"/>
  <c r="AX133" i="27"/>
  <c r="BF133" i="27"/>
  <c r="BA79" i="27"/>
  <c r="AY79" i="27"/>
  <c r="BD79" i="27"/>
  <c r="AZ79" i="27"/>
  <c r="BE79" i="27"/>
  <c r="AV79" i="27"/>
  <c r="BB79" i="27"/>
  <c r="BF79" i="27"/>
  <c r="BG79" i="27"/>
  <c r="AX79" i="27"/>
  <c r="BC79" i="27"/>
  <c r="AY38" i="27"/>
  <c r="BC38" i="27"/>
  <c r="BG38" i="27"/>
  <c r="AX38" i="27"/>
  <c r="BD38" i="27"/>
  <c r="AZ38" i="27"/>
  <c r="BE38" i="27"/>
  <c r="AV38" i="27"/>
  <c r="BA38" i="27"/>
  <c r="BF38" i="27"/>
  <c r="BB38" i="27"/>
  <c r="AV102" i="27"/>
  <c r="AZ102" i="27"/>
  <c r="BD102" i="27"/>
  <c r="BA102" i="27"/>
  <c r="BE102" i="27"/>
  <c r="AX102" i="27"/>
  <c r="BB102" i="27"/>
  <c r="BF102" i="27"/>
  <c r="BG102" i="27"/>
  <c r="BC102" i="27"/>
  <c r="AY102" i="27"/>
  <c r="AY91" i="27"/>
  <c r="BC91" i="27"/>
  <c r="BG91" i="27"/>
  <c r="AV91" i="27"/>
  <c r="AZ91" i="27"/>
  <c r="BD91" i="27"/>
  <c r="BA91" i="27"/>
  <c r="BE91" i="27"/>
  <c r="AX91" i="27"/>
  <c r="BB91" i="27"/>
  <c r="BF91" i="27"/>
  <c r="G31" i="27"/>
  <c r="G111" i="27"/>
  <c r="BA84" i="27"/>
  <c r="BE84" i="27"/>
  <c r="AX84" i="27"/>
  <c r="BB84" i="27"/>
  <c r="BF84" i="27"/>
  <c r="AY84" i="27"/>
  <c r="BC84" i="27"/>
  <c r="BG84" i="27"/>
  <c r="BD84" i="27"/>
  <c r="AV84" i="27"/>
  <c r="AZ84" i="27"/>
  <c r="M88" i="27" a="1"/>
  <c r="M88" i="27" s="1"/>
  <c r="P88" i="27" a="1"/>
  <c r="P88" i="27" s="1"/>
  <c r="U88" i="27" a="1"/>
  <c r="U88" i="27" s="1"/>
  <c r="X88" i="27" a="1"/>
  <c r="X88" i="27" s="1"/>
  <c r="AC88" i="27" a="1"/>
  <c r="AC88" i="27" s="1"/>
  <c r="AF88" i="27" a="1"/>
  <c r="AF88" i="27" s="1"/>
  <c r="N88" i="27" a="1"/>
  <c r="N88" i="27" s="1"/>
  <c r="S88" i="27" a="1"/>
  <c r="S88" i="27" s="1"/>
  <c r="V88" i="27" a="1"/>
  <c r="V88" i="27" s="1"/>
  <c r="AA88" i="27" a="1"/>
  <c r="AA88" i="27" s="1"/>
  <c r="AD88" i="27" a="1"/>
  <c r="AD88" i="27" s="1"/>
  <c r="AI88" i="27" a="1"/>
  <c r="AI88" i="27" s="1"/>
  <c r="L88" i="27" a="1"/>
  <c r="L88" i="27" s="1"/>
  <c r="Q88" i="27" a="1"/>
  <c r="Q88" i="27" s="1"/>
  <c r="T88" i="27" a="1"/>
  <c r="T88" i="27" s="1"/>
  <c r="Y88" i="27" a="1"/>
  <c r="Y88" i="27" s="1"/>
  <c r="AB88" i="27" a="1"/>
  <c r="AB88" i="27" s="1"/>
  <c r="AG88" i="27" a="1"/>
  <c r="AG88" i="27" s="1"/>
  <c r="AE88" i="27" a="1"/>
  <c r="AE88" i="27" s="1"/>
  <c r="W88" i="27" a="1"/>
  <c r="W88" i="27" s="1"/>
  <c r="AH88" i="27" a="1"/>
  <c r="AH88" i="27" s="1"/>
  <c r="O88" i="27" a="1"/>
  <c r="O88" i="27" s="1"/>
  <c r="Z88" i="27" a="1"/>
  <c r="Z88" i="27" s="1"/>
  <c r="R88" i="27" a="1"/>
  <c r="R88" i="27" s="1"/>
  <c r="G85" i="27"/>
  <c r="EC48" i="27"/>
  <c r="BZ124" i="27" a="1"/>
  <c r="BZ124" i="27" s="1"/>
  <c r="CI124" i="27" a="1"/>
  <c r="CI124" i="27" s="1"/>
  <c r="CJ124" i="27" a="1"/>
  <c r="CJ124" i="27" s="1"/>
  <c r="CC124" i="27" a="1"/>
  <c r="CC124" i="27" s="1"/>
  <c r="CP124" i="27" a="1"/>
  <c r="CP124" i="27" s="1"/>
  <c r="CE124" i="27" a="1"/>
  <c r="CE124" i="27" s="1"/>
  <c r="BW103" i="27"/>
  <c r="BT103" i="27"/>
  <c r="CD129" i="27" a="1"/>
  <c r="CD129" i="27" s="1"/>
  <c r="CI129" i="27" a="1"/>
  <c r="CI129" i="27" s="1"/>
  <c r="CB129" i="27" a="1"/>
  <c r="CB129" i="27" s="1"/>
  <c r="CT129" i="27" a="1"/>
  <c r="CT129" i="27" s="1"/>
  <c r="CM129" i="27" a="1"/>
  <c r="CM129" i="27" s="1"/>
  <c r="CR129" i="27" a="1"/>
  <c r="CR129" i="27" s="1"/>
  <c r="CD116" i="27" a="1"/>
  <c r="CD116" i="27" s="1"/>
  <c r="BY139" i="27" a="1"/>
  <c r="BY139" i="27" s="1"/>
  <c r="CG139" i="27" a="1"/>
  <c r="CG139" i="27" s="1"/>
  <c r="CO139" i="27" a="1"/>
  <c r="CO139" i="27" s="1"/>
  <c r="BZ139" i="27" a="1"/>
  <c r="BZ139" i="27" s="1"/>
  <c r="CJ139" i="27" a="1"/>
  <c r="CJ139" i="27" s="1"/>
  <c r="CD139" i="27" a="1"/>
  <c r="CD139" i="27" s="1"/>
  <c r="CA139" i="27" a="1"/>
  <c r="CA139" i="27" s="1"/>
  <c r="CI139" i="27" a="1"/>
  <c r="CI139" i="27" s="1"/>
  <c r="CQ139" i="27" a="1"/>
  <c r="CQ139" i="27" s="1"/>
  <c r="CH139" i="27" a="1"/>
  <c r="CH139" i="27" s="1"/>
  <c r="CR139" i="27" a="1"/>
  <c r="CR139" i="27" s="1"/>
  <c r="CF139" i="27" a="1"/>
  <c r="CF139" i="27" s="1"/>
  <c r="CC139" i="27" a="1"/>
  <c r="CC139" i="27" s="1"/>
  <c r="CK139" i="27" a="1"/>
  <c r="CK139" i="27" s="1"/>
  <c r="CS139" i="27" a="1"/>
  <c r="CS139" i="27" s="1"/>
  <c r="CP139" i="27" a="1"/>
  <c r="CP139" i="27" s="1"/>
  <c r="CT139" i="27" a="1"/>
  <c r="CT139" i="27" s="1"/>
  <c r="CN139" i="27" a="1"/>
  <c r="CN139" i="27" s="1"/>
  <c r="CE139" i="27" a="1"/>
  <c r="CE139" i="27" s="1"/>
  <c r="CM139" i="27" a="1"/>
  <c r="CM139" i="27" s="1"/>
  <c r="CU139" i="27" a="1"/>
  <c r="CU139" i="27" s="1"/>
  <c r="CB139" i="27" a="1"/>
  <c r="CB139" i="27" s="1"/>
  <c r="CL139" i="27" a="1"/>
  <c r="CL139" i="27" s="1"/>
  <c r="CV139" i="27" a="1"/>
  <c r="CV139" i="27" s="1"/>
  <c r="CN118" i="27" a="1"/>
  <c r="CN118" i="27" s="1"/>
  <c r="CC118" i="27" a="1"/>
  <c r="CC118" i="27" s="1"/>
  <c r="CK118" i="27" a="1"/>
  <c r="CK118" i="27" s="1"/>
  <c r="CS118" i="27" a="1"/>
  <c r="CS118" i="27" s="1"/>
  <c r="CH118" i="27" a="1"/>
  <c r="CH118" i="27" s="1"/>
  <c r="CV118" i="27" a="1"/>
  <c r="CV118" i="27" s="1"/>
  <c r="CB118" i="27" a="1"/>
  <c r="CB118" i="27" s="1"/>
  <c r="CR118" i="27" a="1"/>
  <c r="CR118" i="27" s="1"/>
  <c r="CE118" i="27" a="1"/>
  <c r="CE118" i="27" s="1"/>
  <c r="CM118" i="27" a="1"/>
  <c r="CM118" i="27" s="1"/>
  <c r="CU118" i="27" a="1"/>
  <c r="CU118" i="27" s="1"/>
  <c r="CL118" i="27" a="1"/>
  <c r="CL118" i="27" s="1"/>
  <c r="CJ118" i="27" a="1"/>
  <c r="CJ118" i="27" s="1"/>
  <c r="CQ118" i="27" a="1"/>
  <c r="CQ118" i="27" s="1"/>
  <c r="CT118" i="27" a="1"/>
  <c r="CT118" i="27" s="1"/>
  <c r="CF118" i="27" a="1"/>
  <c r="CF118" i="27" s="1"/>
  <c r="BY118" i="27" a="1"/>
  <c r="BY118" i="27" s="1"/>
  <c r="CG118" i="27" a="1"/>
  <c r="CG118" i="27" s="1"/>
  <c r="CO118" i="27" a="1"/>
  <c r="CO118" i="27" s="1"/>
  <c r="BZ118" i="27" a="1"/>
  <c r="BZ118" i="27" s="1"/>
  <c r="CP118" i="27" a="1"/>
  <c r="CP118" i="27" s="1"/>
  <c r="CA118" i="27" a="1"/>
  <c r="CA118" i="27" s="1"/>
  <c r="CD118" i="27" a="1"/>
  <c r="CD118" i="27" s="1"/>
  <c r="CI118" i="27" a="1"/>
  <c r="CI118" i="27" s="1"/>
  <c r="BW94" i="27"/>
  <c r="BT94" i="27"/>
  <c r="CE113" i="27" a="1"/>
  <c r="CE113" i="27" s="1"/>
  <c r="CM113" i="27" a="1"/>
  <c r="CM113" i="27" s="1"/>
  <c r="CU113" i="27" a="1"/>
  <c r="CU113" i="27" s="1"/>
  <c r="CF113" i="27" a="1"/>
  <c r="CF113" i="27" s="1"/>
  <c r="CN113" i="27" a="1"/>
  <c r="CN113" i="27" s="1"/>
  <c r="CV113" i="27" a="1"/>
  <c r="CV113" i="27" s="1"/>
  <c r="BY113" i="27" a="1"/>
  <c r="BY113" i="27" s="1"/>
  <c r="CG113" i="27" a="1"/>
  <c r="CG113" i="27" s="1"/>
  <c r="CO113" i="27" a="1"/>
  <c r="CO113" i="27" s="1"/>
  <c r="BZ113" i="27" a="1"/>
  <c r="BZ113" i="27" s="1"/>
  <c r="CH113" i="27" a="1"/>
  <c r="CH113" i="27" s="1"/>
  <c r="CP113" i="27" a="1"/>
  <c r="CP113" i="27" s="1"/>
  <c r="CK113" i="27" a="1"/>
  <c r="CK113" i="27" s="1"/>
  <c r="CD113" i="27" a="1"/>
  <c r="CD113" i="27" s="1"/>
  <c r="CT113" i="27" a="1"/>
  <c r="CT113" i="27" s="1"/>
  <c r="CA113" i="27" a="1"/>
  <c r="CA113" i="27" s="1"/>
  <c r="CI113" i="27" a="1"/>
  <c r="CI113" i="27" s="1"/>
  <c r="CQ113" i="27" a="1"/>
  <c r="CQ113" i="27" s="1"/>
  <c r="CB113" i="27" a="1"/>
  <c r="CB113" i="27" s="1"/>
  <c r="CJ113" i="27" a="1"/>
  <c r="CJ113" i="27" s="1"/>
  <c r="CR113" i="27" a="1"/>
  <c r="CR113" i="27" s="1"/>
  <c r="CC113" i="27" a="1"/>
  <c r="CC113" i="27" s="1"/>
  <c r="CS113" i="27" a="1"/>
  <c r="CS113" i="27" s="1"/>
  <c r="CL113" i="27" a="1"/>
  <c r="CL113" i="27" s="1"/>
  <c r="BW104" i="27"/>
  <c r="BT104" i="27"/>
  <c r="CA106" i="27" a="1"/>
  <c r="CA106" i="27" s="1"/>
  <c r="CO106" i="27" a="1"/>
  <c r="CO106" i="27" s="1"/>
  <c r="CG106" i="27" a="1"/>
  <c r="CG106" i="27" s="1"/>
  <c r="CQ106" i="27" a="1"/>
  <c r="CQ106" i="27" s="1"/>
  <c r="CI106" i="27" a="1"/>
  <c r="CI106" i="27" s="1"/>
  <c r="BY106" i="27" a="1"/>
  <c r="BY106" i="27" s="1"/>
  <c r="CB106" i="27" a="1"/>
  <c r="CB106" i="27" s="1"/>
  <c r="CJ106" i="27" a="1"/>
  <c r="CJ106" i="27" s="1"/>
  <c r="CR106" i="27" a="1"/>
  <c r="CR106" i="27" s="1"/>
  <c r="CK106" i="27" a="1"/>
  <c r="CK106" i="27" s="1"/>
  <c r="CS106" i="27" a="1"/>
  <c r="CS106" i="27" s="1"/>
  <c r="CD106" i="27" a="1"/>
  <c r="CD106" i="27" s="1"/>
  <c r="CL106" i="27" a="1"/>
  <c r="CL106" i="27" s="1"/>
  <c r="CT106" i="27" a="1"/>
  <c r="CT106" i="27" s="1"/>
  <c r="CC106" i="27" a="1"/>
  <c r="CC106" i="27" s="1"/>
  <c r="CU106" i="27" a="1"/>
  <c r="CU106" i="27" s="1"/>
  <c r="BZ106" i="27" a="1"/>
  <c r="BZ106" i="27" s="1"/>
  <c r="CF106" i="27" a="1"/>
  <c r="CF106" i="27" s="1"/>
  <c r="CN106" i="27" a="1"/>
  <c r="CN106" i="27" s="1"/>
  <c r="CV106" i="27" a="1"/>
  <c r="CV106" i="27" s="1"/>
  <c r="CM106" i="27" a="1"/>
  <c r="CM106" i="27" s="1"/>
  <c r="CP106" i="27" a="1"/>
  <c r="CP106" i="27" s="1"/>
  <c r="CH106" i="27" a="1"/>
  <c r="CH106" i="27" s="1"/>
  <c r="CE106" i="27" a="1"/>
  <c r="CE106" i="27" s="1"/>
  <c r="CK98" i="27" a="1"/>
  <c r="CK98" i="27" s="1"/>
  <c r="BY98" i="27" a="1"/>
  <c r="BY98" i="27" s="1"/>
  <c r="CM98" i="27" a="1"/>
  <c r="CM98" i="27" s="1"/>
  <c r="CN98" i="27" a="1"/>
  <c r="CN98" i="27" s="1"/>
  <c r="CH98" i="27" a="1"/>
  <c r="CH98" i="27" s="1"/>
  <c r="CJ98" i="27" a="1"/>
  <c r="CJ98" i="27" s="1"/>
  <c r="BW65" i="27"/>
  <c r="BT65" i="27"/>
  <c r="CD82" i="27" a="1"/>
  <c r="CD82" i="27" s="1"/>
  <c r="CL82" i="27" a="1"/>
  <c r="CL82" i="27" s="1"/>
  <c r="CT82" i="27" a="1"/>
  <c r="CT82" i="27" s="1"/>
  <c r="CC82" i="27" a="1"/>
  <c r="CC82" i="27" s="1"/>
  <c r="CK82" i="27" a="1"/>
  <c r="CK82" i="27" s="1"/>
  <c r="CS82" i="27" a="1"/>
  <c r="CS82" i="27" s="1"/>
  <c r="CR82" i="27" a="1"/>
  <c r="CR82" i="27" s="1"/>
  <c r="CF82" i="27" a="1"/>
  <c r="CF82" i="27" s="1"/>
  <c r="CN82" i="27" a="1"/>
  <c r="CN82" i="27" s="1"/>
  <c r="CV82" i="27" a="1"/>
  <c r="CV82" i="27" s="1"/>
  <c r="CE82" i="27" a="1"/>
  <c r="CE82" i="27" s="1"/>
  <c r="CM82" i="27" a="1"/>
  <c r="CM82" i="27" s="1"/>
  <c r="CU82" i="27" a="1"/>
  <c r="CU82" i="27" s="1"/>
  <c r="CA82" i="27" a="1"/>
  <c r="CA82" i="27" s="1"/>
  <c r="BZ82" i="27" a="1"/>
  <c r="BZ82" i="27" s="1"/>
  <c r="CH82" i="27" a="1"/>
  <c r="CH82" i="27" s="1"/>
  <c r="CP82" i="27" a="1"/>
  <c r="CP82" i="27" s="1"/>
  <c r="BY82" i="27" a="1"/>
  <c r="BY82" i="27" s="1"/>
  <c r="CG82" i="27" a="1"/>
  <c r="CG82" i="27" s="1"/>
  <c r="CO82" i="27" a="1"/>
  <c r="CO82" i="27" s="1"/>
  <c r="CB82" i="27" a="1"/>
  <c r="CB82" i="27" s="1"/>
  <c r="CI82" i="27" a="1"/>
  <c r="CI82" i="27" s="1"/>
  <c r="CJ82" i="27" a="1"/>
  <c r="CJ82" i="27" s="1"/>
  <c r="CQ82" i="27" a="1"/>
  <c r="CQ82" i="27" s="1"/>
  <c r="CI97" i="27" a="1"/>
  <c r="CI97" i="27" s="1"/>
  <c r="CU97" i="27" a="1"/>
  <c r="CU97" i="27" s="1"/>
  <c r="CQ97" i="27" a="1"/>
  <c r="CQ97" i="27" s="1"/>
  <c r="BZ97" i="27" a="1"/>
  <c r="BZ97" i="27" s="1"/>
  <c r="CB97" i="27" a="1"/>
  <c r="CB97" i="27" s="1"/>
  <c r="CD97" i="27" a="1"/>
  <c r="CD97" i="27" s="1"/>
  <c r="CL85" i="27" a="1"/>
  <c r="CL85" i="27" s="1"/>
  <c r="CS85" i="27" a="1"/>
  <c r="CS85" i="27" s="1"/>
  <c r="CN85" i="27" a="1"/>
  <c r="CN85" i="27" s="1"/>
  <c r="CU85" i="27" a="1"/>
  <c r="CU85" i="27" s="1"/>
  <c r="CH85" i="27" a="1"/>
  <c r="CH85" i="27" s="1"/>
  <c r="CO85" i="27" a="1"/>
  <c r="CO85" i="27" s="1"/>
  <c r="CB61" i="27" a="1"/>
  <c r="CB61" i="27" s="1"/>
  <c r="CF61" i="27" a="1"/>
  <c r="CF61" i="27" s="1"/>
  <c r="BW52" i="27"/>
  <c r="BT52" i="27"/>
  <c r="CL75" i="27" a="1"/>
  <c r="CL75" i="27" s="1"/>
  <c r="CN75" i="27" a="1"/>
  <c r="CN75" i="27" s="1"/>
  <c r="CK75" i="27" a="1"/>
  <c r="CK75" i="27" s="1"/>
  <c r="BW62" i="27"/>
  <c r="BT62" i="27"/>
  <c r="CC47" i="27" a="1"/>
  <c r="CC47" i="27" s="1"/>
  <c r="CN47" i="27" a="1"/>
  <c r="CN47" i="27" s="1"/>
  <c r="CL47" i="27" a="1"/>
  <c r="CL47" i="27" s="1"/>
  <c r="CE47" i="27" a="1"/>
  <c r="CE47" i="27" s="1"/>
  <c r="CJ47" i="27" a="1"/>
  <c r="CJ47" i="27" s="1"/>
  <c r="CU47" i="27" a="1"/>
  <c r="CU47" i="27" s="1"/>
  <c r="CL49" i="27" a="1"/>
  <c r="CL49" i="27" s="1"/>
  <c r="CF56" i="27" a="1"/>
  <c r="CF56" i="27" s="1"/>
  <c r="CN56" i="27" a="1"/>
  <c r="CN56" i="27" s="1"/>
  <c r="CV56" i="27" a="1"/>
  <c r="CV56" i="27" s="1"/>
  <c r="CE56" i="27" a="1"/>
  <c r="CE56" i="27" s="1"/>
  <c r="CM56" i="27" a="1"/>
  <c r="CM56" i="27" s="1"/>
  <c r="CU56" i="27" a="1"/>
  <c r="CU56" i="27" s="1"/>
  <c r="CL56" i="27" a="1"/>
  <c r="CL56" i="27" s="1"/>
  <c r="BZ56" i="27" a="1"/>
  <c r="BZ56" i="27" s="1"/>
  <c r="CH56" i="27" a="1"/>
  <c r="CH56" i="27" s="1"/>
  <c r="CP56" i="27" a="1"/>
  <c r="CP56" i="27" s="1"/>
  <c r="BY56" i="27" a="1"/>
  <c r="BY56" i="27" s="1"/>
  <c r="CG56" i="27" a="1"/>
  <c r="CG56" i="27" s="1"/>
  <c r="CO56" i="27" a="1"/>
  <c r="CO56" i="27" s="1"/>
  <c r="CD56" i="27" a="1"/>
  <c r="CD56" i="27" s="1"/>
  <c r="CT56" i="27" a="1"/>
  <c r="CT56" i="27" s="1"/>
  <c r="CS56" i="27" a="1"/>
  <c r="CS56" i="27" s="1"/>
  <c r="CB56" i="27" a="1"/>
  <c r="CB56" i="27" s="1"/>
  <c r="CJ56" i="27" a="1"/>
  <c r="CJ56" i="27" s="1"/>
  <c r="CR56" i="27" a="1"/>
  <c r="CR56" i="27" s="1"/>
  <c r="CA56" i="27" a="1"/>
  <c r="CA56" i="27" s="1"/>
  <c r="CI56" i="27" a="1"/>
  <c r="CI56" i="27" s="1"/>
  <c r="CQ56" i="27" a="1"/>
  <c r="CQ56" i="27" s="1"/>
  <c r="CC56" i="27" a="1"/>
  <c r="CC56" i="27" s="1"/>
  <c r="CK56" i="27" a="1"/>
  <c r="CK56" i="27" s="1"/>
  <c r="CB40" i="27" a="1"/>
  <c r="CB40" i="27" s="1"/>
  <c r="CD40" i="27" a="1"/>
  <c r="CD40" i="27" s="1"/>
  <c r="CL40" i="27" a="1"/>
  <c r="CL40" i="27" s="1"/>
  <c r="CT40" i="27" a="1"/>
  <c r="CT40" i="27" s="1"/>
  <c r="CA40" i="27" a="1"/>
  <c r="CA40" i="27" s="1"/>
  <c r="CI40" i="27" a="1"/>
  <c r="CI40" i="27" s="1"/>
  <c r="CQ40" i="27" a="1"/>
  <c r="CQ40" i="27" s="1"/>
  <c r="CV40" i="27" a="1"/>
  <c r="CV40" i="27" s="1"/>
  <c r="BZ40" i="27" a="1"/>
  <c r="BZ40" i="27" s="1"/>
  <c r="CC40" i="27" a="1"/>
  <c r="CC40" i="27" s="1"/>
  <c r="CK40" i="27" a="1"/>
  <c r="CK40" i="27" s="1"/>
  <c r="CS40" i="27" a="1"/>
  <c r="CS40" i="27" s="1"/>
  <c r="CN40" i="27" a="1"/>
  <c r="CN40" i="27" s="1"/>
  <c r="CR40" i="27" a="1"/>
  <c r="CR40" i="27" s="1"/>
  <c r="CE40" i="27" a="1"/>
  <c r="CE40" i="27" s="1"/>
  <c r="CM40" i="27" a="1"/>
  <c r="CM40" i="27" s="1"/>
  <c r="CU40" i="27" a="1"/>
  <c r="CU40" i="27" s="1"/>
  <c r="CF40" i="27" a="1"/>
  <c r="CF40" i="27" s="1"/>
  <c r="CP40" i="27" a="1"/>
  <c r="CP40" i="27" s="1"/>
  <c r="CJ40" i="27" a="1"/>
  <c r="CJ40" i="27" s="1"/>
  <c r="BY40" i="27" a="1"/>
  <c r="BY40" i="27" s="1"/>
  <c r="CG40" i="27" a="1"/>
  <c r="CG40" i="27" s="1"/>
  <c r="CH40" i="27" a="1"/>
  <c r="CH40" i="27" s="1"/>
  <c r="CO40" i="27" a="1"/>
  <c r="CO40" i="27" s="1"/>
  <c r="CL34" i="27" a="1"/>
  <c r="CL34" i="27" s="1"/>
  <c r="CE36" i="27" a="1"/>
  <c r="CE36" i="27" s="1"/>
  <c r="CM36" i="27" a="1"/>
  <c r="CM36" i="27" s="1"/>
  <c r="CU36" i="27" a="1"/>
  <c r="CU36" i="27" s="1"/>
  <c r="CN36" i="27" a="1"/>
  <c r="CN36" i="27" s="1"/>
  <c r="CV36" i="27" a="1"/>
  <c r="CV36" i="27" s="1"/>
  <c r="BY36" i="27" a="1"/>
  <c r="BY36" i="27" s="1"/>
  <c r="CO36" i="27" a="1"/>
  <c r="CO36" i="27" s="1"/>
  <c r="BZ36" i="27" a="1"/>
  <c r="BZ36" i="27" s="1"/>
  <c r="CH36" i="27" a="1"/>
  <c r="CH36" i="27" s="1"/>
  <c r="CA36" i="27" a="1"/>
  <c r="CA36" i="27" s="1"/>
  <c r="CI36" i="27" a="1"/>
  <c r="CI36" i="27" s="1"/>
  <c r="CQ36" i="27" a="1"/>
  <c r="CQ36" i="27" s="1"/>
  <c r="CJ36" i="27" a="1"/>
  <c r="CJ36" i="27" s="1"/>
  <c r="CR36" i="27" a="1"/>
  <c r="CR36" i="27" s="1"/>
  <c r="CC36" i="27" a="1"/>
  <c r="CC36" i="27" s="1"/>
  <c r="CK36" i="27" a="1"/>
  <c r="CK36" i="27" s="1"/>
  <c r="CT36" i="27" a="1"/>
  <c r="CT36" i="27" s="1"/>
  <c r="CS36" i="27" a="1"/>
  <c r="CS36" i="27" s="1"/>
  <c r="BZ27" i="27" a="1"/>
  <c r="BZ27" i="27" s="1"/>
  <c r="CS27" i="27" a="1"/>
  <c r="CS27" i="27" s="1"/>
  <c r="CK27" i="27" a="1"/>
  <c r="CK27" i="27" s="1"/>
  <c r="CR27" i="27" a="1"/>
  <c r="CR27" i="27" s="1"/>
  <c r="CJ27" i="27" a="1"/>
  <c r="CJ27" i="27" s="1"/>
  <c r="CB27" i="27" a="1"/>
  <c r="CB27" i="27" s="1"/>
  <c r="CI27" i="27" a="1"/>
  <c r="CI27" i="27" s="1"/>
  <c r="CA27" i="27" a="1"/>
  <c r="CA27" i="27" s="1"/>
  <c r="CP27" i="27" a="1"/>
  <c r="CP27" i="27" s="1"/>
  <c r="CO27" i="27" a="1"/>
  <c r="CO27" i="27" s="1"/>
  <c r="CG27" i="27" a="1"/>
  <c r="CG27" i="27" s="1"/>
  <c r="BY27" i="27" a="1"/>
  <c r="BY27" i="27" s="1"/>
  <c r="CN27" i="27" a="1"/>
  <c r="CN27" i="27" s="1"/>
  <c r="CF27" i="27" a="1"/>
  <c r="CF27" i="27" s="1"/>
  <c r="CM27" i="27" a="1"/>
  <c r="CM27" i="27" s="1"/>
  <c r="CT27" i="27" a="1"/>
  <c r="CT27" i="27" s="1"/>
  <c r="CE27" i="27" a="1"/>
  <c r="CE27" i="27" s="1"/>
  <c r="CD27" i="27" a="1"/>
  <c r="CD27" i="27" s="1"/>
  <c r="BY20" i="27" a="1"/>
  <c r="BY20" i="27" s="1"/>
  <c r="CG20" i="27" a="1"/>
  <c r="CG20" i="27" s="1"/>
  <c r="CO20" i="27" a="1"/>
  <c r="CO20" i="27" s="1"/>
  <c r="CH20" i="27" a="1"/>
  <c r="CH20" i="27" s="1"/>
  <c r="CP20" i="27" a="1"/>
  <c r="CP20" i="27" s="1"/>
  <c r="CA20" i="27" a="1"/>
  <c r="CA20" i="27" s="1"/>
  <c r="CQ20" i="27" a="1"/>
  <c r="CQ20" i="27" s="1"/>
  <c r="CB20" i="27" a="1"/>
  <c r="CB20" i="27" s="1"/>
  <c r="CJ20" i="27" a="1"/>
  <c r="CJ20" i="27" s="1"/>
  <c r="CC20" i="27" a="1"/>
  <c r="CC20" i="27" s="1"/>
  <c r="CK20" i="27" a="1"/>
  <c r="CK20" i="27" s="1"/>
  <c r="CS20" i="27" a="1"/>
  <c r="CS20" i="27" s="1"/>
  <c r="CL20" i="27" a="1"/>
  <c r="CL20" i="27" s="1"/>
  <c r="CT20" i="27" a="1"/>
  <c r="CT20" i="27" s="1"/>
  <c r="CF20" i="27" a="1"/>
  <c r="CF20" i="27" s="1"/>
  <c r="CN20" i="27" a="1"/>
  <c r="CN20" i="27" s="1"/>
  <c r="CU20" i="27" a="1"/>
  <c r="CU20" i="27" s="1"/>
  <c r="CM20" i="27" a="1"/>
  <c r="CM20" i="27" s="1"/>
  <c r="CE13" i="27" a="1"/>
  <c r="CE13" i="27" s="1"/>
  <c r="CM13" i="27" a="1"/>
  <c r="CM13" i="27" s="1"/>
  <c r="CL13" i="27" a="1"/>
  <c r="CL13" i="27" s="1"/>
  <c r="CT13" i="27" a="1"/>
  <c r="CT13" i="27" s="1"/>
  <c r="CP13" i="27" a="1"/>
  <c r="CP13" i="27" s="1"/>
  <c r="CU13" i="27" a="1"/>
  <c r="CU13" i="27" s="1"/>
  <c r="BY13" i="27" a="1"/>
  <c r="BY13" i="27" s="1"/>
  <c r="CG13" i="27" a="1"/>
  <c r="CG13" i="27" s="1"/>
  <c r="CO13" i="27" a="1"/>
  <c r="CO13" i="27" s="1"/>
  <c r="CB13" i="27" a="1"/>
  <c r="CB13" i="27" s="1"/>
  <c r="CV13" i="27" a="1"/>
  <c r="CV13" i="27" s="1"/>
  <c r="CF13" i="27" a="1"/>
  <c r="CF13" i="27" s="1"/>
  <c r="CI13" i="27" a="1"/>
  <c r="CI13" i="27" s="1"/>
  <c r="CN13" i="27" a="1"/>
  <c r="CN13" i="27" s="1"/>
  <c r="CA13" i="27" a="1"/>
  <c r="CA13" i="27" s="1"/>
  <c r="CQ13" i="27" a="1"/>
  <c r="CQ13" i="27" s="1"/>
  <c r="CJ13" i="27" a="1"/>
  <c r="CJ13" i="27" s="1"/>
  <c r="BZ13" i="27" a="1"/>
  <c r="BZ13" i="27" s="1"/>
  <c r="CR13" i="27" a="1"/>
  <c r="CR13" i="27" s="1"/>
  <c r="CD13" i="27" a="1"/>
  <c r="CD13" i="27" s="1"/>
  <c r="CC13" i="27" a="1"/>
  <c r="CC13" i="27" s="1"/>
  <c r="CH13" i="27" a="1"/>
  <c r="CH13" i="27" s="1"/>
  <c r="CK13" i="27" a="1"/>
  <c r="CK13" i="27" s="1"/>
  <c r="CS13" i="27" a="1"/>
  <c r="CS13" i="27" s="1"/>
  <c r="BZ15" i="27" a="1"/>
  <c r="BZ15" i="27" s="1"/>
  <c r="CQ15" i="27" a="1"/>
  <c r="CQ15" i="27" s="1"/>
  <c r="CI15" i="27" a="1"/>
  <c r="CI15" i="27" s="1"/>
  <c r="CA15" i="27" a="1"/>
  <c r="CA15" i="27" s="1"/>
  <c r="CR15" i="27" a="1"/>
  <c r="CR15" i="27" s="1"/>
  <c r="CJ15" i="27" a="1"/>
  <c r="CJ15" i="27" s="1"/>
  <c r="CB15" i="27" a="1"/>
  <c r="CB15" i="27" s="1"/>
  <c r="CO15" i="27" a="1"/>
  <c r="CO15" i="27" s="1"/>
  <c r="CG15" i="27" a="1"/>
  <c r="CG15" i="27" s="1"/>
  <c r="BY15" i="27" a="1"/>
  <c r="BY15" i="27" s="1"/>
  <c r="CP15" i="27" a="1"/>
  <c r="CP15" i="27" s="1"/>
  <c r="CH15" i="27" a="1"/>
  <c r="CH15" i="27" s="1"/>
  <c r="CU15" i="27" a="1"/>
  <c r="CU15" i="27" s="1"/>
  <c r="CE15" i="27" a="1"/>
  <c r="CE15" i="27" s="1"/>
  <c r="CV15" i="27" a="1"/>
  <c r="CV15" i="27" s="1"/>
  <c r="CN15" i="27" a="1"/>
  <c r="CN15" i="27" s="1"/>
  <c r="CF15" i="27" a="1"/>
  <c r="CF15" i="27" s="1"/>
  <c r="CM15" i="27" a="1"/>
  <c r="CM15" i="27" s="1"/>
  <c r="CC15" i="27" a="1"/>
  <c r="CC15" i="27" s="1"/>
  <c r="CD15" i="27" a="1"/>
  <c r="CD15" i="27" s="1"/>
  <c r="CK15" i="27" a="1"/>
  <c r="CK15" i="27" s="1"/>
  <c r="CL15" i="27" a="1"/>
  <c r="CL15" i="27" s="1"/>
  <c r="CT15" i="27" a="1"/>
  <c r="CT15" i="27" s="1"/>
  <c r="CS15" i="27" a="1"/>
  <c r="CS15" i="27" s="1"/>
  <c r="CQ7" i="27" a="1"/>
  <c r="CQ7" i="27" s="1"/>
  <c r="CN7" i="27" a="1"/>
  <c r="CN7" i="27" s="1"/>
  <c r="CO7" i="27" a="1"/>
  <c r="CO7" i="27" s="1"/>
  <c r="BA69" i="27"/>
  <c r="BE69" i="27"/>
  <c r="AX69" i="27"/>
  <c r="BB69" i="27"/>
  <c r="BF69" i="27"/>
  <c r="AY69" i="27"/>
  <c r="BC69" i="27"/>
  <c r="BG69" i="27"/>
  <c r="BD69" i="27"/>
  <c r="AV69" i="27"/>
  <c r="AZ69" i="27"/>
  <c r="AY117" i="27"/>
  <c r="BC117" i="27"/>
  <c r="BG117" i="27"/>
  <c r="AV117" i="27"/>
  <c r="AZ117" i="27"/>
  <c r="BD117" i="27"/>
  <c r="BA117" i="27"/>
  <c r="BE117" i="27"/>
  <c r="AX117" i="27"/>
  <c r="BB117" i="27"/>
  <c r="BF117" i="27"/>
  <c r="AY111" i="27"/>
  <c r="BC111" i="27"/>
  <c r="BG111" i="27"/>
  <c r="AV111" i="27"/>
  <c r="AZ111" i="27"/>
  <c r="BD111" i="27"/>
  <c r="BA111" i="27"/>
  <c r="BE111" i="27"/>
  <c r="BF111" i="27"/>
  <c r="AX111" i="27"/>
  <c r="BB111" i="27"/>
  <c r="AY54" i="27"/>
  <c r="BC54" i="27"/>
  <c r="BG54" i="27"/>
  <c r="AV54" i="27"/>
  <c r="AZ54" i="27"/>
  <c r="BD54" i="27"/>
  <c r="BE54" i="27"/>
  <c r="AX54" i="27"/>
  <c r="BF54" i="27"/>
  <c r="BA54" i="27"/>
  <c r="BB54" i="27"/>
  <c r="BA118" i="27"/>
  <c r="BE118" i="27"/>
  <c r="AY118" i="27"/>
  <c r="BC118" i="27"/>
  <c r="BG118" i="27"/>
  <c r="AZ118" i="27"/>
  <c r="BB118" i="27"/>
  <c r="AX118" i="27"/>
  <c r="BF118" i="27"/>
  <c r="AV118" i="27"/>
  <c r="BD118" i="27"/>
  <c r="AY123" i="27"/>
  <c r="BC123" i="27"/>
  <c r="BG123" i="27"/>
  <c r="BA123" i="27"/>
  <c r="BE123" i="27"/>
  <c r="AV123" i="27"/>
  <c r="BD123" i="27"/>
  <c r="AX123" i="27"/>
  <c r="BF123" i="27"/>
  <c r="AZ123" i="27"/>
  <c r="BB123" i="27"/>
  <c r="AG47" i="27" a="1"/>
  <c r="AG47" i="27" s="1"/>
  <c r="T95" i="27" a="1"/>
  <c r="T95" i="27" s="1"/>
  <c r="W95" i="27" a="1"/>
  <c r="W95" i="27" s="1"/>
  <c r="AB95" i="27" a="1"/>
  <c r="AB95" i="27" s="1"/>
  <c r="AE95" i="27" a="1"/>
  <c r="AE95" i="27" s="1"/>
  <c r="AD95" i="27" a="1"/>
  <c r="AD95" i="27" s="1"/>
  <c r="S95" i="27" a="1"/>
  <c r="S95" i="27" s="1"/>
  <c r="BA28" i="27"/>
  <c r="BE28" i="27"/>
  <c r="AV28" i="27"/>
  <c r="BB28" i="27"/>
  <c r="BG28" i="27"/>
  <c r="AX28" i="27"/>
  <c r="BC28" i="27"/>
  <c r="AY28" i="27"/>
  <c r="BD28" i="27"/>
  <c r="AZ28" i="27"/>
  <c r="BF28" i="27"/>
  <c r="Q106" i="27" a="1"/>
  <c r="Q106" i="27" s="1"/>
  <c r="M56" i="27" a="1"/>
  <c r="M56" i="27" s="1"/>
  <c r="P56" i="27" a="1"/>
  <c r="P56" i="27" s="1"/>
  <c r="U56" i="27" a="1"/>
  <c r="U56" i="27" s="1"/>
  <c r="X56" i="27" a="1"/>
  <c r="X56" i="27" s="1"/>
  <c r="AC56" i="27" a="1"/>
  <c r="AC56" i="27" s="1"/>
  <c r="AF56" i="27" a="1"/>
  <c r="AF56" i="27" s="1"/>
  <c r="N56" i="27" a="1"/>
  <c r="N56" i="27" s="1"/>
  <c r="S56" i="27" a="1"/>
  <c r="S56" i="27" s="1"/>
  <c r="V56" i="27" a="1"/>
  <c r="V56" i="27" s="1"/>
  <c r="AA56" i="27" a="1"/>
  <c r="AA56" i="27" s="1"/>
  <c r="AD56" i="27" a="1"/>
  <c r="AD56" i="27" s="1"/>
  <c r="AI56" i="27" a="1"/>
  <c r="AI56" i="27" s="1"/>
  <c r="T56" i="27" a="1"/>
  <c r="T56" i="27" s="1"/>
  <c r="Y56" i="27" a="1"/>
  <c r="Y56" i="27" s="1"/>
  <c r="O56" i="27" a="1"/>
  <c r="O56" i="27" s="1"/>
  <c r="Z56" i="27" a="1"/>
  <c r="Z56" i="27" s="1"/>
  <c r="AE56" i="27" a="1"/>
  <c r="AE56" i="27" s="1"/>
  <c r="L56" i="27" a="1"/>
  <c r="L56" i="27" s="1"/>
  <c r="Q56" i="27" a="1"/>
  <c r="Q56" i="27" s="1"/>
  <c r="AB56" i="27" a="1"/>
  <c r="AB56" i="27" s="1"/>
  <c r="AG56" i="27" a="1"/>
  <c r="AG56" i="27" s="1"/>
  <c r="AH56" i="27" a="1"/>
  <c r="AH56" i="27" s="1"/>
  <c r="R56" i="27" a="1"/>
  <c r="R56" i="27" s="1"/>
  <c r="W56" i="27" a="1"/>
  <c r="W56" i="27" s="1"/>
  <c r="BA137" i="27"/>
  <c r="BE137" i="27"/>
  <c r="AX137" i="27"/>
  <c r="BB137" i="27"/>
  <c r="BF137" i="27"/>
  <c r="AZ137" i="27"/>
  <c r="AY137" i="27"/>
  <c r="BC137" i="27"/>
  <c r="BG137" i="27"/>
  <c r="AV137" i="27"/>
  <c r="BD137" i="27"/>
  <c r="AV104" i="27"/>
  <c r="AZ104" i="27"/>
  <c r="BD104" i="27"/>
  <c r="BA104" i="27"/>
  <c r="BE104" i="27"/>
  <c r="AX104" i="27"/>
  <c r="BB104" i="27"/>
  <c r="BF104" i="27"/>
  <c r="AY104" i="27"/>
  <c r="BC104" i="27"/>
  <c r="BG104" i="27"/>
  <c r="AG13" i="27" a="1"/>
  <c r="AG13" i="27" s="1"/>
  <c r="X13" i="27" a="1"/>
  <c r="X13" i="27" s="1"/>
  <c r="Q13" i="27" a="1"/>
  <c r="Q13" i="27" s="1"/>
  <c r="AB13" i="27" a="1"/>
  <c r="AB13" i="27" s="1"/>
  <c r="L13" i="27" a="1"/>
  <c r="L13" i="27" s="1"/>
  <c r="AC13" i="27" a="1"/>
  <c r="AC13" i="27" s="1"/>
  <c r="G36" i="27"/>
  <c r="BA41" i="27"/>
  <c r="BE41" i="27"/>
  <c r="AX41" i="27"/>
  <c r="BB41" i="27"/>
  <c r="BF41" i="27"/>
  <c r="AY41" i="27"/>
  <c r="BC41" i="27"/>
  <c r="BG41" i="27"/>
  <c r="AV41" i="27"/>
  <c r="AZ41" i="27"/>
  <c r="BD41" i="27"/>
  <c r="BA89" i="27"/>
  <c r="BE89" i="27"/>
  <c r="AX89" i="27"/>
  <c r="BB89" i="27"/>
  <c r="BF89" i="27"/>
  <c r="AY89" i="27"/>
  <c r="BC89" i="27"/>
  <c r="BG89" i="27"/>
  <c r="AV89" i="27"/>
  <c r="AZ89" i="27"/>
  <c r="BD89" i="27"/>
  <c r="BA138" i="27"/>
  <c r="BE138" i="27"/>
  <c r="AX138" i="27"/>
  <c r="BB138" i="27"/>
  <c r="BF138" i="27"/>
  <c r="AZ138" i="27"/>
  <c r="AY138" i="27"/>
  <c r="BC138" i="27"/>
  <c r="BG138" i="27"/>
  <c r="AV138" i="27"/>
  <c r="BD138" i="27"/>
  <c r="AX59" i="27"/>
  <c r="BB59" i="27"/>
  <c r="BF59" i="27"/>
  <c r="AY59" i="27"/>
  <c r="BC59" i="27"/>
  <c r="BG59" i="27"/>
  <c r="AV59" i="27"/>
  <c r="AZ59" i="27"/>
  <c r="BD59" i="27"/>
  <c r="BE59" i="27"/>
  <c r="BA59" i="27"/>
  <c r="AY26" i="27"/>
  <c r="BC26" i="27"/>
  <c r="BG26" i="27"/>
  <c r="AV26" i="27"/>
  <c r="AZ26" i="27"/>
  <c r="BD26" i="27"/>
  <c r="BE26" i="27"/>
  <c r="AX26" i="27"/>
  <c r="BF26" i="27"/>
  <c r="BA26" i="27"/>
  <c r="BB26" i="27"/>
  <c r="AX74" i="27"/>
  <c r="BB74" i="27"/>
  <c r="BF74" i="27"/>
  <c r="AY74" i="27"/>
  <c r="BC74" i="27"/>
  <c r="BG74" i="27"/>
  <c r="AV74" i="27"/>
  <c r="AZ74" i="27"/>
  <c r="BD74" i="27"/>
  <c r="BA74" i="27"/>
  <c r="BE74" i="27"/>
  <c r="AV139" i="27"/>
  <c r="AZ139" i="27"/>
  <c r="BD139" i="27"/>
  <c r="BA139" i="27"/>
  <c r="BE139" i="27"/>
  <c r="AX139" i="27"/>
  <c r="BB139" i="27"/>
  <c r="BF139" i="27"/>
  <c r="AY139" i="27"/>
  <c r="BC139" i="27"/>
  <c r="BG139" i="27"/>
  <c r="AX131" i="27"/>
  <c r="BB131" i="27"/>
  <c r="BF131" i="27"/>
  <c r="AY131" i="27"/>
  <c r="BC131" i="27"/>
  <c r="BG131" i="27"/>
  <c r="BE131" i="27"/>
  <c r="AV131" i="27"/>
  <c r="AZ131" i="27"/>
  <c r="BD131" i="27"/>
  <c r="BA131" i="27"/>
  <c r="G19" i="27"/>
  <c r="AE83" i="27" a="1"/>
  <c r="AE83" i="27" s="1"/>
  <c r="O136" i="27" a="1"/>
  <c r="O136" i="27" s="1"/>
  <c r="T136" i="27" a="1"/>
  <c r="T136" i="27" s="1"/>
  <c r="Z136" i="27" a="1"/>
  <c r="Z136" i="27" s="1"/>
  <c r="AC136" i="27" a="1"/>
  <c r="AC136" i="27" s="1"/>
  <c r="P136" i="27" a="1"/>
  <c r="P136" i="27" s="1"/>
  <c r="S136" i="27" a="1"/>
  <c r="S136" i="27" s="1"/>
  <c r="D60" i="12"/>
  <c r="J62" i="27"/>
  <c r="G62" i="27"/>
  <c r="BA116" i="27"/>
  <c r="BE116" i="27"/>
  <c r="AX116" i="27"/>
  <c r="BB116" i="27"/>
  <c r="BF116" i="27"/>
  <c r="AY116" i="27"/>
  <c r="BC116" i="27"/>
  <c r="BG116" i="27"/>
  <c r="BD116" i="27"/>
  <c r="AZ116" i="27"/>
  <c r="AV116" i="27"/>
  <c r="D94" i="12"/>
  <c r="J96" i="27"/>
  <c r="G96" i="27"/>
  <c r="AG60" i="27" a="1"/>
  <c r="AG60" i="27" s="1"/>
  <c r="G53" i="27"/>
  <c r="DA8" i="27" a="1"/>
  <c r="DA8" i="27" s="1"/>
  <c r="DA9" i="27" a="1"/>
  <c r="DA9" i="27" s="1"/>
  <c r="DA10" i="27" a="1"/>
  <c r="DA10" i="27" s="1"/>
  <c r="DA13" i="27" a="1"/>
  <c r="DA13" i="27" s="1"/>
  <c r="DA11" i="27" a="1"/>
  <c r="DA11" i="27" s="1"/>
  <c r="DA14" i="27" a="1"/>
  <c r="DA14" i="27" s="1"/>
  <c r="DA15" i="27" a="1"/>
  <c r="DA15" i="27" s="1"/>
  <c r="DA7" i="27" a="1"/>
  <c r="DA7" i="27" s="1"/>
  <c r="DA17" i="27" a="1"/>
  <c r="DA17" i="27" s="1"/>
  <c r="DA18" i="27" a="1"/>
  <c r="DA18" i="27" s="1"/>
  <c r="DA21" i="27" a="1"/>
  <c r="DA21" i="27" s="1"/>
  <c r="DA16" i="27" a="1"/>
  <c r="DA16" i="27" s="1"/>
  <c r="DA23" i="27" a="1"/>
  <c r="DA23" i="27" s="1"/>
  <c r="DA19" i="27" a="1"/>
  <c r="DA19" i="27" s="1"/>
  <c r="DA22" i="27" a="1"/>
  <c r="DA22" i="27" s="1"/>
  <c r="DA28" i="27" a="1"/>
  <c r="DA28" i="27" s="1"/>
  <c r="DA12" i="27" a="1"/>
  <c r="DA12" i="27" s="1"/>
  <c r="DA20" i="27" a="1"/>
  <c r="DA20" i="27" s="1"/>
  <c r="DA24" i="27" a="1"/>
  <c r="DA24" i="27" s="1"/>
  <c r="DA27" i="27" a="1"/>
  <c r="DA27" i="27" s="1"/>
  <c r="DA33" i="27" a="1"/>
  <c r="DA33" i="27" s="1"/>
  <c r="DA26" i="27" a="1"/>
  <c r="DA26" i="27" s="1"/>
  <c r="DA29" i="27" a="1"/>
  <c r="DA29" i="27" s="1"/>
  <c r="DA31" i="27" a="1"/>
  <c r="DA31" i="27" s="1"/>
  <c r="DA35" i="27" a="1"/>
  <c r="DA35" i="27" s="1"/>
  <c r="DA25" i="27" a="1"/>
  <c r="DA25" i="27" s="1"/>
  <c r="DA36" i="27" a="1"/>
  <c r="DA36" i="27" s="1"/>
  <c r="DA37" i="27" a="1"/>
  <c r="DA37" i="27" s="1"/>
  <c r="DA42" i="27" a="1"/>
  <c r="DA42" i="27" s="1"/>
  <c r="DA34" i="27" a="1"/>
  <c r="DA34" i="27" s="1"/>
  <c r="DA38" i="27" a="1"/>
  <c r="DA38" i="27" s="1"/>
  <c r="DA46" i="27" a="1"/>
  <c r="DA46" i="27" s="1"/>
  <c r="DA30" i="27" a="1"/>
  <c r="DA30" i="27" s="1"/>
  <c r="DA32" i="27" a="1"/>
  <c r="DA32" i="27" s="1"/>
  <c r="DA43" i="27" a="1"/>
  <c r="DA43" i="27" s="1"/>
  <c r="DA44" i="27" a="1"/>
  <c r="DA44" i="27" s="1"/>
  <c r="DA45" i="27" a="1"/>
  <c r="DA45" i="27" s="1"/>
  <c r="DA41" i="27" a="1"/>
  <c r="DA41" i="27" s="1"/>
  <c r="DA48" i="27" a="1"/>
  <c r="DA48" i="27" s="1"/>
  <c r="DA50" i="27" a="1"/>
  <c r="DA50" i="27" s="1"/>
  <c r="DA52" i="27" a="1"/>
  <c r="DA52" i="27" s="1"/>
  <c r="DA53" i="27" a="1"/>
  <c r="DA53" i="27" s="1"/>
  <c r="DA40" i="27" a="1"/>
  <c r="DA40" i="27" s="1"/>
  <c r="DA55" i="27" a="1"/>
  <c r="DA55" i="27" s="1"/>
  <c r="DA47" i="27" a="1"/>
  <c r="DA47" i="27" s="1"/>
  <c r="DA51" i="27" a="1"/>
  <c r="DA51" i="27" s="1"/>
  <c r="DA49" i="27" a="1"/>
  <c r="DA49" i="27" s="1"/>
  <c r="DA59" i="27" a="1"/>
  <c r="DA59" i="27" s="1"/>
  <c r="DA69" i="27" a="1"/>
  <c r="DA69" i="27" s="1"/>
  <c r="DA74" i="27" a="1"/>
  <c r="DA74" i="27" s="1"/>
  <c r="DA75" i="27" a="1"/>
  <c r="DA75" i="27" s="1"/>
  <c r="DA76" i="27" a="1"/>
  <c r="DA76" i="27" s="1"/>
  <c r="DA39" i="27" a="1"/>
  <c r="DA39" i="27" s="1"/>
  <c r="DA61" i="27" a="1"/>
  <c r="DA61" i="27" s="1"/>
  <c r="DA62" i="27" a="1"/>
  <c r="DA62" i="27" s="1"/>
  <c r="DA66" i="27" a="1"/>
  <c r="DA66" i="27" s="1"/>
  <c r="DA71" i="27" a="1"/>
  <c r="DA71" i="27" s="1"/>
  <c r="DA72" i="27" a="1"/>
  <c r="DA72" i="27" s="1"/>
  <c r="DA54" i="27" a="1"/>
  <c r="DA54" i="27" s="1"/>
  <c r="DA56" i="27" a="1"/>
  <c r="DA56" i="27" s="1"/>
  <c r="DA57" i="27" a="1"/>
  <c r="DA57" i="27" s="1"/>
  <c r="DA65" i="27" a="1"/>
  <c r="DA65" i="27" s="1"/>
  <c r="DA70" i="27" a="1"/>
  <c r="DA70" i="27" s="1"/>
  <c r="DA60" i="27" a="1"/>
  <c r="DA60" i="27" s="1"/>
  <c r="DA67" i="27" a="1"/>
  <c r="DA67" i="27" s="1"/>
  <c r="DA83" i="27" a="1"/>
  <c r="DA83" i="27" s="1"/>
  <c r="DA90" i="27" a="1"/>
  <c r="DA90" i="27" s="1"/>
  <c r="DA94" i="27" a="1"/>
  <c r="DA94" i="27" s="1"/>
  <c r="DA77" i="27" a="1"/>
  <c r="DA77" i="27" s="1"/>
  <c r="DA78" i="27" a="1"/>
  <c r="DA78" i="27" s="1"/>
  <c r="DA81" i="27" a="1"/>
  <c r="DA81" i="27" s="1"/>
  <c r="DA84" i="27" a="1"/>
  <c r="DA84" i="27" s="1"/>
  <c r="DA87" i="27" a="1"/>
  <c r="DA87" i="27" s="1"/>
  <c r="DA88" i="27" a="1"/>
  <c r="DA88" i="27" s="1"/>
  <c r="DA89" i="27" a="1"/>
  <c r="DA89" i="27" s="1"/>
  <c r="DA91" i="27" a="1"/>
  <c r="DA91" i="27" s="1"/>
  <c r="DA58" i="27" a="1"/>
  <c r="DA58" i="27" s="1"/>
  <c r="DA64" i="27" a="1"/>
  <c r="DA64" i="27" s="1"/>
  <c r="DA80" i="27" a="1"/>
  <c r="DA80" i="27" s="1"/>
  <c r="DA85" i="27" a="1"/>
  <c r="DA85" i="27" s="1"/>
  <c r="DA92" i="27" a="1"/>
  <c r="DA92" i="27" s="1"/>
  <c r="DA96" i="27" a="1"/>
  <c r="DA96" i="27" s="1"/>
  <c r="DA97" i="27" a="1"/>
  <c r="DA97" i="27" s="1"/>
  <c r="DA73" i="27" a="1"/>
  <c r="DA73" i="27" s="1"/>
  <c r="DA79" i="27" a="1"/>
  <c r="DA79" i="27" s="1"/>
  <c r="DA86" i="27" a="1"/>
  <c r="DA86" i="27" s="1"/>
  <c r="DA68" i="27" a="1"/>
  <c r="DA68" i="27" s="1"/>
  <c r="DA95" i="27" a="1"/>
  <c r="DA95" i="27" s="1"/>
  <c r="DA98" i="27" a="1"/>
  <c r="DA98" i="27" s="1"/>
  <c r="DA99" i="27" a="1"/>
  <c r="DA99" i="27" s="1"/>
  <c r="DA101" i="27" a="1"/>
  <c r="DA101" i="27" s="1"/>
  <c r="DA107" i="27" a="1"/>
  <c r="DA107" i="27" s="1"/>
  <c r="DA109" i="27" a="1"/>
  <c r="DA109" i="27" s="1"/>
  <c r="DA111" i="27" a="1"/>
  <c r="DA111" i="27" s="1"/>
  <c r="DA113" i="27" a="1"/>
  <c r="DA113" i="27" s="1"/>
  <c r="DA114" i="27" a="1"/>
  <c r="DA114" i="27" s="1"/>
  <c r="DA115" i="27" a="1"/>
  <c r="DA115" i="27" s="1"/>
  <c r="DA117" i="27" a="1"/>
  <c r="DA117" i="27" s="1"/>
  <c r="DA93" i="27" a="1"/>
  <c r="DA93" i="27" s="1"/>
  <c r="DA103" i="27" a="1"/>
  <c r="DA103" i="27" s="1"/>
  <c r="DA104" i="27" a="1"/>
  <c r="DA104" i="27" s="1"/>
  <c r="DA105" i="27" a="1"/>
  <c r="DA105" i="27" s="1"/>
  <c r="DA106" i="27" a="1"/>
  <c r="DA106" i="27" s="1"/>
  <c r="DA108" i="27" a="1"/>
  <c r="DA108" i="27" s="1"/>
  <c r="DA118" i="27" a="1"/>
  <c r="DA118" i="27" s="1"/>
  <c r="DA120" i="27" a="1"/>
  <c r="DA120" i="27" s="1"/>
  <c r="DA122" i="27" a="1"/>
  <c r="DA122" i="27" s="1"/>
  <c r="DA139" i="27" a="1"/>
  <c r="DA139" i="27" s="1"/>
  <c r="DA63" i="27" a="1"/>
  <c r="DA63" i="27" s="1"/>
  <c r="DA82" i="27" a="1"/>
  <c r="DA82" i="27" s="1"/>
  <c r="DA100" i="27" a="1"/>
  <c r="DA100" i="27" s="1"/>
  <c r="DA112" i="27" a="1"/>
  <c r="DA112" i="27" s="1"/>
  <c r="DA125" i="27" a="1"/>
  <c r="DA125" i="27" s="1"/>
  <c r="DA128" i="27" a="1"/>
  <c r="DA128" i="27" s="1"/>
  <c r="DA129" i="27" a="1"/>
  <c r="DA129" i="27" s="1"/>
  <c r="DA133" i="27" a="1"/>
  <c r="DA133" i="27" s="1"/>
  <c r="DA134" i="27" a="1"/>
  <c r="DA134" i="27" s="1"/>
  <c r="DA110" i="27" a="1"/>
  <c r="DA110" i="27" s="1"/>
  <c r="DA124" i="27" a="1"/>
  <c r="DA124" i="27" s="1"/>
  <c r="DA126" i="27" a="1"/>
  <c r="DA126" i="27" s="1"/>
  <c r="DA137" i="27" a="1"/>
  <c r="DA137" i="27" s="1"/>
  <c r="DA138" i="27" a="1"/>
  <c r="DA138" i="27" s="1"/>
  <c r="DA102" i="27" a="1"/>
  <c r="DA102" i="27" s="1"/>
  <c r="DA116" i="27" a="1"/>
  <c r="DA116" i="27" s="1"/>
  <c r="DA119" i="27" a="1"/>
  <c r="DA119" i="27" s="1"/>
  <c r="DA121" i="27" a="1"/>
  <c r="DA121" i="27" s="1"/>
  <c r="DA123" i="27" a="1"/>
  <c r="DA123" i="27" s="1"/>
  <c r="DA131" i="27" a="1"/>
  <c r="DA131" i="27" s="1"/>
  <c r="DA135" i="27" a="1"/>
  <c r="DA135" i="27" s="1"/>
  <c r="DA136" i="27" a="1"/>
  <c r="DA136" i="27" s="1"/>
  <c r="DA127" i="27" a="1"/>
  <c r="DA127" i="27" s="1"/>
  <c r="DA130" i="27" a="1"/>
  <c r="DA130" i="27" s="1"/>
  <c r="DA132" i="27" a="1"/>
  <c r="DA132" i="27" s="1"/>
  <c r="G57" i="27"/>
  <c r="BY138" i="27" a="1"/>
  <c r="BY138" i="27" s="1"/>
  <c r="CG138" i="27" a="1"/>
  <c r="CG138" i="27" s="1"/>
  <c r="CO138" i="27" a="1"/>
  <c r="CO138" i="27" s="1"/>
  <c r="CD138" i="27" a="1"/>
  <c r="CD138" i="27" s="1"/>
  <c r="CJ138" i="27" a="1"/>
  <c r="CJ138" i="27" s="1"/>
  <c r="CV138" i="27" a="1"/>
  <c r="CV138" i="27" s="1"/>
  <c r="CA138" i="27" a="1"/>
  <c r="CA138" i="27" s="1"/>
  <c r="CI138" i="27" a="1"/>
  <c r="CI138" i="27" s="1"/>
  <c r="CQ138" i="27" a="1"/>
  <c r="CQ138" i="27" s="1"/>
  <c r="CL138" i="27" a="1"/>
  <c r="CL138" i="27" s="1"/>
  <c r="CR138" i="27" a="1"/>
  <c r="CR138" i="27" s="1"/>
  <c r="BZ138" i="27" a="1"/>
  <c r="BZ138" i="27" s="1"/>
  <c r="CC138" i="27" a="1"/>
  <c r="CC138" i="27" s="1"/>
  <c r="CK138" i="27" a="1"/>
  <c r="CK138" i="27" s="1"/>
  <c r="CS138" i="27" a="1"/>
  <c r="CS138" i="27" s="1"/>
  <c r="CT138" i="27" a="1"/>
  <c r="CT138" i="27" s="1"/>
  <c r="CF138" i="27" a="1"/>
  <c r="CF138" i="27" s="1"/>
  <c r="CH138" i="27" a="1"/>
  <c r="CH138" i="27" s="1"/>
  <c r="CE138" i="27" a="1"/>
  <c r="CE138" i="27" s="1"/>
  <c r="CM138" i="27" a="1"/>
  <c r="CM138" i="27" s="1"/>
  <c r="CU138" i="27" a="1"/>
  <c r="CU138" i="27" s="1"/>
  <c r="CB138" i="27" a="1"/>
  <c r="CB138" i="27" s="1"/>
  <c r="CN138" i="27" a="1"/>
  <c r="CN138" i="27" s="1"/>
  <c r="CP138" i="27" a="1"/>
  <c r="CP138" i="27" s="1"/>
  <c r="CK136" i="27" a="1"/>
  <c r="CK136" i="27" s="1"/>
  <c r="CF121" i="27" a="1"/>
  <c r="CF121" i="27" s="1"/>
  <c r="CT121" i="27" a="1"/>
  <c r="CT121" i="27" s="1"/>
  <c r="CE121" i="27" a="1"/>
  <c r="CE121" i="27" s="1"/>
  <c r="CM121" i="27" a="1"/>
  <c r="CM121" i="27" s="1"/>
  <c r="CU121" i="27" a="1"/>
  <c r="CU121" i="27" s="1"/>
  <c r="CR121" i="27" a="1"/>
  <c r="CR121" i="27" s="1"/>
  <c r="CH121" i="27" a="1"/>
  <c r="CH121" i="27" s="1"/>
  <c r="BY121" i="27" a="1"/>
  <c r="BY121" i="27" s="1"/>
  <c r="CG121" i="27" a="1"/>
  <c r="CG121" i="27" s="1"/>
  <c r="CO121" i="27" a="1"/>
  <c r="CO121" i="27" s="1"/>
  <c r="CD121" i="27" a="1"/>
  <c r="CD121" i="27" s="1"/>
  <c r="CV121" i="27" a="1"/>
  <c r="CV121" i="27" s="1"/>
  <c r="CB121" i="27" a="1"/>
  <c r="CB121" i="27" s="1"/>
  <c r="CK121" i="27" a="1"/>
  <c r="CK121" i="27" s="1"/>
  <c r="CN121" i="27" a="1"/>
  <c r="CN121" i="27" s="1"/>
  <c r="BZ121" i="27" a="1"/>
  <c r="BZ121" i="27" s="1"/>
  <c r="CL121" i="27" a="1"/>
  <c r="CL121" i="27" s="1"/>
  <c r="CA121" i="27" a="1"/>
  <c r="CA121" i="27" s="1"/>
  <c r="CI121" i="27" a="1"/>
  <c r="CI121" i="27" s="1"/>
  <c r="CQ121" i="27" a="1"/>
  <c r="CQ121" i="27" s="1"/>
  <c r="CJ121" i="27" a="1"/>
  <c r="CJ121" i="27" s="1"/>
  <c r="CC121" i="27" a="1"/>
  <c r="CC121" i="27" s="1"/>
  <c r="CP121" i="27" a="1"/>
  <c r="CP121" i="27" s="1"/>
  <c r="CS121" i="27" a="1"/>
  <c r="CS121" i="27" s="1"/>
  <c r="CK101" i="27" a="1"/>
  <c r="CK101" i="27" s="1"/>
  <c r="CA101" i="27" a="1"/>
  <c r="CA101" i="27" s="1"/>
  <c r="BY128" i="27" a="1"/>
  <c r="BY128" i="27" s="1"/>
  <c r="CG128" i="27" a="1"/>
  <c r="CG128" i="27" s="1"/>
  <c r="CO128" i="27" a="1"/>
  <c r="CO128" i="27" s="1"/>
  <c r="CB128" i="27" a="1"/>
  <c r="CB128" i="27" s="1"/>
  <c r="CL128" i="27" a="1"/>
  <c r="CL128" i="27" s="1"/>
  <c r="CV128" i="27" a="1"/>
  <c r="CV128" i="27" s="1"/>
  <c r="CA128" i="27" a="1"/>
  <c r="CA128" i="27" s="1"/>
  <c r="CI128" i="27" a="1"/>
  <c r="CI128" i="27" s="1"/>
  <c r="CQ128" i="27" a="1"/>
  <c r="CQ128" i="27" s="1"/>
  <c r="CJ128" i="27" a="1"/>
  <c r="CJ128" i="27" s="1"/>
  <c r="CT128" i="27" a="1"/>
  <c r="CT128" i="27" s="1"/>
  <c r="BZ128" i="27" a="1"/>
  <c r="BZ128" i="27" s="1"/>
  <c r="CC128" i="27" a="1"/>
  <c r="CC128" i="27" s="1"/>
  <c r="CK128" i="27" a="1"/>
  <c r="CK128" i="27" s="1"/>
  <c r="CS128" i="27" a="1"/>
  <c r="CS128" i="27" s="1"/>
  <c r="CR128" i="27" a="1"/>
  <c r="CR128" i="27" s="1"/>
  <c r="CF128" i="27" a="1"/>
  <c r="CF128" i="27" s="1"/>
  <c r="CH128" i="27" a="1"/>
  <c r="CH128" i="27" s="1"/>
  <c r="CE128" i="27" a="1"/>
  <c r="CE128" i="27" s="1"/>
  <c r="CM128" i="27" a="1"/>
  <c r="CM128" i="27" s="1"/>
  <c r="CU128" i="27" a="1"/>
  <c r="CU128" i="27" s="1"/>
  <c r="CD128" i="27" a="1"/>
  <c r="CD128" i="27" s="1"/>
  <c r="CN128" i="27" a="1"/>
  <c r="CN128" i="27" s="1"/>
  <c r="CP128" i="27" a="1"/>
  <c r="CP128" i="27" s="1"/>
  <c r="CE100" i="27" a="1"/>
  <c r="CE100" i="27" s="1"/>
  <c r="CM100" i="27" a="1"/>
  <c r="CM100" i="27" s="1"/>
  <c r="CU100" i="27" a="1"/>
  <c r="CU100" i="27" s="1"/>
  <c r="BY100" i="27" a="1"/>
  <c r="BY100" i="27" s="1"/>
  <c r="CG100" i="27" a="1"/>
  <c r="CG100" i="27" s="1"/>
  <c r="CO100" i="27" a="1"/>
  <c r="CO100" i="27" s="1"/>
  <c r="CA100" i="27" a="1"/>
  <c r="CA100" i="27" s="1"/>
  <c r="CI100" i="27" a="1"/>
  <c r="CI100" i="27" s="1"/>
  <c r="CQ100" i="27" a="1"/>
  <c r="CQ100" i="27" s="1"/>
  <c r="CC100" i="27" a="1"/>
  <c r="CC100" i="27" s="1"/>
  <c r="CS100" i="27" a="1"/>
  <c r="CS100" i="27" s="1"/>
  <c r="CK100" i="27" a="1"/>
  <c r="CK100" i="27" s="1"/>
  <c r="BZ100" i="27" a="1"/>
  <c r="BZ100" i="27" s="1"/>
  <c r="CH100" i="27" a="1"/>
  <c r="CH100" i="27" s="1"/>
  <c r="CP100" i="27" a="1"/>
  <c r="CP100" i="27" s="1"/>
  <c r="CN100" i="27" a="1"/>
  <c r="CN100" i="27" s="1"/>
  <c r="CB100" i="27" a="1"/>
  <c r="CB100" i="27" s="1"/>
  <c r="CJ100" i="27" a="1"/>
  <c r="CJ100" i="27" s="1"/>
  <c r="CR100" i="27" a="1"/>
  <c r="CR100" i="27" s="1"/>
  <c r="CF100" i="27" a="1"/>
  <c r="CF100" i="27" s="1"/>
  <c r="CD100" i="27" a="1"/>
  <c r="CD100" i="27" s="1"/>
  <c r="CL100" i="27" a="1"/>
  <c r="CL100" i="27" s="1"/>
  <c r="CT100" i="27" a="1"/>
  <c r="CT100" i="27" s="1"/>
  <c r="CV100" i="27" a="1"/>
  <c r="CV100" i="27" s="1"/>
  <c r="CE112" i="27" a="1"/>
  <c r="CE112" i="27" s="1"/>
  <c r="CM112" i="27" a="1"/>
  <c r="CM112" i="27" s="1"/>
  <c r="CU112" i="27" a="1"/>
  <c r="CU112" i="27" s="1"/>
  <c r="CF112" i="27" a="1"/>
  <c r="CF112" i="27" s="1"/>
  <c r="CN112" i="27" a="1"/>
  <c r="CN112" i="27" s="1"/>
  <c r="CV112" i="27" a="1"/>
  <c r="CV112" i="27" s="1"/>
  <c r="CC112" i="27" a="1"/>
  <c r="CC112" i="27" s="1"/>
  <c r="BY112" i="27" a="1"/>
  <c r="BY112" i="27" s="1"/>
  <c r="CG112" i="27" a="1"/>
  <c r="CG112" i="27" s="1"/>
  <c r="CO112" i="27" a="1"/>
  <c r="CO112" i="27" s="1"/>
  <c r="BZ112" i="27" a="1"/>
  <c r="BZ112" i="27" s="1"/>
  <c r="CH112" i="27" a="1"/>
  <c r="CH112" i="27" s="1"/>
  <c r="CP112" i="27" a="1"/>
  <c r="CP112" i="27" s="1"/>
  <c r="CS112" i="27" a="1"/>
  <c r="CS112" i="27" s="1"/>
  <c r="CT112" i="27" a="1"/>
  <c r="CT112" i="27" s="1"/>
  <c r="CA112" i="27" a="1"/>
  <c r="CA112" i="27" s="1"/>
  <c r="CI112" i="27" a="1"/>
  <c r="CI112" i="27" s="1"/>
  <c r="CQ112" i="27" a="1"/>
  <c r="CQ112" i="27" s="1"/>
  <c r="CB112" i="27" a="1"/>
  <c r="CB112" i="27" s="1"/>
  <c r="CJ112" i="27" a="1"/>
  <c r="CJ112" i="27" s="1"/>
  <c r="CR112" i="27" a="1"/>
  <c r="CR112" i="27" s="1"/>
  <c r="CK112" i="27" a="1"/>
  <c r="CK112" i="27" s="1"/>
  <c r="CD112" i="27" a="1"/>
  <c r="CD112" i="27" s="1"/>
  <c r="CL112" i="27" a="1"/>
  <c r="CL112" i="27" s="1"/>
  <c r="CN117" i="27" a="1"/>
  <c r="CN117" i="27" s="1"/>
  <c r="CF117" i="27" a="1"/>
  <c r="CF117" i="27" s="1"/>
  <c r="CC117" i="27" a="1"/>
  <c r="CC117" i="27" s="1"/>
  <c r="BY117" i="27" a="1"/>
  <c r="BY117" i="27" s="1"/>
  <c r="CE117" i="27" a="1"/>
  <c r="CE117" i="27" s="1"/>
  <c r="CG117" i="27" a="1"/>
  <c r="CG117" i="27" s="1"/>
  <c r="CE111" i="27" a="1"/>
  <c r="CE111" i="27" s="1"/>
  <c r="CM111" i="27" a="1"/>
  <c r="CM111" i="27" s="1"/>
  <c r="CU111" i="27" a="1"/>
  <c r="CU111" i="27" s="1"/>
  <c r="CF111" i="27" a="1"/>
  <c r="CF111" i="27" s="1"/>
  <c r="CN111" i="27" a="1"/>
  <c r="CN111" i="27" s="1"/>
  <c r="CV111" i="27" a="1"/>
  <c r="CV111" i="27" s="1"/>
  <c r="BY111" i="27" a="1"/>
  <c r="BY111" i="27" s="1"/>
  <c r="CG111" i="27" a="1"/>
  <c r="CG111" i="27" s="1"/>
  <c r="CO111" i="27" a="1"/>
  <c r="CO111" i="27" s="1"/>
  <c r="BZ111" i="27" a="1"/>
  <c r="BZ111" i="27" s="1"/>
  <c r="CH111" i="27" a="1"/>
  <c r="CH111" i="27" s="1"/>
  <c r="CP111" i="27" a="1"/>
  <c r="CP111" i="27" s="1"/>
  <c r="CK111" i="27" a="1"/>
  <c r="CK111" i="27" s="1"/>
  <c r="CD111" i="27" a="1"/>
  <c r="CD111" i="27" s="1"/>
  <c r="CA111" i="27" a="1"/>
  <c r="CA111" i="27" s="1"/>
  <c r="CI111" i="27" a="1"/>
  <c r="CI111" i="27" s="1"/>
  <c r="CQ111" i="27" a="1"/>
  <c r="CQ111" i="27" s="1"/>
  <c r="CB111" i="27" a="1"/>
  <c r="CB111" i="27" s="1"/>
  <c r="CJ111" i="27" a="1"/>
  <c r="CJ111" i="27" s="1"/>
  <c r="CR111" i="27" a="1"/>
  <c r="CR111" i="27" s="1"/>
  <c r="CC111" i="27" a="1"/>
  <c r="CC111" i="27" s="1"/>
  <c r="CS111" i="27" a="1"/>
  <c r="CS111" i="27" s="1"/>
  <c r="CT111" i="27" a="1"/>
  <c r="CT111" i="27" s="1"/>
  <c r="CL111" i="27" a="1"/>
  <c r="CL111" i="27" s="1"/>
  <c r="CO90" i="27" a="1"/>
  <c r="CO90" i="27" s="1"/>
  <c r="CN90" i="27" a="1"/>
  <c r="CN90" i="27" s="1"/>
  <c r="CS102" i="27" a="1"/>
  <c r="CS102" i="27" s="1"/>
  <c r="CC102" i="27" a="1"/>
  <c r="CC102" i="27" s="1"/>
  <c r="CK102" i="27" a="1"/>
  <c r="CK102" i="27" s="1"/>
  <c r="CB102" i="27" a="1"/>
  <c r="CB102" i="27" s="1"/>
  <c r="CJ102" i="27" a="1"/>
  <c r="CJ102" i="27" s="1"/>
  <c r="CR102" i="27" a="1"/>
  <c r="CR102" i="27" s="1"/>
  <c r="CA102" i="27" a="1"/>
  <c r="CA102" i="27" s="1"/>
  <c r="BY102" i="27" a="1"/>
  <c r="BY102" i="27" s="1"/>
  <c r="CM102" i="27" a="1"/>
  <c r="CM102" i="27" s="1"/>
  <c r="CD102" i="27" a="1"/>
  <c r="CD102" i="27" s="1"/>
  <c r="CL102" i="27" a="1"/>
  <c r="CL102" i="27" s="1"/>
  <c r="CT102" i="27" a="1"/>
  <c r="CT102" i="27" s="1"/>
  <c r="CE102" i="27" a="1"/>
  <c r="CE102" i="27" s="1"/>
  <c r="CP102" i="27" a="1"/>
  <c r="CP102" i="27" s="1"/>
  <c r="CG102" i="27" a="1"/>
  <c r="CG102" i="27" s="1"/>
  <c r="CU102" i="27" a="1"/>
  <c r="CU102" i="27" s="1"/>
  <c r="CF102" i="27" a="1"/>
  <c r="CF102" i="27" s="1"/>
  <c r="CN102" i="27" a="1"/>
  <c r="CN102" i="27" s="1"/>
  <c r="CV102" i="27" a="1"/>
  <c r="CV102" i="27" s="1"/>
  <c r="CQ102" i="27" a="1"/>
  <c r="CQ102" i="27" s="1"/>
  <c r="CO102" i="27" a="1"/>
  <c r="CO102" i="27" s="1"/>
  <c r="BZ102" i="27" a="1"/>
  <c r="BZ102" i="27" s="1"/>
  <c r="CI102" i="27" a="1"/>
  <c r="CI102" i="27" s="1"/>
  <c r="CH102" i="27" a="1"/>
  <c r="CH102" i="27" s="1"/>
  <c r="BW96" i="27"/>
  <c r="BT96" i="27"/>
  <c r="CN55" i="27" a="1"/>
  <c r="CN55" i="27" s="1"/>
  <c r="BW79" i="27"/>
  <c r="BT79" i="27"/>
  <c r="CO93" i="27" a="1"/>
  <c r="CO93" i="27" s="1"/>
  <c r="BY93" i="27" a="1"/>
  <c r="BY93" i="27" s="1"/>
  <c r="CG93" i="27" a="1"/>
  <c r="CG93" i="27" s="1"/>
  <c r="CF93" i="27" a="1"/>
  <c r="CF93" i="27" s="1"/>
  <c r="CN93" i="27" a="1"/>
  <c r="CN93" i="27" s="1"/>
  <c r="CV93" i="27" a="1"/>
  <c r="CV93" i="27" s="1"/>
  <c r="CC93" i="27" a="1"/>
  <c r="CC93" i="27" s="1"/>
  <c r="CI93" i="27" a="1"/>
  <c r="CI93" i="27" s="1"/>
  <c r="CD93" i="27" a="1"/>
  <c r="CD93" i="27" s="1"/>
  <c r="BZ93" i="27" a="1"/>
  <c r="BZ93" i="27" s="1"/>
  <c r="CH93" i="27" a="1"/>
  <c r="CH93" i="27" s="1"/>
  <c r="CP93" i="27" a="1"/>
  <c r="CP93" i="27" s="1"/>
  <c r="CE93" i="27" a="1"/>
  <c r="CE93" i="27" s="1"/>
  <c r="CK93" i="27" a="1"/>
  <c r="CK93" i="27" s="1"/>
  <c r="CQ93" i="27" a="1"/>
  <c r="CQ93" i="27" s="1"/>
  <c r="CL93" i="27" a="1"/>
  <c r="CL93" i="27" s="1"/>
  <c r="CA93" i="27" a="1"/>
  <c r="CA93" i="27" s="1"/>
  <c r="CB93" i="27" a="1"/>
  <c r="CB93" i="27" s="1"/>
  <c r="CJ93" i="27" a="1"/>
  <c r="CJ93" i="27" s="1"/>
  <c r="CR93" i="27" a="1"/>
  <c r="CR93" i="27" s="1"/>
  <c r="CM93" i="27" a="1"/>
  <c r="CM93" i="27" s="1"/>
  <c r="CS93" i="27" a="1"/>
  <c r="CS93" i="27" s="1"/>
  <c r="CU93" i="27" a="1"/>
  <c r="CU93" i="27" s="1"/>
  <c r="CT93" i="27" a="1"/>
  <c r="CT93" i="27" s="1"/>
  <c r="BW81" i="27"/>
  <c r="BT81" i="27"/>
  <c r="BW77" i="27"/>
  <c r="BT77" i="27"/>
  <c r="BZ64" i="27" a="1"/>
  <c r="BZ64" i="27" s="1"/>
  <c r="CE64" i="27" a="1"/>
  <c r="CE64" i="27" s="1"/>
  <c r="CM64" i="27" a="1"/>
  <c r="CM64" i="27" s="1"/>
  <c r="CU64" i="27" a="1"/>
  <c r="CU64" i="27" s="1"/>
  <c r="BY64" i="27" a="1"/>
  <c r="BY64" i="27" s="1"/>
  <c r="CG64" i="27" a="1"/>
  <c r="CG64" i="27" s="1"/>
  <c r="CO64" i="27" a="1"/>
  <c r="CO64" i="27" s="1"/>
  <c r="CA64" i="27" a="1"/>
  <c r="CA64" i="27" s="1"/>
  <c r="CI64" i="27" a="1"/>
  <c r="CI64" i="27" s="1"/>
  <c r="CQ64" i="27" a="1"/>
  <c r="CQ64" i="27" s="1"/>
  <c r="CS64" i="27" a="1"/>
  <c r="CS64" i="27" s="1"/>
  <c r="CC64" i="27" a="1"/>
  <c r="CC64" i="27" s="1"/>
  <c r="CK64" i="27" a="1"/>
  <c r="CK64" i="27" s="1"/>
  <c r="CT64" i="27" a="1"/>
  <c r="CT64" i="27" s="1"/>
  <c r="CL64" i="27" a="1"/>
  <c r="CL64" i="27" s="1"/>
  <c r="CD64" i="27" a="1"/>
  <c r="CD64" i="27" s="1"/>
  <c r="CN64" i="27" a="1"/>
  <c r="CN64" i="27" s="1"/>
  <c r="CR64" i="27" a="1"/>
  <c r="CR64" i="27" s="1"/>
  <c r="CJ64" i="27" a="1"/>
  <c r="CJ64" i="27" s="1"/>
  <c r="CB64" i="27" a="1"/>
  <c r="CB64" i="27" s="1"/>
  <c r="CV64" i="27" a="1"/>
  <c r="CV64" i="27" s="1"/>
  <c r="CP64" i="27" a="1"/>
  <c r="CP64" i="27" s="1"/>
  <c r="CH64" i="27" a="1"/>
  <c r="CH64" i="27" s="1"/>
  <c r="CF64" i="27" a="1"/>
  <c r="CF64" i="27" s="1"/>
  <c r="BY73" i="27" a="1"/>
  <c r="BY73" i="27" s="1"/>
  <c r="CI73" i="27" a="1"/>
  <c r="CI73" i="27" s="1"/>
  <c r="CA73" i="27" a="1"/>
  <c r="CA73" i="27" s="1"/>
  <c r="CO73" i="27" a="1"/>
  <c r="CO73" i="27" s="1"/>
  <c r="CG73" i="27" a="1"/>
  <c r="CG73" i="27" s="1"/>
  <c r="CQ73" i="27" a="1"/>
  <c r="CQ73" i="27" s="1"/>
  <c r="BZ73" i="27" a="1"/>
  <c r="BZ73" i="27" s="1"/>
  <c r="CH73" i="27" a="1"/>
  <c r="CH73" i="27" s="1"/>
  <c r="CP73" i="27" a="1"/>
  <c r="CP73" i="27" s="1"/>
  <c r="CC73" i="27" a="1"/>
  <c r="CC73" i="27" s="1"/>
  <c r="CU73" i="27" a="1"/>
  <c r="CU73" i="27" s="1"/>
  <c r="CV73" i="27" a="1"/>
  <c r="CV73" i="27" s="1"/>
  <c r="CB73" i="27" a="1"/>
  <c r="CB73" i="27" s="1"/>
  <c r="CJ73" i="27" a="1"/>
  <c r="CJ73" i="27" s="1"/>
  <c r="CR73" i="27" a="1"/>
  <c r="CR73" i="27" s="1"/>
  <c r="CM73" i="27" a="1"/>
  <c r="CM73" i="27" s="1"/>
  <c r="CF73" i="27" a="1"/>
  <c r="CF73" i="27" s="1"/>
  <c r="CK73" i="27" a="1"/>
  <c r="CK73" i="27" s="1"/>
  <c r="CD73" i="27" a="1"/>
  <c r="CD73" i="27" s="1"/>
  <c r="CL73" i="27" a="1"/>
  <c r="CL73" i="27" s="1"/>
  <c r="CT73" i="27" a="1"/>
  <c r="CT73" i="27" s="1"/>
  <c r="CS73" i="27" a="1"/>
  <c r="CS73" i="27" s="1"/>
  <c r="CE73" i="27" a="1"/>
  <c r="CE73" i="27" s="1"/>
  <c r="CN73" i="27" a="1"/>
  <c r="CN73" i="27" s="1"/>
  <c r="BW45" i="27"/>
  <c r="BT45" i="27"/>
  <c r="CF72" i="27" a="1"/>
  <c r="CF72" i="27" s="1"/>
  <c r="BY41" i="27" a="1"/>
  <c r="BY41" i="27" s="1"/>
  <c r="CF41" i="27" a="1"/>
  <c r="CF41" i="27" s="1"/>
  <c r="CN41" i="27" a="1"/>
  <c r="CN41" i="27" s="1"/>
  <c r="CV41" i="27" a="1"/>
  <c r="CV41" i="27" s="1"/>
  <c r="CG41" i="27" a="1"/>
  <c r="CG41" i="27" s="1"/>
  <c r="CO41" i="27" a="1"/>
  <c r="CO41" i="27" s="1"/>
  <c r="CA41" i="27" a="1"/>
  <c r="CA41" i="27" s="1"/>
  <c r="CH41" i="27" a="1"/>
  <c r="CH41" i="27" s="1"/>
  <c r="CP41" i="27" a="1"/>
  <c r="CP41" i="27" s="1"/>
  <c r="CB41" i="27" a="1"/>
  <c r="CB41" i="27" s="1"/>
  <c r="CI41" i="27" a="1"/>
  <c r="CI41" i="27" s="1"/>
  <c r="CQ41" i="27" a="1"/>
  <c r="CQ41" i="27" s="1"/>
  <c r="CC41" i="27" a="1"/>
  <c r="CC41" i="27" s="1"/>
  <c r="CJ41" i="27" a="1"/>
  <c r="CJ41" i="27" s="1"/>
  <c r="CR41" i="27" a="1"/>
  <c r="CR41" i="27" s="1"/>
  <c r="BZ41" i="27" a="1"/>
  <c r="BZ41" i="27" s="1"/>
  <c r="CK41" i="27" a="1"/>
  <c r="CK41" i="27" s="1"/>
  <c r="CS41" i="27" a="1"/>
  <c r="CS41" i="27" s="1"/>
  <c r="CD41" i="27" a="1"/>
  <c r="CD41" i="27" s="1"/>
  <c r="CM41" i="27" a="1"/>
  <c r="CM41" i="27" s="1"/>
  <c r="CL41" i="27" a="1"/>
  <c r="CL41" i="27" s="1"/>
  <c r="CU41" i="27" a="1"/>
  <c r="CU41" i="27" s="1"/>
  <c r="CT41" i="27" a="1"/>
  <c r="CT41" i="27" s="1"/>
  <c r="CE41" i="27" a="1"/>
  <c r="CE41" i="27" s="1"/>
  <c r="CR46" i="27" a="1"/>
  <c r="CR46" i="27" s="1"/>
  <c r="CP46" i="27" a="1"/>
  <c r="CP46" i="27" s="1"/>
  <c r="CQ46" i="27" a="1"/>
  <c r="CQ46" i="27" s="1"/>
  <c r="CU46" i="27" a="1"/>
  <c r="CU46" i="27" s="1"/>
  <c r="BY46" i="27" a="1"/>
  <c r="BY46" i="27" s="1"/>
  <c r="CA46" i="27" a="1"/>
  <c r="CA46" i="27" s="1"/>
  <c r="CQ42" i="27" a="1"/>
  <c r="CQ42" i="27" s="1"/>
  <c r="CD42" i="27" a="1"/>
  <c r="CD42" i="27" s="1"/>
  <c r="BY48" i="27" a="1"/>
  <c r="BY48" i="27" s="1"/>
  <c r="CI48" i="27" a="1"/>
  <c r="CI48" i="27" s="1"/>
  <c r="CQ48" i="27" a="1"/>
  <c r="CQ48" i="27" s="1"/>
  <c r="CA48" i="27" a="1"/>
  <c r="CA48" i="27" s="1"/>
  <c r="CG48" i="27" a="1"/>
  <c r="CG48" i="27" s="1"/>
  <c r="CD48" i="27" a="1"/>
  <c r="CD48" i="27" s="1"/>
  <c r="CL48" i="27" a="1"/>
  <c r="CL48" i="27" s="1"/>
  <c r="CT48" i="27" a="1"/>
  <c r="CT48" i="27" s="1"/>
  <c r="CS48" i="27" a="1"/>
  <c r="CS48" i="27" s="1"/>
  <c r="CU48" i="27" a="1"/>
  <c r="CU48" i="27" s="1"/>
  <c r="CF48" i="27" a="1"/>
  <c r="CF48" i="27" s="1"/>
  <c r="CN48" i="27" a="1"/>
  <c r="CN48" i="27" s="1"/>
  <c r="CV48" i="27" a="1"/>
  <c r="CV48" i="27" s="1"/>
  <c r="CK48" i="27" a="1"/>
  <c r="CK48" i="27" s="1"/>
  <c r="CM48" i="27" a="1"/>
  <c r="CM48" i="27" s="1"/>
  <c r="BZ48" i="27" a="1"/>
  <c r="BZ48" i="27" s="1"/>
  <c r="CH48" i="27" a="1"/>
  <c r="CH48" i="27" s="1"/>
  <c r="CP48" i="27" a="1"/>
  <c r="CP48" i="27" s="1"/>
  <c r="CC48" i="27" a="1"/>
  <c r="CC48" i="27" s="1"/>
  <c r="CE48" i="27" a="1"/>
  <c r="CE48" i="27" s="1"/>
  <c r="CO48" i="27" a="1"/>
  <c r="CO48" i="27" s="1"/>
  <c r="CB48" i="27" a="1"/>
  <c r="CB48" i="27" s="1"/>
  <c r="CJ48" i="27" a="1"/>
  <c r="CJ48" i="27" s="1"/>
  <c r="CR48" i="27" a="1"/>
  <c r="CR48" i="27" s="1"/>
  <c r="CT39" i="27" a="1"/>
  <c r="CT39" i="27" s="1"/>
  <c r="CL39" i="27" a="1"/>
  <c r="CL39" i="27" s="1"/>
  <c r="CD39" i="27" a="1"/>
  <c r="CD39" i="27" s="1"/>
  <c r="BY39" i="27" a="1"/>
  <c r="BY39" i="27" s="1"/>
  <c r="CG39" i="27" a="1"/>
  <c r="CG39" i="27" s="1"/>
  <c r="CO39" i="27" a="1"/>
  <c r="CO39" i="27" s="1"/>
  <c r="CN39" i="27" a="1"/>
  <c r="CN39" i="27" s="1"/>
  <c r="CP39" i="27" a="1"/>
  <c r="CP39" i="27" s="1"/>
  <c r="CR39" i="27" a="1"/>
  <c r="CR39" i="27" s="1"/>
  <c r="CA39" i="27" a="1"/>
  <c r="CA39" i="27" s="1"/>
  <c r="CI39" i="27" a="1"/>
  <c r="CI39" i="27" s="1"/>
  <c r="CQ39" i="27" a="1"/>
  <c r="CQ39" i="27" s="1"/>
  <c r="CF39" i="27" a="1"/>
  <c r="CF39" i="27" s="1"/>
  <c r="CH39" i="27" a="1"/>
  <c r="CH39" i="27" s="1"/>
  <c r="CJ39" i="27" a="1"/>
  <c r="CJ39" i="27" s="1"/>
  <c r="CC39" i="27" a="1"/>
  <c r="CC39" i="27" s="1"/>
  <c r="CK39" i="27" a="1"/>
  <c r="CK39" i="27" s="1"/>
  <c r="CS39" i="27" a="1"/>
  <c r="CS39" i="27" s="1"/>
  <c r="BZ39" i="27" a="1"/>
  <c r="BZ39" i="27" s="1"/>
  <c r="CB39" i="27" a="1"/>
  <c r="CB39" i="27" s="1"/>
  <c r="CE39" i="27" a="1"/>
  <c r="CE39" i="27" s="1"/>
  <c r="CM39" i="27" a="1"/>
  <c r="CM39" i="27" s="1"/>
  <c r="CU39" i="27" a="1"/>
  <c r="CU39" i="27" s="1"/>
  <c r="CV39" i="27" a="1"/>
  <c r="CV39" i="27" s="1"/>
  <c r="CF30" i="27" a="1"/>
  <c r="CF30" i="27" s="1"/>
  <c r="CN30" i="27" a="1"/>
  <c r="CN30" i="27" s="1"/>
  <c r="CV30" i="27" a="1"/>
  <c r="CV30" i="27" s="1"/>
  <c r="CE30" i="27" a="1"/>
  <c r="CE30" i="27" s="1"/>
  <c r="CM30" i="27" a="1"/>
  <c r="CM30" i="27" s="1"/>
  <c r="CU30" i="27" a="1"/>
  <c r="CU30" i="27" s="1"/>
  <c r="BZ30" i="27" a="1"/>
  <c r="BZ30" i="27" s="1"/>
  <c r="CH30" i="27" a="1"/>
  <c r="CH30" i="27" s="1"/>
  <c r="CP30" i="27" a="1"/>
  <c r="CP30" i="27" s="1"/>
  <c r="BY30" i="27" a="1"/>
  <c r="BY30" i="27" s="1"/>
  <c r="CG30" i="27" a="1"/>
  <c r="CG30" i="27" s="1"/>
  <c r="CO30" i="27" a="1"/>
  <c r="CO30" i="27" s="1"/>
  <c r="CB30" i="27" a="1"/>
  <c r="CB30" i="27" s="1"/>
  <c r="CJ30" i="27" a="1"/>
  <c r="CJ30" i="27" s="1"/>
  <c r="CR30" i="27" a="1"/>
  <c r="CR30" i="27" s="1"/>
  <c r="CA30" i="27" a="1"/>
  <c r="CA30" i="27" s="1"/>
  <c r="CI30" i="27" a="1"/>
  <c r="CI30" i="27" s="1"/>
  <c r="CQ30" i="27" a="1"/>
  <c r="CQ30" i="27" s="1"/>
  <c r="CL30" i="27" a="1"/>
  <c r="CL30" i="27" s="1"/>
  <c r="CS30" i="27" a="1"/>
  <c r="CS30" i="27" s="1"/>
  <c r="CD30" i="27" a="1"/>
  <c r="CD30" i="27" s="1"/>
  <c r="CT30" i="27" a="1"/>
  <c r="CT30" i="27" s="1"/>
  <c r="CK30" i="27" a="1"/>
  <c r="CK30" i="27" s="1"/>
  <c r="CC30" i="27" a="1"/>
  <c r="CC30" i="27" s="1"/>
  <c r="BZ26" i="27" a="1"/>
  <c r="BZ26" i="27" s="1"/>
  <c r="CH26" i="27" a="1"/>
  <c r="CH26" i="27" s="1"/>
  <c r="CP26" i="27" a="1"/>
  <c r="CP26" i="27" s="1"/>
  <c r="BY26" i="27" a="1"/>
  <c r="BY26" i="27" s="1"/>
  <c r="CG26" i="27" a="1"/>
  <c r="CG26" i="27" s="1"/>
  <c r="CO26" i="27" a="1"/>
  <c r="CO26" i="27" s="1"/>
  <c r="CB26" i="27" a="1"/>
  <c r="CB26" i="27" s="1"/>
  <c r="CJ26" i="27" a="1"/>
  <c r="CJ26" i="27" s="1"/>
  <c r="CR26" i="27" a="1"/>
  <c r="CR26" i="27" s="1"/>
  <c r="CA26" i="27" a="1"/>
  <c r="CA26" i="27" s="1"/>
  <c r="CI26" i="27" a="1"/>
  <c r="CI26" i="27" s="1"/>
  <c r="CQ26" i="27" a="1"/>
  <c r="CQ26" i="27" s="1"/>
  <c r="CD26" i="27" a="1"/>
  <c r="CD26" i="27" s="1"/>
  <c r="CL26" i="27" a="1"/>
  <c r="CL26" i="27" s="1"/>
  <c r="CT26" i="27" a="1"/>
  <c r="CT26" i="27" s="1"/>
  <c r="CC26" i="27" a="1"/>
  <c r="CC26" i="27" s="1"/>
  <c r="CK26" i="27" a="1"/>
  <c r="CK26" i="27" s="1"/>
  <c r="CS26" i="27" a="1"/>
  <c r="CS26" i="27" s="1"/>
  <c r="CF26" i="27" a="1"/>
  <c r="CF26" i="27" s="1"/>
  <c r="CN26" i="27" a="1"/>
  <c r="CN26" i="27" s="1"/>
  <c r="CV26" i="27" a="1"/>
  <c r="CV26" i="27" s="1"/>
  <c r="CE26" i="27" a="1"/>
  <c r="CE26" i="27" s="1"/>
  <c r="CM26" i="27" a="1"/>
  <c r="CM26" i="27" s="1"/>
  <c r="CU26" i="27" a="1"/>
  <c r="CU26" i="27" s="1"/>
  <c r="BY19" i="27" a="1"/>
  <c r="BY19" i="27" s="1"/>
  <c r="CP19" i="27" a="1"/>
  <c r="CP19" i="27" s="1"/>
  <c r="CH19" i="27" a="1"/>
  <c r="CH19" i="27" s="1"/>
  <c r="BZ19" i="27" a="1"/>
  <c r="BZ19" i="27" s="1"/>
  <c r="CU19" i="27" a="1"/>
  <c r="CU19" i="27" s="1"/>
  <c r="CM19" i="27" a="1"/>
  <c r="CM19" i="27" s="1"/>
  <c r="CE19" i="27" a="1"/>
  <c r="CE19" i="27" s="1"/>
  <c r="CV19" i="27" a="1"/>
  <c r="CV19" i="27" s="1"/>
  <c r="CN19" i="27" a="1"/>
  <c r="CN19" i="27" s="1"/>
  <c r="CF19" i="27" a="1"/>
  <c r="CF19" i="27" s="1"/>
  <c r="CS19" i="27" a="1"/>
  <c r="CS19" i="27" s="1"/>
  <c r="CK19" i="27" a="1"/>
  <c r="CK19" i="27" s="1"/>
  <c r="CC19" i="27" a="1"/>
  <c r="CC19" i="27" s="1"/>
  <c r="CI19" i="27" a="1"/>
  <c r="CI19" i="27" s="1"/>
  <c r="CA19" i="27" a="1"/>
  <c r="CA19" i="27" s="1"/>
  <c r="CT19" i="27" a="1"/>
  <c r="CT19" i="27" s="1"/>
  <c r="CL19" i="27" a="1"/>
  <c r="CL19" i="27" s="1"/>
  <c r="CD19" i="27" a="1"/>
  <c r="CD19" i="27" s="1"/>
  <c r="CQ19" i="27" a="1"/>
  <c r="CQ19" i="27" s="1"/>
  <c r="CG19" i="27" a="1"/>
  <c r="CG19" i="27" s="1"/>
  <c r="CR19" i="27" a="1"/>
  <c r="CR19" i="27" s="1"/>
  <c r="CO19" i="27" a="1"/>
  <c r="CO19" i="27" s="1"/>
  <c r="CJ19" i="27" a="1"/>
  <c r="CJ19" i="27" s="1"/>
  <c r="CB19" i="27" a="1"/>
  <c r="CB19" i="27" s="1"/>
  <c r="BW12" i="27"/>
  <c r="BT12" i="27"/>
  <c r="CA14" i="27" a="1"/>
  <c r="CA14" i="27" s="1"/>
  <c r="CB14" i="27" a="1"/>
  <c r="CB14" i="27" s="1"/>
  <c r="CJ8" i="27" a="1"/>
  <c r="CJ8" i="27" s="1"/>
  <c r="CC8" i="27" a="1"/>
  <c r="CC8" i="27" s="1"/>
  <c r="BZ8" i="27" a="1"/>
  <c r="BZ8" i="27" s="1"/>
  <c r="AX21" i="27"/>
  <c r="BB21" i="27"/>
  <c r="BF21" i="27"/>
  <c r="AY21" i="27"/>
  <c r="BC21" i="27"/>
  <c r="BG21" i="27"/>
  <c r="BA21" i="27"/>
  <c r="AV21" i="27"/>
  <c r="BD21" i="27"/>
  <c r="BE21" i="27"/>
  <c r="AZ21" i="27"/>
  <c r="BA101" i="27"/>
  <c r="BE101" i="27"/>
  <c r="AX101" i="27"/>
  <c r="BB101" i="27"/>
  <c r="BF101" i="27"/>
  <c r="AY101" i="27"/>
  <c r="BC101" i="27"/>
  <c r="BG101" i="27"/>
  <c r="AZ101" i="27"/>
  <c r="BD101" i="27"/>
  <c r="AV101" i="27"/>
  <c r="AV15" i="27"/>
  <c r="AZ15" i="27"/>
  <c r="BD15" i="27"/>
  <c r="BA15" i="27"/>
  <c r="BE15" i="27"/>
  <c r="BB15" i="27"/>
  <c r="BC15" i="27"/>
  <c r="AX15" i="27"/>
  <c r="BF15" i="27"/>
  <c r="AY15" i="27"/>
  <c r="BG15" i="27"/>
  <c r="AV51" i="27"/>
  <c r="AZ51" i="27"/>
  <c r="BD51" i="27"/>
  <c r="BA51" i="27"/>
  <c r="BE51" i="27"/>
  <c r="AX51" i="27"/>
  <c r="BB51" i="27"/>
  <c r="BF51" i="27"/>
  <c r="AY51" i="27"/>
  <c r="BC51" i="27"/>
  <c r="BG51" i="27"/>
  <c r="AX22" i="27"/>
  <c r="BB22" i="27"/>
  <c r="BF22" i="27"/>
  <c r="AY22" i="27"/>
  <c r="BC22" i="27"/>
  <c r="BG22" i="27"/>
  <c r="AV22" i="27"/>
  <c r="BD22" i="27"/>
  <c r="BE22" i="27"/>
  <c r="AZ22" i="27"/>
  <c r="BA22" i="27"/>
  <c r="AY86" i="27"/>
  <c r="BC86" i="27"/>
  <c r="BG86" i="27"/>
  <c r="AV86" i="27"/>
  <c r="AZ86" i="27"/>
  <c r="BD86" i="27"/>
  <c r="BA86" i="27"/>
  <c r="BE86" i="27"/>
  <c r="BB86" i="27"/>
  <c r="BF86" i="27"/>
  <c r="AX86" i="27"/>
  <c r="BA55" i="27"/>
  <c r="BE55" i="27"/>
  <c r="AX55" i="27"/>
  <c r="BB55" i="27"/>
  <c r="BF55" i="27"/>
  <c r="BC55" i="27"/>
  <c r="AV55" i="27"/>
  <c r="BD55" i="27"/>
  <c r="AY55" i="27"/>
  <c r="BG55" i="27"/>
  <c r="AZ55" i="27"/>
  <c r="AV48" i="27"/>
  <c r="AZ48" i="27"/>
  <c r="BD48" i="27"/>
  <c r="BA48" i="27"/>
  <c r="BE48" i="27"/>
  <c r="AX48" i="27"/>
  <c r="BB48" i="27"/>
  <c r="BF48" i="27"/>
  <c r="AY48" i="27"/>
  <c r="BC48" i="27"/>
  <c r="BG48" i="27"/>
  <c r="G15" i="27"/>
  <c r="D77" i="12"/>
  <c r="J79" i="27"/>
  <c r="G79" i="27"/>
  <c r="AV92" i="27"/>
  <c r="AZ92" i="27"/>
  <c r="BD92" i="27"/>
  <c r="BA92" i="27"/>
  <c r="BE92" i="27"/>
  <c r="AX92" i="27"/>
  <c r="BB92" i="27"/>
  <c r="BF92" i="27"/>
  <c r="AY92" i="27"/>
  <c r="BC92" i="27"/>
  <c r="BG92" i="27"/>
  <c r="R58" i="27" a="1"/>
  <c r="R58" i="27" s="1"/>
  <c r="AD58" i="27" a="1"/>
  <c r="AD58" i="27" s="1"/>
  <c r="AA58" i="27" a="1"/>
  <c r="AA58" i="27" s="1"/>
  <c r="S58" i="27" a="1"/>
  <c r="S58" i="27" s="1"/>
  <c r="L58" i="27" a="1"/>
  <c r="L58" i="27" s="1"/>
  <c r="Q58" i="27" a="1"/>
  <c r="Q58" i="27" s="1"/>
  <c r="P24" i="27" a="1"/>
  <c r="P24" i="27" s="1"/>
  <c r="S24" i="27" a="1"/>
  <c r="S24" i="27" s="1"/>
  <c r="X24" i="27" a="1"/>
  <c r="X24" i="27" s="1"/>
  <c r="AA24" i="27" a="1"/>
  <c r="AA24" i="27" s="1"/>
  <c r="AD24" i="27" a="1"/>
  <c r="AD24" i="27" s="1"/>
  <c r="AH24" i="27" a="1"/>
  <c r="AH24" i="27" s="1"/>
  <c r="N24" i="27" a="1"/>
  <c r="N24" i="27" s="1"/>
  <c r="Q24" i="27" a="1"/>
  <c r="Q24" i="27" s="1"/>
  <c r="V24" i="27" a="1"/>
  <c r="V24" i="27" s="1"/>
  <c r="Y24" i="27" a="1"/>
  <c r="Y24" i="27" s="1"/>
  <c r="AE24" i="27" a="1"/>
  <c r="AE24" i="27" s="1"/>
  <c r="AI24" i="27" a="1"/>
  <c r="AI24" i="27" s="1"/>
  <c r="L24" i="27" a="1"/>
  <c r="L24" i="27" s="1"/>
  <c r="W24" i="27" a="1"/>
  <c r="W24" i="27" s="1"/>
  <c r="AB24" i="27" a="1"/>
  <c r="AB24" i="27" s="1"/>
  <c r="M24" i="27" a="1"/>
  <c r="M24" i="27" s="1"/>
  <c r="R24" i="27" a="1"/>
  <c r="R24" i="27" s="1"/>
  <c r="AC24" i="27" a="1"/>
  <c r="AC24" i="27" s="1"/>
  <c r="O24" i="27" a="1"/>
  <c r="O24" i="27" s="1"/>
  <c r="T24" i="27" a="1"/>
  <c r="T24" i="27" s="1"/>
  <c r="AF24" i="27" a="1"/>
  <c r="AF24" i="27" s="1"/>
  <c r="Z24" i="27" a="1"/>
  <c r="Z24" i="27" s="1"/>
  <c r="AG24" i="27" a="1"/>
  <c r="AG24" i="27" s="1"/>
  <c r="U24" i="27" a="1"/>
  <c r="U24" i="27" s="1"/>
  <c r="AV56" i="27"/>
  <c r="AZ56" i="27"/>
  <c r="BD56" i="27"/>
  <c r="BA56" i="27"/>
  <c r="BE56" i="27"/>
  <c r="BB56" i="27"/>
  <c r="BC56" i="27"/>
  <c r="AX56" i="27"/>
  <c r="BF56" i="27"/>
  <c r="BG56" i="27"/>
  <c r="AY56" i="27"/>
  <c r="G133" i="27"/>
  <c r="AV36" i="27"/>
  <c r="AZ36" i="27"/>
  <c r="BD36" i="27"/>
  <c r="AX36" i="27"/>
  <c r="BC36" i="27"/>
  <c r="AY36" i="27"/>
  <c r="BE36" i="27"/>
  <c r="BA36" i="27"/>
  <c r="BF36" i="27"/>
  <c r="BB36" i="27"/>
  <c r="BG36" i="27"/>
  <c r="CZ9" i="27" a="1"/>
  <c r="CZ9" i="27" s="1"/>
  <c r="CZ7" i="27" a="1"/>
  <c r="CZ7" i="27" s="1"/>
  <c r="CZ8" i="27" a="1"/>
  <c r="CZ8" i="27" s="1"/>
  <c r="CZ11" i="27" a="1"/>
  <c r="CZ11" i="27" s="1"/>
  <c r="CZ10" i="27" a="1"/>
  <c r="CZ10" i="27" s="1"/>
  <c r="CZ14" i="27" a="1"/>
  <c r="CZ14" i="27" s="1"/>
  <c r="CZ15" i="27" a="1"/>
  <c r="CZ15" i="27" s="1"/>
  <c r="CZ16" i="27" a="1"/>
  <c r="CZ16" i="27" s="1"/>
  <c r="CZ18" i="27" a="1"/>
  <c r="CZ18" i="27" s="1"/>
  <c r="CZ12" i="27" a="1"/>
  <c r="CZ12" i="27" s="1"/>
  <c r="CZ17" i="27" a="1"/>
  <c r="CZ17" i="27" s="1"/>
  <c r="CZ13" i="27" a="1"/>
  <c r="CZ13" i="27" s="1"/>
  <c r="CZ19" i="27" a="1"/>
  <c r="CZ19" i="27" s="1"/>
  <c r="CZ20" i="27" a="1"/>
  <c r="CZ20" i="27" s="1"/>
  <c r="CZ22" i="27" a="1"/>
  <c r="CZ22" i="27" s="1"/>
  <c r="CZ27" i="27" a="1"/>
  <c r="CZ27" i="27" s="1"/>
  <c r="CZ23" i="27" a="1"/>
  <c r="CZ23" i="27" s="1"/>
  <c r="CZ25" i="27" a="1"/>
  <c r="CZ25" i="27" s="1"/>
  <c r="CZ21" i="27" a="1"/>
  <c r="CZ21" i="27" s="1"/>
  <c r="CZ24" i="27" a="1"/>
  <c r="CZ24" i="27" s="1"/>
  <c r="CZ26" i="27" a="1"/>
  <c r="CZ26" i="27" s="1"/>
  <c r="CZ30" i="27" a="1"/>
  <c r="CZ30" i="27" s="1"/>
  <c r="CZ34" i="27" a="1"/>
  <c r="CZ34" i="27" s="1"/>
  <c r="CZ38" i="27" a="1"/>
  <c r="CZ38" i="27" s="1"/>
  <c r="CZ32" i="27" a="1"/>
  <c r="CZ32" i="27" s="1"/>
  <c r="CZ28" i="27" a="1"/>
  <c r="CZ28" i="27" s="1"/>
  <c r="CZ43" i="27" a="1"/>
  <c r="CZ43" i="27" s="1"/>
  <c r="CZ35" i="27" a="1"/>
  <c r="CZ35" i="27" s="1"/>
  <c r="CZ40" i="27" a="1"/>
  <c r="CZ40" i="27" s="1"/>
  <c r="CZ41" i="27" a="1"/>
  <c r="CZ41" i="27" s="1"/>
  <c r="CZ31" i="27" a="1"/>
  <c r="CZ31" i="27" s="1"/>
  <c r="CZ36" i="27" a="1"/>
  <c r="CZ36" i="27" s="1"/>
  <c r="CZ37" i="27" a="1"/>
  <c r="CZ37" i="27" s="1"/>
  <c r="CZ39" i="27" a="1"/>
  <c r="CZ39" i="27" s="1"/>
  <c r="CZ42" i="27" a="1"/>
  <c r="CZ42" i="27" s="1"/>
  <c r="CZ29" i="27" a="1"/>
  <c r="CZ29" i="27" s="1"/>
  <c r="CZ45" i="27" a="1"/>
  <c r="CZ45" i="27" s="1"/>
  <c r="CZ47" i="27" a="1"/>
  <c r="CZ47" i="27" s="1"/>
  <c r="CZ51" i="27" a="1"/>
  <c r="CZ51" i="27" s="1"/>
  <c r="CZ33" i="27" a="1"/>
  <c r="CZ33" i="27" s="1"/>
  <c r="CZ46" i="27" a="1"/>
  <c r="CZ46" i="27" s="1"/>
  <c r="CZ54" i="27" a="1"/>
  <c r="CZ54" i="27" s="1"/>
  <c r="CZ44" i="27" a="1"/>
  <c r="CZ44" i="27" s="1"/>
  <c r="CZ48" i="27" a="1"/>
  <c r="CZ48" i="27" s="1"/>
  <c r="CZ49" i="27" a="1"/>
  <c r="CZ49" i="27" s="1"/>
  <c r="CZ50" i="27" a="1"/>
  <c r="CZ50" i="27" s="1"/>
  <c r="CZ52" i="27" a="1"/>
  <c r="CZ52" i="27" s="1"/>
  <c r="CZ53" i="27" a="1"/>
  <c r="CZ53" i="27" s="1"/>
  <c r="CZ57" i="27" a="1"/>
  <c r="CZ57" i="27" s="1"/>
  <c r="CZ65" i="27" a="1"/>
  <c r="CZ65" i="27" s="1"/>
  <c r="CZ70" i="27" a="1"/>
  <c r="CZ70" i="27" s="1"/>
  <c r="CZ56" i="27" a="1"/>
  <c r="CZ56" i="27" s="1"/>
  <c r="CZ58" i="27" a="1"/>
  <c r="CZ58" i="27" s="1"/>
  <c r="CZ60" i="27" a="1"/>
  <c r="CZ60" i="27" s="1"/>
  <c r="CZ63" i="27" a="1"/>
  <c r="CZ63" i="27" s="1"/>
  <c r="CZ64" i="27" a="1"/>
  <c r="CZ64" i="27" s="1"/>
  <c r="CZ67" i="27" a="1"/>
  <c r="CZ67" i="27" s="1"/>
  <c r="CZ68" i="27" a="1"/>
  <c r="CZ68" i="27" s="1"/>
  <c r="CZ73" i="27" a="1"/>
  <c r="CZ73" i="27" s="1"/>
  <c r="CZ55" i="27" a="1"/>
  <c r="CZ55" i="27" s="1"/>
  <c r="CZ59" i="27" a="1"/>
  <c r="CZ59" i="27" s="1"/>
  <c r="CZ69" i="27" a="1"/>
  <c r="CZ69" i="27" s="1"/>
  <c r="CZ74" i="27" a="1"/>
  <c r="CZ74" i="27" s="1"/>
  <c r="CZ75" i="27" a="1"/>
  <c r="CZ75" i="27" s="1"/>
  <c r="CZ76" i="27" a="1"/>
  <c r="CZ76" i="27" s="1"/>
  <c r="CZ72" i="27" a="1"/>
  <c r="CZ72" i="27" s="1"/>
  <c r="CZ77" i="27" a="1"/>
  <c r="CZ77" i="27" s="1"/>
  <c r="CZ78" i="27" a="1"/>
  <c r="CZ78" i="27" s="1"/>
  <c r="CZ80" i="27" a="1"/>
  <c r="CZ80" i="27" s="1"/>
  <c r="CZ85" i="27" a="1"/>
  <c r="CZ85" i="27" s="1"/>
  <c r="CZ92" i="27" a="1"/>
  <c r="CZ92" i="27" s="1"/>
  <c r="CZ95" i="27" a="1"/>
  <c r="CZ95" i="27" s="1"/>
  <c r="CZ61" i="27" a="1"/>
  <c r="CZ61" i="27" s="1"/>
  <c r="CZ62" i="27" a="1"/>
  <c r="CZ62" i="27" s="1"/>
  <c r="CZ79" i="27" a="1"/>
  <c r="CZ79" i="27" s="1"/>
  <c r="CZ82" i="27" a="1"/>
  <c r="CZ82" i="27" s="1"/>
  <c r="CZ86" i="27" a="1"/>
  <c r="CZ86" i="27" s="1"/>
  <c r="CZ66" i="27" a="1"/>
  <c r="CZ66" i="27" s="1"/>
  <c r="CZ83" i="27" a="1"/>
  <c r="CZ83" i="27" s="1"/>
  <c r="CZ90" i="27" a="1"/>
  <c r="CZ90" i="27" s="1"/>
  <c r="CZ94" i="27" a="1"/>
  <c r="CZ94" i="27" s="1"/>
  <c r="CZ97" i="27" a="1"/>
  <c r="CZ97" i="27" s="1"/>
  <c r="CZ98" i="27" a="1"/>
  <c r="CZ98" i="27" s="1"/>
  <c r="CZ99" i="27" a="1"/>
  <c r="CZ99" i="27" s="1"/>
  <c r="CZ103" i="27" a="1"/>
  <c r="CZ103" i="27" s="1"/>
  <c r="CZ104" i="27" a="1"/>
  <c r="CZ104" i="27" s="1"/>
  <c r="CZ105" i="27" a="1"/>
  <c r="CZ105" i="27" s="1"/>
  <c r="CZ106" i="27" a="1"/>
  <c r="CZ106" i="27" s="1"/>
  <c r="CZ109" i="27" a="1"/>
  <c r="CZ109" i="27" s="1"/>
  <c r="CZ111" i="27" a="1"/>
  <c r="CZ111" i="27" s="1"/>
  <c r="CZ113" i="27" a="1"/>
  <c r="CZ113" i="27" s="1"/>
  <c r="CZ114" i="27" a="1"/>
  <c r="CZ114" i="27" s="1"/>
  <c r="CZ115" i="27" a="1"/>
  <c r="CZ115" i="27" s="1"/>
  <c r="CZ117" i="27" a="1"/>
  <c r="CZ117" i="27" s="1"/>
  <c r="CZ119" i="27" a="1"/>
  <c r="CZ119" i="27" s="1"/>
  <c r="CZ121" i="27" a="1"/>
  <c r="CZ121" i="27" s="1"/>
  <c r="CZ123" i="27" a="1"/>
  <c r="CZ123" i="27" s="1"/>
  <c r="CZ87" i="27" a="1"/>
  <c r="CZ87" i="27" s="1"/>
  <c r="CZ93" i="27" a="1"/>
  <c r="CZ93" i="27" s="1"/>
  <c r="CZ100" i="27" a="1"/>
  <c r="CZ100" i="27" s="1"/>
  <c r="CZ102" i="27" a="1"/>
  <c r="CZ102" i="27" s="1"/>
  <c r="CZ108" i="27" a="1"/>
  <c r="CZ108" i="27" s="1"/>
  <c r="CZ84" i="27" a="1"/>
  <c r="CZ84" i="27" s="1"/>
  <c r="CZ88" i="27" a="1"/>
  <c r="CZ88" i="27" s="1"/>
  <c r="CZ89" i="27" a="1"/>
  <c r="CZ89" i="27" s="1"/>
  <c r="CZ96" i="27" a="1"/>
  <c r="CZ96" i="27" s="1"/>
  <c r="CZ110" i="27" a="1"/>
  <c r="CZ110" i="27" s="1"/>
  <c r="CZ112" i="27" a="1"/>
  <c r="CZ112" i="27" s="1"/>
  <c r="CZ116" i="27" a="1"/>
  <c r="CZ116" i="27" s="1"/>
  <c r="CZ118" i="27" a="1"/>
  <c r="CZ118" i="27" s="1"/>
  <c r="CZ120" i="27" a="1"/>
  <c r="CZ120" i="27" s="1"/>
  <c r="CZ122" i="27" a="1"/>
  <c r="CZ122" i="27" s="1"/>
  <c r="CZ101" i="27" a="1"/>
  <c r="CZ101" i="27" s="1"/>
  <c r="CZ125" i="27" a="1"/>
  <c r="CZ125" i="27" s="1"/>
  <c r="CZ128" i="27" a="1"/>
  <c r="CZ128" i="27" s="1"/>
  <c r="CZ129" i="27" a="1"/>
  <c r="CZ129" i="27" s="1"/>
  <c r="CZ133" i="27" a="1"/>
  <c r="CZ133" i="27" s="1"/>
  <c r="CZ134" i="27" a="1"/>
  <c r="CZ134" i="27" s="1"/>
  <c r="CZ71" i="27" a="1"/>
  <c r="CZ71" i="27" s="1"/>
  <c r="CZ107" i="27" a="1"/>
  <c r="CZ107" i="27" s="1"/>
  <c r="CZ131" i="27" a="1"/>
  <c r="CZ131" i="27" s="1"/>
  <c r="CZ135" i="27" a="1"/>
  <c r="CZ135" i="27" s="1"/>
  <c r="CZ136" i="27" a="1"/>
  <c r="CZ136" i="27" s="1"/>
  <c r="CZ91" i="27" a="1"/>
  <c r="CZ91" i="27" s="1"/>
  <c r="CZ81" i="27" a="1"/>
  <c r="CZ81" i="27" s="1"/>
  <c r="CZ124" i="27" a="1"/>
  <c r="CZ124" i="27" s="1"/>
  <c r="CZ126" i="27" a="1"/>
  <c r="CZ126" i="27" s="1"/>
  <c r="CZ127" i="27" a="1"/>
  <c r="CZ127" i="27" s="1"/>
  <c r="CZ130" i="27" a="1"/>
  <c r="CZ130" i="27" s="1"/>
  <c r="CZ132" i="27" a="1"/>
  <c r="CZ132" i="27" s="1"/>
  <c r="CZ137" i="27" a="1"/>
  <c r="CZ137" i="27" s="1"/>
  <c r="CZ138" i="27" a="1"/>
  <c r="CZ138" i="27" s="1"/>
  <c r="CZ139" i="27" a="1"/>
  <c r="CZ139" i="27" s="1"/>
  <c r="L25" i="27" a="1"/>
  <c r="L25" i="27" s="1"/>
  <c r="Z9" i="27" a="1"/>
  <c r="Z9" i="27" s="1"/>
  <c r="AY9" i="27"/>
  <c r="BC9" i="27"/>
  <c r="BG9" i="27"/>
  <c r="AV9" i="27"/>
  <c r="AZ9" i="27"/>
  <c r="BD9" i="27"/>
  <c r="BB9" i="27"/>
  <c r="BE9" i="27"/>
  <c r="AX9" i="27"/>
  <c r="BF9" i="27"/>
  <c r="BA9" i="27"/>
  <c r="AX57" i="27"/>
  <c r="BB57" i="27"/>
  <c r="BF57" i="27"/>
  <c r="AY57" i="27"/>
  <c r="BC57" i="27"/>
  <c r="BG57" i="27"/>
  <c r="AV57" i="27"/>
  <c r="AZ57" i="27"/>
  <c r="BD57" i="27"/>
  <c r="BE57" i="27"/>
  <c r="BA57" i="27"/>
  <c r="AY121" i="27"/>
  <c r="BC121" i="27"/>
  <c r="BG121" i="27"/>
  <c r="BA121" i="27"/>
  <c r="BE121" i="27"/>
  <c r="AV121" i="27"/>
  <c r="BD121" i="27"/>
  <c r="AX121" i="27"/>
  <c r="BF121" i="27"/>
  <c r="AZ121" i="27"/>
  <c r="BB121" i="27"/>
  <c r="AY19" i="27"/>
  <c r="BC19" i="27"/>
  <c r="BG19" i="27"/>
  <c r="AV19" i="27"/>
  <c r="AZ19" i="27"/>
  <c r="BD19" i="27"/>
  <c r="BE19" i="27"/>
  <c r="AX19" i="27"/>
  <c r="BF19" i="27"/>
  <c r="BA19" i="27"/>
  <c r="BB19" i="27"/>
  <c r="AY119" i="27"/>
  <c r="BC119" i="27"/>
  <c r="BG119" i="27"/>
  <c r="BA119" i="27"/>
  <c r="BE119" i="27"/>
  <c r="AV119" i="27"/>
  <c r="BD119" i="27"/>
  <c r="AX119" i="27"/>
  <c r="BF119" i="27"/>
  <c r="BB119" i="27"/>
  <c r="AZ119" i="27"/>
  <c r="AV10" i="27"/>
  <c r="AZ10" i="27"/>
  <c r="BD10" i="27"/>
  <c r="BA10" i="27"/>
  <c r="BE10" i="27"/>
  <c r="BB10" i="27"/>
  <c r="BC10" i="27"/>
  <c r="AX10" i="27"/>
  <c r="BF10" i="27"/>
  <c r="AY10" i="27"/>
  <c r="BG10" i="27"/>
  <c r="AY58" i="27"/>
  <c r="BC58" i="27"/>
  <c r="BG58" i="27"/>
  <c r="AV58" i="27"/>
  <c r="AZ58" i="27"/>
  <c r="BD58" i="27"/>
  <c r="BA58" i="27"/>
  <c r="BE58" i="27"/>
  <c r="AX58" i="27"/>
  <c r="BB58" i="27"/>
  <c r="BF58" i="27"/>
  <c r="AV106" i="27"/>
  <c r="AZ106" i="27"/>
  <c r="BD106" i="27"/>
  <c r="BA106" i="27"/>
  <c r="BE106" i="27"/>
  <c r="AX106" i="27"/>
  <c r="BB106" i="27"/>
  <c r="BF106" i="27"/>
  <c r="AY106" i="27"/>
  <c r="BC106" i="27"/>
  <c r="BG106" i="27"/>
  <c r="AX67" i="27"/>
  <c r="BB67" i="27"/>
  <c r="BF67" i="27"/>
  <c r="AY67" i="27"/>
  <c r="BC67" i="27"/>
  <c r="BG67" i="27"/>
  <c r="AV67" i="27"/>
  <c r="AZ67" i="27"/>
  <c r="BD67" i="27"/>
  <c r="BA67" i="27"/>
  <c r="BE67" i="27"/>
  <c r="AX64" i="27"/>
  <c r="BB64" i="27"/>
  <c r="BF64" i="27"/>
  <c r="AY64" i="27"/>
  <c r="BC64" i="27"/>
  <c r="BG64" i="27"/>
  <c r="AV64" i="27"/>
  <c r="AZ64" i="27"/>
  <c r="BD64" i="27"/>
  <c r="BA64" i="27"/>
  <c r="BE64" i="27"/>
  <c r="G35" i="27"/>
  <c r="D49" i="12"/>
  <c r="J51" i="27"/>
  <c r="G51" i="27"/>
  <c r="G99" i="27"/>
  <c r="BA108" i="27"/>
  <c r="BE108" i="27"/>
  <c r="AX108" i="27"/>
  <c r="BB108" i="27"/>
  <c r="BF108" i="27"/>
  <c r="AY108" i="27"/>
  <c r="BC108" i="27"/>
  <c r="BG108" i="27"/>
  <c r="AV108" i="27"/>
  <c r="AZ108" i="27"/>
  <c r="BD108" i="27"/>
  <c r="X30" i="27" a="1"/>
  <c r="X30" i="27" s="1"/>
  <c r="AD78" i="27" a="1"/>
  <c r="AD78" i="27" s="1"/>
  <c r="S78" i="27" a="1"/>
  <c r="S78" i="27" s="1"/>
  <c r="P78" i="27" a="1"/>
  <c r="P78" i="27" s="1"/>
  <c r="R78" i="27" a="1"/>
  <c r="R78" i="27" s="1"/>
  <c r="AF78" i="27" a="1"/>
  <c r="AF78" i="27" s="1"/>
  <c r="AH78" i="27" a="1"/>
  <c r="AH78" i="27" s="1"/>
  <c r="T126" i="27" a="1"/>
  <c r="T126" i="27" s="1"/>
  <c r="G64" i="27"/>
  <c r="AV88" i="27"/>
  <c r="AZ88" i="27"/>
  <c r="BD88" i="27"/>
  <c r="BA88" i="27"/>
  <c r="BE88" i="27"/>
  <c r="AX88" i="27"/>
  <c r="BB88" i="27"/>
  <c r="BF88" i="27"/>
  <c r="BC88" i="27"/>
  <c r="BG88" i="27"/>
  <c r="AY88" i="27"/>
  <c r="G101" i="27"/>
  <c r="D10" i="12"/>
  <c r="J12" i="27"/>
  <c r="G12" i="27"/>
  <c r="DE10" i="27" a="1"/>
  <c r="DE10" i="27" s="1"/>
  <c r="DE8" i="27" a="1"/>
  <c r="DE8" i="27" s="1"/>
  <c r="DE7" i="27" a="1"/>
  <c r="DE7" i="27" s="1"/>
  <c r="DE11" i="27" a="1"/>
  <c r="DE11" i="27" s="1"/>
  <c r="DE9" i="27" a="1"/>
  <c r="DE9" i="27" s="1"/>
  <c r="DE13" i="27" a="1"/>
  <c r="DE13" i="27" s="1"/>
  <c r="DE14" i="27" a="1"/>
  <c r="DE14" i="27" s="1"/>
  <c r="DE15" i="27" a="1"/>
  <c r="DE15" i="27" s="1"/>
  <c r="DE18" i="27" a="1"/>
  <c r="DE18" i="27" s="1"/>
  <c r="DE16" i="27" a="1"/>
  <c r="DE16" i="27" s="1"/>
  <c r="DE17" i="27" a="1"/>
  <c r="DE17" i="27" s="1"/>
  <c r="DE12" i="27" a="1"/>
  <c r="DE12" i="27" s="1"/>
  <c r="DE19" i="27" a="1"/>
  <c r="DE19" i="27" s="1"/>
  <c r="DE22" i="27" a="1"/>
  <c r="DE22" i="27" s="1"/>
  <c r="DE23" i="27" a="1"/>
  <c r="DE23" i="27" s="1"/>
  <c r="DE27" i="27" a="1"/>
  <c r="DE27" i="27" s="1"/>
  <c r="DE20" i="27" a="1"/>
  <c r="DE20" i="27" s="1"/>
  <c r="DE24" i="27" a="1"/>
  <c r="DE24" i="27" s="1"/>
  <c r="DE28" i="27" a="1"/>
  <c r="DE28" i="27" s="1"/>
  <c r="DE30" i="27" a="1"/>
  <c r="DE30" i="27" s="1"/>
  <c r="DE21" i="27" a="1"/>
  <c r="DE21" i="27" s="1"/>
  <c r="DE31" i="27" a="1"/>
  <c r="DE31" i="27" s="1"/>
  <c r="DE32" i="27" a="1"/>
  <c r="DE32" i="27" s="1"/>
  <c r="DE35" i="27" a="1"/>
  <c r="DE35" i="27" s="1"/>
  <c r="DE25" i="27" a="1"/>
  <c r="DE25" i="27" s="1"/>
  <c r="DE26" i="27" a="1"/>
  <c r="DE26" i="27" s="1"/>
  <c r="DE43" i="27" a="1"/>
  <c r="DE43" i="27" s="1"/>
  <c r="DE29" i="27" a="1"/>
  <c r="DE29" i="27" s="1"/>
  <c r="DE34" i="27" a="1"/>
  <c r="DE34" i="27" s="1"/>
  <c r="DE39" i="27" a="1"/>
  <c r="DE39" i="27" s="1"/>
  <c r="DE41" i="27" a="1"/>
  <c r="DE41" i="27" s="1"/>
  <c r="DE46" i="27" a="1"/>
  <c r="DE46" i="27" s="1"/>
  <c r="DE33" i="27" a="1"/>
  <c r="DE33" i="27" s="1"/>
  <c r="DE36" i="27" a="1"/>
  <c r="DE36" i="27" s="1"/>
  <c r="DE37" i="27" a="1"/>
  <c r="DE37" i="27" s="1"/>
  <c r="DE38" i="27" a="1"/>
  <c r="DE38" i="27" s="1"/>
  <c r="DE42" i="27" a="1"/>
  <c r="DE42" i="27" s="1"/>
  <c r="DE45" i="27" a="1"/>
  <c r="DE45" i="27" s="1"/>
  <c r="DE52" i="27" a="1"/>
  <c r="DE52" i="27" s="1"/>
  <c r="DE53" i="27" a="1"/>
  <c r="DE53" i="27" s="1"/>
  <c r="DE50" i="27" a="1"/>
  <c r="DE50" i="27" s="1"/>
  <c r="DE55" i="27" a="1"/>
  <c r="DE55" i="27" s="1"/>
  <c r="DE44" i="27" a="1"/>
  <c r="DE44" i="27" s="1"/>
  <c r="DE47" i="27" a="1"/>
  <c r="DE47" i="27" s="1"/>
  <c r="DE48" i="27" a="1"/>
  <c r="DE48" i="27" s="1"/>
  <c r="DE51" i="27" a="1"/>
  <c r="DE51" i="27" s="1"/>
  <c r="DE56" i="27" a="1"/>
  <c r="DE56" i="27" s="1"/>
  <c r="DE57" i="27" a="1"/>
  <c r="DE57" i="27" s="1"/>
  <c r="DE59" i="27" a="1"/>
  <c r="DE59" i="27" s="1"/>
  <c r="DE62" i="27" a="1"/>
  <c r="DE62" i="27" s="1"/>
  <c r="DE65" i="27" a="1"/>
  <c r="DE65" i="27" s="1"/>
  <c r="DE70" i="27" a="1"/>
  <c r="DE70" i="27" s="1"/>
  <c r="DE74" i="27" a="1"/>
  <c r="DE74" i="27" s="1"/>
  <c r="DE49" i="27" a="1"/>
  <c r="DE49" i="27" s="1"/>
  <c r="DE60" i="27" a="1"/>
  <c r="DE60" i="27" s="1"/>
  <c r="DE61" i="27" a="1"/>
  <c r="DE61" i="27" s="1"/>
  <c r="DE63" i="27" a="1"/>
  <c r="DE63" i="27" s="1"/>
  <c r="DE64" i="27" a="1"/>
  <c r="DE64" i="27" s="1"/>
  <c r="DE67" i="27" a="1"/>
  <c r="DE67" i="27" s="1"/>
  <c r="DE68" i="27" a="1"/>
  <c r="DE68" i="27" s="1"/>
  <c r="DE73" i="27" a="1"/>
  <c r="DE73" i="27" s="1"/>
  <c r="DE40" i="27" a="1"/>
  <c r="DE40" i="27" s="1"/>
  <c r="DE54" i="27" a="1"/>
  <c r="DE54" i="27" s="1"/>
  <c r="DE69" i="27" a="1"/>
  <c r="DE69" i="27" s="1"/>
  <c r="DE75" i="27" a="1"/>
  <c r="DE75" i="27" s="1"/>
  <c r="DE76" i="27" a="1"/>
  <c r="DE76" i="27" s="1"/>
  <c r="DE58" i="27" a="1"/>
  <c r="DE58" i="27" s="1"/>
  <c r="DE66" i="27" a="1"/>
  <c r="DE66" i="27" s="1"/>
  <c r="DE78" i="27" a="1"/>
  <c r="DE78" i="27" s="1"/>
  <c r="DE83" i="27" a="1"/>
  <c r="DE83" i="27" s="1"/>
  <c r="DE71" i="27" a="1"/>
  <c r="DE71" i="27" s="1"/>
  <c r="DE77" i="27" a="1"/>
  <c r="DE77" i="27" s="1"/>
  <c r="DE84" i="27" a="1"/>
  <c r="DE84" i="27" s="1"/>
  <c r="DE89" i="27" a="1"/>
  <c r="DE89" i="27" s="1"/>
  <c r="DE72" i="27" a="1"/>
  <c r="DE72" i="27" s="1"/>
  <c r="DE80" i="27" a="1"/>
  <c r="DE80" i="27" s="1"/>
  <c r="DE85" i="27" a="1"/>
  <c r="DE85" i="27" s="1"/>
  <c r="DE90" i="27" a="1"/>
  <c r="DE90" i="27" s="1"/>
  <c r="DE92" i="27" a="1"/>
  <c r="DE92" i="27" s="1"/>
  <c r="DE94" i="27" a="1"/>
  <c r="DE94" i="27" s="1"/>
  <c r="DE96" i="27" a="1"/>
  <c r="DE96" i="27" s="1"/>
  <c r="DE97" i="27" a="1"/>
  <c r="DE97" i="27" s="1"/>
  <c r="DE88" i="27" a="1"/>
  <c r="DE88" i="27" s="1"/>
  <c r="DE98" i="27" a="1"/>
  <c r="DE98" i="27" s="1"/>
  <c r="DE103" i="27" a="1"/>
  <c r="DE103" i="27" s="1"/>
  <c r="DE105" i="27" a="1"/>
  <c r="DE105" i="27" s="1"/>
  <c r="DE106" i="27" a="1"/>
  <c r="DE106" i="27" s="1"/>
  <c r="DE81" i="27" a="1"/>
  <c r="DE81" i="27" s="1"/>
  <c r="DE82" i="27" a="1"/>
  <c r="DE82" i="27" s="1"/>
  <c r="DE91" i="27" a="1"/>
  <c r="DE91" i="27" s="1"/>
  <c r="DE93" i="27" a="1"/>
  <c r="DE93" i="27" s="1"/>
  <c r="DE99" i="27" a="1"/>
  <c r="DE99" i="27" s="1"/>
  <c r="DE100" i="27" a="1"/>
  <c r="DE100" i="27" s="1"/>
  <c r="DE102" i="27" a="1"/>
  <c r="DE102" i="27" s="1"/>
  <c r="DE107" i="27" a="1"/>
  <c r="DE107" i="27" s="1"/>
  <c r="DE110" i="27" a="1"/>
  <c r="DE110" i="27" s="1"/>
  <c r="DE112" i="27" a="1"/>
  <c r="DE112" i="27" s="1"/>
  <c r="DE116" i="27" a="1"/>
  <c r="DE116" i="27" s="1"/>
  <c r="DE79" i="27" a="1"/>
  <c r="DE79" i="27" s="1"/>
  <c r="DE86" i="27" a="1"/>
  <c r="DE86" i="27" s="1"/>
  <c r="DE104" i="27" a="1"/>
  <c r="DE104" i="27" s="1"/>
  <c r="DE108" i="27" a="1"/>
  <c r="DE108" i="27" s="1"/>
  <c r="DE87" i="27" a="1"/>
  <c r="DE87" i="27" s="1"/>
  <c r="DE95" i="27" a="1"/>
  <c r="DE95" i="27" s="1"/>
  <c r="DE111" i="27" a="1"/>
  <c r="DE111" i="27" s="1"/>
  <c r="DE131" i="27" a="1"/>
  <c r="DE131" i="27" s="1"/>
  <c r="DE135" i="27" a="1"/>
  <c r="DE135" i="27" s="1"/>
  <c r="DE136" i="27" a="1"/>
  <c r="DE136" i="27" s="1"/>
  <c r="DE115" i="27" a="1"/>
  <c r="DE115" i="27" s="1"/>
  <c r="DE119" i="27" a="1"/>
  <c r="DE119" i="27" s="1"/>
  <c r="DE121" i="27" a="1"/>
  <c r="DE121" i="27" s="1"/>
  <c r="DE123" i="27" a="1"/>
  <c r="DE123" i="27" s="1"/>
  <c r="DE124" i="27" a="1"/>
  <c r="DE124" i="27" s="1"/>
  <c r="DE126" i="27" a="1"/>
  <c r="DE126" i="27" s="1"/>
  <c r="DE127" i="27" a="1"/>
  <c r="DE127" i="27" s="1"/>
  <c r="DE130" i="27" a="1"/>
  <c r="DE130" i="27" s="1"/>
  <c r="DE132" i="27" a="1"/>
  <c r="DE132" i="27" s="1"/>
  <c r="DE137" i="27" a="1"/>
  <c r="DE137" i="27" s="1"/>
  <c r="DE138" i="27" a="1"/>
  <c r="DE138" i="27" s="1"/>
  <c r="DE118" i="27" a="1"/>
  <c r="DE118" i="27" s="1"/>
  <c r="DE120" i="27" a="1"/>
  <c r="DE120" i="27" s="1"/>
  <c r="DE128" i="27" a="1"/>
  <c r="DE128" i="27" s="1"/>
  <c r="DE133" i="27" a="1"/>
  <c r="DE133" i="27" s="1"/>
  <c r="DE101" i="27" a="1"/>
  <c r="DE101" i="27" s="1"/>
  <c r="DE109" i="27" a="1"/>
  <c r="DE109" i="27" s="1"/>
  <c r="DE113" i="27" a="1"/>
  <c r="DE113" i="27" s="1"/>
  <c r="DE139" i="27" a="1"/>
  <c r="DE139" i="27" s="1"/>
  <c r="DE114" i="27" a="1"/>
  <c r="DE114" i="27" s="1"/>
  <c r="DE117" i="27" a="1"/>
  <c r="DE117" i="27" s="1"/>
  <c r="DE122" i="27" a="1"/>
  <c r="DE122" i="27" s="1"/>
  <c r="DE125" i="27" a="1"/>
  <c r="DE125" i="27" s="1"/>
  <c r="DE129" i="27" a="1"/>
  <c r="DE129" i="27" s="1"/>
  <c r="DE134" i="27" a="1"/>
  <c r="DE134" i="27" s="1"/>
  <c r="D50" i="12"/>
  <c r="J52" i="27"/>
  <c r="G52" i="27"/>
  <c r="G68" i="27"/>
  <c r="G41" i="27"/>
  <c r="EC32" i="27"/>
  <c r="AX13" i="27"/>
  <c r="BB13" i="27"/>
  <c r="BF13" i="27"/>
  <c r="AY13" i="27"/>
  <c r="BC13" i="27"/>
  <c r="BG13" i="27"/>
  <c r="AV13" i="27"/>
  <c r="AZ13" i="27"/>
  <c r="BD13" i="27"/>
  <c r="BA13" i="27"/>
  <c r="BE13" i="27"/>
  <c r="AY45" i="27"/>
  <c r="BC45" i="27"/>
  <c r="BG45" i="27"/>
  <c r="AV45" i="27"/>
  <c r="AZ45" i="27"/>
  <c r="BD45" i="27"/>
  <c r="BE45" i="27"/>
  <c r="AX45" i="27"/>
  <c r="BF45" i="27"/>
  <c r="BA45" i="27"/>
  <c r="BB45" i="27"/>
  <c r="AY77" i="27"/>
  <c r="BC77" i="27"/>
  <c r="BG77" i="27"/>
  <c r="BA77" i="27"/>
  <c r="BE77" i="27"/>
  <c r="AX77" i="27"/>
  <c r="BF77" i="27"/>
  <c r="AZ77" i="27"/>
  <c r="BB77" i="27"/>
  <c r="AV77" i="27"/>
  <c r="BD77" i="27"/>
  <c r="AY109" i="27"/>
  <c r="BC109" i="27"/>
  <c r="BG109" i="27"/>
  <c r="AV109" i="27"/>
  <c r="AZ109" i="27"/>
  <c r="BD109" i="27"/>
  <c r="BA109" i="27"/>
  <c r="BE109" i="27"/>
  <c r="AX109" i="27"/>
  <c r="BB109" i="27"/>
  <c r="BF109" i="27"/>
  <c r="AY7" i="27"/>
  <c r="BC7" i="27"/>
  <c r="BG7" i="27"/>
  <c r="AV7" i="27"/>
  <c r="AZ7" i="27"/>
  <c r="BD7" i="27"/>
  <c r="BA7" i="27"/>
  <c r="BE7" i="27"/>
  <c r="BF7" i="27"/>
  <c r="AX7" i="27"/>
  <c r="BB7" i="27"/>
  <c r="BA39" i="27"/>
  <c r="BE39" i="27"/>
  <c r="AV39" i="27"/>
  <c r="BB39" i="27"/>
  <c r="BG39" i="27"/>
  <c r="AX39" i="27"/>
  <c r="BC39" i="27"/>
  <c r="AY39" i="27"/>
  <c r="BD39" i="27"/>
  <c r="BF39" i="27"/>
  <c r="AZ39" i="27"/>
  <c r="BA95" i="27"/>
  <c r="BE95" i="27"/>
  <c r="AY95" i="27"/>
  <c r="BC95" i="27"/>
  <c r="BG95" i="27"/>
  <c r="AV95" i="27"/>
  <c r="BD95" i="27"/>
  <c r="AX95" i="27"/>
  <c r="BF95" i="27"/>
  <c r="AZ95" i="27"/>
  <c r="BB95" i="27"/>
  <c r="AY14" i="27"/>
  <c r="BC14" i="27"/>
  <c r="BG14" i="27"/>
  <c r="AV14" i="27"/>
  <c r="AZ14" i="27"/>
  <c r="BD14" i="27"/>
  <c r="BA14" i="27"/>
  <c r="BE14" i="27"/>
  <c r="AX14" i="27"/>
  <c r="BB14" i="27"/>
  <c r="BF14" i="27"/>
  <c r="AY30" i="27"/>
  <c r="BC30" i="27"/>
  <c r="BG30" i="27"/>
  <c r="AV30" i="27"/>
  <c r="AZ30" i="27"/>
  <c r="BD30" i="27"/>
  <c r="BB30" i="27"/>
  <c r="BE30" i="27"/>
  <c r="AX30" i="27"/>
  <c r="BF30" i="27"/>
  <c r="BA30" i="27"/>
  <c r="BA62" i="27"/>
  <c r="BE62" i="27"/>
  <c r="AX62" i="27"/>
  <c r="BB62" i="27"/>
  <c r="BF62" i="27"/>
  <c r="AY62" i="27"/>
  <c r="BC62" i="27"/>
  <c r="BG62" i="27"/>
  <c r="BD62" i="27"/>
  <c r="AV62" i="27"/>
  <c r="AZ62" i="27"/>
  <c r="AV94" i="27"/>
  <c r="AZ94" i="27"/>
  <c r="BD94" i="27"/>
  <c r="AX94" i="27"/>
  <c r="BB94" i="27"/>
  <c r="BF94" i="27"/>
  <c r="AY94" i="27"/>
  <c r="BG94" i="27"/>
  <c r="BA94" i="27"/>
  <c r="BC94" i="27"/>
  <c r="BE94" i="27"/>
  <c r="BA126" i="27"/>
  <c r="BE126" i="27"/>
  <c r="AV126" i="27"/>
  <c r="AZ126" i="27"/>
  <c r="BD126" i="27"/>
  <c r="AX126" i="27"/>
  <c r="BB126" i="27"/>
  <c r="BF126" i="27"/>
  <c r="AY126" i="27"/>
  <c r="BC126" i="27"/>
  <c r="BG126" i="27"/>
  <c r="AV75" i="27"/>
  <c r="AZ75" i="27"/>
  <c r="BD75" i="27"/>
  <c r="BA75" i="27"/>
  <c r="BE75" i="27"/>
  <c r="AX75" i="27"/>
  <c r="BB75" i="27"/>
  <c r="BF75" i="27"/>
  <c r="AY75" i="27"/>
  <c r="BC75" i="27"/>
  <c r="BG75" i="27"/>
  <c r="BA16" i="27"/>
  <c r="BE16" i="27"/>
  <c r="AX16" i="27"/>
  <c r="BB16" i="27"/>
  <c r="BF16" i="27"/>
  <c r="AY16" i="27"/>
  <c r="BG16" i="27"/>
  <c r="AZ16" i="27"/>
  <c r="BC16" i="27"/>
  <c r="AV16" i="27"/>
  <c r="BD16" i="27"/>
  <c r="G23" i="27"/>
  <c r="G55" i="27"/>
  <c r="G87" i="27"/>
  <c r="G119" i="27"/>
  <c r="BA60" i="27"/>
  <c r="BE60" i="27"/>
  <c r="AX60" i="27"/>
  <c r="BB60" i="27"/>
  <c r="BF60" i="27"/>
  <c r="AY60" i="27"/>
  <c r="BC60" i="27"/>
  <c r="BG60" i="27"/>
  <c r="AV60" i="27"/>
  <c r="AZ60" i="27"/>
  <c r="BD60" i="27"/>
  <c r="O82" i="27" a="1"/>
  <c r="O82" i="27" s="1"/>
  <c r="BA20" i="27"/>
  <c r="BE20" i="27"/>
  <c r="AX20" i="27"/>
  <c r="BB20" i="27"/>
  <c r="BF20" i="27"/>
  <c r="AY20" i="27"/>
  <c r="BG20" i="27"/>
  <c r="AZ20" i="27"/>
  <c r="BC20" i="27"/>
  <c r="AV20" i="27"/>
  <c r="BD20" i="27"/>
  <c r="M72" i="27" a="1"/>
  <c r="M72" i="27" s="1"/>
  <c r="AE72" i="27" a="1"/>
  <c r="AE72" i="27" s="1"/>
  <c r="G137" i="27"/>
  <c r="AV8" i="27"/>
  <c r="AZ8" i="27"/>
  <c r="BD8" i="27"/>
  <c r="BA8" i="27"/>
  <c r="BE8" i="27"/>
  <c r="AX8" i="27"/>
  <c r="BB8" i="27"/>
  <c r="BF8" i="27"/>
  <c r="BG8" i="27"/>
  <c r="AY8" i="27"/>
  <c r="BC8" i="27"/>
  <c r="G69" i="27"/>
  <c r="G21" i="27"/>
  <c r="D63" i="12"/>
  <c r="J65" i="27"/>
  <c r="G65" i="27"/>
  <c r="DG8" i="27" a="1"/>
  <c r="DG8" i="27" s="1"/>
  <c r="DG7" i="27" a="1"/>
  <c r="DG7" i="27" s="1"/>
  <c r="DG16" i="27" a="1"/>
  <c r="DG16" i="27" s="1"/>
  <c r="DG17" i="27" a="1"/>
  <c r="DG17" i="27" s="1"/>
  <c r="DG9" i="27" a="1"/>
  <c r="DG9" i="27" s="1"/>
  <c r="DG10" i="27" a="1"/>
  <c r="DG10" i="27" s="1"/>
  <c r="DG11" i="27" a="1"/>
  <c r="DG11" i="27" s="1"/>
  <c r="DG12" i="27" a="1"/>
  <c r="DG12" i="27" s="1"/>
  <c r="DG13" i="27" a="1"/>
  <c r="DG13" i="27" s="1"/>
  <c r="DG15" i="27" a="1"/>
  <c r="DG15" i="27" s="1"/>
  <c r="DG18" i="27" a="1"/>
  <c r="DG18" i="27" s="1"/>
  <c r="DG20" i="27" a="1"/>
  <c r="DG20" i="27" s="1"/>
  <c r="DG21" i="27" a="1"/>
  <c r="DG21" i="27" s="1"/>
  <c r="DG14" i="27" a="1"/>
  <c r="DG14" i="27" s="1"/>
  <c r="DG19" i="27" a="1"/>
  <c r="DG19" i="27" s="1"/>
  <c r="DG22" i="27" a="1"/>
  <c r="DG22" i="27" s="1"/>
  <c r="DG24" i="27" a="1"/>
  <c r="DG24" i="27" s="1"/>
  <c r="DG25" i="27" a="1"/>
  <c r="DG25" i="27" s="1"/>
  <c r="DG26" i="27" a="1"/>
  <c r="DG26" i="27" s="1"/>
  <c r="DG23" i="27" a="1"/>
  <c r="DG23" i="27" s="1"/>
  <c r="DG32" i="27" a="1"/>
  <c r="DG32" i="27" s="1"/>
  <c r="DG33" i="27" a="1"/>
  <c r="DG33" i="27" s="1"/>
  <c r="DG39" i="27" a="1"/>
  <c r="DG39" i="27" s="1"/>
  <c r="DG27" i="27" a="1"/>
  <c r="DG27" i="27" s="1"/>
  <c r="DG31" i="27" a="1"/>
  <c r="DG31" i="27" s="1"/>
  <c r="DG28" i="27" a="1"/>
  <c r="DG28" i="27" s="1"/>
  <c r="DG29" i="27" a="1"/>
  <c r="DG29" i="27" s="1"/>
  <c r="DG35" i="27" a="1"/>
  <c r="DG35" i="27" s="1"/>
  <c r="DG38" i="27" a="1"/>
  <c r="DG38" i="27" s="1"/>
  <c r="DG41" i="27" a="1"/>
  <c r="DG41" i="27" s="1"/>
  <c r="DG36" i="27" a="1"/>
  <c r="DG36" i="27" s="1"/>
  <c r="DG37" i="27" a="1"/>
  <c r="DG37" i="27" s="1"/>
  <c r="DG42" i="27" a="1"/>
  <c r="DG42" i="27" s="1"/>
  <c r="DG46" i="27" a="1"/>
  <c r="DG46" i="27" s="1"/>
  <c r="DG47" i="27" a="1"/>
  <c r="DG47" i="27" s="1"/>
  <c r="DG40" i="27" a="1"/>
  <c r="DG40" i="27" s="1"/>
  <c r="DG52" i="27" a="1"/>
  <c r="DG52" i="27" s="1"/>
  <c r="DG53" i="27" a="1"/>
  <c r="DG53" i="27" s="1"/>
  <c r="DG30" i="27" a="1"/>
  <c r="DG30" i="27" s="1"/>
  <c r="DG43" i="27" a="1"/>
  <c r="DG43" i="27" s="1"/>
  <c r="DG45" i="27" a="1"/>
  <c r="DG45" i="27" s="1"/>
  <c r="DG48" i="27" a="1"/>
  <c r="DG48" i="27" s="1"/>
  <c r="DG49" i="27" a="1"/>
  <c r="DG49" i="27" s="1"/>
  <c r="DG55" i="27" a="1"/>
  <c r="DG55" i="27" s="1"/>
  <c r="DG34" i="27" a="1"/>
  <c r="DG34" i="27" s="1"/>
  <c r="DG51" i="27" a="1"/>
  <c r="DG51" i="27" s="1"/>
  <c r="DG44" i="27" a="1"/>
  <c r="DG44" i="27" s="1"/>
  <c r="DG54" i="27" a="1"/>
  <c r="DG54" i="27" s="1"/>
  <c r="DG59" i="27" a="1"/>
  <c r="DG59" i="27" s="1"/>
  <c r="DG60" i="27" a="1"/>
  <c r="DG60" i="27" s="1"/>
  <c r="DG63" i="27" a="1"/>
  <c r="DG63" i="27" s="1"/>
  <c r="DG64" i="27" a="1"/>
  <c r="DG64" i="27" s="1"/>
  <c r="DG67" i="27" a="1"/>
  <c r="DG67" i="27" s="1"/>
  <c r="DG68" i="27" a="1"/>
  <c r="DG68" i="27" s="1"/>
  <c r="DG73" i="27" a="1"/>
  <c r="DG73" i="27" s="1"/>
  <c r="DG74" i="27" a="1"/>
  <c r="DG74" i="27" s="1"/>
  <c r="DG50" i="27" a="1"/>
  <c r="DG50" i="27" s="1"/>
  <c r="DG61" i="27" a="1"/>
  <c r="DG61" i="27" s="1"/>
  <c r="DG69" i="27" a="1"/>
  <c r="DG69" i="27" s="1"/>
  <c r="DG66" i="27" a="1"/>
  <c r="DG66" i="27" s="1"/>
  <c r="DG71" i="27" a="1"/>
  <c r="DG71" i="27" s="1"/>
  <c r="DG72" i="27" a="1"/>
  <c r="DG72" i="27" s="1"/>
  <c r="DG78" i="27" a="1"/>
  <c r="DG78" i="27" s="1"/>
  <c r="DG62" i="27" a="1"/>
  <c r="DG62" i="27" s="1"/>
  <c r="DG76" i="27" a="1"/>
  <c r="DG76" i="27" s="1"/>
  <c r="DG83" i="27" a="1"/>
  <c r="DG83" i="27" s="1"/>
  <c r="DG93" i="27" a="1"/>
  <c r="DG93" i="27" s="1"/>
  <c r="DG96" i="27" a="1"/>
  <c r="DG96" i="27" s="1"/>
  <c r="DG58" i="27" a="1"/>
  <c r="DG58" i="27" s="1"/>
  <c r="DG70" i="27" a="1"/>
  <c r="DG70" i="27" s="1"/>
  <c r="DG75" i="27" a="1"/>
  <c r="DG75" i="27" s="1"/>
  <c r="DG84" i="27" a="1"/>
  <c r="DG84" i="27" s="1"/>
  <c r="DG89" i="27" a="1"/>
  <c r="DG89" i="27" s="1"/>
  <c r="DG90" i="27" a="1"/>
  <c r="DG90" i="27" s="1"/>
  <c r="DG65" i="27" a="1"/>
  <c r="DG65" i="27" s="1"/>
  <c r="DG80" i="27" a="1"/>
  <c r="DG80" i="27" s="1"/>
  <c r="DG81" i="27" a="1"/>
  <c r="DG81" i="27" s="1"/>
  <c r="DG85" i="27" a="1"/>
  <c r="DG85" i="27" s="1"/>
  <c r="DG87" i="27" a="1"/>
  <c r="DG87" i="27" s="1"/>
  <c r="DG88" i="27" a="1"/>
  <c r="DG88" i="27" s="1"/>
  <c r="DG91" i="27" a="1"/>
  <c r="DG91" i="27" s="1"/>
  <c r="DG92" i="27" a="1"/>
  <c r="DG92" i="27" s="1"/>
  <c r="DG98" i="27" a="1"/>
  <c r="DG98" i="27" s="1"/>
  <c r="DG77" i="27" a="1"/>
  <c r="DG77" i="27" s="1"/>
  <c r="DG94" i="27" a="1"/>
  <c r="DG94" i="27" s="1"/>
  <c r="DG95" i="27" a="1"/>
  <c r="DG95" i="27" s="1"/>
  <c r="DG100" i="27" a="1"/>
  <c r="DG100" i="27" s="1"/>
  <c r="DG102" i="27" a="1"/>
  <c r="DG102" i="27" s="1"/>
  <c r="DG110" i="27" a="1"/>
  <c r="DG110" i="27" s="1"/>
  <c r="DG112" i="27" a="1"/>
  <c r="DG112" i="27" s="1"/>
  <c r="DG116" i="27" a="1"/>
  <c r="DG116" i="27" s="1"/>
  <c r="DG118" i="27" a="1"/>
  <c r="DG118" i="27" s="1"/>
  <c r="DG120" i="27" a="1"/>
  <c r="DG120" i="27" s="1"/>
  <c r="DG122" i="27" a="1"/>
  <c r="DG122" i="27" s="1"/>
  <c r="DG57" i="27" a="1"/>
  <c r="DG57" i="27" s="1"/>
  <c r="DG97" i="27" a="1"/>
  <c r="DG97" i="27" s="1"/>
  <c r="DG107" i="27" a="1"/>
  <c r="DG107" i="27" s="1"/>
  <c r="DG108" i="27" a="1"/>
  <c r="DG108" i="27" s="1"/>
  <c r="DG82" i="27" a="1"/>
  <c r="DG82" i="27" s="1"/>
  <c r="DG101" i="27" a="1"/>
  <c r="DG101" i="27" s="1"/>
  <c r="DG104" i="27" a="1"/>
  <c r="DG104" i="27" s="1"/>
  <c r="DG109" i="27" a="1"/>
  <c r="DG109" i="27" s="1"/>
  <c r="DG111" i="27" a="1"/>
  <c r="DG111" i="27" s="1"/>
  <c r="DG113" i="27" a="1"/>
  <c r="DG113" i="27" s="1"/>
  <c r="DG114" i="27" a="1"/>
  <c r="DG114" i="27" s="1"/>
  <c r="DG115" i="27" a="1"/>
  <c r="DG115" i="27" s="1"/>
  <c r="DG117" i="27" a="1"/>
  <c r="DG117" i="27" s="1"/>
  <c r="DG119" i="27" a="1"/>
  <c r="DG119" i="27" s="1"/>
  <c r="DG121" i="27" a="1"/>
  <c r="DG121" i="27" s="1"/>
  <c r="DG123" i="27" a="1"/>
  <c r="DG123" i="27" s="1"/>
  <c r="DG124" i="27" a="1"/>
  <c r="DG124" i="27" s="1"/>
  <c r="DG126" i="27" a="1"/>
  <c r="DG126" i="27" s="1"/>
  <c r="DG127" i="27" a="1"/>
  <c r="DG127" i="27" s="1"/>
  <c r="DG130" i="27" a="1"/>
  <c r="DG130" i="27" s="1"/>
  <c r="DG132" i="27" a="1"/>
  <c r="DG132" i="27" s="1"/>
  <c r="DG137" i="27" a="1"/>
  <c r="DG137" i="27" s="1"/>
  <c r="DG138" i="27" a="1"/>
  <c r="DG138" i="27" s="1"/>
  <c r="DG79" i="27" a="1"/>
  <c r="DG79" i="27" s="1"/>
  <c r="DG106" i="27" a="1"/>
  <c r="DG106" i="27" s="1"/>
  <c r="DG139" i="27" a="1"/>
  <c r="DG139" i="27" s="1"/>
  <c r="DG131" i="27" a="1"/>
  <c r="DG131" i="27" s="1"/>
  <c r="DG56" i="27" a="1"/>
  <c r="DG56" i="27" s="1"/>
  <c r="DG86" i="27" a="1"/>
  <c r="DG86" i="27" s="1"/>
  <c r="DG99" i="27" a="1"/>
  <c r="DG99" i="27" s="1"/>
  <c r="DG125" i="27" a="1"/>
  <c r="DG125" i="27" s="1"/>
  <c r="DG128" i="27" a="1"/>
  <c r="DG128" i="27" s="1"/>
  <c r="DG129" i="27" a="1"/>
  <c r="DG129" i="27" s="1"/>
  <c r="DG133" i="27" a="1"/>
  <c r="DG133" i="27" s="1"/>
  <c r="DG134" i="27" a="1"/>
  <c r="DG134" i="27" s="1"/>
  <c r="DG103" i="27" a="1"/>
  <c r="DG103" i="27" s="1"/>
  <c r="DG105" i="27" a="1"/>
  <c r="DG105" i="27" s="1"/>
  <c r="DG135" i="27" a="1"/>
  <c r="DG135" i="27" s="1"/>
  <c r="DG136" i="27" a="1"/>
  <c r="DG136" i="27" s="1"/>
  <c r="CX7" i="27" a="1"/>
  <c r="CX7" i="27" s="1"/>
  <c r="CX9" i="27" a="1"/>
  <c r="CX9" i="27" s="1"/>
  <c r="CX10" i="27" a="1"/>
  <c r="CX10" i="27" s="1"/>
  <c r="CX11" i="27" a="1"/>
  <c r="CX11" i="27" s="1"/>
  <c r="CX12" i="27" a="1"/>
  <c r="CX12" i="27" s="1"/>
  <c r="CX8" i="27" a="1"/>
  <c r="CX8" i="27" s="1"/>
  <c r="CX13" i="27" a="1"/>
  <c r="CX13" i="27" s="1"/>
  <c r="CX14" i="27" a="1"/>
  <c r="CX14" i="27" s="1"/>
  <c r="CX16" i="27" a="1"/>
  <c r="CX16" i="27" s="1"/>
  <c r="CX15" i="27" a="1"/>
  <c r="CX15" i="27" s="1"/>
  <c r="CX17" i="27" a="1"/>
  <c r="CX17" i="27" s="1"/>
  <c r="CX18" i="27" a="1"/>
  <c r="CX18" i="27" s="1"/>
  <c r="CX20" i="27" a="1"/>
  <c r="CX20" i="27" s="1"/>
  <c r="CX19" i="27" a="1"/>
  <c r="CX19" i="27" s="1"/>
  <c r="CX21" i="27" a="1"/>
  <c r="CX21" i="27" s="1"/>
  <c r="CX26" i="27" a="1"/>
  <c r="CX26" i="27" s="1"/>
  <c r="CX23" i="27" a="1"/>
  <c r="CX23" i="27" s="1"/>
  <c r="CX25" i="27" a="1"/>
  <c r="CX25" i="27" s="1"/>
  <c r="CX27" i="27" a="1"/>
  <c r="CX27" i="27" s="1"/>
  <c r="CX28" i="27" a="1"/>
  <c r="CX28" i="27" s="1"/>
  <c r="CX29" i="27" a="1"/>
  <c r="CX29" i="27" s="1"/>
  <c r="CX34" i="27" a="1"/>
  <c r="CX34" i="27" s="1"/>
  <c r="CX30" i="27" a="1"/>
  <c r="CX30" i="27" s="1"/>
  <c r="CX24" i="27" a="1"/>
  <c r="CX24" i="27" s="1"/>
  <c r="CX31" i="27" a="1"/>
  <c r="CX31" i="27" s="1"/>
  <c r="CX33" i="27" a="1"/>
  <c r="CX33" i="27" s="1"/>
  <c r="CX40" i="27" a="1"/>
  <c r="CX40" i="27" s="1"/>
  <c r="CX43" i="27" a="1"/>
  <c r="CX43" i="27" s="1"/>
  <c r="CX44" i="27" a="1"/>
  <c r="CX44" i="27" s="1"/>
  <c r="CX45" i="27" a="1"/>
  <c r="CX45" i="27" s="1"/>
  <c r="CX38" i="27" a="1"/>
  <c r="CX38" i="27" s="1"/>
  <c r="CX41" i="27" a="1"/>
  <c r="CX41" i="27" s="1"/>
  <c r="CX49" i="27" a="1"/>
  <c r="CX49" i="27" s="1"/>
  <c r="CX51" i="27" a="1"/>
  <c r="CX51" i="27" s="1"/>
  <c r="CX37" i="27" a="1"/>
  <c r="CX37" i="27" s="1"/>
  <c r="CX42" i="27" a="1"/>
  <c r="CX42" i="27" s="1"/>
  <c r="CX54" i="27" a="1"/>
  <c r="CX54" i="27" s="1"/>
  <c r="CX22" i="27" a="1"/>
  <c r="CX22" i="27" s="1"/>
  <c r="CX36" i="27" a="1"/>
  <c r="CX36" i="27" s="1"/>
  <c r="CX39" i="27" a="1"/>
  <c r="CX39" i="27" s="1"/>
  <c r="CX47" i="27" a="1"/>
  <c r="CX47" i="27" s="1"/>
  <c r="CX50" i="27" a="1"/>
  <c r="CX50" i="27" s="1"/>
  <c r="CX52" i="27" a="1"/>
  <c r="CX52" i="27" s="1"/>
  <c r="CX53" i="27" a="1"/>
  <c r="CX53" i="27" s="1"/>
  <c r="CX46" i="27" a="1"/>
  <c r="CX46" i="27" s="1"/>
  <c r="CX55" i="27" a="1"/>
  <c r="CX55" i="27" s="1"/>
  <c r="CX66" i="27" a="1"/>
  <c r="CX66" i="27" s="1"/>
  <c r="CX71" i="27" a="1"/>
  <c r="CX71" i="27" s="1"/>
  <c r="CX72" i="27" a="1"/>
  <c r="CX72" i="27" s="1"/>
  <c r="CX78" i="27" a="1"/>
  <c r="CX78" i="27" s="1"/>
  <c r="CX32" i="27" a="1"/>
  <c r="CX32" i="27" s="1"/>
  <c r="CX48" i="27" a="1"/>
  <c r="CX48" i="27" s="1"/>
  <c r="CX57" i="27" a="1"/>
  <c r="CX57" i="27" s="1"/>
  <c r="CX58" i="27" a="1"/>
  <c r="CX58" i="27" s="1"/>
  <c r="CX65" i="27" a="1"/>
  <c r="CX65" i="27" s="1"/>
  <c r="CX70" i="27" a="1"/>
  <c r="CX70" i="27" s="1"/>
  <c r="CX35" i="27" a="1"/>
  <c r="CX35" i="27" s="1"/>
  <c r="CX56" i="27" a="1"/>
  <c r="CX56" i="27" s="1"/>
  <c r="CX59" i="27" a="1"/>
  <c r="CX59" i="27" s="1"/>
  <c r="CX60" i="27" a="1"/>
  <c r="CX60" i="27" s="1"/>
  <c r="CX63" i="27" a="1"/>
  <c r="CX63" i="27" s="1"/>
  <c r="CX64" i="27" a="1"/>
  <c r="CX64" i="27" s="1"/>
  <c r="CX67" i="27" a="1"/>
  <c r="CX67" i="27" s="1"/>
  <c r="CX68" i="27" a="1"/>
  <c r="CX68" i="27" s="1"/>
  <c r="CX73" i="27" a="1"/>
  <c r="CX73" i="27" s="1"/>
  <c r="CX74" i="27" a="1"/>
  <c r="CX74" i="27" s="1"/>
  <c r="CX61" i="27" a="1"/>
  <c r="CX61" i="27" s="1"/>
  <c r="CX62" i="27" a="1"/>
  <c r="CX62" i="27" s="1"/>
  <c r="CX75" i="27" a="1"/>
  <c r="CX75" i="27" s="1"/>
  <c r="CX80" i="27" a="1"/>
  <c r="CX80" i="27" s="1"/>
  <c r="CX85" i="27" a="1"/>
  <c r="CX85" i="27" s="1"/>
  <c r="CX87" i="27" a="1"/>
  <c r="CX87" i="27" s="1"/>
  <c r="CX88" i="27" a="1"/>
  <c r="CX88" i="27" s="1"/>
  <c r="CX91" i="27" a="1"/>
  <c r="CX91" i="27" s="1"/>
  <c r="CX92" i="27" a="1"/>
  <c r="CX92" i="27" s="1"/>
  <c r="CX69" i="27" a="1"/>
  <c r="CX69" i="27" s="1"/>
  <c r="CX76" i="27" a="1"/>
  <c r="CX76" i="27" s="1"/>
  <c r="CX79" i="27" a="1"/>
  <c r="CX79" i="27" s="1"/>
  <c r="CX82" i="27" a="1"/>
  <c r="CX82" i="27" s="1"/>
  <c r="CX86" i="27" a="1"/>
  <c r="CX86" i="27" s="1"/>
  <c r="CX77" i="27" a="1"/>
  <c r="CX77" i="27" s="1"/>
  <c r="CX83" i="27" a="1"/>
  <c r="CX83" i="27" s="1"/>
  <c r="CX93" i="27" a="1"/>
  <c r="CX93" i="27" s="1"/>
  <c r="CX95" i="27" a="1"/>
  <c r="CX95" i="27" s="1"/>
  <c r="CX101" i="27" a="1"/>
  <c r="CX101" i="27" s="1"/>
  <c r="CX104" i="27" a="1"/>
  <c r="CX104" i="27" s="1"/>
  <c r="CX84" i="27" a="1"/>
  <c r="CX84" i="27" s="1"/>
  <c r="CX89" i="27" a="1"/>
  <c r="CX89" i="27" s="1"/>
  <c r="CX90" i="27" a="1"/>
  <c r="CX90" i="27" s="1"/>
  <c r="CX94" i="27" a="1"/>
  <c r="CX94" i="27" s="1"/>
  <c r="CX96" i="27" a="1"/>
  <c r="CX96" i="27" s="1"/>
  <c r="CX103" i="27" a="1"/>
  <c r="CX103" i="27" s="1"/>
  <c r="CX105" i="27" a="1"/>
  <c r="CX105" i="27" s="1"/>
  <c r="CX106" i="27" a="1"/>
  <c r="CX106" i="27" s="1"/>
  <c r="CX108" i="27" a="1"/>
  <c r="CX108" i="27" s="1"/>
  <c r="CX109" i="27" a="1"/>
  <c r="CX109" i="27" s="1"/>
  <c r="CX111" i="27" a="1"/>
  <c r="CX111" i="27" s="1"/>
  <c r="CX113" i="27" a="1"/>
  <c r="CX113" i="27" s="1"/>
  <c r="CX114" i="27" a="1"/>
  <c r="CX114" i="27" s="1"/>
  <c r="CX115" i="27" a="1"/>
  <c r="CX115" i="27" s="1"/>
  <c r="CX117" i="27" a="1"/>
  <c r="CX117" i="27" s="1"/>
  <c r="CX81" i="27" a="1"/>
  <c r="CX81" i="27" s="1"/>
  <c r="CX97" i="27" a="1"/>
  <c r="CX97" i="27" s="1"/>
  <c r="CX99" i="27" a="1"/>
  <c r="CX99" i="27" s="1"/>
  <c r="CX100" i="27" a="1"/>
  <c r="CX100" i="27" s="1"/>
  <c r="CX102" i="27" a="1"/>
  <c r="CX102" i="27" s="1"/>
  <c r="CX107" i="27" a="1"/>
  <c r="CX107" i="27" s="1"/>
  <c r="CX112" i="27" a="1"/>
  <c r="CX112" i="27" s="1"/>
  <c r="CX119" i="27" a="1"/>
  <c r="CX119" i="27" s="1"/>
  <c r="CX121" i="27" a="1"/>
  <c r="CX121" i="27" s="1"/>
  <c r="CX123" i="27" a="1"/>
  <c r="CX123" i="27" s="1"/>
  <c r="CX139" i="27" a="1"/>
  <c r="CX139" i="27" s="1"/>
  <c r="CX126" i="27" a="1"/>
  <c r="CX126" i="27" s="1"/>
  <c r="CX127" i="27" a="1"/>
  <c r="CX127" i="27" s="1"/>
  <c r="CX132" i="27" a="1"/>
  <c r="CX132" i="27" s="1"/>
  <c r="CX116" i="27" a="1"/>
  <c r="CX116" i="27" s="1"/>
  <c r="CX125" i="27" a="1"/>
  <c r="CX125" i="27" s="1"/>
  <c r="CX128" i="27" a="1"/>
  <c r="CX128" i="27" s="1"/>
  <c r="CX129" i="27" a="1"/>
  <c r="CX129" i="27" s="1"/>
  <c r="CX133" i="27" a="1"/>
  <c r="CX133" i="27" s="1"/>
  <c r="CX134" i="27" a="1"/>
  <c r="CX134" i="27" s="1"/>
  <c r="CX130" i="27" a="1"/>
  <c r="CX130" i="27" s="1"/>
  <c r="CX110" i="27" a="1"/>
  <c r="CX110" i="27" s="1"/>
  <c r="CX118" i="27" a="1"/>
  <c r="CX118" i="27" s="1"/>
  <c r="CX120" i="27" a="1"/>
  <c r="CX120" i="27" s="1"/>
  <c r="CX122" i="27" a="1"/>
  <c r="CX122" i="27" s="1"/>
  <c r="CX131" i="27" a="1"/>
  <c r="CX131" i="27" s="1"/>
  <c r="CX135" i="27" a="1"/>
  <c r="CX135" i="27" s="1"/>
  <c r="CX136" i="27" a="1"/>
  <c r="CX136" i="27" s="1"/>
  <c r="CX98" i="27" a="1"/>
  <c r="CX98" i="27" s="1"/>
  <c r="CX124" i="27" a="1"/>
  <c r="CX124" i="27" s="1"/>
  <c r="CX137" i="27" a="1"/>
  <c r="CX137" i="27" s="1"/>
  <c r="CX138" i="27" a="1"/>
  <c r="CX138" i="27" s="1"/>
  <c r="DB10" i="27" a="1"/>
  <c r="DB10" i="27" s="1"/>
  <c r="DB7" i="27" a="1"/>
  <c r="DB7" i="27" s="1"/>
  <c r="DB8" i="27" a="1"/>
  <c r="DB8" i="27" s="1"/>
  <c r="DB9" i="27" a="1"/>
  <c r="DB9" i="27" s="1"/>
  <c r="DB12" i="27" a="1"/>
  <c r="DB12" i="27" s="1"/>
  <c r="DB13" i="27" a="1"/>
  <c r="DB13" i="27" s="1"/>
  <c r="DB16" i="27" a="1"/>
  <c r="DB16" i="27" s="1"/>
  <c r="DB17" i="27" a="1"/>
  <c r="DB17" i="27" s="1"/>
  <c r="DB11" i="27" a="1"/>
  <c r="DB11" i="27" s="1"/>
  <c r="DB20" i="27" a="1"/>
  <c r="DB20" i="27" s="1"/>
  <c r="DB22" i="27" a="1"/>
  <c r="DB22" i="27" s="1"/>
  <c r="DB14" i="27" a="1"/>
  <c r="DB14" i="27" s="1"/>
  <c r="DB15" i="27" a="1"/>
  <c r="DB15" i="27" s="1"/>
  <c r="DB18" i="27" a="1"/>
  <c r="DB18" i="27" s="1"/>
  <c r="DB21" i="27" a="1"/>
  <c r="DB21" i="27" s="1"/>
  <c r="DB26" i="27" a="1"/>
  <c r="DB26" i="27" s="1"/>
  <c r="DB19" i="27" a="1"/>
  <c r="DB19" i="27" s="1"/>
  <c r="DB23" i="27" a="1"/>
  <c r="DB23" i="27" s="1"/>
  <c r="DB25" i="27" a="1"/>
  <c r="DB25" i="27" s="1"/>
  <c r="DB28" i="27" a="1"/>
  <c r="DB28" i="27" s="1"/>
  <c r="DB32" i="27" a="1"/>
  <c r="DB32" i="27" s="1"/>
  <c r="DB34" i="27" a="1"/>
  <c r="DB34" i="27" s="1"/>
  <c r="DB27" i="27" a="1"/>
  <c r="DB27" i="27" s="1"/>
  <c r="DB24" i="27" a="1"/>
  <c r="DB24" i="27" s="1"/>
  <c r="DB29" i="27" a="1"/>
  <c r="DB29" i="27" s="1"/>
  <c r="DB31" i="27" a="1"/>
  <c r="DB31" i="27" s="1"/>
  <c r="DB33" i="27" a="1"/>
  <c r="DB33" i="27" s="1"/>
  <c r="DB41" i="27" a="1"/>
  <c r="DB41" i="27" s="1"/>
  <c r="DB36" i="27" a="1"/>
  <c r="DB36" i="27" s="1"/>
  <c r="DB37" i="27" a="1"/>
  <c r="DB37" i="27" s="1"/>
  <c r="DB39" i="27" a="1"/>
  <c r="DB39" i="27" s="1"/>
  <c r="DB40" i="27" a="1"/>
  <c r="DB40" i="27" s="1"/>
  <c r="DB42" i="27" a="1"/>
  <c r="DB42" i="27" s="1"/>
  <c r="DB47" i="27" a="1"/>
  <c r="DB47" i="27" s="1"/>
  <c r="DB30" i="27" a="1"/>
  <c r="DB30" i="27" s="1"/>
  <c r="DB35" i="27" a="1"/>
  <c r="DB35" i="27" s="1"/>
  <c r="DB49" i="27" a="1"/>
  <c r="DB49" i="27" s="1"/>
  <c r="DB51" i="27" a="1"/>
  <c r="DB51" i="27" s="1"/>
  <c r="DB45" i="27" a="1"/>
  <c r="DB45" i="27" s="1"/>
  <c r="DB48" i="27" a="1"/>
  <c r="DB48" i="27" s="1"/>
  <c r="DB50" i="27" a="1"/>
  <c r="DB50" i="27" s="1"/>
  <c r="DB54" i="27" a="1"/>
  <c r="DB54" i="27" s="1"/>
  <c r="DB38" i="27" a="1"/>
  <c r="DB38" i="27" s="1"/>
  <c r="DB52" i="27" a="1"/>
  <c r="DB52" i="27" s="1"/>
  <c r="DB53" i="27" a="1"/>
  <c r="DB53" i="27" s="1"/>
  <c r="DB55" i="27" a="1"/>
  <c r="DB55" i="27" s="1"/>
  <c r="DB56" i="27" a="1"/>
  <c r="DB56" i="27" s="1"/>
  <c r="DB60" i="27" a="1"/>
  <c r="DB60" i="27" s="1"/>
  <c r="DB63" i="27" a="1"/>
  <c r="DB63" i="27" s="1"/>
  <c r="DB64" i="27" a="1"/>
  <c r="DB64" i="27" s="1"/>
  <c r="DB67" i="27" a="1"/>
  <c r="DB67" i="27" s="1"/>
  <c r="DB68" i="27" a="1"/>
  <c r="DB68" i="27" s="1"/>
  <c r="DB73" i="27" a="1"/>
  <c r="DB73" i="27" s="1"/>
  <c r="DB46" i="27" a="1"/>
  <c r="DB46" i="27" s="1"/>
  <c r="DB58" i="27" a="1"/>
  <c r="DB58" i="27" s="1"/>
  <c r="DB69" i="27" a="1"/>
  <c r="DB69" i="27" s="1"/>
  <c r="DB75" i="27" a="1"/>
  <c r="DB75" i="27" s="1"/>
  <c r="DB59" i="27" a="1"/>
  <c r="DB59" i="27" s="1"/>
  <c r="DB66" i="27" a="1"/>
  <c r="DB66" i="27" s="1"/>
  <c r="DB71" i="27" a="1"/>
  <c r="DB71" i="27" s="1"/>
  <c r="DB72" i="27" a="1"/>
  <c r="DB72" i="27" s="1"/>
  <c r="DB74" i="27" a="1"/>
  <c r="DB74" i="27" s="1"/>
  <c r="DB78" i="27" a="1"/>
  <c r="DB78" i="27" s="1"/>
  <c r="DB44" i="27" a="1"/>
  <c r="DB44" i="27" s="1"/>
  <c r="DB65" i="27" a="1"/>
  <c r="DB65" i="27" s="1"/>
  <c r="DB76" i="27" a="1"/>
  <c r="DB76" i="27" s="1"/>
  <c r="DB80" i="27" a="1"/>
  <c r="DB80" i="27" s="1"/>
  <c r="DB85" i="27" a="1"/>
  <c r="DB85" i="27" s="1"/>
  <c r="DB92" i="27" a="1"/>
  <c r="DB92" i="27" s="1"/>
  <c r="DB93" i="27" a="1"/>
  <c r="DB93" i="27" s="1"/>
  <c r="DB57" i="27" a="1"/>
  <c r="DB57" i="27" s="1"/>
  <c r="DB79" i="27" a="1"/>
  <c r="DB79" i="27" s="1"/>
  <c r="DB82" i="27" a="1"/>
  <c r="DB82" i="27" s="1"/>
  <c r="DB86" i="27" a="1"/>
  <c r="DB86" i="27" s="1"/>
  <c r="DB90" i="27" a="1"/>
  <c r="DB90" i="27" s="1"/>
  <c r="DB43" i="27" a="1"/>
  <c r="DB43" i="27" s="1"/>
  <c r="DB61" i="27" a="1"/>
  <c r="DB61" i="27" s="1"/>
  <c r="DB62" i="27" a="1"/>
  <c r="DB62" i="27" s="1"/>
  <c r="DB77" i="27" a="1"/>
  <c r="DB77" i="27" s="1"/>
  <c r="DB83" i="27" a="1"/>
  <c r="DB83" i="27" s="1"/>
  <c r="DB87" i="27" a="1"/>
  <c r="DB87" i="27" s="1"/>
  <c r="DB88" i="27" a="1"/>
  <c r="DB88" i="27" s="1"/>
  <c r="DB91" i="27" a="1"/>
  <c r="DB91" i="27" s="1"/>
  <c r="DB95" i="27" a="1"/>
  <c r="DB95" i="27" s="1"/>
  <c r="DB81" i="27" a="1"/>
  <c r="DB81" i="27" s="1"/>
  <c r="DB94" i="27" a="1"/>
  <c r="DB94" i="27" s="1"/>
  <c r="DB100" i="27" a="1"/>
  <c r="DB100" i="27" s="1"/>
  <c r="DB102" i="27" a="1"/>
  <c r="DB102" i="27" s="1"/>
  <c r="DB104" i="27" a="1"/>
  <c r="DB104" i="27" s="1"/>
  <c r="DB70" i="27" a="1"/>
  <c r="DB70" i="27" s="1"/>
  <c r="DB97" i="27" a="1"/>
  <c r="DB97" i="27" s="1"/>
  <c r="DB108" i="27" a="1"/>
  <c r="DB108" i="27" s="1"/>
  <c r="DB110" i="27" a="1"/>
  <c r="DB110" i="27" s="1"/>
  <c r="DB112" i="27" a="1"/>
  <c r="DB112" i="27" s="1"/>
  <c r="DB116" i="27" a="1"/>
  <c r="DB116" i="27" s="1"/>
  <c r="DB98" i="27" a="1"/>
  <c r="DB98" i="27" s="1"/>
  <c r="DB99" i="27" a="1"/>
  <c r="DB99" i="27" s="1"/>
  <c r="DB101" i="27" a="1"/>
  <c r="DB101" i="27" s="1"/>
  <c r="DB115" i="27" a="1"/>
  <c r="DB115" i="27" s="1"/>
  <c r="DB131" i="27" a="1"/>
  <c r="DB131" i="27" s="1"/>
  <c r="DB135" i="27" a="1"/>
  <c r="DB135" i="27" s="1"/>
  <c r="DB136" i="27" a="1"/>
  <c r="DB136" i="27" s="1"/>
  <c r="DB128" i="27" a="1"/>
  <c r="DB128" i="27" s="1"/>
  <c r="DB129" i="27" a="1"/>
  <c r="DB129" i="27" s="1"/>
  <c r="DB89" i="27" a="1"/>
  <c r="DB89" i="27" s="1"/>
  <c r="DB103" i="27" a="1"/>
  <c r="DB103" i="27" s="1"/>
  <c r="DB105" i="27" a="1"/>
  <c r="DB105" i="27" s="1"/>
  <c r="DB109" i="27" a="1"/>
  <c r="DB109" i="27" s="1"/>
  <c r="DB113" i="27" a="1"/>
  <c r="DB113" i="27" s="1"/>
  <c r="DB118" i="27" a="1"/>
  <c r="DB118" i="27" s="1"/>
  <c r="DB120" i="27" a="1"/>
  <c r="DB120" i="27" s="1"/>
  <c r="DB122" i="27" a="1"/>
  <c r="DB122" i="27" s="1"/>
  <c r="DB124" i="27" a="1"/>
  <c r="DB124" i="27" s="1"/>
  <c r="DB126" i="27" a="1"/>
  <c r="DB126" i="27" s="1"/>
  <c r="DB127" i="27" a="1"/>
  <c r="DB127" i="27" s="1"/>
  <c r="DB130" i="27" a="1"/>
  <c r="DB130" i="27" s="1"/>
  <c r="DB132" i="27" a="1"/>
  <c r="DB132" i="27" s="1"/>
  <c r="DB137" i="27" a="1"/>
  <c r="DB137" i="27" s="1"/>
  <c r="DB138" i="27" a="1"/>
  <c r="DB138" i="27" s="1"/>
  <c r="DB121" i="27" a="1"/>
  <c r="DB121" i="27" s="1"/>
  <c r="DB123" i="27" a="1"/>
  <c r="DB123" i="27" s="1"/>
  <c r="DB125" i="27" a="1"/>
  <c r="DB125" i="27" s="1"/>
  <c r="DB134" i="27" a="1"/>
  <c r="DB134" i="27" s="1"/>
  <c r="DB96" i="27" a="1"/>
  <c r="DB96" i="27" s="1"/>
  <c r="DB107" i="27" a="1"/>
  <c r="DB107" i="27" s="1"/>
  <c r="DB114" i="27" a="1"/>
  <c r="DB114" i="27" s="1"/>
  <c r="DB117" i="27" a="1"/>
  <c r="DB117" i="27" s="1"/>
  <c r="DB139" i="27" a="1"/>
  <c r="DB139" i="27" s="1"/>
  <c r="DB84" i="27" a="1"/>
  <c r="DB84" i="27" s="1"/>
  <c r="DB106" i="27" a="1"/>
  <c r="DB106" i="27" s="1"/>
  <c r="DB111" i="27" a="1"/>
  <c r="DB111" i="27" s="1"/>
  <c r="DB119" i="27" a="1"/>
  <c r="DB119" i="27" s="1"/>
  <c r="DB133" i="27" a="1"/>
  <c r="DB133" i="27" s="1"/>
  <c r="G84" i="27"/>
  <c r="M100" i="27" a="1"/>
  <c r="M100" i="27" s="1"/>
  <c r="AY100" i="27"/>
  <c r="BC100" i="27"/>
  <c r="BG100" i="27"/>
  <c r="AV100" i="27"/>
  <c r="AZ100" i="27"/>
  <c r="BD100" i="27"/>
  <c r="BA100" i="27"/>
  <c r="BE100" i="27"/>
  <c r="AX100" i="27"/>
  <c r="BB100" i="27"/>
  <c r="BF100" i="27"/>
  <c r="EC57" i="27"/>
  <c r="BY137" i="27" a="1"/>
  <c r="BY137" i="27" s="1"/>
  <c r="CG137" i="27" a="1"/>
  <c r="CG137" i="27" s="1"/>
  <c r="CO137" i="27" a="1"/>
  <c r="CO137" i="27" s="1"/>
  <c r="BZ137" i="27" a="1"/>
  <c r="BZ137" i="27" s="1"/>
  <c r="CB137" i="27" a="1"/>
  <c r="CB137" i="27" s="1"/>
  <c r="CF137" i="27" a="1"/>
  <c r="CF137" i="27" s="1"/>
  <c r="CA137" i="27" a="1"/>
  <c r="CA137" i="27" s="1"/>
  <c r="CI137" i="27" a="1"/>
  <c r="CI137" i="27" s="1"/>
  <c r="CQ137" i="27" a="1"/>
  <c r="CQ137" i="27" s="1"/>
  <c r="CH137" i="27" a="1"/>
  <c r="CH137" i="27" s="1"/>
  <c r="CJ137" i="27" a="1"/>
  <c r="CJ137" i="27" s="1"/>
  <c r="CN137" i="27" a="1"/>
  <c r="CN137" i="27" s="1"/>
  <c r="CC137" i="27" a="1"/>
  <c r="CC137" i="27" s="1"/>
  <c r="CK137" i="27" a="1"/>
  <c r="CK137" i="27" s="1"/>
  <c r="CS137" i="27" a="1"/>
  <c r="CS137" i="27" s="1"/>
  <c r="CP137" i="27" a="1"/>
  <c r="CP137" i="27" s="1"/>
  <c r="CR137" i="27" a="1"/>
  <c r="CR137" i="27" s="1"/>
  <c r="CV137" i="27" a="1"/>
  <c r="CV137" i="27" s="1"/>
  <c r="CE137" i="27" a="1"/>
  <c r="CE137" i="27" s="1"/>
  <c r="CM137" i="27" a="1"/>
  <c r="CM137" i="27" s="1"/>
  <c r="CU137" i="27" a="1"/>
  <c r="CU137" i="27" s="1"/>
  <c r="CL137" i="27" a="1"/>
  <c r="CL137" i="27" s="1"/>
  <c r="CT137" i="27" a="1"/>
  <c r="CT137" i="27" s="1"/>
  <c r="CD137" i="27" a="1"/>
  <c r="CD137" i="27" s="1"/>
  <c r="BY135" i="27" a="1"/>
  <c r="BY135" i="27" s="1"/>
  <c r="CG135" i="27" a="1"/>
  <c r="CG135" i="27" s="1"/>
  <c r="CO135" i="27" a="1"/>
  <c r="CO135" i="27" s="1"/>
  <c r="BZ135" i="27" a="1"/>
  <c r="BZ135" i="27" s="1"/>
  <c r="CJ135" i="27" a="1"/>
  <c r="CJ135" i="27" s="1"/>
  <c r="CT135" i="27" a="1"/>
  <c r="CT135" i="27" s="1"/>
  <c r="CA135" i="27" a="1"/>
  <c r="CA135" i="27" s="1"/>
  <c r="CQ135" i="27" a="1"/>
  <c r="CQ135" i="27" s="1"/>
  <c r="CH135" i="27" a="1"/>
  <c r="CH135" i="27" s="1"/>
  <c r="CF135" i="27" a="1"/>
  <c r="CF135" i="27" s="1"/>
  <c r="CC135" i="27" a="1"/>
  <c r="CC135" i="27" s="1"/>
  <c r="CS135" i="27" a="1"/>
  <c r="CS135" i="27" s="1"/>
  <c r="CP135" i="27" a="1"/>
  <c r="CP135" i="27" s="1"/>
  <c r="CE135" i="27" a="1"/>
  <c r="CE135" i="27" s="1"/>
  <c r="CB135" i="27" a="1"/>
  <c r="CB135" i="27" s="1"/>
  <c r="CI135" i="27" a="1"/>
  <c r="CI135" i="27" s="1"/>
  <c r="CR135" i="27" a="1"/>
  <c r="CR135" i="27" s="1"/>
  <c r="CK135" i="27" a="1"/>
  <c r="CK135" i="27" s="1"/>
  <c r="CN135" i="27" a="1"/>
  <c r="CN135" i="27" s="1"/>
  <c r="CU135" i="27" a="1"/>
  <c r="CU135" i="27" s="1"/>
  <c r="CV135" i="27" a="1"/>
  <c r="CV135" i="27" s="1"/>
  <c r="CD135" i="27" a="1"/>
  <c r="CD135" i="27" s="1"/>
  <c r="CM135" i="27" a="1"/>
  <c r="CM135" i="27" s="1"/>
  <c r="CL135" i="27" a="1"/>
  <c r="CL135" i="27" s="1"/>
  <c r="CU119" i="27" a="1"/>
  <c r="CU119" i="27" s="1"/>
  <c r="BY119" i="27" a="1"/>
  <c r="BY119" i="27" s="1"/>
  <c r="CV119" i="27" a="1"/>
  <c r="CV119" i="27" s="1"/>
  <c r="CA119" i="27" a="1"/>
  <c r="CA119" i="27" s="1"/>
  <c r="BZ119" i="27" a="1"/>
  <c r="BZ119" i="27" s="1"/>
  <c r="CC119" i="27" a="1"/>
  <c r="CC119" i="27" s="1"/>
  <c r="BY134" i="27" a="1"/>
  <c r="BY134" i="27" s="1"/>
  <c r="CD134" i="27" a="1"/>
  <c r="CD134" i="27" s="1"/>
  <c r="CN134" i="27" a="1"/>
  <c r="CN134" i="27" s="1"/>
  <c r="CQ134" i="27" a="1"/>
  <c r="CQ134" i="27" s="1"/>
  <c r="CL134" i="27" a="1"/>
  <c r="CL134" i="27" s="1"/>
  <c r="CT134" i="27" a="1"/>
  <c r="CT134" i="27" s="1"/>
  <c r="CU134" i="27" a="1"/>
  <c r="CU134" i="27" s="1"/>
  <c r="CS134" i="27" a="1"/>
  <c r="CS134" i="27" s="1"/>
  <c r="BZ134" i="27" a="1"/>
  <c r="BZ134" i="27" s="1"/>
  <c r="CJ134" i="27" a="1"/>
  <c r="CJ134" i="27" s="1"/>
  <c r="CE134" i="27" a="1"/>
  <c r="CE134" i="27" s="1"/>
  <c r="CH134" i="27" a="1"/>
  <c r="CH134" i="27" s="1"/>
  <c r="CV127" i="27" a="1"/>
  <c r="CV127" i="27" s="1"/>
  <c r="CT127" i="27" a="1"/>
  <c r="CT127" i="27" s="1"/>
  <c r="CC127" i="27" a="1"/>
  <c r="CC127" i="27" s="1"/>
  <c r="CK127" i="27" a="1"/>
  <c r="CK127" i="27" s="1"/>
  <c r="CS127" i="27" a="1"/>
  <c r="CS127" i="27" s="1"/>
  <c r="CB127" i="27" a="1"/>
  <c r="CB127" i="27" s="1"/>
  <c r="CL127" i="27" a="1"/>
  <c r="CL127" i="27" s="1"/>
  <c r="CN127" i="27" a="1"/>
  <c r="CN127" i="27" s="1"/>
  <c r="CE127" i="27" a="1"/>
  <c r="CE127" i="27" s="1"/>
  <c r="CM127" i="27" a="1"/>
  <c r="CM127" i="27" s="1"/>
  <c r="CU127" i="27" a="1"/>
  <c r="CU127" i="27" s="1"/>
  <c r="CD127" i="27" a="1"/>
  <c r="CD127" i="27" s="1"/>
  <c r="CP127" i="27" a="1"/>
  <c r="CP127" i="27" s="1"/>
  <c r="CR127" i="27" a="1"/>
  <c r="CR127" i="27" s="1"/>
  <c r="BY127" i="27" a="1"/>
  <c r="BY127" i="27" s="1"/>
  <c r="CG127" i="27" a="1"/>
  <c r="CG127" i="27" s="1"/>
  <c r="CO127" i="27" a="1"/>
  <c r="CO127" i="27" s="1"/>
  <c r="BZ127" i="27" a="1"/>
  <c r="BZ127" i="27" s="1"/>
  <c r="CF127" i="27" a="1"/>
  <c r="CF127" i="27" s="1"/>
  <c r="CA127" i="27" a="1"/>
  <c r="CA127" i="27" s="1"/>
  <c r="CI127" i="27" a="1"/>
  <c r="CI127" i="27" s="1"/>
  <c r="CJ127" i="27" a="1"/>
  <c r="CJ127" i="27" s="1"/>
  <c r="CH127" i="27" a="1"/>
  <c r="CH127" i="27" s="1"/>
  <c r="CQ127" i="27" a="1"/>
  <c r="CQ127" i="27" s="1"/>
  <c r="CM99" i="27" a="1"/>
  <c r="CM99" i="27" s="1"/>
  <c r="CO99" i="27" a="1"/>
  <c r="CO99" i="27" s="1"/>
  <c r="CC99" i="27" a="1"/>
  <c r="CC99" i="27" s="1"/>
  <c r="CN99" i="27" a="1"/>
  <c r="CN99" i="27" s="1"/>
  <c r="CP99" i="27" a="1"/>
  <c r="CP99" i="27" s="1"/>
  <c r="CR99" i="27" a="1"/>
  <c r="CR99" i="27" s="1"/>
  <c r="BY122" i="27" a="1"/>
  <c r="BY122" i="27" s="1"/>
  <c r="CR122" i="27" a="1"/>
  <c r="CR122" i="27" s="1"/>
  <c r="CQ122" i="27" a="1"/>
  <c r="CQ122" i="27" s="1"/>
  <c r="CM122" i="27" a="1"/>
  <c r="CM122" i="27" s="1"/>
  <c r="CK122" i="27" a="1"/>
  <c r="CK122" i="27" s="1"/>
  <c r="CN122" i="27" a="1"/>
  <c r="CN122" i="27" s="1"/>
  <c r="CH107" i="27" a="1"/>
  <c r="CH107" i="27" s="1"/>
  <c r="CB115" i="27" a="1"/>
  <c r="CB115" i="27" s="1"/>
  <c r="CD115" i="27" a="1"/>
  <c r="CD115" i="27" s="1"/>
  <c r="CJ115" i="27" a="1"/>
  <c r="CJ115" i="27" s="1"/>
  <c r="CE109" i="27" a="1"/>
  <c r="CE109" i="27" s="1"/>
  <c r="CN109" i="27" a="1"/>
  <c r="CN109" i="27" s="1"/>
  <c r="CO109" i="27" a="1"/>
  <c r="CO109" i="27" s="1"/>
  <c r="CS109" i="27" a="1"/>
  <c r="CS109" i="27" s="1"/>
  <c r="CQ109" i="27" a="1"/>
  <c r="CQ109" i="27" s="1"/>
  <c r="CC109" i="27" a="1"/>
  <c r="CC109" i="27" s="1"/>
  <c r="CR84" i="27" a="1"/>
  <c r="CR84" i="27" s="1"/>
  <c r="CA84" i="27" a="1"/>
  <c r="CA84" i="27" s="1"/>
  <c r="BY84" i="27" a="1"/>
  <c r="BY84" i="27" s="1"/>
  <c r="CO84" i="27" a="1"/>
  <c r="CO84" i="27" s="1"/>
  <c r="CT84" i="27" a="1"/>
  <c r="CT84" i="27" s="1"/>
  <c r="CC84" i="27" a="1"/>
  <c r="CC84" i="27" s="1"/>
  <c r="BZ84" i="27" a="1"/>
  <c r="BZ84" i="27" s="1"/>
  <c r="CG84" i="27" a="1"/>
  <c r="CG84" i="27" s="1"/>
  <c r="CV84" i="27" a="1"/>
  <c r="CV84" i="27" s="1"/>
  <c r="CE84" i="27" a="1"/>
  <c r="CE84" i="27" s="1"/>
  <c r="CH84" i="27" a="1"/>
  <c r="CH84" i="27" s="1"/>
  <c r="CP84" i="27" a="1"/>
  <c r="CP84" i="27" s="1"/>
  <c r="CA95" i="27" a="1"/>
  <c r="CA95" i="27" s="1"/>
  <c r="CU95" i="27" a="1"/>
  <c r="CU95" i="27" s="1"/>
  <c r="CQ95" i="27" a="1"/>
  <c r="CQ95" i="27" s="1"/>
  <c r="CI95" i="27" a="1"/>
  <c r="CI95" i="27" s="1"/>
  <c r="CS95" i="27" a="1"/>
  <c r="CS95" i="27" s="1"/>
  <c r="BZ95" i="27" a="1"/>
  <c r="BZ95" i="27" s="1"/>
  <c r="CH95" i="27" a="1"/>
  <c r="CH95" i="27" s="1"/>
  <c r="CP95" i="27" a="1"/>
  <c r="CP95" i="27" s="1"/>
  <c r="CE95" i="27" a="1"/>
  <c r="CE95" i="27" s="1"/>
  <c r="CV95" i="27" a="1"/>
  <c r="CV95" i="27" s="1"/>
  <c r="CB95" i="27" a="1"/>
  <c r="CB95" i="27" s="1"/>
  <c r="CJ95" i="27" a="1"/>
  <c r="CJ95" i="27" s="1"/>
  <c r="BY95" i="27" a="1"/>
  <c r="BY95" i="27" s="1"/>
  <c r="CM95" i="27" a="1"/>
  <c r="CM95" i="27" s="1"/>
  <c r="CC95" i="27" a="1"/>
  <c r="CC95" i="27" s="1"/>
  <c r="CN95" i="27" a="1"/>
  <c r="CN95" i="27" s="1"/>
  <c r="CT95" i="27" a="1"/>
  <c r="CT95" i="27" s="1"/>
  <c r="CD95" i="27" a="1"/>
  <c r="CD95" i="27" s="1"/>
  <c r="CL95" i="27" a="1"/>
  <c r="CL95" i="27" s="1"/>
  <c r="CG95" i="27" a="1"/>
  <c r="CG95" i="27" s="1"/>
  <c r="CR95" i="27" a="1"/>
  <c r="CR95" i="27" s="1"/>
  <c r="CK95" i="27" a="1"/>
  <c r="CK95" i="27" s="1"/>
  <c r="CF95" i="27" a="1"/>
  <c r="CF95" i="27" s="1"/>
  <c r="CO95" i="27" a="1"/>
  <c r="CO95" i="27" s="1"/>
  <c r="BT91" i="27"/>
  <c r="BW91" i="27"/>
  <c r="CA87" i="27" a="1"/>
  <c r="CA87" i="27" s="1"/>
  <c r="CI87" i="27" a="1"/>
  <c r="CI87" i="27" s="1"/>
  <c r="CQ87" i="27" a="1"/>
  <c r="CQ87" i="27" s="1"/>
  <c r="CC87" i="27" a="1"/>
  <c r="CC87" i="27" s="1"/>
  <c r="CK87" i="27" a="1"/>
  <c r="CK87" i="27" s="1"/>
  <c r="CS87" i="27" a="1"/>
  <c r="CS87" i="27" s="1"/>
  <c r="CE87" i="27" a="1"/>
  <c r="CE87" i="27" s="1"/>
  <c r="CM87" i="27" a="1"/>
  <c r="CM87" i="27" s="1"/>
  <c r="CU87" i="27" a="1"/>
  <c r="CU87" i="27" s="1"/>
  <c r="BY87" i="27" a="1"/>
  <c r="BY87" i="27" s="1"/>
  <c r="CG87" i="27" a="1"/>
  <c r="CG87" i="27" s="1"/>
  <c r="CO87" i="27" a="1"/>
  <c r="CO87" i="27" s="1"/>
  <c r="CD87" i="27" a="1"/>
  <c r="CD87" i="27" s="1"/>
  <c r="CL87" i="27" a="1"/>
  <c r="CL87" i="27" s="1"/>
  <c r="CT87" i="27" a="1"/>
  <c r="CT87" i="27" s="1"/>
  <c r="CB87" i="27" a="1"/>
  <c r="CB87" i="27" s="1"/>
  <c r="CF87" i="27" a="1"/>
  <c r="CF87" i="27" s="1"/>
  <c r="CN87" i="27" a="1"/>
  <c r="CN87" i="27" s="1"/>
  <c r="CV87" i="27" a="1"/>
  <c r="CV87" i="27" s="1"/>
  <c r="CJ87" i="27" a="1"/>
  <c r="CJ87" i="27" s="1"/>
  <c r="BZ87" i="27" a="1"/>
  <c r="BZ87" i="27" s="1"/>
  <c r="CH87" i="27" a="1"/>
  <c r="CH87" i="27" s="1"/>
  <c r="CP87" i="27" a="1"/>
  <c r="CP87" i="27" s="1"/>
  <c r="CR87" i="27" a="1"/>
  <c r="CR87" i="27" s="1"/>
  <c r="CL69" i="27" a="1"/>
  <c r="CL69" i="27" s="1"/>
  <c r="CO69" i="27" a="1"/>
  <c r="CO69" i="27" s="1"/>
  <c r="CU69" i="27" a="1"/>
  <c r="CU69" i="27" s="1"/>
  <c r="BY69" i="27" a="1"/>
  <c r="BY69" i="27" s="1"/>
  <c r="CQ69" i="27" a="1"/>
  <c r="CQ69" i="27" s="1"/>
  <c r="CJ69" i="27" a="1"/>
  <c r="CJ69" i="27" s="1"/>
  <c r="CA92" i="27" a="1"/>
  <c r="CA92" i="27" s="1"/>
  <c r="CG92" i="27" a="1"/>
  <c r="CG92" i="27" s="1"/>
  <c r="CT92" i="27" a="1"/>
  <c r="CT92" i="27" s="1"/>
  <c r="CM92" i="27" a="1"/>
  <c r="CM92" i="27" s="1"/>
  <c r="CE92" i="27" a="1"/>
  <c r="CE92" i="27" s="1"/>
  <c r="CS92" i="27" a="1"/>
  <c r="CS92" i="27" s="1"/>
  <c r="BZ80" i="27" a="1"/>
  <c r="BZ80" i="27" s="1"/>
  <c r="CG76" i="27" a="1"/>
  <c r="CG76" i="27" s="1"/>
  <c r="CQ76" i="27" a="1"/>
  <c r="CQ76" i="27" s="1"/>
  <c r="CA76" i="27" a="1"/>
  <c r="CA76" i="27" s="1"/>
  <c r="BY76" i="27" a="1"/>
  <c r="BY76" i="27" s="1"/>
  <c r="CI76" i="27" a="1"/>
  <c r="CI76" i="27" s="1"/>
  <c r="CO76" i="27" a="1"/>
  <c r="CO76" i="27" s="1"/>
  <c r="CF76" i="27" a="1"/>
  <c r="CF76" i="27" s="1"/>
  <c r="CN76" i="27" a="1"/>
  <c r="CN76" i="27" s="1"/>
  <c r="CV76" i="27" a="1"/>
  <c r="CV76" i="27" s="1"/>
  <c r="CK76" i="27" a="1"/>
  <c r="CK76" i="27" s="1"/>
  <c r="CE76" i="27" a="1"/>
  <c r="CE76" i="27" s="1"/>
  <c r="BZ76" i="27" a="1"/>
  <c r="BZ76" i="27" s="1"/>
  <c r="CH76" i="27" a="1"/>
  <c r="CH76" i="27" s="1"/>
  <c r="CP76" i="27" a="1"/>
  <c r="CP76" i="27" s="1"/>
  <c r="CC76" i="27" a="1"/>
  <c r="CC76" i="27" s="1"/>
  <c r="CL76" i="27" a="1"/>
  <c r="CL76" i="27" s="1"/>
  <c r="CM76" i="27" a="1"/>
  <c r="CM76" i="27" s="1"/>
  <c r="CB76" i="27" a="1"/>
  <c r="CB76" i="27" s="1"/>
  <c r="CJ76" i="27" a="1"/>
  <c r="CJ76" i="27" s="1"/>
  <c r="CR76" i="27" a="1"/>
  <c r="CR76" i="27" s="1"/>
  <c r="CU76" i="27" a="1"/>
  <c r="CU76" i="27" s="1"/>
  <c r="CD76" i="27" a="1"/>
  <c r="CD76" i="27" s="1"/>
  <c r="CS76" i="27" a="1"/>
  <c r="CS76" i="27" s="1"/>
  <c r="CT76" i="27" a="1"/>
  <c r="CT76" i="27" s="1"/>
  <c r="CH59" i="27" a="1"/>
  <c r="CH59" i="27" s="1"/>
  <c r="CK59" i="27" a="1"/>
  <c r="CK59" i="27" s="1"/>
  <c r="CO59" i="27" a="1"/>
  <c r="CO59" i="27" s="1"/>
  <c r="BY63" i="27" a="1"/>
  <c r="BY63" i="27" s="1"/>
  <c r="CI63" i="27" a="1"/>
  <c r="CI63" i="27" s="1"/>
  <c r="CA63" i="27" a="1"/>
  <c r="CA63" i="27" s="1"/>
  <c r="CO63" i="27" a="1"/>
  <c r="CO63" i="27" s="1"/>
  <c r="CG63" i="27" a="1"/>
  <c r="CG63" i="27" s="1"/>
  <c r="CQ63" i="27" a="1"/>
  <c r="CQ63" i="27" s="1"/>
  <c r="BZ63" i="27" a="1"/>
  <c r="BZ63" i="27" s="1"/>
  <c r="CH63" i="27" a="1"/>
  <c r="CH63" i="27" s="1"/>
  <c r="CP63" i="27" a="1"/>
  <c r="CP63" i="27" s="1"/>
  <c r="CC63" i="27" a="1"/>
  <c r="CC63" i="27" s="1"/>
  <c r="CM63" i="27" a="1"/>
  <c r="CM63" i="27" s="1"/>
  <c r="CF63" i="27" a="1"/>
  <c r="CF63" i="27" s="1"/>
  <c r="CU63" i="27" a="1"/>
  <c r="CU63" i="27" s="1"/>
  <c r="CB63" i="27" a="1"/>
  <c r="CB63" i="27" s="1"/>
  <c r="CJ63" i="27" a="1"/>
  <c r="CJ63" i="27" s="1"/>
  <c r="CR63" i="27" a="1"/>
  <c r="CR63" i="27" s="1"/>
  <c r="CE63" i="27" a="1"/>
  <c r="CE63" i="27" s="1"/>
  <c r="CV63" i="27" a="1"/>
  <c r="CV63" i="27" s="1"/>
  <c r="CD63" i="27" a="1"/>
  <c r="CD63" i="27" s="1"/>
  <c r="CL63" i="27" a="1"/>
  <c r="CL63" i="27" s="1"/>
  <c r="CT63" i="27" a="1"/>
  <c r="CT63" i="27" s="1"/>
  <c r="CS63" i="27" a="1"/>
  <c r="CS63" i="27" s="1"/>
  <c r="CN63" i="27" a="1"/>
  <c r="CN63" i="27" s="1"/>
  <c r="CK63" i="27" a="1"/>
  <c r="CK63" i="27" s="1"/>
  <c r="CD32" i="27" a="1"/>
  <c r="CD32" i="27" s="1"/>
  <c r="CL32" i="27" a="1"/>
  <c r="CL32" i="27" s="1"/>
  <c r="CT32" i="27" a="1"/>
  <c r="CT32" i="27" s="1"/>
  <c r="CO32" i="27" a="1"/>
  <c r="CO32" i="27" s="1"/>
  <c r="CC32" i="27" a="1"/>
  <c r="CC32" i="27" s="1"/>
  <c r="CI32" i="27" a="1"/>
  <c r="CI32" i="27" s="1"/>
  <c r="CF32" i="27" a="1"/>
  <c r="CF32" i="27" s="1"/>
  <c r="CN32" i="27" a="1"/>
  <c r="CN32" i="27" s="1"/>
  <c r="CV32" i="27" a="1"/>
  <c r="CV32" i="27" s="1"/>
  <c r="CE32" i="27" a="1"/>
  <c r="CE32" i="27" s="1"/>
  <c r="CK32" i="27" a="1"/>
  <c r="CK32" i="27" s="1"/>
  <c r="CQ32" i="27" a="1"/>
  <c r="CQ32" i="27" s="1"/>
  <c r="BZ32" i="27" a="1"/>
  <c r="BZ32" i="27" s="1"/>
  <c r="CH32" i="27" a="1"/>
  <c r="CH32" i="27" s="1"/>
  <c r="CP32" i="27" a="1"/>
  <c r="CP32" i="27" s="1"/>
  <c r="BY32" i="27" a="1"/>
  <c r="BY32" i="27" s="1"/>
  <c r="CM32" i="27" a="1"/>
  <c r="CM32" i="27" s="1"/>
  <c r="CS32" i="27" a="1"/>
  <c r="CS32" i="27" s="1"/>
  <c r="CJ32" i="27" a="1"/>
  <c r="CJ32" i="27" s="1"/>
  <c r="CA32" i="27" a="1"/>
  <c r="CA32" i="27" s="1"/>
  <c r="CU32" i="27" a="1"/>
  <c r="CU32" i="27" s="1"/>
  <c r="CR32" i="27" a="1"/>
  <c r="CR32" i="27" s="1"/>
  <c r="CG32" i="27" a="1"/>
  <c r="CG32" i="27" s="1"/>
  <c r="CB32" i="27" a="1"/>
  <c r="CB32" i="27" s="1"/>
  <c r="CD71" i="27" a="1"/>
  <c r="CD71" i="27" s="1"/>
  <c r="CL71" i="27" a="1"/>
  <c r="CL71" i="27" s="1"/>
  <c r="CT71" i="27" a="1"/>
  <c r="CT71" i="27" s="1"/>
  <c r="CQ71" i="27" a="1"/>
  <c r="CQ71" i="27" s="1"/>
  <c r="CA71" i="27" a="1"/>
  <c r="CA71" i="27" s="1"/>
  <c r="CK71" i="27" a="1"/>
  <c r="CK71" i="27" s="1"/>
  <c r="CR71" i="27" a="1"/>
  <c r="CR71" i="27" s="1"/>
  <c r="CF71" i="27" a="1"/>
  <c r="CF71" i="27" s="1"/>
  <c r="CN71" i="27" a="1"/>
  <c r="CN71" i="27" s="1"/>
  <c r="CV71" i="27" a="1"/>
  <c r="CV71" i="27" s="1"/>
  <c r="CM71" i="27" a="1"/>
  <c r="CM71" i="27" s="1"/>
  <c r="CG71" i="27" a="1"/>
  <c r="CG71" i="27" s="1"/>
  <c r="CB71" i="27" a="1"/>
  <c r="CB71" i="27" s="1"/>
  <c r="CE71" i="27" a="1"/>
  <c r="CE71" i="27" s="1"/>
  <c r="CO71" i="27" a="1"/>
  <c r="CO71" i="27" s="1"/>
  <c r="BY71" i="27" a="1"/>
  <c r="BY71" i="27" s="1"/>
  <c r="BZ71" i="27" a="1"/>
  <c r="BZ71" i="27" s="1"/>
  <c r="CH71" i="27" a="1"/>
  <c r="CH71" i="27" s="1"/>
  <c r="CP71" i="27" a="1"/>
  <c r="CP71" i="27" s="1"/>
  <c r="CI71" i="27" a="1"/>
  <c r="CI71" i="27" s="1"/>
  <c r="CS71" i="27" a="1"/>
  <c r="CS71" i="27" s="1"/>
  <c r="CC71" i="27" a="1"/>
  <c r="CC71" i="27" s="1"/>
  <c r="CJ71" i="27" a="1"/>
  <c r="CJ71" i="27" s="1"/>
  <c r="CU71" i="27" a="1"/>
  <c r="CU71" i="27" s="1"/>
  <c r="CB53" i="27" a="1"/>
  <c r="CB53" i="27" s="1"/>
  <c r="CJ53" i="27" a="1"/>
  <c r="CJ53" i="27" s="1"/>
  <c r="CR53" i="27" a="1"/>
  <c r="CR53" i="27" s="1"/>
  <c r="CA53" i="27" a="1"/>
  <c r="CA53" i="27" s="1"/>
  <c r="CI53" i="27" a="1"/>
  <c r="CI53" i="27" s="1"/>
  <c r="CQ53" i="27" a="1"/>
  <c r="CQ53" i="27" s="1"/>
  <c r="CP53" i="27" a="1"/>
  <c r="CP53" i="27" s="1"/>
  <c r="CD53" i="27" a="1"/>
  <c r="CD53" i="27" s="1"/>
  <c r="CL53" i="27" a="1"/>
  <c r="CL53" i="27" s="1"/>
  <c r="CT53" i="27" a="1"/>
  <c r="CT53" i="27" s="1"/>
  <c r="CC53" i="27" a="1"/>
  <c r="CC53" i="27" s="1"/>
  <c r="CK53" i="27" a="1"/>
  <c r="CK53" i="27" s="1"/>
  <c r="CS53" i="27" a="1"/>
  <c r="CS53" i="27" s="1"/>
  <c r="CH53" i="27" a="1"/>
  <c r="CH53" i="27" s="1"/>
  <c r="CG53" i="27" a="1"/>
  <c r="CG53" i="27" s="1"/>
  <c r="CF53" i="27" a="1"/>
  <c r="CF53" i="27" s="1"/>
  <c r="CN53" i="27" a="1"/>
  <c r="CN53" i="27" s="1"/>
  <c r="CV53" i="27" a="1"/>
  <c r="CV53" i="27" s="1"/>
  <c r="CE53" i="27" a="1"/>
  <c r="CE53" i="27" s="1"/>
  <c r="CM53" i="27" a="1"/>
  <c r="CM53" i="27" s="1"/>
  <c r="CU53" i="27" a="1"/>
  <c r="CU53" i="27" s="1"/>
  <c r="BZ53" i="27" a="1"/>
  <c r="BZ53" i="27" s="1"/>
  <c r="BY53" i="27" a="1"/>
  <c r="BY53" i="27" s="1"/>
  <c r="CO53" i="27" a="1"/>
  <c r="CO53" i="27" s="1"/>
  <c r="CV31" i="27" a="1"/>
  <c r="CV31" i="27" s="1"/>
  <c r="BZ31" i="27" a="1"/>
  <c r="BZ31" i="27" s="1"/>
  <c r="CG31" i="27" a="1"/>
  <c r="CG31" i="27" s="1"/>
  <c r="CR31" i="27" a="1"/>
  <c r="CR31" i="27" s="1"/>
  <c r="CT31" i="27" a="1"/>
  <c r="CT31" i="27" s="1"/>
  <c r="CD31" i="27" a="1"/>
  <c r="CD31" i="27" s="1"/>
  <c r="CO38" i="27" a="1"/>
  <c r="CO38" i="27" s="1"/>
  <c r="CA38" i="27" a="1"/>
  <c r="CA38" i="27" s="1"/>
  <c r="CR38" i="27" a="1"/>
  <c r="CR38" i="27" s="1"/>
  <c r="CS38" i="27" a="1"/>
  <c r="CS38" i="27" s="1"/>
  <c r="CU38" i="27" a="1"/>
  <c r="CU38" i="27" s="1"/>
  <c r="CM38" i="27" a="1"/>
  <c r="CM38" i="27" s="1"/>
  <c r="CD44" i="27" a="1"/>
  <c r="CD44" i="27" s="1"/>
  <c r="CL44" i="27" a="1"/>
  <c r="CL44" i="27" s="1"/>
  <c r="CT44" i="27" a="1"/>
  <c r="CT44" i="27" s="1"/>
  <c r="CC44" i="27" a="1"/>
  <c r="CC44" i="27" s="1"/>
  <c r="CK44" i="27" a="1"/>
  <c r="CK44" i="27" s="1"/>
  <c r="CS44" i="27" a="1"/>
  <c r="CS44" i="27" s="1"/>
  <c r="CF44" i="27" a="1"/>
  <c r="CF44" i="27" s="1"/>
  <c r="CN44" i="27" a="1"/>
  <c r="CN44" i="27" s="1"/>
  <c r="CV44" i="27" a="1"/>
  <c r="CV44" i="27" s="1"/>
  <c r="CE44" i="27" a="1"/>
  <c r="CE44" i="27" s="1"/>
  <c r="CM44" i="27" a="1"/>
  <c r="CM44" i="27" s="1"/>
  <c r="CU44" i="27" a="1"/>
  <c r="CU44" i="27" s="1"/>
  <c r="CJ44" i="27" a="1"/>
  <c r="CJ44" i="27" s="1"/>
  <c r="CQ44" i="27" a="1"/>
  <c r="CQ44" i="27" s="1"/>
  <c r="BZ44" i="27" a="1"/>
  <c r="BZ44" i="27" s="1"/>
  <c r="CH44" i="27" a="1"/>
  <c r="CH44" i="27" s="1"/>
  <c r="CP44" i="27" a="1"/>
  <c r="CP44" i="27" s="1"/>
  <c r="BY44" i="27" a="1"/>
  <c r="BY44" i="27" s="1"/>
  <c r="CG44" i="27" a="1"/>
  <c r="CG44" i="27" s="1"/>
  <c r="CO44" i="27" a="1"/>
  <c r="CO44" i="27" s="1"/>
  <c r="CB44" i="27" a="1"/>
  <c r="CB44" i="27" s="1"/>
  <c r="CA44" i="27" a="1"/>
  <c r="CA44" i="27" s="1"/>
  <c r="CR44" i="27" a="1"/>
  <c r="CR44" i="27" s="1"/>
  <c r="CI44" i="27" a="1"/>
  <c r="CI44" i="27" s="1"/>
  <c r="CP35" i="27" a="1"/>
  <c r="CP35" i="27" s="1"/>
  <c r="CI35" i="27" a="1"/>
  <c r="CI35" i="27" s="1"/>
  <c r="CF35" i="27" a="1"/>
  <c r="CF35" i="27" s="1"/>
  <c r="CL35" i="27" a="1"/>
  <c r="CL35" i="27" s="1"/>
  <c r="CE35" i="27" a="1"/>
  <c r="CE35" i="27" s="1"/>
  <c r="CC35" i="27" a="1"/>
  <c r="CC35" i="27" s="1"/>
  <c r="CS28" i="27" a="1"/>
  <c r="CS28" i="27" s="1"/>
  <c r="CL28" i="27" a="1"/>
  <c r="CL28" i="27" s="1"/>
  <c r="CA28" i="27" a="1"/>
  <c r="CA28" i="27" s="1"/>
  <c r="CO28" i="27" a="1"/>
  <c r="CO28" i="27" s="1"/>
  <c r="CH28" i="27" a="1"/>
  <c r="CH28" i="27" s="1"/>
  <c r="CN28" i="27" a="1"/>
  <c r="CN28" i="27" s="1"/>
  <c r="CI24" i="27" a="1"/>
  <c r="CI24" i="27" s="1"/>
  <c r="CR24" i="27" a="1"/>
  <c r="CR24" i="27" s="1"/>
  <c r="CD24" i="27" a="1"/>
  <c r="CD24" i="27" s="1"/>
  <c r="CM24" i="27" a="1"/>
  <c r="CM24" i="27" s="1"/>
  <c r="CV24" i="27" a="1"/>
  <c r="CV24" i="27" s="1"/>
  <c r="CO24" i="27" a="1"/>
  <c r="CO24" i="27" s="1"/>
  <c r="CI22" i="27" a="1"/>
  <c r="CI22" i="27" s="1"/>
  <c r="BZ22" i="27" a="1"/>
  <c r="BZ22" i="27" s="1"/>
  <c r="CV22" i="27" a="1"/>
  <c r="CV22" i="27" s="1"/>
  <c r="CM22" i="27" a="1"/>
  <c r="CM22" i="27" s="1"/>
  <c r="CP22" i="27" a="1"/>
  <c r="CP22" i="27" s="1"/>
  <c r="CR22" i="27" a="1"/>
  <c r="CR22" i="27" s="1"/>
  <c r="CF16" i="27" a="1"/>
  <c r="CF16" i="27" s="1"/>
  <c r="CN16" i="27" a="1"/>
  <c r="CN16" i="27" s="1"/>
  <c r="CV16" i="27" a="1"/>
  <c r="CV16" i="27" s="1"/>
  <c r="CE16" i="27" a="1"/>
  <c r="CE16" i="27" s="1"/>
  <c r="CM16" i="27" a="1"/>
  <c r="CM16" i="27" s="1"/>
  <c r="CU16" i="27" a="1"/>
  <c r="CU16" i="27" s="1"/>
  <c r="BZ16" i="27" a="1"/>
  <c r="BZ16" i="27" s="1"/>
  <c r="CH16" i="27" a="1"/>
  <c r="CH16" i="27" s="1"/>
  <c r="CP16" i="27" a="1"/>
  <c r="CP16" i="27" s="1"/>
  <c r="BY16" i="27" a="1"/>
  <c r="BY16" i="27" s="1"/>
  <c r="CG16" i="27" a="1"/>
  <c r="CG16" i="27" s="1"/>
  <c r="CO16" i="27" a="1"/>
  <c r="CO16" i="27" s="1"/>
  <c r="CB16" i="27" a="1"/>
  <c r="CB16" i="27" s="1"/>
  <c r="CJ16" i="27" a="1"/>
  <c r="CJ16" i="27" s="1"/>
  <c r="CR16" i="27" a="1"/>
  <c r="CR16" i="27" s="1"/>
  <c r="CA16" i="27" a="1"/>
  <c r="CA16" i="27" s="1"/>
  <c r="CI16" i="27" a="1"/>
  <c r="CI16" i="27" s="1"/>
  <c r="CQ16" i="27" a="1"/>
  <c r="CQ16" i="27" s="1"/>
  <c r="CL16" i="27" a="1"/>
  <c r="CL16" i="27" s="1"/>
  <c r="CS16" i="27" a="1"/>
  <c r="CS16" i="27" s="1"/>
  <c r="CD16" i="27" a="1"/>
  <c r="CD16" i="27" s="1"/>
  <c r="CT16" i="27" a="1"/>
  <c r="CT16" i="27" s="1"/>
  <c r="CK16" i="27" a="1"/>
  <c r="CK16" i="27" s="1"/>
  <c r="CC16" i="27" a="1"/>
  <c r="CC16" i="27" s="1"/>
  <c r="BY11" i="27" a="1"/>
  <c r="BY11" i="27" s="1"/>
  <c r="CE11" i="27" a="1"/>
  <c r="CE11" i="27" s="1"/>
  <c r="CQ11" i="27" a="1"/>
  <c r="CQ11" i="27" s="1"/>
  <c r="CA11" i="27" a="1"/>
  <c r="CA11" i="27" s="1"/>
  <c r="CK11" i="27" a="1"/>
  <c r="CK11" i="27" s="1"/>
  <c r="CC11" i="27" a="1"/>
  <c r="CC11" i="27" s="1"/>
  <c r="CO11" i="27" a="1"/>
  <c r="CO11" i="27" s="1"/>
  <c r="CG11" i="27" a="1"/>
  <c r="CG11" i="27" s="1"/>
  <c r="CS11" i="27" a="1"/>
  <c r="CS11" i="27" s="1"/>
  <c r="CI11" i="27" a="1"/>
  <c r="CI11" i="27" s="1"/>
  <c r="CU11" i="27" a="1"/>
  <c r="CU11" i="27" s="1"/>
  <c r="CM11" i="27" a="1"/>
  <c r="CM11" i="27" s="1"/>
  <c r="CB11" i="27" a="1"/>
  <c r="CB11" i="27" s="1"/>
  <c r="CJ11" i="27" a="1"/>
  <c r="CJ11" i="27" s="1"/>
  <c r="CR11" i="27" a="1"/>
  <c r="CR11" i="27" s="1"/>
  <c r="CD11" i="27" a="1"/>
  <c r="CD11" i="27" s="1"/>
  <c r="CL11" i="27" a="1"/>
  <c r="CL11" i="27" s="1"/>
  <c r="CT11" i="27" a="1"/>
  <c r="CT11" i="27" s="1"/>
  <c r="CF11" i="27" a="1"/>
  <c r="CF11" i="27" s="1"/>
  <c r="CN11" i="27" a="1"/>
  <c r="CN11" i="27" s="1"/>
  <c r="CV11" i="27" a="1"/>
  <c r="CV11" i="27" s="1"/>
  <c r="BZ11" i="27" a="1"/>
  <c r="BZ11" i="27" s="1"/>
  <c r="CP11" i="27" a="1"/>
  <c r="CP11" i="27" s="1"/>
  <c r="CH11" i="27" a="1"/>
  <c r="CH11" i="27" s="1"/>
  <c r="BT10" i="27"/>
  <c r="BW10" i="27"/>
  <c r="AY37" i="27"/>
  <c r="BC37" i="27"/>
  <c r="BG37" i="27"/>
  <c r="BB37" i="27"/>
  <c r="AX37" i="27"/>
  <c r="BD37" i="27"/>
  <c r="AZ37" i="27"/>
  <c r="BE37" i="27"/>
  <c r="BA37" i="27"/>
  <c r="BF37" i="27"/>
  <c r="AV37" i="27"/>
  <c r="AV85" i="27"/>
  <c r="AZ85" i="27"/>
  <c r="BD85" i="27"/>
  <c r="BA85" i="27"/>
  <c r="BE85" i="27"/>
  <c r="AX85" i="27"/>
  <c r="BB85" i="27"/>
  <c r="BF85" i="27"/>
  <c r="AY85" i="27"/>
  <c r="BC85" i="27"/>
  <c r="BG85" i="27"/>
  <c r="BA31" i="27"/>
  <c r="BE31" i="27"/>
  <c r="AX31" i="27"/>
  <c r="BB31" i="27"/>
  <c r="BF31" i="27"/>
  <c r="BC31" i="27"/>
  <c r="AV31" i="27"/>
  <c r="BD31" i="27"/>
  <c r="AY31" i="27"/>
  <c r="BG31" i="27"/>
  <c r="AZ31" i="27"/>
  <c r="BA70" i="27"/>
  <c r="BE70" i="27"/>
  <c r="AX70" i="27"/>
  <c r="BB70" i="27"/>
  <c r="BF70" i="27"/>
  <c r="AY70" i="27"/>
  <c r="BC70" i="27"/>
  <c r="BG70" i="27"/>
  <c r="AV70" i="27"/>
  <c r="AZ70" i="27"/>
  <c r="BD70" i="27"/>
  <c r="AX135" i="27"/>
  <c r="BB135" i="27"/>
  <c r="BF135" i="27"/>
  <c r="AY135" i="27"/>
  <c r="BC135" i="27"/>
  <c r="BG135" i="27"/>
  <c r="AV135" i="27"/>
  <c r="AZ135" i="27"/>
  <c r="BD135" i="27"/>
  <c r="BA135" i="27"/>
  <c r="BE135" i="27"/>
  <c r="BA112" i="27"/>
  <c r="BE112" i="27"/>
  <c r="AX112" i="27"/>
  <c r="BB112" i="27"/>
  <c r="BF112" i="27"/>
  <c r="AY112" i="27"/>
  <c r="BC112" i="27"/>
  <c r="BG112" i="27"/>
  <c r="AV112" i="27"/>
  <c r="AZ112" i="27"/>
  <c r="BD112" i="27"/>
  <c r="Q63" i="27" a="1"/>
  <c r="Q63" i="27" s="1"/>
  <c r="W131" i="27" a="1"/>
  <c r="W131" i="27" s="1"/>
  <c r="U131" i="27" a="1"/>
  <c r="U131" i="27" s="1"/>
  <c r="AA131" i="27" a="1"/>
  <c r="AA131" i="27" s="1"/>
  <c r="D8" i="12"/>
  <c r="J10" i="27"/>
  <c r="G10" i="27"/>
  <c r="J74" i="27"/>
  <c r="G74" i="27"/>
  <c r="AF139" i="27" a="1"/>
  <c r="AF139" i="27" s="1"/>
  <c r="Q139" i="27" a="1"/>
  <c r="Q139" i="27" s="1"/>
  <c r="L139" i="27" a="1"/>
  <c r="L139" i="27" s="1"/>
  <c r="W139" i="27" a="1"/>
  <c r="W139" i="27" s="1"/>
  <c r="U139" i="27" a="1"/>
  <c r="U139" i="27" s="1"/>
  <c r="AH139" i="27" a="1"/>
  <c r="AH139" i="27" s="1"/>
  <c r="Q120" i="27" a="1"/>
  <c r="Q120" i="27" s="1"/>
  <c r="AG120" i="27" a="1"/>
  <c r="AG120" i="27" s="1"/>
  <c r="Z120" i="27" a="1"/>
  <c r="Z120" i="27" s="1"/>
  <c r="X120" i="27" a="1"/>
  <c r="X120" i="27" s="1"/>
  <c r="AE120" i="27" a="1"/>
  <c r="AE120" i="27" s="1"/>
  <c r="AA120" i="27" a="1"/>
  <c r="AA120" i="27" s="1"/>
  <c r="G92" i="27"/>
  <c r="Z44" i="27" a="1"/>
  <c r="Z44" i="27" s="1"/>
  <c r="S44" i="27" a="1"/>
  <c r="S44" i="27" s="1"/>
  <c r="AI44" i="27" a="1"/>
  <c r="AI44" i="27" s="1"/>
  <c r="L44" i="27" a="1"/>
  <c r="L44" i="27" s="1"/>
  <c r="U44" i="27" a="1"/>
  <c r="U44" i="27" s="1"/>
  <c r="P44" i="27" a="1"/>
  <c r="P44" i="27" s="1"/>
  <c r="DF7" i="27" a="1"/>
  <c r="DF7" i="27" s="1"/>
  <c r="DF9" i="27" a="1"/>
  <c r="DF9" i="27" s="1"/>
  <c r="DF8" i="27" a="1"/>
  <c r="DF8" i="27" s="1"/>
  <c r="DF10" i="27" a="1"/>
  <c r="DF10" i="27" s="1"/>
  <c r="DF11" i="27" a="1"/>
  <c r="DF11" i="27" s="1"/>
  <c r="DF12" i="27" a="1"/>
  <c r="DF12" i="27" s="1"/>
  <c r="DF13" i="27" a="1"/>
  <c r="DF13" i="27" s="1"/>
  <c r="DF14" i="27" a="1"/>
  <c r="DF14" i="27" s="1"/>
  <c r="DF15" i="27" a="1"/>
  <c r="DF15" i="27" s="1"/>
  <c r="DF18" i="27" a="1"/>
  <c r="DF18" i="27" s="1"/>
  <c r="DF17" i="27" a="1"/>
  <c r="DF17" i="27" s="1"/>
  <c r="DF20" i="27" a="1"/>
  <c r="DF20" i="27" s="1"/>
  <c r="DF19" i="27" a="1"/>
  <c r="DF19" i="27" s="1"/>
  <c r="DF21" i="27" a="1"/>
  <c r="DF21" i="27" s="1"/>
  <c r="DF16" i="27" a="1"/>
  <c r="DF16" i="27" s="1"/>
  <c r="DF22" i="27" a="1"/>
  <c r="DF22" i="27" s="1"/>
  <c r="DF23" i="27" a="1"/>
  <c r="DF23" i="27" s="1"/>
  <c r="DF25" i="27" a="1"/>
  <c r="DF25" i="27" s="1"/>
  <c r="DF26" i="27" a="1"/>
  <c r="DF26" i="27" s="1"/>
  <c r="DF27" i="27" a="1"/>
  <c r="DF27" i="27" s="1"/>
  <c r="DF29" i="27" a="1"/>
  <c r="DF29" i="27" s="1"/>
  <c r="DF34" i="27" a="1"/>
  <c r="DF34" i="27" s="1"/>
  <c r="DF28" i="27" a="1"/>
  <c r="DF28" i="27" s="1"/>
  <c r="DF30" i="27" a="1"/>
  <c r="DF30" i="27" s="1"/>
  <c r="DF24" i="27" a="1"/>
  <c r="DF24" i="27" s="1"/>
  <c r="DF31" i="27" a="1"/>
  <c r="DF31" i="27" s="1"/>
  <c r="DF32" i="27" a="1"/>
  <c r="DF32" i="27" s="1"/>
  <c r="DF40" i="27" a="1"/>
  <c r="DF40" i="27" s="1"/>
  <c r="DF43" i="27" a="1"/>
  <c r="DF43" i="27" s="1"/>
  <c r="DF44" i="27" a="1"/>
  <c r="DF44" i="27" s="1"/>
  <c r="DF45" i="27" a="1"/>
  <c r="DF45" i="27" s="1"/>
  <c r="DF41" i="27" a="1"/>
  <c r="DF41" i="27" s="1"/>
  <c r="DF37" i="27" a="1"/>
  <c r="DF37" i="27" s="1"/>
  <c r="DF42" i="27" a="1"/>
  <c r="DF42" i="27" s="1"/>
  <c r="DF49" i="27" a="1"/>
  <c r="DF49" i="27" s="1"/>
  <c r="DF51" i="27" a="1"/>
  <c r="DF51" i="27" s="1"/>
  <c r="DF35" i="27" a="1"/>
  <c r="DF35" i="27" s="1"/>
  <c r="DF36" i="27" a="1"/>
  <c r="DF36" i="27" s="1"/>
  <c r="DF39" i="27" a="1"/>
  <c r="DF39" i="27" s="1"/>
  <c r="DF54" i="27" a="1"/>
  <c r="DF54" i="27" s="1"/>
  <c r="DF33" i="27" a="1"/>
  <c r="DF33" i="27" s="1"/>
  <c r="DF50" i="27" a="1"/>
  <c r="DF50" i="27" s="1"/>
  <c r="DF52" i="27" a="1"/>
  <c r="DF52" i="27" s="1"/>
  <c r="DF48" i="27" a="1"/>
  <c r="DF48" i="27" s="1"/>
  <c r="DF53" i="27" a="1"/>
  <c r="DF53" i="27" s="1"/>
  <c r="DF55" i="27" a="1"/>
  <c r="DF55" i="27" s="1"/>
  <c r="DF66" i="27" a="1"/>
  <c r="DF66" i="27" s="1"/>
  <c r="DF71" i="27" a="1"/>
  <c r="DF71" i="27" s="1"/>
  <c r="DF72" i="27" a="1"/>
  <c r="DF72" i="27" s="1"/>
  <c r="DF78" i="27" a="1"/>
  <c r="DF78" i="27" s="1"/>
  <c r="DF38" i="27" a="1"/>
  <c r="DF38" i="27" s="1"/>
  <c r="DF57" i="27" a="1"/>
  <c r="DF57" i="27" s="1"/>
  <c r="DF58" i="27" a="1"/>
  <c r="DF58" i="27" s="1"/>
  <c r="DF62" i="27" a="1"/>
  <c r="DF62" i="27" s="1"/>
  <c r="DF65" i="27" a="1"/>
  <c r="DF65" i="27" s="1"/>
  <c r="DF70" i="27" a="1"/>
  <c r="DF70" i="27" s="1"/>
  <c r="DF46" i="27" a="1"/>
  <c r="DF46" i="27" s="1"/>
  <c r="DF56" i="27" a="1"/>
  <c r="DF56" i="27" s="1"/>
  <c r="DF59" i="27" a="1"/>
  <c r="DF59" i="27" s="1"/>
  <c r="DF60" i="27" a="1"/>
  <c r="DF60" i="27" s="1"/>
  <c r="DF63" i="27" a="1"/>
  <c r="DF63" i="27" s="1"/>
  <c r="DF64" i="27" a="1"/>
  <c r="DF64" i="27" s="1"/>
  <c r="DF67" i="27" a="1"/>
  <c r="DF67" i="27" s="1"/>
  <c r="DF68" i="27" a="1"/>
  <c r="DF68" i="27" s="1"/>
  <c r="DF73" i="27" a="1"/>
  <c r="DF73" i="27" s="1"/>
  <c r="DF74" i="27" a="1"/>
  <c r="DF74" i="27" s="1"/>
  <c r="DF47" i="27" a="1"/>
  <c r="DF47" i="27" s="1"/>
  <c r="DF61" i="27" a="1"/>
  <c r="DF61" i="27" s="1"/>
  <c r="DF69" i="27" a="1"/>
  <c r="DF69" i="27" s="1"/>
  <c r="DF75" i="27" a="1"/>
  <c r="DF75" i="27" s="1"/>
  <c r="DF80" i="27" a="1"/>
  <c r="DF80" i="27" s="1"/>
  <c r="DF85" i="27" a="1"/>
  <c r="DF85" i="27" s="1"/>
  <c r="DF87" i="27" a="1"/>
  <c r="DF87" i="27" s="1"/>
  <c r="DF88" i="27" a="1"/>
  <c r="DF88" i="27" s="1"/>
  <c r="DF91" i="27" a="1"/>
  <c r="DF91" i="27" s="1"/>
  <c r="DF92" i="27" a="1"/>
  <c r="DF92" i="27" s="1"/>
  <c r="DF79" i="27" a="1"/>
  <c r="DF79" i="27" s="1"/>
  <c r="DF81" i="27" a="1"/>
  <c r="DF81" i="27" s="1"/>
  <c r="DF82" i="27" a="1"/>
  <c r="DF82" i="27" s="1"/>
  <c r="DF86" i="27" a="1"/>
  <c r="DF86" i="27" s="1"/>
  <c r="DF77" i="27" a="1"/>
  <c r="DF77" i="27" s="1"/>
  <c r="DF83" i="27" a="1"/>
  <c r="DF83" i="27" s="1"/>
  <c r="DF93" i="27" a="1"/>
  <c r="DF93" i="27" s="1"/>
  <c r="DF95" i="27" a="1"/>
  <c r="DF95" i="27" s="1"/>
  <c r="DF76" i="27" a="1"/>
  <c r="DF76" i="27" s="1"/>
  <c r="DF90" i="27" a="1"/>
  <c r="DF90" i="27" s="1"/>
  <c r="DF97" i="27" a="1"/>
  <c r="DF97" i="27" s="1"/>
  <c r="DF101" i="27" a="1"/>
  <c r="DF101" i="27" s="1"/>
  <c r="DF104" i="27" a="1"/>
  <c r="DF104" i="27" s="1"/>
  <c r="DF108" i="27" a="1"/>
  <c r="DF108" i="27" s="1"/>
  <c r="DF84" i="27" a="1"/>
  <c r="DF84" i="27" s="1"/>
  <c r="DF89" i="27" a="1"/>
  <c r="DF89" i="27" s="1"/>
  <c r="DF96" i="27" a="1"/>
  <c r="DF96" i="27" s="1"/>
  <c r="DF98" i="27" a="1"/>
  <c r="DF98" i="27" s="1"/>
  <c r="DF103" i="27" a="1"/>
  <c r="DF103" i="27" s="1"/>
  <c r="DF105" i="27" a="1"/>
  <c r="DF105" i="27" s="1"/>
  <c r="DF106" i="27" a="1"/>
  <c r="DF106" i="27" s="1"/>
  <c r="DF109" i="27" a="1"/>
  <c r="DF109" i="27" s="1"/>
  <c r="DF111" i="27" a="1"/>
  <c r="DF111" i="27" s="1"/>
  <c r="DF113" i="27" a="1"/>
  <c r="DF113" i="27" s="1"/>
  <c r="DF114" i="27" a="1"/>
  <c r="DF114" i="27" s="1"/>
  <c r="DF115" i="27" a="1"/>
  <c r="DF115" i="27" s="1"/>
  <c r="DF117" i="27" a="1"/>
  <c r="DF117" i="27" s="1"/>
  <c r="DF99" i="27" a="1"/>
  <c r="DF99" i="27" s="1"/>
  <c r="DF100" i="27" a="1"/>
  <c r="DF100" i="27" s="1"/>
  <c r="DF102" i="27" a="1"/>
  <c r="DF102" i="27" s="1"/>
  <c r="DF107" i="27" a="1"/>
  <c r="DF107" i="27" s="1"/>
  <c r="DF116" i="27" a="1"/>
  <c r="DF116" i="27" s="1"/>
  <c r="DF118" i="27" a="1"/>
  <c r="DF118" i="27" s="1"/>
  <c r="DF120" i="27" a="1"/>
  <c r="DF120" i="27" s="1"/>
  <c r="DF122" i="27" a="1"/>
  <c r="DF122" i="27" s="1"/>
  <c r="DF139" i="27" a="1"/>
  <c r="DF139" i="27" s="1"/>
  <c r="DF124" i="27" a="1"/>
  <c r="DF124" i="27" s="1"/>
  <c r="DF130" i="27" a="1"/>
  <c r="DF130" i="27" s="1"/>
  <c r="DF110" i="27" a="1"/>
  <c r="DF110" i="27" s="1"/>
  <c r="DF125" i="27" a="1"/>
  <c r="DF125" i="27" s="1"/>
  <c r="DF128" i="27" a="1"/>
  <c r="DF128" i="27" s="1"/>
  <c r="DF129" i="27" a="1"/>
  <c r="DF129" i="27" s="1"/>
  <c r="DF133" i="27" a="1"/>
  <c r="DF133" i="27" s="1"/>
  <c r="DF134" i="27" a="1"/>
  <c r="DF134" i="27" s="1"/>
  <c r="DF127" i="27" a="1"/>
  <c r="DF127" i="27" s="1"/>
  <c r="DF132" i="27" a="1"/>
  <c r="DF132" i="27" s="1"/>
  <c r="DF138" i="27" a="1"/>
  <c r="DF138" i="27" s="1"/>
  <c r="DF94" i="27" a="1"/>
  <c r="DF94" i="27" s="1"/>
  <c r="DF119" i="27" a="1"/>
  <c r="DF119" i="27" s="1"/>
  <c r="DF121" i="27" a="1"/>
  <c r="DF121" i="27" s="1"/>
  <c r="DF123" i="27" a="1"/>
  <c r="DF123" i="27" s="1"/>
  <c r="DF131" i="27" a="1"/>
  <c r="DF131" i="27" s="1"/>
  <c r="DF135" i="27" a="1"/>
  <c r="DF135" i="27" s="1"/>
  <c r="DF136" i="27" a="1"/>
  <c r="DF136" i="27" s="1"/>
  <c r="DF112" i="27" a="1"/>
  <c r="DF112" i="27" s="1"/>
  <c r="DF126" i="27" a="1"/>
  <c r="DF126" i="27" s="1"/>
  <c r="DF137" i="27" a="1"/>
  <c r="DF137" i="27" s="1"/>
  <c r="V20" i="27" a="1"/>
  <c r="V20" i="27" s="1"/>
  <c r="AD20" i="27" a="1"/>
  <c r="AD20" i="27" s="1"/>
  <c r="AI20" i="27" a="1"/>
  <c r="AI20" i="27" s="1"/>
  <c r="Z20" i="27" a="1"/>
  <c r="Z20" i="27" s="1"/>
  <c r="AX68" i="27"/>
  <c r="BB68" i="27"/>
  <c r="BF68" i="27"/>
  <c r="AY68" i="27"/>
  <c r="BC68" i="27"/>
  <c r="BG68" i="27"/>
  <c r="AV68" i="27"/>
  <c r="AZ68" i="27"/>
  <c r="BD68" i="27"/>
  <c r="BA68" i="27"/>
  <c r="BE68" i="27"/>
  <c r="AG73" i="27" a="1"/>
  <c r="AG73" i="27" s="1"/>
  <c r="N73" i="27" a="1"/>
  <c r="N73" i="27" s="1"/>
  <c r="O73" i="27" a="1"/>
  <c r="O73" i="27" s="1"/>
  <c r="U73" i="27" a="1"/>
  <c r="U73" i="27" s="1"/>
  <c r="AF73" i="27" a="1"/>
  <c r="AF73" i="27" s="1"/>
  <c r="V73" i="27" a="1"/>
  <c r="V73" i="27" s="1"/>
  <c r="BA25" i="27"/>
  <c r="BE25" i="27"/>
  <c r="AX25" i="27"/>
  <c r="BB25" i="27"/>
  <c r="BF25" i="27"/>
  <c r="AY25" i="27"/>
  <c r="BG25" i="27"/>
  <c r="AZ25" i="27"/>
  <c r="BC25" i="27"/>
  <c r="AV25" i="27"/>
  <c r="BD25" i="27"/>
  <c r="BA73" i="27"/>
  <c r="BE73" i="27"/>
  <c r="AX73" i="27"/>
  <c r="BB73" i="27"/>
  <c r="BF73" i="27"/>
  <c r="AY73" i="27"/>
  <c r="BC73" i="27"/>
  <c r="BG73" i="27"/>
  <c r="AZ73" i="27"/>
  <c r="BD73" i="27"/>
  <c r="AV73" i="27"/>
  <c r="AX105" i="27"/>
  <c r="BB105" i="27"/>
  <c r="BF105" i="27"/>
  <c r="AY105" i="27"/>
  <c r="BC105" i="27"/>
  <c r="BG105" i="27"/>
  <c r="AV105" i="27"/>
  <c r="AZ105" i="27"/>
  <c r="BD105" i="27"/>
  <c r="BA105" i="27"/>
  <c r="BE105" i="27"/>
  <c r="AX35" i="27"/>
  <c r="BB35" i="27"/>
  <c r="BF35" i="27"/>
  <c r="AY35" i="27"/>
  <c r="BC35" i="27"/>
  <c r="BG35" i="27"/>
  <c r="BE35" i="27"/>
  <c r="AZ35" i="27"/>
  <c r="BA35" i="27"/>
  <c r="AV35" i="27"/>
  <c r="BD35" i="27"/>
  <c r="AY87" i="27"/>
  <c r="BC87" i="27"/>
  <c r="BG87" i="27"/>
  <c r="AV87" i="27"/>
  <c r="AZ87" i="27"/>
  <c r="BD87" i="27"/>
  <c r="BA87" i="27"/>
  <c r="BE87" i="27"/>
  <c r="BF87" i="27"/>
  <c r="AX87" i="27"/>
  <c r="BB87" i="27"/>
  <c r="BA42" i="27"/>
  <c r="BE42" i="27"/>
  <c r="AX42" i="27"/>
  <c r="BB42" i="27"/>
  <c r="BF42" i="27"/>
  <c r="AY42" i="27"/>
  <c r="BC42" i="27"/>
  <c r="BG42" i="27"/>
  <c r="BD42" i="27"/>
  <c r="AV42" i="27"/>
  <c r="AZ42" i="27"/>
  <c r="BA90" i="27"/>
  <c r="BE90" i="27"/>
  <c r="AX90" i="27"/>
  <c r="BB90" i="27"/>
  <c r="BF90" i="27"/>
  <c r="AY90" i="27"/>
  <c r="BC90" i="27"/>
  <c r="BG90" i="27"/>
  <c r="BD90" i="27"/>
  <c r="AV90" i="27"/>
  <c r="AZ90" i="27"/>
  <c r="BA122" i="27"/>
  <c r="BE122" i="27"/>
  <c r="AY122" i="27"/>
  <c r="BC122" i="27"/>
  <c r="BG122" i="27"/>
  <c r="AZ122" i="27"/>
  <c r="AX122" i="27"/>
  <c r="BB122" i="27"/>
  <c r="AV122" i="27"/>
  <c r="BD122" i="27"/>
  <c r="BF122" i="27"/>
  <c r="BA99" i="27"/>
  <c r="BE99" i="27"/>
  <c r="AX99" i="27"/>
  <c r="BB99" i="27"/>
  <c r="BF99" i="27"/>
  <c r="AY99" i="27"/>
  <c r="BC99" i="27"/>
  <c r="BG99" i="27"/>
  <c r="BD99" i="27"/>
  <c r="AV99" i="27"/>
  <c r="AZ99" i="27"/>
  <c r="AY128" i="27"/>
  <c r="BC128" i="27"/>
  <c r="BG128" i="27"/>
  <c r="BF128" i="27"/>
  <c r="AV128" i="27"/>
  <c r="AZ128" i="27"/>
  <c r="BD128" i="27"/>
  <c r="BA128" i="27"/>
  <c r="BE128" i="27"/>
  <c r="AX128" i="27"/>
  <c r="BB128" i="27"/>
  <c r="G67" i="27"/>
  <c r="P115" i="27" a="1"/>
  <c r="P115" i="27" s="1"/>
  <c r="X115" i="27" a="1"/>
  <c r="X115" i="27" s="1"/>
  <c r="AG115" i="27" a="1"/>
  <c r="AG115" i="27" s="1"/>
  <c r="T115" i="27" a="1"/>
  <c r="T115" i="27" s="1"/>
  <c r="AX44" i="27"/>
  <c r="BB44" i="27"/>
  <c r="BF44" i="27"/>
  <c r="AY44" i="27"/>
  <c r="BC44" i="27"/>
  <c r="BG44" i="27"/>
  <c r="BE44" i="27"/>
  <c r="AZ44" i="27"/>
  <c r="BA44" i="27"/>
  <c r="BD44" i="27"/>
  <c r="AV44" i="27"/>
  <c r="M46" i="27" a="1"/>
  <c r="M46" i="27" s="1"/>
  <c r="T46" i="27" a="1"/>
  <c r="T46" i="27" s="1"/>
  <c r="AB46" i="27" a="1"/>
  <c r="AB46" i="27" s="1"/>
  <c r="AH46" i="27" a="1"/>
  <c r="AH46" i="27" s="1"/>
  <c r="D92" i="12"/>
  <c r="J94" i="27"/>
  <c r="G94" i="27"/>
  <c r="G123" i="27"/>
  <c r="N32" i="27" a="1"/>
  <c r="N32" i="27" s="1"/>
  <c r="Q32" i="27" a="1"/>
  <c r="Q32" i="27" s="1"/>
  <c r="X32" i="27" a="1"/>
  <c r="X32" i="27" s="1"/>
  <c r="AA32" i="27" a="1"/>
  <c r="AA32" i="27" s="1"/>
  <c r="AI32" i="27" a="1"/>
  <c r="AI32" i="27" s="1"/>
  <c r="L32" i="27" a="1"/>
  <c r="L32" i="27" s="1"/>
  <c r="G128" i="27"/>
  <c r="T17" i="27" a="1"/>
  <c r="T17" i="27" s="1"/>
  <c r="AB17" i="27" a="1"/>
  <c r="AB17" i="27" s="1"/>
  <c r="U17" i="27" a="1"/>
  <c r="U17" i="27" s="1"/>
  <c r="Y17" i="27" a="1"/>
  <c r="Y17" i="27" s="1"/>
  <c r="V17" i="27" a="1"/>
  <c r="V17" i="27" s="1"/>
  <c r="AD17" i="27" a="1"/>
  <c r="AD17" i="27" s="1"/>
  <c r="R17" i="27" a="1"/>
  <c r="R17" i="27" s="1"/>
  <c r="AH17" i="27" a="1"/>
  <c r="AH17" i="27" s="1"/>
  <c r="X97" i="27" a="1"/>
  <c r="X97" i="27" s="1"/>
  <c r="AC97" i="27" a="1"/>
  <c r="AC97" i="27" s="1"/>
  <c r="AF97" i="27" a="1"/>
  <c r="AF97" i="27" s="1"/>
  <c r="AB97" i="27" a="1"/>
  <c r="AB97" i="27" s="1"/>
  <c r="AG97" i="27" a="1"/>
  <c r="AG97" i="27" s="1"/>
  <c r="O97" i="27" a="1"/>
  <c r="O97" i="27" s="1"/>
  <c r="W97" i="27" a="1"/>
  <c r="W97" i="27" s="1"/>
  <c r="AH97" i="27" a="1"/>
  <c r="AH97" i="27" s="1"/>
  <c r="L97" i="27" a="1"/>
  <c r="L97" i="27" s="1"/>
  <c r="T97" i="27" a="1"/>
  <c r="T97" i="27" s="1"/>
  <c r="AD97" i="27" a="1"/>
  <c r="AD97" i="27" s="1"/>
  <c r="AI97" i="27" a="1"/>
  <c r="AI97" i="27" s="1"/>
  <c r="Q97" i="27" a="1"/>
  <c r="Q97" i="27" s="1"/>
  <c r="U97" i="27" a="1"/>
  <c r="U97" i="27" s="1"/>
  <c r="Z97" i="27" a="1"/>
  <c r="Z97" i="27" s="1"/>
  <c r="AE97" i="27" a="1"/>
  <c r="AE97" i="27" s="1"/>
  <c r="V97" i="27" a="1"/>
  <c r="V97" i="27" s="1"/>
  <c r="AA97" i="27" a="1"/>
  <c r="AA97" i="27" s="1"/>
  <c r="N97" i="27" a="1"/>
  <c r="N97" i="27" s="1"/>
  <c r="R97" i="27" a="1"/>
  <c r="R97" i="27" s="1"/>
  <c r="AK8" i="27" a="1"/>
  <c r="AK8" i="27" s="1"/>
  <c r="AK9" i="27" a="1"/>
  <c r="AK9" i="27" s="1"/>
  <c r="AK10" i="27" a="1"/>
  <c r="AK10" i="27" s="1"/>
  <c r="AK7" i="27" a="1"/>
  <c r="AK7" i="27" s="1"/>
  <c r="AK12" i="27" a="1"/>
  <c r="AK12" i="27" s="1"/>
  <c r="AK11" i="27" a="1"/>
  <c r="AK11" i="27" s="1"/>
  <c r="AK13" i="27" a="1"/>
  <c r="AK13" i="27" s="1"/>
  <c r="AK14" i="27" a="1"/>
  <c r="AK14" i="27" s="1"/>
  <c r="AK16" i="27" a="1"/>
  <c r="AK16" i="27" s="1"/>
  <c r="AK15" i="27" a="1"/>
  <c r="AK15" i="27" s="1"/>
  <c r="AK17" i="27" a="1"/>
  <c r="AK17" i="27" s="1"/>
  <c r="AK18" i="27" a="1"/>
  <c r="AK18" i="27" s="1"/>
  <c r="AK19" i="27" a="1"/>
  <c r="AK19" i="27" s="1"/>
  <c r="AK22" i="27" a="1"/>
  <c r="AK22" i="27" s="1"/>
  <c r="AK21" i="27" a="1"/>
  <c r="AK21" i="27" s="1"/>
  <c r="AK25" i="27" a="1"/>
  <c r="AK25" i="27" s="1"/>
  <c r="AK27" i="27" a="1"/>
  <c r="AK27" i="27" s="1"/>
  <c r="AK20" i="27" a="1"/>
  <c r="AK20" i="27" s="1"/>
  <c r="AK31" i="27" a="1"/>
  <c r="AK31" i="27" s="1"/>
  <c r="AK40" i="27" a="1"/>
  <c r="AK40" i="27" s="1"/>
  <c r="AK24" i="27" a="1"/>
  <c r="AK24" i="27" s="1"/>
  <c r="AK26" i="27" a="1"/>
  <c r="AK26" i="27" s="1"/>
  <c r="AK28" i="27" a="1"/>
  <c r="AK28" i="27" s="1"/>
  <c r="AK29" i="27" a="1"/>
  <c r="AK29" i="27" s="1"/>
  <c r="AK32" i="27" a="1"/>
  <c r="AK32" i="27" s="1"/>
  <c r="AK33" i="27" a="1"/>
  <c r="AK33" i="27" s="1"/>
  <c r="AK41" i="27" a="1"/>
  <c r="AK41" i="27" s="1"/>
  <c r="AK42" i="27" a="1"/>
  <c r="AK42" i="27" s="1"/>
  <c r="AK38" i="27" a="1"/>
  <c r="AK38" i="27" s="1"/>
  <c r="AK39" i="27" a="1"/>
  <c r="AK39" i="27" s="1"/>
  <c r="AK45" i="27" a="1"/>
  <c r="AK45" i="27" s="1"/>
  <c r="AK23" i="27" a="1"/>
  <c r="AK23" i="27" s="1"/>
  <c r="AK35" i="27" a="1"/>
  <c r="AK35" i="27" s="1"/>
  <c r="AK36" i="27" a="1"/>
  <c r="AK36" i="27" s="1"/>
  <c r="AK43" i="27" a="1"/>
  <c r="AK43" i="27" s="1"/>
  <c r="AK48" i="27" a="1"/>
  <c r="AK48" i="27" s="1"/>
  <c r="AK51" i="27" a="1"/>
  <c r="AK51" i="27" s="1"/>
  <c r="AK53" i="27" a="1"/>
  <c r="AK53" i="27" s="1"/>
  <c r="AK56" i="27" a="1"/>
  <c r="AK56" i="27" s="1"/>
  <c r="AK30" i="27" a="1"/>
  <c r="AK30" i="27" s="1"/>
  <c r="AK34" i="27" a="1"/>
  <c r="AK34" i="27" s="1"/>
  <c r="AK37" i="27" a="1"/>
  <c r="AK37" i="27" s="1"/>
  <c r="AK49" i="27" a="1"/>
  <c r="AK49" i="27" s="1"/>
  <c r="AK54" i="27" a="1"/>
  <c r="AK54" i="27" s="1"/>
  <c r="AK44" i="27" a="1"/>
  <c r="AK44" i="27" s="1"/>
  <c r="AK46" i="27" a="1"/>
  <c r="AK46" i="27" s="1"/>
  <c r="AK47" i="27" a="1"/>
  <c r="AK47" i="27" s="1"/>
  <c r="AK50" i="27" a="1"/>
  <c r="AK50" i="27" s="1"/>
  <c r="AK52" i="27" a="1"/>
  <c r="AK52" i="27" s="1"/>
  <c r="AK60" i="27" a="1"/>
  <c r="AK60" i="27" s="1"/>
  <c r="AK62" i="27" a="1"/>
  <c r="AK62" i="27" s="1"/>
  <c r="AK63" i="27" a="1"/>
  <c r="AK63" i="27" s="1"/>
  <c r="AK77" i="27" a="1"/>
  <c r="AK77" i="27" s="1"/>
  <c r="AK55" i="27" a="1"/>
  <c r="AK55" i="27" s="1"/>
  <c r="AK61" i="27" a="1"/>
  <c r="AK61" i="27" s="1"/>
  <c r="AK69" i="27" a="1"/>
  <c r="AK69" i="27" s="1"/>
  <c r="AK70" i="27" a="1"/>
  <c r="AK70" i="27" s="1"/>
  <c r="AK74" i="27" a="1"/>
  <c r="AK74" i="27" s="1"/>
  <c r="AK58" i="27" a="1"/>
  <c r="AK58" i="27" s="1"/>
  <c r="AK64" i="27" a="1"/>
  <c r="AK64" i="27" s="1"/>
  <c r="AK65" i="27" a="1"/>
  <c r="AK65" i="27" s="1"/>
  <c r="AK66" i="27" a="1"/>
  <c r="AK66" i="27" s="1"/>
  <c r="AK67" i="27" a="1"/>
  <c r="AK67" i="27" s="1"/>
  <c r="AK68" i="27" a="1"/>
  <c r="AK68" i="27" s="1"/>
  <c r="AK71" i="27" a="1"/>
  <c r="AK71" i="27" s="1"/>
  <c r="AK72" i="27" a="1"/>
  <c r="AK72" i="27" s="1"/>
  <c r="AK73" i="27" a="1"/>
  <c r="AK73" i="27" s="1"/>
  <c r="AK75" i="27" a="1"/>
  <c r="AK75" i="27" s="1"/>
  <c r="AK79" i="27" a="1"/>
  <c r="AK79" i="27" s="1"/>
  <c r="AK80" i="27" a="1"/>
  <c r="AK80" i="27" s="1"/>
  <c r="AK81" i="27" a="1"/>
  <c r="AK81" i="27" s="1"/>
  <c r="AK85" i="27" a="1"/>
  <c r="AK85" i="27" s="1"/>
  <c r="AK88" i="27" a="1"/>
  <c r="AK88" i="27" s="1"/>
  <c r="AK94" i="27" a="1"/>
  <c r="AK94" i="27" s="1"/>
  <c r="AK97" i="27" a="1"/>
  <c r="AK97" i="27" s="1"/>
  <c r="AK78" i="27" a="1"/>
  <c r="AK78" i="27" s="1"/>
  <c r="AK82" i="27" a="1"/>
  <c r="AK82" i="27" s="1"/>
  <c r="AK86" i="27" a="1"/>
  <c r="AK86" i="27" s="1"/>
  <c r="AK87" i="27" a="1"/>
  <c r="AK87" i="27" s="1"/>
  <c r="AK90" i="27" a="1"/>
  <c r="AK90" i="27" s="1"/>
  <c r="AK91" i="27" a="1"/>
  <c r="AK91" i="27" s="1"/>
  <c r="AK57" i="27" a="1"/>
  <c r="AK57" i="27" s="1"/>
  <c r="AK59" i="27" a="1"/>
  <c r="AK59" i="27" s="1"/>
  <c r="AK76" i="27" a="1"/>
  <c r="AK76" i="27" s="1"/>
  <c r="AK83" i="27" a="1"/>
  <c r="AK83" i="27" s="1"/>
  <c r="AK89" i="27" a="1"/>
  <c r="AK89" i="27" s="1"/>
  <c r="AK93" i="27" a="1"/>
  <c r="AK93" i="27" s="1"/>
  <c r="AK95" i="27" a="1"/>
  <c r="AK95" i="27" s="1"/>
  <c r="AK96" i="27" a="1"/>
  <c r="AK96" i="27" s="1"/>
  <c r="AK98" i="27" a="1"/>
  <c r="AK98" i="27" s="1"/>
  <c r="AK92" i="27" a="1"/>
  <c r="AK92" i="27" s="1"/>
  <c r="AK102" i="27" a="1"/>
  <c r="AK102" i="27" s="1"/>
  <c r="AK105" i="27" a="1"/>
  <c r="AK105" i="27" s="1"/>
  <c r="AK109" i="27" a="1"/>
  <c r="AK109" i="27" s="1"/>
  <c r="AK111" i="27" a="1"/>
  <c r="AK111" i="27" s="1"/>
  <c r="AK113" i="27" a="1"/>
  <c r="AK113" i="27" s="1"/>
  <c r="AK115" i="27" a="1"/>
  <c r="AK115" i="27" s="1"/>
  <c r="AK117" i="27" a="1"/>
  <c r="AK117" i="27" s="1"/>
  <c r="AK119" i="27" a="1"/>
  <c r="AK119" i="27" s="1"/>
  <c r="AK121" i="27" a="1"/>
  <c r="AK121" i="27" s="1"/>
  <c r="AK123" i="27" a="1"/>
  <c r="AK123" i="27" s="1"/>
  <c r="AK100" i="27" a="1"/>
  <c r="AK100" i="27" s="1"/>
  <c r="AK108" i="27" a="1"/>
  <c r="AK108" i="27" s="1"/>
  <c r="AK84" i="27" a="1"/>
  <c r="AK84" i="27" s="1"/>
  <c r="AK103" i="27" a="1"/>
  <c r="AK103" i="27" s="1"/>
  <c r="AK107" i="27" a="1"/>
  <c r="AK107" i="27" s="1"/>
  <c r="AK110" i="27" a="1"/>
  <c r="AK110" i="27" s="1"/>
  <c r="AK112" i="27" a="1"/>
  <c r="AK112" i="27" s="1"/>
  <c r="AK114" i="27" a="1"/>
  <c r="AK114" i="27" s="1"/>
  <c r="AK116" i="27" a="1"/>
  <c r="AK116" i="27" s="1"/>
  <c r="AK118" i="27" a="1"/>
  <c r="AK118" i="27" s="1"/>
  <c r="AK120" i="27" a="1"/>
  <c r="AK120" i="27" s="1"/>
  <c r="AK122" i="27" a="1"/>
  <c r="AK122" i="27" s="1"/>
  <c r="AK124" i="27" a="1"/>
  <c r="AK124" i="27" s="1"/>
  <c r="AK104" i="27" a="1"/>
  <c r="AK104" i="27" s="1"/>
  <c r="AK106" i="27" a="1"/>
  <c r="AK106" i="27" s="1"/>
  <c r="AK125" i="27" a="1"/>
  <c r="AK125" i="27" s="1"/>
  <c r="AK127" i="27" a="1"/>
  <c r="AK127" i="27" s="1"/>
  <c r="AK128" i="27" a="1"/>
  <c r="AK128" i="27" s="1"/>
  <c r="AK129" i="27" a="1"/>
  <c r="AK129" i="27" s="1"/>
  <c r="AK133" i="27" a="1"/>
  <c r="AK133" i="27" s="1"/>
  <c r="AK134" i="27" a="1"/>
  <c r="AK134" i="27" s="1"/>
  <c r="AK130" i="27" a="1"/>
  <c r="AK130" i="27" s="1"/>
  <c r="AK131" i="27" a="1"/>
  <c r="AK131" i="27" s="1"/>
  <c r="AK135" i="27" a="1"/>
  <c r="AK135" i="27" s="1"/>
  <c r="AK136" i="27" a="1"/>
  <c r="AK136" i="27" s="1"/>
  <c r="AK101" i="27" a="1"/>
  <c r="AK101" i="27" s="1"/>
  <c r="AK99" i="27" a="1"/>
  <c r="AK99" i="27" s="1"/>
  <c r="AK126" i="27" a="1"/>
  <c r="AK126" i="27" s="1"/>
  <c r="AK137" i="27" a="1"/>
  <c r="AK137" i="27" s="1"/>
  <c r="AK138" i="27" a="1"/>
  <c r="AK138" i="27" s="1"/>
  <c r="AK132" i="27" a="1"/>
  <c r="AK132" i="27" s="1"/>
  <c r="AK139" i="27" a="1"/>
  <c r="AK139" i="27" s="1"/>
  <c r="DD8" i="27" a="1"/>
  <c r="DD8" i="27" s="1"/>
  <c r="DD7" i="27" a="1"/>
  <c r="DD7" i="27" s="1"/>
  <c r="DD9" i="27" a="1"/>
  <c r="DD9" i="27" s="1"/>
  <c r="DD10" i="27" a="1"/>
  <c r="DD10" i="27" s="1"/>
  <c r="DD12" i="27" a="1"/>
  <c r="DD12" i="27" s="1"/>
  <c r="DD14" i="27" a="1"/>
  <c r="DD14" i="27" s="1"/>
  <c r="DD20" i="27" a="1"/>
  <c r="DD20" i="27" s="1"/>
  <c r="DD13" i="27" a="1"/>
  <c r="DD13" i="27" s="1"/>
  <c r="DD16" i="27" a="1"/>
  <c r="DD16" i="27" s="1"/>
  <c r="DD15" i="27" a="1"/>
  <c r="DD15" i="27" s="1"/>
  <c r="DD11" i="27" a="1"/>
  <c r="DD11" i="27" s="1"/>
  <c r="DD22" i="27" a="1"/>
  <c r="DD22" i="27" s="1"/>
  <c r="DD18" i="27" a="1"/>
  <c r="DD18" i="27" s="1"/>
  <c r="DD28" i="27" a="1"/>
  <c r="DD28" i="27" s="1"/>
  <c r="DD17" i="27" a="1"/>
  <c r="DD17" i="27" s="1"/>
  <c r="DD21" i="27" a="1"/>
  <c r="DD21" i="27" s="1"/>
  <c r="DD23" i="27" a="1"/>
  <c r="DD23" i="27" s="1"/>
  <c r="DD25" i="27" a="1"/>
  <c r="DD25" i="27" s="1"/>
  <c r="DD24" i="27" a="1"/>
  <c r="DD24" i="27" s="1"/>
  <c r="DD34" i="27" a="1"/>
  <c r="DD34" i="27" s="1"/>
  <c r="DD19" i="27" a="1"/>
  <c r="DD19" i="27" s="1"/>
  <c r="DD29" i="27" a="1"/>
  <c r="DD29" i="27" s="1"/>
  <c r="DD33" i="27" a="1"/>
  <c r="DD33" i="27" s="1"/>
  <c r="DD26" i="27" a="1"/>
  <c r="DD26" i="27" s="1"/>
  <c r="DD27" i="27" a="1"/>
  <c r="DD27" i="27" s="1"/>
  <c r="DD30" i="27" a="1"/>
  <c r="DD30" i="27" s="1"/>
  <c r="DD32" i="27" a="1"/>
  <c r="DD32" i="27" s="1"/>
  <c r="DD36" i="27" a="1"/>
  <c r="DD36" i="27" s="1"/>
  <c r="DD37" i="27" a="1"/>
  <c r="DD37" i="27" s="1"/>
  <c r="DD39" i="27" a="1"/>
  <c r="DD39" i="27" s="1"/>
  <c r="DD42" i="27" a="1"/>
  <c r="DD42" i="27" s="1"/>
  <c r="DD35" i="27" a="1"/>
  <c r="DD35" i="27" s="1"/>
  <c r="DD38" i="27" a="1"/>
  <c r="DD38" i="27" s="1"/>
  <c r="DD40" i="27" a="1"/>
  <c r="DD40" i="27" s="1"/>
  <c r="DD31" i="27" a="1"/>
  <c r="DD31" i="27" s="1"/>
  <c r="DD43" i="27" a="1"/>
  <c r="DD43" i="27" s="1"/>
  <c r="DD44" i="27" a="1"/>
  <c r="DD44" i="27" s="1"/>
  <c r="DD45" i="27" a="1"/>
  <c r="DD45" i="27" s="1"/>
  <c r="DD48" i="27" a="1"/>
  <c r="DD48" i="27" s="1"/>
  <c r="DD50" i="27" a="1"/>
  <c r="DD50" i="27" s="1"/>
  <c r="DD51" i="27" a="1"/>
  <c r="DD51" i="27" s="1"/>
  <c r="DD41" i="27" a="1"/>
  <c r="DD41" i="27" s="1"/>
  <c r="DD46" i="27" a="1"/>
  <c r="DD46" i="27" s="1"/>
  <c r="DD47" i="27" a="1"/>
  <c r="DD47" i="27" s="1"/>
  <c r="DD54" i="27" a="1"/>
  <c r="DD54" i="27" s="1"/>
  <c r="DD49" i="27" a="1"/>
  <c r="DD49" i="27" s="1"/>
  <c r="DD52" i="27" a="1"/>
  <c r="DD52" i="27" s="1"/>
  <c r="DD69" i="27" a="1"/>
  <c r="DD69" i="27" s="1"/>
  <c r="DD75" i="27" a="1"/>
  <c r="DD75" i="27" s="1"/>
  <c r="DD76" i="27" a="1"/>
  <c r="DD76" i="27" s="1"/>
  <c r="DD58" i="27" a="1"/>
  <c r="DD58" i="27" s="1"/>
  <c r="DD66" i="27" a="1"/>
  <c r="DD66" i="27" s="1"/>
  <c r="DD71" i="27" a="1"/>
  <c r="DD71" i="27" s="1"/>
  <c r="DD72" i="27" a="1"/>
  <c r="DD72" i="27" s="1"/>
  <c r="DD53" i="27" a="1"/>
  <c r="DD53" i="27" s="1"/>
  <c r="DD55" i="27" a="1"/>
  <c r="DD55" i="27" s="1"/>
  <c r="DD57" i="27" a="1"/>
  <c r="DD57" i="27" s="1"/>
  <c r="DD59" i="27" a="1"/>
  <c r="DD59" i="27" s="1"/>
  <c r="DD62" i="27" a="1"/>
  <c r="DD62" i="27" s="1"/>
  <c r="DD65" i="27" a="1"/>
  <c r="DD65" i="27" s="1"/>
  <c r="DD70" i="27" a="1"/>
  <c r="DD70" i="27" s="1"/>
  <c r="DD74" i="27" a="1"/>
  <c r="DD74" i="27" s="1"/>
  <c r="DD63" i="27" a="1"/>
  <c r="DD63" i="27" s="1"/>
  <c r="DD68" i="27" a="1"/>
  <c r="DD68" i="27" s="1"/>
  <c r="DD73" i="27" a="1"/>
  <c r="DD73" i="27" s="1"/>
  <c r="DD77" i="27" a="1"/>
  <c r="DD77" i="27" s="1"/>
  <c r="DD80" i="27" a="1"/>
  <c r="DD80" i="27" s="1"/>
  <c r="DD85" i="27" a="1"/>
  <c r="DD85" i="27" s="1"/>
  <c r="DD90" i="27" a="1"/>
  <c r="DD90" i="27" s="1"/>
  <c r="DD92" i="27" a="1"/>
  <c r="DD92" i="27" s="1"/>
  <c r="DD94" i="27" a="1"/>
  <c r="DD94" i="27" s="1"/>
  <c r="DD95" i="27" a="1"/>
  <c r="DD95" i="27" s="1"/>
  <c r="DD60" i="27" a="1"/>
  <c r="DD60" i="27" s="1"/>
  <c r="DD67" i="27" a="1"/>
  <c r="DD67" i="27" s="1"/>
  <c r="DD79" i="27" a="1"/>
  <c r="DD79" i="27" s="1"/>
  <c r="DD82" i="27" a="1"/>
  <c r="DD82" i="27" s="1"/>
  <c r="DD86" i="27" a="1"/>
  <c r="DD86" i="27" s="1"/>
  <c r="DD87" i="27" a="1"/>
  <c r="DD87" i="27" s="1"/>
  <c r="DD88" i="27" a="1"/>
  <c r="DD88" i="27" s="1"/>
  <c r="DD91" i="27" a="1"/>
  <c r="DD91" i="27" s="1"/>
  <c r="DD56" i="27" a="1"/>
  <c r="DD56" i="27" s="1"/>
  <c r="DD81" i="27" a="1"/>
  <c r="DD81" i="27" s="1"/>
  <c r="DD83" i="27" a="1"/>
  <c r="DD83" i="27" s="1"/>
  <c r="DD78" i="27" a="1"/>
  <c r="DD78" i="27" s="1"/>
  <c r="DD84" i="27" a="1"/>
  <c r="DD84" i="27" s="1"/>
  <c r="DD89" i="27" a="1"/>
  <c r="DD89" i="27" s="1"/>
  <c r="DD93" i="27" a="1"/>
  <c r="DD93" i="27" s="1"/>
  <c r="DD96" i="27" a="1"/>
  <c r="DD96" i="27" s="1"/>
  <c r="DD99" i="27" a="1"/>
  <c r="DD99" i="27" s="1"/>
  <c r="DD104" i="27" a="1"/>
  <c r="DD104" i="27" s="1"/>
  <c r="DD110" i="27" a="1"/>
  <c r="DD110" i="27" s="1"/>
  <c r="DD112" i="27" a="1"/>
  <c r="DD112" i="27" s="1"/>
  <c r="DD116" i="27" a="1"/>
  <c r="DD116" i="27" s="1"/>
  <c r="DD118" i="27" a="1"/>
  <c r="DD118" i="27" s="1"/>
  <c r="DD120" i="27" a="1"/>
  <c r="DD120" i="27" s="1"/>
  <c r="DD122" i="27" a="1"/>
  <c r="DD122" i="27" s="1"/>
  <c r="DD101" i="27" a="1"/>
  <c r="DD101" i="27" s="1"/>
  <c r="DD108" i="27" a="1"/>
  <c r="DD108" i="27" s="1"/>
  <c r="DD64" i="27" a="1"/>
  <c r="DD64" i="27" s="1"/>
  <c r="DD103" i="27" a="1"/>
  <c r="DD103" i="27" s="1"/>
  <c r="DD105" i="27" a="1"/>
  <c r="DD105" i="27" s="1"/>
  <c r="DD106" i="27" a="1"/>
  <c r="DD106" i="27" s="1"/>
  <c r="DD109" i="27" a="1"/>
  <c r="DD109" i="27" s="1"/>
  <c r="DD111" i="27" a="1"/>
  <c r="DD111" i="27" s="1"/>
  <c r="DD113" i="27" a="1"/>
  <c r="DD113" i="27" s="1"/>
  <c r="DD114" i="27" a="1"/>
  <c r="DD114" i="27" s="1"/>
  <c r="DD115" i="27" a="1"/>
  <c r="DD115" i="27" s="1"/>
  <c r="DD117" i="27" a="1"/>
  <c r="DD117" i="27" s="1"/>
  <c r="DD119" i="27" a="1"/>
  <c r="DD119" i="27" s="1"/>
  <c r="DD121" i="27" a="1"/>
  <c r="DD121" i="27" s="1"/>
  <c r="DD123" i="27" a="1"/>
  <c r="DD123" i="27" s="1"/>
  <c r="DD98" i="27" a="1"/>
  <c r="DD98" i="27" s="1"/>
  <c r="DD124" i="27" a="1"/>
  <c r="DD124" i="27" s="1"/>
  <c r="DD126" i="27" a="1"/>
  <c r="DD126" i="27" s="1"/>
  <c r="DD127" i="27" a="1"/>
  <c r="DD127" i="27" s="1"/>
  <c r="DD130" i="27" a="1"/>
  <c r="DD130" i="27" s="1"/>
  <c r="DD132" i="27" a="1"/>
  <c r="DD132" i="27" s="1"/>
  <c r="DD137" i="27" a="1"/>
  <c r="DD137" i="27" s="1"/>
  <c r="DD138" i="27" a="1"/>
  <c r="DD138" i="27" s="1"/>
  <c r="DD131" i="27" a="1"/>
  <c r="DD131" i="27" s="1"/>
  <c r="DD97" i="27" a="1"/>
  <c r="DD97" i="27" s="1"/>
  <c r="DD139" i="27" a="1"/>
  <c r="DD139" i="27" s="1"/>
  <c r="DD102" i="27" a="1"/>
  <c r="DD102" i="27" s="1"/>
  <c r="DD107" i="27" a="1"/>
  <c r="DD107" i="27" s="1"/>
  <c r="DD135" i="27" a="1"/>
  <c r="DD135" i="27" s="1"/>
  <c r="DD136" i="27" a="1"/>
  <c r="DD136" i="27" s="1"/>
  <c r="DD61" i="27" a="1"/>
  <c r="DD61" i="27" s="1"/>
  <c r="DD100" i="27" a="1"/>
  <c r="DD100" i="27" s="1"/>
  <c r="DD125" i="27" a="1"/>
  <c r="DD125" i="27" s="1"/>
  <c r="DD128" i="27" a="1"/>
  <c r="DD128" i="27" s="1"/>
  <c r="DD129" i="27" a="1"/>
  <c r="DD129" i="27" s="1"/>
  <c r="DD133" i="27" a="1"/>
  <c r="DD133" i="27" s="1"/>
  <c r="DD134" i="27" a="1"/>
  <c r="DD134" i="27" s="1"/>
  <c r="D43" i="12"/>
  <c r="J45" i="27"/>
  <c r="G45" i="27"/>
  <c r="Y61" i="27" a="1"/>
  <c r="Y61" i="27" s="1"/>
  <c r="AH61" i="27" a="1"/>
  <c r="AH61" i="27" s="1"/>
  <c r="N61" i="27" a="1"/>
  <c r="N61" i="27" s="1"/>
  <c r="Z61" i="27" a="1"/>
  <c r="Z61" i="27" s="1"/>
  <c r="O61" i="27" a="1"/>
  <c r="O61" i="27" s="1"/>
  <c r="R61" i="27" a="1"/>
  <c r="R61" i="27" s="1"/>
  <c r="U61" i="27" a="1"/>
  <c r="U61" i="27" s="1"/>
  <c r="AA61" i="27" a="1"/>
  <c r="AA61" i="27" s="1"/>
  <c r="AD61" i="27" a="1"/>
  <c r="AD61" i="27" s="1"/>
  <c r="AV29" i="27"/>
  <c r="AZ29" i="27"/>
  <c r="BD29" i="27"/>
  <c r="BA29" i="27"/>
  <c r="BE29" i="27"/>
  <c r="AX29" i="27"/>
  <c r="BB29" i="27"/>
  <c r="BF29" i="27"/>
  <c r="BC29" i="27"/>
  <c r="BG29" i="27"/>
  <c r="AY29" i="27"/>
  <c r="BA61" i="27"/>
  <c r="BE61" i="27"/>
  <c r="AX61" i="27"/>
  <c r="BB61" i="27"/>
  <c r="BF61" i="27"/>
  <c r="AY61" i="27"/>
  <c r="BC61" i="27"/>
  <c r="BG61" i="27"/>
  <c r="AV61" i="27"/>
  <c r="AZ61" i="27"/>
  <c r="BD61" i="27"/>
  <c r="AV93" i="27"/>
  <c r="AZ93" i="27"/>
  <c r="BD93" i="27"/>
  <c r="AX93" i="27"/>
  <c r="BB93" i="27"/>
  <c r="BF93" i="27"/>
  <c r="BE93" i="27"/>
  <c r="AY93" i="27"/>
  <c r="BG93" i="27"/>
  <c r="BA93" i="27"/>
  <c r="BC93" i="27"/>
  <c r="AY125" i="27"/>
  <c r="BC125" i="27"/>
  <c r="BG125" i="27"/>
  <c r="AX125" i="27"/>
  <c r="BF125" i="27"/>
  <c r="AV125" i="27"/>
  <c r="AZ125" i="27"/>
  <c r="BD125" i="27"/>
  <c r="BB125" i="27"/>
  <c r="BA125" i="27"/>
  <c r="BE125" i="27"/>
  <c r="AY23" i="27"/>
  <c r="BC23" i="27"/>
  <c r="BG23" i="27"/>
  <c r="AZ23" i="27"/>
  <c r="BD23" i="27"/>
  <c r="AV23" i="27"/>
  <c r="BA23" i="27"/>
  <c r="BE23" i="27"/>
  <c r="AX23" i="27"/>
  <c r="BB23" i="27"/>
  <c r="BF23" i="27"/>
  <c r="AY63" i="27"/>
  <c r="BC63" i="27"/>
  <c r="BG63" i="27"/>
  <c r="AV63" i="27"/>
  <c r="AZ63" i="27"/>
  <c r="BD63" i="27"/>
  <c r="BA63" i="27"/>
  <c r="BE63" i="27"/>
  <c r="AX63" i="27"/>
  <c r="BB63" i="27"/>
  <c r="BF63" i="27"/>
  <c r="AY127" i="27"/>
  <c r="BC127" i="27"/>
  <c r="BG127" i="27"/>
  <c r="BB127" i="27"/>
  <c r="AV127" i="27"/>
  <c r="AZ127" i="27"/>
  <c r="BD127" i="27"/>
  <c r="BA127" i="27"/>
  <c r="BE127" i="27"/>
  <c r="AX127" i="27"/>
  <c r="BF127" i="27"/>
  <c r="AX46" i="27"/>
  <c r="BB46" i="27"/>
  <c r="BF46" i="27"/>
  <c r="AY46" i="27"/>
  <c r="BC46" i="27"/>
  <c r="BG46" i="27"/>
  <c r="AV46" i="27"/>
  <c r="BD46" i="27"/>
  <c r="BE46" i="27"/>
  <c r="AZ46" i="27"/>
  <c r="BA46" i="27"/>
  <c r="AV78" i="27"/>
  <c r="AZ78" i="27"/>
  <c r="BD78" i="27"/>
  <c r="AX78" i="27"/>
  <c r="BB78" i="27"/>
  <c r="BF78" i="27"/>
  <c r="BC78" i="27"/>
  <c r="BE78" i="27"/>
  <c r="AY78" i="27"/>
  <c r="BG78" i="27"/>
  <c r="BA78" i="27"/>
  <c r="BA110" i="27"/>
  <c r="BE110" i="27"/>
  <c r="AX110" i="27"/>
  <c r="BB110" i="27"/>
  <c r="BF110" i="27"/>
  <c r="AY110" i="27"/>
  <c r="BC110" i="27"/>
  <c r="BG110" i="27"/>
  <c r="AZ110" i="27"/>
  <c r="BD110" i="27"/>
  <c r="AV110" i="27"/>
  <c r="AY134" i="27"/>
  <c r="BC134" i="27"/>
  <c r="BG134" i="27"/>
  <c r="BB134" i="27"/>
  <c r="AV134" i="27"/>
  <c r="AZ134" i="27"/>
  <c r="BD134" i="27"/>
  <c r="AX134" i="27"/>
  <c r="BF134" i="27"/>
  <c r="BA134" i="27"/>
  <c r="BE134" i="27"/>
  <c r="BA107" i="27"/>
  <c r="BE107" i="27"/>
  <c r="AX107" i="27"/>
  <c r="BB107" i="27"/>
  <c r="BF107" i="27"/>
  <c r="AY107" i="27"/>
  <c r="BC107" i="27"/>
  <c r="BG107" i="27"/>
  <c r="AV107" i="27"/>
  <c r="BD107" i="27"/>
  <c r="AZ107" i="27"/>
  <c r="AX80" i="27"/>
  <c r="BB80" i="27"/>
  <c r="BF80" i="27"/>
  <c r="AY80" i="27"/>
  <c r="BC80" i="27"/>
  <c r="BG80" i="27"/>
  <c r="AV80" i="27"/>
  <c r="AZ80" i="27"/>
  <c r="BD80" i="27"/>
  <c r="BA80" i="27"/>
  <c r="BE80" i="27"/>
  <c r="G7" i="27"/>
  <c r="G39" i="27"/>
  <c r="AD71" i="27" a="1"/>
  <c r="AD71" i="27" s="1"/>
  <c r="AG71" i="27" a="1"/>
  <c r="AG71" i="27" s="1"/>
  <c r="Y71" i="27" a="1"/>
  <c r="Y71" i="27" s="1"/>
  <c r="AE71" i="27" a="1"/>
  <c r="AE71" i="27" s="1"/>
  <c r="T71" i="27" a="1"/>
  <c r="T71" i="27" s="1"/>
  <c r="W71" i="27" a="1"/>
  <c r="W71" i="27" s="1"/>
  <c r="AC71" i="27" a="1"/>
  <c r="AC71" i="27" s="1"/>
  <c r="L71" i="27" a="1"/>
  <c r="L71" i="27" s="1"/>
  <c r="D101" i="12"/>
  <c r="J103" i="27"/>
  <c r="G103" i="27"/>
  <c r="G134" i="27"/>
  <c r="BA124" i="27"/>
  <c r="BE124" i="27"/>
  <c r="AX124" i="27"/>
  <c r="BB124" i="27"/>
  <c r="BF124" i="27"/>
  <c r="AY124" i="27"/>
  <c r="BC124" i="27"/>
  <c r="BG124" i="27"/>
  <c r="AV124" i="27"/>
  <c r="AZ124" i="27"/>
  <c r="BD124" i="27"/>
  <c r="N34" i="27" a="1"/>
  <c r="N34" i="27" s="1"/>
  <c r="Q34" i="27" a="1"/>
  <c r="Q34" i="27" s="1"/>
  <c r="V34" i="27" a="1"/>
  <c r="V34" i="27" s="1"/>
  <c r="Y34" i="27" a="1"/>
  <c r="Y34" i="27" s="1"/>
  <c r="AD34" i="27" a="1"/>
  <c r="AD34" i="27" s="1"/>
  <c r="AG34" i="27" a="1"/>
  <c r="AG34" i="27" s="1"/>
  <c r="L34" i="27" a="1"/>
  <c r="L34" i="27" s="1"/>
  <c r="O34" i="27" a="1"/>
  <c r="O34" i="27" s="1"/>
  <c r="T34" i="27" a="1"/>
  <c r="T34" i="27" s="1"/>
  <c r="W34" i="27" a="1"/>
  <c r="W34" i="27" s="1"/>
  <c r="AB34" i="27" a="1"/>
  <c r="AB34" i="27" s="1"/>
  <c r="AE34" i="27" a="1"/>
  <c r="AE34" i="27" s="1"/>
  <c r="P34" i="27" a="1"/>
  <c r="P34" i="27" s="1"/>
  <c r="AA34" i="27" a="1"/>
  <c r="AA34" i="27" s="1"/>
  <c r="AF34" i="27" a="1"/>
  <c r="AF34" i="27" s="1"/>
  <c r="M34" i="27" a="1"/>
  <c r="M34" i="27" s="1"/>
  <c r="R34" i="27" a="1"/>
  <c r="R34" i="27" s="1"/>
  <c r="AC34" i="27" a="1"/>
  <c r="AC34" i="27" s="1"/>
  <c r="AH34" i="27" a="1"/>
  <c r="AH34" i="27" s="1"/>
  <c r="S34" i="27" a="1"/>
  <c r="S34" i="27" s="1"/>
  <c r="X34" i="27" a="1"/>
  <c r="X34" i="27" s="1"/>
  <c r="AI34" i="27" a="1"/>
  <c r="AI34" i="27" s="1"/>
  <c r="U34" i="27" a="1"/>
  <c r="U34" i="27" s="1"/>
  <c r="Z34" i="27" a="1"/>
  <c r="Z34" i="27" s="1"/>
  <c r="L66" i="27" a="1"/>
  <c r="L66" i="27" s="1"/>
  <c r="T66" i="27" a="1"/>
  <c r="T66" i="27" s="1"/>
  <c r="O66" i="27" a="1"/>
  <c r="O66" i="27" s="1"/>
  <c r="R66" i="27" a="1"/>
  <c r="R66" i="27" s="1"/>
  <c r="AH66" i="27" a="1"/>
  <c r="AH66" i="27" s="1"/>
  <c r="M66" i="27" a="1"/>
  <c r="M66" i="27" s="1"/>
  <c r="X66" i="27" a="1"/>
  <c r="X66" i="27" s="1"/>
  <c r="AC66" i="27" a="1"/>
  <c r="AC66" i="27" s="1"/>
  <c r="AI66" i="27" a="1"/>
  <c r="AI66" i="27" s="1"/>
  <c r="AA66" i="27" a="1"/>
  <c r="AA66" i="27" s="1"/>
  <c r="V66" i="27" a="1"/>
  <c r="V66" i="27" s="1"/>
  <c r="M98" i="27" a="1"/>
  <c r="M98" i="27" s="1"/>
  <c r="P98" i="27" a="1"/>
  <c r="P98" i="27" s="1"/>
  <c r="U98" i="27" a="1"/>
  <c r="U98" i="27" s="1"/>
  <c r="X98" i="27" a="1"/>
  <c r="X98" i="27" s="1"/>
  <c r="AC98" i="27" a="1"/>
  <c r="AC98" i="27" s="1"/>
  <c r="AF98" i="27" a="1"/>
  <c r="AF98" i="27" s="1"/>
  <c r="N98" i="27" a="1"/>
  <c r="N98" i="27" s="1"/>
  <c r="Q98" i="27" a="1"/>
  <c r="Q98" i="27" s="1"/>
  <c r="AB98" i="27" a="1"/>
  <c r="AB98" i="27" s="1"/>
  <c r="AE98" i="27" a="1"/>
  <c r="AE98" i="27" s="1"/>
  <c r="AI98" i="27" a="1"/>
  <c r="AI98" i="27" s="1"/>
  <c r="R98" i="27" a="1"/>
  <c r="R98" i="27" s="1"/>
  <c r="V98" i="27" a="1"/>
  <c r="V98" i="27" s="1"/>
  <c r="Y98" i="27" a="1"/>
  <c r="Y98" i="27" s="1"/>
  <c r="L98" i="27" a="1"/>
  <c r="L98" i="27" s="1"/>
  <c r="O98" i="27" a="1"/>
  <c r="O98" i="27" s="1"/>
  <c r="S98" i="27" a="1"/>
  <c r="S98" i="27" s="1"/>
  <c r="Z98" i="27" a="1"/>
  <c r="Z98" i="27" s="1"/>
  <c r="AD98" i="27" a="1"/>
  <c r="AD98" i="27" s="1"/>
  <c r="AG98" i="27" a="1"/>
  <c r="AG98" i="27" s="1"/>
  <c r="W98" i="27" a="1"/>
  <c r="W98" i="27" s="1"/>
  <c r="AA98" i="27" a="1"/>
  <c r="AA98" i="27" s="1"/>
  <c r="T98" i="27" a="1"/>
  <c r="T98" i="27" s="1"/>
  <c r="AH98" i="27" a="1"/>
  <c r="AH98" i="27" s="1"/>
  <c r="D128" i="12"/>
  <c r="J130" i="27"/>
  <c r="G130" i="27"/>
  <c r="L8" i="27" a="1"/>
  <c r="L8" i="27" s="1"/>
  <c r="Q8" i="27" a="1"/>
  <c r="Q8" i="27" s="1"/>
  <c r="T8" i="27" a="1"/>
  <c r="T8" i="27" s="1"/>
  <c r="W8" i="27" a="1"/>
  <c r="W8" i="27" s="1"/>
  <c r="AA8" i="27" a="1"/>
  <c r="AA8" i="27" s="1"/>
  <c r="AD8" i="27" a="1"/>
  <c r="AD8" i="27" s="1"/>
  <c r="AH8" i="27" a="1"/>
  <c r="AH8" i="27" s="1"/>
  <c r="O8" i="27" a="1"/>
  <c r="O8" i="27" s="1"/>
  <c r="R8" i="27" a="1"/>
  <c r="R8" i="27" s="1"/>
  <c r="X8" i="27" a="1"/>
  <c r="X8" i="27" s="1"/>
  <c r="AB8" i="27" a="1"/>
  <c r="AB8" i="27" s="1"/>
  <c r="AE8" i="27" a="1"/>
  <c r="AE8" i="27" s="1"/>
  <c r="AI8" i="27" a="1"/>
  <c r="AI8" i="27" s="1"/>
  <c r="M8" i="27" a="1"/>
  <c r="M8" i="27" s="1"/>
  <c r="P8" i="27" a="1"/>
  <c r="P8" i="27" s="1"/>
  <c r="U8" i="27" a="1"/>
  <c r="U8" i="27" s="1"/>
  <c r="Y8" i="27" a="1"/>
  <c r="Y8" i="27" s="1"/>
  <c r="AF8" i="27" a="1"/>
  <c r="AF8" i="27" s="1"/>
  <c r="AC8" i="27" a="1"/>
  <c r="AC8" i="27" s="1"/>
  <c r="S8" i="27" a="1"/>
  <c r="S8" i="27" s="1"/>
  <c r="AG8" i="27" a="1"/>
  <c r="AG8" i="27" s="1"/>
  <c r="V8" i="27" a="1"/>
  <c r="V8" i="27" s="1"/>
  <c r="N8" i="27" a="1"/>
  <c r="N8" i="27" s="1"/>
  <c r="Z8" i="27" a="1"/>
  <c r="Z8" i="27" s="1"/>
  <c r="L40" i="27" a="1"/>
  <c r="L40" i="27" s="1"/>
  <c r="S40" i="27" a="1"/>
  <c r="S40" i="27" s="1"/>
  <c r="W40" i="27" a="1"/>
  <c r="W40" i="27" s="1"/>
  <c r="AD40" i="27" a="1"/>
  <c r="AD40" i="27" s="1"/>
  <c r="AG40" i="27" a="1"/>
  <c r="AG40" i="27" s="1"/>
  <c r="O40" i="27" a="1"/>
  <c r="O40" i="27" s="1"/>
  <c r="X40" i="27" a="1"/>
  <c r="X40" i="27" s="1"/>
  <c r="AC40" i="27" a="1"/>
  <c r="AC40" i="27" s="1"/>
  <c r="AH40" i="27" a="1"/>
  <c r="AH40" i="27" s="1"/>
  <c r="U40" i="27" a="1"/>
  <c r="U40" i="27" s="1"/>
  <c r="Y40" i="27" a="1"/>
  <c r="Y40" i="27" s="1"/>
  <c r="AE40" i="27" a="1"/>
  <c r="AE40" i="27" s="1"/>
  <c r="M40" i="27" a="1"/>
  <c r="M40" i="27" s="1"/>
  <c r="Q40" i="27" a="1"/>
  <c r="Q40" i="27" s="1"/>
  <c r="V40" i="27" a="1"/>
  <c r="V40" i="27" s="1"/>
  <c r="N40" i="27" a="1"/>
  <c r="N40" i="27" s="1"/>
  <c r="AF40" i="27" a="1"/>
  <c r="AF40" i="27" s="1"/>
  <c r="R40" i="27" a="1"/>
  <c r="R40" i="27" s="1"/>
  <c r="D102" i="12"/>
  <c r="J104" i="27"/>
  <c r="G104" i="27"/>
  <c r="BA120" i="27"/>
  <c r="BE120" i="27"/>
  <c r="AY120" i="27"/>
  <c r="BC120" i="27"/>
  <c r="BG120" i="27"/>
  <c r="AZ120" i="27"/>
  <c r="AX120" i="27"/>
  <c r="BB120" i="27"/>
  <c r="AV120" i="27"/>
  <c r="BD120" i="27"/>
  <c r="BF120" i="27"/>
  <c r="G28" i="27"/>
  <c r="M113" i="27" a="1"/>
  <c r="M113" i="27" s="1"/>
  <c r="R113" i="27" a="1"/>
  <c r="R113" i="27" s="1"/>
  <c r="U113" i="27" a="1"/>
  <c r="U113" i="27" s="1"/>
  <c r="AC113" i="27" a="1"/>
  <c r="AC113" i="27" s="1"/>
  <c r="AH113" i="27" a="1"/>
  <c r="AH113" i="27" s="1"/>
  <c r="P113" i="27" a="1"/>
  <c r="P113" i="27" s="1"/>
  <c r="X113" i="27" a="1"/>
  <c r="X113" i="27" s="1"/>
  <c r="AA113" i="27" a="1"/>
  <c r="AA113" i="27" s="1"/>
  <c r="AF113" i="27" a="1"/>
  <c r="AF113" i="27" s="1"/>
  <c r="N113" i="27" a="1"/>
  <c r="N113" i="27" s="1"/>
  <c r="Q113" i="27" a="1"/>
  <c r="Q113" i="27" s="1"/>
  <c r="V113" i="27" a="1"/>
  <c r="V113" i="27" s="1"/>
  <c r="AD113" i="27" a="1"/>
  <c r="AD113" i="27" s="1"/>
  <c r="AG113" i="27" a="1"/>
  <c r="AG113" i="27" s="1"/>
  <c r="AB113" i="27" a="1"/>
  <c r="AB113" i="27" s="1"/>
  <c r="AE113" i="27" a="1"/>
  <c r="AE113" i="27" s="1"/>
  <c r="O113" i="27" a="1"/>
  <c r="O113" i="27" s="1"/>
  <c r="L113" i="27" a="1"/>
  <c r="L113" i="27" s="1"/>
  <c r="G108" i="27"/>
  <c r="DC9" i="27" a="1"/>
  <c r="DC9" i="27" s="1"/>
  <c r="DC10" i="27" a="1"/>
  <c r="DC10" i="27" s="1"/>
  <c r="DC7" i="27" a="1"/>
  <c r="DC7" i="27" s="1"/>
  <c r="DC11" i="27" a="1"/>
  <c r="DC11" i="27" s="1"/>
  <c r="DC12" i="27" a="1"/>
  <c r="DC12" i="27" s="1"/>
  <c r="DC14" i="27" a="1"/>
  <c r="DC14" i="27" s="1"/>
  <c r="DC8" i="27" a="1"/>
  <c r="DC8" i="27" s="1"/>
  <c r="DC13" i="27" a="1"/>
  <c r="DC13" i="27" s="1"/>
  <c r="DC15" i="27" a="1"/>
  <c r="DC15" i="27" s="1"/>
  <c r="DC18" i="27" a="1"/>
  <c r="DC18" i="27" s="1"/>
  <c r="DC16" i="27" a="1"/>
  <c r="DC16" i="27" s="1"/>
  <c r="DC21" i="27" a="1"/>
  <c r="DC21" i="27" s="1"/>
  <c r="DC19" i="27" a="1"/>
  <c r="DC19" i="27" s="1"/>
  <c r="DC22" i="27" a="1"/>
  <c r="DC22" i="27" s="1"/>
  <c r="DC17" i="27" a="1"/>
  <c r="DC17" i="27" s="1"/>
  <c r="DC20" i="27" a="1"/>
  <c r="DC20" i="27" s="1"/>
  <c r="DC23" i="27" a="1"/>
  <c r="DC23" i="27" s="1"/>
  <c r="DC24" i="27" a="1"/>
  <c r="DC24" i="27" s="1"/>
  <c r="DC26" i="27" a="1"/>
  <c r="DC26" i="27" s="1"/>
  <c r="DC27" i="27" a="1"/>
  <c r="DC27" i="27" s="1"/>
  <c r="DC29" i="27" a="1"/>
  <c r="DC29" i="27" s="1"/>
  <c r="DC38" i="27" a="1"/>
  <c r="DC38" i="27" s="1"/>
  <c r="DC25" i="27" a="1"/>
  <c r="DC25" i="27" s="1"/>
  <c r="DC30" i="27" a="1"/>
  <c r="DC30" i="27" s="1"/>
  <c r="DC31" i="27" a="1"/>
  <c r="DC31" i="27" s="1"/>
  <c r="DC35" i="27" a="1"/>
  <c r="DC35" i="27" s="1"/>
  <c r="DC28" i="27" a="1"/>
  <c r="DC28" i="27" s="1"/>
  <c r="DC33" i="27" a="1"/>
  <c r="DC33" i="27" s="1"/>
  <c r="DC43" i="27" a="1"/>
  <c r="DC43" i="27" s="1"/>
  <c r="DC44" i="27" a="1"/>
  <c r="DC44" i="27" s="1"/>
  <c r="DC45" i="27" a="1"/>
  <c r="DC45" i="27" s="1"/>
  <c r="DC46" i="27" a="1"/>
  <c r="DC46" i="27" s="1"/>
  <c r="DC39" i="27" a="1"/>
  <c r="DC39" i="27" s="1"/>
  <c r="DC41" i="27" a="1"/>
  <c r="DC41" i="27" s="1"/>
  <c r="DC32" i="27" a="1"/>
  <c r="DC32" i="27" s="1"/>
  <c r="DC36" i="27" a="1"/>
  <c r="DC36" i="27" s="1"/>
  <c r="DC47" i="27" a="1"/>
  <c r="DC47" i="27" s="1"/>
  <c r="DC52" i="27" a="1"/>
  <c r="DC52" i="27" s="1"/>
  <c r="DC53" i="27" a="1"/>
  <c r="DC53" i="27" s="1"/>
  <c r="DC34" i="27" a="1"/>
  <c r="DC34" i="27" s="1"/>
  <c r="DC49" i="27" a="1"/>
  <c r="DC49" i="27" s="1"/>
  <c r="DC55" i="27" a="1"/>
  <c r="DC55" i="27" s="1"/>
  <c r="DC40" i="27" a="1"/>
  <c r="DC40" i="27" s="1"/>
  <c r="DC51" i="27" a="1"/>
  <c r="DC51" i="27" s="1"/>
  <c r="DC50" i="27" a="1"/>
  <c r="DC50" i="27" s="1"/>
  <c r="DC54" i="27" a="1"/>
  <c r="DC54" i="27" s="1"/>
  <c r="DC59" i="27" a="1"/>
  <c r="DC59" i="27" s="1"/>
  <c r="DC66" i="27" a="1"/>
  <c r="DC66" i="27" s="1"/>
  <c r="DC71" i="27" a="1"/>
  <c r="DC71" i="27" s="1"/>
  <c r="DC72" i="27" a="1"/>
  <c r="DC72" i="27" s="1"/>
  <c r="DC74" i="27" a="1"/>
  <c r="DC74" i="27" s="1"/>
  <c r="DC78" i="27" a="1"/>
  <c r="DC78" i="27" s="1"/>
  <c r="DC56" i="27" a="1"/>
  <c r="DC56" i="27" s="1"/>
  <c r="DC57" i="27" a="1"/>
  <c r="DC57" i="27" s="1"/>
  <c r="DC61" i="27" a="1"/>
  <c r="DC61" i="27" s="1"/>
  <c r="DC62" i="27" a="1"/>
  <c r="DC62" i="27" s="1"/>
  <c r="DC65" i="27" a="1"/>
  <c r="DC65" i="27" s="1"/>
  <c r="DC70" i="27" a="1"/>
  <c r="DC70" i="27" s="1"/>
  <c r="DC37" i="27" a="1"/>
  <c r="DC37" i="27" s="1"/>
  <c r="DC42" i="27" a="1"/>
  <c r="DC42" i="27" s="1"/>
  <c r="DC60" i="27" a="1"/>
  <c r="DC60" i="27" s="1"/>
  <c r="DC63" i="27" a="1"/>
  <c r="DC63" i="27" s="1"/>
  <c r="DC64" i="27" a="1"/>
  <c r="DC64" i="27" s="1"/>
  <c r="DC67" i="27" a="1"/>
  <c r="DC67" i="27" s="1"/>
  <c r="DC68" i="27" a="1"/>
  <c r="DC68" i="27" s="1"/>
  <c r="DC73" i="27" a="1"/>
  <c r="DC73" i="27" s="1"/>
  <c r="DC48" i="27" a="1"/>
  <c r="DC48" i="27" s="1"/>
  <c r="DC81" i="27" a="1"/>
  <c r="DC81" i="27" s="1"/>
  <c r="DC83" i="27" a="1"/>
  <c r="DC83" i="27" s="1"/>
  <c r="DC87" i="27" a="1"/>
  <c r="DC87" i="27" s="1"/>
  <c r="DC88" i="27" a="1"/>
  <c r="DC88" i="27" s="1"/>
  <c r="DC91" i="27" a="1"/>
  <c r="DC91" i="27" s="1"/>
  <c r="DC96" i="27" a="1"/>
  <c r="DC96" i="27" s="1"/>
  <c r="DC76" i="27" a="1"/>
  <c r="DC76" i="27" s="1"/>
  <c r="DC84" i="27" a="1"/>
  <c r="DC84" i="27" s="1"/>
  <c r="DC89" i="27" a="1"/>
  <c r="DC89" i="27" s="1"/>
  <c r="DC75" i="27" a="1"/>
  <c r="DC75" i="27" s="1"/>
  <c r="DC80" i="27" a="1"/>
  <c r="DC80" i="27" s="1"/>
  <c r="DC85" i="27" a="1"/>
  <c r="DC85" i="27" s="1"/>
  <c r="DC92" i="27" a="1"/>
  <c r="DC92" i="27" s="1"/>
  <c r="DC93" i="27" a="1"/>
  <c r="DC93" i="27" s="1"/>
  <c r="DC98" i="27" a="1"/>
  <c r="DC98" i="27" s="1"/>
  <c r="DC82" i="27" a="1"/>
  <c r="DC82" i="27" s="1"/>
  <c r="DC101" i="27" a="1"/>
  <c r="DC101" i="27" s="1"/>
  <c r="DC109" i="27" a="1"/>
  <c r="DC109" i="27" s="1"/>
  <c r="DC111" i="27" a="1"/>
  <c r="DC111" i="27" s="1"/>
  <c r="DC113" i="27" a="1"/>
  <c r="DC113" i="27" s="1"/>
  <c r="DC114" i="27" a="1"/>
  <c r="DC114" i="27" s="1"/>
  <c r="DC115" i="27" a="1"/>
  <c r="DC115" i="27" s="1"/>
  <c r="DC117" i="27" a="1"/>
  <c r="DC117" i="27" s="1"/>
  <c r="DC119" i="27" a="1"/>
  <c r="DC119" i="27" s="1"/>
  <c r="DC121" i="27" a="1"/>
  <c r="DC121" i="27" s="1"/>
  <c r="DC123" i="27" a="1"/>
  <c r="DC123" i="27" s="1"/>
  <c r="DC79" i="27" a="1"/>
  <c r="DC79" i="27" s="1"/>
  <c r="DC86" i="27" a="1"/>
  <c r="DC86" i="27" s="1"/>
  <c r="DC94" i="27" a="1"/>
  <c r="DC94" i="27" s="1"/>
  <c r="DC103" i="27" a="1"/>
  <c r="DC103" i="27" s="1"/>
  <c r="DC105" i="27" a="1"/>
  <c r="DC105" i="27" s="1"/>
  <c r="DC106" i="27" a="1"/>
  <c r="DC106" i="27" s="1"/>
  <c r="DC107" i="27" a="1"/>
  <c r="DC107" i="27" s="1"/>
  <c r="DC58" i="27" a="1"/>
  <c r="DC58" i="27" s="1"/>
  <c r="DC95" i="27" a="1"/>
  <c r="DC95" i="27" s="1"/>
  <c r="DC97" i="27" a="1"/>
  <c r="DC97" i="27" s="1"/>
  <c r="DC100" i="27" a="1"/>
  <c r="DC100" i="27" s="1"/>
  <c r="DC102" i="27" a="1"/>
  <c r="DC102" i="27" s="1"/>
  <c r="DC104" i="27" a="1"/>
  <c r="DC104" i="27" s="1"/>
  <c r="DC110" i="27" a="1"/>
  <c r="DC110" i="27" s="1"/>
  <c r="DC112" i="27" a="1"/>
  <c r="DC112" i="27" s="1"/>
  <c r="DC116" i="27" a="1"/>
  <c r="DC116" i="27" s="1"/>
  <c r="DC118" i="27" a="1"/>
  <c r="DC118" i="27" s="1"/>
  <c r="DC120" i="27" a="1"/>
  <c r="DC120" i="27" s="1"/>
  <c r="DC122" i="27" a="1"/>
  <c r="DC122" i="27" s="1"/>
  <c r="DC125" i="27" a="1"/>
  <c r="DC125" i="27" s="1"/>
  <c r="DC128" i="27" a="1"/>
  <c r="DC128" i="27" s="1"/>
  <c r="DC129" i="27" a="1"/>
  <c r="DC129" i="27" s="1"/>
  <c r="DC133" i="27" a="1"/>
  <c r="DC133" i="27" s="1"/>
  <c r="DC134" i="27" a="1"/>
  <c r="DC134" i="27" s="1"/>
  <c r="DC99" i="27" a="1"/>
  <c r="DC99" i="27" s="1"/>
  <c r="DC108" i="27" a="1"/>
  <c r="DC108" i="27" s="1"/>
  <c r="DC131" i="27" a="1"/>
  <c r="DC131" i="27" s="1"/>
  <c r="DC135" i="27" a="1"/>
  <c r="DC135" i="27" s="1"/>
  <c r="DC136" i="27" a="1"/>
  <c r="DC136" i="27" s="1"/>
  <c r="DC69" i="27" a="1"/>
  <c r="DC69" i="27" s="1"/>
  <c r="DC77" i="27" a="1"/>
  <c r="DC77" i="27" s="1"/>
  <c r="DC124" i="27" a="1"/>
  <c r="DC124" i="27" s="1"/>
  <c r="DC126" i="27" a="1"/>
  <c r="DC126" i="27" s="1"/>
  <c r="DC127" i="27" a="1"/>
  <c r="DC127" i="27" s="1"/>
  <c r="DC130" i="27" a="1"/>
  <c r="DC130" i="27" s="1"/>
  <c r="DC132" i="27" a="1"/>
  <c r="DC132" i="27" s="1"/>
  <c r="DC137" i="27" a="1"/>
  <c r="DC137" i="27" s="1"/>
  <c r="DC138" i="27" a="1"/>
  <c r="DC138" i="27" s="1"/>
  <c r="DC90" i="27" a="1"/>
  <c r="DC90" i="27" s="1"/>
  <c r="DC139" i="27" a="1"/>
  <c r="DC139" i="27" s="1"/>
  <c r="J77" i="27"/>
  <c r="G77" i="27"/>
  <c r="G89" i="27"/>
  <c r="G93" i="27"/>
  <c r="G105" i="27"/>
  <c r="EC138" i="27"/>
  <c r="EC81" i="27"/>
  <c r="EC18" i="27"/>
  <c r="AV17" i="27"/>
  <c r="AZ17" i="27"/>
  <c r="BD17" i="27"/>
  <c r="BA17" i="27"/>
  <c r="BE17" i="27"/>
  <c r="BB17" i="27"/>
  <c r="BC17" i="27"/>
  <c r="AX17" i="27"/>
  <c r="BF17" i="27"/>
  <c r="AY17" i="27"/>
  <c r="BG17" i="27"/>
  <c r="AX33" i="27"/>
  <c r="BB33" i="27"/>
  <c r="BF33" i="27"/>
  <c r="AY33" i="27"/>
  <c r="BC33" i="27"/>
  <c r="BG33" i="27"/>
  <c r="BA33" i="27"/>
  <c r="AV33" i="27"/>
  <c r="BD33" i="27"/>
  <c r="BE33" i="27"/>
  <c r="AZ33" i="27"/>
  <c r="AY49" i="27"/>
  <c r="BC49" i="27"/>
  <c r="BG49" i="27"/>
  <c r="AV49" i="27"/>
  <c r="AZ49" i="27"/>
  <c r="BD49" i="27"/>
  <c r="BA49" i="27"/>
  <c r="BE49" i="27"/>
  <c r="AX49" i="27"/>
  <c r="BB49" i="27"/>
  <c r="BF49" i="27"/>
  <c r="AX65" i="27"/>
  <c r="BB65" i="27"/>
  <c r="BF65" i="27"/>
  <c r="AY65" i="27"/>
  <c r="BC65" i="27"/>
  <c r="BG65" i="27"/>
  <c r="AV65" i="27"/>
  <c r="AZ65" i="27"/>
  <c r="BD65" i="27"/>
  <c r="BE65" i="27"/>
  <c r="BA65" i="27"/>
  <c r="BA81" i="27"/>
  <c r="BE81" i="27"/>
  <c r="AX81" i="27"/>
  <c r="BB81" i="27"/>
  <c r="BF81" i="27"/>
  <c r="AY81" i="27"/>
  <c r="BC81" i="27"/>
  <c r="BG81" i="27"/>
  <c r="AV81" i="27"/>
  <c r="AZ81" i="27"/>
  <c r="BD81" i="27"/>
  <c r="AV97" i="27"/>
  <c r="AZ97" i="27"/>
  <c r="BD97" i="27"/>
  <c r="AX97" i="27"/>
  <c r="BB97" i="27"/>
  <c r="BF97" i="27"/>
  <c r="AY97" i="27"/>
  <c r="BG97" i="27"/>
  <c r="BA97" i="27"/>
  <c r="BC97" i="27"/>
  <c r="BE97" i="27"/>
  <c r="AY113" i="27"/>
  <c r="BC113" i="27"/>
  <c r="BG113" i="27"/>
  <c r="AV113" i="27"/>
  <c r="AZ113" i="27"/>
  <c r="BD113" i="27"/>
  <c r="BA113" i="27"/>
  <c r="BE113" i="27"/>
  <c r="AX113" i="27"/>
  <c r="BB113" i="27"/>
  <c r="BF113" i="27"/>
  <c r="AY129" i="27"/>
  <c r="BC129" i="27"/>
  <c r="BG129" i="27"/>
  <c r="BB129" i="27"/>
  <c r="AV129" i="27"/>
  <c r="AZ129" i="27"/>
  <c r="BD129" i="27"/>
  <c r="AX129" i="27"/>
  <c r="BF129" i="27"/>
  <c r="BA129" i="27"/>
  <c r="BE129" i="27"/>
  <c r="AX11" i="27"/>
  <c r="BB11" i="27"/>
  <c r="BF11" i="27"/>
  <c r="AY11" i="27"/>
  <c r="BC11" i="27"/>
  <c r="BG11" i="27"/>
  <c r="AV11" i="27"/>
  <c r="BD11" i="27"/>
  <c r="BE11" i="27"/>
  <c r="AZ11" i="27"/>
  <c r="BA11" i="27"/>
  <c r="AY27" i="27"/>
  <c r="BC27" i="27"/>
  <c r="BG27" i="27"/>
  <c r="AV27" i="27"/>
  <c r="AZ27" i="27"/>
  <c r="BD27" i="27"/>
  <c r="AX27" i="27"/>
  <c r="BF27" i="27"/>
  <c r="BA27" i="27"/>
  <c r="BB27" i="27"/>
  <c r="BE27" i="27"/>
  <c r="BA47" i="27"/>
  <c r="BE47" i="27"/>
  <c r="AZ47" i="27"/>
  <c r="BF47" i="27"/>
  <c r="AV47" i="27"/>
  <c r="BB47" i="27"/>
  <c r="BG47" i="27"/>
  <c r="AX47" i="27"/>
  <c r="BC47" i="27"/>
  <c r="AY47" i="27"/>
  <c r="BD47" i="27"/>
  <c r="AV71" i="27"/>
  <c r="AZ71" i="27"/>
  <c r="BD71" i="27"/>
  <c r="BA71" i="27"/>
  <c r="BE71" i="27"/>
  <c r="AX71" i="27"/>
  <c r="BB71" i="27"/>
  <c r="BF71" i="27"/>
  <c r="BC71" i="27"/>
  <c r="BG71" i="27"/>
  <c r="AY71" i="27"/>
  <c r="AX103" i="27"/>
  <c r="BB103" i="27"/>
  <c r="BF103" i="27"/>
  <c r="AY103" i="27"/>
  <c r="BC103" i="27"/>
  <c r="BG103" i="27"/>
  <c r="AV103" i="27"/>
  <c r="AZ103" i="27"/>
  <c r="BD103" i="27"/>
  <c r="BE103" i="27"/>
  <c r="BA103" i="27"/>
  <c r="AX136" i="27"/>
  <c r="BB136" i="27"/>
  <c r="BF136" i="27"/>
  <c r="AY136" i="27"/>
  <c r="BC136" i="27"/>
  <c r="BG136" i="27"/>
  <c r="AV136" i="27"/>
  <c r="AZ136" i="27"/>
  <c r="BD136" i="27"/>
  <c r="BA136" i="27"/>
  <c r="BE136" i="27"/>
  <c r="AX18" i="27"/>
  <c r="BB18" i="27"/>
  <c r="BF18" i="27"/>
  <c r="AY18" i="27"/>
  <c r="BC18" i="27"/>
  <c r="BG18" i="27"/>
  <c r="AZ18" i="27"/>
  <c r="BA18" i="27"/>
  <c r="AV18" i="27"/>
  <c r="BD18" i="27"/>
  <c r="BE18" i="27"/>
  <c r="BA34" i="27"/>
  <c r="BE34" i="27"/>
  <c r="AX34" i="27"/>
  <c r="BB34" i="27"/>
  <c r="BF34" i="27"/>
  <c r="AZ34" i="27"/>
  <c r="BC34" i="27"/>
  <c r="AV34" i="27"/>
  <c r="BD34" i="27"/>
  <c r="BG34" i="27"/>
  <c r="AY34" i="27"/>
  <c r="AX50" i="27"/>
  <c r="BB50" i="27"/>
  <c r="BF50" i="27"/>
  <c r="AY50" i="27"/>
  <c r="BC50" i="27"/>
  <c r="BG50" i="27"/>
  <c r="AV50" i="27"/>
  <c r="AZ50" i="27"/>
  <c r="BD50" i="27"/>
  <c r="BA50" i="27"/>
  <c r="BE50" i="27"/>
  <c r="AX66" i="27"/>
  <c r="BB66" i="27"/>
  <c r="BF66" i="27"/>
  <c r="AY66" i="27"/>
  <c r="BC66" i="27"/>
  <c r="BG66" i="27"/>
  <c r="AV66" i="27"/>
  <c r="AZ66" i="27"/>
  <c r="BD66" i="27"/>
  <c r="BA66" i="27"/>
  <c r="BE66" i="27"/>
  <c r="AY82" i="27"/>
  <c r="BC82" i="27"/>
  <c r="BG82" i="27"/>
  <c r="AV82" i="27"/>
  <c r="AZ82" i="27"/>
  <c r="BD82" i="27"/>
  <c r="BA82" i="27"/>
  <c r="BE82" i="27"/>
  <c r="BF82" i="27"/>
  <c r="AX82" i="27"/>
  <c r="BB82" i="27"/>
  <c r="AV98" i="27"/>
  <c r="AZ98" i="27"/>
  <c r="BD98" i="27"/>
  <c r="AX98" i="27"/>
  <c r="BC98" i="27"/>
  <c r="AY98" i="27"/>
  <c r="BE98" i="27"/>
  <c r="BA98" i="27"/>
  <c r="BF98" i="27"/>
  <c r="BB98" i="27"/>
  <c r="BG98" i="27"/>
  <c r="BA114" i="27"/>
  <c r="BE114" i="27"/>
  <c r="AX114" i="27"/>
  <c r="BB114" i="27"/>
  <c r="BF114" i="27"/>
  <c r="AY114" i="27"/>
  <c r="BC114" i="27"/>
  <c r="BG114" i="27"/>
  <c r="AZ114" i="27"/>
  <c r="BD114" i="27"/>
  <c r="AV114" i="27"/>
  <c r="AX130" i="27"/>
  <c r="BB130" i="27"/>
  <c r="BF130" i="27"/>
  <c r="AY130" i="27"/>
  <c r="BC130" i="27"/>
  <c r="BG130" i="27"/>
  <c r="BE130" i="27"/>
  <c r="AV130" i="27"/>
  <c r="AZ130" i="27"/>
  <c r="BD130" i="27"/>
  <c r="BA130" i="27"/>
  <c r="AY43" i="27"/>
  <c r="BC43" i="27"/>
  <c r="BG43" i="27"/>
  <c r="AV43" i="27"/>
  <c r="AZ43" i="27"/>
  <c r="BD43" i="27"/>
  <c r="BA43" i="27"/>
  <c r="BE43" i="27"/>
  <c r="BB43" i="27"/>
  <c r="BF43" i="27"/>
  <c r="AX43" i="27"/>
  <c r="AX83" i="27"/>
  <c r="BB83" i="27"/>
  <c r="BF83" i="27"/>
  <c r="AY83" i="27"/>
  <c r="BC83" i="27"/>
  <c r="BG83" i="27"/>
  <c r="AV83" i="27"/>
  <c r="AZ83" i="27"/>
  <c r="BD83" i="27"/>
  <c r="BA83" i="27"/>
  <c r="BE83" i="27"/>
  <c r="AY115" i="27"/>
  <c r="BC115" i="27"/>
  <c r="BG115" i="27"/>
  <c r="AV115" i="27"/>
  <c r="AZ115" i="27"/>
  <c r="BD115" i="27"/>
  <c r="BA115" i="27"/>
  <c r="BE115" i="27"/>
  <c r="BB115" i="27"/>
  <c r="BF115" i="27"/>
  <c r="AX115" i="27"/>
  <c r="BA32" i="27"/>
  <c r="BE32" i="27"/>
  <c r="AX32" i="27"/>
  <c r="BB32" i="27"/>
  <c r="BF32" i="27"/>
  <c r="BC32" i="27"/>
  <c r="AV32" i="27"/>
  <c r="BD32" i="27"/>
  <c r="AY32" i="27"/>
  <c r="BG32" i="27"/>
  <c r="AZ32" i="27"/>
  <c r="AY96" i="27"/>
  <c r="BC96" i="27"/>
  <c r="BG96" i="27"/>
  <c r="BA96" i="27"/>
  <c r="BE96" i="27"/>
  <c r="AV96" i="27"/>
  <c r="BD96" i="27"/>
  <c r="AX96" i="27"/>
  <c r="BF96" i="27"/>
  <c r="AZ96" i="27"/>
  <c r="BB96" i="27"/>
  <c r="G11" i="27"/>
  <c r="G27" i="27"/>
  <c r="G43" i="27"/>
  <c r="G59" i="27"/>
  <c r="G75" i="27"/>
  <c r="D89" i="12"/>
  <c r="J91" i="27"/>
  <c r="G91" i="27"/>
  <c r="G107" i="27"/>
  <c r="G127" i="27"/>
  <c r="AX12" i="27"/>
  <c r="BB12" i="27"/>
  <c r="BF12" i="27"/>
  <c r="AY12" i="27"/>
  <c r="BC12" i="27"/>
  <c r="BG12" i="27"/>
  <c r="BE12" i="27"/>
  <c r="AZ12" i="27"/>
  <c r="BA12" i="27"/>
  <c r="AV12" i="27"/>
  <c r="BD12" i="27"/>
  <c r="AX76" i="27"/>
  <c r="BB76" i="27"/>
  <c r="BF76" i="27"/>
  <c r="AV76" i="27"/>
  <c r="AZ76" i="27"/>
  <c r="BD76" i="27"/>
  <c r="BC76" i="27"/>
  <c r="BE76" i="27"/>
  <c r="AY76" i="27"/>
  <c r="BG76" i="27"/>
  <c r="BA76" i="27"/>
  <c r="G22" i="27"/>
  <c r="G38" i="27"/>
  <c r="D52" i="12"/>
  <c r="J54" i="27"/>
  <c r="G54" i="27"/>
  <c r="G70" i="27"/>
  <c r="G86" i="27"/>
  <c r="G102" i="27"/>
  <c r="G118" i="27"/>
  <c r="G135" i="27"/>
  <c r="AX52" i="27"/>
  <c r="BB52" i="27"/>
  <c r="BF52" i="27"/>
  <c r="AY52" i="27"/>
  <c r="BC52" i="27"/>
  <c r="BG52" i="27"/>
  <c r="AV52" i="27"/>
  <c r="AZ52" i="27"/>
  <c r="BD52" i="27"/>
  <c r="BE52" i="27"/>
  <c r="BA52" i="27"/>
  <c r="G16" i="27"/>
  <c r="G48" i="27"/>
  <c r="G80" i="27"/>
  <c r="G112" i="27"/>
  <c r="AX24" i="27"/>
  <c r="BB24" i="27"/>
  <c r="BF24" i="27"/>
  <c r="AY24" i="27"/>
  <c r="BC24" i="27"/>
  <c r="BG24" i="27"/>
  <c r="AZ24" i="27"/>
  <c r="BA24" i="27"/>
  <c r="AV24" i="27"/>
  <c r="BD24" i="27"/>
  <c r="BE24" i="27"/>
  <c r="AV72" i="27"/>
  <c r="AZ72" i="27"/>
  <c r="BD72" i="27"/>
  <c r="BA72" i="27"/>
  <c r="BE72" i="27"/>
  <c r="AX72" i="27"/>
  <c r="BB72" i="27"/>
  <c r="BF72" i="27"/>
  <c r="BC72" i="27"/>
  <c r="BG72" i="27"/>
  <c r="AY72" i="27"/>
  <c r="G37" i="27"/>
  <c r="D79" i="12"/>
  <c r="J81" i="27"/>
  <c r="G81" i="27"/>
  <c r="G124" i="27"/>
  <c r="AY40" i="27"/>
  <c r="BC40" i="27"/>
  <c r="BG40" i="27"/>
  <c r="AV40" i="27"/>
  <c r="AZ40" i="27"/>
  <c r="BD40" i="27"/>
  <c r="BA40" i="27"/>
  <c r="BE40" i="27"/>
  <c r="AX40" i="27"/>
  <c r="BB40" i="27"/>
  <c r="BF40" i="27"/>
  <c r="G33" i="27"/>
  <c r="G76" i="27"/>
  <c r="G117" i="27"/>
  <c r="CW9" i="27" a="1"/>
  <c r="CW9" i="27" s="1"/>
  <c r="CW10" i="27" a="1"/>
  <c r="CW10" i="27" s="1"/>
  <c r="CW7" i="27" a="1"/>
  <c r="CW7" i="27" s="1"/>
  <c r="CW11" i="27" a="1"/>
  <c r="CW11" i="27" s="1"/>
  <c r="CW8" i="27" a="1"/>
  <c r="CW8" i="27" s="1"/>
  <c r="CW13" i="27" a="1"/>
  <c r="CW13" i="27" s="1"/>
  <c r="CW14" i="27" a="1"/>
  <c r="CW14" i="27" s="1"/>
  <c r="CW18" i="27" a="1"/>
  <c r="CW18" i="27" s="1"/>
  <c r="CW12" i="27" a="1"/>
  <c r="CW12" i="27" s="1"/>
  <c r="CW19" i="27" a="1"/>
  <c r="CW19" i="27" s="1"/>
  <c r="CW22" i="27" a="1"/>
  <c r="CW22" i="27" s="1"/>
  <c r="CW15" i="27" a="1"/>
  <c r="CW15" i="27" s="1"/>
  <c r="CW17" i="27" a="1"/>
  <c r="CW17" i="27" s="1"/>
  <c r="CW21" i="27" a="1"/>
  <c r="CW21" i="27" s="1"/>
  <c r="CW16" i="27" a="1"/>
  <c r="CW16" i="27" s="1"/>
  <c r="CW23" i="27" a="1"/>
  <c r="CW23" i="27" s="1"/>
  <c r="CW27" i="27" a="1"/>
  <c r="CW27" i="27" s="1"/>
  <c r="CW20" i="27" a="1"/>
  <c r="CW20" i="27" s="1"/>
  <c r="CW24" i="27" a="1"/>
  <c r="CW24" i="27" s="1"/>
  <c r="CW30" i="27" a="1"/>
  <c r="CW30" i="27" s="1"/>
  <c r="CW31" i="27" a="1"/>
  <c r="CW31" i="27" s="1"/>
  <c r="CW32" i="27" a="1"/>
  <c r="CW32" i="27" s="1"/>
  <c r="CW33" i="27" a="1"/>
  <c r="CW33" i="27" s="1"/>
  <c r="CW35" i="27" a="1"/>
  <c r="CW35" i="27" s="1"/>
  <c r="CW28" i="27" a="1"/>
  <c r="CW28" i="27" s="1"/>
  <c r="CW43" i="27" a="1"/>
  <c r="CW43" i="27" s="1"/>
  <c r="CW34" i="27" a="1"/>
  <c r="CW34" i="27" s="1"/>
  <c r="CW38" i="27" a="1"/>
  <c r="CW38" i="27" s="1"/>
  <c r="CW39" i="27" a="1"/>
  <c r="CW39" i="27" s="1"/>
  <c r="CW41" i="27" a="1"/>
  <c r="CW41" i="27" s="1"/>
  <c r="CW46" i="27" a="1"/>
  <c r="CW46" i="27" s="1"/>
  <c r="CW29" i="27" a="1"/>
  <c r="CW29" i="27" s="1"/>
  <c r="CW36" i="27" a="1"/>
  <c r="CW36" i="27" s="1"/>
  <c r="CW37" i="27" a="1"/>
  <c r="CW37" i="27" s="1"/>
  <c r="CW42" i="27" a="1"/>
  <c r="CW42" i="27" s="1"/>
  <c r="CW47" i="27" a="1"/>
  <c r="CW47" i="27" s="1"/>
  <c r="CW26" i="27" a="1"/>
  <c r="CW26" i="27" s="1"/>
  <c r="CW44" i="27" a="1"/>
  <c r="CW44" i="27" s="1"/>
  <c r="CW50" i="27" a="1"/>
  <c r="CW50" i="27" s="1"/>
  <c r="CW52" i="27" a="1"/>
  <c r="CW52" i="27" s="1"/>
  <c r="CW53" i="27" a="1"/>
  <c r="CW53" i="27" s="1"/>
  <c r="CW25" i="27" a="1"/>
  <c r="CW25" i="27" s="1"/>
  <c r="CW55" i="27" a="1"/>
  <c r="CW55" i="27" s="1"/>
  <c r="CW45" i="27" a="1"/>
  <c r="CW45" i="27" s="1"/>
  <c r="CW48" i="27" a="1"/>
  <c r="CW48" i="27" s="1"/>
  <c r="CW51" i="27" a="1"/>
  <c r="CW51" i="27" s="1"/>
  <c r="CW56" i="27" a="1"/>
  <c r="CW56" i="27" s="1"/>
  <c r="CW57" i="27" a="1"/>
  <c r="CW57" i="27" s="1"/>
  <c r="CW59" i="27" a="1"/>
  <c r="CW59" i="27" s="1"/>
  <c r="CW65" i="27" a="1"/>
  <c r="CW65" i="27" s="1"/>
  <c r="CW70" i="27" a="1"/>
  <c r="CW70" i="27" s="1"/>
  <c r="CW74" i="27" a="1"/>
  <c r="CW74" i="27" s="1"/>
  <c r="CW40" i="27" a="1"/>
  <c r="CW40" i="27" s="1"/>
  <c r="CW60" i="27" a="1"/>
  <c r="CW60" i="27" s="1"/>
  <c r="CW61" i="27" a="1"/>
  <c r="CW61" i="27" s="1"/>
  <c r="CW62" i="27" a="1"/>
  <c r="CW62" i="27" s="1"/>
  <c r="CW63" i="27" a="1"/>
  <c r="CW63" i="27" s="1"/>
  <c r="CW64" i="27" a="1"/>
  <c r="CW64" i="27" s="1"/>
  <c r="CW67" i="27" a="1"/>
  <c r="CW67" i="27" s="1"/>
  <c r="CW68" i="27" a="1"/>
  <c r="CW68" i="27" s="1"/>
  <c r="CW73" i="27" a="1"/>
  <c r="CW73" i="27" s="1"/>
  <c r="CW54" i="27" a="1"/>
  <c r="CW54" i="27" s="1"/>
  <c r="CW69" i="27" a="1"/>
  <c r="CW69" i="27" s="1"/>
  <c r="CW72" i="27" a="1"/>
  <c r="CW72" i="27" s="1"/>
  <c r="CW75" i="27" a="1"/>
  <c r="CW75" i="27" s="1"/>
  <c r="CW76" i="27" a="1"/>
  <c r="CW76" i="27" s="1"/>
  <c r="CW78" i="27" a="1"/>
  <c r="CW78" i="27" s="1"/>
  <c r="CW58" i="27" a="1"/>
  <c r="CW58" i="27" s="1"/>
  <c r="CW83" i="27" a="1"/>
  <c r="CW83" i="27" s="1"/>
  <c r="CW66" i="27" a="1"/>
  <c r="CW66" i="27" s="1"/>
  <c r="CW77" i="27" a="1"/>
  <c r="CW77" i="27" s="1"/>
  <c r="CW81" i="27" a="1"/>
  <c r="CW81" i="27" s="1"/>
  <c r="CW84" i="27" a="1"/>
  <c r="CW84" i="27" s="1"/>
  <c r="CW89" i="27" a="1"/>
  <c r="CW89" i="27" s="1"/>
  <c r="CW49" i="27" a="1"/>
  <c r="CW49" i="27" s="1"/>
  <c r="CW71" i="27" a="1"/>
  <c r="CW71" i="27" s="1"/>
  <c r="CW80" i="27" a="1"/>
  <c r="CW80" i="27" s="1"/>
  <c r="CW85" i="27" a="1"/>
  <c r="CW85" i="27" s="1"/>
  <c r="CW90" i="27" a="1"/>
  <c r="CW90" i="27" s="1"/>
  <c r="CW92" i="27" a="1"/>
  <c r="CW92" i="27" s="1"/>
  <c r="CW94" i="27" a="1"/>
  <c r="CW94" i="27" s="1"/>
  <c r="CW96" i="27" a="1"/>
  <c r="CW96" i="27" s="1"/>
  <c r="CW97" i="27" a="1"/>
  <c r="CW97" i="27" s="1"/>
  <c r="CW87" i="27" a="1"/>
  <c r="CW87" i="27" s="1"/>
  <c r="CW103" i="27" a="1"/>
  <c r="CW103" i="27" s="1"/>
  <c r="CW105" i="27" a="1"/>
  <c r="CW105" i="27" s="1"/>
  <c r="CW106" i="27" a="1"/>
  <c r="CW106" i="27" s="1"/>
  <c r="CW82" i="27" a="1"/>
  <c r="CW82" i="27" s="1"/>
  <c r="CW88" i="27" a="1"/>
  <c r="CW88" i="27" s="1"/>
  <c r="CW99" i="27" a="1"/>
  <c r="CW99" i="27" s="1"/>
  <c r="CW100" i="27" a="1"/>
  <c r="CW100" i="27" s="1"/>
  <c r="CW102" i="27" a="1"/>
  <c r="CW102" i="27" s="1"/>
  <c r="CW107" i="27" a="1"/>
  <c r="CW107" i="27" s="1"/>
  <c r="CW110" i="27" a="1"/>
  <c r="CW110" i="27" s="1"/>
  <c r="CW112" i="27" a="1"/>
  <c r="CW112" i="27" s="1"/>
  <c r="CW116" i="27" a="1"/>
  <c r="CW116" i="27" s="1"/>
  <c r="CW79" i="27" a="1"/>
  <c r="CW79" i="27" s="1"/>
  <c r="CW86" i="27" a="1"/>
  <c r="CW86" i="27" s="1"/>
  <c r="CW91" i="27" a="1"/>
  <c r="CW91" i="27" s="1"/>
  <c r="CW98" i="27" a="1"/>
  <c r="CW98" i="27" s="1"/>
  <c r="CW104" i="27" a="1"/>
  <c r="CW104" i="27" s="1"/>
  <c r="CW114" i="27" a="1"/>
  <c r="CW114" i="27" s="1"/>
  <c r="CW117" i="27" a="1"/>
  <c r="CW117" i="27" s="1"/>
  <c r="CW131" i="27" a="1"/>
  <c r="CW131" i="27" s="1"/>
  <c r="CW135" i="27" a="1"/>
  <c r="CW135" i="27" s="1"/>
  <c r="CW136" i="27" a="1"/>
  <c r="CW136" i="27" s="1"/>
  <c r="CW125" i="27" a="1"/>
  <c r="CW125" i="27" s="1"/>
  <c r="CW133" i="27" a="1"/>
  <c r="CW133" i="27" s="1"/>
  <c r="CW134" i="27" a="1"/>
  <c r="CW134" i="27" s="1"/>
  <c r="CW111" i="27" a="1"/>
  <c r="CW111" i="27" s="1"/>
  <c r="CW118" i="27" a="1"/>
  <c r="CW118" i="27" s="1"/>
  <c r="CW120" i="27" a="1"/>
  <c r="CW120" i="27" s="1"/>
  <c r="CW122" i="27" a="1"/>
  <c r="CW122" i="27" s="1"/>
  <c r="CW124" i="27" a="1"/>
  <c r="CW124" i="27" s="1"/>
  <c r="CW126" i="27" a="1"/>
  <c r="CW126" i="27" s="1"/>
  <c r="CW127" i="27" a="1"/>
  <c r="CW127" i="27" s="1"/>
  <c r="CW130" i="27" a="1"/>
  <c r="CW130" i="27" s="1"/>
  <c r="CW132" i="27" a="1"/>
  <c r="CW132" i="27" s="1"/>
  <c r="CW137" i="27" a="1"/>
  <c r="CW137" i="27" s="1"/>
  <c r="CW138" i="27" a="1"/>
  <c r="CW138" i="27" s="1"/>
  <c r="CW95" i="27" a="1"/>
  <c r="CW95" i="27" s="1"/>
  <c r="CW113" i="27" a="1"/>
  <c r="CW113" i="27" s="1"/>
  <c r="CW119" i="27" a="1"/>
  <c r="CW119" i="27" s="1"/>
  <c r="CW129" i="27" a="1"/>
  <c r="CW129" i="27" s="1"/>
  <c r="CW93" i="27" a="1"/>
  <c r="CW93" i="27" s="1"/>
  <c r="CW108" i="27" a="1"/>
  <c r="CW108" i="27" s="1"/>
  <c r="CW115" i="27" a="1"/>
  <c r="CW115" i="27" s="1"/>
  <c r="CW139" i="27" a="1"/>
  <c r="CW139" i="27" s="1"/>
  <c r="CW101" i="27" a="1"/>
  <c r="CW101" i="27" s="1"/>
  <c r="CW109" i="27" a="1"/>
  <c r="CW109" i="27" s="1"/>
  <c r="CW121" i="27" a="1"/>
  <c r="CW121" i="27" s="1"/>
  <c r="CW123" i="27" a="1"/>
  <c r="CW123" i="27" s="1"/>
  <c r="CW128" i="27" a="1"/>
  <c r="CW128" i="27" s="1"/>
  <c r="CY10" i="27" a="1"/>
  <c r="CY10" i="27" s="1"/>
  <c r="CY8" i="27" a="1"/>
  <c r="CY8" i="27" s="1"/>
  <c r="CY9" i="27" a="1"/>
  <c r="CY9" i="27" s="1"/>
  <c r="CY7" i="27" a="1"/>
  <c r="CY7" i="27" s="1"/>
  <c r="CY12" i="27" a="1"/>
  <c r="CY12" i="27" s="1"/>
  <c r="CY11" i="27" a="1"/>
  <c r="CY11" i="27" s="1"/>
  <c r="CY13" i="27" a="1"/>
  <c r="CY13" i="27" s="1"/>
  <c r="CY14" i="27" a="1"/>
  <c r="CY14" i="27" s="1"/>
  <c r="CY16" i="27" a="1"/>
  <c r="CY16" i="27" s="1"/>
  <c r="CY18" i="27" a="1"/>
  <c r="CY18" i="27" s="1"/>
  <c r="CY21" i="27" a="1"/>
  <c r="CY21" i="27" s="1"/>
  <c r="CY19" i="27" a="1"/>
  <c r="CY19" i="27" s="1"/>
  <c r="CY20" i="27" a="1"/>
  <c r="CY20" i="27" s="1"/>
  <c r="CY22" i="27" a="1"/>
  <c r="CY22" i="27" s="1"/>
  <c r="CY23" i="27" a="1"/>
  <c r="CY23" i="27" s="1"/>
  <c r="CY15" i="27" a="1"/>
  <c r="CY15" i="27" s="1"/>
  <c r="CY17" i="27" a="1"/>
  <c r="CY17" i="27" s="1"/>
  <c r="CY24" i="27" a="1"/>
  <c r="CY24" i="27" s="1"/>
  <c r="CY26" i="27" a="1"/>
  <c r="CY26" i="27" s="1"/>
  <c r="CY32" i="27" a="1"/>
  <c r="CY32" i="27" s="1"/>
  <c r="CY25" i="27" a="1"/>
  <c r="CY25" i="27" s="1"/>
  <c r="CY28" i="27" a="1"/>
  <c r="CY28" i="27" s="1"/>
  <c r="CY31" i="27" a="1"/>
  <c r="CY31" i="27" s="1"/>
  <c r="CY33" i="27" a="1"/>
  <c r="CY33" i="27" s="1"/>
  <c r="CY35" i="27" a="1"/>
  <c r="CY35" i="27" s="1"/>
  <c r="CY29" i="27" a="1"/>
  <c r="CY29" i="27" s="1"/>
  <c r="CY27" i="27" a="1"/>
  <c r="CY27" i="27" s="1"/>
  <c r="CY39" i="27" a="1"/>
  <c r="CY39" i="27" s="1"/>
  <c r="CY41" i="27" a="1"/>
  <c r="CY41" i="27" s="1"/>
  <c r="CY30" i="27" a="1"/>
  <c r="CY30" i="27" s="1"/>
  <c r="CY36" i="27" a="1"/>
  <c r="CY36" i="27" s="1"/>
  <c r="CY37" i="27" a="1"/>
  <c r="CY37" i="27" s="1"/>
  <c r="CY42" i="27" a="1"/>
  <c r="CY42" i="27" s="1"/>
  <c r="CY46" i="27" a="1"/>
  <c r="CY46" i="27" s="1"/>
  <c r="CY47" i="27" a="1"/>
  <c r="CY47" i="27" s="1"/>
  <c r="CY34" i="27" a="1"/>
  <c r="CY34" i="27" s="1"/>
  <c r="CY40" i="27" a="1"/>
  <c r="CY40" i="27" s="1"/>
  <c r="CY50" i="27" a="1"/>
  <c r="CY50" i="27" s="1"/>
  <c r="CY52" i="27" a="1"/>
  <c r="CY52" i="27" s="1"/>
  <c r="CY53" i="27" a="1"/>
  <c r="CY53" i="27" s="1"/>
  <c r="CY38" i="27" a="1"/>
  <c r="CY38" i="27" s="1"/>
  <c r="CY44" i="27" a="1"/>
  <c r="CY44" i="27" s="1"/>
  <c r="CY48" i="27" a="1"/>
  <c r="CY48" i="27" s="1"/>
  <c r="CY49" i="27" a="1"/>
  <c r="CY49" i="27" s="1"/>
  <c r="CY55" i="27" a="1"/>
  <c r="CY55" i="27" s="1"/>
  <c r="CY43" i="27" a="1"/>
  <c r="CY43" i="27" s="1"/>
  <c r="CY51" i="27" a="1"/>
  <c r="CY51" i="27" s="1"/>
  <c r="CY54" i="27" a="1"/>
  <c r="CY54" i="27" s="1"/>
  <c r="CY59" i="27" a="1"/>
  <c r="CY59" i="27" s="1"/>
  <c r="CY60" i="27" a="1"/>
  <c r="CY60" i="27" s="1"/>
  <c r="CY63" i="27" a="1"/>
  <c r="CY63" i="27" s="1"/>
  <c r="CY64" i="27" a="1"/>
  <c r="CY64" i="27" s="1"/>
  <c r="CY67" i="27" a="1"/>
  <c r="CY67" i="27" s="1"/>
  <c r="CY68" i="27" a="1"/>
  <c r="CY68" i="27" s="1"/>
  <c r="CY73" i="27" a="1"/>
  <c r="CY73" i="27" s="1"/>
  <c r="CY74" i="27" a="1"/>
  <c r="CY74" i="27" s="1"/>
  <c r="CY61" i="27" a="1"/>
  <c r="CY61" i="27" s="1"/>
  <c r="CY62" i="27" a="1"/>
  <c r="CY62" i="27" s="1"/>
  <c r="CY69" i="27" a="1"/>
  <c r="CY69" i="27" s="1"/>
  <c r="CY75" i="27" a="1"/>
  <c r="CY75" i="27" s="1"/>
  <c r="CY66" i="27" a="1"/>
  <c r="CY66" i="27" s="1"/>
  <c r="CY71" i="27" a="1"/>
  <c r="CY71" i="27" s="1"/>
  <c r="CY72" i="27" a="1"/>
  <c r="CY72" i="27" s="1"/>
  <c r="CY78" i="27" a="1"/>
  <c r="CY78" i="27" s="1"/>
  <c r="CY45" i="27" a="1"/>
  <c r="CY45" i="27" s="1"/>
  <c r="CY56" i="27" a="1"/>
  <c r="CY56" i="27" s="1"/>
  <c r="CY57" i="27" a="1"/>
  <c r="CY57" i="27" s="1"/>
  <c r="CY83" i="27" a="1"/>
  <c r="CY83" i="27" s="1"/>
  <c r="CY93" i="27" a="1"/>
  <c r="CY93" i="27" s="1"/>
  <c r="CY96" i="27" a="1"/>
  <c r="CY96" i="27" s="1"/>
  <c r="CY58" i="27" a="1"/>
  <c r="CY58" i="27" s="1"/>
  <c r="CY81" i="27" a="1"/>
  <c r="CY81" i="27" s="1"/>
  <c r="CY84" i="27" a="1"/>
  <c r="CY84" i="27" s="1"/>
  <c r="CY89" i="27" a="1"/>
  <c r="CY89" i="27" s="1"/>
  <c r="CY90" i="27" a="1"/>
  <c r="CY90" i="27" s="1"/>
  <c r="CY70" i="27" a="1"/>
  <c r="CY70" i="27" s="1"/>
  <c r="CY76" i="27" a="1"/>
  <c r="CY76" i="27" s="1"/>
  <c r="CY80" i="27" a="1"/>
  <c r="CY80" i="27" s="1"/>
  <c r="CY85" i="27" a="1"/>
  <c r="CY85" i="27" s="1"/>
  <c r="CY87" i="27" a="1"/>
  <c r="CY87" i="27" s="1"/>
  <c r="CY88" i="27" a="1"/>
  <c r="CY88" i="27" s="1"/>
  <c r="CY91" i="27" a="1"/>
  <c r="CY91" i="27" s="1"/>
  <c r="CY92" i="27" a="1"/>
  <c r="CY92" i="27" s="1"/>
  <c r="CY98" i="27" a="1"/>
  <c r="CY98" i="27" s="1"/>
  <c r="CY95" i="27" a="1"/>
  <c r="CY95" i="27" s="1"/>
  <c r="CY100" i="27" a="1"/>
  <c r="CY100" i="27" s="1"/>
  <c r="CY102" i="27" a="1"/>
  <c r="CY102" i="27" s="1"/>
  <c r="CY110" i="27" a="1"/>
  <c r="CY110" i="27" s="1"/>
  <c r="CY112" i="27" a="1"/>
  <c r="CY112" i="27" s="1"/>
  <c r="CY116" i="27" a="1"/>
  <c r="CY116" i="27" s="1"/>
  <c r="CY118" i="27" a="1"/>
  <c r="CY118" i="27" s="1"/>
  <c r="CY120" i="27" a="1"/>
  <c r="CY120" i="27" s="1"/>
  <c r="CY122" i="27" a="1"/>
  <c r="CY122" i="27" s="1"/>
  <c r="CY107" i="27" a="1"/>
  <c r="CY107" i="27" s="1"/>
  <c r="CY77" i="27" a="1"/>
  <c r="CY77" i="27" s="1"/>
  <c r="CY82" i="27" a="1"/>
  <c r="CY82" i="27" s="1"/>
  <c r="CY94" i="27" a="1"/>
  <c r="CY94" i="27" s="1"/>
  <c r="CY101" i="27" a="1"/>
  <c r="CY101" i="27" s="1"/>
  <c r="CY104" i="27" a="1"/>
  <c r="CY104" i="27" s="1"/>
  <c r="CY109" i="27" a="1"/>
  <c r="CY109" i="27" s="1"/>
  <c r="CY111" i="27" a="1"/>
  <c r="CY111" i="27" s="1"/>
  <c r="CY113" i="27" a="1"/>
  <c r="CY113" i="27" s="1"/>
  <c r="CY114" i="27" a="1"/>
  <c r="CY114" i="27" s="1"/>
  <c r="CY115" i="27" a="1"/>
  <c r="CY115" i="27" s="1"/>
  <c r="CY117" i="27" a="1"/>
  <c r="CY117" i="27" s="1"/>
  <c r="CY119" i="27" a="1"/>
  <c r="CY119" i="27" s="1"/>
  <c r="CY121" i="27" a="1"/>
  <c r="CY121" i="27" s="1"/>
  <c r="CY123" i="27" a="1"/>
  <c r="CY123" i="27" s="1"/>
  <c r="CY65" i="27" a="1"/>
  <c r="CY65" i="27" s="1"/>
  <c r="CY79" i="27" a="1"/>
  <c r="CY79" i="27" s="1"/>
  <c r="CY97" i="27" a="1"/>
  <c r="CY97" i="27" s="1"/>
  <c r="CY99" i="27" a="1"/>
  <c r="CY99" i="27" s="1"/>
  <c r="CY103" i="27" a="1"/>
  <c r="CY103" i="27" s="1"/>
  <c r="CY105" i="27" a="1"/>
  <c r="CY105" i="27" s="1"/>
  <c r="CY124" i="27" a="1"/>
  <c r="CY124" i="27" s="1"/>
  <c r="CY126" i="27" a="1"/>
  <c r="CY126" i="27" s="1"/>
  <c r="CY127" i="27" a="1"/>
  <c r="CY127" i="27" s="1"/>
  <c r="CY130" i="27" a="1"/>
  <c r="CY130" i="27" s="1"/>
  <c r="CY132" i="27" a="1"/>
  <c r="CY132" i="27" s="1"/>
  <c r="CY137" i="27" a="1"/>
  <c r="CY137" i="27" s="1"/>
  <c r="CY138" i="27" a="1"/>
  <c r="CY138" i="27" s="1"/>
  <c r="CY86" i="27" a="1"/>
  <c r="CY86" i="27" s="1"/>
  <c r="CY139" i="27" a="1"/>
  <c r="CY139" i="27" s="1"/>
  <c r="CY106" i="27" a="1"/>
  <c r="CY106" i="27" s="1"/>
  <c r="CY125" i="27" a="1"/>
  <c r="CY125" i="27" s="1"/>
  <c r="CY128" i="27" a="1"/>
  <c r="CY128" i="27" s="1"/>
  <c r="CY129" i="27" a="1"/>
  <c r="CY129" i="27" s="1"/>
  <c r="CY133" i="27" a="1"/>
  <c r="CY133" i="27" s="1"/>
  <c r="CY134" i="27" a="1"/>
  <c r="CY134" i="27" s="1"/>
  <c r="CY108" i="27" a="1"/>
  <c r="CY108" i="27" s="1"/>
  <c r="CY131" i="27" a="1"/>
  <c r="CY131" i="27" s="1"/>
  <c r="CY135" i="27" a="1"/>
  <c r="CY135" i="27" s="1"/>
  <c r="CY136" i="27" a="1"/>
  <c r="CY136" i="27" s="1"/>
  <c r="DH7" i="27" a="1"/>
  <c r="DH7" i="27" s="1"/>
  <c r="DH9" i="27" a="1"/>
  <c r="DH9" i="27" s="1"/>
  <c r="DH10" i="27" a="1"/>
  <c r="DH10" i="27" s="1"/>
  <c r="DH11" i="27" a="1"/>
  <c r="DH11" i="27" s="1"/>
  <c r="DH8" i="27" a="1"/>
  <c r="DH8" i="27" s="1"/>
  <c r="DH14" i="27" a="1"/>
  <c r="DH14" i="27" s="1"/>
  <c r="DH15" i="27" a="1"/>
  <c r="DH15" i="27" s="1"/>
  <c r="DH18" i="27" a="1"/>
  <c r="DH18" i="27" s="1"/>
  <c r="DH16" i="27" a="1"/>
  <c r="DH16" i="27" s="1"/>
  <c r="DH17" i="27" a="1"/>
  <c r="DH17" i="27" s="1"/>
  <c r="DH19" i="27" a="1"/>
  <c r="DH19" i="27" s="1"/>
  <c r="DH20" i="27" a="1"/>
  <c r="DH20" i="27" s="1"/>
  <c r="DH21" i="27" a="1"/>
  <c r="DH21" i="27" s="1"/>
  <c r="DH12" i="27" a="1"/>
  <c r="DH12" i="27" s="1"/>
  <c r="DH22" i="27" a="1"/>
  <c r="DH22" i="27" s="1"/>
  <c r="DH13" i="27" a="1"/>
  <c r="DH13" i="27" s="1"/>
  <c r="DH23" i="27" a="1"/>
  <c r="DH23" i="27" s="1"/>
  <c r="DH27" i="27" a="1"/>
  <c r="DH27" i="27" s="1"/>
  <c r="DH24" i="27" a="1"/>
  <c r="DH24" i="27" s="1"/>
  <c r="DH26" i="27" a="1"/>
  <c r="DH26" i="27" s="1"/>
  <c r="DH30" i="27" a="1"/>
  <c r="DH30" i="27" s="1"/>
  <c r="DH34" i="27" a="1"/>
  <c r="DH34" i="27" s="1"/>
  <c r="DH38" i="27" a="1"/>
  <c r="DH38" i="27" s="1"/>
  <c r="DH25" i="27" a="1"/>
  <c r="DH25" i="27" s="1"/>
  <c r="DH32" i="27" a="1"/>
  <c r="DH32" i="27" s="1"/>
  <c r="DH33" i="27" a="1"/>
  <c r="DH33" i="27" s="1"/>
  <c r="DH43" i="27" a="1"/>
  <c r="DH43" i="27" s="1"/>
  <c r="DH39" i="27" a="1"/>
  <c r="DH39" i="27" s="1"/>
  <c r="DH40" i="27" a="1"/>
  <c r="DH40" i="27" s="1"/>
  <c r="DH41" i="27" a="1"/>
  <c r="DH41" i="27" s="1"/>
  <c r="DH29" i="27" a="1"/>
  <c r="DH29" i="27" s="1"/>
  <c r="DH31" i="27" a="1"/>
  <c r="DH31" i="27" s="1"/>
  <c r="DH35" i="27" a="1"/>
  <c r="DH35" i="27" s="1"/>
  <c r="DH36" i="27" a="1"/>
  <c r="DH36" i="27" s="1"/>
  <c r="DH37" i="27" a="1"/>
  <c r="DH37" i="27" s="1"/>
  <c r="DH42" i="27" a="1"/>
  <c r="DH42" i="27" s="1"/>
  <c r="DH44" i="27" a="1"/>
  <c r="DH44" i="27" s="1"/>
  <c r="DH50" i="27" a="1"/>
  <c r="DH50" i="27" s="1"/>
  <c r="DH51" i="27" a="1"/>
  <c r="DH51" i="27" s="1"/>
  <c r="DH46" i="27" a="1"/>
  <c r="DH46" i="27" s="1"/>
  <c r="DH47" i="27" a="1"/>
  <c r="DH47" i="27" s="1"/>
  <c r="DH54" i="27" a="1"/>
  <c r="DH54" i="27" s="1"/>
  <c r="DH45" i="27" a="1"/>
  <c r="DH45" i="27" s="1"/>
  <c r="DH48" i="27" a="1"/>
  <c r="DH48" i="27" s="1"/>
  <c r="DH49" i="27" a="1"/>
  <c r="DH49" i="27" s="1"/>
  <c r="DH52" i="27" a="1"/>
  <c r="DH52" i="27" s="1"/>
  <c r="DH57" i="27" a="1"/>
  <c r="DH57" i="27" s="1"/>
  <c r="DH62" i="27" a="1"/>
  <c r="DH62" i="27" s="1"/>
  <c r="DH65" i="27" a="1"/>
  <c r="DH65" i="27" s="1"/>
  <c r="DH70" i="27" a="1"/>
  <c r="DH70" i="27" s="1"/>
  <c r="DH28" i="27" a="1"/>
  <c r="DH28" i="27" s="1"/>
  <c r="DH56" i="27" a="1"/>
  <c r="DH56" i="27" s="1"/>
  <c r="DH58" i="27" a="1"/>
  <c r="DH58" i="27" s="1"/>
  <c r="DH60" i="27" a="1"/>
  <c r="DH60" i="27" s="1"/>
  <c r="DH63" i="27" a="1"/>
  <c r="DH63" i="27" s="1"/>
  <c r="DH64" i="27" a="1"/>
  <c r="DH64" i="27" s="1"/>
  <c r="DH67" i="27" a="1"/>
  <c r="DH67" i="27" s="1"/>
  <c r="DH68" i="27" a="1"/>
  <c r="DH68" i="27" s="1"/>
  <c r="DH73" i="27" a="1"/>
  <c r="DH73" i="27" s="1"/>
  <c r="DH53" i="27" a="1"/>
  <c r="DH53" i="27" s="1"/>
  <c r="DH55" i="27" a="1"/>
  <c r="DH55" i="27" s="1"/>
  <c r="DH59" i="27" a="1"/>
  <c r="DH59" i="27" s="1"/>
  <c r="DH69" i="27" a="1"/>
  <c r="DH69" i="27" s="1"/>
  <c r="DH74" i="27" a="1"/>
  <c r="DH74" i="27" s="1"/>
  <c r="DH75" i="27" a="1"/>
  <c r="DH75" i="27" s="1"/>
  <c r="DH76" i="27" a="1"/>
  <c r="DH76" i="27" s="1"/>
  <c r="DH77" i="27" a="1"/>
  <c r="DH77" i="27" s="1"/>
  <c r="DH80" i="27" a="1"/>
  <c r="DH80" i="27" s="1"/>
  <c r="DH81" i="27" a="1"/>
  <c r="DH81" i="27" s="1"/>
  <c r="DH85" i="27" a="1"/>
  <c r="DH85" i="27" s="1"/>
  <c r="DH86" i="27" a="1"/>
  <c r="DH86" i="27" s="1"/>
  <c r="DH92" i="27" a="1"/>
  <c r="DH92" i="27" s="1"/>
  <c r="DH95" i="27" a="1"/>
  <c r="DH95" i="27" s="1"/>
  <c r="DH61" i="27" a="1"/>
  <c r="DH61" i="27" s="1"/>
  <c r="DH66" i="27" a="1"/>
  <c r="DH66" i="27" s="1"/>
  <c r="DH79" i="27" a="1"/>
  <c r="DH79" i="27" s="1"/>
  <c r="DH82" i="27" a="1"/>
  <c r="DH82" i="27" s="1"/>
  <c r="DH71" i="27" a="1"/>
  <c r="DH71" i="27" s="1"/>
  <c r="DH78" i="27" a="1"/>
  <c r="DH78" i="27" s="1"/>
  <c r="DH83" i="27" a="1"/>
  <c r="DH83" i="27" s="1"/>
  <c r="DH90" i="27" a="1"/>
  <c r="DH90" i="27" s="1"/>
  <c r="DH94" i="27" a="1"/>
  <c r="DH94" i="27" s="1"/>
  <c r="DH87" i="27" a="1"/>
  <c r="DH87" i="27" s="1"/>
  <c r="DH99" i="27" a="1"/>
  <c r="DH99" i="27" s="1"/>
  <c r="DH103" i="27" a="1"/>
  <c r="DH103" i="27" s="1"/>
  <c r="DH104" i="27" a="1"/>
  <c r="DH104" i="27" s="1"/>
  <c r="DH105" i="27" a="1"/>
  <c r="DH105" i="27" s="1"/>
  <c r="DH106" i="27" a="1"/>
  <c r="DH106" i="27" s="1"/>
  <c r="DH109" i="27" a="1"/>
  <c r="DH109" i="27" s="1"/>
  <c r="DH111" i="27" a="1"/>
  <c r="DH111" i="27" s="1"/>
  <c r="DH113" i="27" a="1"/>
  <c r="DH113" i="27" s="1"/>
  <c r="DH114" i="27" a="1"/>
  <c r="DH114" i="27" s="1"/>
  <c r="DH115" i="27" a="1"/>
  <c r="DH115" i="27" s="1"/>
  <c r="DH117" i="27" a="1"/>
  <c r="DH117" i="27" s="1"/>
  <c r="DH119" i="27" a="1"/>
  <c r="DH119" i="27" s="1"/>
  <c r="DH121" i="27" a="1"/>
  <c r="DH121" i="27" s="1"/>
  <c r="DH123" i="27" a="1"/>
  <c r="DH123" i="27" s="1"/>
  <c r="DH88" i="27" a="1"/>
  <c r="DH88" i="27" s="1"/>
  <c r="DH100" i="27" a="1"/>
  <c r="DH100" i="27" s="1"/>
  <c r="DH102" i="27" a="1"/>
  <c r="DH102" i="27" s="1"/>
  <c r="DH72" i="27" a="1"/>
  <c r="DH72" i="27" s="1"/>
  <c r="DH84" i="27" a="1"/>
  <c r="DH84" i="27" s="1"/>
  <c r="DH89" i="27" a="1"/>
  <c r="DH89" i="27" s="1"/>
  <c r="DH91" i="27" a="1"/>
  <c r="DH91" i="27" s="1"/>
  <c r="DH96" i="27" a="1"/>
  <c r="DH96" i="27" s="1"/>
  <c r="DH97" i="27" a="1"/>
  <c r="DH97" i="27" s="1"/>
  <c r="DH98" i="27" a="1"/>
  <c r="DH98" i="27" s="1"/>
  <c r="DH110" i="27" a="1"/>
  <c r="DH110" i="27" s="1"/>
  <c r="DH112" i="27" a="1"/>
  <c r="DH112" i="27" s="1"/>
  <c r="DH116" i="27" a="1"/>
  <c r="DH116" i="27" s="1"/>
  <c r="DH118" i="27" a="1"/>
  <c r="DH118" i="27" s="1"/>
  <c r="DH120" i="27" a="1"/>
  <c r="DH120" i="27" s="1"/>
  <c r="DH122" i="27" a="1"/>
  <c r="DH122" i="27" s="1"/>
  <c r="DH93" i="27" a="1"/>
  <c r="DH93" i="27" s="1"/>
  <c r="DH125" i="27" a="1"/>
  <c r="DH125" i="27" s="1"/>
  <c r="DH128" i="27" a="1"/>
  <c r="DH128" i="27" s="1"/>
  <c r="DH129" i="27" a="1"/>
  <c r="DH129" i="27" s="1"/>
  <c r="DH133" i="27" a="1"/>
  <c r="DH133" i="27" s="1"/>
  <c r="DH134" i="27" a="1"/>
  <c r="DH134" i="27" s="1"/>
  <c r="DH107" i="27" a="1"/>
  <c r="DH107" i="27" s="1"/>
  <c r="DH131" i="27" a="1"/>
  <c r="DH131" i="27" s="1"/>
  <c r="DH135" i="27" a="1"/>
  <c r="DH135" i="27" s="1"/>
  <c r="DH136" i="27" a="1"/>
  <c r="DH136" i="27" s="1"/>
  <c r="DH101" i="27" a="1"/>
  <c r="DH101" i="27" s="1"/>
  <c r="DH108" i="27" a="1"/>
  <c r="DH108" i="27" s="1"/>
  <c r="DH124" i="27" a="1"/>
  <c r="DH124" i="27" s="1"/>
  <c r="DH126" i="27" a="1"/>
  <c r="DH126" i="27" s="1"/>
  <c r="DH127" i="27" a="1"/>
  <c r="DH127" i="27" s="1"/>
  <c r="DH130" i="27" a="1"/>
  <c r="DH130" i="27" s="1"/>
  <c r="DH132" i="27" a="1"/>
  <c r="DH132" i="27" s="1"/>
  <c r="DH137" i="27" a="1"/>
  <c r="DH137" i="27" s="1"/>
  <c r="DH138" i="27" a="1"/>
  <c r="DH138" i="27" s="1"/>
  <c r="DH139" i="27" a="1"/>
  <c r="DH139" i="27" s="1"/>
  <c r="G109" i="27"/>
  <c r="G116" i="27"/>
  <c r="G121" i="27"/>
  <c r="G125" i="27"/>
  <c r="P132" i="27" a="1"/>
  <c r="P132" i="27" s="1"/>
  <c r="S132" i="27" a="1"/>
  <c r="S132" i="27" s="1"/>
  <c r="X132" i="27" a="1"/>
  <c r="X132" i="27" s="1"/>
  <c r="AA132" i="27" a="1"/>
  <c r="AA132" i="27" s="1"/>
  <c r="AF132" i="27" a="1"/>
  <c r="AF132" i="27" s="1"/>
  <c r="AI132" i="27" a="1"/>
  <c r="AI132" i="27" s="1"/>
  <c r="N132" i="27" a="1"/>
  <c r="N132" i="27" s="1"/>
  <c r="Q132" i="27" a="1"/>
  <c r="Q132" i="27" s="1"/>
  <c r="V132" i="27" a="1"/>
  <c r="V132" i="27" s="1"/>
  <c r="Y132" i="27" a="1"/>
  <c r="Y132" i="27" s="1"/>
  <c r="AD132" i="27" a="1"/>
  <c r="AD132" i="27" s="1"/>
  <c r="AG132" i="27" a="1"/>
  <c r="AG132" i="27" s="1"/>
  <c r="R132" i="27" a="1"/>
  <c r="R132" i="27" s="1"/>
  <c r="Z132" i="27" a="1"/>
  <c r="Z132" i="27" s="1"/>
  <c r="AH132" i="27" a="1"/>
  <c r="AH132" i="27" s="1"/>
  <c r="L132" i="27" a="1"/>
  <c r="L132" i="27" s="1"/>
  <c r="O132" i="27" a="1"/>
  <c r="O132" i="27" s="1"/>
  <c r="T132" i="27" a="1"/>
  <c r="T132" i="27" s="1"/>
  <c r="W132" i="27" a="1"/>
  <c r="W132" i="27" s="1"/>
  <c r="AB132" i="27" a="1"/>
  <c r="AB132" i="27" s="1"/>
  <c r="AE132" i="27" a="1"/>
  <c r="AE132" i="27" s="1"/>
  <c r="M132" i="27" a="1"/>
  <c r="M132" i="27" s="1"/>
  <c r="U132" i="27" a="1"/>
  <c r="U132" i="27" s="1"/>
  <c r="AC132" i="27" a="1"/>
  <c r="AC132" i="27" s="1"/>
  <c r="G138" i="27"/>
  <c r="EC119" i="27"/>
  <c r="EC8" i="27"/>
  <c r="EC53" i="27"/>
  <c r="EC82" i="27"/>
  <c r="EC9" i="27"/>
  <c r="BW130" i="27"/>
  <c r="BT130" i="27"/>
  <c r="BY131" i="27" a="1"/>
  <c r="BY131" i="27" s="1"/>
  <c r="CG131" i="27" a="1"/>
  <c r="CG131" i="27" s="1"/>
  <c r="CO131" i="27" a="1"/>
  <c r="CO131" i="27" s="1"/>
  <c r="CD131" i="27" a="1"/>
  <c r="CD131" i="27" s="1"/>
  <c r="CN131" i="27" a="1"/>
  <c r="CN131" i="27" s="1"/>
  <c r="CP131" i="27" a="1"/>
  <c r="CP131" i="27" s="1"/>
  <c r="CA131" i="27" a="1"/>
  <c r="CA131" i="27" s="1"/>
  <c r="CI131" i="27" a="1"/>
  <c r="CI131" i="27" s="1"/>
  <c r="CQ131" i="27" a="1"/>
  <c r="CQ131" i="27" s="1"/>
  <c r="CL131" i="27" a="1"/>
  <c r="CL131" i="27" s="1"/>
  <c r="CV131" i="27" a="1"/>
  <c r="CV131" i="27" s="1"/>
  <c r="CB131" i="27" a="1"/>
  <c r="CB131" i="27" s="1"/>
  <c r="CC131" i="27" a="1"/>
  <c r="CC131" i="27" s="1"/>
  <c r="CK131" i="27" a="1"/>
  <c r="CK131" i="27" s="1"/>
  <c r="CS131" i="27" a="1"/>
  <c r="CS131" i="27" s="1"/>
  <c r="CT131" i="27" a="1"/>
  <c r="CT131" i="27" s="1"/>
  <c r="BZ131" i="27" a="1"/>
  <c r="BZ131" i="27" s="1"/>
  <c r="CJ131" i="27" a="1"/>
  <c r="CJ131" i="27" s="1"/>
  <c r="CE131" i="27" a="1"/>
  <c r="CE131" i="27" s="1"/>
  <c r="CM131" i="27" a="1"/>
  <c r="CM131" i="27" s="1"/>
  <c r="CU131" i="27" a="1"/>
  <c r="CU131" i="27" s="1"/>
  <c r="CF131" i="27" a="1"/>
  <c r="CF131" i="27" s="1"/>
  <c r="CH131" i="27" a="1"/>
  <c r="CH131" i="27" s="1"/>
  <c r="CR131" i="27" a="1"/>
  <c r="CR131" i="27" s="1"/>
  <c r="CE110" i="27" a="1"/>
  <c r="CE110" i="27" s="1"/>
  <c r="CM110" i="27" a="1"/>
  <c r="CM110" i="27" s="1"/>
  <c r="CU110" i="27" a="1"/>
  <c r="CU110" i="27" s="1"/>
  <c r="CF110" i="27" a="1"/>
  <c r="CF110" i="27" s="1"/>
  <c r="CN110" i="27" a="1"/>
  <c r="CN110" i="27" s="1"/>
  <c r="CV110" i="27" a="1"/>
  <c r="CV110" i="27" s="1"/>
  <c r="BY110" i="27" a="1"/>
  <c r="BY110" i="27" s="1"/>
  <c r="CG110" i="27" a="1"/>
  <c r="CG110" i="27" s="1"/>
  <c r="CO110" i="27" a="1"/>
  <c r="CO110" i="27" s="1"/>
  <c r="BZ110" i="27" a="1"/>
  <c r="BZ110" i="27" s="1"/>
  <c r="CH110" i="27" a="1"/>
  <c r="CH110" i="27" s="1"/>
  <c r="CP110" i="27" a="1"/>
  <c r="CP110" i="27" s="1"/>
  <c r="CC110" i="27" a="1"/>
  <c r="CC110" i="27" s="1"/>
  <c r="CS110" i="27" a="1"/>
  <c r="CS110" i="27" s="1"/>
  <c r="CT110" i="27" a="1"/>
  <c r="CT110" i="27" s="1"/>
  <c r="CA110" i="27" a="1"/>
  <c r="CA110" i="27" s="1"/>
  <c r="CI110" i="27" a="1"/>
  <c r="CI110" i="27" s="1"/>
  <c r="CQ110" i="27" a="1"/>
  <c r="CQ110" i="27" s="1"/>
  <c r="CB110" i="27" a="1"/>
  <c r="CB110" i="27" s="1"/>
  <c r="CJ110" i="27" a="1"/>
  <c r="CJ110" i="27" s="1"/>
  <c r="CR110" i="27" a="1"/>
  <c r="CR110" i="27" s="1"/>
  <c r="CK110" i="27" a="1"/>
  <c r="CK110" i="27" s="1"/>
  <c r="CL110" i="27" a="1"/>
  <c r="CL110" i="27" s="1"/>
  <c r="CD110" i="27" a="1"/>
  <c r="CD110" i="27" s="1"/>
  <c r="BY133" i="27" a="1"/>
  <c r="BY133" i="27" s="1"/>
  <c r="CG133" i="27" a="1"/>
  <c r="CG133" i="27" s="1"/>
  <c r="CO133" i="27" a="1"/>
  <c r="CO133" i="27" s="1"/>
  <c r="BZ133" i="27" a="1"/>
  <c r="BZ133" i="27" s="1"/>
  <c r="CJ133" i="27" a="1"/>
  <c r="CJ133" i="27" s="1"/>
  <c r="CT133" i="27" a="1"/>
  <c r="CT133" i="27" s="1"/>
  <c r="CA133" i="27" a="1"/>
  <c r="CA133" i="27" s="1"/>
  <c r="CI133" i="27" a="1"/>
  <c r="CI133" i="27" s="1"/>
  <c r="CQ133" i="27" a="1"/>
  <c r="CQ133" i="27" s="1"/>
  <c r="CR133" i="27" a="1"/>
  <c r="CR133" i="27" s="1"/>
  <c r="CF133" i="27" a="1"/>
  <c r="CF133" i="27" s="1"/>
  <c r="CC133" i="27" a="1"/>
  <c r="CC133" i="27" s="1"/>
  <c r="CP133" i="27" a="1"/>
  <c r="CP133" i="27" s="1"/>
  <c r="CE133" i="27" a="1"/>
  <c r="CE133" i="27" s="1"/>
  <c r="CB133" i="27" a="1"/>
  <c r="CB133" i="27" s="1"/>
  <c r="CH133" i="27" a="1"/>
  <c r="CH133" i="27" s="1"/>
  <c r="CK133" i="27" a="1"/>
  <c r="CK133" i="27" s="1"/>
  <c r="CS133" i="27" a="1"/>
  <c r="CS133" i="27" s="1"/>
  <c r="CD133" i="27" a="1"/>
  <c r="CD133" i="27" s="1"/>
  <c r="CM133" i="27" a="1"/>
  <c r="CM133" i="27" s="1"/>
  <c r="CV133" i="27" a="1"/>
  <c r="CV133" i="27" s="1"/>
  <c r="CN133" i="27" a="1"/>
  <c r="CN133" i="27" s="1"/>
  <c r="CU133" i="27" a="1"/>
  <c r="CU133" i="27" s="1"/>
  <c r="CL133" i="27" a="1"/>
  <c r="CL133" i="27" s="1"/>
  <c r="CF125" i="27" a="1"/>
  <c r="CF125" i="27" s="1"/>
  <c r="CV125" i="27" a="1"/>
  <c r="CV125" i="27" s="1"/>
  <c r="CE125" i="27" a="1"/>
  <c r="CE125" i="27" s="1"/>
  <c r="CM125" i="27" a="1"/>
  <c r="CM125" i="27" s="1"/>
  <c r="CU125" i="27" a="1"/>
  <c r="CU125" i="27" s="1"/>
  <c r="CP125" i="27" a="1"/>
  <c r="CP125" i="27" s="1"/>
  <c r="CJ125" i="27" a="1"/>
  <c r="CJ125" i="27" s="1"/>
  <c r="BY125" i="27" a="1"/>
  <c r="BY125" i="27" s="1"/>
  <c r="CG125" i="27" a="1"/>
  <c r="CG125" i="27" s="1"/>
  <c r="CO125" i="27" a="1"/>
  <c r="CO125" i="27" s="1"/>
  <c r="CD125" i="27" a="1"/>
  <c r="CD125" i="27" s="1"/>
  <c r="CT125" i="27" a="1"/>
  <c r="CT125" i="27" s="1"/>
  <c r="CR125" i="27" a="1"/>
  <c r="CR125" i="27" s="1"/>
  <c r="CS125" i="27" a="1"/>
  <c r="CS125" i="27" s="1"/>
  <c r="BZ125" i="27" a="1"/>
  <c r="BZ125" i="27" s="1"/>
  <c r="CN125" i="27" a="1"/>
  <c r="CN125" i="27" s="1"/>
  <c r="CA125" i="27" a="1"/>
  <c r="CA125" i="27" s="1"/>
  <c r="CI125" i="27" a="1"/>
  <c r="CI125" i="27" s="1"/>
  <c r="CQ125" i="27" a="1"/>
  <c r="CQ125" i="27" s="1"/>
  <c r="CH125" i="27" a="1"/>
  <c r="CH125" i="27" s="1"/>
  <c r="CB125" i="27" a="1"/>
  <c r="CB125" i="27" s="1"/>
  <c r="CK125" i="27" a="1"/>
  <c r="CK125" i="27" s="1"/>
  <c r="CL125" i="27" a="1"/>
  <c r="CL125" i="27" s="1"/>
  <c r="CC125" i="27" a="1"/>
  <c r="CC125" i="27" s="1"/>
  <c r="CA126" i="27" a="1"/>
  <c r="CA126" i="27" s="1"/>
  <c r="CI126" i="27" a="1"/>
  <c r="CI126" i="27" s="1"/>
  <c r="CD126" i="27" a="1"/>
  <c r="CD126" i="27" s="1"/>
  <c r="CV126" i="27" a="1"/>
  <c r="CV126" i="27" s="1"/>
  <c r="CP126" i="27" a="1"/>
  <c r="CP126" i="27" s="1"/>
  <c r="CK126" i="27" a="1"/>
  <c r="CK126" i="27" s="1"/>
  <c r="CS126" i="27" a="1"/>
  <c r="CS126" i="27" s="1"/>
  <c r="CH126" i="27" a="1"/>
  <c r="CH126" i="27" s="1"/>
  <c r="CT126" i="27" a="1"/>
  <c r="CT126" i="27" s="1"/>
  <c r="CO126" i="27" a="1"/>
  <c r="CO126" i="27" s="1"/>
  <c r="CN126" i="27" a="1"/>
  <c r="CN126" i="27" s="1"/>
  <c r="CM126" i="27" a="1"/>
  <c r="CM126" i="27" s="1"/>
  <c r="CU126" i="27" a="1"/>
  <c r="CU126" i="27" s="1"/>
  <c r="CL126" i="27" a="1"/>
  <c r="CL126" i="27" s="1"/>
  <c r="BY126" i="27" a="1"/>
  <c r="BY126" i="27" s="1"/>
  <c r="BZ126" i="27" a="1"/>
  <c r="BZ126" i="27" s="1"/>
  <c r="CR126" i="27" a="1"/>
  <c r="CR126" i="27" s="1"/>
  <c r="CJ126" i="27" a="1"/>
  <c r="CJ126" i="27" s="1"/>
  <c r="CA120" i="27" a="1"/>
  <c r="CA120" i="27" s="1"/>
  <c r="CI120" i="27" a="1"/>
  <c r="CI120" i="27" s="1"/>
  <c r="CQ120" i="27" a="1"/>
  <c r="CQ120" i="27" s="1"/>
  <c r="CB120" i="27" a="1"/>
  <c r="CB120" i="27" s="1"/>
  <c r="CJ120" i="27" a="1"/>
  <c r="CJ120" i="27" s="1"/>
  <c r="CR120" i="27" a="1"/>
  <c r="CR120" i="27" s="1"/>
  <c r="CC120" i="27" a="1"/>
  <c r="CC120" i="27" s="1"/>
  <c r="CK120" i="27" a="1"/>
  <c r="CK120" i="27" s="1"/>
  <c r="CS120" i="27" a="1"/>
  <c r="CS120" i="27" s="1"/>
  <c r="CD120" i="27" a="1"/>
  <c r="CD120" i="27" s="1"/>
  <c r="CL120" i="27" a="1"/>
  <c r="CL120" i="27" s="1"/>
  <c r="CT120" i="27" a="1"/>
  <c r="CT120" i="27" s="1"/>
  <c r="CV120" i="27" a="1"/>
  <c r="CV120" i="27" s="1"/>
  <c r="CE120" i="27" a="1"/>
  <c r="CE120" i="27" s="1"/>
  <c r="CM120" i="27" a="1"/>
  <c r="CM120" i="27" s="1"/>
  <c r="CU120" i="27" a="1"/>
  <c r="CU120" i="27" s="1"/>
  <c r="CF120" i="27" a="1"/>
  <c r="CF120" i="27" s="1"/>
  <c r="CN120" i="27" a="1"/>
  <c r="CN120" i="27" s="1"/>
  <c r="BY120" i="27" a="1"/>
  <c r="BY120" i="27" s="1"/>
  <c r="CG120" i="27" a="1"/>
  <c r="CG120" i="27" s="1"/>
  <c r="CO120" i="27" a="1"/>
  <c r="CO120" i="27" s="1"/>
  <c r="BZ120" i="27" a="1"/>
  <c r="BZ120" i="27" s="1"/>
  <c r="CH120" i="27" a="1"/>
  <c r="CH120" i="27" s="1"/>
  <c r="CP120" i="27" a="1"/>
  <c r="CP120" i="27" s="1"/>
  <c r="CA105" i="27" a="1"/>
  <c r="CA105" i="27" s="1"/>
  <c r="CI105" i="27" a="1"/>
  <c r="CI105" i="27" s="1"/>
  <c r="CQ105" i="27" a="1"/>
  <c r="CQ105" i="27" s="1"/>
  <c r="CF105" i="27" a="1"/>
  <c r="CF105" i="27" s="1"/>
  <c r="CN105" i="27" a="1"/>
  <c r="CN105" i="27" s="1"/>
  <c r="CV105" i="27" a="1"/>
  <c r="CV105" i="27" s="1"/>
  <c r="CK105" i="27" a="1"/>
  <c r="CK105" i="27" s="1"/>
  <c r="CE105" i="27" a="1"/>
  <c r="CE105" i="27" s="1"/>
  <c r="CO105" i="27" a="1"/>
  <c r="CO105" i="27" s="1"/>
  <c r="BZ105" i="27" a="1"/>
  <c r="BZ105" i="27" s="1"/>
  <c r="CH105" i="27" a="1"/>
  <c r="CH105" i="27" s="1"/>
  <c r="CP105" i="27" a="1"/>
  <c r="CP105" i="27" s="1"/>
  <c r="CC105" i="27" a="1"/>
  <c r="CC105" i="27" s="1"/>
  <c r="CG105" i="27" a="1"/>
  <c r="CG105" i="27" s="1"/>
  <c r="CT105" i="27" a="1"/>
  <c r="CT105" i="27" s="1"/>
  <c r="CS105" i="27" a="1"/>
  <c r="CS105" i="27" s="1"/>
  <c r="CB105" i="27" a="1"/>
  <c r="CB105" i="27" s="1"/>
  <c r="CJ105" i="27" a="1"/>
  <c r="CJ105" i="27" s="1"/>
  <c r="CR105" i="27" a="1"/>
  <c r="CR105" i="27" s="1"/>
  <c r="CU105" i="27" a="1"/>
  <c r="CU105" i="27" s="1"/>
  <c r="BY105" i="27" a="1"/>
  <c r="BY105" i="27" s="1"/>
  <c r="CL105" i="27" a="1"/>
  <c r="CL105" i="27" s="1"/>
  <c r="CD105" i="27" a="1"/>
  <c r="CD105" i="27" s="1"/>
  <c r="CM105" i="27" a="1"/>
  <c r="CM105" i="27" s="1"/>
  <c r="CD114" i="27" a="1"/>
  <c r="CD114" i="27" s="1"/>
  <c r="CL114" i="27" a="1"/>
  <c r="CL114" i="27" s="1"/>
  <c r="BY114" i="27" a="1"/>
  <c r="BY114" i="27" s="1"/>
  <c r="CG114" i="27" a="1"/>
  <c r="CG114" i="27" s="1"/>
  <c r="CO114" i="27" a="1"/>
  <c r="CO114" i="27" s="1"/>
  <c r="CV114" i="27" a="1"/>
  <c r="CV114" i="27" s="1"/>
  <c r="CF114" i="27" a="1"/>
  <c r="CF114" i="27" s="1"/>
  <c r="CP114" i="27" a="1"/>
  <c r="CP114" i="27" s="1"/>
  <c r="CA114" i="27" a="1"/>
  <c r="CA114" i="27" s="1"/>
  <c r="CI114" i="27" a="1"/>
  <c r="CI114" i="27" s="1"/>
  <c r="CQ114" i="27" a="1"/>
  <c r="CQ114" i="27" s="1"/>
  <c r="CN114" i="27" a="1"/>
  <c r="CN114" i="27" s="1"/>
  <c r="CE114" i="27" a="1"/>
  <c r="CE114" i="27" s="1"/>
  <c r="CU114" i="27" a="1"/>
  <c r="CU114" i="27" s="1"/>
  <c r="BZ114" i="27" a="1"/>
  <c r="BZ114" i="27" s="1"/>
  <c r="CH114" i="27" a="1"/>
  <c r="CH114" i="27" s="1"/>
  <c r="CR114" i="27" a="1"/>
  <c r="CR114" i="27" s="1"/>
  <c r="CC114" i="27" a="1"/>
  <c r="CC114" i="27" s="1"/>
  <c r="CK114" i="27" a="1"/>
  <c r="CK114" i="27" s="1"/>
  <c r="CS114" i="27" a="1"/>
  <c r="CS114" i="27" s="1"/>
  <c r="CB114" i="27" a="1"/>
  <c r="CB114" i="27" s="1"/>
  <c r="CT114" i="27" a="1"/>
  <c r="CT114" i="27" s="1"/>
  <c r="CM114" i="27" a="1"/>
  <c r="CM114" i="27" s="1"/>
  <c r="CJ114" i="27" a="1"/>
  <c r="CJ114" i="27" s="1"/>
  <c r="CD108" i="27" a="1"/>
  <c r="CD108" i="27" s="1"/>
  <c r="CL108" i="27" a="1"/>
  <c r="CL108" i="27" s="1"/>
  <c r="CT108" i="27" a="1"/>
  <c r="CT108" i="27" s="1"/>
  <c r="CQ108" i="27" a="1"/>
  <c r="CQ108" i="27" s="1"/>
  <c r="CE108" i="27" a="1"/>
  <c r="CE108" i="27" s="1"/>
  <c r="CK108" i="27" a="1"/>
  <c r="CK108" i="27" s="1"/>
  <c r="CF108" i="27" a="1"/>
  <c r="CF108" i="27" s="1"/>
  <c r="CN108" i="27" a="1"/>
  <c r="CN108" i="27" s="1"/>
  <c r="CV108" i="27" a="1"/>
  <c r="CV108" i="27" s="1"/>
  <c r="BY108" i="27" a="1"/>
  <c r="BY108" i="27" s="1"/>
  <c r="CM108" i="27" a="1"/>
  <c r="CM108" i="27" s="1"/>
  <c r="CS108" i="27" a="1"/>
  <c r="CS108" i="27" s="1"/>
  <c r="CJ108" i="27" a="1"/>
  <c r="CJ108" i="27" s="1"/>
  <c r="CO108" i="27" a="1"/>
  <c r="CO108" i="27" s="1"/>
  <c r="BZ108" i="27" a="1"/>
  <c r="BZ108" i="27" s="1"/>
  <c r="CH108" i="27" a="1"/>
  <c r="CH108" i="27" s="1"/>
  <c r="CP108" i="27" a="1"/>
  <c r="CP108" i="27" s="1"/>
  <c r="CA108" i="27" a="1"/>
  <c r="CA108" i="27" s="1"/>
  <c r="CG108" i="27" a="1"/>
  <c r="CG108" i="27" s="1"/>
  <c r="CU108" i="27" a="1"/>
  <c r="CU108" i="27" s="1"/>
  <c r="CR108" i="27" a="1"/>
  <c r="CR108" i="27" s="1"/>
  <c r="CC108" i="27" a="1"/>
  <c r="CC108" i="27" s="1"/>
  <c r="CB108" i="27" a="1"/>
  <c r="CB108" i="27" s="1"/>
  <c r="CI108" i="27" a="1"/>
  <c r="CI108" i="27" s="1"/>
  <c r="BW74" i="27"/>
  <c r="BT74" i="27"/>
  <c r="CQ89" i="27" a="1"/>
  <c r="CQ89" i="27" s="1"/>
  <c r="CA89" i="27" a="1"/>
  <c r="CA89" i="27" s="1"/>
  <c r="CI89" i="27" a="1"/>
  <c r="CI89" i="27" s="1"/>
  <c r="CD89" i="27" a="1"/>
  <c r="CD89" i="27" s="1"/>
  <c r="CL89" i="27" a="1"/>
  <c r="CL89" i="27" s="1"/>
  <c r="CT89" i="27" a="1"/>
  <c r="CT89" i="27" s="1"/>
  <c r="CO89" i="27" a="1"/>
  <c r="CO89" i="27" s="1"/>
  <c r="CC89" i="27" a="1"/>
  <c r="CC89" i="27" s="1"/>
  <c r="CF89" i="27" a="1"/>
  <c r="CF89" i="27" s="1"/>
  <c r="CN89" i="27" a="1"/>
  <c r="CN89" i="27" s="1"/>
  <c r="CV89" i="27" a="1"/>
  <c r="CV89" i="27" s="1"/>
  <c r="CE89" i="27" a="1"/>
  <c r="CE89" i="27" s="1"/>
  <c r="CK89" i="27" a="1"/>
  <c r="CK89" i="27" s="1"/>
  <c r="CR89" i="27" a="1"/>
  <c r="CR89" i="27" s="1"/>
  <c r="CU89" i="27" a="1"/>
  <c r="CU89" i="27" s="1"/>
  <c r="BZ89" i="27" a="1"/>
  <c r="BZ89" i="27" s="1"/>
  <c r="CH89" i="27" a="1"/>
  <c r="CH89" i="27" s="1"/>
  <c r="CP89" i="27" a="1"/>
  <c r="CP89" i="27" s="1"/>
  <c r="BY89" i="27" a="1"/>
  <c r="BY89" i="27" s="1"/>
  <c r="CM89" i="27" a="1"/>
  <c r="CM89" i="27" s="1"/>
  <c r="CS89" i="27" a="1"/>
  <c r="CS89" i="27" s="1"/>
  <c r="CB89" i="27" a="1"/>
  <c r="CB89" i="27" s="1"/>
  <c r="CG89" i="27" a="1"/>
  <c r="CG89" i="27" s="1"/>
  <c r="CJ89" i="27" a="1"/>
  <c r="CJ89" i="27" s="1"/>
  <c r="CD83" i="27" a="1"/>
  <c r="CD83" i="27" s="1"/>
  <c r="CL83" i="27" a="1"/>
  <c r="CL83" i="27" s="1"/>
  <c r="CT83" i="27" a="1"/>
  <c r="CT83" i="27" s="1"/>
  <c r="CC83" i="27" a="1"/>
  <c r="CC83" i="27" s="1"/>
  <c r="CK83" i="27" a="1"/>
  <c r="CK83" i="27" s="1"/>
  <c r="CS83" i="27" a="1"/>
  <c r="CS83" i="27" s="1"/>
  <c r="CR83" i="27" a="1"/>
  <c r="CR83" i="27" s="1"/>
  <c r="CF83" i="27" a="1"/>
  <c r="CF83" i="27" s="1"/>
  <c r="CN83" i="27" a="1"/>
  <c r="CN83" i="27" s="1"/>
  <c r="CV83" i="27" a="1"/>
  <c r="CV83" i="27" s="1"/>
  <c r="CE83" i="27" a="1"/>
  <c r="CE83" i="27" s="1"/>
  <c r="CM83" i="27" a="1"/>
  <c r="CM83" i="27" s="1"/>
  <c r="CU83" i="27" a="1"/>
  <c r="CU83" i="27" s="1"/>
  <c r="CB83" i="27" a="1"/>
  <c r="CB83" i="27" s="1"/>
  <c r="CA83" i="27" a="1"/>
  <c r="CA83" i="27" s="1"/>
  <c r="BZ83" i="27" a="1"/>
  <c r="BZ83" i="27" s="1"/>
  <c r="CH83" i="27" a="1"/>
  <c r="CH83" i="27" s="1"/>
  <c r="CP83" i="27" a="1"/>
  <c r="CP83" i="27" s="1"/>
  <c r="BY83" i="27" a="1"/>
  <c r="BY83" i="27" s="1"/>
  <c r="CG83" i="27" a="1"/>
  <c r="CG83" i="27" s="1"/>
  <c r="CO83" i="27" a="1"/>
  <c r="CO83" i="27" s="1"/>
  <c r="CJ83" i="27" a="1"/>
  <c r="CJ83" i="27" s="1"/>
  <c r="CQ83" i="27" a="1"/>
  <c r="CQ83" i="27" s="1"/>
  <c r="CI83" i="27" a="1"/>
  <c r="CI83" i="27" s="1"/>
  <c r="CB86" i="27" a="1"/>
  <c r="CB86" i="27" s="1"/>
  <c r="CJ86" i="27" a="1"/>
  <c r="CJ86" i="27" s="1"/>
  <c r="CR86" i="27" a="1"/>
  <c r="CR86" i="27" s="1"/>
  <c r="CA86" i="27" a="1"/>
  <c r="CA86" i="27" s="1"/>
  <c r="CI86" i="27" a="1"/>
  <c r="CI86" i="27" s="1"/>
  <c r="CQ86" i="27" a="1"/>
  <c r="CQ86" i="27" s="1"/>
  <c r="BZ86" i="27" a="1"/>
  <c r="BZ86" i="27" s="1"/>
  <c r="CO86" i="27" a="1"/>
  <c r="CO86" i="27" s="1"/>
  <c r="CD86" i="27" a="1"/>
  <c r="CD86" i="27" s="1"/>
  <c r="CL86" i="27" a="1"/>
  <c r="CL86" i="27" s="1"/>
  <c r="CT86" i="27" a="1"/>
  <c r="CT86" i="27" s="1"/>
  <c r="CC86" i="27" a="1"/>
  <c r="CC86" i="27" s="1"/>
  <c r="CK86" i="27" a="1"/>
  <c r="CK86" i="27" s="1"/>
  <c r="CS86" i="27" a="1"/>
  <c r="CS86" i="27" s="1"/>
  <c r="BY86" i="27" a="1"/>
  <c r="BY86" i="27" s="1"/>
  <c r="CF86" i="27" a="1"/>
  <c r="CF86" i="27" s="1"/>
  <c r="CN86" i="27" a="1"/>
  <c r="CN86" i="27" s="1"/>
  <c r="CV86" i="27" a="1"/>
  <c r="CV86" i="27" s="1"/>
  <c r="CE86" i="27" a="1"/>
  <c r="CE86" i="27" s="1"/>
  <c r="CM86" i="27" a="1"/>
  <c r="CM86" i="27" s="1"/>
  <c r="CU86" i="27" a="1"/>
  <c r="CU86" i="27" s="1"/>
  <c r="CH86" i="27" a="1"/>
  <c r="CH86" i="27" s="1"/>
  <c r="CG86" i="27" a="1"/>
  <c r="CG86" i="27" s="1"/>
  <c r="CP86" i="27" a="1"/>
  <c r="CP86" i="27" s="1"/>
  <c r="BW54" i="27"/>
  <c r="BT54" i="27"/>
  <c r="CE88" i="27" a="1"/>
  <c r="CE88" i="27" s="1"/>
  <c r="CA88" i="27" a="1"/>
  <c r="CA88" i="27" s="1"/>
  <c r="CI88" i="27" a="1"/>
  <c r="CI88" i="27" s="1"/>
  <c r="CQ88" i="27" a="1"/>
  <c r="CQ88" i="27" s="1"/>
  <c r="CC88" i="27" a="1"/>
  <c r="CC88" i="27" s="1"/>
  <c r="CK88" i="27" a="1"/>
  <c r="CK88" i="27" s="1"/>
  <c r="CS88" i="27" a="1"/>
  <c r="CS88" i="27" s="1"/>
  <c r="CO88" i="27" a="1"/>
  <c r="CO88" i="27" s="1"/>
  <c r="BY88" i="27" a="1"/>
  <c r="BY88" i="27" s="1"/>
  <c r="CG88" i="27" a="1"/>
  <c r="CG88" i="27" s="1"/>
  <c r="CU88" i="27" a="1"/>
  <c r="CU88" i="27" s="1"/>
  <c r="CD88" i="27" a="1"/>
  <c r="CD88" i="27" s="1"/>
  <c r="CL88" i="27" a="1"/>
  <c r="CL88" i="27" s="1"/>
  <c r="CT88" i="27" a="1"/>
  <c r="CT88" i="27" s="1"/>
  <c r="CJ88" i="27" a="1"/>
  <c r="CJ88" i="27" s="1"/>
  <c r="CM88" i="27" a="1"/>
  <c r="CM88" i="27" s="1"/>
  <c r="CF88" i="27" a="1"/>
  <c r="CF88" i="27" s="1"/>
  <c r="CN88" i="27" a="1"/>
  <c r="CN88" i="27" s="1"/>
  <c r="CV88" i="27" a="1"/>
  <c r="CV88" i="27" s="1"/>
  <c r="CB88" i="27" a="1"/>
  <c r="CB88" i="27" s="1"/>
  <c r="CR88" i="27" a="1"/>
  <c r="CR88" i="27" s="1"/>
  <c r="BZ88" i="27" a="1"/>
  <c r="BZ88" i="27" s="1"/>
  <c r="CH88" i="27" a="1"/>
  <c r="CH88" i="27" s="1"/>
  <c r="CP88" i="27" a="1"/>
  <c r="CP88" i="27" s="1"/>
  <c r="CG70" i="27" a="1"/>
  <c r="CG70" i="27" s="1"/>
  <c r="CK70" i="27" a="1"/>
  <c r="CK70" i="27" s="1"/>
  <c r="BY70" i="27" a="1"/>
  <c r="BY70" i="27" s="1"/>
  <c r="CO70" i="27" a="1"/>
  <c r="CO70" i="27" s="1"/>
  <c r="CC70" i="27" a="1"/>
  <c r="CC70" i="27" s="1"/>
  <c r="CS70" i="27" a="1"/>
  <c r="CS70" i="27" s="1"/>
  <c r="BZ70" i="27" a="1"/>
  <c r="BZ70" i="27" s="1"/>
  <c r="CH70" i="27" a="1"/>
  <c r="CH70" i="27" s="1"/>
  <c r="CP70" i="27" a="1"/>
  <c r="CP70" i="27" s="1"/>
  <c r="CU70" i="27" a="1"/>
  <c r="CU70" i="27" s="1"/>
  <c r="CE70" i="27" a="1"/>
  <c r="CE70" i="27" s="1"/>
  <c r="CN70" i="27" a="1"/>
  <c r="CN70" i="27" s="1"/>
  <c r="CB70" i="27" a="1"/>
  <c r="CB70" i="27" s="1"/>
  <c r="CJ70" i="27" a="1"/>
  <c r="CJ70" i="27" s="1"/>
  <c r="CR70" i="27" a="1"/>
  <c r="CR70" i="27" s="1"/>
  <c r="CQ70" i="27" a="1"/>
  <c r="CQ70" i="27" s="1"/>
  <c r="CA70" i="27" a="1"/>
  <c r="CA70" i="27" s="1"/>
  <c r="CV70" i="27" a="1"/>
  <c r="CV70" i="27" s="1"/>
  <c r="CD70" i="27" a="1"/>
  <c r="CD70" i="27" s="1"/>
  <c r="CL70" i="27" a="1"/>
  <c r="CL70" i="27" s="1"/>
  <c r="CT70" i="27" a="1"/>
  <c r="CT70" i="27" s="1"/>
  <c r="CM70" i="27" a="1"/>
  <c r="CM70" i="27" s="1"/>
  <c r="CI70" i="27" a="1"/>
  <c r="CI70" i="27" s="1"/>
  <c r="CF70" i="27" a="1"/>
  <c r="CF70" i="27" s="1"/>
  <c r="BZ68" i="27" a="1"/>
  <c r="BZ68" i="27" s="1"/>
  <c r="CE68" i="27" a="1"/>
  <c r="CE68" i="27" s="1"/>
  <c r="CM68" i="27" a="1"/>
  <c r="CM68" i="27" s="1"/>
  <c r="CU68" i="27" a="1"/>
  <c r="CU68" i="27" s="1"/>
  <c r="BY68" i="27" a="1"/>
  <c r="BY68" i="27" s="1"/>
  <c r="CG68" i="27" a="1"/>
  <c r="CG68" i="27" s="1"/>
  <c r="CO68" i="27" a="1"/>
  <c r="CO68" i="27" s="1"/>
  <c r="CA68" i="27" a="1"/>
  <c r="CA68" i="27" s="1"/>
  <c r="CI68" i="27" a="1"/>
  <c r="CI68" i="27" s="1"/>
  <c r="CQ68" i="27" a="1"/>
  <c r="CQ68" i="27" s="1"/>
  <c r="CK68" i="27" a="1"/>
  <c r="CK68" i="27" s="1"/>
  <c r="CS68" i="27" a="1"/>
  <c r="CS68" i="27" s="1"/>
  <c r="CC68" i="27" a="1"/>
  <c r="CC68" i="27" s="1"/>
  <c r="CT68" i="27" a="1"/>
  <c r="CT68" i="27" s="1"/>
  <c r="CL68" i="27" a="1"/>
  <c r="CL68" i="27" s="1"/>
  <c r="CD68" i="27" a="1"/>
  <c r="CD68" i="27" s="1"/>
  <c r="CN68" i="27" a="1"/>
  <c r="CN68" i="27" s="1"/>
  <c r="CR68" i="27" a="1"/>
  <c r="CR68" i="27" s="1"/>
  <c r="CJ68" i="27" a="1"/>
  <c r="CJ68" i="27" s="1"/>
  <c r="CB68" i="27" a="1"/>
  <c r="CB68" i="27" s="1"/>
  <c r="CV68" i="27" a="1"/>
  <c r="CV68" i="27" s="1"/>
  <c r="CP68" i="27" a="1"/>
  <c r="CP68" i="27" s="1"/>
  <c r="CH68" i="27" a="1"/>
  <c r="CH68" i="27" s="1"/>
  <c r="CF68" i="27" a="1"/>
  <c r="CF68" i="27" s="1"/>
  <c r="CG57" i="27" a="1"/>
  <c r="CG57" i="27" s="1"/>
  <c r="CM57" i="27" a="1"/>
  <c r="CM57" i="27" s="1"/>
  <c r="CI57" i="27" a="1"/>
  <c r="CI57" i="27" s="1"/>
  <c r="CS57" i="27" a="1"/>
  <c r="CS57" i="27" s="1"/>
  <c r="CO57" i="27" a="1"/>
  <c r="CO57" i="27" s="1"/>
  <c r="CU57" i="27" a="1"/>
  <c r="CU57" i="27" s="1"/>
  <c r="CK57" i="27" a="1"/>
  <c r="CK57" i="27" s="1"/>
  <c r="CQ57" i="27" a="1"/>
  <c r="CQ57" i="27" s="1"/>
  <c r="CB57" i="27" a="1"/>
  <c r="CB57" i="27" s="1"/>
  <c r="CJ57" i="27" a="1"/>
  <c r="CJ57" i="27" s="1"/>
  <c r="CR57" i="27" a="1"/>
  <c r="CR57" i="27" s="1"/>
  <c r="CA57" i="27" a="1"/>
  <c r="CA57" i="27" s="1"/>
  <c r="BZ57" i="27" a="1"/>
  <c r="BZ57" i="27" s="1"/>
  <c r="CD57" i="27" a="1"/>
  <c r="CD57" i="27" s="1"/>
  <c r="CL57" i="27" a="1"/>
  <c r="CL57" i="27" s="1"/>
  <c r="CT57" i="27" a="1"/>
  <c r="CT57" i="27" s="1"/>
  <c r="CC57" i="27" a="1"/>
  <c r="CC57" i="27" s="1"/>
  <c r="CP57" i="27" a="1"/>
  <c r="CP57" i="27" s="1"/>
  <c r="CF57" i="27" a="1"/>
  <c r="CF57" i="27" s="1"/>
  <c r="CN57" i="27" a="1"/>
  <c r="CN57" i="27" s="1"/>
  <c r="CV57" i="27" a="1"/>
  <c r="CV57" i="27" s="1"/>
  <c r="CE57" i="27" a="1"/>
  <c r="CE57" i="27" s="1"/>
  <c r="CH57" i="27" a="1"/>
  <c r="CH57" i="27" s="1"/>
  <c r="BY57" i="27" a="1"/>
  <c r="BY57" i="27" s="1"/>
  <c r="BY60" i="27" a="1"/>
  <c r="BY60" i="27" s="1"/>
  <c r="CI60" i="27" a="1"/>
  <c r="CI60" i="27" s="1"/>
  <c r="CA60" i="27" a="1"/>
  <c r="CA60" i="27" s="1"/>
  <c r="CO60" i="27" a="1"/>
  <c r="CO60" i="27" s="1"/>
  <c r="CG60" i="27" a="1"/>
  <c r="CG60" i="27" s="1"/>
  <c r="CQ60" i="27" a="1"/>
  <c r="CQ60" i="27" s="1"/>
  <c r="BZ60" i="27" a="1"/>
  <c r="BZ60" i="27" s="1"/>
  <c r="CH60" i="27" a="1"/>
  <c r="CH60" i="27" s="1"/>
  <c r="CP60" i="27" a="1"/>
  <c r="CP60" i="27" s="1"/>
  <c r="CM60" i="27" a="1"/>
  <c r="CM60" i="27" s="1"/>
  <c r="CN60" i="27" a="1"/>
  <c r="CN60" i="27" s="1"/>
  <c r="CB60" i="27" a="1"/>
  <c r="CB60" i="27" s="1"/>
  <c r="CJ60" i="27" a="1"/>
  <c r="CJ60" i="27" s="1"/>
  <c r="CR60" i="27" a="1"/>
  <c r="CR60" i="27" s="1"/>
  <c r="CS60" i="27" a="1"/>
  <c r="CS60" i="27" s="1"/>
  <c r="CE60" i="27" a="1"/>
  <c r="CE60" i="27" s="1"/>
  <c r="CV60" i="27" a="1"/>
  <c r="CV60" i="27" s="1"/>
  <c r="CC60" i="27" a="1"/>
  <c r="CC60" i="27" s="1"/>
  <c r="CD60" i="27" a="1"/>
  <c r="CD60" i="27" s="1"/>
  <c r="CL60" i="27" a="1"/>
  <c r="CL60" i="27" s="1"/>
  <c r="CT60" i="27" a="1"/>
  <c r="CT60" i="27" s="1"/>
  <c r="CK60" i="27" a="1"/>
  <c r="CK60" i="27" s="1"/>
  <c r="CF60" i="27" a="1"/>
  <c r="CF60" i="27" s="1"/>
  <c r="CU60" i="27" a="1"/>
  <c r="CU60" i="27" s="1"/>
  <c r="CI78" i="27" a="1"/>
  <c r="CI78" i="27" s="1"/>
  <c r="CA78" i="27" a="1"/>
  <c r="CA78" i="27" s="1"/>
  <c r="CQ78" i="27" a="1"/>
  <c r="CQ78" i="27" s="1"/>
  <c r="CD78" i="27" a="1"/>
  <c r="CD78" i="27" s="1"/>
  <c r="CL78" i="27" a="1"/>
  <c r="CL78" i="27" s="1"/>
  <c r="CT78" i="27" a="1"/>
  <c r="CT78" i="27" s="1"/>
  <c r="CC78" i="27" a="1"/>
  <c r="CC78" i="27" s="1"/>
  <c r="CM78" i="27" a="1"/>
  <c r="CM78" i="27" s="1"/>
  <c r="CG78" i="27" a="1"/>
  <c r="CG78" i="27" s="1"/>
  <c r="CB78" i="27" a="1"/>
  <c r="CB78" i="27" s="1"/>
  <c r="CK78" i="27" a="1"/>
  <c r="CK78" i="27" s="1"/>
  <c r="CF78" i="27" a="1"/>
  <c r="CF78" i="27" s="1"/>
  <c r="CN78" i="27" a="1"/>
  <c r="CN78" i="27" s="1"/>
  <c r="CV78" i="27" a="1"/>
  <c r="CV78" i="27" s="1"/>
  <c r="CE78" i="27" a="1"/>
  <c r="CE78" i="27" s="1"/>
  <c r="BY78" i="27" a="1"/>
  <c r="BY78" i="27" s="1"/>
  <c r="CJ78" i="27" a="1"/>
  <c r="CJ78" i="27" s="1"/>
  <c r="BZ78" i="27" a="1"/>
  <c r="BZ78" i="27" s="1"/>
  <c r="CH78" i="27" a="1"/>
  <c r="CH78" i="27" s="1"/>
  <c r="CP78" i="27" a="1"/>
  <c r="CP78" i="27" s="1"/>
  <c r="CS78" i="27" a="1"/>
  <c r="CS78" i="27" s="1"/>
  <c r="CR78" i="27" a="1"/>
  <c r="CR78" i="27" s="1"/>
  <c r="CO78" i="27" a="1"/>
  <c r="CO78" i="27" s="1"/>
  <c r="CU78" i="27" a="1"/>
  <c r="CU78" i="27" s="1"/>
  <c r="BZ66" i="27" a="1"/>
  <c r="BZ66" i="27" s="1"/>
  <c r="CA66" i="27" a="1"/>
  <c r="CA66" i="27" s="1"/>
  <c r="CQ66" i="27" a="1"/>
  <c r="CQ66" i="27" s="1"/>
  <c r="CC66" i="27" a="1"/>
  <c r="CC66" i="27" s="1"/>
  <c r="CK66" i="27" a="1"/>
  <c r="CK66" i="27" s="1"/>
  <c r="CE66" i="27" a="1"/>
  <c r="CE66" i="27" s="1"/>
  <c r="CM66" i="27" a="1"/>
  <c r="CM66" i="27" s="1"/>
  <c r="CU66" i="27" a="1"/>
  <c r="CU66" i="27" s="1"/>
  <c r="BY66" i="27" a="1"/>
  <c r="BY66" i="27" s="1"/>
  <c r="CG66" i="27" a="1"/>
  <c r="CG66" i="27" s="1"/>
  <c r="CP66" i="27" a="1"/>
  <c r="CP66" i="27" s="1"/>
  <c r="CR66" i="27" a="1"/>
  <c r="CR66" i="27" s="1"/>
  <c r="CV66" i="27" a="1"/>
  <c r="CV66" i="27" s="1"/>
  <c r="CN66" i="27" a="1"/>
  <c r="CN66" i="27" s="1"/>
  <c r="CJ66" i="27" a="1"/>
  <c r="CJ66" i="27" s="1"/>
  <c r="CT66" i="27" a="1"/>
  <c r="CT66" i="27" s="1"/>
  <c r="CL66" i="27" a="1"/>
  <c r="CL66" i="27" s="1"/>
  <c r="CB66" i="27" a="1"/>
  <c r="CB66" i="27" s="1"/>
  <c r="CB50" i="27" a="1"/>
  <c r="CB50" i="27" s="1"/>
  <c r="CJ50" i="27" a="1"/>
  <c r="CJ50" i="27" s="1"/>
  <c r="CR50" i="27" a="1"/>
  <c r="CR50" i="27" s="1"/>
  <c r="CA50" i="27" a="1"/>
  <c r="CA50" i="27" s="1"/>
  <c r="CI50" i="27" a="1"/>
  <c r="CI50" i="27" s="1"/>
  <c r="CQ50" i="27" a="1"/>
  <c r="CQ50" i="27" s="1"/>
  <c r="CH50" i="27" a="1"/>
  <c r="CH50" i="27" s="1"/>
  <c r="CG50" i="27" a="1"/>
  <c r="CG50" i="27" s="1"/>
  <c r="CD50" i="27" a="1"/>
  <c r="CD50" i="27" s="1"/>
  <c r="CL50" i="27" a="1"/>
  <c r="CL50" i="27" s="1"/>
  <c r="CT50" i="27" a="1"/>
  <c r="CT50" i="27" s="1"/>
  <c r="CC50" i="27" a="1"/>
  <c r="CC50" i="27" s="1"/>
  <c r="CK50" i="27" a="1"/>
  <c r="CK50" i="27" s="1"/>
  <c r="CS50" i="27" a="1"/>
  <c r="CS50" i="27" s="1"/>
  <c r="CP50" i="27" a="1"/>
  <c r="CP50" i="27" s="1"/>
  <c r="BY50" i="27" a="1"/>
  <c r="BY50" i="27" s="1"/>
  <c r="CF50" i="27" a="1"/>
  <c r="CF50" i="27" s="1"/>
  <c r="CN50" i="27" a="1"/>
  <c r="CN50" i="27" s="1"/>
  <c r="CV50" i="27" a="1"/>
  <c r="CV50" i="27" s="1"/>
  <c r="CE50" i="27" a="1"/>
  <c r="CE50" i="27" s="1"/>
  <c r="CM50" i="27" a="1"/>
  <c r="CM50" i="27" s="1"/>
  <c r="CU50" i="27" a="1"/>
  <c r="CU50" i="27" s="1"/>
  <c r="CO50" i="27" a="1"/>
  <c r="CO50" i="27" s="1"/>
  <c r="BZ50" i="27" a="1"/>
  <c r="BZ50" i="27" s="1"/>
  <c r="BW51" i="27"/>
  <c r="BT51" i="27"/>
  <c r="BY33" i="27" a="1"/>
  <c r="BY33" i="27" s="1"/>
  <c r="CP33" i="27" a="1"/>
  <c r="CP33" i="27" s="1"/>
  <c r="CH33" i="27" a="1"/>
  <c r="CH33" i="27" s="1"/>
  <c r="BZ33" i="27" a="1"/>
  <c r="BZ33" i="27" s="1"/>
  <c r="CU33" i="27" a="1"/>
  <c r="CU33" i="27" s="1"/>
  <c r="CM33" i="27" a="1"/>
  <c r="CM33" i="27" s="1"/>
  <c r="CE33" i="27" a="1"/>
  <c r="CE33" i="27" s="1"/>
  <c r="CV33" i="27" a="1"/>
  <c r="CV33" i="27" s="1"/>
  <c r="CN33" i="27" a="1"/>
  <c r="CN33" i="27" s="1"/>
  <c r="CF33" i="27" a="1"/>
  <c r="CF33" i="27" s="1"/>
  <c r="CS33" i="27" a="1"/>
  <c r="CS33" i="27" s="1"/>
  <c r="CK33" i="27" a="1"/>
  <c r="CK33" i="27" s="1"/>
  <c r="CC33" i="27" a="1"/>
  <c r="CC33" i="27" s="1"/>
  <c r="CT33" i="27" a="1"/>
  <c r="CT33" i="27" s="1"/>
  <c r="CL33" i="27" a="1"/>
  <c r="CL33" i="27" s="1"/>
  <c r="CD33" i="27" a="1"/>
  <c r="CD33" i="27" s="1"/>
  <c r="CQ33" i="27" a="1"/>
  <c r="CQ33" i="27" s="1"/>
  <c r="CI33" i="27" a="1"/>
  <c r="CI33" i="27" s="1"/>
  <c r="CA33" i="27" a="1"/>
  <c r="CA33" i="27" s="1"/>
  <c r="CR33" i="27" a="1"/>
  <c r="CR33" i="27" s="1"/>
  <c r="CJ33" i="27" a="1"/>
  <c r="CJ33" i="27" s="1"/>
  <c r="CG33" i="27" a="1"/>
  <c r="CG33" i="27" s="1"/>
  <c r="CB33" i="27" a="1"/>
  <c r="CB33" i="27" s="1"/>
  <c r="CO33" i="27" a="1"/>
  <c r="CO33" i="27" s="1"/>
  <c r="CD43" i="27" a="1"/>
  <c r="CD43" i="27" s="1"/>
  <c r="CL43" i="27" a="1"/>
  <c r="CL43" i="27" s="1"/>
  <c r="CT43" i="27" a="1"/>
  <c r="CT43" i="27" s="1"/>
  <c r="CC43" i="27" a="1"/>
  <c r="CC43" i="27" s="1"/>
  <c r="CK43" i="27" a="1"/>
  <c r="CK43" i="27" s="1"/>
  <c r="CS43" i="27" a="1"/>
  <c r="CS43" i="27" s="1"/>
  <c r="CF43" i="27" a="1"/>
  <c r="CF43" i="27" s="1"/>
  <c r="CN43" i="27" a="1"/>
  <c r="CN43" i="27" s="1"/>
  <c r="CV43" i="27" a="1"/>
  <c r="CV43" i="27" s="1"/>
  <c r="CE43" i="27" a="1"/>
  <c r="CE43" i="27" s="1"/>
  <c r="CM43" i="27" a="1"/>
  <c r="CM43" i="27" s="1"/>
  <c r="CU43" i="27" a="1"/>
  <c r="CU43" i="27" s="1"/>
  <c r="BZ43" i="27" a="1"/>
  <c r="BZ43" i="27" s="1"/>
  <c r="CH43" i="27" a="1"/>
  <c r="CH43" i="27" s="1"/>
  <c r="CP43" i="27" a="1"/>
  <c r="CP43" i="27" s="1"/>
  <c r="BY43" i="27" a="1"/>
  <c r="BY43" i="27" s="1"/>
  <c r="CG43" i="27" a="1"/>
  <c r="CG43" i="27" s="1"/>
  <c r="CO43" i="27" a="1"/>
  <c r="CO43" i="27" s="1"/>
  <c r="CR43" i="27" a="1"/>
  <c r="CR43" i="27" s="1"/>
  <c r="CA43" i="27" a="1"/>
  <c r="CA43" i="27" s="1"/>
  <c r="CB43" i="27" a="1"/>
  <c r="CB43" i="27" s="1"/>
  <c r="CI43" i="27" a="1"/>
  <c r="CI43" i="27" s="1"/>
  <c r="CJ43" i="27" a="1"/>
  <c r="CJ43" i="27" s="1"/>
  <c r="CQ43" i="27" a="1"/>
  <c r="CQ43" i="27" s="1"/>
  <c r="CC37" i="27" a="1"/>
  <c r="CC37" i="27" s="1"/>
  <c r="CK37" i="27" a="1"/>
  <c r="CK37" i="27" s="1"/>
  <c r="CS37" i="27" a="1"/>
  <c r="CS37" i="27" s="1"/>
  <c r="CD37" i="27" a="1"/>
  <c r="CD37" i="27" s="1"/>
  <c r="CL37" i="27" a="1"/>
  <c r="CL37" i="27" s="1"/>
  <c r="CT37" i="27" a="1"/>
  <c r="CT37" i="27" s="1"/>
  <c r="CE37" i="27" a="1"/>
  <c r="CE37" i="27" s="1"/>
  <c r="CM37" i="27" a="1"/>
  <c r="CM37" i="27" s="1"/>
  <c r="CU37" i="27" a="1"/>
  <c r="CU37" i="27" s="1"/>
  <c r="CF37" i="27" a="1"/>
  <c r="CF37" i="27" s="1"/>
  <c r="CN37" i="27" a="1"/>
  <c r="CN37" i="27" s="1"/>
  <c r="CV37" i="27" a="1"/>
  <c r="CV37" i="27" s="1"/>
  <c r="BY37" i="27" a="1"/>
  <c r="BY37" i="27" s="1"/>
  <c r="CG37" i="27" a="1"/>
  <c r="CG37" i="27" s="1"/>
  <c r="CO37" i="27" a="1"/>
  <c r="CO37" i="27" s="1"/>
  <c r="BZ37" i="27" a="1"/>
  <c r="BZ37" i="27" s="1"/>
  <c r="CH37" i="27" a="1"/>
  <c r="CH37" i="27" s="1"/>
  <c r="CP37" i="27" a="1"/>
  <c r="CP37" i="27" s="1"/>
  <c r="CQ37" i="27" a="1"/>
  <c r="CQ37" i="27" s="1"/>
  <c r="CI37" i="27" a="1"/>
  <c r="CI37" i="27" s="1"/>
  <c r="CB37" i="27" a="1"/>
  <c r="CB37" i="27" s="1"/>
  <c r="CR37" i="27" a="1"/>
  <c r="CR37" i="27" s="1"/>
  <c r="CA37" i="27" a="1"/>
  <c r="CA37" i="27" s="1"/>
  <c r="CJ37" i="27" a="1"/>
  <c r="CJ37" i="27" s="1"/>
  <c r="CJ25" i="27" a="1"/>
  <c r="CJ25" i="27" s="1"/>
  <c r="CT25" i="27" a="1"/>
  <c r="CT25" i="27" s="1"/>
  <c r="CL25" i="27" a="1"/>
  <c r="CL25" i="27" s="1"/>
  <c r="CD25" i="27" a="1"/>
  <c r="CD25" i="27" s="1"/>
  <c r="CA25" i="27" a="1"/>
  <c r="CA25" i="27" s="1"/>
  <c r="CI25" i="27" a="1"/>
  <c r="CI25" i="27" s="1"/>
  <c r="CC25" i="27" a="1"/>
  <c r="CC25" i="27" s="1"/>
  <c r="CK25" i="27" a="1"/>
  <c r="CK25" i="27" s="1"/>
  <c r="CS25" i="27" a="1"/>
  <c r="CS25" i="27" s="1"/>
  <c r="CP25" i="27" a="1"/>
  <c r="CP25" i="27" s="1"/>
  <c r="CE25" i="27" a="1"/>
  <c r="CE25" i="27" s="1"/>
  <c r="CM25" i="27" a="1"/>
  <c r="CM25" i="27" s="1"/>
  <c r="CN25" i="27" a="1"/>
  <c r="CN25" i="27" s="1"/>
  <c r="CH25" i="27" a="1"/>
  <c r="CH25" i="27" s="1"/>
  <c r="BY25" i="27" a="1"/>
  <c r="BY25" i="27" s="1"/>
  <c r="CF25" i="27" a="1"/>
  <c r="CF25" i="27" s="1"/>
  <c r="CO25" i="27" a="1"/>
  <c r="CO25" i="27" s="1"/>
  <c r="BZ25" i="27" a="1"/>
  <c r="BZ25" i="27" s="1"/>
  <c r="BY21" i="27" a="1"/>
  <c r="BY21" i="27" s="1"/>
  <c r="CG21" i="27" a="1"/>
  <c r="CG21" i="27" s="1"/>
  <c r="CO21" i="27" a="1"/>
  <c r="CO21" i="27" s="1"/>
  <c r="BZ21" i="27" a="1"/>
  <c r="BZ21" i="27" s="1"/>
  <c r="CH21" i="27" a="1"/>
  <c r="CH21" i="27" s="1"/>
  <c r="CP21" i="27" a="1"/>
  <c r="CP21" i="27" s="1"/>
  <c r="CA21" i="27" a="1"/>
  <c r="CA21" i="27" s="1"/>
  <c r="CI21" i="27" a="1"/>
  <c r="CI21" i="27" s="1"/>
  <c r="CQ21" i="27" a="1"/>
  <c r="CQ21" i="27" s="1"/>
  <c r="CB21" i="27" a="1"/>
  <c r="CB21" i="27" s="1"/>
  <c r="CJ21" i="27" a="1"/>
  <c r="CJ21" i="27" s="1"/>
  <c r="CR21" i="27" a="1"/>
  <c r="CR21" i="27" s="1"/>
  <c r="CC21" i="27" a="1"/>
  <c r="CC21" i="27" s="1"/>
  <c r="CK21" i="27" a="1"/>
  <c r="CK21" i="27" s="1"/>
  <c r="CS21" i="27" a="1"/>
  <c r="CS21" i="27" s="1"/>
  <c r="CD21" i="27" a="1"/>
  <c r="CD21" i="27" s="1"/>
  <c r="CL21" i="27" a="1"/>
  <c r="CL21" i="27" s="1"/>
  <c r="CT21" i="27" a="1"/>
  <c r="CT21" i="27" s="1"/>
  <c r="CE21" i="27" a="1"/>
  <c r="CE21" i="27" s="1"/>
  <c r="CN21" i="27" a="1"/>
  <c r="CN21" i="27" s="1"/>
  <c r="CM21" i="27" a="1"/>
  <c r="CM21" i="27" s="1"/>
  <c r="CV21" i="27" a="1"/>
  <c r="CV21" i="27" s="1"/>
  <c r="CF21" i="27" a="1"/>
  <c r="CF21" i="27" s="1"/>
  <c r="CU21" i="27" a="1"/>
  <c r="CU21" i="27" s="1"/>
  <c r="BY23" i="27" a="1"/>
  <c r="BY23" i="27" s="1"/>
  <c r="CV23" i="27" a="1"/>
  <c r="CV23" i="27" s="1"/>
  <c r="CN23" i="27" a="1"/>
  <c r="CN23" i="27" s="1"/>
  <c r="CF23" i="27" a="1"/>
  <c r="CF23" i="27" s="1"/>
  <c r="CO23" i="27" a="1"/>
  <c r="CO23" i="27" s="1"/>
  <c r="CG23" i="27" a="1"/>
  <c r="CG23" i="27" s="1"/>
  <c r="CT23" i="27" a="1"/>
  <c r="CT23" i="27" s="1"/>
  <c r="CL23" i="27" a="1"/>
  <c r="CL23" i="27" s="1"/>
  <c r="CD23" i="27" a="1"/>
  <c r="CD23" i="27" s="1"/>
  <c r="CU23" i="27" a="1"/>
  <c r="CU23" i="27" s="1"/>
  <c r="CM23" i="27" a="1"/>
  <c r="CM23" i="27" s="1"/>
  <c r="CE23" i="27" a="1"/>
  <c r="CE23" i="27" s="1"/>
  <c r="CR23" i="27" a="1"/>
  <c r="CR23" i="27" s="1"/>
  <c r="CJ23" i="27" a="1"/>
  <c r="CJ23" i="27" s="1"/>
  <c r="CB23" i="27" a="1"/>
  <c r="CB23" i="27" s="1"/>
  <c r="CS23" i="27" a="1"/>
  <c r="CS23" i="27" s="1"/>
  <c r="CK23" i="27" a="1"/>
  <c r="CK23" i="27" s="1"/>
  <c r="CC23" i="27" a="1"/>
  <c r="CC23" i="27" s="1"/>
  <c r="BZ23" i="27" a="1"/>
  <c r="BZ23" i="27" s="1"/>
  <c r="CI23" i="27" a="1"/>
  <c r="CI23" i="27" s="1"/>
  <c r="CH23" i="27" a="1"/>
  <c r="CH23" i="27" s="1"/>
  <c r="CA23" i="27" a="1"/>
  <c r="CA23" i="27" s="1"/>
  <c r="CP23" i="27" a="1"/>
  <c r="CP23" i="27" s="1"/>
  <c r="CQ23" i="27" a="1"/>
  <c r="CQ23" i="27" s="1"/>
  <c r="BY18" i="27" a="1"/>
  <c r="BY18" i="27" s="1"/>
  <c r="CA18" i="27" a="1"/>
  <c r="CA18" i="27" s="1"/>
  <c r="CI18" i="27" a="1"/>
  <c r="CI18" i="27" s="1"/>
  <c r="CQ18" i="27" a="1"/>
  <c r="CQ18" i="27" s="1"/>
  <c r="CG18" i="27" a="1"/>
  <c r="CG18" i="27" s="1"/>
  <c r="CF18" i="27" a="1"/>
  <c r="CF18" i="27" s="1"/>
  <c r="CN18" i="27" a="1"/>
  <c r="CN18" i="27" s="1"/>
  <c r="CV18" i="27" a="1"/>
  <c r="CV18" i="27" s="1"/>
  <c r="CK18" i="27" a="1"/>
  <c r="CK18" i="27" s="1"/>
  <c r="CM18" i="27" a="1"/>
  <c r="CM18" i="27" s="1"/>
  <c r="BZ18" i="27" a="1"/>
  <c r="BZ18" i="27" s="1"/>
  <c r="CH18" i="27" a="1"/>
  <c r="CH18" i="27" s="1"/>
  <c r="CP18" i="27" a="1"/>
  <c r="CP18" i="27" s="1"/>
  <c r="CC18" i="27" a="1"/>
  <c r="CC18" i="27" s="1"/>
  <c r="CE18" i="27" a="1"/>
  <c r="CE18" i="27" s="1"/>
  <c r="CB18" i="27" a="1"/>
  <c r="CB18" i="27" s="1"/>
  <c r="CJ18" i="27" a="1"/>
  <c r="CJ18" i="27" s="1"/>
  <c r="CR18" i="27" a="1"/>
  <c r="CR18" i="27" s="1"/>
  <c r="CD18" i="27" a="1"/>
  <c r="CD18" i="27" s="1"/>
  <c r="CS18" i="27" a="1"/>
  <c r="CS18" i="27" s="1"/>
  <c r="CL18" i="27" a="1"/>
  <c r="CL18" i="27" s="1"/>
  <c r="CU18" i="27" a="1"/>
  <c r="CU18" i="27" s="1"/>
  <c r="CO18" i="27" a="1"/>
  <c r="CO18" i="27" s="1"/>
  <c r="CT18" i="27" a="1"/>
  <c r="CT18" i="27" s="1"/>
  <c r="CF17" i="27" a="1"/>
  <c r="CF17" i="27" s="1"/>
  <c r="CN17" i="27" a="1"/>
  <c r="CN17" i="27" s="1"/>
  <c r="CV17" i="27" a="1"/>
  <c r="CV17" i="27" s="1"/>
  <c r="CE17" i="27" a="1"/>
  <c r="CE17" i="27" s="1"/>
  <c r="CM17" i="27" a="1"/>
  <c r="CM17" i="27" s="1"/>
  <c r="CU17" i="27" a="1"/>
  <c r="CU17" i="27" s="1"/>
  <c r="BZ17" i="27" a="1"/>
  <c r="BZ17" i="27" s="1"/>
  <c r="CH17" i="27" a="1"/>
  <c r="CH17" i="27" s="1"/>
  <c r="CP17" i="27" a="1"/>
  <c r="CP17" i="27" s="1"/>
  <c r="BY17" i="27" a="1"/>
  <c r="BY17" i="27" s="1"/>
  <c r="CG17" i="27" a="1"/>
  <c r="CG17" i="27" s="1"/>
  <c r="CO17" i="27" a="1"/>
  <c r="CO17" i="27" s="1"/>
  <c r="CB17" i="27" a="1"/>
  <c r="CB17" i="27" s="1"/>
  <c r="CJ17" i="27" a="1"/>
  <c r="CJ17" i="27" s="1"/>
  <c r="CR17" i="27" a="1"/>
  <c r="CR17" i="27" s="1"/>
  <c r="CA17" i="27" a="1"/>
  <c r="CA17" i="27" s="1"/>
  <c r="CI17" i="27" a="1"/>
  <c r="CI17" i="27" s="1"/>
  <c r="CQ17" i="27" a="1"/>
  <c r="CQ17" i="27" s="1"/>
  <c r="CL17" i="27" a="1"/>
  <c r="CL17" i="27" s="1"/>
  <c r="CS17" i="27" a="1"/>
  <c r="CS17" i="27" s="1"/>
  <c r="CD17" i="27" a="1"/>
  <c r="CD17" i="27" s="1"/>
  <c r="CT17" i="27" a="1"/>
  <c r="CT17" i="27" s="1"/>
  <c r="CK17" i="27" a="1"/>
  <c r="CK17" i="27" s="1"/>
  <c r="CC17" i="27" a="1"/>
  <c r="CC17" i="27" s="1"/>
  <c r="CJ9" i="27" a="1"/>
  <c r="CJ9" i="27" s="1"/>
  <c r="CR9" i="27" a="1"/>
  <c r="CR9" i="27" s="1"/>
  <c r="CA9" i="27" a="1"/>
  <c r="CA9" i="27" s="1"/>
  <c r="CQ9" i="27" a="1"/>
  <c r="CQ9" i="27" s="1"/>
  <c r="CD9" i="27" a="1"/>
  <c r="CD9" i="27" s="1"/>
  <c r="CL9" i="27" a="1"/>
  <c r="CL9" i="27" s="1"/>
  <c r="CC9" i="27" a="1"/>
  <c r="CC9" i="27" s="1"/>
  <c r="CK9" i="27" a="1"/>
  <c r="CK9" i="27" s="1"/>
  <c r="CS9" i="27" a="1"/>
  <c r="CS9" i="27" s="1"/>
  <c r="CN9" i="27" a="1"/>
  <c r="CN9" i="27" s="1"/>
  <c r="CV9" i="27" a="1"/>
  <c r="CV9" i="27" s="1"/>
  <c r="CM9" i="27" a="1"/>
  <c r="CM9" i="27" s="1"/>
  <c r="CE9" i="27" a="1"/>
  <c r="CE9" i="27" s="1"/>
  <c r="CP9" i="27" a="1"/>
  <c r="CP9" i="27" s="1"/>
  <c r="BY9" i="27" a="1"/>
  <c r="BY9" i="27" s="1"/>
  <c r="CH9" i="27" a="1"/>
  <c r="CH9" i="27" s="1"/>
  <c r="BZ9" i="27" a="1"/>
  <c r="BZ9" i="27" s="1"/>
  <c r="CO9" i="27" a="1"/>
  <c r="CO9" i="27" s="1"/>
  <c r="EC132" i="27"/>
  <c r="EC97" i="27"/>
  <c r="EC91" i="27"/>
  <c r="EC136" i="27"/>
  <c r="EC27" i="27"/>
  <c r="EC90" i="27"/>
  <c r="EC104" i="27"/>
  <c r="EC61" i="27"/>
  <c r="EC54" i="27"/>
  <c r="EC15" i="27"/>
  <c r="EC46" i="27"/>
  <c r="EC73" i="27"/>
  <c r="EC85" i="27"/>
  <c r="EC52" i="27"/>
  <c r="EC107" i="27"/>
  <c r="EC93" i="27"/>
  <c r="EC76" i="27"/>
  <c r="EC55" i="27"/>
  <c r="EC17" i="27"/>
  <c r="EC11" i="27"/>
  <c r="EC51" i="27"/>
  <c r="EC21" i="27"/>
  <c r="EC100" i="27"/>
  <c r="EC79" i="27"/>
  <c r="EC20" i="27"/>
  <c r="EC125" i="27"/>
  <c r="EC111" i="27"/>
  <c r="EC66" i="27"/>
  <c r="EC42" i="27"/>
  <c r="EC40" i="27"/>
  <c r="EC95" i="27"/>
  <c r="EC131" i="27"/>
  <c r="EC114" i="27"/>
  <c r="EC99" i="27"/>
  <c r="EC10" i="27"/>
  <c r="EC128" i="27"/>
  <c r="EC75" i="27"/>
  <c r="EC126" i="27"/>
  <c r="EC33" i="27"/>
  <c r="EC129" i="27"/>
  <c r="EC105" i="27"/>
  <c r="EC117" i="27"/>
  <c r="EC113" i="27"/>
  <c r="EC109" i="27"/>
  <c r="EC135" i="27"/>
  <c r="EC130" i="27"/>
  <c r="EC102" i="27"/>
  <c r="EC92" i="27"/>
  <c r="EC63" i="27"/>
  <c r="EC58" i="27"/>
  <c r="EC37" i="27"/>
  <c r="EC64" i="27"/>
  <c r="EC59" i="27"/>
  <c r="EC26" i="27"/>
  <c r="EC77" i="27"/>
  <c r="EC72" i="27"/>
  <c r="EC68" i="27"/>
  <c r="EC35" i="27"/>
  <c r="EC16" i="27"/>
  <c r="EC28" i="27"/>
  <c r="EC30" i="27"/>
  <c r="EC24" i="27"/>
  <c r="EC19" i="27"/>
  <c r="EC49" i="27"/>
  <c r="EC43" i="27"/>
  <c r="EC14" i="27"/>
  <c r="EC123" i="27"/>
  <c r="EC115" i="27"/>
  <c r="EC34" i="27"/>
  <c r="EC121" i="27"/>
  <c r="EC70" i="27"/>
  <c r="EC118" i="27"/>
  <c r="EC110" i="27"/>
  <c r="EC103" i="27"/>
  <c r="EC78" i="27"/>
  <c r="EC45" i="27"/>
  <c r="EC50" i="27"/>
  <c r="EC39" i="27"/>
  <c r="EC44" i="27"/>
  <c r="EC124" i="27"/>
  <c r="EC69" i="27"/>
  <c r="EC122" i="27"/>
  <c r="EC98" i="27"/>
  <c r="EC94" i="27"/>
  <c r="EC89" i="27"/>
  <c r="EC127" i="27"/>
  <c r="EC116" i="27"/>
  <c r="EC112" i="27"/>
  <c r="EC120" i="27"/>
  <c r="EC108" i="27"/>
  <c r="EC101" i="27"/>
  <c r="EC96" i="27"/>
  <c r="EC67" i="27"/>
  <c r="EC62" i="27"/>
  <c r="EC22" i="27"/>
  <c r="EC80" i="27"/>
  <c r="EC74" i="27"/>
  <c r="EC25" i="27"/>
  <c r="EC88" i="27"/>
  <c r="EC71" i="27"/>
  <c r="EC65" i="27"/>
  <c r="EC56" i="27"/>
  <c r="EC41" i="27"/>
  <c r="EC31" i="27"/>
  <c r="EC23" i="27"/>
  <c r="EC13" i="27"/>
  <c r="EC47" i="27"/>
  <c r="EC29" i="27"/>
  <c r="EC36" i="27"/>
  <c r="EC12" i="27"/>
  <c r="EC7" i="27"/>
  <c r="D25" i="12"/>
  <c r="D57" i="12"/>
  <c r="D125" i="12"/>
  <c r="D20" i="12"/>
  <c r="D84" i="12"/>
  <c r="D116" i="12"/>
  <c r="D46" i="12"/>
  <c r="D110" i="12"/>
  <c r="D35" i="12"/>
  <c r="D122" i="12"/>
  <c r="D74" i="12"/>
  <c r="D11" i="12"/>
  <c r="D23" i="12"/>
  <c r="D34" i="12"/>
  <c r="O31" i="12"/>
  <c r="O127" i="12"/>
  <c r="O72" i="12"/>
  <c r="O130" i="12"/>
  <c r="O22" i="12"/>
  <c r="O70" i="12"/>
  <c r="O117" i="12"/>
  <c r="O33" i="12"/>
  <c r="O78" i="12"/>
  <c r="O125" i="12"/>
  <c r="O69" i="12"/>
  <c r="O38" i="12"/>
  <c r="O42" i="12"/>
  <c r="O136" i="12"/>
  <c r="O133" i="12"/>
  <c r="O14" i="12"/>
  <c r="D29" i="12"/>
  <c r="D61" i="12"/>
  <c r="D93" i="12"/>
  <c r="D129" i="12"/>
  <c r="D24" i="12"/>
  <c r="D56" i="12"/>
  <c r="D88" i="12"/>
  <c r="D120" i="12"/>
  <c r="D54" i="12"/>
  <c r="D118" i="12"/>
  <c r="D47" i="12"/>
  <c r="D131" i="12"/>
  <c r="D83" i="12"/>
  <c r="D55" i="12"/>
  <c r="D66" i="12"/>
  <c r="O37" i="12"/>
  <c r="O85" i="12"/>
  <c r="O134" i="12"/>
  <c r="O20" i="12"/>
  <c r="O80" i="12"/>
  <c r="O30" i="12"/>
  <c r="O76" i="12"/>
  <c r="O122" i="12"/>
  <c r="O39" i="12"/>
  <c r="O84" i="12"/>
  <c r="O131" i="12"/>
  <c r="O81" i="12"/>
  <c r="O48" i="12"/>
  <c r="O54" i="12"/>
  <c r="O120" i="12"/>
  <c r="D33" i="12"/>
  <c r="D65" i="12"/>
  <c r="D97" i="12"/>
  <c r="D134" i="12"/>
  <c r="D28" i="12"/>
  <c r="D124" i="12"/>
  <c r="D62" i="12"/>
  <c r="D126" i="12"/>
  <c r="D58" i="12"/>
  <c r="D95" i="12"/>
  <c r="D75" i="12"/>
  <c r="D87" i="12"/>
  <c r="D98" i="12"/>
  <c r="O91" i="12"/>
  <c r="O132" i="12"/>
  <c r="O28" i="12"/>
  <c r="O87" i="12"/>
  <c r="O35" i="12"/>
  <c r="O82" i="12"/>
  <c r="O45" i="12"/>
  <c r="O90" i="12"/>
  <c r="O137" i="12"/>
  <c r="O71" i="12"/>
  <c r="O66" i="12"/>
  <c r="O95" i="12"/>
  <c r="O7" i="12"/>
  <c r="O27" i="12"/>
  <c r="D5" i="12"/>
  <c r="D37" i="12"/>
  <c r="D69" i="12"/>
  <c r="D132" i="12"/>
  <c r="D32" i="12"/>
  <c r="D64" i="12"/>
  <c r="D96" i="12"/>
  <c r="D6" i="12"/>
  <c r="D70" i="12"/>
  <c r="D135" i="12"/>
  <c r="D67" i="12"/>
  <c r="D19" i="12"/>
  <c r="D106" i="12"/>
  <c r="D107" i="12"/>
  <c r="D119" i="12"/>
  <c r="D130" i="12"/>
  <c r="O97" i="12"/>
  <c r="O5" i="12"/>
  <c r="O36" i="12"/>
  <c r="O41" i="12"/>
  <c r="O88" i="12"/>
  <c r="O135" i="12"/>
  <c r="O96" i="12"/>
  <c r="O6" i="12"/>
  <c r="O104" i="12"/>
  <c r="O83" i="12"/>
  <c r="O129" i="12"/>
  <c r="O75" i="12"/>
  <c r="D9" i="12"/>
  <c r="D41" i="12"/>
  <c r="D73" i="12"/>
  <c r="D105" i="12"/>
  <c r="D4" i="12"/>
  <c r="D36" i="12"/>
  <c r="D68" i="12"/>
  <c r="D100" i="12"/>
  <c r="D133" i="12"/>
  <c r="D14" i="12"/>
  <c r="D78" i="12"/>
  <c r="D31" i="12"/>
  <c r="D115" i="12"/>
  <c r="D18" i="12"/>
  <c r="D27" i="12"/>
  <c r="O55" i="12"/>
  <c r="O103" i="12"/>
  <c r="O11" i="12"/>
  <c r="O44" i="12"/>
  <c r="O47" i="12"/>
  <c r="O93" i="12"/>
  <c r="O56" i="12"/>
  <c r="O21" i="12"/>
  <c r="O114" i="12"/>
  <c r="O106" i="12"/>
  <c r="D71" i="12"/>
  <c r="D136" i="12"/>
  <c r="O98" i="12"/>
  <c r="D13" i="12"/>
  <c r="D45" i="12"/>
  <c r="D109" i="12"/>
  <c r="D40" i="12"/>
  <c r="D72" i="12"/>
  <c r="D104" i="12"/>
  <c r="D137" i="12"/>
  <c r="D22" i="12"/>
  <c r="D86" i="12"/>
  <c r="D90" i="12"/>
  <c r="D42" i="12"/>
  <c r="D127" i="12"/>
  <c r="D59" i="12"/>
  <c r="O13" i="12"/>
  <c r="O61" i="12"/>
  <c r="O109" i="12"/>
  <c r="O17" i="12"/>
  <c r="O51" i="12"/>
  <c r="O108" i="12"/>
  <c r="O53" i="12"/>
  <c r="O99" i="12"/>
  <c r="O12" i="12"/>
  <c r="O62" i="12"/>
  <c r="O107" i="12"/>
  <c r="O34" i="12"/>
  <c r="O126" i="12"/>
  <c r="O118" i="12"/>
  <c r="O100" i="12"/>
  <c r="D7" i="12"/>
  <c r="D17" i="12"/>
  <c r="D81" i="12"/>
  <c r="D113" i="12"/>
  <c r="J42" i="31"/>
  <c r="D12" i="12"/>
  <c r="D44" i="12"/>
  <c r="D76" i="12"/>
  <c r="D108" i="12"/>
  <c r="D121" i="12"/>
  <c r="D30" i="12"/>
  <c r="D15" i="12"/>
  <c r="D99" i="12"/>
  <c r="D51" i="12"/>
  <c r="D82" i="12"/>
  <c r="D91" i="12"/>
  <c r="O19" i="12"/>
  <c r="O67" i="12"/>
  <c r="O115" i="12"/>
  <c r="O23" i="12"/>
  <c r="O58" i="12"/>
  <c r="O116" i="12"/>
  <c r="O59" i="12"/>
  <c r="O105" i="12"/>
  <c r="O18" i="12"/>
  <c r="O68" i="12"/>
  <c r="O113" i="12"/>
  <c r="O46" i="12"/>
  <c r="O9" i="12"/>
  <c r="O16" i="12"/>
  <c r="O112" i="12"/>
  <c r="O40" i="12"/>
  <c r="D39" i="12"/>
  <c r="D21" i="12"/>
  <c r="D53" i="12"/>
  <c r="D85" i="12"/>
  <c r="D117" i="12"/>
  <c r="D16" i="12"/>
  <c r="D48" i="12"/>
  <c r="D80" i="12"/>
  <c r="D112" i="12"/>
  <c r="D38" i="12"/>
  <c r="D26" i="12"/>
  <c r="D111" i="12"/>
  <c r="D114" i="12"/>
  <c r="D123" i="12"/>
  <c r="O25" i="12"/>
  <c r="O73" i="12"/>
  <c r="O121" i="12"/>
  <c r="O29" i="12"/>
  <c r="O65" i="12"/>
  <c r="O123" i="12"/>
  <c r="O15" i="12"/>
  <c r="O64" i="12"/>
  <c r="O111" i="12"/>
  <c r="O26" i="12"/>
  <c r="O74" i="12"/>
  <c r="O119" i="12"/>
  <c r="O57" i="12"/>
  <c r="O24" i="12"/>
  <c r="O32" i="12"/>
  <c r="O124" i="12"/>
  <c r="O86" i="12"/>
  <c r="D103" i="12"/>
  <c r="O110" i="12"/>
  <c r="J106" i="31"/>
  <c r="J93" i="31"/>
  <c r="D49" i="31"/>
  <c r="D121" i="31"/>
  <c r="D119" i="31"/>
  <c r="D127" i="31"/>
  <c r="D69" i="31"/>
  <c r="D64" i="31"/>
  <c r="D81" i="31"/>
  <c r="D10" i="31"/>
  <c r="D22" i="31"/>
  <c r="D70" i="31"/>
  <c r="D66" i="31"/>
  <c r="O51" i="31"/>
  <c r="P51" i="31"/>
  <c r="X51" i="31"/>
  <c r="M51" i="31" s="1"/>
  <c r="X99" i="31"/>
  <c r="M99" i="31" s="1"/>
  <c r="O99" i="31"/>
  <c r="P99" i="31"/>
  <c r="O137" i="31"/>
  <c r="P137" i="31"/>
  <c r="X137" i="31"/>
  <c r="M137" i="31" s="1"/>
  <c r="O46" i="31"/>
  <c r="P46" i="31"/>
  <c r="X46" i="31"/>
  <c r="M46" i="31" s="1"/>
  <c r="O94" i="31"/>
  <c r="P94" i="31"/>
  <c r="O23" i="31"/>
  <c r="P23" i="31"/>
  <c r="X23" i="31"/>
  <c r="M23" i="31" s="1"/>
  <c r="X71" i="31"/>
  <c r="M71" i="31" s="1"/>
  <c r="O71" i="31"/>
  <c r="P71" i="31"/>
  <c r="O119" i="31"/>
  <c r="P119" i="31"/>
  <c r="X119" i="31"/>
  <c r="M119" i="31" s="1"/>
  <c r="P30" i="31"/>
  <c r="X30" i="31"/>
  <c r="M30" i="31" s="1"/>
  <c r="O30" i="31"/>
  <c r="X78" i="31"/>
  <c r="M78" i="31" s="1"/>
  <c r="O78" i="31"/>
  <c r="P78" i="31"/>
  <c r="U78" i="31"/>
  <c r="O126" i="31"/>
  <c r="P126" i="31"/>
  <c r="X126" i="31"/>
  <c r="M126" i="31" s="1"/>
  <c r="O44" i="31"/>
  <c r="P44" i="31"/>
  <c r="X44" i="31"/>
  <c r="M44" i="31" s="1"/>
  <c r="O92" i="31"/>
  <c r="P92" i="31"/>
  <c r="O124" i="31"/>
  <c r="P124" i="31"/>
  <c r="X124" i="31"/>
  <c r="M124" i="31" s="1"/>
  <c r="O19" i="31"/>
  <c r="P19" i="31"/>
  <c r="X19" i="31"/>
  <c r="M19" i="31" s="1"/>
  <c r="O134" i="31"/>
  <c r="P134" i="31"/>
  <c r="X134" i="31"/>
  <c r="M134" i="31" s="1"/>
  <c r="O79" i="31"/>
  <c r="P79" i="31"/>
  <c r="D13" i="31"/>
  <c r="D116" i="31"/>
  <c r="D55" i="31"/>
  <c r="D31" i="31"/>
  <c r="D95" i="31"/>
  <c r="D134" i="31"/>
  <c r="D128" i="31"/>
  <c r="D35" i="31"/>
  <c r="D99" i="31"/>
  <c r="D131" i="31"/>
  <c r="D29" i="31"/>
  <c r="D77" i="31"/>
  <c r="D4" i="31"/>
  <c r="D4" i="30"/>
  <c r="D36" i="31"/>
  <c r="D68" i="31"/>
  <c r="D100" i="31"/>
  <c r="D133" i="31"/>
  <c r="D89" i="31"/>
  <c r="D46" i="31"/>
  <c r="D26" i="31"/>
  <c r="D54" i="31"/>
  <c r="D135" i="31"/>
  <c r="U106" i="31"/>
  <c r="O9" i="31"/>
  <c r="P9" i="31"/>
  <c r="X9" i="31"/>
  <c r="M9" i="31" s="1"/>
  <c r="P57" i="31"/>
  <c r="X57" i="31"/>
  <c r="M57" i="31" s="1"/>
  <c r="O57" i="31"/>
  <c r="O105" i="31"/>
  <c r="P105" i="31"/>
  <c r="X105" i="31"/>
  <c r="M105" i="31" s="1"/>
  <c r="O4" i="31"/>
  <c r="P4" i="31"/>
  <c r="X4" i="31"/>
  <c r="O4" i="30"/>
  <c r="P4" i="30"/>
  <c r="O52" i="31"/>
  <c r="P52" i="31"/>
  <c r="O100" i="31"/>
  <c r="P100" i="31"/>
  <c r="X100" i="31"/>
  <c r="M100" i="31" s="1"/>
  <c r="O29" i="31"/>
  <c r="P29" i="31"/>
  <c r="X29" i="31"/>
  <c r="M29" i="31" s="1"/>
  <c r="P77" i="31"/>
  <c r="O77" i="31"/>
  <c r="O125" i="31"/>
  <c r="P125" i="31"/>
  <c r="X125" i="31"/>
  <c r="M125" i="31" s="1"/>
  <c r="P36" i="31"/>
  <c r="X36" i="31"/>
  <c r="M36" i="31" s="1"/>
  <c r="O36" i="31"/>
  <c r="O84" i="31"/>
  <c r="P84" i="31"/>
  <c r="X84" i="31"/>
  <c r="M84" i="31" s="1"/>
  <c r="O133" i="31"/>
  <c r="X133" i="31"/>
  <c r="M133" i="31" s="1"/>
  <c r="P133" i="31"/>
  <c r="O50" i="31"/>
  <c r="P50" i="31"/>
  <c r="O98" i="31"/>
  <c r="P98" i="31"/>
  <c r="X98" i="31"/>
  <c r="M98" i="31" s="1"/>
  <c r="X55" i="31"/>
  <c r="M55" i="31" s="1"/>
  <c r="O55" i="31"/>
  <c r="P55" i="31"/>
  <c r="O31" i="31"/>
  <c r="P31" i="31"/>
  <c r="X31" i="31"/>
  <c r="M31" i="31" s="1"/>
  <c r="O37" i="31"/>
  <c r="P37" i="31"/>
  <c r="X37" i="31"/>
  <c r="M37" i="31" s="1"/>
  <c r="O109" i="31"/>
  <c r="P109" i="31"/>
  <c r="X109" i="31"/>
  <c r="M109" i="31" s="1"/>
  <c r="D115" i="31"/>
  <c r="D84" i="31"/>
  <c r="D23" i="31"/>
  <c r="D57" i="31"/>
  <c r="D63" i="31"/>
  <c r="D25" i="31"/>
  <c r="D32" i="31"/>
  <c r="D96" i="31"/>
  <c r="D30" i="31"/>
  <c r="D67" i="31"/>
  <c r="D7" i="31"/>
  <c r="D39" i="31"/>
  <c r="D71" i="31"/>
  <c r="D103" i="31"/>
  <c r="D136" i="31"/>
  <c r="D33" i="31"/>
  <c r="D85" i="31"/>
  <c r="D8" i="31"/>
  <c r="D40" i="31"/>
  <c r="M72" i="31"/>
  <c r="D72" i="31"/>
  <c r="D104" i="31"/>
  <c r="D137" i="31"/>
  <c r="D97" i="31"/>
  <c r="D62" i="31"/>
  <c r="D42" i="31"/>
  <c r="D86" i="31"/>
  <c r="O15" i="31"/>
  <c r="P15" i="31"/>
  <c r="X15" i="31"/>
  <c r="M15" i="31" s="1"/>
  <c r="O63" i="31"/>
  <c r="P63" i="31"/>
  <c r="O111" i="31"/>
  <c r="P111" i="31"/>
  <c r="X111" i="31"/>
  <c r="M111" i="31" s="1"/>
  <c r="O10" i="31"/>
  <c r="P10" i="31"/>
  <c r="O58" i="31"/>
  <c r="P58" i="31"/>
  <c r="X58" i="31"/>
  <c r="M58" i="31" s="1"/>
  <c r="P112" i="31"/>
  <c r="X112" i="31"/>
  <c r="M112" i="31" s="1"/>
  <c r="O112" i="31"/>
  <c r="O35" i="31"/>
  <c r="P35" i="31"/>
  <c r="X35" i="31"/>
  <c r="M35" i="31" s="1"/>
  <c r="O83" i="31"/>
  <c r="P83" i="31"/>
  <c r="X83" i="31"/>
  <c r="M83" i="31" s="1"/>
  <c r="O131" i="31"/>
  <c r="P131" i="31"/>
  <c r="X131" i="31"/>
  <c r="M131" i="31" s="1"/>
  <c r="O42" i="31"/>
  <c r="P42" i="31"/>
  <c r="X42" i="31"/>
  <c r="M42" i="31" s="1"/>
  <c r="O90" i="31"/>
  <c r="P90" i="31"/>
  <c r="X90" i="31"/>
  <c r="M90" i="31" s="1"/>
  <c r="O8" i="31"/>
  <c r="P8" i="31"/>
  <c r="O56" i="31"/>
  <c r="P56" i="31"/>
  <c r="X56" i="31"/>
  <c r="M56" i="31" s="1"/>
  <c r="X104" i="31"/>
  <c r="M104" i="31" s="1"/>
  <c r="O104" i="31"/>
  <c r="P104" i="31"/>
  <c r="X91" i="31"/>
  <c r="M91" i="31" s="1"/>
  <c r="O91" i="31"/>
  <c r="P91" i="31"/>
  <c r="X67" i="31"/>
  <c r="M67" i="31" s="1"/>
  <c r="O67" i="31"/>
  <c r="P67" i="31"/>
  <c r="D11" i="31"/>
  <c r="D75" i="31"/>
  <c r="M75" i="31"/>
  <c r="D5" i="31"/>
  <c r="D93" i="31"/>
  <c r="D12" i="31"/>
  <c r="D44" i="31"/>
  <c r="D108" i="31"/>
  <c r="D105" i="31"/>
  <c r="D58" i="31"/>
  <c r="D18" i="31"/>
  <c r="D118" i="31"/>
  <c r="U112" i="31"/>
  <c r="U51" i="31"/>
  <c r="O21" i="31"/>
  <c r="P21" i="31"/>
  <c r="X21" i="31"/>
  <c r="M21" i="31" s="1"/>
  <c r="X69" i="31"/>
  <c r="M69" i="31" s="1"/>
  <c r="O69" i="31"/>
  <c r="P69" i="31"/>
  <c r="O117" i="31"/>
  <c r="P117" i="31"/>
  <c r="X117" i="31"/>
  <c r="M117" i="31" s="1"/>
  <c r="P16" i="31"/>
  <c r="X16" i="31"/>
  <c r="M16" i="31" s="1"/>
  <c r="O16" i="31"/>
  <c r="O64" i="31"/>
  <c r="P64" i="31"/>
  <c r="X64" i="31"/>
  <c r="M64" i="31" s="1"/>
  <c r="O118" i="31"/>
  <c r="P118" i="31"/>
  <c r="X118" i="31"/>
  <c r="M118" i="31" s="1"/>
  <c r="O41" i="31"/>
  <c r="P41" i="31"/>
  <c r="X41" i="31"/>
  <c r="M41" i="31" s="1"/>
  <c r="O89" i="31"/>
  <c r="P89" i="31"/>
  <c r="O48" i="31"/>
  <c r="P48" i="31"/>
  <c r="X48" i="31"/>
  <c r="M48" i="31" s="1"/>
  <c r="P96" i="31"/>
  <c r="X96" i="31"/>
  <c r="M96" i="31" s="1"/>
  <c r="O96" i="31"/>
  <c r="P14" i="31"/>
  <c r="X14" i="31"/>
  <c r="M14" i="31" s="1"/>
  <c r="O14" i="31"/>
  <c r="X62" i="31"/>
  <c r="M62" i="31" s="1"/>
  <c r="O62" i="31"/>
  <c r="P62" i="31"/>
  <c r="P110" i="31"/>
  <c r="X110" i="31"/>
  <c r="M110" i="31" s="1"/>
  <c r="O110" i="31"/>
  <c r="O127" i="31"/>
  <c r="P127" i="31"/>
  <c r="X127" i="31"/>
  <c r="M127" i="31" s="1"/>
  <c r="O103" i="31"/>
  <c r="P103" i="31"/>
  <c r="X103" i="31"/>
  <c r="M103" i="31" s="1"/>
  <c r="J71" i="31"/>
  <c r="D19" i="31"/>
  <c r="D43" i="31"/>
  <c r="D107" i="31"/>
  <c r="D37" i="31"/>
  <c r="D76" i="31"/>
  <c r="M132" i="31"/>
  <c r="D132" i="31"/>
  <c r="D78" i="31"/>
  <c r="J78" i="31"/>
  <c r="D15" i="31"/>
  <c r="D47" i="31"/>
  <c r="D79" i="31"/>
  <c r="D111" i="31"/>
  <c r="D9" i="31"/>
  <c r="D45" i="31"/>
  <c r="D101" i="31"/>
  <c r="D16" i="31"/>
  <c r="D48" i="31"/>
  <c r="D80" i="31"/>
  <c r="D112" i="31"/>
  <c r="D41" i="31"/>
  <c r="D113" i="31"/>
  <c r="D94" i="31"/>
  <c r="D74" i="31"/>
  <c r="D50" i="31"/>
  <c r="D38" i="31"/>
  <c r="U42" i="31"/>
  <c r="U98" i="31"/>
  <c r="O27" i="31"/>
  <c r="P27" i="31"/>
  <c r="X27" i="31"/>
  <c r="M27" i="31" s="1"/>
  <c r="P75" i="31"/>
  <c r="X75" i="31"/>
  <c r="O75" i="31"/>
  <c r="O123" i="31"/>
  <c r="P123" i="31"/>
  <c r="X123" i="31"/>
  <c r="M123" i="31" s="1"/>
  <c r="P22" i="31"/>
  <c r="X22" i="31"/>
  <c r="M22" i="31" s="1"/>
  <c r="O22" i="31"/>
  <c r="O70" i="31"/>
  <c r="P70" i="31"/>
  <c r="X70" i="31"/>
  <c r="M70" i="31" s="1"/>
  <c r="O130" i="31"/>
  <c r="P130" i="31"/>
  <c r="X130" i="31"/>
  <c r="M130" i="31" s="1"/>
  <c r="P47" i="31"/>
  <c r="X47" i="31"/>
  <c r="M47" i="31" s="1"/>
  <c r="O47" i="31"/>
  <c r="O95" i="31"/>
  <c r="P95" i="31"/>
  <c r="X95" i="31"/>
  <c r="M95" i="31" s="1"/>
  <c r="O6" i="31"/>
  <c r="P6" i="31"/>
  <c r="X6" i="31"/>
  <c r="M6" i="31" s="1"/>
  <c r="O54" i="31"/>
  <c r="P54" i="31"/>
  <c r="X54" i="31"/>
  <c r="M54" i="31" s="1"/>
  <c r="O102" i="31"/>
  <c r="P102" i="31"/>
  <c r="P20" i="31"/>
  <c r="X20" i="31"/>
  <c r="M20" i="31" s="1"/>
  <c r="O20" i="31"/>
  <c r="O68" i="31"/>
  <c r="P68" i="31"/>
  <c r="X68" i="31"/>
  <c r="M68" i="31" s="1"/>
  <c r="O116" i="31"/>
  <c r="P116" i="31"/>
  <c r="X116" i="31"/>
  <c r="M116" i="31" s="1"/>
  <c r="O13" i="31"/>
  <c r="P13" i="31"/>
  <c r="X13" i="31"/>
  <c r="M13" i="31" s="1"/>
  <c r="O43" i="31"/>
  <c r="P43" i="31"/>
  <c r="J112" i="31"/>
  <c r="D51" i="31"/>
  <c r="D20" i="31"/>
  <c r="D110" i="31"/>
  <c r="D90" i="31"/>
  <c r="D82" i="31"/>
  <c r="D102" i="31"/>
  <c r="D34" i="31"/>
  <c r="U71" i="31"/>
  <c r="U58" i="31"/>
  <c r="U64" i="31"/>
  <c r="O33" i="31"/>
  <c r="P33" i="31"/>
  <c r="X33" i="31"/>
  <c r="M33" i="31" s="1"/>
  <c r="O81" i="31"/>
  <c r="P81" i="31"/>
  <c r="X81" i="31"/>
  <c r="M81" i="31" s="1"/>
  <c r="X129" i="31"/>
  <c r="M129" i="31" s="1"/>
  <c r="O129" i="31"/>
  <c r="P129" i="31"/>
  <c r="P28" i="31"/>
  <c r="X28" i="31"/>
  <c r="M28" i="31" s="1"/>
  <c r="O28" i="31"/>
  <c r="O76" i="31"/>
  <c r="P76" i="31"/>
  <c r="X76" i="31"/>
  <c r="M76" i="31" s="1"/>
  <c r="X5" i="31"/>
  <c r="M5" i="31" s="1"/>
  <c r="O5" i="31"/>
  <c r="P5" i="31"/>
  <c r="X53" i="31"/>
  <c r="M53" i="31" s="1"/>
  <c r="O53" i="31"/>
  <c r="P53" i="31"/>
  <c r="O101" i="31"/>
  <c r="P101" i="31"/>
  <c r="P12" i="31"/>
  <c r="X12" i="31"/>
  <c r="M12" i="31" s="1"/>
  <c r="O12" i="31"/>
  <c r="O60" i="31"/>
  <c r="P60" i="31"/>
  <c r="X108" i="31"/>
  <c r="M108" i="31" s="1"/>
  <c r="O108" i="31"/>
  <c r="P108" i="31"/>
  <c r="P26" i="31"/>
  <c r="X26" i="31"/>
  <c r="M26" i="31" s="1"/>
  <c r="O26" i="31"/>
  <c r="O74" i="31"/>
  <c r="P74" i="31"/>
  <c r="X74" i="31"/>
  <c r="M74" i="31" s="1"/>
  <c r="O122" i="31"/>
  <c r="P122" i="31"/>
  <c r="X122" i="31"/>
  <c r="M122" i="31" s="1"/>
  <c r="P49" i="31"/>
  <c r="O49" i="31"/>
  <c r="O25" i="31"/>
  <c r="P25" i="31"/>
  <c r="X25" i="31"/>
  <c r="M25" i="31" s="1"/>
  <c r="O115" i="31"/>
  <c r="P115" i="31"/>
  <c r="X115" i="31"/>
  <c r="M115" i="31" s="1"/>
  <c r="D83" i="31"/>
  <c r="D52" i="31"/>
  <c r="D17" i="31"/>
  <c r="D88" i="31"/>
  <c r="D120" i="31"/>
  <c r="D65" i="31"/>
  <c r="D129" i="31"/>
  <c r="D126" i="31"/>
  <c r="D106" i="31"/>
  <c r="D114" i="31"/>
  <c r="U93" i="31"/>
  <c r="O39" i="31"/>
  <c r="P39" i="31"/>
  <c r="X39" i="31"/>
  <c r="M39" i="31" s="1"/>
  <c r="O87" i="31"/>
  <c r="P87" i="31"/>
  <c r="X87" i="31"/>
  <c r="M87" i="31" s="1"/>
  <c r="P136" i="31"/>
  <c r="X136" i="31"/>
  <c r="M136" i="31" s="1"/>
  <c r="O136" i="31"/>
  <c r="P34" i="31"/>
  <c r="X34" i="31"/>
  <c r="M34" i="31" s="1"/>
  <c r="O34" i="31"/>
  <c r="O82" i="31"/>
  <c r="P82" i="31"/>
  <c r="X82" i="31"/>
  <c r="M82" i="31" s="1"/>
  <c r="O11" i="31"/>
  <c r="P11" i="31"/>
  <c r="X11" i="31"/>
  <c r="M11" i="31" s="1"/>
  <c r="O59" i="31"/>
  <c r="P59" i="31"/>
  <c r="X59" i="31"/>
  <c r="M59" i="31" s="1"/>
  <c r="O107" i="31"/>
  <c r="P107" i="31"/>
  <c r="X107" i="31"/>
  <c r="M107" i="31" s="1"/>
  <c r="P18" i="31"/>
  <c r="X18" i="31"/>
  <c r="M18" i="31" s="1"/>
  <c r="O18" i="31"/>
  <c r="O66" i="31"/>
  <c r="P66" i="31"/>
  <c r="X66" i="31"/>
  <c r="M66" i="31" s="1"/>
  <c r="O114" i="31"/>
  <c r="P114" i="31"/>
  <c r="X114" i="31"/>
  <c r="M114" i="31" s="1"/>
  <c r="P32" i="31"/>
  <c r="X32" i="31"/>
  <c r="M32" i="31" s="1"/>
  <c r="O32" i="31"/>
  <c r="O80" i="31"/>
  <c r="P80" i="31"/>
  <c r="X80" i="31"/>
  <c r="M80" i="31" s="1"/>
  <c r="O128" i="31"/>
  <c r="P128" i="31"/>
  <c r="O85" i="31"/>
  <c r="P85" i="31"/>
  <c r="X85" i="31"/>
  <c r="M85" i="31" s="1"/>
  <c r="O61" i="31"/>
  <c r="P61" i="31"/>
  <c r="X61" i="31"/>
  <c r="M61" i="31" s="1"/>
  <c r="P73" i="31"/>
  <c r="X73" i="31"/>
  <c r="M73" i="31" s="1"/>
  <c r="O73" i="31"/>
  <c r="J58" i="31"/>
  <c r="D109" i="31"/>
  <c r="D53" i="31"/>
  <c r="D87" i="31"/>
  <c r="D117" i="31"/>
  <c r="D24" i="31"/>
  <c r="D56" i="31"/>
  <c r="D27" i="31"/>
  <c r="D59" i="31"/>
  <c r="D91" i="31"/>
  <c r="D123" i="31"/>
  <c r="D21" i="31"/>
  <c r="D61" i="31"/>
  <c r="D125" i="31"/>
  <c r="D28" i="31"/>
  <c r="D60" i="31"/>
  <c r="D92" i="31"/>
  <c r="D124" i="31"/>
  <c r="D73" i="31"/>
  <c r="D14" i="31"/>
  <c r="D122" i="31"/>
  <c r="D6" i="31"/>
  <c r="P45" i="31"/>
  <c r="X45" i="31"/>
  <c r="M45" i="31" s="1"/>
  <c r="O45" i="31"/>
  <c r="O93" i="31"/>
  <c r="P93" i="31"/>
  <c r="X93" i="31"/>
  <c r="M93" i="31" s="1"/>
  <c r="X106" i="31"/>
  <c r="M106" i="31" s="1"/>
  <c r="O106" i="31"/>
  <c r="P106" i="31"/>
  <c r="P40" i="31"/>
  <c r="X40" i="31"/>
  <c r="M40" i="31" s="1"/>
  <c r="O40" i="31"/>
  <c r="O88" i="31"/>
  <c r="P88" i="31"/>
  <c r="X88" i="31"/>
  <c r="M88" i="31" s="1"/>
  <c r="O17" i="31"/>
  <c r="P17" i="31"/>
  <c r="X17" i="31"/>
  <c r="M17" i="31" s="1"/>
  <c r="X65" i="31"/>
  <c r="M65" i="31" s="1"/>
  <c r="O65" i="31"/>
  <c r="P65" i="31"/>
  <c r="O113" i="31"/>
  <c r="P113" i="31"/>
  <c r="X113" i="31"/>
  <c r="M113" i="31" s="1"/>
  <c r="P24" i="31"/>
  <c r="X24" i="31"/>
  <c r="M24" i="31" s="1"/>
  <c r="O24" i="31"/>
  <c r="O72" i="31"/>
  <c r="P72" i="31"/>
  <c r="X72" i="31"/>
  <c r="O120" i="31"/>
  <c r="P120" i="31"/>
  <c r="X120" i="31"/>
  <c r="M120" i="31" s="1"/>
  <c r="P38" i="31"/>
  <c r="X38" i="31"/>
  <c r="M38" i="31" s="1"/>
  <c r="O38" i="31"/>
  <c r="O86" i="31"/>
  <c r="P86" i="31"/>
  <c r="X86" i="31"/>
  <c r="M86" i="31" s="1"/>
  <c r="O135" i="31"/>
  <c r="P135" i="31"/>
  <c r="X135" i="31"/>
  <c r="M135" i="31" s="1"/>
  <c r="O121" i="31"/>
  <c r="P121" i="31"/>
  <c r="X121" i="31"/>
  <c r="M121" i="31" s="1"/>
  <c r="O97" i="31"/>
  <c r="P97" i="31"/>
  <c r="X97" i="31"/>
  <c r="M97" i="31" s="1"/>
  <c r="P7" i="31"/>
  <c r="X7" i="31"/>
  <c r="M7" i="31" s="1"/>
  <c r="O7" i="31"/>
  <c r="D98" i="31"/>
  <c r="J98" i="31"/>
  <c r="J51" i="31"/>
  <c r="J64" i="31"/>
  <c r="DJ4" i="27"/>
  <c r="DJ120" i="27" s="1"/>
  <c r="CX6" i="27" a="1"/>
  <c r="CX6" i="27" s="1"/>
  <c r="DN4" i="27"/>
  <c r="DN59" i="27" s="1"/>
  <c r="DB6" i="27" a="1"/>
  <c r="DB6" i="27" s="1"/>
  <c r="DP4" i="27"/>
  <c r="DP135" i="27" s="1"/>
  <c r="DD6" i="27" a="1"/>
  <c r="DD6" i="27" s="1"/>
  <c r="DI4" i="27"/>
  <c r="DI136" i="27" s="1"/>
  <c r="CW6" i="27" a="1"/>
  <c r="CW6" i="27" s="1"/>
  <c r="DQ4" i="27"/>
  <c r="DQ133" i="27" s="1"/>
  <c r="DE6" i="27" a="1"/>
  <c r="DE6" i="27" s="1"/>
  <c r="DO4" i="27"/>
  <c r="DO79" i="27" s="1"/>
  <c r="DC6" i="27" a="1"/>
  <c r="DC6" i="27" s="1"/>
  <c r="DM4" i="27"/>
  <c r="DM114" i="27" s="1"/>
  <c r="DA6" i="27" a="1"/>
  <c r="DA6" i="27" s="1"/>
  <c r="DT4" i="27"/>
  <c r="DT130" i="27" s="1"/>
  <c r="DH6" i="27" a="1"/>
  <c r="DH6" i="27" s="1"/>
  <c r="DR4" i="27"/>
  <c r="DR125" i="27" s="1"/>
  <c r="DF6" i="27" a="1"/>
  <c r="DF6" i="27" s="1"/>
  <c r="DL4" i="27"/>
  <c r="DL111" i="27" s="1"/>
  <c r="CZ6" i="27" a="1"/>
  <c r="CZ6" i="27" s="1"/>
  <c r="DS4" i="27"/>
  <c r="DS68" i="27" s="1"/>
  <c r="DG6" i="27" a="1"/>
  <c r="DG6" i="27" s="1"/>
  <c r="DK4" i="27"/>
  <c r="DK30" i="27" s="1"/>
  <c r="CY6" i="27" a="1"/>
  <c r="CY6" i="27" s="1"/>
  <c r="N12" i="13"/>
  <c r="M9" i="13"/>
  <c r="BD6" i="27"/>
  <c r="AW4" i="27"/>
  <c r="AW33" i="27" s="1"/>
  <c r="DM6" i="27"/>
  <c r="AX6" i="27"/>
  <c r="BB6" i="27"/>
  <c r="BF6" i="27"/>
  <c r="AV6" i="27"/>
  <c r="BA6" i="27"/>
  <c r="BG6" i="27"/>
  <c r="AY6" i="27"/>
  <c r="BC6" i="27"/>
  <c r="AZ6" i="27"/>
  <c r="BE6" i="27"/>
  <c r="BT6" i="27"/>
  <c r="G6" i="27"/>
  <c r="L6" i="27" s="1" a="1"/>
  <c r="L6" i="27" s="1"/>
  <c r="CV124" i="27" l="1" a="1"/>
  <c r="CV124" i="27" s="1"/>
  <c r="CD124" i="27" a="1"/>
  <c r="CD124" i="27" s="1"/>
  <c r="CN124" i="27" a="1"/>
  <c r="CN124" i="27" s="1"/>
  <c r="CL124" i="27" a="1"/>
  <c r="CL124" i="27" s="1"/>
  <c r="CA124" i="27" a="1"/>
  <c r="CA124" i="27" s="1"/>
  <c r="CO124" i="27" a="1"/>
  <c r="CO124" i="27" s="1"/>
  <c r="CV20" i="27" a="1"/>
  <c r="CV20" i="27" s="1"/>
  <c r="CE20" i="27" a="1"/>
  <c r="CE20" i="27" s="1"/>
  <c r="CD20" i="27" a="1"/>
  <c r="CD20" i="27" s="1"/>
  <c r="CR20" i="27" a="1"/>
  <c r="CR20" i="27" s="1"/>
  <c r="CI20" i="27" a="1"/>
  <c r="CI20" i="27" s="1"/>
  <c r="CU27" i="27" a="1"/>
  <c r="CU27" i="27" s="1"/>
  <c r="CL27" i="27" a="1"/>
  <c r="CL27" i="27" s="1"/>
  <c r="CV27" i="27" a="1"/>
  <c r="CV27" i="27" s="1"/>
  <c r="CH27" i="27" a="1"/>
  <c r="CH27" i="27" s="1"/>
  <c r="CQ27" i="27" a="1"/>
  <c r="CQ27" i="27" s="1"/>
  <c r="CD36" i="27" a="1"/>
  <c r="CD36" i="27" s="1"/>
  <c r="CL36" i="27" a="1"/>
  <c r="CL36" i="27" s="1"/>
  <c r="CB36" i="27" a="1"/>
  <c r="CB36" i="27" s="1"/>
  <c r="CP36" i="27" a="1"/>
  <c r="CP36" i="27" s="1"/>
  <c r="CG36" i="27" a="1"/>
  <c r="CG36" i="27" s="1"/>
  <c r="CU124" i="27" a="1"/>
  <c r="CU124" i="27" s="1"/>
  <c r="CS124" i="27" a="1"/>
  <c r="CS124" i="27" s="1"/>
  <c r="CF124" i="27" a="1"/>
  <c r="CF124" i="27" s="1"/>
  <c r="CB124" i="27" a="1"/>
  <c r="CB124" i="27" s="1"/>
  <c r="CR124" i="27" a="1"/>
  <c r="CR124" i="27" s="1"/>
  <c r="CG124" i="27" a="1"/>
  <c r="CG124" i="27" s="1"/>
  <c r="CT124" i="27" a="1"/>
  <c r="CT124" i="27" s="1"/>
  <c r="CK124" i="27" a="1"/>
  <c r="CK124" i="27" s="1"/>
  <c r="CM124" i="27" a="1"/>
  <c r="CM124" i="27" s="1"/>
  <c r="CQ124" i="27" a="1"/>
  <c r="CQ124" i="27" s="1"/>
  <c r="CH124" i="27" a="1"/>
  <c r="CH124" i="27" s="1"/>
  <c r="AI61" i="27" a="1"/>
  <c r="AI61" i="27" s="1"/>
  <c r="W61" i="27" a="1"/>
  <c r="W61" i="27" s="1"/>
  <c r="V61" i="27" a="1"/>
  <c r="V61" i="27" s="1"/>
  <c r="M32" i="27" a="1"/>
  <c r="M32" i="27" s="1"/>
  <c r="V32" i="27" a="1"/>
  <c r="V32" i="27" s="1"/>
  <c r="AD32" i="27" a="1"/>
  <c r="AD32" i="27" s="1"/>
  <c r="AD46" i="27" a="1"/>
  <c r="AD46" i="27" s="1"/>
  <c r="N46" i="27" a="1"/>
  <c r="N46" i="27" s="1"/>
  <c r="S46" i="27" a="1"/>
  <c r="S46" i="27" s="1"/>
  <c r="AB115" i="27" a="1"/>
  <c r="AB115" i="27" s="1"/>
  <c r="N115" i="27" a="1"/>
  <c r="N115" i="27" s="1"/>
  <c r="R115" i="27" a="1"/>
  <c r="R115" i="27" s="1"/>
  <c r="W120" i="27" a="1"/>
  <c r="W120" i="27" s="1"/>
  <c r="AB120" i="27" a="1"/>
  <c r="AB120" i="27" s="1"/>
  <c r="O120" i="27" a="1"/>
  <c r="O120" i="27" s="1"/>
  <c r="AH120" i="27" a="1"/>
  <c r="AH120" i="27" s="1"/>
  <c r="R120" i="27" a="1"/>
  <c r="R120" i="27" s="1"/>
  <c r="Y120" i="27" a="1"/>
  <c r="Y120" i="27" s="1"/>
  <c r="CE38" i="27" a="1"/>
  <c r="CE38" i="27" s="1"/>
  <c r="BZ38" i="27" a="1"/>
  <c r="BZ38" i="27" s="1"/>
  <c r="CC38" i="27" a="1"/>
  <c r="CC38" i="27" s="1"/>
  <c r="CQ38" i="27" a="1"/>
  <c r="CQ38" i="27" s="1"/>
  <c r="CJ38" i="27" a="1"/>
  <c r="CJ38" i="27" s="1"/>
  <c r="BY38" i="27" a="1"/>
  <c r="BY38" i="27" s="1"/>
  <c r="CC31" i="27" a="1"/>
  <c r="CC31" i="27" s="1"/>
  <c r="CI31" i="27" a="1"/>
  <c r="CI31" i="27" s="1"/>
  <c r="CB31" i="27" a="1"/>
  <c r="CB31" i="27" s="1"/>
  <c r="CP31" i="27" a="1"/>
  <c r="CP31" i="27" s="1"/>
  <c r="CM31" i="27" a="1"/>
  <c r="CM31" i="27" s="1"/>
  <c r="CF31" i="27" a="1"/>
  <c r="CF31" i="27" s="1"/>
  <c r="CL59" i="27" a="1"/>
  <c r="CL59" i="27" s="1"/>
  <c r="BY59" i="27" a="1"/>
  <c r="BY59" i="27" s="1"/>
  <c r="CA59" i="27" a="1"/>
  <c r="CA59" i="27" s="1"/>
  <c r="CR69" i="27" a="1"/>
  <c r="CR69" i="27" s="1"/>
  <c r="CS69" i="27" a="1"/>
  <c r="CS69" i="27" s="1"/>
  <c r="CH69" i="27" a="1"/>
  <c r="CH69" i="27" s="1"/>
  <c r="CG69" i="27" a="1"/>
  <c r="CG69" i="27" s="1"/>
  <c r="CN69" i="27" a="1"/>
  <c r="CN69" i="27" s="1"/>
  <c r="CI69" i="27" a="1"/>
  <c r="CI69" i="27" s="1"/>
  <c r="CN115" i="27" a="1"/>
  <c r="CN115" i="27" s="1"/>
  <c r="CE115" i="27" a="1"/>
  <c r="CE115" i="27" s="1"/>
  <c r="CC115" i="27" a="1"/>
  <c r="CC115" i="27" s="1"/>
  <c r="CS119" i="27" a="1"/>
  <c r="CS119" i="27" s="1"/>
  <c r="CQ119" i="27" a="1"/>
  <c r="CQ119" i="27" s="1"/>
  <c r="CK119" i="27" a="1"/>
  <c r="CK119" i="27" s="1"/>
  <c r="CO119" i="27" a="1"/>
  <c r="CO119" i="27" s="1"/>
  <c r="CD119" i="27" a="1"/>
  <c r="CD119" i="27" s="1"/>
  <c r="CE119" i="27" a="1"/>
  <c r="CE119" i="27" s="1"/>
  <c r="CS46" i="27" a="1"/>
  <c r="CS46" i="27" s="1"/>
  <c r="CN46" i="27" a="1"/>
  <c r="CN46" i="27" s="1"/>
  <c r="CK46" i="27" a="1"/>
  <c r="CK46" i="27" s="1"/>
  <c r="CL46" i="27" a="1"/>
  <c r="CL46" i="27" s="1"/>
  <c r="CO46" i="27" a="1"/>
  <c r="CO46" i="27" s="1"/>
  <c r="CB46" i="27" a="1"/>
  <c r="CB46" i="27" s="1"/>
  <c r="CL90" i="27" a="1"/>
  <c r="CL90" i="27" s="1"/>
  <c r="CH117" i="27" a="1"/>
  <c r="CH117" i="27" s="1"/>
  <c r="CU117" i="27" a="1"/>
  <c r="CU117" i="27" s="1"/>
  <c r="CD117" i="27" a="1"/>
  <c r="CD117" i="27" s="1"/>
  <c r="CS117" i="27" a="1"/>
  <c r="CS117" i="27" s="1"/>
  <c r="BZ117" i="27" a="1"/>
  <c r="BZ117" i="27" s="1"/>
  <c r="CI117" i="27" a="1"/>
  <c r="CI117" i="27" s="1"/>
  <c r="CR97" i="27" a="1"/>
  <c r="CR97" i="27" s="1"/>
  <c r="CP97" i="27" a="1"/>
  <c r="CP97" i="27" s="1"/>
  <c r="CN97" i="27" a="1"/>
  <c r="CN97" i="27" s="1"/>
  <c r="CM97" i="27" a="1"/>
  <c r="CM97" i="27" s="1"/>
  <c r="CA97" i="27" a="1"/>
  <c r="CA97" i="27" s="1"/>
  <c r="CG97" i="27" a="1"/>
  <c r="CG97" i="27" s="1"/>
  <c r="CT98" i="27" a="1"/>
  <c r="CT98" i="27" s="1"/>
  <c r="CD98" i="27" a="1"/>
  <c r="CD98" i="27" s="1"/>
  <c r="CL98" i="27" a="1"/>
  <c r="CL98" i="27" s="1"/>
  <c r="CO98" i="27" a="1"/>
  <c r="CO98" i="27" s="1"/>
  <c r="CU98" i="27" a="1"/>
  <c r="CU98" i="27" s="1"/>
  <c r="CG98" i="27" a="1"/>
  <c r="CG98" i="27" s="1"/>
  <c r="AF120" i="27" a="1"/>
  <c r="AF120" i="27" s="1"/>
  <c r="L120" i="27" a="1"/>
  <c r="L120" i="27" s="1"/>
  <c r="AI120" i="27" a="1"/>
  <c r="AI120" i="27" s="1"/>
  <c r="AC120" i="27" a="1"/>
  <c r="AC120" i="27" s="1"/>
  <c r="M120" i="27" a="1"/>
  <c r="M120" i="27" s="1"/>
  <c r="V120" i="27" a="1"/>
  <c r="V120" i="27" s="1"/>
  <c r="CV38" i="27" a="1"/>
  <c r="CV38" i="27" s="1"/>
  <c r="CB38" i="27" a="1"/>
  <c r="CB38" i="27" s="1"/>
  <c r="CT38" i="27" a="1"/>
  <c r="CT38" i="27" s="1"/>
  <c r="CF38" i="27" a="1"/>
  <c r="CF38" i="27" s="1"/>
  <c r="CI38" i="27" a="1"/>
  <c r="CI38" i="27" s="1"/>
  <c r="CD38" i="27" a="1"/>
  <c r="CD38" i="27" s="1"/>
  <c r="CK31" i="27" a="1"/>
  <c r="CK31" i="27" s="1"/>
  <c r="CL31" i="27" a="1"/>
  <c r="CL31" i="27" s="1"/>
  <c r="CA31" i="27" a="1"/>
  <c r="CA31" i="27" s="1"/>
  <c r="CO31" i="27" a="1"/>
  <c r="CO31" i="27" s="1"/>
  <c r="CH31" i="27" a="1"/>
  <c r="CH31" i="27" s="1"/>
  <c r="CE31" i="27" a="1"/>
  <c r="CE31" i="27" s="1"/>
  <c r="CF59" i="27" a="1"/>
  <c r="CF59" i="27" s="1"/>
  <c r="CD59" i="27" a="1"/>
  <c r="CD59" i="27" s="1"/>
  <c r="CU59" i="27" a="1"/>
  <c r="CU59" i="27" s="1"/>
  <c r="CM69" i="27" a="1"/>
  <c r="CM69" i="27" s="1"/>
  <c r="CA69" i="27" a="1"/>
  <c r="CA69" i="27" s="1"/>
  <c r="BZ69" i="27" a="1"/>
  <c r="BZ69" i="27" s="1"/>
  <c r="CE69" i="27" a="1"/>
  <c r="CE69" i="27" s="1"/>
  <c r="CF69" i="27" a="1"/>
  <c r="CF69" i="27" s="1"/>
  <c r="CT69" i="27" a="1"/>
  <c r="CT69" i="27" s="1"/>
  <c r="CG115" i="27" a="1"/>
  <c r="CG115" i="27" s="1"/>
  <c r="CP115" i="27" a="1"/>
  <c r="CP115" i="27" s="1"/>
  <c r="CH115" i="27" a="1"/>
  <c r="CH115" i="27" s="1"/>
  <c r="CN119" i="27" a="1"/>
  <c r="CN119" i="27" s="1"/>
  <c r="CJ119" i="27" a="1"/>
  <c r="CJ119" i="27" s="1"/>
  <c r="CI119" i="27" a="1"/>
  <c r="CI119" i="27" s="1"/>
  <c r="CH119" i="27" a="1"/>
  <c r="CH119" i="27" s="1"/>
  <c r="CG119" i="27" a="1"/>
  <c r="CG119" i="27" s="1"/>
  <c r="CT119" i="27" a="1"/>
  <c r="CT119" i="27" s="1"/>
  <c r="CG46" i="27" a="1"/>
  <c r="CG46" i="27" s="1"/>
  <c r="CM46" i="27" a="1"/>
  <c r="CM46" i="27" s="1"/>
  <c r="CF46" i="27" a="1"/>
  <c r="CF46" i="27" s="1"/>
  <c r="CE46" i="27" a="1"/>
  <c r="CE46" i="27" s="1"/>
  <c r="CD46" i="27" a="1"/>
  <c r="CD46" i="27" s="1"/>
  <c r="CI46" i="27" a="1"/>
  <c r="CI46" i="27" s="1"/>
  <c r="CG90" i="27" a="1"/>
  <c r="CG90" i="27" s="1"/>
  <c r="CM90" i="27" a="1"/>
  <c r="CM90" i="27" s="1"/>
  <c r="CP117" i="27" a="1"/>
  <c r="CP117" i="27" s="1"/>
  <c r="CM117" i="27" a="1"/>
  <c r="CM117" i="27" s="1"/>
  <c r="CB117" i="27" a="1"/>
  <c r="CB117" i="27" s="1"/>
  <c r="CK117" i="27" a="1"/>
  <c r="CK117" i="27" s="1"/>
  <c r="CR117" i="27" a="1"/>
  <c r="CR117" i="27" s="1"/>
  <c r="CA117" i="27" a="1"/>
  <c r="CA117" i="27" s="1"/>
  <c r="CJ97" i="27" a="1"/>
  <c r="CJ97" i="27" s="1"/>
  <c r="CH97" i="27" a="1"/>
  <c r="CH97" i="27" s="1"/>
  <c r="CF97" i="27" a="1"/>
  <c r="CF97" i="27" s="1"/>
  <c r="CC97" i="27" a="1"/>
  <c r="CC97" i="27" s="1"/>
  <c r="CS97" i="27" a="1"/>
  <c r="CS97" i="27" s="1"/>
  <c r="BY97" i="27" a="1"/>
  <c r="BY97" i="27" s="1"/>
  <c r="CR98" i="27" a="1"/>
  <c r="CR98" i="27" s="1"/>
  <c r="CP98" i="27" a="1"/>
  <c r="CP98" i="27" s="1"/>
  <c r="CV98" i="27" a="1"/>
  <c r="CV98" i="27" s="1"/>
  <c r="CE98" i="27" a="1"/>
  <c r="CE98" i="27" s="1"/>
  <c r="CI98" i="27" a="1"/>
  <c r="CI98" i="27" s="1"/>
  <c r="CS98" i="27" a="1"/>
  <c r="CS98" i="27" s="1"/>
  <c r="S32" i="27" a="1"/>
  <c r="S32" i="27" s="1"/>
  <c r="AB32" i="27" a="1"/>
  <c r="AB32" i="27" s="1"/>
  <c r="AG32" i="27" a="1"/>
  <c r="AG32" i="27" s="1"/>
  <c r="AE46" i="27" a="1"/>
  <c r="AE46" i="27" s="1"/>
  <c r="AG46" i="27" a="1"/>
  <c r="AG46" i="27" s="1"/>
  <c r="Q115" i="27" a="1"/>
  <c r="Q115" i="27" s="1"/>
  <c r="P120" i="27" a="1"/>
  <c r="P120" i="27" s="1"/>
  <c r="T120" i="27" a="1"/>
  <c r="T120" i="27" s="1"/>
  <c r="S120" i="27" a="1"/>
  <c r="S120" i="27" s="1"/>
  <c r="U120" i="27" a="1"/>
  <c r="U120" i="27" s="1"/>
  <c r="AD120" i="27" a="1"/>
  <c r="AD120" i="27" s="1"/>
  <c r="CH38" i="27" a="1"/>
  <c r="CH38" i="27" s="1"/>
  <c r="CN38" i="27" a="1"/>
  <c r="CN38" i="27" s="1"/>
  <c r="CK38" i="27" a="1"/>
  <c r="CK38" i="27" s="1"/>
  <c r="CL38" i="27" a="1"/>
  <c r="CL38" i="27" s="1"/>
  <c r="CP38" i="27" a="1"/>
  <c r="CP38" i="27" s="1"/>
  <c r="CS31" i="27" a="1"/>
  <c r="CS31" i="27" s="1"/>
  <c r="CQ31" i="27" a="1"/>
  <c r="CQ31" i="27" s="1"/>
  <c r="CJ31" i="27" a="1"/>
  <c r="CJ31" i="27" s="1"/>
  <c r="BY31" i="27" a="1"/>
  <c r="BY31" i="27" s="1"/>
  <c r="CU31" i="27" a="1"/>
  <c r="CU31" i="27" s="1"/>
  <c r="CE59" i="27" a="1"/>
  <c r="CE59" i="27" s="1"/>
  <c r="CR59" i="27" a="1"/>
  <c r="CR59" i="27" s="1"/>
  <c r="BZ59" i="27" a="1"/>
  <c r="BZ59" i="27" s="1"/>
  <c r="CC69" i="27" a="1"/>
  <c r="CC69" i="27" s="1"/>
  <c r="CP69" i="27" a="1"/>
  <c r="CP69" i="27" s="1"/>
  <c r="CB69" i="27" a="1"/>
  <c r="CB69" i="27" s="1"/>
  <c r="CV69" i="27" a="1"/>
  <c r="CV69" i="27" s="1"/>
  <c r="CK69" i="27" a="1"/>
  <c r="CK69" i="27" s="1"/>
  <c r="CL115" i="27" a="1"/>
  <c r="CL115" i="27" s="1"/>
  <c r="CF115" i="27" a="1"/>
  <c r="CF115" i="27" s="1"/>
  <c r="CQ115" i="27" a="1"/>
  <c r="CQ115" i="27" s="1"/>
  <c r="CB119" i="27" a="1"/>
  <c r="CB119" i="27" s="1"/>
  <c r="CL119" i="27" a="1"/>
  <c r="CL119" i="27" s="1"/>
  <c r="CP119" i="27" a="1"/>
  <c r="CP119" i="27" s="1"/>
  <c r="CF119" i="27" a="1"/>
  <c r="CF119" i="27" s="1"/>
  <c r="CR119" i="27" a="1"/>
  <c r="CR119" i="27" s="1"/>
  <c r="BZ46" i="27" a="1"/>
  <c r="BZ46" i="27" s="1"/>
  <c r="CV46" i="27" a="1"/>
  <c r="CV46" i="27" s="1"/>
  <c r="CH46" i="27" a="1"/>
  <c r="CH46" i="27" s="1"/>
  <c r="CT46" i="27" a="1"/>
  <c r="CT46" i="27" s="1"/>
  <c r="CC46" i="27" a="1"/>
  <c r="CC46" i="27" s="1"/>
  <c r="BY90" i="27" a="1"/>
  <c r="BY90" i="27" s="1"/>
  <c r="CO117" i="27" a="1"/>
  <c r="CO117" i="27" s="1"/>
  <c r="CL117" i="27" a="1"/>
  <c r="CL117" i="27" s="1"/>
  <c r="CV117" i="27" a="1"/>
  <c r="CV117" i="27" s="1"/>
  <c r="CJ117" i="27" a="1"/>
  <c r="CJ117" i="27" s="1"/>
  <c r="CT117" i="27" a="1"/>
  <c r="CT117" i="27" s="1"/>
  <c r="CT97" i="27" a="1"/>
  <c r="CT97" i="27" s="1"/>
  <c r="CL97" i="27" a="1"/>
  <c r="CL97" i="27" s="1"/>
  <c r="CV97" i="27" a="1"/>
  <c r="CV97" i="27" s="1"/>
  <c r="CE97" i="27" a="1"/>
  <c r="CE97" i="27" s="1"/>
  <c r="CK97" i="27" a="1"/>
  <c r="CK97" i="27" s="1"/>
  <c r="CB98" i="27" a="1"/>
  <c r="CB98" i="27" s="1"/>
  <c r="BZ98" i="27" a="1"/>
  <c r="BZ98" i="27" s="1"/>
  <c r="CF98" i="27" a="1"/>
  <c r="CF98" i="27" s="1"/>
  <c r="CA98" i="27" a="1"/>
  <c r="CA98" i="27" s="1"/>
  <c r="CQ98" i="27" a="1"/>
  <c r="CQ98" i="27" s="1"/>
  <c r="X1" i="31"/>
  <c r="O1" i="31"/>
  <c r="P1" i="31"/>
  <c r="D1" i="31"/>
  <c r="M4" i="31"/>
  <c r="M1" i="31" s="1"/>
  <c r="X93" i="30"/>
  <c r="X58" i="30"/>
  <c r="X42" i="30"/>
  <c r="X71" i="30"/>
  <c r="X98" i="30"/>
  <c r="X106" i="30"/>
  <c r="X51" i="30"/>
  <c r="X112" i="30"/>
  <c r="CB116" i="27" a="1"/>
  <c r="CB116" i="27" s="1"/>
  <c r="Y97" i="27" a="1"/>
  <c r="Y97" i="27" s="1"/>
  <c r="S97" i="27" a="1"/>
  <c r="S97" i="27" s="1"/>
  <c r="P97" i="27" a="1"/>
  <c r="P97" i="27" s="1"/>
  <c r="M97" i="27" a="1"/>
  <c r="M97" i="27" s="1"/>
  <c r="N126" i="27" a="1"/>
  <c r="N126" i="27" s="1"/>
  <c r="P126" i="27" a="1"/>
  <c r="P126" i="27" s="1"/>
  <c r="Y126" i="27" a="1"/>
  <c r="Y126" i="27" s="1"/>
  <c r="R126" i="27" a="1"/>
  <c r="R126" i="27" s="1"/>
  <c r="AA126" i="27" a="1"/>
  <c r="AA126" i="27" s="1"/>
  <c r="AH126" i="27" a="1"/>
  <c r="AH126" i="27" s="1"/>
  <c r="W30" i="27" a="1"/>
  <c r="W30" i="27" s="1"/>
  <c r="O30" i="27" a="1"/>
  <c r="O30" i="27" s="1"/>
  <c r="S30" i="27" a="1"/>
  <c r="S30" i="27" s="1"/>
  <c r="AD30" i="27" a="1"/>
  <c r="AD30" i="27" s="1"/>
  <c r="AI30" i="27" a="1"/>
  <c r="AI30" i="27" s="1"/>
  <c r="AH30" i="27" a="1"/>
  <c r="AH30" i="27" s="1"/>
  <c r="Y83" i="27" a="1"/>
  <c r="Y83" i="27" s="1"/>
  <c r="N83" i="27" a="1"/>
  <c r="N83" i="27" s="1"/>
  <c r="O83" i="27" a="1"/>
  <c r="O83" i="27" s="1"/>
  <c r="Q25" i="27" a="1"/>
  <c r="Q25" i="27" s="1"/>
  <c r="M25" i="27" a="1"/>
  <c r="M25" i="27" s="1"/>
  <c r="AC25" i="27" a="1"/>
  <c r="AC25" i="27" s="1"/>
  <c r="W25" i="27" a="1"/>
  <c r="W25" i="27" s="1"/>
  <c r="V25" i="27" a="1"/>
  <c r="V25" i="27" s="1"/>
  <c r="AF25" i="27" a="1"/>
  <c r="AF25" i="27" s="1"/>
  <c r="N44" i="27" a="1"/>
  <c r="N44" i="27" s="1"/>
  <c r="AD44" i="27" a="1"/>
  <c r="AD44" i="27" s="1"/>
  <c r="W44" i="27" a="1"/>
  <c r="W44" i="27" s="1"/>
  <c r="Q44" i="27" a="1"/>
  <c r="Q44" i="27" s="1"/>
  <c r="T44" i="27" a="1"/>
  <c r="T44" i="27" s="1"/>
  <c r="AC44" i="27" a="1"/>
  <c r="AC44" i="27" s="1"/>
  <c r="R44" i="27" a="1"/>
  <c r="R44" i="27" s="1"/>
  <c r="AH44" i="27" a="1"/>
  <c r="AH44" i="27" s="1"/>
  <c r="AA44" i="27" a="1"/>
  <c r="AA44" i="27" s="1"/>
  <c r="Y44" i="27" a="1"/>
  <c r="Y44" i="27" s="1"/>
  <c r="AB44" i="27" a="1"/>
  <c r="AB44" i="27" s="1"/>
  <c r="X44" i="27" a="1"/>
  <c r="X44" i="27" s="1"/>
  <c r="V44" i="27" a="1"/>
  <c r="V44" i="27" s="1"/>
  <c r="O44" i="27" a="1"/>
  <c r="O44" i="27" s="1"/>
  <c r="AE44" i="27" a="1"/>
  <c r="AE44" i="27" s="1"/>
  <c r="AG44" i="27" a="1"/>
  <c r="AG44" i="27" s="1"/>
  <c r="M44" i="27" a="1"/>
  <c r="M44" i="27" s="1"/>
  <c r="AF44" i="27" a="1"/>
  <c r="AF44" i="27" s="1"/>
  <c r="P106" i="27" a="1"/>
  <c r="P106" i="27" s="1"/>
  <c r="Y106" i="27" a="1"/>
  <c r="Y106" i="27" s="1"/>
  <c r="AE106" i="27" a="1"/>
  <c r="AE106" i="27" s="1"/>
  <c r="Z106" i="27" a="1"/>
  <c r="Z106" i="27" s="1"/>
  <c r="L26" i="27" a="1"/>
  <c r="L26" i="27" s="1"/>
  <c r="Y26" i="27" a="1"/>
  <c r="Y26" i="27" s="1"/>
  <c r="AA26" i="27" a="1"/>
  <c r="AA26" i="27" s="1"/>
  <c r="AH26" i="27" a="1"/>
  <c r="AH26" i="27" s="1"/>
  <c r="Z47" i="27" a="1"/>
  <c r="Z47" i="27" s="1"/>
  <c r="U47" i="27" a="1"/>
  <c r="U47" i="27" s="1"/>
  <c r="V47" i="27" a="1"/>
  <c r="V47" i="27" s="1"/>
  <c r="CA72" i="27" a="1"/>
  <c r="CA72" i="27" s="1"/>
  <c r="CU72" i="27" a="1"/>
  <c r="CU72" i="27" s="1"/>
  <c r="CQ72" i="27" a="1"/>
  <c r="CQ72" i="27" s="1"/>
  <c r="CH72" i="27" a="1"/>
  <c r="CH72" i="27" s="1"/>
  <c r="CT72" i="27" a="1"/>
  <c r="CT72" i="27" s="1"/>
  <c r="CE72" i="27" a="1"/>
  <c r="CE72" i="27" s="1"/>
  <c r="CS101" i="27" a="1"/>
  <c r="CS101" i="27" s="1"/>
  <c r="BY101" i="27" a="1"/>
  <c r="BY101" i="27" s="1"/>
  <c r="CP101" i="27" a="1"/>
  <c r="CP101" i="27" s="1"/>
  <c r="CC101" i="27" a="1"/>
  <c r="CC101" i="27" s="1"/>
  <c r="CJ101" i="27" a="1"/>
  <c r="CJ101" i="27" s="1"/>
  <c r="BZ34" i="27" a="1"/>
  <c r="BZ34" i="27" s="1"/>
  <c r="CE34" i="27" a="1"/>
  <c r="CE34" i="27" s="1"/>
  <c r="CH34" i="27" a="1"/>
  <c r="CH34" i="27" s="1"/>
  <c r="CM67" i="27" a="1"/>
  <c r="CM67" i="27" s="1"/>
  <c r="CG67" i="27" a="1"/>
  <c r="CG67" i="27" s="1"/>
  <c r="CH67" i="27" a="1"/>
  <c r="CH67" i="27" s="1"/>
  <c r="CF67" i="27" a="1"/>
  <c r="CF67" i="27" s="1"/>
  <c r="BZ14" i="27" a="1"/>
  <c r="BZ14" i="27" s="1"/>
  <c r="CG14" i="27" a="1"/>
  <c r="CG14" i="27" s="1"/>
  <c r="CC14" i="27" a="1"/>
  <c r="CC14" i="27" s="1"/>
  <c r="CF14" i="27" a="1"/>
  <c r="CF14" i="27" s="1"/>
  <c r="CD14" i="27" a="1"/>
  <c r="CD14" i="27" s="1"/>
  <c r="CQ24" i="27" a="1"/>
  <c r="CQ24" i="27" s="1"/>
  <c r="CC24" i="27" a="1"/>
  <c r="CC24" i="27" s="1"/>
  <c r="CL24" i="27" a="1"/>
  <c r="CL24" i="27" s="1"/>
  <c r="CU24" i="27" a="1"/>
  <c r="CU24" i="27" s="1"/>
  <c r="CG24" i="27" a="1"/>
  <c r="CG24" i="27" s="1"/>
  <c r="BY24" i="27" a="1"/>
  <c r="BY24" i="27" s="1"/>
  <c r="CB24" i="27" a="1"/>
  <c r="CB24" i="27" s="1"/>
  <c r="CK24" i="27" a="1"/>
  <c r="CK24" i="27" s="1"/>
  <c r="CT24" i="27" a="1"/>
  <c r="CT24" i="27" s="1"/>
  <c r="CF24" i="27" a="1"/>
  <c r="CF24" i="27" s="1"/>
  <c r="CP24" i="27" a="1"/>
  <c r="CP24" i="27" s="1"/>
  <c r="BZ24" i="27" a="1"/>
  <c r="BZ24" i="27" s="1"/>
  <c r="CA24" i="27" a="1"/>
  <c r="CA24" i="27" s="1"/>
  <c r="CJ24" i="27" a="1"/>
  <c r="CJ24" i="27" s="1"/>
  <c r="CS24" i="27" a="1"/>
  <c r="CS24" i="27" s="1"/>
  <c r="CE24" i="27" a="1"/>
  <c r="CE24" i="27" s="1"/>
  <c r="CN24" i="27" a="1"/>
  <c r="CN24" i="27" s="1"/>
  <c r="CH24" i="27" a="1"/>
  <c r="CH24" i="27" s="1"/>
  <c r="CB92" i="27" a="1"/>
  <c r="CB92" i="27" s="1"/>
  <c r="CU92" i="27" a="1"/>
  <c r="CU92" i="27" s="1"/>
  <c r="CO92" i="27" a="1"/>
  <c r="CO92" i="27" s="1"/>
  <c r="CF92" i="27" a="1"/>
  <c r="CF92" i="27" s="1"/>
  <c r="CK92" i="27" a="1"/>
  <c r="CK92" i="27" s="1"/>
  <c r="CP92" i="27" a="1"/>
  <c r="CP92" i="27" s="1"/>
  <c r="CI92" i="27" a="1"/>
  <c r="CI92" i="27" s="1"/>
  <c r="CJ92" i="27" a="1"/>
  <c r="CJ92" i="27" s="1"/>
  <c r="CD92" i="27" a="1"/>
  <c r="CD92" i="27" s="1"/>
  <c r="CC92" i="27" a="1"/>
  <c r="CC92" i="27" s="1"/>
  <c r="CN92" i="27" a="1"/>
  <c r="CN92" i="27" s="1"/>
  <c r="BZ92" i="27" a="1"/>
  <c r="BZ92" i="27" s="1"/>
  <c r="CQ92" i="27" a="1"/>
  <c r="CQ92" i="27" s="1"/>
  <c r="CR92" i="27" a="1"/>
  <c r="CR92" i="27" s="1"/>
  <c r="CL92" i="27" a="1"/>
  <c r="CL92" i="27" s="1"/>
  <c r="CH92" i="27" a="1"/>
  <c r="CH92" i="27" s="1"/>
  <c r="CV92" i="27" a="1"/>
  <c r="CV92" i="27" s="1"/>
  <c r="BY92" i="27" a="1"/>
  <c r="BY92" i="27" s="1"/>
  <c r="CU99" i="27" a="1"/>
  <c r="CU99" i="27" s="1"/>
  <c r="CA99" i="27" a="1"/>
  <c r="CA99" i="27" s="1"/>
  <c r="CK99" i="27" a="1"/>
  <c r="CK99" i="27" s="1"/>
  <c r="CV99" i="27" a="1"/>
  <c r="CV99" i="27" s="1"/>
  <c r="CD99" i="27" a="1"/>
  <c r="CD99" i="27" s="1"/>
  <c r="CT99" i="27" a="1"/>
  <c r="CT99" i="27" s="1"/>
  <c r="BY99" i="27" a="1"/>
  <c r="BY99" i="27" s="1"/>
  <c r="CI99" i="27" a="1"/>
  <c r="CI99" i="27" s="1"/>
  <c r="CS99" i="27" a="1"/>
  <c r="CS99" i="27" s="1"/>
  <c r="BZ99" i="27" a="1"/>
  <c r="BZ99" i="27" s="1"/>
  <c r="CB99" i="27" a="1"/>
  <c r="CB99" i="27" s="1"/>
  <c r="CL99" i="27" a="1"/>
  <c r="CL99" i="27" s="1"/>
  <c r="CE99" i="27" a="1"/>
  <c r="CE99" i="27" s="1"/>
  <c r="CG99" i="27" a="1"/>
  <c r="CG99" i="27" s="1"/>
  <c r="CQ99" i="27" a="1"/>
  <c r="CQ99" i="27" s="1"/>
  <c r="CF99" i="27" a="1"/>
  <c r="CF99" i="27" s="1"/>
  <c r="CH99" i="27" a="1"/>
  <c r="CH99" i="27" s="1"/>
  <c r="CJ99" i="27" a="1"/>
  <c r="CJ99" i="27" s="1"/>
  <c r="CI42" i="27" a="1"/>
  <c r="CI42" i="27" s="1"/>
  <c r="CH42" i="27" a="1"/>
  <c r="CH42" i="27" s="1"/>
  <c r="CK42" i="27" a="1"/>
  <c r="CK42" i="27" s="1"/>
  <c r="CV42" i="27" a="1"/>
  <c r="CV42" i="27" s="1"/>
  <c r="CM42" i="27" a="1"/>
  <c r="CM42" i="27" s="1"/>
  <c r="CH35" i="27" a="1"/>
  <c r="CH35" i="27" s="1"/>
  <c r="CA35" i="27" a="1"/>
  <c r="CA35" i="27" s="1"/>
  <c r="CO35" i="27" a="1"/>
  <c r="CO35" i="27" s="1"/>
  <c r="CD35" i="27" a="1"/>
  <c r="CD35" i="27" s="1"/>
  <c r="CB35" i="27" a="1"/>
  <c r="CB35" i="27" s="1"/>
  <c r="CR35" i="27" a="1"/>
  <c r="CR35" i="27" s="1"/>
  <c r="BZ35" i="27" a="1"/>
  <c r="BZ35" i="27" s="1"/>
  <c r="CV35" i="27" a="1"/>
  <c r="CV35" i="27" s="1"/>
  <c r="CG35" i="27" a="1"/>
  <c r="CG35" i="27" s="1"/>
  <c r="CU35" i="27" a="1"/>
  <c r="CU35" i="27" s="1"/>
  <c r="CK35" i="27" a="1"/>
  <c r="CK35" i="27" s="1"/>
  <c r="CS35" i="27" a="1"/>
  <c r="CS35" i="27" s="1"/>
  <c r="BY35" i="27" a="1"/>
  <c r="BY35" i="27" s="1"/>
  <c r="CQ35" i="27" a="1"/>
  <c r="CQ35" i="27" s="1"/>
  <c r="CN35" i="27" a="1"/>
  <c r="CN35" i="27" s="1"/>
  <c r="CT35" i="27" a="1"/>
  <c r="CT35" i="27" s="1"/>
  <c r="CM35" i="27" a="1"/>
  <c r="CM35" i="27" s="1"/>
  <c r="CJ35" i="27" a="1"/>
  <c r="CJ35" i="27" s="1"/>
  <c r="CB7" i="27" a="1"/>
  <c r="CB7" i="27" s="1"/>
  <c r="CD7" i="27" a="1"/>
  <c r="CD7" i="27" s="1"/>
  <c r="CV7" i="27" a="1"/>
  <c r="CV7" i="27" s="1"/>
  <c r="CP7" i="27" a="1"/>
  <c r="CP7" i="27" s="1"/>
  <c r="CJ7" i="27" a="1"/>
  <c r="CJ7" i="27" s="1"/>
  <c r="CC7" i="27" a="1"/>
  <c r="CC7" i="27" s="1"/>
  <c r="CU7" i="27" a="1"/>
  <c r="CU7" i="27" s="1"/>
  <c r="CR7" i="27" a="1"/>
  <c r="CR7" i="27" s="1"/>
  <c r="CK7" i="27" a="1"/>
  <c r="CK7" i="27" s="1"/>
  <c r="BZ7" i="27" a="1"/>
  <c r="BZ7" i="27" s="1"/>
  <c r="CT116" i="27" a="1"/>
  <c r="CT116" i="27" s="1"/>
  <c r="CJ116" i="27" a="1"/>
  <c r="CJ116" i="27" s="1"/>
  <c r="CN116" i="27" a="1"/>
  <c r="CN116" i="27" s="1"/>
  <c r="CK116" i="27" a="1"/>
  <c r="CK116" i="27" s="1"/>
  <c r="CE116" i="27" a="1"/>
  <c r="CE116" i="27" s="1"/>
  <c r="CO116" i="27" a="1"/>
  <c r="CO116" i="27" s="1"/>
  <c r="CQ116" i="27" a="1"/>
  <c r="CQ116" i="27" s="1"/>
  <c r="CM116" i="27" a="1"/>
  <c r="CM116" i="27" s="1"/>
  <c r="BZ116" i="27" a="1"/>
  <c r="BZ116" i="27" s="1"/>
  <c r="CL116" i="27" a="1"/>
  <c r="CL116" i="27" s="1"/>
  <c r="CD75" i="27" a="1"/>
  <c r="CD75" i="27" s="1"/>
  <c r="CT75" i="27" a="1"/>
  <c r="CT75" i="27" s="1"/>
  <c r="CV75" i="27" a="1"/>
  <c r="CV75" i="27" s="1"/>
  <c r="CU75" i="27" a="1"/>
  <c r="CU75" i="27" s="1"/>
  <c r="CI75" i="27" a="1"/>
  <c r="CI75" i="27" s="1"/>
  <c r="CC75" i="27" a="1"/>
  <c r="CC75" i="27" s="1"/>
  <c r="CJ75" i="27" a="1"/>
  <c r="CJ75" i="27" s="1"/>
  <c r="CQ75" i="27" a="1"/>
  <c r="CQ75" i="27" s="1"/>
  <c r="CM75" i="27" a="1"/>
  <c r="CM75" i="27" s="1"/>
  <c r="BZ75" i="27" a="1"/>
  <c r="BZ75" i="27" s="1"/>
  <c r="CM109" i="27" a="1"/>
  <c r="CM109" i="27" s="1"/>
  <c r="CV109" i="27" a="1"/>
  <c r="CV109" i="27" s="1"/>
  <c r="BZ109" i="27" a="1"/>
  <c r="BZ109" i="27" s="1"/>
  <c r="CT109" i="27" a="1"/>
  <c r="CT109" i="27" s="1"/>
  <c r="CB109" i="27" a="1"/>
  <c r="CB109" i="27" s="1"/>
  <c r="CD109" i="27" a="1"/>
  <c r="CD109" i="27" s="1"/>
  <c r="CU109" i="27" a="1"/>
  <c r="CU109" i="27" s="1"/>
  <c r="BY109" i="27" a="1"/>
  <c r="BY109" i="27" s="1"/>
  <c r="CH109" i="27" a="1"/>
  <c r="CH109" i="27" s="1"/>
  <c r="CA109" i="27" a="1"/>
  <c r="CA109" i="27" s="1"/>
  <c r="CJ109" i="27" a="1"/>
  <c r="CJ109" i="27" s="1"/>
  <c r="CL109" i="27" a="1"/>
  <c r="CL109" i="27" s="1"/>
  <c r="CF109" i="27" a="1"/>
  <c r="CF109" i="27" s="1"/>
  <c r="CG109" i="27" a="1"/>
  <c r="CG109" i="27" s="1"/>
  <c r="CP109" i="27" a="1"/>
  <c r="CP109" i="27" s="1"/>
  <c r="CI109" i="27" a="1"/>
  <c r="CI109" i="27" s="1"/>
  <c r="CR109" i="27" a="1"/>
  <c r="CR109" i="27" s="1"/>
  <c r="CK109" i="27" a="1"/>
  <c r="CK109" i="27" s="1"/>
  <c r="CQ22" i="27" a="1"/>
  <c r="CQ22" i="27" s="1"/>
  <c r="CC22" i="27" a="1"/>
  <c r="CC22" i="27" s="1"/>
  <c r="CB22" i="27" a="1"/>
  <c r="CB22" i="27" s="1"/>
  <c r="CU22" i="27" a="1"/>
  <c r="CU22" i="27" s="1"/>
  <c r="CO22" i="27" a="1"/>
  <c r="CO22" i="27" s="1"/>
  <c r="BY22" i="27" a="1"/>
  <c r="BY22" i="27" s="1"/>
  <c r="CN22" i="27" a="1"/>
  <c r="CN22" i="27" s="1"/>
  <c r="CK22" i="27" a="1"/>
  <c r="CK22" i="27" s="1"/>
  <c r="CH22" i="27" a="1"/>
  <c r="CH22" i="27" s="1"/>
  <c r="CD22" i="27" a="1"/>
  <c r="CD22" i="27" s="1"/>
  <c r="CG22" i="27" a="1"/>
  <c r="CG22" i="27" s="1"/>
  <c r="CL22" i="27" a="1"/>
  <c r="CL22" i="27" s="1"/>
  <c r="CA22" i="27" a="1"/>
  <c r="CA22" i="27" s="1"/>
  <c r="CT22" i="27" a="1"/>
  <c r="CT22" i="27" s="1"/>
  <c r="CS22" i="27" a="1"/>
  <c r="CS22" i="27" s="1"/>
  <c r="CE22" i="27" a="1"/>
  <c r="CE22" i="27" s="1"/>
  <c r="CJ22" i="27" a="1"/>
  <c r="CJ22" i="27" s="1"/>
  <c r="CF22" i="27" a="1"/>
  <c r="CF22" i="27" s="1"/>
  <c r="CG122" i="27" a="1"/>
  <c r="CG122" i="27" s="1"/>
  <c r="CL122" i="27" a="1"/>
  <c r="CL122" i="27" s="1"/>
  <c r="CF122" i="27" a="1"/>
  <c r="CF122" i="27" s="1"/>
  <c r="BZ122" i="27" a="1"/>
  <c r="BZ122" i="27" s="1"/>
  <c r="CS122" i="27" a="1"/>
  <c r="CS122" i="27" s="1"/>
  <c r="CD122" i="27" a="1"/>
  <c r="CD122" i="27" s="1"/>
  <c r="CO122" i="27" a="1"/>
  <c r="CO122" i="27" s="1"/>
  <c r="CA122" i="27" a="1"/>
  <c r="CA122" i="27" s="1"/>
  <c r="CV122" i="27" a="1"/>
  <c r="CV122" i="27" s="1"/>
  <c r="CP122" i="27" a="1"/>
  <c r="CP122" i="27" s="1"/>
  <c r="CJ122" i="27" a="1"/>
  <c r="CJ122" i="27" s="1"/>
  <c r="CU122" i="27" a="1"/>
  <c r="CU122" i="27" s="1"/>
  <c r="CH122" i="27" a="1"/>
  <c r="CH122" i="27" s="1"/>
  <c r="CB122" i="27" a="1"/>
  <c r="CB122" i="27" s="1"/>
  <c r="CI122" i="27" a="1"/>
  <c r="CI122" i="27" s="1"/>
  <c r="CE122" i="27" a="1"/>
  <c r="CE122" i="27" s="1"/>
  <c r="CC122" i="27" a="1"/>
  <c r="CC122" i="27" s="1"/>
  <c r="CT122" i="27" a="1"/>
  <c r="CT122" i="27" s="1"/>
  <c r="CK28" i="27" a="1"/>
  <c r="CK28" i="27" s="1"/>
  <c r="CD28" i="27" a="1"/>
  <c r="CD28" i="27" s="1"/>
  <c r="CR28" i="27" a="1"/>
  <c r="CR28" i="27" s="1"/>
  <c r="CG28" i="27" a="1"/>
  <c r="CG28" i="27" s="1"/>
  <c r="CU28" i="27" a="1"/>
  <c r="CU28" i="27" s="1"/>
  <c r="CE28" i="27" a="1"/>
  <c r="CE28" i="27" s="1"/>
  <c r="CC28" i="27" a="1"/>
  <c r="CC28" i="27" s="1"/>
  <c r="CQ28" i="27" a="1"/>
  <c r="CQ28" i="27" s="1"/>
  <c r="CJ28" i="27" a="1"/>
  <c r="CJ28" i="27" s="1"/>
  <c r="BY28" i="27" a="1"/>
  <c r="BY28" i="27" s="1"/>
  <c r="CV28" i="27" a="1"/>
  <c r="CV28" i="27" s="1"/>
  <c r="CF28" i="27" a="1"/>
  <c r="CF28" i="27" s="1"/>
  <c r="BZ28" i="27" a="1"/>
  <c r="BZ28" i="27" s="1"/>
  <c r="CT28" i="27" a="1"/>
  <c r="CT28" i="27" s="1"/>
  <c r="CI28" i="27" a="1"/>
  <c r="CI28" i="27" s="1"/>
  <c r="CB28" i="27" a="1"/>
  <c r="CB28" i="27" s="1"/>
  <c r="CP28" i="27" a="1"/>
  <c r="CP28" i="27" s="1"/>
  <c r="CM28" i="27" a="1"/>
  <c r="CM28" i="27" s="1"/>
  <c r="CV59" i="27" a="1"/>
  <c r="CV59" i="27" s="1"/>
  <c r="CT59" i="27" a="1"/>
  <c r="CT59" i="27" s="1"/>
  <c r="CM59" i="27" a="1"/>
  <c r="CM59" i="27" s="1"/>
  <c r="CB59" i="27" a="1"/>
  <c r="CB59" i="27" s="1"/>
  <c r="CP59" i="27" a="1"/>
  <c r="CP59" i="27" s="1"/>
  <c r="CI59" i="27" a="1"/>
  <c r="CI59" i="27" s="1"/>
  <c r="CM84" i="27" a="1"/>
  <c r="CM84" i="27" s="1"/>
  <c r="CF84" i="27" a="1"/>
  <c r="CF84" i="27" s="1"/>
  <c r="CK84" i="27" a="1"/>
  <c r="CK84" i="27" s="1"/>
  <c r="CD84" i="27" a="1"/>
  <c r="CD84" i="27" s="1"/>
  <c r="CI84" i="27" a="1"/>
  <c r="CI84" i="27" s="1"/>
  <c r="CB84" i="27" a="1"/>
  <c r="CB84" i="27" s="1"/>
  <c r="BY115" i="27" a="1"/>
  <c r="BY115" i="27" s="1"/>
  <c r="CM115" i="27" a="1"/>
  <c r="CM115" i="27" s="1"/>
  <c r="CO115" i="27" a="1"/>
  <c r="CO115" i="27" s="1"/>
  <c r="CK115" i="27" a="1"/>
  <c r="CK115" i="27" s="1"/>
  <c r="CV115" i="27" a="1"/>
  <c r="CV115" i="27" s="1"/>
  <c r="CA115" i="27" a="1"/>
  <c r="CA115" i="27" s="1"/>
  <c r="CR134" i="27" a="1"/>
  <c r="CR134" i="27" s="1"/>
  <c r="CF134" i="27" a="1"/>
  <c r="CF134" i="27" s="1"/>
  <c r="CA134" i="27" a="1"/>
  <c r="CA134" i="27" s="1"/>
  <c r="CB134" i="27" a="1"/>
  <c r="CB134" i="27" s="1"/>
  <c r="CP134" i="27" a="1"/>
  <c r="CP134" i="27" s="1"/>
  <c r="CG134" i="27" a="1"/>
  <c r="CG134" i="27" s="1"/>
  <c r="AC100" i="27" a="1"/>
  <c r="AC100" i="27" s="1"/>
  <c r="BZ90" i="27" a="1"/>
  <c r="BZ90" i="27" s="1"/>
  <c r="CV90" i="27" a="1"/>
  <c r="CV90" i="27" s="1"/>
  <c r="CH90" i="27" a="1"/>
  <c r="CH90" i="27" s="1"/>
  <c r="CT90" i="27" a="1"/>
  <c r="CT90" i="27" s="1"/>
  <c r="CS90" i="27" a="1"/>
  <c r="CS90" i="27" s="1"/>
  <c r="CB90" i="27" a="1"/>
  <c r="CB90" i="27" s="1"/>
  <c r="U83" i="27" a="1"/>
  <c r="U83" i="27" s="1"/>
  <c r="AG106" i="27" a="1"/>
  <c r="AG106" i="27" s="1"/>
  <c r="M47" i="27" a="1"/>
  <c r="M47" i="27" s="1"/>
  <c r="BY7" i="27" a="1"/>
  <c r="BY7" i="27" s="1"/>
  <c r="CG7" i="27" a="1"/>
  <c r="CG7" i="27" s="1"/>
  <c r="CE7" i="27" a="1"/>
  <c r="CE7" i="27" s="1"/>
  <c r="CS7" i="27" a="1"/>
  <c r="CS7" i="27" s="1"/>
  <c r="CL7" i="27" a="1"/>
  <c r="CL7" i="27" s="1"/>
  <c r="CA7" i="27" a="1"/>
  <c r="CA7" i="27" s="1"/>
  <c r="CJ34" i="27" a="1"/>
  <c r="CJ34" i="27" s="1"/>
  <c r="CC34" i="27" a="1"/>
  <c r="CC34" i="27" s="1"/>
  <c r="CG75" i="27" a="1"/>
  <c r="CG75" i="27" s="1"/>
  <c r="CH75" i="27" a="1"/>
  <c r="CH75" i="27" s="1"/>
  <c r="CS75" i="27" a="1"/>
  <c r="CS75" i="27" s="1"/>
  <c r="BY75" i="27" a="1"/>
  <c r="BY75" i="27" s="1"/>
  <c r="CE75" i="27" a="1"/>
  <c r="CE75" i="27" s="1"/>
  <c r="CA75" i="27" a="1"/>
  <c r="CA75" i="27" s="1"/>
  <c r="CQ67" i="27" a="1"/>
  <c r="CQ67" i="27" s="1"/>
  <c r="CP116" i="27" a="1"/>
  <c r="CP116" i="27" s="1"/>
  <c r="CA116" i="27" a="1"/>
  <c r="CA116" i="27" s="1"/>
  <c r="CC116" i="27" a="1"/>
  <c r="CC116" i="27" s="1"/>
  <c r="BY116" i="27" a="1"/>
  <c r="BY116" i="27" s="1"/>
  <c r="CU116" i="27" a="1"/>
  <c r="CU116" i="27" s="1"/>
  <c r="CH116" i="27" a="1"/>
  <c r="CH116" i="27" s="1"/>
  <c r="CU129" i="27" a="1"/>
  <c r="CU129" i="27" s="1"/>
  <c r="BZ129" i="27" a="1"/>
  <c r="BZ129" i="27" s="1"/>
  <c r="CC129" i="27" a="1"/>
  <c r="CC129" i="27" s="1"/>
  <c r="CQ129" i="27" a="1"/>
  <c r="CQ129" i="27" s="1"/>
  <c r="CN129" i="27" a="1"/>
  <c r="CN129" i="27" s="1"/>
  <c r="BY129" i="27" a="1"/>
  <c r="BY129" i="27" s="1"/>
  <c r="P26" i="27" a="1"/>
  <c r="P26" i="27" s="1"/>
  <c r="CP90" i="27" a="1"/>
  <c r="CP90" i="27" s="1"/>
  <c r="CI90" i="27" a="1"/>
  <c r="CI90" i="27" s="1"/>
  <c r="CF90" i="27" a="1"/>
  <c r="CF90" i="27" s="1"/>
  <c r="CA90" i="27" a="1"/>
  <c r="CA90" i="27" s="1"/>
  <c r="CD90" i="27" a="1"/>
  <c r="CD90" i="27" s="1"/>
  <c r="CR90" i="27" a="1"/>
  <c r="CR90" i="27" s="1"/>
  <c r="CC132" i="27" a="1"/>
  <c r="CC132" i="27" s="1"/>
  <c r="CH129" i="27" a="1"/>
  <c r="CH129" i="27" s="1"/>
  <c r="CE129" i="27" a="1"/>
  <c r="CE129" i="27" s="1"/>
  <c r="CS129" i="27" a="1"/>
  <c r="CS129" i="27" s="1"/>
  <c r="CV129" i="27" a="1"/>
  <c r="CV129" i="27" s="1"/>
  <c r="CA129" i="27" a="1"/>
  <c r="CA129" i="27" s="1"/>
  <c r="CO129" i="27" a="1"/>
  <c r="CO129" i="27" s="1"/>
  <c r="CG59" i="27" a="1"/>
  <c r="CG59" i="27" s="1"/>
  <c r="CC59" i="27" a="1"/>
  <c r="CC59" i="27" s="1"/>
  <c r="CN59" i="27" a="1"/>
  <c r="CN59" i="27" s="1"/>
  <c r="CJ59" i="27" a="1"/>
  <c r="CJ59" i="27" s="1"/>
  <c r="CS59" i="27" a="1"/>
  <c r="CS59" i="27" s="1"/>
  <c r="CU84" i="27" a="1"/>
  <c r="CU84" i="27" s="1"/>
  <c r="CN84" i="27" a="1"/>
  <c r="CN84" i="27" s="1"/>
  <c r="CS84" i="27" a="1"/>
  <c r="CS84" i="27" s="1"/>
  <c r="CL84" i="27" a="1"/>
  <c r="CL84" i="27" s="1"/>
  <c r="CQ84" i="27" a="1"/>
  <c r="CQ84" i="27" s="1"/>
  <c r="BZ115" i="27" a="1"/>
  <c r="BZ115" i="27" s="1"/>
  <c r="CU115" i="27" a="1"/>
  <c r="CU115" i="27" s="1"/>
  <c r="CR115" i="27" a="1"/>
  <c r="CR115" i="27" s="1"/>
  <c r="CS115" i="27" a="1"/>
  <c r="CS115" i="27" s="1"/>
  <c r="CT115" i="27" a="1"/>
  <c r="CT115" i="27" s="1"/>
  <c r="CM134" i="27" a="1"/>
  <c r="CM134" i="27" s="1"/>
  <c r="CK134" i="27" a="1"/>
  <c r="CK134" i="27" s="1"/>
  <c r="CV134" i="27" a="1"/>
  <c r="CV134" i="27" s="1"/>
  <c r="CC134" i="27" a="1"/>
  <c r="CC134" i="27" s="1"/>
  <c r="CI134" i="27" a="1"/>
  <c r="CI134" i="27" s="1"/>
  <c r="CE90" i="27" a="1"/>
  <c r="CE90" i="27" s="1"/>
  <c r="CC90" i="27" a="1"/>
  <c r="CC90" i="27" s="1"/>
  <c r="CK90" i="27" a="1"/>
  <c r="CK90" i="27" s="1"/>
  <c r="CU90" i="27" a="1"/>
  <c r="CU90" i="27" s="1"/>
  <c r="CQ90" i="27" a="1"/>
  <c r="CQ90" i="27" s="1"/>
  <c r="AA83" i="27" a="1"/>
  <c r="AA83" i="27" s="1"/>
  <c r="T83" i="27" a="1"/>
  <c r="T83" i="27" s="1"/>
  <c r="AA106" i="27" a="1"/>
  <c r="AA106" i="27" s="1"/>
  <c r="AF47" i="27" a="1"/>
  <c r="AF47" i="27" s="1"/>
  <c r="S47" i="27" a="1"/>
  <c r="S47" i="27" s="1"/>
  <c r="CH7" i="27" a="1"/>
  <c r="CH7" i="27" s="1"/>
  <c r="CM7" i="27" a="1"/>
  <c r="CM7" i="27" s="1"/>
  <c r="CF7" i="27" a="1"/>
  <c r="CF7" i="27" s="1"/>
  <c r="CT7" i="27" a="1"/>
  <c r="CT7" i="27" s="1"/>
  <c r="CI7" i="27" a="1"/>
  <c r="CI7" i="27" s="1"/>
  <c r="CQ34" i="27" a="1"/>
  <c r="CQ34" i="27" s="1"/>
  <c r="CR75" i="27" a="1"/>
  <c r="CR75" i="27" s="1"/>
  <c r="CP75" i="27" a="1"/>
  <c r="CP75" i="27" s="1"/>
  <c r="CO75" i="27" a="1"/>
  <c r="CO75" i="27" s="1"/>
  <c r="CF75" i="27" a="1"/>
  <c r="CF75" i="27" s="1"/>
  <c r="CB75" i="27" a="1"/>
  <c r="CB75" i="27" s="1"/>
  <c r="CR67" i="27" a="1"/>
  <c r="CR67" i="27" s="1"/>
  <c r="CS116" i="27" a="1"/>
  <c r="CS116" i="27" s="1"/>
  <c r="CI116" i="27" a="1"/>
  <c r="CI116" i="27" s="1"/>
  <c r="CR116" i="27" a="1"/>
  <c r="CR116" i="27" s="1"/>
  <c r="CG116" i="27" a="1"/>
  <c r="CG116" i="27" s="1"/>
  <c r="CV116" i="27" a="1"/>
  <c r="CV116" i="27" s="1"/>
  <c r="CF129" i="27" a="1"/>
  <c r="CF129" i="27" s="1"/>
  <c r="CJ129" i="27" a="1"/>
  <c r="CJ129" i="27" s="1"/>
  <c r="CK129" i="27" a="1"/>
  <c r="CK129" i="27" s="1"/>
  <c r="CL129" i="27" a="1"/>
  <c r="CL129" i="27" s="1"/>
  <c r="CP129" i="27" a="1"/>
  <c r="CP129" i="27" s="1"/>
  <c r="X26" i="27" a="1"/>
  <c r="X26" i="27" s="1"/>
  <c r="AF26" i="27" a="1"/>
  <c r="AF26" i="27" s="1"/>
  <c r="AC126" i="27" a="1"/>
  <c r="AC126" i="27" s="1"/>
  <c r="M126" i="27" a="1"/>
  <c r="M126" i="27" s="1"/>
  <c r="AE126" i="27" a="1"/>
  <c r="AE126" i="27" s="1"/>
  <c r="O126" i="27" a="1"/>
  <c r="O126" i="27" s="1"/>
  <c r="S126" i="27" a="1"/>
  <c r="S126" i="27" s="1"/>
  <c r="V126" i="27" a="1"/>
  <c r="V126" i="27" s="1"/>
  <c r="V30" i="27" a="1"/>
  <c r="V30" i="27" s="1"/>
  <c r="AC30" i="27" a="1"/>
  <c r="AC30" i="27" s="1"/>
  <c r="L30" i="27" a="1"/>
  <c r="L30" i="27" s="1"/>
  <c r="T30" i="27" a="1"/>
  <c r="T30" i="27" s="1"/>
  <c r="AE30" i="27" a="1"/>
  <c r="AE30" i="27" s="1"/>
  <c r="P30" i="27" a="1"/>
  <c r="P30" i="27" s="1"/>
  <c r="X25" i="27" a="1"/>
  <c r="X25" i="27" s="1"/>
  <c r="O25" i="27" a="1"/>
  <c r="O25" i="27" s="1"/>
  <c r="AI25" i="27" a="1"/>
  <c r="AI25" i="27" s="1"/>
  <c r="AH25" i="27" a="1"/>
  <c r="AH25" i="27" s="1"/>
  <c r="R25" i="27" a="1"/>
  <c r="R25" i="27" s="1"/>
  <c r="Y25" i="27" a="1"/>
  <c r="Y25" i="27" s="1"/>
  <c r="CK14" i="27" a="1"/>
  <c r="CK14" i="27" s="1"/>
  <c r="CJ14" i="27" a="1"/>
  <c r="CJ14" i="27" s="1"/>
  <c r="CT14" i="27" a="1"/>
  <c r="CT14" i="27" s="1"/>
  <c r="CN14" i="27" a="1"/>
  <c r="CN14" i="27" s="1"/>
  <c r="CO14" i="27" a="1"/>
  <c r="CO14" i="27" s="1"/>
  <c r="CI14" i="27" a="1"/>
  <c r="CI14" i="27" s="1"/>
  <c r="CB42" i="27" a="1"/>
  <c r="CB42" i="27" s="1"/>
  <c r="CL42" i="27" a="1"/>
  <c r="CL42" i="27" s="1"/>
  <c r="CU42" i="27" a="1"/>
  <c r="CU42" i="27" s="1"/>
  <c r="BY42" i="27" a="1"/>
  <c r="BY42" i="27" s="1"/>
  <c r="CP42" i="27" a="1"/>
  <c r="CP42" i="27" s="1"/>
  <c r="BZ42" i="27" a="1"/>
  <c r="BZ42" i="27" s="1"/>
  <c r="CM72" i="27" a="1"/>
  <c r="CM72" i="27" s="1"/>
  <c r="BZ72" i="27" a="1"/>
  <c r="BZ72" i="27" s="1"/>
  <c r="CK72" i="27" a="1"/>
  <c r="CK72" i="27" s="1"/>
  <c r="CJ72" i="27" a="1"/>
  <c r="CJ72" i="27" s="1"/>
  <c r="CL72" i="27" a="1"/>
  <c r="CL72" i="27" s="1"/>
  <c r="CI72" i="27" a="1"/>
  <c r="CI72" i="27" s="1"/>
  <c r="CO101" i="27" a="1"/>
  <c r="CO101" i="27" s="1"/>
  <c r="CB101" i="27" a="1"/>
  <c r="CB101" i="27" s="1"/>
  <c r="CH101" i="27" a="1"/>
  <c r="CH101" i="27" s="1"/>
  <c r="CV101" i="27" a="1"/>
  <c r="CV101" i="27" s="1"/>
  <c r="CU101" i="27" a="1"/>
  <c r="CU101" i="27" s="1"/>
  <c r="CM101" i="27" a="1"/>
  <c r="CM101" i="27" s="1"/>
  <c r="V83" i="27" a="1"/>
  <c r="V83" i="27" s="1"/>
  <c r="AF83" i="27" a="1"/>
  <c r="AF83" i="27" s="1"/>
  <c r="P83" i="27" a="1"/>
  <c r="P83" i="27" s="1"/>
  <c r="Z83" i="27" a="1"/>
  <c r="Z83" i="27" s="1"/>
  <c r="AG83" i="27" a="1"/>
  <c r="AG83" i="27" s="1"/>
  <c r="Q83" i="27" a="1"/>
  <c r="Q83" i="27" s="1"/>
  <c r="U106" i="27" a="1"/>
  <c r="U106" i="27" s="1"/>
  <c r="L106" i="27" a="1"/>
  <c r="L106" i="27" s="1"/>
  <c r="X106" i="27" a="1"/>
  <c r="X106" i="27" s="1"/>
  <c r="AC106" i="27" a="1"/>
  <c r="AC106" i="27" s="1"/>
  <c r="M106" i="27" a="1"/>
  <c r="M106" i="27" s="1"/>
  <c r="V106" i="27" a="1"/>
  <c r="V106" i="27" s="1"/>
  <c r="N47" i="27" a="1"/>
  <c r="N47" i="27" s="1"/>
  <c r="AB47" i="27" a="1"/>
  <c r="AB47" i="27" s="1"/>
  <c r="AI47" i="27" a="1"/>
  <c r="AI47" i="27" s="1"/>
  <c r="Q47" i="27" a="1"/>
  <c r="Q47" i="27" s="1"/>
  <c r="P47" i="27" a="1"/>
  <c r="P47" i="27" s="1"/>
  <c r="O47" i="27" a="1"/>
  <c r="O47" i="27" s="1"/>
  <c r="CB34" i="27" a="1"/>
  <c r="CB34" i="27" s="1"/>
  <c r="CG34" i="27" a="1"/>
  <c r="CG34" i="27" s="1"/>
  <c r="CT34" i="27" a="1"/>
  <c r="CT34" i="27" s="1"/>
  <c r="CF34" i="27" a="1"/>
  <c r="CF34" i="27" s="1"/>
  <c r="CK34" i="27" a="1"/>
  <c r="CK34" i="27" s="1"/>
  <c r="CP34" i="27" a="1"/>
  <c r="CP34" i="27" s="1"/>
  <c r="CN67" i="27" a="1"/>
  <c r="CN67" i="27" s="1"/>
  <c r="CP67" i="27" a="1"/>
  <c r="CP67" i="27" s="1"/>
  <c r="CS67" i="27" a="1"/>
  <c r="CS67" i="27" s="1"/>
  <c r="CI67" i="27" a="1"/>
  <c r="CI67" i="27" s="1"/>
  <c r="BY67" i="27" a="1"/>
  <c r="BY67" i="27" s="1"/>
  <c r="BZ67" i="27" a="1"/>
  <c r="BZ67" i="27" s="1"/>
  <c r="U26" i="27" a="1"/>
  <c r="U26" i="27" s="1"/>
  <c r="T26" i="27" a="1"/>
  <c r="T26" i="27" s="1"/>
  <c r="R26" i="27" a="1"/>
  <c r="R26" i="27" s="1"/>
  <c r="AC26" i="27" a="1"/>
  <c r="AC26" i="27" s="1"/>
  <c r="M26" i="27" a="1"/>
  <c r="M26" i="27" s="1"/>
  <c r="V26" i="27" a="1"/>
  <c r="V26" i="27" s="1"/>
  <c r="Z126" i="27" a="1"/>
  <c r="Z126" i="27" s="1"/>
  <c r="AF126" i="27" a="1"/>
  <c r="AF126" i="27" s="1"/>
  <c r="AB126" i="27" a="1"/>
  <c r="AB126" i="27" s="1"/>
  <c r="L126" i="27" a="1"/>
  <c r="L126" i="27" s="1"/>
  <c r="AG126" i="27" a="1"/>
  <c r="AG126" i="27" s="1"/>
  <c r="Q126" i="27" a="1"/>
  <c r="Q126" i="27" s="1"/>
  <c r="M30" i="27" a="1"/>
  <c r="M30" i="27" s="1"/>
  <c r="AG30" i="27" a="1"/>
  <c r="AG30" i="27" s="1"/>
  <c r="Y30" i="27" a="1"/>
  <c r="Y30" i="27" s="1"/>
  <c r="AF30" i="27" a="1"/>
  <c r="AF30" i="27" s="1"/>
  <c r="Q30" i="27" a="1"/>
  <c r="Q30" i="27" s="1"/>
  <c r="AA30" i="27" a="1"/>
  <c r="AA30" i="27" s="1"/>
  <c r="P25" i="27" a="1"/>
  <c r="P25" i="27" s="1"/>
  <c r="AB25" i="27" a="1"/>
  <c r="AB25" i="27" s="1"/>
  <c r="AA25" i="27" a="1"/>
  <c r="AA25" i="27" s="1"/>
  <c r="AD25" i="27" a="1"/>
  <c r="AD25" i="27" s="1"/>
  <c r="N25" i="27" a="1"/>
  <c r="N25" i="27" s="1"/>
  <c r="U25" i="27" a="1"/>
  <c r="U25" i="27" s="1"/>
  <c r="CR14" i="27" a="1"/>
  <c r="CR14" i="27" s="1"/>
  <c r="CL14" i="27" a="1"/>
  <c r="CL14" i="27" s="1"/>
  <c r="CM14" i="27" a="1"/>
  <c r="CM14" i="27" s="1"/>
  <c r="CV14" i="27" a="1"/>
  <c r="CV14" i="27" s="1"/>
  <c r="CH14" i="27" a="1"/>
  <c r="CH14" i="27" s="1"/>
  <c r="CQ14" i="27" a="1"/>
  <c r="CQ14" i="27" s="1"/>
  <c r="CC42" i="27" a="1"/>
  <c r="CC42" i="27" s="1"/>
  <c r="CR42" i="27" a="1"/>
  <c r="CR42" i="27" s="1"/>
  <c r="CT42" i="27" a="1"/>
  <c r="CT42" i="27" s="1"/>
  <c r="CF42" i="27" a="1"/>
  <c r="CF42" i="27" s="1"/>
  <c r="CG42" i="27" a="1"/>
  <c r="CG42" i="27" s="1"/>
  <c r="CA42" i="27" a="1"/>
  <c r="CA42" i="27" s="1"/>
  <c r="CO72" i="27" a="1"/>
  <c r="CO72" i="27" s="1"/>
  <c r="CC72" i="27" a="1"/>
  <c r="CC72" i="27" s="1"/>
  <c r="CB72" i="27" a="1"/>
  <c r="CB72" i="27" s="1"/>
  <c r="CV72" i="27" a="1"/>
  <c r="CV72" i="27" s="1"/>
  <c r="CG72" i="27" a="1"/>
  <c r="CG72" i="27" s="1"/>
  <c r="CD72" i="27" a="1"/>
  <c r="CD72" i="27" s="1"/>
  <c r="CD101" i="27" a="1"/>
  <c r="CD101" i="27" s="1"/>
  <c r="CI101" i="27" a="1"/>
  <c r="CI101" i="27" s="1"/>
  <c r="CL101" i="27" a="1"/>
  <c r="CL101" i="27" s="1"/>
  <c r="BZ101" i="27" a="1"/>
  <c r="BZ101" i="27" s="1"/>
  <c r="CN101" i="27" a="1"/>
  <c r="CN101" i="27" s="1"/>
  <c r="CE101" i="27" a="1"/>
  <c r="CE101" i="27" s="1"/>
  <c r="AD83" i="27" a="1"/>
  <c r="AD83" i="27" s="1"/>
  <c r="AC83" i="27" a="1"/>
  <c r="AC83" i="27" s="1"/>
  <c r="M83" i="27" a="1"/>
  <c r="M83" i="27" s="1"/>
  <c r="W83" i="27" a="1"/>
  <c r="W83" i="27" s="1"/>
  <c r="AB83" i="27" a="1"/>
  <c r="AB83" i="27" s="1"/>
  <c r="L83" i="27" a="1"/>
  <c r="L83" i="27" s="1"/>
  <c r="AB106" i="27" a="1"/>
  <c r="AB106" i="27" s="1"/>
  <c r="AH106" i="27" a="1"/>
  <c r="AH106" i="27" s="1"/>
  <c r="R106" i="27" a="1"/>
  <c r="R106" i="27" s="1"/>
  <c r="W106" i="27" a="1"/>
  <c r="W106" i="27" s="1"/>
  <c r="AI106" i="27" a="1"/>
  <c r="AI106" i="27" s="1"/>
  <c r="S106" i="27" a="1"/>
  <c r="S106" i="27" s="1"/>
  <c r="AC47" i="27" a="1"/>
  <c r="AC47" i="27" s="1"/>
  <c r="W47" i="27" a="1"/>
  <c r="W47" i="27" s="1"/>
  <c r="AE47" i="27" a="1"/>
  <c r="AE47" i="27" s="1"/>
  <c r="AH47" i="27" a="1"/>
  <c r="AH47" i="27" s="1"/>
  <c r="AD47" i="27" a="1"/>
  <c r="AD47" i="27" s="1"/>
  <c r="L47" i="27" a="1"/>
  <c r="L47" i="27" s="1"/>
  <c r="CR34" i="27" a="1"/>
  <c r="CR34" i="27" s="1"/>
  <c r="CO34" i="27" a="1"/>
  <c r="CO34" i="27" s="1"/>
  <c r="CA34" i="27" a="1"/>
  <c r="CA34" i="27" s="1"/>
  <c r="CN34" i="27" a="1"/>
  <c r="CN34" i="27" s="1"/>
  <c r="CS34" i="27" a="1"/>
  <c r="CS34" i="27" s="1"/>
  <c r="BY34" i="27" a="1"/>
  <c r="BY34" i="27" s="1"/>
  <c r="CL67" i="27" a="1"/>
  <c r="CL67" i="27" s="1"/>
  <c r="CV67" i="27" a="1"/>
  <c r="CV67" i="27" s="1"/>
  <c r="CB67" i="27" a="1"/>
  <c r="CB67" i="27" s="1"/>
  <c r="CK67" i="27" a="1"/>
  <c r="CK67" i="27" s="1"/>
  <c r="CA67" i="27" a="1"/>
  <c r="CA67" i="27" s="1"/>
  <c r="CU67" i="27" a="1"/>
  <c r="CU67" i="27" s="1"/>
  <c r="O26" i="27" a="1"/>
  <c r="O26" i="27" s="1"/>
  <c r="N26" i="27" a="1"/>
  <c r="N26" i="27" s="1"/>
  <c r="AD26" i="27" a="1"/>
  <c r="AD26" i="27" s="1"/>
  <c r="Z26" i="27" a="1"/>
  <c r="Z26" i="27" s="1"/>
  <c r="AI26" i="27" a="1"/>
  <c r="AI26" i="27" s="1"/>
  <c r="S26" i="27" a="1"/>
  <c r="S26" i="27" s="1"/>
  <c r="U126" i="27" a="1"/>
  <c r="U126" i="27" s="1"/>
  <c r="X126" i="27" a="1"/>
  <c r="X126" i="27" s="1"/>
  <c r="W126" i="27" a="1"/>
  <c r="W126" i="27" s="1"/>
  <c r="AI126" i="27" a="1"/>
  <c r="AI126" i="27" s="1"/>
  <c r="AD126" i="27" a="1"/>
  <c r="AD126" i="27" s="1"/>
  <c r="Z30" i="27" a="1"/>
  <c r="Z30" i="27" s="1"/>
  <c r="R30" i="27" a="1"/>
  <c r="R30" i="27" s="1"/>
  <c r="U30" i="27" a="1"/>
  <c r="U30" i="27" s="1"/>
  <c r="AB30" i="27" a="1"/>
  <c r="AB30" i="27" s="1"/>
  <c r="N30" i="27" a="1"/>
  <c r="N30" i="27" s="1"/>
  <c r="AE25" i="27" a="1"/>
  <c r="AE25" i="27" s="1"/>
  <c r="T25" i="27" a="1"/>
  <c r="T25" i="27" s="1"/>
  <c r="S25" i="27" a="1"/>
  <c r="S25" i="27" s="1"/>
  <c r="Z25" i="27" a="1"/>
  <c r="Z25" i="27" s="1"/>
  <c r="AG25" i="27" a="1"/>
  <c r="AG25" i="27" s="1"/>
  <c r="CS14" i="27" a="1"/>
  <c r="CS14" i="27" s="1"/>
  <c r="CE14" i="27" a="1"/>
  <c r="CE14" i="27" s="1"/>
  <c r="CU14" i="27" a="1"/>
  <c r="CU14" i="27" s="1"/>
  <c r="BY14" i="27" a="1"/>
  <c r="BY14" i="27" s="1"/>
  <c r="CP14" i="27" a="1"/>
  <c r="CP14" i="27" s="1"/>
  <c r="CJ42" i="27" a="1"/>
  <c r="CJ42" i="27" s="1"/>
  <c r="CS42" i="27" a="1"/>
  <c r="CS42" i="27" s="1"/>
  <c r="CE42" i="27" a="1"/>
  <c r="CE42" i="27" s="1"/>
  <c r="CN42" i="27" a="1"/>
  <c r="CN42" i="27" s="1"/>
  <c r="CO42" i="27" a="1"/>
  <c r="CO42" i="27" s="1"/>
  <c r="CR72" i="27" a="1"/>
  <c r="CR72" i="27" s="1"/>
  <c r="CP72" i="27" a="1"/>
  <c r="CP72" i="27" s="1"/>
  <c r="BY72" i="27" a="1"/>
  <c r="BY72" i="27" s="1"/>
  <c r="CN72" i="27" a="1"/>
  <c r="CN72" i="27" s="1"/>
  <c r="CS72" i="27" a="1"/>
  <c r="CS72" i="27" s="1"/>
  <c r="CG101" i="27" a="1"/>
  <c r="CG101" i="27" s="1"/>
  <c r="CR101" i="27" a="1"/>
  <c r="CR101" i="27" s="1"/>
  <c r="CQ101" i="27" a="1"/>
  <c r="CQ101" i="27" s="1"/>
  <c r="CT101" i="27" a="1"/>
  <c r="CT101" i="27" s="1"/>
  <c r="CF101" i="27" a="1"/>
  <c r="CF101" i="27" s="1"/>
  <c r="AI83" i="27" a="1"/>
  <c r="AI83" i="27" s="1"/>
  <c r="S83" i="27" a="1"/>
  <c r="S83" i="27" s="1"/>
  <c r="X83" i="27" a="1"/>
  <c r="X83" i="27" s="1"/>
  <c r="AH83" i="27" a="1"/>
  <c r="AH83" i="27" s="1"/>
  <c r="R83" i="27" a="1"/>
  <c r="R83" i="27" s="1"/>
  <c r="O106" i="27" a="1"/>
  <c r="O106" i="27" s="1"/>
  <c r="AD106" i="27" a="1"/>
  <c r="AD106" i="27" s="1"/>
  <c r="N106" i="27" a="1"/>
  <c r="N106" i="27" s="1"/>
  <c r="T106" i="27" a="1"/>
  <c r="T106" i="27" s="1"/>
  <c r="AF106" i="27" a="1"/>
  <c r="AF106" i="27" s="1"/>
  <c r="T47" i="27" a="1"/>
  <c r="T47" i="27" s="1"/>
  <c r="X47" i="27" a="1"/>
  <c r="X47" i="27" s="1"/>
  <c r="R47" i="27" a="1"/>
  <c r="R47" i="27" s="1"/>
  <c r="AA47" i="27" a="1"/>
  <c r="AA47" i="27" s="1"/>
  <c r="Y47" i="27" a="1"/>
  <c r="Y47" i="27" s="1"/>
  <c r="CU34" i="27" a="1"/>
  <c r="CU34" i="27" s="1"/>
  <c r="CM34" i="27" a="1"/>
  <c r="CM34" i="27" s="1"/>
  <c r="CD34" i="27" a="1"/>
  <c r="CD34" i="27" s="1"/>
  <c r="CI34" i="27" a="1"/>
  <c r="CI34" i="27" s="1"/>
  <c r="CV34" i="27" a="1"/>
  <c r="CV34" i="27" s="1"/>
  <c r="CD67" i="27" a="1"/>
  <c r="CD67" i="27" s="1"/>
  <c r="CT67" i="27" a="1"/>
  <c r="CT67" i="27" s="1"/>
  <c r="CJ67" i="27" a="1"/>
  <c r="CJ67" i="27" s="1"/>
  <c r="CC67" i="27" a="1"/>
  <c r="CC67" i="27" s="1"/>
  <c r="CO67" i="27" a="1"/>
  <c r="CO67" i="27" s="1"/>
  <c r="AG26" i="27" a="1"/>
  <c r="AG26" i="27" s="1"/>
  <c r="AE26" i="27" a="1"/>
  <c r="AE26" i="27" s="1"/>
  <c r="Q26" i="27" a="1"/>
  <c r="Q26" i="27" s="1"/>
  <c r="W26" i="27" a="1"/>
  <c r="W26" i="27" s="1"/>
  <c r="AB26" i="27" a="1"/>
  <c r="AB26" i="27" s="1"/>
  <c r="CG9" i="27" a="1"/>
  <c r="CG9" i="27" s="1"/>
  <c r="CU9" i="27" a="1"/>
  <c r="CU9" i="27" s="1"/>
  <c r="CF9" i="27" a="1"/>
  <c r="CF9" i="27" s="1"/>
  <c r="CT9" i="27" a="1"/>
  <c r="CT9" i="27" s="1"/>
  <c r="CI9" i="27" a="1"/>
  <c r="CI9" i="27" s="1"/>
  <c r="CG25" i="27" a="1"/>
  <c r="CG25" i="27" s="1"/>
  <c r="CU25" i="27" a="1"/>
  <c r="CU25" i="27" s="1"/>
  <c r="CV25" i="27" a="1"/>
  <c r="CV25" i="27" s="1"/>
  <c r="CQ25" i="27" a="1"/>
  <c r="CQ25" i="27" s="1"/>
  <c r="CB25" i="27" a="1"/>
  <c r="CB25" i="27" s="1"/>
  <c r="CD66" i="27" a="1"/>
  <c r="CD66" i="27" s="1"/>
  <c r="CF66" i="27" a="1"/>
  <c r="CF66" i="27" s="1"/>
  <c r="CH66" i="27" a="1"/>
  <c r="CH66" i="27" s="1"/>
  <c r="CO66" i="27" a="1"/>
  <c r="CO66" i="27" s="1"/>
  <c r="CS66" i="27" a="1"/>
  <c r="CS66" i="27" s="1"/>
  <c r="CG126" i="27" a="1"/>
  <c r="CG126" i="27" s="1"/>
  <c r="CF126" i="27" a="1"/>
  <c r="CF126" i="27" s="1"/>
  <c r="CE126" i="27" a="1"/>
  <c r="CE126" i="27" s="1"/>
  <c r="CB126" i="27" a="1"/>
  <c r="CB126" i="27" s="1"/>
  <c r="CC126" i="27" a="1"/>
  <c r="CC126" i="27" s="1"/>
  <c r="DO6" i="27"/>
  <c r="DL6" i="27"/>
  <c r="Y114" i="27" a="1"/>
  <c r="Y114" i="27" s="1"/>
  <c r="O114" i="27" a="1"/>
  <c r="O114" i="27" s="1"/>
  <c r="AE114" i="27" a="1"/>
  <c r="AE114" i="27" s="1"/>
  <c r="Z114" i="27" a="1"/>
  <c r="Z114" i="27" s="1"/>
  <c r="AF114" i="27" a="1"/>
  <c r="AF114" i="27" s="1"/>
  <c r="AA114" i="27" a="1"/>
  <c r="AA114" i="27" s="1"/>
  <c r="N114" i="27" a="1"/>
  <c r="N114" i="27" s="1"/>
  <c r="AD114" i="27" a="1"/>
  <c r="AD114" i="27" s="1"/>
  <c r="T114" i="27" a="1"/>
  <c r="T114" i="27" s="1"/>
  <c r="M114" i="27" a="1"/>
  <c r="M114" i="27" s="1"/>
  <c r="AC114" i="27" a="1"/>
  <c r="AC114" i="27" s="1"/>
  <c r="X114" i="27" a="1"/>
  <c r="X114" i="27" s="1"/>
  <c r="Q114" i="27" a="1"/>
  <c r="Q114" i="27" s="1"/>
  <c r="AG114" i="27" a="1"/>
  <c r="AG114" i="27" s="1"/>
  <c r="W114" i="27" a="1"/>
  <c r="W114" i="27" s="1"/>
  <c r="R114" i="27" a="1"/>
  <c r="R114" i="27" s="1"/>
  <c r="AH114" i="27" a="1"/>
  <c r="AH114" i="27" s="1"/>
  <c r="AI114" i="27" a="1"/>
  <c r="AI114" i="27" s="1"/>
  <c r="L50" i="27" a="1"/>
  <c r="L50" i="27" s="1"/>
  <c r="AB50" i="27" a="1"/>
  <c r="AB50" i="27" s="1"/>
  <c r="W50" i="27" a="1"/>
  <c r="W50" i="27" s="1"/>
  <c r="M50" i="27" a="1"/>
  <c r="M50" i="27" s="1"/>
  <c r="AC50" i="27" a="1"/>
  <c r="AC50" i="27" s="1"/>
  <c r="V50" i="27" a="1"/>
  <c r="V50" i="27" s="1"/>
  <c r="Q50" i="27" a="1"/>
  <c r="Q50" i="27" s="1"/>
  <c r="AG50" i="27" a="1"/>
  <c r="AG50" i="27" s="1"/>
  <c r="Z50" i="27" a="1"/>
  <c r="Z50" i="27" s="1"/>
  <c r="P50" i="27" a="1"/>
  <c r="P50" i="27" s="1"/>
  <c r="AF50" i="27" a="1"/>
  <c r="AF50" i="27" s="1"/>
  <c r="N50" i="27" a="1"/>
  <c r="N50" i="27" s="1"/>
  <c r="T50" i="27" a="1"/>
  <c r="T50" i="27" s="1"/>
  <c r="O50" i="27" a="1"/>
  <c r="O50" i="27" s="1"/>
  <c r="AE50" i="27" a="1"/>
  <c r="AE50" i="27" s="1"/>
  <c r="U50" i="27" a="1"/>
  <c r="U50" i="27" s="1"/>
  <c r="S50" i="27" a="1"/>
  <c r="S50" i="27" s="1"/>
  <c r="AI50" i="27" a="1"/>
  <c r="AI50" i="27" s="1"/>
  <c r="P46" i="27" a="1"/>
  <c r="P46" i="27" s="1"/>
  <c r="AF46" i="27" a="1"/>
  <c r="AF46" i="27" s="1"/>
  <c r="W46" i="27" a="1"/>
  <c r="W46" i="27" s="1"/>
  <c r="AA46" i="27" a="1"/>
  <c r="AA46" i="27" s="1"/>
  <c r="Z115" i="27" a="1"/>
  <c r="Z115" i="27" s="1"/>
  <c r="S115" i="27" a="1"/>
  <c r="S115" i="27" s="1"/>
  <c r="AI115" i="27" a="1"/>
  <c r="AI115" i="27" s="1"/>
  <c r="Y115" i="27" a="1"/>
  <c r="Y115" i="27" s="1"/>
  <c r="AE115" i="27" a="1"/>
  <c r="AE115" i="27" s="1"/>
  <c r="O115" i="27" a="1"/>
  <c r="O115" i="27" s="1"/>
  <c r="M29" i="27" a="1"/>
  <c r="M29" i="27" s="1"/>
  <c r="N29" i="27" a="1"/>
  <c r="N29" i="27" s="1"/>
  <c r="AG29" i="27" a="1"/>
  <c r="AG29" i="27" s="1"/>
  <c r="L29" i="27" a="1"/>
  <c r="L29" i="27" s="1"/>
  <c r="X29" i="27" a="1"/>
  <c r="X29" i="27" s="1"/>
  <c r="AB29" i="27" a="1"/>
  <c r="AB29" i="27" s="1"/>
  <c r="AF29" i="27" a="1"/>
  <c r="AF29" i="27" s="1"/>
  <c r="AE29" i="27" a="1"/>
  <c r="AE29" i="27" s="1"/>
  <c r="R129" i="27" a="1"/>
  <c r="R129" i="27" s="1"/>
  <c r="AC129" i="27" a="1"/>
  <c r="AC129" i="27" s="1"/>
  <c r="AA129" i="27" a="1"/>
  <c r="AA129" i="27" s="1"/>
  <c r="Q129" i="27" a="1"/>
  <c r="Q129" i="27" s="1"/>
  <c r="L129" i="27" a="1"/>
  <c r="L129" i="27" s="1"/>
  <c r="M129" i="27" a="1"/>
  <c r="M129" i="27" s="1"/>
  <c r="T129" i="27" a="1"/>
  <c r="T129" i="27" s="1"/>
  <c r="AF129" i="27" a="1"/>
  <c r="AF129" i="27" s="1"/>
  <c r="V129" i="27" a="1"/>
  <c r="V129" i="27" s="1"/>
  <c r="W129" i="27" a="1"/>
  <c r="W129" i="27" s="1"/>
  <c r="U129" i="27" a="1"/>
  <c r="U129" i="27" s="1"/>
  <c r="P129" i="27" a="1"/>
  <c r="P129" i="27" s="1"/>
  <c r="AI129" i="27" a="1"/>
  <c r="AI129" i="27" s="1"/>
  <c r="AD129" i="27" a="1"/>
  <c r="AD129" i="27" s="1"/>
  <c r="AB129" i="27" a="1"/>
  <c r="AB129" i="27" s="1"/>
  <c r="V122" i="27" a="1"/>
  <c r="V122" i="27" s="1"/>
  <c r="M122" i="27" a="1"/>
  <c r="M122" i="27" s="1"/>
  <c r="AC122" i="27" a="1"/>
  <c r="AC122" i="27" s="1"/>
  <c r="AI122" i="27" a="1"/>
  <c r="AI122" i="27" s="1"/>
  <c r="P122" i="27" a="1"/>
  <c r="P122" i="27" s="1"/>
  <c r="W122" i="27" a="1"/>
  <c r="W122" i="27" s="1"/>
  <c r="Y122" i="27" a="1"/>
  <c r="Y122" i="27" s="1"/>
  <c r="R122" i="27" a="1"/>
  <c r="R122" i="27" s="1"/>
  <c r="AH122" i="27" a="1"/>
  <c r="AH122" i="27" s="1"/>
  <c r="O122" i="27" a="1"/>
  <c r="O122" i="27" s="1"/>
  <c r="AA122" i="27" a="1"/>
  <c r="AA122" i="27" s="1"/>
  <c r="AB122" i="27" a="1"/>
  <c r="AB122" i="27" s="1"/>
  <c r="N122" i="27" a="1"/>
  <c r="N122" i="27" s="1"/>
  <c r="AD122" i="27" a="1"/>
  <c r="AD122" i="27" s="1"/>
  <c r="U122" i="27" a="1"/>
  <c r="U122" i="27" s="1"/>
  <c r="S122" i="27" a="1"/>
  <c r="S122" i="27" s="1"/>
  <c r="T122" i="27" a="1"/>
  <c r="T122" i="27" s="1"/>
  <c r="AF122" i="27" a="1"/>
  <c r="AF122" i="27" s="1"/>
  <c r="S42" i="27" a="1"/>
  <c r="S42" i="27" s="1"/>
  <c r="N42" i="27" a="1"/>
  <c r="N42" i="27" s="1"/>
  <c r="AG42" i="27" a="1"/>
  <c r="AG42" i="27" s="1"/>
  <c r="M42" i="27" a="1"/>
  <c r="M42" i="27" s="1"/>
  <c r="AE42" i="27" a="1"/>
  <c r="AE42" i="27" s="1"/>
  <c r="U42" i="27" a="1"/>
  <c r="U42" i="27" s="1"/>
  <c r="P42" i="27" a="1"/>
  <c r="P42" i="27" s="1"/>
  <c r="V42" i="27" a="1"/>
  <c r="V42" i="27" s="1"/>
  <c r="O42" i="27" a="1"/>
  <c r="O42" i="27" s="1"/>
  <c r="AI42" i="27" a="1"/>
  <c r="AI42" i="27" s="1"/>
  <c r="X42" i="27" a="1"/>
  <c r="X42" i="27" s="1"/>
  <c r="Y42" i="27" a="1"/>
  <c r="Y42" i="27" s="1"/>
  <c r="T42" i="27" a="1"/>
  <c r="T42" i="27" s="1"/>
  <c r="R42" i="27" a="1"/>
  <c r="R42" i="27" s="1"/>
  <c r="U63" i="27" a="1"/>
  <c r="U63" i="27" s="1"/>
  <c r="P63" i="27" a="1"/>
  <c r="P63" i="27" s="1"/>
  <c r="AF63" i="27" a="1"/>
  <c r="AF63" i="27" s="1"/>
  <c r="T63" i="27" a="1"/>
  <c r="T63" i="27" s="1"/>
  <c r="AH63" i="27" a="1"/>
  <c r="AH63" i="27" s="1"/>
  <c r="R63" i="27" a="1"/>
  <c r="R63" i="27" s="1"/>
  <c r="Y63" i="27" a="1"/>
  <c r="Y63" i="27" s="1"/>
  <c r="S63" i="27" a="1"/>
  <c r="S63" i="27" s="1"/>
  <c r="AI63" i="27" a="1"/>
  <c r="AI63" i="27" s="1"/>
  <c r="W63" i="27" a="1"/>
  <c r="W63" i="27" s="1"/>
  <c r="X63" i="27" a="1"/>
  <c r="X63" i="27" s="1"/>
  <c r="AD63" i="27" a="1"/>
  <c r="AD63" i="27" s="1"/>
  <c r="L63" i="27" a="1"/>
  <c r="L63" i="27" s="1"/>
  <c r="AB63" i="27" a="1"/>
  <c r="AB63" i="27" s="1"/>
  <c r="V63" i="27" a="1"/>
  <c r="V63" i="27" s="1"/>
  <c r="M63" i="27" a="1"/>
  <c r="M63" i="27" s="1"/>
  <c r="AC63" i="27" a="1"/>
  <c r="AC63" i="27" s="1"/>
  <c r="N63" i="27" a="1"/>
  <c r="N63" i="27" s="1"/>
  <c r="CN29" i="27" a="1"/>
  <c r="CN29" i="27" s="1"/>
  <c r="CU29" i="27" a="1"/>
  <c r="CU29" i="27" s="1"/>
  <c r="BY29" i="27" a="1"/>
  <c r="BY29" i="27" s="1"/>
  <c r="CJ29" i="27" a="1"/>
  <c r="CJ29" i="27" s="1"/>
  <c r="CQ29" i="27" a="1"/>
  <c r="CQ29" i="27" s="1"/>
  <c r="CS29" i="27" a="1"/>
  <c r="CS29" i="27" s="1"/>
  <c r="CV29" i="27" a="1"/>
  <c r="CV29" i="27" s="1"/>
  <c r="BZ29" i="27" a="1"/>
  <c r="BZ29" i="27" s="1"/>
  <c r="CG29" i="27" a="1"/>
  <c r="CG29" i="27" s="1"/>
  <c r="CR29" i="27" a="1"/>
  <c r="CR29" i="27" s="1"/>
  <c r="CD29" i="27" a="1"/>
  <c r="CD29" i="27" s="1"/>
  <c r="CT29" i="27" a="1"/>
  <c r="CT29" i="27" s="1"/>
  <c r="CE29" i="27" a="1"/>
  <c r="CE29" i="27" s="1"/>
  <c r="CH29" i="27" a="1"/>
  <c r="CH29" i="27" s="1"/>
  <c r="CO29" i="27" a="1"/>
  <c r="CO29" i="27" s="1"/>
  <c r="CA29" i="27" a="1"/>
  <c r="CA29" i="27" s="1"/>
  <c r="CK29" i="27" a="1"/>
  <c r="CK29" i="27" s="1"/>
  <c r="CC29" i="27" a="1"/>
  <c r="CC29" i="27" s="1"/>
  <c r="CT132" i="27" a="1"/>
  <c r="CT132" i="27" s="1"/>
  <c r="CK132" i="27" a="1"/>
  <c r="CK132" i="27" s="1"/>
  <c r="CE132" i="27" a="1"/>
  <c r="CE132" i="27" s="1"/>
  <c r="CN132" i="27" a="1"/>
  <c r="CN132" i="27" s="1"/>
  <c r="CR132" i="27" a="1"/>
  <c r="CR132" i="27" s="1"/>
  <c r="CI132" i="27" a="1"/>
  <c r="CI132" i="27" s="1"/>
  <c r="CL132" i="27" a="1"/>
  <c r="CL132" i="27" s="1"/>
  <c r="CS132" i="27" a="1"/>
  <c r="CS132" i="27" s="1"/>
  <c r="CM132" i="27" a="1"/>
  <c r="CM132" i="27" s="1"/>
  <c r="BY132" i="27" a="1"/>
  <c r="BY132" i="27" s="1"/>
  <c r="CH132" i="27" a="1"/>
  <c r="CH132" i="27" s="1"/>
  <c r="CQ132" i="27" a="1"/>
  <c r="CQ132" i="27" s="1"/>
  <c r="CD132" i="27" a="1"/>
  <c r="CD132" i="27" s="1"/>
  <c r="CB132" i="27" a="1"/>
  <c r="CB132" i="27" s="1"/>
  <c r="CU132" i="27" a="1"/>
  <c r="CU132" i="27" s="1"/>
  <c r="CG132" i="27" a="1"/>
  <c r="CG132" i="27" s="1"/>
  <c r="CF132" i="27" a="1"/>
  <c r="CF132" i="27" s="1"/>
  <c r="CJ132" i="27" a="1"/>
  <c r="CJ132" i="27" s="1"/>
  <c r="CB58" i="27" a="1"/>
  <c r="CB58" i="27" s="1"/>
  <c r="CO58" i="27" a="1"/>
  <c r="CO58" i="27" s="1"/>
  <c r="CL58" i="27" a="1"/>
  <c r="CL58" i="27" s="1"/>
  <c r="CK58" i="27" a="1"/>
  <c r="CK58" i="27" s="1"/>
  <c r="CN58" i="27" a="1"/>
  <c r="CN58" i="27" s="1"/>
  <c r="CS58" i="27" a="1"/>
  <c r="CS58" i="27" s="1"/>
  <c r="CJ58" i="27" a="1"/>
  <c r="CJ58" i="27" s="1"/>
  <c r="CC58" i="27" a="1"/>
  <c r="CC58" i="27" s="1"/>
  <c r="CT58" i="27" a="1"/>
  <c r="CT58" i="27" s="1"/>
  <c r="CH58" i="27" a="1"/>
  <c r="CH58" i="27" s="1"/>
  <c r="CV58" i="27" a="1"/>
  <c r="CV58" i="27" s="1"/>
  <c r="BZ58" i="27" a="1"/>
  <c r="BZ58" i="27" s="1"/>
  <c r="CR58" i="27" a="1"/>
  <c r="CR58" i="27" s="1"/>
  <c r="CA58" i="27" a="1"/>
  <c r="CA58" i="27" s="1"/>
  <c r="CQ58" i="27" a="1"/>
  <c r="CQ58" i="27" s="1"/>
  <c r="CU58" i="27" a="1"/>
  <c r="CU58" i="27" s="1"/>
  <c r="BY58" i="27" a="1"/>
  <c r="BY58" i="27" s="1"/>
  <c r="CG58" i="27" a="1"/>
  <c r="CG58" i="27" s="1"/>
  <c r="CS123" i="27" a="1"/>
  <c r="CS123" i="27" s="1"/>
  <c r="CD123" i="27" a="1"/>
  <c r="CD123" i="27" s="1"/>
  <c r="CA123" i="27" a="1"/>
  <c r="CA123" i="27" s="1"/>
  <c r="CJ123" i="27" a="1"/>
  <c r="CJ123" i="27" s="1"/>
  <c r="CR123" i="27" a="1"/>
  <c r="CR123" i="27" s="1"/>
  <c r="CF123" i="27" a="1"/>
  <c r="CF123" i="27" s="1"/>
  <c r="CQ123" i="27" a="1"/>
  <c r="CQ123" i="27" s="1"/>
  <c r="CC123" i="27" a="1"/>
  <c r="CC123" i="27" s="1"/>
  <c r="CU123" i="27" a="1"/>
  <c r="CU123" i="27" s="1"/>
  <c r="CG123" i="27" a="1"/>
  <c r="CG123" i="27" s="1"/>
  <c r="Z100" i="27" a="1"/>
  <c r="Z100" i="27" s="1"/>
  <c r="P100" i="27" a="1"/>
  <c r="P100" i="27" s="1"/>
  <c r="AF100" i="27" a="1"/>
  <c r="AF100" i="27" s="1"/>
  <c r="AA100" i="27" a="1"/>
  <c r="AA100" i="27" s="1"/>
  <c r="AB100" i="27" a="1"/>
  <c r="AB100" i="27" s="1"/>
  <c r="Y100" i="27" a="1"/>
  <c r="Y100" i="27" s="1"/>
  <c r="O100" i="27" a="1"/>
  <c r="O100" i="27" s="1"/>
  <c r="AE100" i="27" a="1"/>
  <c r="AE100" i="27" s="1"/>
  <c r="U100" i="27" a="1"/>
  <c r="U100" i="27" s="1"/>
  <c r="N100" i="27" a="1"/>
  <c r="N100" i="27" s="1"/>
  <c r="AD100" i="27" a="1"/>
  <c r="AD100" i="27" s="1"/>
  <c r="T100" i="27" a="1"/>
  <c r="T100" i="27" s="1"/>
  <c r="R100" i="27" a="1"/>
  <c r="R100" i="27" s="1"/>
  <c r="AH100" i="27" a="1"/>
  <c r="AH100" i="27" s="1"/>
  <c r="X100" i="27" a="1"/>
  <c r="X100" i="27" s="1"/>
  <c r="S100" i="27" a="1"/>
  <c r="S100" i="27" s="1"/>
  <c r="AI100" i="27" a="1"/>
  <c r="AI100" i="27" s="1"/>
  <c r="L100" i="27" a="1"/>
  <c r="L100" i="27" s="1"/>
  <c r="CD80" i="27" a="1"/>
  <c r="CD80" i="27" s="1"/>
  <c r="CE80" i="27" a="1"/>
  <c r="CE80" i="27" s="1"/>
  <c r="CN80" i="27" a="1"/>
  <c r="CN80" i="27" s="1"/>
  <c r="CS80" i="27" a="1"/>
  <c r="CS80" i="27" s="1"/>
  <c r="CH80" i="27" a="1"/>
  <c r="CH80" i="27" s="1"/>
  <c r="CU80" i="27" a="1"/>
  <c r="CU80" i="27" s="1"/>
  <c r="CL80" i="27" a="1"/>
  <c r="CL80" i="27" s="1"/>
  <c r="CK80" i="27" a="1"/>
  <c r="CK80" i="27" s="1"/>
  <c r="CV80" i="27" a="1"/>
  <c r="CV80" i="27" s="1"/>
  <c r="CB80" i="27" a="1"/>
  <c r="CB80" i="27" s="1"/>
  <c r="CP80" i="27" a="1"/>
  <c r="CP80" i="27" s="1"/>
  <c r="CR80" i="27" a="1"/>
  <c r="CR80" i="27" s="1"/>
  <c r="CT80" i="27" a="1"/>
  <c r="CT80" i="27" s="1"/>
  <c r="CJ80" i="27" a="1"/>
  <c r="CJ80" i="27" s="1"/>
  <c r="BY80" i="27" a="1"/>
  <c r="BY80" i="27" s="1"/>
  <c r="CI80" i="27" a="1"/>
  <c r="CI80" i="27" s="1"/>
  <c r="CA80" i="27" a="1"/>
  <c r="CA80" i="27" s="1"/>
  <c r="CO80" i="27" a="1"/>
  <c r="CO80" i="27" s="1"/>
  <c r="CT107" i="27" a="1"/>
  <c r="CT107" i="27" s="1"/>
  <c r="CF107" i="27" a="1"/>
  <c r="CF107" i="27" s="1"/>
  <c r="CG107" i="27" a="1"/>
  <c r="CG107" i="27" s="1"/>
  <c r="CP107" i="27" a="1"/>
  <c r="CP107" i="27" s="1"/>
  <c r="CB107" i="27" a="1"/>
  <c r="CB107" i="27" s="1"/>
  <c r="CE107" i="27" a="1"/>
  <c r="CE107" i="27" s="1"/>
  <c r="CS107" i="27" a="1"/>
  <c r="CS107" i="27" s="1"/>
  <c r="CN107" i="27" a="1"/>
  <c r="CN107" i="27" s="1"/>
  <c r="CU107" i="27" a="1"/>
  <c r="CU107" i="27" s="1"/>
  <c r="CC107" i="27" a="1"/>
  <c r="CC107" i="27" s="1"/>
  <c r="CR107" i="27" a="1"/>
  <c r="CR107" i="27" s="1"/>
  <c r="CJ107" i="27" a="1"/>
  <c r="CJ107" i="27" s="1"/>
  <c r="CD107" i="27" a="1"/>
  <c r="CD107" i="27" s="1"/>
  <c r="BY107" i="27" a="1"/>
  <c r="BY107" i="27" s="1"/>
  <c r="CV107" i="27" a="1"/>
  <c r="CV107" i="27" s="1"/>
  <c r="BZ107" i="27" a="1"/>
  <c r="BZ107" i="27" s="1"/>
  <c r="CI107" i="27" a="1"/>
  <c r="CI107" i="27" s="1"/>
  <c r="CK107" i="27" a="1"/>
  <c r="CK107" i="27" s="1"/>
  <c r="P61" i="27" a="1"/>
  <c r="P61" i="27" s="1"/>
  <c r="AC61" i="27" a="1"/>
  <c r="AC61" i="27" s="1"/>
  <c r="L61" i="27" a="1"/>
  <c r="L61" i="27" s="1"/>
  <c r="T61" i="27" a="1"/>
  <c r="T61" i="27" s="1"/>
  <c r="AE61" i="27" a="1"/>
  <c r="AE61" i="27" s="1"/>
  <c r="S61" i="27" a="1"/>
  <c r="S61" i="27" s="1"/>
  <c r="AF32" i="27" a="1"/>
  <c r="AF32" i="27" s="1"/>
  <c r="AE32" i="27" a="1"/>
  <c r="AE32" i="27" s="1"/>
  <c r="AC32" i="27" a="1"/>
  <c r="AC32" i="27" s="1"/>
  <c r="O32" i="27" a="1"/>
  <c r="O32" i="27" s="1"/>
  <c r="U32" i="27" a="1"/>
  <c r="U32" i="27" s="1"/>
  <c r="W32" i="27" a="1"/>
  <c r="W32" i="27" s="1"/>
  <c r="R46" i="27" a="1"/>
  <c r="R46" i="27" s="1"/>
  <c r="X46" i="27" a="1"/>
  <c r="X46" i="27" s="1"/>
  <c r="U46" i="27" a="1"/>
  <c r="U46" i="27" s="1"/>
  <c r="AC46" i="27" a="1"/>
  <c r="AC46" i="27" s="1"/>
  <c r="AI46" i="27" a="1"/>
  <c r="AI46" i="27" s="1"/>
  <c r="W115" i="27" a="1"/>
  <c r="W115" i="27" s="1"/>
  <c r="AD115" i="27" a="1"/>
  <c r="AD115" i="27" s="1"/>
  <c r="AF115" i="27" a="1"/>
  <c r="AF115" i="27" s="1"/>
  <c r="AH115" i="27" a="1"/>
  <c r="AH115" i="27" s="1"/>
  <c r="M115" i="27" a="1"/>
  <c r="M115" i="27" s="1"/>
  <c r="AA63" i="27" a="1"/>
  <c r="AA63" i="27" s="1"/>
  <c r="AE63" i="27" a="1"/>
  <c r="AE63" i="27" s="1"/>
  <c r="CC80" i="27" a="1"/>
  <c r="CC80" i="27" s="1"/>
  <c r="CF80" i="27" a="1"/>
  <c r="CF80" i="27" s="1"/>
  <c r="CQ107" i="27" a="1"/>
  <c r="CQ107" i="27" s="1"/>
  <c r="CM107" i="27" a="1"/>
  <c r="CM107" i="27" s="1"/>
  <c r="Q100" i="27" a="1"/>
  <c r="Q100" i="27" s="1"/>
  <c r="W100" i="27" a="1"/>
  <c r="W100" i="27" s="1"/>
  <c r="AB114" i="27" a="1"/>
  <c r="AB114" i="27" s="1"/>
  <c r="AA50" i="27" a="1"/>
  <c r="AA50" i="27" s="1"/>
  <c r="R50" i="27" a="1"/>
  <c r="R50" i="27" s="1"/>
  <c r="L122" i="27" a="1"/>
  <c r="L122" i="27" s="1"/>
  <c r="AG122" i="27" a="1"/>
  <c r="AG122" i="27" s="1"/>
  <c r="CP29" i="27" a="1"/>
  <c r="CP29" i="27" s="1"/>
  <c r="CO132" i="27" a="1"/>
  <c r="CO132" i="27" s="1"/>
  <c r="Z129" i="27" a="1"/>
  <c r="Z129" i="27" s="1"/>
  <c r="AA42" i="27" a="1"/>
  <c r="AA42" i="27" s="1"/>
  <c r="CE58" i="27" a="1"/>
  <c r="CE58" i="27" s="1"/>
  <c r="AG61" i="27" a="1"/>
  <c r="AG61" i="27" s="1"/>
  <c r="X61" i="27" a="1"/>
  <c r="X61" i="27" s="1"/>
  <c r="AF61" i="27" a="1"/>
  <c r="AF61" i="27" s="1"/>
  <c r="Q61" i="27" a="1"/>
  <c r="Q61" i="27" s="1"/>
  <c r="AB61" i="27" a="1"/>
  <c r="AB61" i="27" s="1"/>
  <c r="Z32" i="27" a="1"/>
  <c r="Z32" i="27" s="1"/>
  <c r="Y32" i="27" a="1"/>
  <c r="Y32" i="27" s="1"/>
  <c r="P32" i="27" a="1"/>
  <c r="P32" i="27" s="1"/>
  <c r="AH32" i="27" a="1"/>
  <c r="AH32" i="27" s="1"/>
  <c r="R32" i="27" a="1"/>
  <c r="R32" i="27" s="1"/>
  <c r="L46" i="27" a="1"/>
  <c r="L46" i="27" s="1"/>
  <c r="Q46" i="27" a="1"/>
  <c r="Q46" i="27" s="1"/>
  <c r="O46" i="27" a="1"/>
  <c r="O46" i="27" s="1"/>
  <c r="Z46" i="27" a="1"/>
  <c r="Z46" i="27" s="1"/>
  <c r="Y46" i="27" a="1"/>
  <c r="Y46" i="27" s="1"/>
  <c r="L115" i="27" a="1"/>
  <c r="L115" i="27" s="1"/>
  <c r="V115" i="27" a="1"/>
  <c r="V115" i="27" s="1"/>
  <c r="AA115" i="27" a="1"/>
  <c r="AA115" i="27" s="1"/>
  <c r="AC115" i="27" a="1"/>
  <c r="AC115" i="27" s="1"/>
  <c r="AG63" i="27" a="1"/>
  <c r="AG63" i="27" s="1"/>
  <c r="O63" i="27" a="1"/>
  <c r="O63" i="27" s="1"/>
  <c r="CG80" i="27" a="1"/>
  <c r="CG80" i="27" s="1"/>
  <c r="CQ80" i="27" a="1"/>
  <c r="CQ80" i="27" s="1"/>
  <c r="CO107" i="27" a="1"/>
  <c r="CO107" i="27" s="1"/>
  <c r="CL107" i="27" a="1"/>
  <c r="CL107" i="27" s="1"/>
  <c r="V100" i="27" a="1"/>
  <c r="V100" i="27" s="1"/>
  <c r="P114" i="27" a="1"/>
  <c r="P114" i="27" s="1"/>
  <c r="L114" i="27" a="1"/>
  <c r="L114" i="27" s="1"/>
  <c r="AD50" i="27" a="1"/>
  <c r="AD50" i="27" s="1"/>
  <c r="Y50" i="27" a="1"/>
  <c r="Y50" i="27" s="1"/>
  <c r="AE122" i="27" a="1"/>
  <c r="AE122" i="27" s="1"/>
  <c r="Q122" i="27" a="1"/>
  <c r="Q122" i="27" s="1"/>
  <c r="CL29" i="27" a="1"/>
  <c r="CL29" i="27" s="1"/>
  <c r="CM29" i="27" a="1"/>
  <c r="CM29" i="27" s="1"/>
  <c r="CP132" i="27" a="1"/>
  <c r="CP132" i="27" s="1"/>
  <c r="AG129" i="27" a="1"/>
  <c r="AG129" i="27" s="1"/>
  <c r="AC42" i="27" a="1"/>
  <c r="AC42" i="27" s="1"/>
  <c r="L42" i="27" a="1"/>
  <c r="L42" i="27" s="1"/>
  <c r="CP58" i="27" a="1"/>
  <c r="CP58" i="27" s="1"/>
  <c r="CD58" i="27" a="1"/>
  <c r="CD58" i="27" s="1"/>
  <c r="CO123" i="27" a="1"/>
  <c r="CO123" i="27" s="1"/>
  <c r="AC29" i="27" a="1"/>
  <c r="AC29" i="27" s="1"/>
  <c r="S114" i="27" a="1"/>
  <c r="S114" i="27" s="1"/>
  <c r="V114" i="27" a="1"/>
  <c r="V114" i="27" s="1"/>
  <c r="X50" i="27" a="1"/>
  <c r="X50" i="27" s="1"/>
  <c r="X122" i="27" a="1"/>
  <c r="X122" i="27" s="1"/>
  <c r="CI29" i="27" a="1"/>
  <c r="CI29" i="27" s="1"/>
  <c r="CF29" i="27" a="1"/>
  <c r="CF29" i="27" s="1"/>
  <c r="BZ132" i="27" a="1"/>
  <c r="BZ132" i="27" s="1"/>
  <c r="CV132" i="27" a="1"/>
  <c r="CV132" i="27" s="1"/>
  <c r="N129" i="27" a="1"/>
  <c r="N129" i="27" s="1"/>
  <c r="AB42" i="27" a="1"/>
  <c r="AB42" i="27" s="1"/>
  <c r="CM58" i="27" a="1"/>
  <c r="CM58" i="27" s="1"/>
  <c r="CI58" i="27" a="1"/>
  <c r="CI58" i="27" s="1"/>
  <c r="CP123" i="27" a="1"/>
  <c r="CP123" i="27" s="1"/>
  <c r="AD29" i="27" a="1"/>
  <c r="AD29" i="27" s="1"/>
  <c r="DN17" i="27"/>
  <c r="DL34" i="27"/>
  <c r="DI47" i="27"/>
  <c r="DK72" i="27"/>
  <c r="DO85" i="27"/>
  <c r="DO91" i="27"/>
  <c r="DI115" i="27"/>
  <c r="DT132" i="27"/>
  <c r="AW66" i="27"/>
  <c r="DO41" i="27"/>
  <c r="AW23" i="27"/>
  <c r="AW125" i="27"/>
  <c r="DO7" i="27"/>
  <c r="DK125" i="27"/>
  <c r="DK138" i="27"/>
  <c r="DK106" i="27"/>
  <c r="DK86" i="27"/>
  <c r="DK70" i="27"/>
  <c r="DK22" i="27"/>
  <c r="DK12" i="27"/>
  <c r="DK102" i="27"/>
  <c r="DK56" i="27"/>
  <c r="DK51" i="27"/>
  <c r="DK40" i="27"/>
  <c r="DK21" i="27"/>
  <c r="DK115" i="27"/>
  <c r="DK100" i="27"/>
  <c r="DK32" i="27"/>
  <c r="DK82" i="27"/>
  <c r="DK89" i="27"/>
  <c r="DK10" i="27"/>
  <c r="DK105" i="27"/>
  <c r="DK93" i="27"/>
  <c r="DK11" i="27"/>
  <c r="DK15" i="27"/>
  <c r="DK129" i="27"/>
  <c r="DK63" i="27"/>
  <c r="DK62" i="27"/>
  <c r="DK28" i="27"/>
  <c r="DK46" i="27"/>
  <c r="DK33" i="27"/>
  <c r="DL135" i="27"/>
  <c r="DL114" i="27"/>
  <c r="DL131" i="27"/>
  <c r="DL139" i="27"/>
  <c r="DL116" i="27"/>
  <c r="DL98" i="27"/>
  <c r="DL84" i="27"/>
  <c r="DL35" i="27"/>
  <c r="DL125" i="27"/>
  <c r="DL124" i="27"/>
  <c r="DL120" i="27"/>
  <c r="DL80" i="27"/>
  <c r="DL88" i="27"/>
  <c r="DL23" i="27"/>
  <c r="DL121" i="27"/>
  <c r="DL53" i="27"/>
  <c r="DL128" i="27"/>
  <c r="DL117" i="27"/>
  <c r="DL97" i="27"/>
  <c r="DL26" i="27"/>
  <c r="DL138" i="27"/>
  <c r="DL110" i="27"/>
  <c r="DL81" i="27"/>
  <c r="DL71" i="27"/>
  <c r="DL44" i="27"/>
  <c r="DL104" i="27"/>
  <c r="DL92" i="27"/>
  <c r="DT121" i="27"/>
  <c r="DT133" i="27"/>
  <c r="DT27" i="27"/>
  <c r="DT13" i="27"/>
  <c r="DT111" i="27"/>
  <c r="DT79" i="27"/>
  <c r="DT41" i="27"/>
  <c r="DT7" i="27"/>
  <c r="DT134" i="27"/>
  <c r="DT85" i="27"/>
  <c r="DT18" i="27"/>
  <c r="DT8" i="27"/>
  <c r="DT37" i="27"/>
  <c r="DT20" i="27"/>
  <c r="DT135" i="27"/>
  <c r="DT120" i="27"/>
  <c r="DT64" i="27"/>
  <c r="DT113" i="27"/>
  <c r="DT46" i="27"/>
  <c r="DT14" i="27"/>
  <c r="DT10" i="27"/>
  <c r="DT60" i="27"/>
  <c r="DT40" i="27"/>
  <c r="DT68" i="27"/>
  <c r="DT73" i="27"/>
  <c r="DT36" i="27"/>
  <c r="DT99" i="27"/>
  <c r="DO138" i="27"/>
  <c r="DO96" i="27"/>
  <c r="DO107" i="27"/>
  <c r="DO66" i="27"/>
  <c r="DO75" i="27"/>
  <c r="DO39" i="27"/>
  <c r="DO112" i="27"/>
  <c r="DO34" i="27"/>
  <c r="DO135" i="27"/>
  <c r="DO64" i="27"/>
  <c r="DO54" i="27"/>
  <c r="DO50" i="27"/>
  <c r="DO69" i="27"/>
  <c r="DO43" i="27"/>
  <c r="DO130" i="27"/>
  <c r="DO60" i="27"/>
  <c r="DO68" i="27"/>
  <c r="DO73" i="27"/>
  <c r="DO99" i="27"/>
  <c r="DO56" i="27"/>
  <c r="DO42" i="27"/>
  <c r="DO94" i="27"/>
  <c r="DO16" i="27"/>
  <c r="DO133" i="27"/>
  <c r="DI135" i="27"/>
  <c r="DI90" i="27"/>
  <c r="DI53" i="27"/>
  <c r="DI37" i="27"/>
  <c r="DI20" i="27"/>
  <c r="DI95" i="27"/>
  <c r="DI43" i="27"/>
  <c r="DI24" i="27"/>
  <c r="DI10" i="27"/>
  <c r="DI83" i="27"/>
  <c r="DI52" i="27"/>
  <c r="DI118" i="27"/>
  <c r="DI99" i="27"/>
  <c r="DI56" i="27"/>
  <c r="DI94" i="27"/>
  <c r="DI48" i="27"/>
  <c r="DI26" i="27"/>
  <c r="DI108" i="27"/>
  <c r="DI54" i="27"/>
  <c r="DI36" i="27"/>
  <c r="DI28" i="27"/>
  <c r="DI107" i="27"/>
  <c r="DI82" i="27"/>
  <c r="DI66" i="27"/>
  <c r="DI31" i="27"/>
  <c r="DI116" i="27"/>
  <c r="DI59" i="27"/>
  <c r="DI21" i="27"/>
  <c r="DI15" i="27"/>
  <c r="DI96" i="27"/>
  <c r="DI89" i="27"/>
  <c r="DI50" i="27"/>
  <c r="DI45" i="27"/>
  <c r="DI25" i="27"/>
  <c r="DN138" i="27"/>
  <c r="DN110" i="27"/>
  <c r="DN92" i="27"/>
  <c r="DN89" i="27"/>
  <c r="DN50" i="27"/>
  <c r="DN132" i="27"/>
  <c r="DN77" i="27"/>
  <c r="DN58" i="27"/>
  <c r="DN47" i="27"/>
  <c r="DN6" i="27"/>
  <c r="DN114" i="27"/>
  <c r="DN90" i="27"/>
  <c r="DN53" i="27"/>
  <c r="DN12" i="27"/>
  <c r="DN131" i="27"/>
  <c r="DN113" i="27"/>
  <c r="DN24" i="27"/>
  <c r="DN13" i="27"/>
  <c r="DN83" i="27"/>
  <c r="DN116" i="27"/>
  <c r="DN75" i="27"/>
  <c r="DN40" i="27"/>
  <c r="DN125" i="27"/>
  <c r="DN52" i="27"/>
  <c r="DN80" i="27"/>
  <c r="DN130" i="27"/>
  <c r="DN48" i="27"/>
  <c r="DN121" i="27"/>
  <c r="DN108" i="27"/>
  <c r="DN22" i="27"/>
  <c r="DN107" i="27"/>
  <c r="DN66" i="27"/>
  <c r="DN14" i="27"/>
  <c r="DO18" i="27"/>
  <c r="DO29" i="27"/>
  <c r="DL47" i="27"/>
  <c r="DN67" i="27"/>
  <c r="DK77" i="27"/>
  <c r="DK101" i="27"/>
  <c r="DI123" i="27"/>
  <c r="DI127" i="27"/>
  <c r="DO136" i="27"/>
  <c r="AW115" i="27"/>
  <c r="AW98" i="27"/>
  <c r="AW136" i="27"/>
  <c r="AW103" i="27"/>
  <c r="AW71" i="27"/>
  <c r="AW47" i="27"/>
  <c r="DT6" i="27"/>
  <c r="DO9" i="27"/>
  <c r="DT19" i="27"/>
  <c r="DO38" i="27"/>
  <c r="DO55" i="27"/>
  <c r="DT57" i="27"/>
  <c r="DT77" i="27"/>
  <c r="DO122" i="27"/>
  <c r="DO123" i="27"/>
  <c r="DO127" i="27"/>
  <c r="DO21" i="27"/>
  <c r="DK65" i="27"/>
  <c r="DK103" i="27"/>
  <c r="DK139" i="27"/>
  <c r="AW132" i="27"/>
  <c r="AW137" i="27"/>
  <c r="AW104" i="27"/>
  <c r="AW139" i="27"/>
  <c r="AW131" i="27"/>
  <c r="AW94" i="27"/>
  <c r="AW42" i="27"/>
  <c r="AW93" i="27"/>
  <c r="AW117" i="27"/>
  <c r="AW55" i="27"/>
  <c r="AW48" i="27"/>
  <c r="AW37" i="27"/>
  <c r="AW35" i="27"/>
  <c r="AW59" i="27"/>
  <c r="AW8" i="27"/>
  <c r="AW73" i="27"/>
  <c r="AW89" i="27"/>
  <c r="AW51" i="27"/>
  <c r="AW121" i="27"/>
  <c r="AW19" i="27"/>
  <c r="AW67" i="27"/>
  <c r="DI9" i="27"/>
  <c r="DO19" i="27"/>
  <c r="DN35" i="27"/>
  <c r="DN49" i="27"/>
  <c r="DO57" i="27"/>
  <c r="DK87" i="27"/>
  <c r="DK109" i="27"/>
  <c r="DO126" i="27"/>
  <c r="DK136" i="27"/>
  <c r="AW72" i="27"/>
  <c r="AW70" i="27"/>
  <c r="DN39" i="27"/>
  <c r="DI75" i="27"/>
  <c r="DK97" i="27"/>
  <c r="CO47" i="27" a="1"/>
  <c r="CO47" i="27" s="1"/>
  <c r="CB47" i="27" a="1"/>
  <c r="CB47" i="27" s="1"/>
  <c r="CP47" i="27" a="1"/>
  <c r="CP47" i="27" s="1"/>
  <c r="CG47" i="27" a="1"/>
  <c r="CG47" i="27" s="1"/>
  <c r="CF47" i="27" a="1"/>
  <c r="CF47" i="27" s="1"/>
  <c r="CS47" i="27" a="1"/>
  <c r="CS47" i="27" s="1"/>
  <c r="CG85" i="27" a="1"/>
  <c r="CG85" i="27" s="1"/>
  <c r="BZ85" i="27" a="1"/>
  <c r="BZ85" i="27" s="1"/>
  <c r="CM85" i="27" a="1"/>
  <c r="CM85" i="27" s="1"/>
  <c r="CF85" i="27" a="1"/>
  <c r="CF85" i="27" s="1"/>
  <c r="CK85" i="27" a="1"/>
  <c r="CK85" i="27" s="1"/>
  <c r="CD85" i="27" a="1"/>
  <c r="CD85" i="27" s="1"/>
  <c r="CT47" i="27" a="1"/>
  <c r="CT47" i="27" s="1"/>
  <c r="CD47" i="27" a="1"/>
  <c r="CD47" i="27" s="1"/>
  <c r="CH47" i="27" a="1"/>
  <c r="CH47" i="27" s="1"/>
  <c r="CM47" i="27" a="1"/>
  <c r="CM47" i="27" s="1"/>
  <c r="CQ47" i="27" a="1"/>
  <c r="CQ47" i="27" s="1"/>
  <c r="CA47" i="27" a="1"/>
  <c r="CA47" i="27" s="1"/>
  <c r="CR85" i="27" a="1"/>
  <c r="CR85" i="27" s="1"/>
  <c r="BY85" i="27" a="1"/>
  <c r="BY85" i="27" s="1"/>
  <c r="CI85" i="27" a="1"/>
  <c r="CI85" i="27" s="1"/>
  <c r="CE85" i="27" a="1"/>
  <c r="CE85" i="27" s="1"/>
  <c r="CQ85" i="27" a="1"/>
  <c r="CQ85" i="27" s="1"/>
  <c r="CC85" i="27" a="1"/>
  <c r="CC85" i="27" s="1"/>
  <c r="CI123" i="27" a="1"/>
  <c r="CI123" i="27" s="1"/>
  <c r="CT123" i="27" a="1"/>
  <c r="CT123" i="27" s="1"/>
  <c r="BY123" i="27" a="1"/>
  <c r="BY123" i="27" s="1"/>
  <c r="CV123" i="27" a="1"/>
  <c r="CV123" i="27" s="1"/>
  <c r="CM123" i="27" a="1"/>
  <c r="CM123" i="27" s="1"/>
  <c r="CL123" i="27" a="1"/>
  <c r="CL123" i="27" s="1"/>
  <c r="R29" i="27" a="1"/>
  <c r="R29" i="27" s="1"/>
  <c r="W29" i="27" a="1"/>
  <c r="W29" i="27" s="1"/>
  <c r="V29" i="27" a="1"/>
  <c r="V29" i="27" s="1"/>
  <c r="S29" i="27" a="1"/>
  <c r="S29" i="27" s="1"/>
  <c r="CR47" i="27" a="1"/>
  <c r="CR47" i="27" s="1"/>
  <c r="BY47" i="27" a="1"/>
  <c r="BY47" i="27" s="1"/>
  <c r="BZ47" i="27" a="1"/>
  <c r="BZ47" i="27" s="1"/>
  <c r="CV47" i="27" a="1"/>
  <c r="CV47" i="27" s="1"/>
  <c r="CK47" i="27" a="1"/>
  <c r="CK47" i="27" s="1"/>
  <c r="CA85" i="27" a="1"/>
  <c r="CA85" i="27" s="1"/>
  <c r="CP85" i="27" a="1"/>
  <c r="CP85" i="27" s="1"/>
  <c r="CJ85" i="27" a="1"/>
  <c r="CJ85" i="27" s="1"/>
  <c r="CV85" i="27" a="1"/>
  <c r="CV85" i="27" s="1"/>
  <c r="CB85" i="27" a="1"/>
  <c r="CB85" i="27" s="1"/>
  <c r="BZ123" i="27" a="1"/>
  <c r="BZ123" i="27" s="1"/>
  <c r="CB123" i="27" a="1"/>
  <c r="CB123" i="27" s="1"/>
  <c r="CN123" i="27" a="1"/>
  <c r="CN123" i="27" s="1"/>
  <c r="CH123" i="27" a="1"/>
  <c r="CH123" i="27" s="1"/>
  <c r="CE123" i="27" a="1"/>
  <c r="CE123" i="27" s="1"/>
  <c r="AI29" i="27" a="1"/>
  <c r="AI29" i="27" s="1"/>
  <c r="Z29" i="27" a="1"/>
  <c r="Z29" i="27" s="1"/>
  <c r="O29" i="27" a="1"/>
  <c r="O29" i="27" s="1"/>
  <c r="Q29" i="27" a="1"/>
  <c r="Q29" i="27" s="1"/>
  <c r="P29" i="27" a="1"/>
  <c r="P29" i="27" s="1"/>
  <c r="U82" i="27" a="1"/>
  <c r="U82" i="27" s="1"/>
  <c r="AD82" i="27" a="1"/>
  <c r="AD82" i="27" s="1"/>
  <c r="L18" i="27" a="1"/>
  <c r="L18" i="27" s="1"/>
  <c r="V18" i="27" a="1"/>
  <c r="V18" i="27" s="1"/>
  <c r="AH9" i="27" a="1"/>
  <c r="AH9" i="27" s="1"/>
  <c r="T9" i="27" a="1"/>
  <c r="T9" i="27" s="1"/>
  <c r="Q20" i="27" a="1"/>
  <c r="Q20" i="27" s="1"/>
  <c r="L20" i="27" a="1"/>
  <c r="L20" i="27" s="1"/>
  <c r="AC20" i="27" a="1"/>
  <c r="AC20" i="27" s="1"/>
  <c r="AA20" i="27" a="1"/>
  <c r="AA20" i="27" s="1"/>
  <c r="N20" i="27" a="1"/>
  <c r="N20" i="27" s="1"/>
  <c r="T20" i="27" a="1"/>
  <c r="T20" i="27" s="1"/>
  <c r="S20" i="27" a="1"/>
  <c r="S20" i="27" s="1"/>
  <c r="Z49" i="27" a="1"/>
  <c r="Z49" i="27" s="1"/>
  <c r="AI49" i="27" a="1"/>
  <c r="AI49" i="27" s="1"/>
  <c r="O131" i="27" a="1"/>
  <c r="O131" i="27" s="1"/>
  <c r="AE131" i="27" a="1"/>
  <c r="AE131" i="27" s="1"/>
  <c r="N131" i="27" a="1"/>
  <c r="N131" i="27" s="1"/>
  <c r="AI131" i="27" a="1"/>
  <c r="AI131" i="27" s="1"/>
  <c r="M131" i="27" a="1"/>
  <c r="M131" i="27" s="1"/>
  <c r="AD131" i="27" a="1"/>
  <c r="AD131" i="27" s="1"/>
  <c r="AG131" i="27" a="1"/>
  <c r="AG131" i="27" s="1"/>
  <c r="P72" i="27" a="1"/>
  <c r="P72" i="27" s="1"/>
  <c r="W72" i="27" a="1"/>
  <c r="W72" i="27" s="1"/>
  <c r="L72" i="27" a="1"/>
  <c r="L72" i="27" s="1"/>
  <c r="Q66" i="27" a="1"/>
  <c r="Q66" i="27" s="1"/>
  <c r="AG66" i="27" a="1"/>
  <c r="AG66" i="27" s="1"/>
  <c r="Z66" i="27" a="1"/>
  <c r="Z66" i="27" s="1"/>
  <c r="U71" i="27" a="1"/>
  <c r="U71" i="27" s="1"/>
  <c r="M71" i="27" a="1"/>
  <c r="M71" i="27" s="1"/>
  <c r="AB71" i="27" a="1"/>
  <c r="AB71" i="27" s="1"/>
  <c r="Q71" i="27" a="1"/>
  <c r="Q71" i="27" s="1"/>
  <c r="AF71" i="27" a="1"/>
  <c r="AF71" i="27" s="1"/>
  <c r="X71" i="27" a="1"/>
  <c r="X71" i="27" s="1"/>
  <c r="X17" i="27" a="1"/>
  <c r="X17" i="27" s="1"/>
  <c r="Q17" i="27" a="1"/>
  <c r="Q17" i="27" s="1"/>
  <c r="AG17" i="27" a="1"/>
  <c r="AG17" i="27" s="1"/>
  <c r="O17" i="27" a="1"/>
  <c r="O17" i="27" s="1"/>
  <c r="Z17" i="27" a="1"/>
  <c r="Z17" i="27" s="1"/>
  <c r="AI17" i="27" a="1"/>
  <c r="AI17" i="27" s="1"/>
  <c r="Q78" i="27" a="1"/>
  <c r="Q78" i="27" s="1"/>
  <c r="AG78" i="27" a="1"/>
  <c r="AG78" i="27" s="1"/>
  <c r="Y78" i="27" a="1"/>
  <c r="Y78" i="27" s="1"/>
  <c r="AC78" i="27" a="1"/>
  <c r="AC78" i="27" s="1"/>
  <c r="M78" i="27" a="1"/>
  <c r="M78" i="27" s="1"/>
  <c r="U78" i="27" a="1"/>
  <c r="U78" i="27" s="1"/>
  <c r="W78" i="27" a="1"/>
  <c r="W78" i="27" s="1"/>
  <c r="O78" i="27" a="1"/>
  <c r="O78" i="27" s="1"/>
  <c r="AE78" i="27" a="1"/>
  <c r="AE78" i="27" s="1"/>
  <c r="L78" i="27" a="1"/>
  <c r="L78" i="27" s="1"/>
  <c r="T78" i="27" a="1"/>
  <c r="T78" i="27" s="1"/>
  <c r="AB78" i="27" a="1"/>
  <c r="AB78" i="27" s="1"/>
  <c r="W136" i="27" a="1"/>
  <c r="W136" i="27" s="1"/>
  <c r="R136" i="27" a="1"/>
  <c r="R136" i="27" s="1"/>
  <c r="AH136" i="27" a="1"/>
  <c r="AH136" i="27" s="1"/>
  <c r="Y136" i="27" a="1"/>
  <c r="Y136" i="27" s="1"/>
  <c r="X136" i="27" a="1"/>
  <c r="X136" i="27" s="1"/>
  <c r="AG136" i="27" a="1"/>
  <c r="AG136" i="27" s="1"/>
  <c r="L136" i="27" a="1"/>
  <c r="L136" i="27" s="1"/>
  <c r="AB136" i="27" a="1"/>
  <c r="AB136" i="27" s="1"/>
  <c r="U136" i="27" a="1"/>
  <c r="U136" i="27" s="1"/>
  <c r="N136" i="27" a="1"/>
  <c r="N136" i="27" s="1"/>
  <c r="AD136" i="27" a="1"/>
  <c r="AD136" i="27" s="1"/>
  <c r="AA136" i="27" a="1"/>
  <c r="AA136" i="27" s="1"/>
  <c r="W73" i="27" a="1"/>
  <c r="W73" i="27" s="1"/>
  <c r="R73" i="27" a="1"/>
  <c r="R73" i="27" s="1"/>
  <c r="AH73" i="27" a="1"/>
  <c r="AH73" i="27" s="1"/>
  <c r="Y73" i="27" a="1"/>
  <c r="Y73" i="27" s="1"/>
  <c r="P73" i="27" a="1"/>
  <c r="P73" i="27" s="1"/>
  <c r="AI73" i="27" a="1"/>
  <c r="AI73" i="27" s="1"/>
  <c r="M73" i="27" a="1"/>
  <c r="M73" i="27" s="1"/>
  <c r="AC73" i="27" a="1"/>
  <c r="AC73" i="27" s="1"/>
  <c r="X73" i="27" a="1"/>
  <c r="X73" i="27" s="1"/>
  <c r="L73" i="27" a="1"/>
  <c r="L73" i="27" s="1"/>
  <c r="AB73" i="27" a="1"/>
  <c r="AB73" i="27" s="1"/>
  <c r="S73" i="27" a="1"/>
  <c r="S73" i="27" s="1"/>
  <c r="R13" i="27" a="1"/>
  <c r="R13" i="27" s="1"/>
  <c r="P13" i="27" a="1"/>
  <c r="P13" i="27" s="1"/>
  <c r="AD13" i="27" a="1"/>
  <c r="AD13" i="27" s="1"/>
  <c r="V13" i="27" a="1"/>
  <c r="V13" i="27" s="1"/>
  <c r="AI13" i="27" a="1"/>
  <c r="AI13" i="27" s="1"/>
  <c r="W13" i="27" a="1"/>
  <c r="W13" i="27" s="1"/>
  <c r="U13" i="27" a="1"/>
  <c r="U13" i="27" s="1"/>
  <c r="S13" i="27" a="1"/>
  <c r="S13" i="27" s="1"/>
  <c r="AH13" i="27" a="1"/>
  <c r="AH13" i="27" s="1"/>
  <c r="Y13" i="27" a="1"/>
  <c r="Y13" i="27" s="1"/>
  <c r="T13" i="27" a="1"/>
  <c r="T13" i="27" s="1"/>
  <c r="O13" i="27" a="1"/>
  <c r="O13" i="27" s="1"/>
  <c r="S139" i="27" a="1"/>
  <c r="S139" i="27" s="1"/>
  <c r="AI139" i="27" a="1"/>
  <c r="AI139" i="27" s="1"/>
  <c r="Y139" i="27" a="1"/>
  <c r="Y139" i="27" s="1"/>
  <c r="O139" i="27" a="1"/>
  <c r="O139" i="27" s="1"/>
  <c r="AE139" i="27" a="1"/>
  <c r="AE139" i="27" s="1"/>
  <c r="Z139" i="27" a="1"/>
  <c r="Z139" i="27" s="1"/>
  <c r="X139" i="27" a="1"/>
  <c r="X139" i="27" s="1"/>
  <c r="N139" i="27" a="1"/>
  <c r="N139" i="27" s="1"/>
  <c r="AD139" i="27" a="1"/>
  <c r="AD139" i="27" s="1"/>
  <c r="T139" i="27" a="1"/>
  <c r="T139" i="27" s="1"/>
  <c r="M139" i="27" a="1"/>
  <c r="M139" i="27" s="1"/>
  <c r="AC139" i="27" a="1"/>
  <c r="AC139" i="27" s="1"/>
  <c r="U58" i="27" a="1"/>
  <c r="U58" i="27" s="1"/>
  <c r="M58" i="27" a="1"/>
  <c r="M58" i="27" s="1"/>
  <c r="AG58" i="27" a="1"/>
  <c r="AG58" i="27" s="1"/>
  <c r="AB58" i="27" a="1"/>
  <c r="AB58" i="27" s="1"/>
  <c r="W58" i="27" a="1"/>
  <c r="W58" i="27" s="1"/>
  <c r="AF58" i="27" a="1"/>
  <c r="AF58" i="27" s="1"/>
  <c r="X58" i="27" a="1"/>
  <c r="X58" i="27" s="1"/>
  <c r="P58" i="27" a="1"/>
  <c r="P58" i="27" s="1"/>
  <c r="N58" i="27" a="1"/>
  <c r="N58" i="27" s="1"/>
  <c r="AE58" i="27" a="1"/>
  <c r="AE58" i="27" s="1"/>
  <c r="Z58" i="27" a="1"/>
  <c r="Z58" i="27" s="1"/>
  <c r="T58" i="27" a="1"/>
  <c r="T58" i="27" s="1"/>
  <c r="Z95" i="27" a="1"/>
  <c r="Z95" i="27" s="1"/>
  <c r="R95" i="27" a="1"/>
  <c r="R95" i="27" s="1"/>
  <c r="AH95" i="27" a="1"/>
  <c r="AH95" i="27" s="1"/>
  <c r="Q95" i="27" a="1"/>
  <c r="Q95" i="27" s="1"/>
  <c r="Y95" i="27" a="1"/>
  <c r="Y95" i="27" s="1"/>
  <c r="N95" i="27" a="1"/>
  <c r="N95" i="27" s="1"/>
  <c r="M95" i="27" a="1"/>
  <c r="M95" i="27" s="1"/>
  <c r="AC95" i="27" a="1"/>
  <c r="AC95" i="27" s="1"/>
  <c r="U95" i="27" a="1"/>
  <c r="U95" i="27" s="1"/>
  <c r="P95" i="27" a="1"/>
  <c r="P95" i="27" s="1"/>
  <c r="X95" i="27" a="1"/>
  <c r="X95" i="27" s="1"/>
  <c r="AF95" i="27" a="1"/>
  <c r="AF95" i="27" s="1"/>
  <c r="W113" i="27" a="1"/>
  <c r="W113" i="27" s="1"/>
  <c r="T113" i="27" a="1"/>
  <c r="T113" i="27" s="1"/>
  <c r="Y113" i="27" a="1"/>
  <c r="Y113" i="27" s="1"/>
  <c r="AI113" i="27" a="1"/>
  <c r="AI113" i="27" s="1"/>
  <c r="S113" i="27" a="1"/>
  <c r="S113" i="27" s="1"/>
  <c r="AB40" i="27" a="1"/>
  <c r="AB40" i="27" s="1"/>
  <c r="AA40" i="27" a="1"/>
  <c r="AA40" i="27" s="1"/>
  <c r="AI40" i="27" a="1"/>
  <c r="AI40" i="27" s="1"/>
  <c r="P40" i="27" a="1"/>
  <c r="P40" i="27" s="1"/>
  <c r="T40" i="27" a="1"/>
  <c r="T40" i="27" s="1"/>
  <c r="AD66" i="27" a="1"/>
  <c r="AD66" i="27" s="1"/>
  <c r="N66" i="27" a="1"/>
  <c r="N66" i="27" s="1"/>
  <c r="U66" i="27" a="1"/>
  <c r="U66" i="27" s="1"/>
  <c r="AE66" i="27" a="1"/>
  <c r="AE66" i="27" s="1"/>
  <c r="AB66" i="27" a="1"/>
  <c r="AB66" i="27" s="1"/>
  <c r="O71" i="27" a="1"/>
  <c r="O71" i="27" s="1"/>
  <c r="R71" i="27" a="1"/>
  <c r="R71" i="27" s="1"/>
  <c r="N71" i="27" a="1"/>
  <c r="N71" i="27" s="1"/>
  <c r="V71" i="27" a="1"/>
  <c r="V71" i="27" s="1"/>
  <c r="AA71" i="27" a="1"/>
  <c r="AA71" i="27" s="1"/>
  <c r="AA17" i="27" a="1"/>
  <c r="AA17" i="27" s="1"/>
  <c r="AE17" i="27" a="1"/>
  <c r="AE17" i="27" s="1"/>
  <c r="N17" i="27" a="1"/>
  <c r="N17" i="27" s="1"/>
  <c r="M17" i="27" a="1"/>
  <c r="M17" i="27" s="1"/>
  <c r="P17" i="27" a="1"/>
  <c r="P17" i="27" s="1"/>
  <c r="Z73" i="27" a="1"/>
  <c r="Z73" i="27" s="1"/>
  <c r="AD73" i="27" a="1"/>
  <c r="AD73" i="27" s="1"/>
  <c r="T73" i="27" a="1"/>
  <c r="T73" i="27" s="1"/>
  <c r="M20" i="27" a="1"/>
  <c r="M20" i="27" s="1"/>
  <c r="R139" i="27" a="1"/>
  <c r="R139" i="27" s="1"/>
  <c r="AG139" i="27" a="1"/>
  <c r="AG139" i="27" s="1"/>
  <c r="AA139" i="27" a="1"/>
  <c r="AA139" i="27" s="1"/>
  <c r="S131" i="27" a="1"/>
  <c r="S131" i="27" s="1"/>
  <c r="L131" i="27" a="1"/>
  <c r="L131" i="27" s="1"/>
  <c r="AB72" i="27" a="1"/>
  <c r="AB72" i="27" s="1"/>
  <c r="AE18" i="27" a="1"/>
  <c r="AE18" i="27" s="1"/>
  <c r="Z78" i="27" a="1"/>
  <c r="Z78" i="27" s="1"/>
  <c r="AI78" i="27" a="1"/>
  <c r="AI78" i="27" s="1"/>
  <c r="AA78" i="27" a="1"/>
  <c r="AA78" i="27" s="1"/>
  <c r="AH58" i="27" a="1"/>
  <c r="AH58" i="27" s="1"/>
  <c r="V58" i="27" a="1"/>
  <c r="V58" i="27" s="1"/>
  <c r="O58" i="27" a="1"/>
  <c r="O58" i="27" s="1"/>
  <c r="AI110" i="27" a="1"/>
  <c r="AI110" i="27" s="1"/>
  <c r="AI136" i="27" a="1"/>
  <c r="AI136" i="27" s="1"/>
  <c r="V136" i="27" a="1"/>
  <c r="V136" i="27" s="1"/>
  <c r="M136" i="27" a="1"/>
  <c r="M136" i="27" s="1"/>
  <c r="AF13" i="27" a="1"/>
  <c r="AF13" i="27" s="1"/>
  <c r="N13" i="27" a="1"/>
  <c r="N13" i="27" s="1"/>
  <c r="Z13" i="27" a="1"/>
  <c r="Z13" i="27" s="1"/>
  <c r="AG95" i="27" a="1"/>
  <c r="AG95" i="27" s="1"/>
  <c r="AI95" i="27" a="1"/>
  <c r="AI95" i="27" s="1"/>
  <c r="O95" i="27" a="1"/>
  <c r="O95" i="27" s="1"/>
  <c r="S66" i="27" a="1"/>
  <c r="S66" i="27" s="1"/>
  <c r="AF66" i="27" a="1"/>
  <c r="AF66" i="27" s="1"/>
  <c r="P66" i="27" a="1"/>
  <c r="P66" i="27" s="1"/>
  <c r="W66" i="27" a="1"/>
  <c r="W66" i="27" s="1"/>
  <c r="Y66" i="27" a="1"/>
  <c r="Y66" i="27" s="1"/>
  <c r="AI71" i="27" a="1"/>
  <c r="AI71" i="27" s="1"/>
  <c r="Z71" i="27" a="1"/>
  <c r="Z71" i="27" s="1"/>
  <c r="AH71" i="27" a="1"/>
  <c r="AH71" i="27" s="1"/>
  <c r="S71" i="27" a="1"/>
  <c r="S71" i="27" s="1"/>
  <c r="P71" i="27" a="1"/>
  <c r="P71" i="27" s="1"/>
  <c r="S17" i="27" a="1"/>
  <c r="S17" i="27" s="1"/>
  <c r="W17" i="27" a="1"/>
  <c r="W17" i="27" s="1"/>
  <c r="AC17" i="27" a="1"/>
  <c r="AC17" i="27" s="1"/>
  <c r="AF17" i="27" a="1"/>
  <c r="AF17" i="27" s="1"/>
  <c r="L17" i="27" a="1"/>
  <c r="L17" i="27" s="1"/>
  <c r="AE73" i="27" a="1"/>
  <c r="AE73" i="27" s="1"/>
  <c r="AA73" i="27" a="1"/>
  <c r="AA73" i="27" s="1"/>
  <c r="Q73" i="27" a="1"/>
  <c r="Q73" i="27" s="1"/>
  <c r="AB20" i="27" a="1"/>
  <c r="AB20" i="27" s="1"/>
  <c r="AB139" i="27" a="1"/>
  <c r="AB139" i="27" s="1"/>
  <c r="V139" i="27" a="1"/>
  <c r="V139" i="27" s="1"/>
  <c r="P139" i="27" a="1"/>
  <c r="P139" i="27" s="1"/>
  <c r="AC131" i="27" a="1"/>
  <c r="AC131" i="27" s="1"/>
  <c r="AC72" i="27" a="1"/>
  <c r="AC72" i="27" s="1"/>
  <c r="X78" i="27" a="1"/>
  <c r="X78" i="27" s="1"/>
  <c r="V78" i="27" a="1"/>
  <c r="V78" i="27" s="1"/>
  <c r="N78" i="27" a="1"/>
  <c r="N78" i="27" s="1"/>
  <c r="AC58" i="27" a="1"/>
  <c r="AC58" i="27" s="1"/>
  <c r="Y58" i="27" a="1"/>
  <c r="Y58" i="27" s="1"/>
  <c r="AI58" i="27" a="1"/>
  <c r="AI58" i="27" s="1"/>
  <c r="AF136" i="27" a="1"/>
  <c r="AF136" i="27" s="1"/>
  <c r="Q136" i="27" a="1"/>
  <c r="Q136" i="27" s="1"/>
  <c r="AE136" i="27" a="1"/>
  <c r="AE136" i="27" s="1"/>
  <c r="AE13" i="27" a="1"/>
  <c r="AE13" i="27" s="1"/>
  <c r="AA13" i="27" a="1"/>
  <c r="AA13" i="27" s="1"/>
  <c r="M13" i="27" a="1"/>
  <c r="M13" i="27" s="1"/>
  <c r="AA95" i="27" a="1"/>
  <c r="AA95" i="27" s="1"/>
  <c r="V95" i="27" a="1"/>
  <c r="V95" i="27" s="1"/>
  <c r="L95" i="27" a="1"/>
  <c r="L95" i="27" s="1"/>
  <c r="O129" i="27" a="1"/>
  <c r="O129" i="27" s="1"/>
  <c r="Y129" i="27" a="1"/>
  <c r="Y129" i="27" s="1"/>
  <c r="AE129" i="27" a="1"/>
  <c r="AE129" i="27" s="1"/>
  <c r="X129" i="27" a="1"/>
  <c r="X129" i="27" s="1"/>
  <c r="AH129" i="27" a="1"/>
  <c r="AH129" i="27" s="1"/>
  <c r="AF42" i="27" a="1"/>
  <c r="AF42" i="27" s="1"/>
  <c r="Z42" i="27" a="1"/>
  <c r="Z42" i="27" s="1"/>
  <c r="W42" i="27" a="1"/>
  <c r="W42" i="27" s="1"/>
  <c r="AH42" i="27" a="1"/>
  <c r="AH42" i="27" s="1"/>
  <c r="Q42" i="27" a="1"/>
  <c r="Q42" i="27" s="1"/>
  <c r="U29" i="27" a="1"/>
  <c r="U29" i="27" s="1"/>
  <c r="AH29" i="27" a="1"/>
  <c r="AH29" i="27" s="1"/>
  <c r="T29" i="27" a="1"/>
  <c r="T29" i="27" s="1"/>
  <c r="Y29" i="27" a="1"/>
  <c r="Y29" i="27" s="1"/>
  <c r="AA29" i="27" a="1"/>
  <c r="AA29" i="27" s="1"/>
  <c r="R82" i="27" a="1"/>
  <c r="R82" i="27" s="1"/>
  <c r="AH82" i="27" a="1"/>
  <c r="AH82" i="27" s="1"/>
  <c r="X82" i="27" a="1"/>
  <c r="X82" i="27" s="1"/>
  <c r="S82" i="27" a="1"/>
  <c r="S82" i="27" s="1"/>
  <c r="AI82" i="27" a="1"/>
  <c r="AI82" i="27" s="1"/>
  <c r="Q82" i="27" a="1"/>
  <c r="Q82" i="27" s="1"/>
  <c r="W82" i="27" a="1"/>
  <c r="W82" i="27" s="1"/>
  <c r="M82" i="27" a="1"/>
  <c r="M82" i="27" s="1"/>
  <c r="AC82" i="27" a="1"/>
  <c r="AC82" i="27" s="1"/>
  <c r="V82" i="27" a="1"/>
  <c r="V82" i="27" s="1"/>
  <c r="L82" i="27" a="1"/>
  <c r="L82" i="27" s="1"/>
  <c r="AB82" i="27" a="1"/>
  <c r="AB82" i="27" s="1"/>
  <c r="Z82" i="27" a="1"/>
  <c r="Z82" i="27" s="1"/>
  <c r="P82" i="27" a="1"/>
  <c r="P82" i="27" s="1"/>
  <c r="AF82" i="27" a="1"/>
  <c r="AF82" i="27" s="1"/>
  <c r="AA82" i="27" a="1"/>
  <c r="AA82" i="27" s="1"/>
  <c r="AG82" i="27" a="1"/>
  <c r="AG82" i="27" s="1"/>
  <c r="T82" i="27" a="1"/>
  <c r="T82" i="27" s="1"/>
  <c r="O18" i="27" a="1"/>
  <c r="O18" i="27" s="1"/>
  <c r="AF18" i="27" a="1"/>
  <c r="AF18" i="27" s="1"/>
  <c r="Z18" i="27" a="1"/>
  <c r="Z18" i="27" s="1"/>
  <c r="AD18" i="27" a="1"/>
  <c r="AD18" i="27" s="1"/>
  <c r="M18" i="27" a="1"/>
  <c r="M18" i="27" s="1"/>
  <c r="AB18" i="27" a="1"/>
  <c r="AB18" i="27" s="1"/>
  <c r="R18" i="27" a="1"/>
  <c r="R18" i="27" s="1"/>
  <c r="P18" i="27" a="1"/>
  <c r="P18" i="27" s="1"/>
  <c r="AC18" i="27" a="1"/>
  <c r="AC18" i="27" s="1"/>
  <c r="Q18" i="27" a="1"/>
  <c r="Q18" i="27" s="1"/>
  <c r="T18" i="27" a="1"/>
  <c r="T18" i="27" s="1"/>
  <c r="AI18" i="27" a="1"/>
  <c r="AI18" i="27" s="1"/>
  <c r="U18" i="27" a="1"/>
  <c r="U18" i="27" s="1"/>
  <c r="S18" i="27" a="1"/>
  <c r="S18" i="27" s="1"/>
  <c r="AG18" i="27" a="1"/>
  <c r="AG18" i="27" s="1"/>
  <c r="X18" i="27" a="1"/>
  <c r="X18" i="27" s="1"/>
  <c r="AA18" i="27" a="1"/>
  <c r="AA18" i="27" s="1"/>
  <c r="N18" i="27" a="1"/>
  <c r="N18" i="27" s="1"/>
  <c r="Q60" i="27" a="1"/>
  <c r="Q60" i="27" s="1"/>
  <c r="L60" i="27" a="1"/>
  <c r="L60" i="27" s="1"/>
  <c r="AF60" i="27" a="1"/>
  <c r="AF60" i="27" s="1"/>
  <c r="X60" i="27" a="1"/>
  <c r="X60" i="27" s="1"/>
  <c r="M60" i="27" a="1"/>
  <c r="M60" i="27" s="1"/>
  <c r="S60" i="27" a="1"/>
  <c r="S60" i="27" s="1"/>
  <c r="T60" i="27" a="1"/>
  <c r="T60" i="27" s="1"/>
  <c r="R60" i="27" a="1"/>
  <c r="R60" i="27" s="1"/>
  <c r="AI60" i="27" a="1"/>
  <c r="AI60" i="27" s="1"/>
  <c r="AA60" i="27" a="1"/>
  <c r="AA60" i="27" s="1"/>
  <c r="Y60" i="27" a="1"/>
  <c r="Y60" i="27" s="1"/>
  <c r="AH60" i="27" a="1"/>
  <c r="AH60" i="27" s="1"/>
  <c r="Z60" i="27" a="1"/>
  <c r="Z60" i="27" s="1"/>
  <c r="W60" i="27" a="1"/>
  <c r="W60" i="27" s="1"/>
  <c r="O60" i="27" a="1"/>
  <c r="O60" i="27" s="1"/>
  <c r="AD60" i="27" a="1"/>
  <c r="AD60" i="27" s="1"/>
  <c r="P60" i="27" a="1"/>
  <c r="P60" i="27" s="1"/>
  <c r="V60" i="27" a="1"/>
  <c r="V60" i="27" s="1"/>
  <c r="N110" i="27" a="1"/>
  <c r="N110" i="27" s="1"/>
  <c r="AD110" i="27" a="1"/>
  <c r="AD110" i="27" s="1"/>
  <c r="T110" i="27" a="1"/>
  <c r="T110" i="27" s="1"/>
  <c r="M110" i="27" a="1"/>
  <c r="M110" i="27" s="1"/>
  <c r="AC110" i="27" a="1"/>
  <c r="AC110" i="27" s="1"/>
  <c r="P110" i="27" a="1"/>
  <c r="P110" i="27" s="1"/>
  <c r="Q110" i="27" a="1"/>
  <c r="Q110" i="27" s="1"/>
  <c r="AG110" i="27" a="1"/>
  <c r="AG110" i="27" s="1"/>
  <c r="W110" i="27" a="1"/>
  <c r="W110" i="27" s="1"/>
  <c r="R110" i="27" a="1"/>
  <c r="R110" i="27" s="1"/>
  <c r="AH110" i="27" a="1"/>
  <c r="AH110" i="27" s="1"/>
  <c r="AA110" i="27" a="1"/>
  <c r="AA110" i="27" s="1"/>
  <c r="V110" i="27" a="1"/>
  <c r="V110" i="27" s="1"/>
  <c r="L110" i="27" a="1"/>
  <c r="L110" i="27" s="1"/>
  <c r="AB110" i="27" a="1"/>
  <c r="AB110" i="27" s="1"/>
  <c r="U110" i="27" a="1"/>
  <c r="U110" i="27" s="1"/>
  <c r="S110" i="27" a="1"/>
  <c r="S110" i="27" s="1"/>
  <c r="X110" i="27" a="1"/>
  <c r="X110" i="27" s="1"/>
  <c r="S14" i="27" a="1"/>
  <c r="S14" i="27" s="1"/>
  <c r="AH14" i="27" a="1"/>
  <c r="AH14" i="27" s="1"/>
  <c r="AI14" i="27" a="1"/>
  <c r="AI14" i="27" s="1"/>
  <c r="R14" i="27" a="1"/>
  <c r="R14" i="27" s="1"/>
  <c r="AD14" i="27" a="1"/>
  <c r="AD14" i="27" s="1"/>
  <c r="W14" i="27" a="1"/>
  <c r="W14" i="27" s="1"/>
  <c r="M14" i="27" a="1"/>
  <c r="M14" i="27" s="1"/>
  <c r="U14" i="27" a="1"/>
  <c r="U14" i="27" s="1"/>
  <c r="X14" i="27" a="1"/>
  <c r="X14" i="27" s="1"/>
  <c r="L14" i="27" a="1"/>
  <c r="L14" i="27" s="1"/>
  <c r="T14" i="27" a="1"/>
  <c r="T14" i="27" s="1"/>
  <c r="AG14" i="27" a="1"/>
  <c r="AG14" i="27" s="1"/>
  <c r="O14" i="27" a="1"/>
  <c r="O14" i="27" s="1"/>
  <c r="Z14" i="27" a="1"/>
  <c r="Z14" i="27" s="1"/>
  <c r="AA14" i="27" a="1"/>
  <c r="AA14" i="27" s="1"/>
  <c r="N14" i="27" a="1"/>
  <c r="N14" i="27" s="1"/>
  <c r="V14" i="27" a="1"/>
  <c r="V14" i="27" s="1"/>
  <c r="AB14" i="27" a="1"/>
  <c r="AB14" i="27" s="1"/>
  <c r="U9" i="27" a="1"/>
  <c r="U9" i="27" s="1"/>
  <c r="L9" i="27" a="1"/>
  <c r="L9" i="27" s="1"/>
  <c r="AB9" i="27" a="1"/>
  <c r="AB9" i="27" s="1"/>
  <c r="AG9" i="27" a="1"/>
  <c r="AG9" i="27" s="1"/>
  <c r="Q9" i="27" a="1"/>
  <c r="Q9" i="27" s="1"/>
  <c r="M9" i="27" a="1"/>
  <c r="M9" i="27" s="1"/>
  <c r="AA9" i="27" a="1"/>
  <c r="AA9" i="27" s="1"/>
  <c r="P9" i="27" a="1"/>
  <c r="P9" i="27" s="1"/>
  <c r="AF9" i="27" a="1"/>
  <c r="AF9" i="27" s="1"/>
  <c r="W9" i="27" a="1"/>
  <c r="W9" i="27" s="1"/>
  <c r="X9" i="27" a="1"/>
  <c r="X9" i="27" s="1"/>
  <c r="S9" i="27" a="1"/>
  <c r="S9" i="27" s="1"/>
  <c r="O9" i="27" a="1"/>
  <c r="O9" i="27" s="1"/>
  <c r="AE9" i="27" a="1"/>
  <c r="AE9" i="27" s="1"/>
  <c r="V9" i="27" a="1"/>
  <c r="V9" i="27" s="1"/>
  <c r="N9" i="27" a="1"/>
  <c r="N9" i="27" s="1"/>
  <c r="AC9" i="27" a="1"/>
  <c r="AC9" i="27" s="1"/>
  <c r="AD9" i="27" a="1"/>
  <c r="AD9" i="27" s="1"/>
  <c r="AC49" i="27" a="1"/>
  <c r="AC49" i="27" s="1"/>
  <c r="S49" i="27" a="1"/>
  <c r="S49" i="27" s="1"/>
  <c r="M49" i="27" a="1"/>
  <c r="M49" i="27" s="1"/>
  <c r="AA49" i="27" a="1"/>
  <c r="AA49" i="27" s="1"/>
  <c r="Y49" i="27" a="1"/>
  <c r="Y49" i="27" s="1"/>
  <c r="R49" i="27" a="1"/>
  <c r="R49" i="27" s="1"/>
  <c r="O49" i="27" a="1"/>
  <c r="O49" i="27" s="1"/>
  <c r="AG49" i="27" a="1"/>
  <c r="AG49" i="27" s="1"/>
  <c r="W49" i="27" a="1"/>
  <c r="W49" i="27" s="1"/>
  <c r="Q49" i="27" a="1"/>
  <c r="Q49" i="27" s="1"/>
  <c r="AE49" i="27" a="1"/>
  <c r="AE49" i="27" s="1"/>
  <c r="N49" i="27" a="1"/>
  <c r="N49" i="27" s="1"/>
  <c r="V49" i="27" a="1"/>
  <c r="V49" i="27" s="1"/>
  <c r="L49" i="27" a="1"/>
  <c r="L49" i="27" s="1"/>
  <c r="AD49" i="27" a="1"/>
  <c r="AD49" i="27" s="1"/>
  <c r="T49" i="27" a="1"/>
  <c r="T49" i="27" s="1"/>
  <c r="U49" i="27" a="1"/>
  <c r="U49" i="27" s="1"/>
  <c r="AB49" i="27" a="1"/>
  <c r="AB49" i="27" s="1"/>
  <c r="W90" i="27" a="1"/>
  <c r="W90" i="27" s="1"/>
  <c r="U90" i="27" a="1"/>
  <c r="U90" i="27" s="1"/>
  <c r="L90" i="27" a="1"/>
  <c r="L90" i="27" s="1"/>
  <c r="AB90" i="27" a="1"/>
  <c r="AB90" i="27" s="1"/>
  <c r="S90" i="27" a="1"/>
  <c r="S90" i="27" s="1"/>
  <c r="Z90" i="27" a="1"/>
  <c r="Z90" i="27" s="1"/>
  <c r="N90" i="27" a="1"/>
  <c r="N90" i="27" s="1"/>
  <c r="AD90" i="27" a="1"/>
  <c r="AD90" i="27" s="1"/>
  <c r="X90" i="27" a="1"/>
  <c r="X90" i="27" s="1"/>
  <c r="O90" i="27" a="1"/>
  <c r="O90" i="27" s="1"/>
  <c r="AE90" i="27" a="1"/>
  <c r="AE90" i="27" s="1"/>
  <c r="AF90" i="27" a="1"/>
  <c r="AF90" i="27" s="1"/>
  <c r="Q90" i="27" a="1"/>
  <c r="Q90" i="27" s="1"/>
  <c r="AG90" i="27" a="1"/>
  <c r="AG90" i="27" s="1"/>
  <c r="AA90" i="27" a="1"/>
  <c r="AA90" i="27" s="1"/>
  <c r="V90" i="27" a="1"/>
  <c r="V90" i="27" s="1"/>
  <c r="P90" i="27" a="1"/>
  <c r="P90" i="27" s="1"/>
  <c r="AI90" i="27" a="1"/>
  <c r="AI90" i="27" s="1"/>
  <c r="CQ8" i="27" a="1"/>
  <c r="CQ8" i="27" s="1"/>
  <c r="CR8" i="27" a="1"/>
  <c r="CR8" i="27" s="1"/>
  <c r="CD8" i="27" a="1"/>
  <c r="CD8" i="27" s="1"/>
  <c r="CF8" i="27" a="1"/>
  <c r="CF8" i="27" s="1"/>
  <c r="CG8" i="27" a="1"/>
  <c r="CG8" i="27" s="1"/>
  <c r="CH8" i="27" a="1"/>
  <c r="CH8" i="27" s="1"/>
  <c r="CA8" i="27" a="1"/>
  <c r="CA8" i="27" s="1"/>
  <c r="CK8" i="27" a="1"/>
  <c r="CK8" i="27" s="1"/>
  <c r="CL8" i="27" a="1"/>
  <c r="CL8" i="27" s="1"/>
  <c r="CN8" i="27" a="1"/>
  <c r="CN8" i="27" s="1"/>
  <c r="CP8" i="27" a="1"/>
  <c r="CP8" i="27" s="1"/>
  <c r="CM8" i="27" a="1"/>
  <c r="CM8" i="27" s="1"/>
  <c r="BY8" i="27" a="1"/>
  <c r="BY8" i="27" s="1"/>
  <c r="CB8" i="27" a="1"/>
  <c r="CB8" i="27" s="1"/>
  <c r="CE8" i="27" a="1"/>
  <c r="CE8" i="27" s="1"/>
  <c r="CT8" i="27" a="1"/>
  <c r="CT8" i="27" s="1"/>
  <c r="CV8" i="27" a="1"/>
  <c r="CV8" i="27" s="1"/>
  <c r="CS8" i="27" a="1"/>
  <c r="CS8" i="27" s="1"/>
  <c r="CB55" i="27" a="1"/>
  <c r="CB55" i="27" s="1"/>
  <c r="CI55" i="27" a="1"/>
  <c r="CI55" i="27" s="1"/>
  <c r="CL55" i="27" a="1"/>
  <c r="CL55" i="27" s="1"/>
  <c r="CS55" i="27" a="1"/>
  <c r="CS55" i="27" s="1"/>
  <c r="CV55" i="27" a="1"/>
  <c r="CV55" i="27" s="1"/>
  <c r="CH55" i="27" a="1"/>
  <c r="CH55" i="27" s="1"/>
  <c r="CJ55" i="27" a="1"/>
  <c r="CJ55" i="27" s="1"/>
  <c r="CQ55" i="27" a="1"/>
  <c r="CQ55" i="27" s="1"/>
  <c r="CT55" i="27" a="1"/>
  <c r="CT55" i="27" s="1"/>
  <c r="BY55" i="27" a="1"/>
  <c r="BY55" i="27" s="1"/>
  <c r="CE55" i="27" a="1"/>
  <c r="CE55" i="27" s="1"/>
  <c r="CG55" i="27" a="1"/>
  <c r="CG55" i="27" s="1"/>
  <c r="CR55" i="27" a="1"/>
  <c r="CR55" i="27" s="1"/>
  <c r="CP55" i="27" a="1"/>
  <c r="CP55" i="27" s="1"/>
  <c r="CC55" i="27" a="1"/>
  <c r="CC55" i="27" s="1"/>
  <c r="CF55" i="27" a="1"/>
  <c r="CF55" i="27" s="1"/>
  <c r="CM55" i="27" a="1"/>
  <c r="CM55" i="27" s="1"/>
  <c r="BZ55" i="27" a="1"/>
  <c r="BZ55" i="27" s="1"/>
  <c r="CO136" i="27" a="1"/>
  <c r="CO136" i="27" s="1"/>
  <c r="CA136" i="27" a="1"/>
  <c r="CA136" i="27" s="1"/>
  <c r="CV136" i="27" a="1"/>
  <c r="CV136" i="27" s="1"/>
  <c r="CS136" i="27" a="1"/>
  <c r="CS136" i="27" s="1"/>
  <c r="CE136" i="27" a="1"/>
  <c r="CE136" i="27" s="1"/>
  <c r="CH136" i="27" a="1"/>
  <c r="CH136" i="27" s="1"/>
  <c r="CD136" i="27" a="1"/>
  <c r="CD136" i="27" s="1"/>
  <c r="CI136" i="27" a="1"/>
  <c r="CI136" i="27" s="1"/>
  <c r="CB136" i="27" a="1"/>
  <c r="CB136" i="27" s="1"/>
  <c r="CT136" i="27" a="1"/>
  <c r="CT136" i="27" s="1"/>
  <c r="CM136" i="27" a="1"/>
  <c r="CM136" i="27" s="1"/>
  <c r="CR136" i="27" a="1"/>
  <c r="CR136" i="27" s="1"/>
  <c r="BY136" i="27" a="1"/>
  <c r="BY136" i="27" s="1"/>
  <c r="CN136" i="27" a="1"/>
  <c r="CN136" i="27" s="1"/>
  <c r="CQ136" i="27" a="1"/>
  <c r="CQ136" i="27" s="1"/>
  <c r="CC136" i="27" a="1"/>
  <c r="CC136" i="27" s="1"/>
  <c r="BZ136" i="27" a="1"/>
  <c r="BZ136" i="27" s="1"/>
  <c r="CU136" i="27" a="1"/>
  <c r="CU136" i="27" s="1"/>
  <c r="CJ49" i="27" a="1"/>
  <c r="CJ49" i="27" s="1"/>
  <c r="CE49" i="27" a="1"/>
  <c r="CE49" i="27" s="1"/>
  <c r="CT49" i="27" a="1"/>
  <c r="CT49" i="27" s="1"/>
  <c r="BZ49" i="27" a="1"/>
  <c r="BZ49" i="27" s="1"/>
  <c r="CN49" i="27" a="1"/>
  <c r="CN49" i="27" s="1"/>
  <c r="CU49" i="27" a="1"/>
  <c r="CU49" i="27" s="1"/>
  <c r="CR49" i="27" a="1"/>
  <c r="CR49" i="27" s="1"/>
  <c r="CP49" i="27" a="1"/>
  <c r="CP49" i="27" s="1"/>
  <c r="CS49" i="27" a="1"/>
  <c r="CS49" i="27" s="1"/>
  <c r="CC49" i="27" a="1"/>
  <c r="CC49" i="27" s="1"/>
  <c r="CV49" i="27" a="1"/>
  <c r="CV49" i="27" s="1"/>
  <c r="CI49" i="27" a="1"/>
  <c r="CI49" i="27" s="1"/>
  <c r="CK49" i="27" a="1"/>
  <c r="CK49" i="27" s="1"/>
  <c r="CD49" i="27" a="1"/>
  <c r="CD49" i="27" s="1"/>
  <c r="BY49" i="27" a="1"/>
  <c r="BY49" i="27" s="1"/>
  <c r="CO49" i="27" a="1"/>
  <c r="CO49" i="27" s="1"/>
  <c r="CA49" i="27" a="1"/>
  <c r="CA49" i="27" s="1"/>
  <c r="CH49" i="27" a="1"/>
  <c r="CH49" i="27" s="1"/>
  <c r="CJ61" i="27" a="1"/>
  <c r="CJ61" i="27" s="1"/>
  <c r="CE61" i="27" a="1"/>
  <c r="CE61" i="27" s="1"/>
  <c r="CL61" i="27" a="1"/>
  <c r="CL61" i="27" s="1"/>
  <c r="CM61" i="27" a="1"/>
  <c r="CM61" i="27" s="1"/>
  <c r="CN61" i="27" a="1"/>
  <c r="CN61" i="27" s="1"/>
  <c r="CU61" i="27" a="1"/>
  <c r="CU61" i="27" s="1"/>
  <c r="CR61" i="27" a="1"/>
  <c r="CR61" i="27" s="1"/>
  <c r="BZ61" i="27" a="1"/>
  <c r="BZ61" i="27" s="1"/>
  <c r="CT61" i="27" a="1"/>
  <c r="CT61" i="27" s="1"/>
  <c r="CH61" i="27" a="1"/>
  <c r="CH61" i="27" s="1"/>
  <c r="CV61" i="27" a="1"/>
  <c r="CV61" i="27" s="1"/>
  <c r="CC61" i="27" a="1"/>
  <c r="CC61" i="27" s="1"/>
  <c r="CK61" i="27" a="1"/>
  <c r="CK61" i="27" s="1"/>
  <c r="CO61" i="27" a="1"/>
  <c r="CO61" i="27" s="1"/>
  <c r="CS61" i="27" a="1"/>
  <c r="CS61" i="27" s="1"/>
  <c r="CI61" i="27" a="1"/>
  <c r="CI61" i="27" s="1"/>
  <c r="CA61" i="27" a="1"/>
  <c r="CA61" i="27" s="1"/>
  <c r="CP61" i="27" a="1"/>
  <c r="CP61" i="27" s="1"/>
  <c r="AF20" i="27" a="1"/>
  <c r="AF20" i="27" s="1"/>
  <c r="U20" i="27" a="1"/>
  <c r="U20" i="27" s="1"/>
  <c r="AH20" i="27" a="1"/>
  <c r="AH20" i="27" s="1"/>
  <c r="AE20" i="27" a="1"/>
  <c r="AE20" i="27" s="1"/>
  <c r="O20" i="27" a="1"/>
  <c r="O20" i="27" s="1"/>
  <c r="Y20" i="27" a="1"/>
  <c r="Y20" i="27" s="1"/>
  <c r="Q131" i="27" a="1"/>
  <c r="Q131" i="27" s="1"/>
  <c r="X131" i="27" a="1"/>
  <c r="X131" i="27" s="1"/>
  <c r="V131" i="27" a="1"/>
  <c r="V131" i="27" s="1"/>
  <c r="Z131" i="27" a="1"/>
  <c r="Z131" i="27" s="1"/>
  <c r="Y131" i="27" a="1"/>
  <c r="Y131" i="27" s="1"/>
  <c r="T131" i="27" a="1"/>
  <c r="T131" i="27" s="1"/>
  <c r="N82" i="27" a="1"/>
  <c r="N82" i="27" s="1"/>
  <c r="AH18" i="27" a="1"/>
  <c r="AH18" i="27" s="1"/>
  <c r="Y18" i="27" a="1"/>
  <c r="Y18" i="27" s="1"/>
  <c r="AI9" i="27" a="1"/>
  <c r="AI9" i="27" s="1"/>
  <c r="R9" i="27" a="1"/>
  <c r="R9" i="27" s="1"/>
  <c r="CO8" i="27" a="1"/>
  <c r="CO8" i="27" s="1"/>
  <c r="CK55" i="27" a="1"/>
  <c r="CK55" i="27" s="1"/>
  <c r="CL136" i="27" a="1"/>
  <c r="CL136" i="27" s="1"/>
  <c r="U60" i="27" a="1"/>
  <c r="U60" i="27" s="1"/>
  <c r="AF110" i="27" a="1"/>
  <c r="AF110" i="27" s="1"/>
  <c r="Y110" i="27" a="1"/>
  <c r="Y110" i="27" s="1"/>
  <c r="AE14" i="27" a="1"/>
  <c r="AE14" i="27" s="1"/>
  <c r="AC14" i="27" a="1"/>
  <c r="AC14" i="27" s="1"/>
  <c r="CG49" i="27" a="1"/>
  <c r="CG49" i="27" s="1"/>
  <c r="CQ49" i="27" a="1"/>
  <c r="CQ49" i="27" s="1"/>
  <c r="BY61" i="27" a="1"/>
  <c r="BY61" i="27" s="1"/>
  <c r="X49" i="27" a="1"/>
  <c r="X49" i="27" s="1"/>
  <c r="M90" i="27" a="1"/>
  <c r="M90" i="27" s="1"/>
  <c r="R90" i="27" a="1"/>
  <c r="R90" i="27" s="1"/>
  <c r="CO55" i="27" a="1"/>
  <c r="CO55" i="27" s="1"/>
  <c r="CD55" i="27" a="1"/>
  <c r="CD55" i="27" s="1"/>
  <c r="CF136" i="27" a="1"/>
  <c r="CF136" i="27" s="1"/>
  <c r="CP136" i="27" a="1"/>
  <c r="CP136" i="27" s="1"/>
  <c r="AC60" i="27" a="1"/>
  <c r="AC60" i="27" s="1"/>
  <c r="Z110" i="27" a="1"/>
  <c r="Z110" i="27" s="1"/>
  <c r="Y14" i="27" a="1"/>
  <c r="Y14" i="27" s="1"/>
  <c r="Q14" i="27" a="1"/>
  <c r="Q14" i="27" s="1"/>
  <c r="CF49" i="27" a="1"/>
  <c r="CF49" i="27" s="1"/>
  <c r="CB49" i="27" a="1"/>
  <c r="CB49" i="27" s="1"/>
  <c r="CD61" i="27" a="1"/>
  <c r="CD61" i="27" s="1"/>
  <c r="AH49" i="27" a="1"/>
  <c r="AH49" i="27" s="1"/>
  <c r="AC90" i="27" a="1"/>
  <c r="AC90" i="27" s="1"/>
  <c r="T90" i="27" a="1"/>
  <c r="T90" i="27" s="1"/>
  <c r="P20" i="27" a="1"/>
  <c r="P20" i="27" s="1"/>
  <c r="X20" i="27" a="1"/>
  <c r="X20" i="27" s="1"/>
  <c r="R20" i="27" a="1"/>
  <c r="R20" i="27" s="1"/>
  <c r="W20" i="27" a="1"/>
  <c r="W20" i="27" s="1"/>
  <c r="AG20" i="27" a="1"/>
  <c r="AG20" i="27" s="1"/>
  <c r="AF131" i="27" a="1"/>
  <c r="AF131" i="27" s="1"/>
  <c r="P131" i="27" a="1"/>
  <c r="P131" i="27" s="1"/>
  <c r="AH131" i="27" a="1"/>
  <c r="AH131" i="27" s="1"/>
  <c r="R131" i="27" a="1"/>
  <c r="R131" i="27" s="1"/>
  <c r="AB131" i="27" a="1"/>
  <c r="AB131" i="27" s="1"/>
  <c r="Y82" i="27" a="1"/>
  <c r="Y82" i="27" s="1"/>
  <c r="AE82" i="27" a="1"/>
  <c r="AE82" i="27" s="1"/>
  <c r="W18" i="27" a="1"/>
  <c r="W18" i="27" s="1"/>
  <c r="Y9" i="27" a="1"/>
  <c r="Y9" i="27" s="1"/>
  <c r="CU8" i="27" a="1"/>
  <c r="CU8" i="27" s="1"/>
  <c r="CI8" i="27" a="1"/>
  <c r="CI8" i="27" s="1"/>
  <c r="CU55" i="27" a="1"/>
  <c r="CU55" i="27" s="1"/>
  <c r="CA55" i="27" a="1"/>
  <c r="CA55" i="27" s="1"/>
  <c r="CJ136" i="27" a="1"/>
  <c r="CJ136" i="27" s="1"/>
  <c r="CG136" i="27" a="1"/>
  <c r="CG136" i="27" s="1"/>
  <c r="AB60" i="27" a="1"/>
  <c r="AB60" i="27" s="1"/>
  <c r="AE60" i="27" a="1"/>
  <c r="AE60" i="27" s="1"/>
  <c r="AE110" i="27" a="1"/>
  <c r="AE110" i="27" s="1"/>
  <c r="P14" i="27" a="1"/>
  <c r="P14" i="27" s="1"/>
  <c r="CM49" i="27" a="1"/>
  <c r="CM49" i="27" s="1"/>
  <c r="CG61" i="27" a="1"/>
  <c r="CG61" i="27" s="1"/>
  <c r="CQ61" i="27" a="1"/>
  <c r="CQ61" i="27" s="1"/>
  <c r="AF49" i="27" a="1"/>
  <c r="AF49" i="27" s="1"/>
  <c r="P49" i="27" a="1"/>
  <c r="P49" i="27" s="1"/>
  <c r="Y90" i="27" a="1"/>
  <c r="Y90" i="27" s="1"/>
  <c r="Y72" i="27" a="1"/>
  <c r="Y72" i="27" s="1"/>
  <c r="S72" i="27" a="1"/>
  <c r="S72" i="27" s="1"/>
  <c r="X72" i="27" a="1"/>
  <c r="X72" i="27" s="1"/>
  <c r="AG72" i="27" a="1"/>
  <c r="AG72" i="27" s="1"/>
  <c r="Q72" i="27" a="1"/>
  <c r="Q72" i="27" s="1"/>
  <c r="Z72" i="27" a="1"/>
  <c r="Z72" i="27" s="1"/>
  <c r="AI72" i="27" a="1"/>
  <c r="AI72" i="27" s="1"/>
  <c r="O72" i="27" a="1"/>
  <c r="O72" i="27" s="1"/>
  <c r="U72" i="27" a="1"/>
  <c r="U72" i="27" s="1"/>
  <c r="AD72" i="27" a="1"/>
  <c r="AD72" i="27" s="1"/>
  <c r="N72" i="27" a="1"/>
  <c r="N72" i="27" s="1"/>
  <c r="T72" i="27" a="1"/>
  <c r="T72" i="27" s="1"/>
  <c r="V72" i="27" a="1"/>
  <c r="V72" i="27" s="1"/>
  <c r="AH72" i="27" a="1"/>
  <c r="AH72" i="27" s="1"/>
  <c r="R72" i="27" a="1"/>
  <c r="R72" i="27" s="1"/>
  <c r="AA72" i="27" a="1"/>
  <c r="AA72" i="27" s="1"/>
  <c r="AF72" i="27" a="1"/>
  <c r="AF72" i="27" s="1"/>
  <c r="DW40" i="27"/>
  <c r="DW22" i="27"/>
  <c r="DU22" i="27" s="1"/>
  <c r="DW53" i="27"/>
  <c r="DY53" i="27" s="1"/>
  <c r="DW57" i="27"/>
  <c r="DP17" i="27"/>
  <c r="DS17" i="27"/>
  <c r="DQ19" i="27"/>
  <c r="DP34" i="27"/>
  <c r="DP35" i="27"/>
  <c r="DP74" i="27"/>
  <c r="DS67" i="27"/>
  <c r="DJ85" i="27"/>
  <c r="DP87" i="27"/>
  <c r="DQ91" i="27"/>
  <c r="DJ122" i="27"/>
  <c r="DS76" i="27"/>
  <c r="DM109" i="27"/>
  <c r="DM115" i="27"/>
  <c r="DW17" i="27"/>
  <c r="DU17" i="27" s="1"/>
  <c r="X15" i="30" s="1"/>
  <c r="BY130" i="27" a="1"/>
  <c r="BY130" i="27" s="1"/>
  <c r="CG130" i="27" a="1"/>
  <c r="CG130" i="27" s="1"/>
  <c r="CO130" i="27" a="1"/>
  <c r="CO130" i="27" s="1"/>
  <c r="CD130" i="27" a="1"/>
  <c r="CD130" i="27" s="1"/>
  <c r="CN130" i="27" a="1"/>
  <c r="CN130" i="27" s="1"/>
  <c r="CP130" i="27" a="1"/>
  <c r="CP130" i="27" s="1"/>
  <c r="CA130" i="27" a="1"/>
  <c r="CA130" i="27" s="1"/>
  <c r="CI130" i="27" a="1"/>
  <c r="CI130" i="27" s="1"/>
  <c r="CL130" i="27" a="1"/>
  <c r="CL130" i="27" s="1"/>
  <c r="CV130" i="27" a="1"/>
  <c r="CV130" i="27" s="1"/>
  <c r="CB130" i="27" a="1"/>
  <c r="CB130" i="27" s="1"/>
  <c r="CK130" i="27" a="1"/>
  <c r="CK130" i="27" s="1"/>
  <c r="CF130" i="27" a="1"/>
  <c r="CF130" i="27" s="1"/>
  <c r="CQ130" i="27" a="1"/>
  <c r="CQ130" i="27" s="1"/>
  <c r="CT130" i="27" a="1"/>
  <c r="CT130" i="27" s="1"/>
  <c r="CJ130" i="27" a="1"/>
  <c r="CJ130" i="27" s="1"/>
  <c r="CH130" i="27" a="1"/>
  <c r="CH130" i="27" s="1"/>
  <c r="CC130" i="27" a="1"/>
  <c r="CC130" i="27" s="1"/>
  <c r="CS130" i="27" a="1"/>
  <c r="CS130" i="27" s="1"/>
  <c r="BZ130" i="27" a="1"/>
  <c r="BZ130" i="27" s="1"/>
  <c r="CE130" i="27" a="1"/>
  <c r="CE130" i="27" s="1"/>
  <c r="CM130" i="27" a="1"/>
  <c r="CM130" i="27" s="1"/>
  <c r="CU130" i="27" a="1"/>
  <c r="CU130" i="27" s="1"/>
  <c r="CR130" i="27" a="1"/>
  <c r="CR130" i="27" s="1"/>
  <c r="N76" i="27" a="1"/>
  <c r="N76" i="27" s="1"/>
  <c r="R76" i="27" a="1"/>
  <c r="R76" i="27" s="1"/>
  <c r="X76" i="27" a="1"/>
  <c r="X76" i="27" s="1"/>
  <c r="AA76" i="27" a="1"/>
  <c r="AA76" i="27" s="1"/>
  <c r="AD76" i="27" a="1"/>
  <c r="AD76" i="27" s="1"/>
  <c r="AH76" i="27" a="1"/>
  <c r="AH76" i="27" s="1"/>
  <c r="P76" i="27" a="1"/>
  <c r="P76" i="27" s="1"/>
  <c r="S76" i="27" a="1"/>
  <c r="S76" i="27" s="1"/>
  <c r="V76" i="27" a="1"/>
  <c r="V76" i="27" s="1"/>
  <c r="Z76" i="27" a="1"/>
  <c r="Z76" i="27" s="1"/>
  <c r="AF76" i="27" a="1"/>
  <c r="AF76" i="27" s="1"/>
  <c r="AI76" i="27" a="1"/>
  <c r="AI76" i="27" s="1"/>
  <c r="O76" i="27" a="1"/>
  <c r="O76" i="27" s="1"/>
  <c r="U76" i="27" a="1"/>
  <c r="U76" i="27" s="1"/>
  <c r="AB76" i="27" a="1"/>
  <c r="AB76" i="27" s="1"/>
  <c r="Q76" i="27" a="1"/>
  <c r="Q76" i="27" s="1"/>
  <c r="W76" i="27" a="1"/>
  <c r="W76" i="27" s="1"/>
  <c r="AC76" i="27" a="1"/>
  <c r="AC76" i="27" s="1"/>
  <c r="L76" i="27" a="1"/>
  <c r="L76" i="27" s="1"/>
  <c r="Y76" i="27" a="1"/>
  <c r="Y76" i="27" s="1"/>
  <c r="AE76" i="27" a="1"/>
  <c r="AE76" i="27" s="1"/>
  <c r="T76" i="27" a="1"/>
  <c r="T76" i="27" s="1"/>
  <c r="AG76" i="27" a="1"/>
  <c r="AG76" i="27" s="1"/>
  <c r="M76" i="27" a="1"/>
  <c r="M76" i="27" s="1"/>
  <c r="N118" i="27" a="1"/>
  <c r="N118" i="27" s="1"/>
  <c r="Q118" i="27" a="1"/>
  <c r="Q118" i="27" s="1"/>
  <c r="V118" i="27" a="1"/>
  <c r="V118" i="27" s="1"/>
  <c r="Y118" i="27" a="1"/>
  <c r="Y118" i="27" s="1"/>
  <c r="AD118" i="27" a="1"/>
  <c r="AD118" i="27" s="1"/>
  <c r="AG118" i="27" a="1"/>
  <c r="AG118" i="27" s="1"/>
  <c r="L118" i="27" a="1"/>
  <c r="L118" i="27" s="1"/>
  <c r="O118" i="27" a="1"/>
  <c r="O118" i="27" s="1"/>
  <c r="T118" i="27" a="1"/>
  <c r="T118" i="27" s="1"/>
  <c r="W118" i="27" a="1"/>
  <c r="W118" i="27" s="1"/>
  <c r="AB118" i="27" a="1"/>
  <c r="AB118" i="27" s="1"/>
  <c r="AE118" i="27" a="1"/>
  <c r="AE118" i="27" s="1"/>
  <c r="M118" i="27" a="1"/>
  <c r="M118" i="27" s="1"/>
  <c r="R118" i="27" a="1"/>
  <c r="R118" i="27" s="1"/>
  <c r="U118" i="27" a="1"/>
  <c r="U118" i="27" s="1"/>
  <c r="Z118" i="27" a="1"/>
  <c r="Z118" i="27" s="1"/>
  <c r="AC118" i="27" a="1"/>
  <c r="AC118" i="27" s="1"/>
  <c r="AH118" i="27" a="1"/>
  <c r="AH118" i="27" s="1"/>
  <c r="P118" i="27" a="1"/>
  <c r="P118" i="27" s="1"/>
  <c r="AA118" i="27" a="1"/>
  <c r="AA118" i="27" s="1"/>
  <c r="AI118" i="27" a="1"/>
  <c r="AI118" i="27" s="1"/>
  <c r="S118" i="27" a="1"/>
  <c r="S118" i="27" s="1"/>
  <c r="X118" i="27" a="1"/>
  <c r="X118" i="27" s="1"/>
  <c r="AF118" i="27" a="1"/>
  <c r="AF118" i="27" s="1"/>
  <c r="O54" i="27" a="1"/>
  <c r="O54" i="27" s="1"/>
  <c r="R54" i="27" a="1"/>
  <c r="R54" i="27" s="1"/>
  <c r="W54" i="27" a="1"/>
  <c r="W54" i="27" s="1"/>
  <c r="Z54" i="27" a="1"/>
  <c r="Z54" i="27" s="1"/>
  <c r="AE54" i="27" a="1"/>
  <c r="AE54" i="27" s="1"/>
  <c r="AH54" i="27" a="1"/>
  <c r="AH54" i="27" s="1"/>
  <c r="M54" i="27" a="1"/>
  <c r="M54" i="27" s="1"/>
  <c r="P54" i="27" a="1"/>
  <c r="P54" i="27" s="1"/>
  <c r="U54" i="27" a="1"/>
  <c r="U54" i="27" s="1"/>
  <c r="X54" i="27" a="1"/>
  <c r="X54" i="27" s="1"/>
  <c r="AC54" i="27" a="1"/>
  <c r="AC54" i="27" s="1"/>
  <c r="AF54" i="27" a="1"/>
  <c r="AF54" i="27" s="1"/>
  <c r="V54" i="27" a="1"/>
  <c r="V54" i="27" s="1"/>
  <c r="AA54" i="27" a="1"/>
  <c r="AA54" i="27" s="1"/>
  <c r="L54" i="27" a="1"/>
  <c r="L54" i="27" s="1"/>
  <c r="Q54" i="27" a="1"/>
  <c r="Q54" i="27" s="1"/>
  <c r="AB54" i="27" a="1"/>
  <c r="AB54" i="27" s="1"/>
  <c r="AG54" i="27" a="1"/>
  <c r="AG54" i="27" s="1"/>
  <c r="N54" i="27" a="1"/>
  <c r="N54" i="27" s="1"/>
  <c r="S54" i="27" a="1"/>
  <c r="S54" i="27" s="1"/>
  <c r="AD54" i="27" a="1"/>
  <c r="AD54" i="27" s="1"/>
  <c r="AI54" i="27" a="1"/>
  <c r="AI54" i="27" s="1"/>
  <c r="T54" i="27" a="1"/>
  <c r="T54" i="27" s="1"/>
  <c r="Y54" i="27" a="1"/>
  <c r="Y54" i="27" s="1"/>
  <c r="M107" i="27" a="1"/>
  <c r="M107" i="27" s="1"/>
  <c r="S107" i="27" a="1"/>
  <c r="S107" i="27" s="1"/>
  <c r="W107" i="27" a="1"/>
  <c r="W107" i="27" s="1"/>
  <c r="Z107" i="27" a="1"/>
  <c r="Z107" i="27" s="1"/>
  <c r="AC107" i="27" a="1"/>
  <c r="AC107" i="27" s="1"/>
  <c r="AI107" i="27" a="1"/>
  <c r="AI107" i="27" s="1"/>
  <c r="N107" i="27" a="1"/>
  <c r="N107" i="27" s="1"/>
  <c r="Q107" i="27" a="1"/>
  <c r="Q107" i="27" s="1"/>
  <c r="T107" i="27" a="1"/>
  <c r="T107" i="27" s="1"/>
  <c r="X107" i="27" a="1"/>
  <c r="X107" i="27" s="1"/>
  <c r="AD107" i="27" a="1"/>
  <c r="AD107" i="27" s="1"/>
  <c r="AG107" i="27" a="1"/>
  <c r="AG107" i="27" s="1"/>
  <c r="O107" i="27" a="1"/>
  <c r="O107" i="27" s="1"/>
  <c r="R107" i="27" a="1"/>
  <c r="R107" i="27" s="1"/>
  <c r="U107" i="27" a="1"/>
  <c r="U107" i="27" s="1"/>
  <c r="AA107" i="27" a="1"/>
  <c r="AA107" i="27" s="1"/>
  <c r="AE107" i="27" a="1"/>
  <c r="AE107" i="27" s="1"/>
  <c r="AH107" i="27" a="1"/>
  <c r="AH107" i="27" s="1"/>
  <c r="AF107" i="27" a="1"/>
  <c r="AF107" i="27" s="1"/>
  <c r="V107" i="27" a="1"/>
  <c r="V107" i="27" s="1"/>
  <c r="P107" i="27" a="1"/>
  <c r="P107" i="27" s="1"/>
  <c r="AB107" i="27" a="1"/>
  <c r="AB107" i="27" s="1"/>
  <c r="L107" i="27" a="1"/>
  <c r="L107" i="27" s="1"/>
  <c r="Y107" i="27" a="1"/>
  <c r="Y107" i="27" s="1"/>
  <c r="O7" i="27" a="1"/>
  <c r="O7" i="27" s="1"/>
  <c r="S7" i="27" a="1"/>
  <c r="S7" i="27" s="1"/>
  <c r="W7" i="27" a="1"/>
  <c r="W7" i="27" s="1"/>
  <c r="AA7" i="27" a="1"/>
  <c r="AA7" i="27" s="1"/>
  <c r="AE7" i="27" a="1"/>
  <c r="AE7" i="27" s="1"/>
  <c r="AI7" i="27" a="1"/>
  <c r="AI7" i="27" s="1"/>
  <c r="L7" i="27" a="1"/>
  <c r="L7" i="27" s="1"/>
  <c r="P7" i="27" a="1"/>
  <c r="P7" i="27" s="1"/>
  <c r="T7" i="27" a="1"/>
  <c r="T7" i="27" s="1"/>
  <c r="X7" i="27" a="1"/>
  <c r="X7" i="27" s="1"/>
  <c r="AB7" i="27" a="1"/>
  <c r="AB7" i="27" s="1"/>
  <c r="AF7" i="27" a="1"/>
  <c r="AF7" i="27" s="1"/>
  <c r="M7" i="27" a="1"/>
  <c r="M7" i="27" s="1"/>
  <c r="Q7" i="27" a="1"/>
  <c r="Q7" i="27" s="1"/>
  <c r="U7" i="27" a="1"/>
  <c r="U7" i="27" s="1"/>
  <c r="Y7" i="27" a="1"/>
  <c r="Y7" i="27" s="1"/>
  <c r="AC7" i="27" a="1"/>
  <c r="AC7" i="27" s="1"/>
  <c r="AG7" i="27" a="1"/>
  <c r="AG7" i="27" s="1"/>
  <c r="Z7" i="27" a="1"/>
  <c r="Z7" i="27" s="1"/>
  <c r="N7" i="27" a="1"/>
  <c r="N7" i="27" s="1"/>
  <c r="AD7" i="27" a="1"/>
  <c r="AD7" i="27" s="1"/>
  <c r="R7" i="27" a="1"/>
  <c r="R7" i="27" s="1"/>
  <c r="AH7" i="27" a="1"/>
  <c r="AH7" i="27" s="1"/>
  <c r="V7" i="27" a="1"/>
  <c r="V7" i="27" s="1"/>
  <c r="DM11" i="27"/>
  <c r="DP11" i="27"/>
  <c r="DR23" i="27"/>
  <c r="DM23" i="27"/>
  <c r="DP51" i="27"/>
  <c r="DR88" i="27"/>
  <c r="DM88" i="27"/>
  <c r="DS98" i="27"/>
  <c r="DJ97" i="27"/>
  <c r="DM117" i="27"/>
  <c r="BZ91" i="27" a="1"/>
  <c r="BZ91" i="27" s="1"/>
  <c r="CH91" i="27" a="1"/>
  <c r="CH91" i="27" s="1"/>
  <c r="CP91" i="27" a="1"/>
  <c r="CP91" i="27" s="1"/>
  <c r="CA91" i="27" a="1"/>
  <c r="CA91" i="27" s="1"/>
  <c r="CG91" i="27" a="1"/>
  <c r="CG91" i="27" s="1"/>
  <c r="CU91" i="27" a="1"/>
  <c r="CU91" i="27" s="1"/>
  <c r="CB91" i="27" a="1"/>
  <c r="CB91" i="27" s="1"/>
  <c r="CJ91" i="27" a="1"/>
  <c r="CJ91" i="27" s="1"/>
  <c r="CR91" i="27" a="1"/>
  <c r="CR91" i="27" s="1"/>
  <c r="CI91" i="27" a="1"/>
  <c r="CI91" i="27" s="1"/>
  <c r="CO91" i="27" a="1"/>
  <c r="CO91" i="27" s="1"/>
  <c r="CS91" i="27" a="1"/>
  <c r="CS91" i="27" s="1"/>
  <c r="CD91" i="27" a="1"/>
  <c r="CD91" i="27" s="1"/>
  <c r="CL91" i="27" a="1"/>
  <c r="CL91" i="27" s="1"/>
  <c r="CT91" i="27" a="1"/>
  <c r="CT91" i="27" s="1"/>
  <c r="CQ91" i="27" a="1"/>
  <c r="CQ91" i="27" s="1"/>
  <c r="CE91" i="27" a="1"/>
  <c r="CE91" i="27" s="1"/>
  <c r="CK91" i="27" a="1"/>
  <c r="CK91" i="27" s="1"/>
  <c r="CF91" i="27" a="1"/>
  <c r="CF91" i="27" s="1"/>
  <c r="CN91" i="27" a="1"/>
  <c r="CN91" i="27" s="1"/>
  <c r="CV91" i="27" a="1"/>
  <c r="CV91" i="27" s="1"/>
  <c r="BY91" i="27" a="1"/>
  <c r="BY91" i="27" s="1"/>
  <c r="CM91" i="27" a="1"/>
  <c r="CM91" i="27" s="1"/>
  <c r="CC91" i="27" a="1"/>
  <c r="CC91" i="27" s="1"/>
  <c r="DW135" i="27"/>
  <c r="DU135" i="27" s="1"/>
  <c r="X133" i="30" s="1"/>
  <c r="N99" i="27" a="1"/>
  <c r="N99" i="27" s="1"/>
  <c r="S99" i="27" a="1"/>
  <c r="S99" i="27" s="1"/>
  <c r="V99" i="27" a="1"/>
  <c r="V99" i="27" s="1"/>
  <c r="AA99" i="27" a="1"/>
  <c r="AA99" i="27" s="1"/>
  <c r="AD99" i="27" a="1"/>
  <c r="AD99" i="27" s="1"/>
  <c r="AI99" i="27" a="1"/>
  <c r="AI99" i="27" s="1"/>
  <c r="L99" i="27" a="1"/>
  <c r="L99" i="27" s="1"/>
  <c r="Q99" i="27" a="1"/>
  <c r="Q99" i="27" s="1"/>
  <c r="T99" i="27" a="1"/>
  <c r="T99" i="27" s="1"/>
  <c r="Y99" i="27" a="1"/>
  <c r="Y99" i="27" s="1"/>
  <c r="AB99" i="27" a="1"/>
  <c r="AB99" i="27" s="1"/>
  <c r="AG99" i="27" a="1"/>
  <c r="AG99" i="27" s="1"/>
  <c r="O99" i="27" a="1"/>
  <c r="O99" i="27" s="1"/>
  <c r="R99" i="27" a="1"/>
  <c r="R99" i="27" s="1"/>
  <c r="W99" i="27" a="1"/>
  <c r="W99" i="27" s="1"/>
  <c r="Z99" i="27" a="1"/>
  <c r="Z99" i="27" s="1"/>
  <c r="AE99" i="27" a="1"/>
  <c r="AE99" i="27" s="1"/>
  <c r="AH99" i="27" a="1"/>
  <c r="AH99" i="27" s="1"/>
  <c r="U99" i="27" a="1"/>
  <c r="U99" i="27" s="1"/>
  <c r="AF99" i="27" a="1"/>
  <c r="AF99" i="27" s="1"/>
  <c r="M99" i="27" a="1"/>
  <c r="M99" i="27" s="1"/>
  <c r="X99" i="27" a="1"/>
  <c r="X99" i="27" s="1"/>
  <c r="AC99" i="27" a="1"/>
  <c r="AC99" i="27" s="1"/>
  <c r="P99" i="27" a="1"/>
  <c r="P99" i="27" s="1"/>
  <c r="L35" i="27" a="1"/>
  <c r="L35" i="27" s="1"/>
  <c r="O35" i="27" a="1"/>
  <c r="O35" i="27" s="1"/>
  <c r="T35" i="27" a="1"/>
  <c r="T35" i="27" s="1"/>
  <c r="W35" i="27" a="1"/>
  <c r="W35" i="27" s="1"/>
  <c r="Z35" i="27" a="1"/>
  <c r="Z35" i="27" s="1"/>
  <c r="AD35" i="27" a="1"/>
  <c r="AD35" i="27" s="1"/>
  <c r="AH35" i="27" a="1"/>
  <c r="AH35" i="27" s="1"/>
  <c r="M35" i="27" a="1"/>
  <c r="M35" i="27" s="1"/>
  <c r="R35" i="27" a="1"/>
  <c r="R35" i="27" s="1"/>
  <c r="U35" i="27" a="1"/>
  <c r="U35" i="27" s="1"/>
  <c r="AA35" i="27" a="1"/>
  <c r="AA35" i="27" s="1"/>
  <c r="AE35" i="27" a="1"/>
  <c r="AE35" i="27" s="1"/>
  <c r="AI35" i="27" a="1"/>
  <c r="AI35" i="27" s="1"/>
  <c r="N35" i="27" a="1"/>
  <c r="N35" i="27" s="1"/>
  <c r="Y35" i="27" a="1"/>
  <c r="Y35" i="27" s="1"/>
  <c r="AG35" i="27" a="1"/>
  <c r="AG35" i="27" s="1"/>
  <c r="P35" i="27" a="1"/>
  <c r="P35" i="27" s="1"/>
  <c r="AB35" i="27" a="1"/>
  <c r="AB35" i="27" s="1"/>
  <c r="Q35" i="27" a="1"/>
  <c r="Q35" i="27" s="1"/>
  <c r="V35" i="27" a="1"/>
  <c r="V35" i="27" s="1"/>
  <c r="AC35" i="27" a="1"/>
  <c r="AC35" i="27" s="1"/>
  <c r="AF35" i="27" a="1"/>
  <c r="AF35" i="27" s="1"/>
  <c r="S35" i="27" a="1"/>
  <c r="S35" i="27" s="1"/>
  <c r="X35" i="27" a="1"/>
  <c r="X35" i="27" s="1"/>
  <c r="DM14" i="27"/>
  <c r="DQ13" i="27"/>
  <c r="DP25" i="27"/>
  <c r="DR45" i="27"/>
  <c r="DM92" i="27"/>
  <c r="DP82" i="27"/>
  <c r="DM95" i="27"/>
  <c r="DS118" i="27"/>
  <c r="DW30" i="27"/>
  <c r="DU30" i="27" s="1"/>
  <c r="X28" i="30" s="1"/>
  <c r="DW102" i="27"/>
  <c r="DU102" i="27" s="1"/>
  <c r="BJ56" i="27"/>
  <c r="BH56" i="27" s="1"/>
  <c r="DS28" i="27"/>
  <c r="DP32" i="27"/>
  <c r="DP70" i="27"/>
  <c r="DM71" i="27"/>
  <c r="DR81" i="27"/>
  <c r="DM81" i="27"/>
  <c r="DJ64" i="27"/>
  <c r="DP86" i="27"/>
  <c r="DP100" i="27"/>
  <c r="DW20" i="27"/>
  <c r="DU20" i="27" s="1"/>
  <c r="X18" i="30" s="1"/>
  <c r="DW97" i="27"/>
  <c r="DU97" i="27" s="1"/>
  <c r="DW124" i="27"/>
  <c r="DU124" i="27" s="1"/>
  <c r="X122" i="30" s="1"/>
  <c r="M111" i="27" a="1"/>
  <c r="M111" i="27" s="1"/>
  <c r="R111" i="27" a="1"/>
  <c r="R111" i="27" s="1"/>
  <c r="U111" i="27" a="1"/>
  <c r="U111" i="27" s="1"/>
  <c r="Z111" i="27" a="1"/>
  <c r="Z111" i="27" s="1"/>
  <c r="AC111" i="27" a="1"/>
  <c r="AC111" i="27" s="1"/>
  <c r="AH111" i="27" a="1"/>
  <c r="AH111" i="27" s="1"/>
  <c r="P111" i="27" a="1"/>
  <c r="P111" i="27" s="1"/>
  <c r="S111" i="27" a="1"/>
  <c r="S111" i="27" s="1"/>
  <c r="X111" i="27" a="1"/>
  <c r="X111" i="27" s="1"/>
  <c r="AA111" i="27" a="1"/>
  <c r="AA111" i="27" s="1"/>
  <c r="AF111" i="27" a="1"/>
  <c r="AF111" i="27" s="1"/>
  <c r="AI111" i="27" a="1"/>
  <c r="AI111" i="27" s="1"/>
  <c r="N111" i="27" a="1"/>
  <c r="N111" i="27" s="1"/>
  <c r="Q111" i="27" a="1"/>
  <c r="Q111" i="27" s="1"/>
  <c r="V111" i="27" a="1"/>
  <c r="V111" i="27" s="1"/>
  <c r="Y111" i="27" a="1"/>
  <c r="Y111" i="27" s="1"/>
  <c r="AD111" i="27" a="1"/>
  <c r="AD111" i="27" s="1"/>
  <c r="AG111" i="27" a="1"/>
  <c r="AG111" i="27" s="1"/>
  <c r="L111" i="27" a="1"/>
  <c r="L111" i="27" s="1"/>
  <c r="W111" i="27" a="1"/>
  <c r="W111" i="27" s="1"/>
  <c r="O111" i="27" a="1"/>
  <c r="O111" i="27" s="1"/>
  <c r="AB111" i="27" a="1"/>
  <c r="AB111" i="27" s="1"/>
  <c r="T111" i="27" a="1"/>
  <c r="T111" i="27" s="1"/>
  <c r="AE111" i="27" a="1"/>
  <c r="AE111" i="27" s="1"/>
  <c r="AW38" i="27"/>
  <c r="AW79" i="27"/>
  <c r="DW78" i="27"/>
  <c r="DU78" i="27" s="1"/>
  <c r="BZ54" i="27" a="1"/>
  <c r="BZ54" i="27" s="1"/>
  <c r="CH54" i="27" a="1"/>
  <c r="CH54" i="27" s="1"/>
  <c r="CP54" i="27" a="1"/>
  <c r="CP54" i="27" s="1"/>
  <c r="BY54" i="27" a="1"/>
  <c r="BY54" i="27" s="1"/>
  <c r="CG54" i="27" a="1"/>
  <c r="CG54" i="27" s="1"/>
  <c r="CO54" i="27" a="1"/>
  <c r="CO54" i="27" s="1"/>
  <c r="CB54" i="27" a="1"/>
  <c r="CB54" i="27" s="1"/>
  <c r="CJ54" i="27" a="1"/>
  <c r="CJ54" i="27" s="1"/>
  <c r="CR54" i="27" a="1"/>
  <c r="CR54" i="27" s="1"/>
  <c r="CA54" i="27" a="1"/>
  <c r="CA54" i="27" s="1"/>
  <c r="CI54" i="27" a="1"/>
  <c r="CI54" i="27" s="1"/>
  <c r="CQ54" i="27" a="1"/>
  <c r="CQ54" i="27" s="1"/>
  <c r="CD54" i="27" a="1"/>
  <c r="CD54" i="27" s="1"/>
  <c r="CL54" i="27" a="1"/>
  <c r="CL54" i="27" s="1"/>
  <c r="CT54" i="27" a="1"/>
  <c r="CT54" i="27" s="1"/>
  <c r="CC54" i="27" a="1"/>
  <c r="CC54" i="27" s="1"/>
  <c r="CK54" i="27" a="1"/>
  <c r="CK54" i="27" s="1"/>
  <c r="CS54" i="27" a="1"/>
  <c r="CS54" i="27" s="1"/>
  <c r="CF54" i="27" a="1"/>
  <c r="CF54" i="27" s="1"/>
  <c r="CN54" i="27" a="1"/>
  <c r="CN54" i="27" s="1"/>
  <c r="CV54" i="27" a="1"/>
  <c r="CV54" i="27" s="1"/>
  <c r="CE54" i="27" a="1"/>
  <c r="CE54" i="27" s="1"/>
  <c r="CM54" i="27" a="1"/>
  <c r="CM54" i="27" s="1"/>
  <c r="CU54" i="27" a="1"/>
  <c r="CU54" i="27" s="1"/>
  <c r="M22" i="27" a="1"/>
  <c r="M22" i="27" s="1"/>
  <c r="R22" i="27" a="1"/>
  <c r="R22" i="27" s="1"/>
  <c r="Y22" i="27" a="1"/>
  <c r="Y22" i="27" s="1"/>
  <c r="AC22" i="27" a="1"/>
  <c r="AC22" i="27" s="1"/>
  <c r="AF22" i="27" a="1"/>
  <c r="AF22" i="27" s="1"/>
  <c r="P22" i="27" a="1"/>
  <c r="P22" i="27" s="1"/>
  <c r="S22" i="27" a="1"/>
  <c r="S22" i="27" s="1"/>
  <c r="V22" i="27" a="1"/>
  <c r="V22" i="27" s="1"/>
  <c r="Z22" i="27" a="1"/>
  <c r="Z22" i="27" s="1"/>
  <c r="AG22" i="27" a="1"/>
  <c r="AG22" i="27" s="1"/>
  <c r="N22" i="27" a="1"/>
  <c r="N22" i="27" s="1"/>
  <c r="T22" i="27" a="1"/>
  <c r="T22" i="27" s="1"/>
  <c r="AA22" i="27" a="1"/>
  <c r="AA22" i="27" s="1"/>
  <c r="AH22" i="27" a="1"/>
  <c r="AH22" i="27" s="1"/>
  <c r="O22" i="27" a="1"/>
  <c r="O22" i="27" s="1"/>
  <c r="U22" i="27" a="1"/>
  <c r="U22" i="27" s="1"/>
  <c r="AB22" i="27" a="1"/>
  <c r="AB22" i="27" s="1"/>
  <c r="AI22" i="27" a="1"/>
  <c r="AI22" i="27" s="1"/>
  <c r="Q22" i="27" a="1"/>
  <c r="Q22" i="27" s="1"/>
  <c r="W22" i="27" a="1"/>
  <c r="W22" i="27" s="1"/>
  <c r="AD22" i="27" a="1"/>
  <c r="AD22" i="27" s="1"/>
  <c r="L22" i="27" a="1"/>
  <c r="L22" i="27" s="1"/>
  <c r="X22" i="27" a="1"/>
  <c r="X22" i="27" s="1"/>
  <c r="AE22" i="27" a="1"/>
  <c r="AE22" i="27" s="1"/>
  <c r="M75" i="27" a="1"/>
  <c r="M75" i="27" s="1"/>
  <c r="P75" i="27" a="1"/>
  <c r="P75" i="27" s="1"/>
  <c r="T75" i="27" a="1"/>
  <c r="T75" i="27" s="1"/>
  <c r="Z75" i="27" a="1"/>
  <c r="Z75" i="27" s="1"/>
  <c r="AC75" i="27" a="1"/>
  <c r="AC75" i="27" s="1"/>
  <c r="AF75" i="27" a="1"/>
  <c r="AF75" i="27" s="1"/>
  <c r="N75" i="27" a="1"/>
  <c r="N75" i="27" s="1"/>
  <c r="Q75" i="27" a="1"/>
  <c r="Q75" i="27" s="1"/>
  <c r="W75" i="27" a="1"/>
  <c r="W75" i="27" s="1"/>
  <c r="AA75" i="27" a="1"/>
  <c r="AA75" i="27" s="1"/>
  <c r="AD75" i="27" a="1"/>
  <c r="AD75" i="27" s="1"/>
  <c r="AG75" i="27" a="1"/>
  <c r="AG75" i="27" s="1"/>
  <c r="L75" i="27" a="1"/>
  <c r="L75" i="27" s="1"/>
  <c r="R75" i="27" a="1"/>
  <c r="R75" i="27" s="1"/>
  <c r="U75" i="27" a="1"/>
  <c r="U75" i="27" s="1"/>
  <c r="X75" i="27" a="1"/>
  <c r="X75" i="27" s="1"/>
  <c r="AB75" i="27" a="1"/>
  <c r="AB75" i="27" s="1"/>
  <c r="AH75" i="27" a="1"/>
  <c r="AH75" i="27" s="1"/>
  <c r="Y75" i="27" a="1"/>
  <c r="Y75" i="27" s="1"/>
  <c r="O75" i="27" a="1"/>
  <c r="O75" i="27" s="1"/>
  <c r="S75" i="27" a="1"/>
  <c r="S75" i="27" s="1"/>
  <c r="AE75" i="27" a="1"/>
  <c r="AE75" i="27" s="1"/>
  <c r="AI75" i="27" a="1"/>
  <c r="AI75" i="27" s="1"/>
  <c r="V75" i="27" a="1"/>
  <c r="V75" i="27" s="1"/>
  <c r="L11" i="27" a="1"/>
  <c r="L11" i="27" s="1"/>
  <c r="Q11" i="27" a="1"/>
  <c r="Q11" i="27" s="1"/>
  <c r="T11" i="27" a="1"/>
  <c r="T11" i="27" s="1"/>
  <c r="Y11" i="27" a="1"/>
  <c r="Y11" i="27" s="1"/>
  <c r="AB11" i="27" a="1"/>
  <c r="AB11" i="27" s="1"/>
  <c r="AG11" i="27" a="1"/>
  <c r="AG11" i="27" s="1"/>
  <c r="O11" i="27" a="1"/>
  <c r="O11" i="27" s="1"/>
  <c r="R11" i="27" a="1"/>
  <c r="R11" i="27" s="1"/>
  <c r="W11" i="27" a="1"/>
  <c r="W11" i="27" s="1"/>
  <c r="Z11" i="27" a="1"/>
  <c r="Z11" i="27" s="1"/>
  <c r="AE11" i="27" a="1"/>
  <c r="AE11" i="27" s="1"/>
  <c r="AH11" i="27" a="1"/>
  <c r="AH11" i="27" s="1"/>
  <c r="P11" i="27" a="1"/>
  <c r="P11" i="27" s="1"/>
  <c r="U11" i="27" a="1"/>
  <c r="U11" i="27" s="1"/>
  <c r="AF11" i="27" a="1"/>
  <c r="AF11" i="27" s="1"/>
  <c r="V11" i="27" a="1"/>
  <c r="V11" i="27" s="1"/>
  <c r="AA11" i="27" a="1"/>
  <c r="AA11" i="27" s="1"/>
  <c r="M11" i="27" a="1"/>
  <c r="M11" i="27" s="1"/>
  <c r="X11" i="27" a="1"/>
  <c r="X11" i="27" s="1"/>
  <c r="AC11" i="27" a="1"/>
  <c r="AC11" i="27" s="1"/>
  <c r="N11" i="27" a="1"/>
  <c r="N11" i="27" s="1"/>
  <c r="AI11" i="27" a="1"/>
  <c r="AI11" i="27" s="1"/>
  <c r="S11" i="27" a="1"/>
  <c r="S11" i="27" s="1"/>
  <c r="AD11" i="27" a="1"/>
  <c r="AD11" i="27" s="1"/>
  <c r="M93" i="27" a="1"/>
  <c r="M93" i="27" s="1"/>
  <c r="P93" i="27" a="1"/>
  <c r="P93" i="27" s="1"/>
  <c r="S93" i="27" a="1"/>
  <c r="S93" i="27" s="1"/>
  <c r="Z93" i="27" a="1"/>
  <c r="Z93" i="27" s="1"/>
  <c r="AC93" i="27" a="1"/>
  <c r="AC93" i="27" s="1"/>
  <c r="AF93" i="27" a="1"/>
  <c r="AF93" i="27" s="1"/>
  <c r="AI93" i="27" a="1"/>
  <c r="AI93" i="27" s="1"/>
  <c r="N93" i="27" a="1"/>
  <c r="N93" i="27" s="1"/>
  <c r="Q93" i="27" a="1"/>
  <c r="Q93" i="27" s="1"/>
  <c r="T93" i="27" a="1"/>
  <c r="T93" i="27" s="1"/>
  <c r="W93" i="27" a="1"/>
  <c r="W93" i="27" s="1"/>
  <c r="AD93" i="27" a="1"/>
  <c r="AD93" i="27" s="1"/>
  <c r="AG93" i="27" a="1"/>
  <c r="AG93" i="27" s="1"/>
  <c r="R93" i="27" a="1"/>
  <c r="R93" i="27" s="1"/>
  <c r="U93" i="27" a="1"/>
  <c r="U93" i="27" s="1"/>
  <c r="X93" i="27" a="1"/>
  <c r="X93" i="27" s="1"/>
  <c r="AA93" i="27" a="1"/>
  <c r="AA93" i="27" s="1"/>
  <c r="AH93" i="27" a="1"/>
  <c r="AH93" i="27" s="1"/>
  <c r="AE93" i="27" a="1"/>
  <c r="AE93" i="27" s="1"/>
  <c r="V93" i="27" a="1"/>
  <c r="V93" i="27" s="1"/>
  <c r="L93" i="27" a="1"/>
  <c r="L93" i="27" s="1"/>
  <c r="Y93" i="27" a="1"/>
  <c r="Y93" i="27" s="1"/>
  <c r="O93" i="27" a="1"/>
  <c r="O93" i="27" s="1"/>
  <c r="AB93" i="27" a="1"/>
  <c r="AB93" i="27" s="1"/>
  <c r="L103" i="27" a="1"/>
  <c r="L103" i="27" s="1"/>
  <c r="Q103" i="27" a="1"/>
  <c r="Q103" i="27" s="1"/>
  <c r="T103" i="27" a="1"/>
  <c r="T103" i="27" s="1"/>
  <c r="Y103" i="27" a="1"/>
  <c r="Y103" i="27" s="1"/>
  <c r="AB103" i="27" a="1"/>
  <c r="AB103" i="27" s="1"/>
  <c r="AG103" i="27" a="1"/>
  <c r="AG103" i="27" s="1"/>
  <c r="O103" i="27" a="1"/>
  <c r="O103" i="27" s="1"/>
  <c r="R103" i="27" a="1"/>
  <c r="R103" i="27" s="1"/>
  <c r="W103" i="27" a="1"/>
  <c r="W103" i="27" s="1"/>
  <c r="Z103" i="27" a="1"/>
  <c r="Z103" i="27" s="1"/>
  <c r="AE103" i="27" a="1"/>
  <c r="AE103" i="27" s="1"/>
  <c r="AH103" i="27" a="1"/>
  <c r="AH103" i="27" s="1"/>
  <c r="M103" i="27" a="1"/>
  <c r="M103" i="27" s="1"/>
  <c r="P103" i="27" a="1"/>
  <c r="P103" i="27" s="1"/>
  <c r="U103" i="27" a="1"/>
  <c r="U103" i="27" s="1"/>
  <c r="X103" i="27" a="1"/>
  <c r="X103" i="27" s="1"/>
  <c r="AC103" i="27" a="1"/>
  <c r="AC103" i="27" s="1"/>
  <c r="AF103" i="27" a="1"/>
  <c r="AF103" i="27" s="1"/>
  <c r="V103" i="27" a="1"/>
  <c r="V103" i="27" s="1"/>
  <c r="N103" i="27" a="1"/>
  <c r="N103" i="27" s="1"/>
  <c r="AI103" i="27" a="1"/>
  <c r="AI103" i="27" s="1"/>
  <c r="AD103" i="27" a="1"/>
  <c r="AD103" i="27" s="1"/>
  <c r="AA103" i="27" a="1"/>
  <c r="AA103" i="27" s="1"/>
  <c r="S103" i="27" a="1"/>
  <c r="S103" i="27" s="1"/>
  <c r="DJ7" i="27"/>
  <c r="DJ16" i="27"/>
  <c r="DQ39" i="27"/>
  <c r="DJ30" i="27"/>
  <c r="DP30" i="27"/>
  <c r="DQ65" i="27"/>
  <c r="DP65" i="27"/>
  <c r="DQ62" i="27"/>
  <c r="DQ98" i="27"/>
  <c r="DQ103" i="27"/>
  <c r="DP103" i="27"/>
  <c r="DP93" i="27"/>
  <c r="DJ111" i="27"/>
  <c r="DW137" i="27"/>
  <c r="DU137" i="27" s="1"/>
  <c r="X135" i="30" s="1"/>
  <c r="L68" i="27" a="1"/>
  <c r="L68" i="27" s="1"/>
  <c r="Q68" i="27" a="1"/>
  <c r="Q68" i="27" s="1"/>
  <c r="T68" i="27" a="1"/>
  <c r="T68" i="27" s="1"/>
  <c r="Y68" i="27" a="1"/>
  <c r="Y68" i="27" s="1"/>
  <c r="AB68" i="27" a="1"/>
  <c r="AB68" i="27" s="1"/>
  <c r="AG68" i="27" a="1"/>
  <c r="AG68" i="27" s="1"/>
  <c r="O68" i="27" a="1"/>
  <c r="O68" i="27" s="1"/>
  <c r="R68" i="27" a="1"/>
  <c r="R68" i="27" s="1"/>
  <c r="W68" i="27" a="1"/>
  <c r="W68" i="27" s="1"/>
  <c r="Z68" i="27" a="1"/>
  <c r="Z68" i="27" s="1"/>
  <c r="AE68" i="27" a="1"/>
  <c r="AE68" i="27" s="1"/>
  <c r="AH68" i="27" a="1"/>
  <c r="AH68" i="27" s="1"/>
  <c r="M68" i="27" a="1"/>
  <c r="M68" i="27" s="1"/>
  <c r="P68" i="27" a="1"/>
  <c r="P68" i="27" s="1"/>
  <c r="U68" i="27" a="1"/>
  <c r="U68" i="27" s="1"/>
  <c r="X68" i="27" a="1"/>
  <c r="X68" i="27" s="1"/>
  <c r="AC68" i="27" a="1"/>
  <c r="AC68" i="27" s="1"/>
  <c r="AF68" i="27" a="1"/>
  <c r="AF68" i="27" s="1"/>
  <c r="AA68" i="27" a="1"/>
  <c r="AA68" i="27" s="1"/>
  <c r="S68" i="27" a="1"/>
  <c r="S68" i="27" s="1"/>
  <c r="AD68" i="27" a="1"/>
  <c r="AD68" i="27" s="1"/>
  <c r="V68" i="27" a="1"/>
  <c r="V68" i="27" s="1"/>
  <c r="N68" i="27" a="1"/>
  <c r="N68" i="27" s="1"/>
  <c r="AI68" i="27" a="1"/>
  <c r="AI68" i="27" s="1"/>
  <c r="M79" i="27" a="1"/>
  <c r="M79" i="27" s="1"/>
  <c r="Q79" i="27" a="1"/>
  <c r="Q79" i="27" s="1"/>
  <c r="T79" i="27" a="1"/>
  <c r="T79" i="27" s="1"/>
  <c r="W79" i="27" a="1"/>
  <c r="W79" i="27" s="1"/>
  <c r="AC79" i="27" a="1"/>
  <c r="AC79" i="27" s="1"/>
  <c r="AG79" i="27" a="1"/>
  <c r="AG79" i="27" s="1"/>
  <c r="L79" i="27" a="1"/>
  <c r="L79" i="27" s="1"/>
  <c r="O79" i="27" a="1"/>
  <c r="O79" i="27" s="1"/>
  <c r="U79" i="27" a="1"/>
  <c r="U79" i="27" s="1"/>
  <c r="Y79" i="27" a="1"/>
  <c r="Y79" i="27" s="1"/>
  <c r="AB79" i="27" a="1"/>
  <c r="AB79" i="27" s="1"/>
  <c r="AE79" i="27" a="1"/>
  <c r="AE79" i="27" s="1"/>
  <c r="P79" i="27" a="1"/>
  <c r="P79" i="27" s="1"/>
  <c r="V79" i="27" a="1"/>
  <c r="V79" i="27" s="1"/>
  <c r="AI79" i="27" a="1"/>
  <c r="AI79" i="27" s="1"/>
  <c r="R79" i="27" a="1"/>
  <c r="R79" i="27" s="1"/>
  <c r="X79" i="27" a="1"/>
  <c r="X79" i="27" s="1"/>
  <c r="AD79" i="27" a="1"/>
  <c r="AD79" i="27" s="1"/>
  <c r="S79" i="27" a="1"/>
  <c r="S79" i="27" s="1"/>
  <c r="Z79" i="27" a="1"/>
  <c r="Z79" i="27" s="1"/>
  <c r="AF79" i="27" a="1"/>
  <c r="AF79" i="27" s="1"/>
  <c r="N79" i="27" a="1"/>
  <c r="N79" i="27" s="1"/>
  <c r="AA79" i="27" a="1"/>
  <c r="AA79" i="27" s="1"/>
  <c r="AH79" i="27" a="1"/>
  <c r="AH79" i="27" s="1"/>
  <c r="DS43" i="27"/>
  <c r="DJ46" i="27"/>
  <c r="DP69" i="27"/>
  <c r="DJ95" i="27"/>
  <c r="DP102" i="27"/>
  <c r="DR104" i="27"/>
  <c r="DS113" i="27"/>
  <c r="DM119" i="27"/>
  <c r="DJ119" i="27"/>
  <c r="DS119" i="27"/>
  <c r="DP96" i="27"/>
  <c r="DP137" i="27"/>
  <c r="DS78" i="27"/>
  <c r="DQ131" i="27"/>
  <c r="CE79" i="27" a="1"/>
  <c r="CE79" i="27" s="1"/>
  <c r="CO79" i="27" a="1"/>
  <c r="CO79" i="27" s="1"/>
  <c r="CG79" i="27" a="1"/>
  <c r="CG79" i="27" s="1"/>
  <c r="BY79" i="27" a="1"/>
  <c r="BY79" i="27" s="1"/>
  <c r="CU79" i="27" a="1"/>
  <c r="CU79" i="27" s="1"/>
  <c r="CM79" i="27" a="1"/>
  <c r="CM79" i="27" s="1"/>
  <c r="CD79" i="27" a="1"/>
  <c r="CD79" i="27" s="1"/>
  <c r="CL79" i="27" a="1"/>
  <c r="CL79" i="27" s="1"/>
  <c r="CT79" i="27" a="1"/>
  <c r="CT79" i="27" s="1"/>
  <c r="CQ79" i="27" a="1"/>
  <c r="CQ79" i="27" s="1"/>
  <c r="CS79" i="27" a="1"/>
  <c r="CS79" i="27" s="1"/>
  <c r="CB79" i="27" a="1"/>
  <c r="CB79" i="27" s="1"/>
  <c r="CF79" i="27" a="1"/>
  <c r="CF79" i="27" s="1"/>
  <c r="CN79" i="27" a="1"/>
  <c r="CN79" i="27" s="1"/>
  <c r="CV79" i="27" a="1"/>
  <c r="CV79" i="27" s="1"/>
  <c r="CI79" i="27" a="1"/>
  <c r="CI79" i="27" s="1"/>
  <c r="CK79" i="27" a="1"/>
  <c r="CK79" i="27" s="1"/>
  <c r="CJ79" i="27" a="1"/>
  <c r="CJ79" i="27" s="1"/>
  <c r="CR79" i="27" a="1"/>
  <c r="CR79" i="27" s="1"/>
  <c r="BZ79" i="27" a="1"/>
  <c r="BZ79" i="27" s="1"/>
  <c r="CH79" i="27" a="1"/>
  <c r="CH79" i="27" s="1"/>
  <c r="CP79" i="27" a="1"/>
  <c r="CP79" i="27" s="1"/>
  <c r="CA79" i="27" a="1"/>
  <c r="CA79" i="27" s="1"/>
  <c r="CC79" i="27" a="1"/>
  <c r="CC79" i="27" s="1"/>
  <c r="DP15" i="27"/>
  <c r="DR20" i="27"/>
  <c r="DM32" i="27"/>
  <c r="DR36" i="27"/>
  <c r="DR37" i="27"/>
  <c r="DR44" i="27"/>
  <c r="DM44" i="27"/>
  <c r="DS90" i="27"/>
  <c r="DQ86" i="27"/>
  <c r="DJ68" i="27"/>
  <c r="DQ100" i="27"/>
  <c r="DR114" i="27"/>
  <c r="DM124" i="27"/>
  <c r="DS138" i="27"/>
  <c r="DL8" i="27"/>
  <c r="DN8" i="27"/>
  <c r="DI8" i="27"/>
  <c r="DM9" i="27"/>
  <c r="DJ9" i="27"/>
  <c r="DL9" i="27"/>
  <c r="DM17" i="27"/>
  <c r="DO17" i="27"/>
  <c r="DJ17" i="27"/>
  <c r="DL18" i="27"/>
  <c r="DN18" i="27"/>
  <c r="DK18" i="27"/>
  <c r="DN19" i="27"/>
  <c r="DS19" i="27"/>
  <c r="DI19" i="27"/>
  <c r="DK34" i="27"/>
  <c r="DS34" i="27"/>
  <c r="DI34" i="27"/>
  <c r="DR29" i="27"/>
  <c r="DM29" i="27"/>
  <c r="DL29" i="27"/>
  <c r="DJ38" i="27"/>
  <c r="DI38" i="27"/>
  <c r="DR38" i="27"/>
  <c r="DJ35" i="27"/>
  <c r="DR35" i="27"/>
  <c r="DI35" i="27"/>
  <c r="DS47" i="27"/>
  <c r="DP47" i="27"/>
  <c r="DJ47" i="27"/>
  <c r="DN55" i="27"/>
  <c r="DM55" i="27"/>
  <c r="DL55" i="27"/>
  <c r="DT49" i="27"/>
  <c r="DO49" i="27"/>
  <c r="DJ49" i="27"/>
  <c r="DR61" i="27"/>
  <c r="DM61" i="27"/>
  <c r="DL61" i="27"/>
  <c r="DS74" i="27"/>
  <c r="DN74" i="27"/>
  <c r="DI74" i="27"/>
  <c r="DR72" i="27"/>
  <c r="DM72" i="27"/>
  <c r="DL72" i="27"/>
  <c r="DT58" i="27"/>
  <c r="DO58" i="27"/>
  <c r="DJ58" i="27"/>
  <c r="DT67" i="27"/>
  <c r="DO67" i="27"/>
  <c r="DJ67" i="27"/>
  <c r="DQ57" i="27"/>
  <c r="DP57" i="27"/>
  <c r="DK57" i="27"/>
  <c r="DQ85" i="27"/>
  <c r="DP85" i="27"/>
  <c r="DK85" i="27"/>
  <c r="DQ77" i="27"/>
  <c r="DP77" i="27"/>
  <c r="DJ77" i="27"/>
  <c r="DR87" i="27"/>
  <c r="DM87" i="27"/>
  <c r="DL87" i="27"/>
  <c r="DR91" i="27"/>
  <c r="DM91" i="27"/>
  <c r="DL91" i="27"/>
  <c r="DR101" i="27"/>
  <c r="DM101" i="27"/>
  <c r="DL101" i="27"/>
  <c r="DT112" i="27"/>
  <c r="DN112" i="27"/>
  <c r="DL112" i="27"/>
  <c r="DI122" i="27"/>
  <c r="DN122" i="27"/>
  <c r="DL122" i="27"/>
  <c r="DJ76" i="27"/>
  <c r="DO76" i="27"/>
  <c r="DI76" i="27"/>
  <c r="DN109" i="27"/>
  <c r="DR109" i="27"/>
  <c r="DL109" i="27"/>
  <c r="DQ115" i="27"/>
  <c r="DJ115" i="27"/>
  <c r="DL115" i="27"/>
  <c r="DJ123" i="27"/>
  <c r="DR123" i="27"/>
  <c r="DL123" i="27"/>
  <c r="DM126" i="27"/>
  <c r="DN126" i="27"/>
  <c r="DL126" i="27"/>
  <c r="DI132" i="27"/>
  <c r="DQ132" i="27"/>
  <c r="DO132" i="27"/>
  <c r="DN127" i="27"/>
  <c r="DR127" i="27"/>
  <c r="DL127" i="27"/>
  <c r="DQ134" i="27"/>
  <c r="DN134" i="27"/>
  <c r="DO134" i="27"/>
  <c r="DM136" i="27"/>
  <c r="DT136" i="27"/>
  <c r="DS136" i="27"/>
  <c r="DW18" i="27"/>
  <c r="DU18" i="27" s="1"/>
  <c r="X16" i="30" s="1"/>
  <c r="DW23" i="27"/>
  <c r="DU23" i="27" s="1"/>
  <c r="DW21" i="27"/>
  <c r="DU21" i="27" s="1"/>
  <c r="DW37" i="27"/>
  <c r="DU37" i="27" s="1"/>
  <c r="X35" i="30" s="1"/>
  <c r="DW33" i="27"/>
  <c r="DU33" i="27" s="1"/>
  <c r="DW70" i="27"/>
  <c r="DU70" i="27" s="1"/>
  <c r="X68" i="30" s="1"/>
  <c r="DW114" i="27"/>
  <c r="DY114" i="27" s="1"/>
  <c r="DW120" i="27"/>
  <c r="DU120" i="27" s="1"/>
  <c r="DW110" i="27"/>
  <c r="DU110" i="27" s="1"/>
  <c r="X108" i="30" s="1"/>
  <c r="M121" i="27" a="1"/>
  <c r="M121" i="27" s="1"/>
  <c r="R121" i="27" a="1"/>
  <c r="R121" i="27" s="1"/>
  <c r="U121" i="27" a="1"/>
  <c r="U121" i="27" s="1"/>
  <c r="Z121" i="27" a="1"/>
  <c r="Z121" i="27" s="1"/>
  <c r="AC121" i="27" a="1"/>
  <c r="AC121" i="27" s="1"/>
  <c r="AH121" i="27" a="1"/>
  <c r="AH121" i="27" s="1"/>
  <c r="N121" i="27" a="1"/>
  <c r="N121" i="27" s="1"/>
  <c r="Q121" i="27" a="1"/>
  <c r="Q121" i="27" s="1"/>
  <c r="V121" i="27" a="1"/>
  <c r="V121" i="27" s="1"/>
  <c r="Y121" i="27" a="1"/>
  <c r="Y121" i="27" s="1"/>
  <c r="AD121" i="27" a="1"/>
  <c r="AD121" i="27" s="1"/>
  <c r="AG121" i="27" a="1"/>
  <c r="AG121" i="27" s="1"/>
  <c r="P121" i="27" a="1"/>
  <c r="P121" i="27" s="1"/>
  <c r="AA121" i="27" a="1"/>
  <c r="AA121" i="27" s="1"/>
  <c r="AF121" i="27" a="1"/>
  <c r="AF121" i="27" s="1"/>
  <c r="L121" i="27" a="1"/>
  <c r="L121" i="27" s="1"/>
  <c r="W121" i="27" a="1"/>
  <c r="W121" i="27" s="1"/>
  <c r="AB121" i="27" a="1"/>
  <c r="AB121" i="27" s="1"/>
  <c r="S121" i="27" a="1"/>
  <c r="S121" i="27" s="1"/>
  <c r="X121" i="27" a="1"/>
  <c r="X121" i="27" s="1"/>
  <c r="AI121" i="27" a="1"/>
  <c r="AI121" i="27" s="1"/>
  <c r="O121" i="27" a="1"/>
  <c r="O121" i="27" s="1"/>
  <c r="T121" i="27" a="1"/>
  <c r="T121" i="27" s="1"/>
  <c r="AE121" i="27" a="1"/>
  <c r="AE121" i="27" s="1"/>
  <c r="AE33" i="27" a="1"/>
  <c r="AE33" i="27" s="1"/>
  <c r="M33" i="27" a="1"/>
  <c r="M33" i="27" s="1"/>
  <c r="O33" i="27" a="1"/>
  <c r="O33" i="27" s="1"/>
  <c r="Q33" i="27" a="1"/>
  <c r="Q33" i="27" s="1"/>
  <c r="S33" i="27" a="1"/>
  <c r="S33" i="27" s="1"/>
  <c r="U33" i="27" a="1"/>
  <c r="U33" i="27" s="1"/>
  <c r="W33" i="27" a="1"/>
  <c r="W33" i="27" s="1"/>
  <c r="Y33" i="27" a="1"/>
  <c r="Y33" i="27" s="1"/>
  <c r="AA33" i="27" a="1"/>
  <c r="AA33" i="27" s="1"/>
  <c r="AC33" i="27" a="1"/>
  <c r="AC33" i="27" s="1"/>
  <c r="AH33" i="27" a="1"/>
  <c r="AH33" i="27" s="1"/>
  <c r="N33" i="27" a="1"/>
  <c r="N33" i="27" s="1"/>
  <c r="R33" i="27" a="1"/>
  <c r="R33" i="27" s="1"/>
  <c r="V33" i="27" a="1"/>
  <c r="V33" i="27" s="1"/>
  <c r="Z33" i="27" a="1"/>
  <c r="Z33" i="27" s="1"/>
  <c r="AD33" i="27" a="1"/>
  <c r="AD33" i="27" s="1"/>
  <c r="AF33" i="27" a="1"/>
  <c r="AF33" i="27" s="1"/>
  <c r="L33" i="27" a="1"/>
  <c r="L33" i="27" s="1"/>
  <c r="P33" i="27" a="1"/>
  <c r="P33" i="27" s="1"/>
  <c r="T33" i="27" a="1"/>
  <c r="T33" i="27" s="1"/>
  <c r="X33" i="27" a="1"/>
  <c r="X33" i="27" s="1"/>
  <c r="AB33" i="27" a="1"/>
  <c r="AB33" i="27" s="1"/>
  <c r="AG33" i="27" a="1"/>
  <c r="AG33" i="27" s="1"/>
  <c r="AI33" i="27" a="1"/>
  <c r="AI33" i="27" s="1"/>
  <c r="AW24" i="27"/>
  <c r="M16" i="27" a="1"/>
  <c r="M16" i="27" s="1"/>
  <c r="Q16" i="27" a="1"/>
  <c r="Q16" i="27" s="1"/>
  <c r="U16" i="27" a="1"/>
  <c r="U16" i="27" s="1"/>
  <c r="Y16" i="27" a="1"/>
  <c r="Y16" i="27" s="1"/>
  <c r="AC16" i="27" a="1"/>
  <c r="AC16" i="27" s="1"/>
  <c r="AG16" i="27" a="1"/>
  <c r="AG16" i="27" s="1"/>
  <c r="N16" i="27" a="1"/>
  <c r="N16" i="27" s="1"/>
  <c r="R16" i="27" a="1"/>
  <c r="R16" i="27" s="1"/>
  <c r="V16" i="27" a="1"/>
  <c r="V16" i="27" s="1"/>
  <c r="Z16" i="27" a="1"/>
  <c r="Z16" i="27" s="1"/>
  <c r="AD16" i="27" a="1"/>
  <c r="AD16" i="27" s="1"/>
  <c r="AH16" i="27" a="1"/>
  <c r="AH16" i="27" s="1"/>
  <c r="S16" i="27" a="1"/>
  <c r="S16" i="27" s="1"/>
  <c r="AA16" i="27" a="1"/>
  <c r="AA16" i="27" s="1"/>
  <c r="AI16" i="27" a="1"/>
  <c r="AI16" i="27" s="1"/>
  <c r="L16" i="27" a="1"/>
  <c r="L16" i="27" s="1"/>
  <c r="T16" i="27" a="1"/>
  <c r="T16" i="27" s="1"/>
  <c r="AB16" i="27" a="1"/>
  <c r="AB16" i="27" s="1"/>
  <c r="O16" i="27" a="1"/>
  <c r="O16" i="27" s="1"/>
  <c r="W16" i="27" a="1"/>
  <c r="W16" i="27" s="1"/>
  <c r="AE16" i="27" a="1"/>
  <c r="AE16" i="27" s="1"/>
  <c r="AF16" i="27" a="1"/>
  <c r="AF16" i="27" s="1"/>
  <c r="P16" i="27" a="1"/>
  <c r="P16" i="27" s="1"/>
  <c r="X16" i="27" a="1"/>
  <c r="X16" i="27" s="1"/>
  <c r="M102" i="27" a="1"/>
  <c r="M102" i="27" s="1"/>
  <c r="P102" i="27" a="1"/>
  <c r="P102" i="27" s="1"/>
  <c r="U102" i="27" a="1"/>
  <c r="U102" i="27" s="1"/>
  <c r="X102" i="27" a="1"/>
  <c r="X102" i="27" s="1"/>
  <c r="AC102" i="27" a="1"/>
  <c r="AC102" i="27" s="1"/>
  <c r="AF102" i="27" a="1"/>
  <c r="AF102" i="27" s="1"/>
  <c r="N102" i="27" a="1"/>
  <c r="N102" i="27" s="1"/>
  <c r="S102" i="27" a="1"/>
  <c r="S102" i="27" s="1"/>
  <c r="V102" i="27" a="1"/>
  <c r="V102" i="27" s="1"/>
  <c r="AA102" i="27" a="1"/>
  <c r="AA102" i="27" s="1"/>
  <c r="AD102" i="27" a="1"/>
  <c r="AD102" i="27" s="1"/>
  <c r="AI102" i="27" a="1"/>
  <c r="AI102" i="27" s="1"/>
  <c r="L102" i="27" a="1"/>
  <c r="L102" i="27" s="1"/>
  <c r="Q102" i="27" a="1"/>
  <c r="Q102" i="27" s="1"/>
  <c r="T102" i="27" a="1"/>
  <c r="T102" i="27" s="1"/>
  <c r="Y102" i="27" a="1"/>
  <c r="Y102" i="27" s="1"/>
  <c r="AB102" i="27" a="1"/>
  <c r="AB102" i="27" s="1"/>
  <c r="AG102" i="27" a="1"/>
  <c r="AG102" i="27" s="1"/>
  <c r="W102" i="27" a="1"/>
  <c r="W102" i="27" s="1"/>
  <c r="AH102" i="27" a="1"/>
  <c r="AH102" i="27" s="1"/>
  <c r="O102" i="27" a="1"/>
  <c r="O102" i="27" s="1"/>
  <c r="Z102" i="27" a="1"/>
  <c r="Z102" i="27" s="1"/>
  <c r="R102" i="27" a="1"/>
  <c r="R102" i="27" s="1"/>
  <c r="AE102" i="27" a="1"/>
  <c r="AE102" i="27" s="1"/>
  <c r="AW76" i="27"/>
  <c r="O91" i="27" a="1"/>
  <c r="O91" i="27" s="1"/>
  <c r="R91" i="27" a="1"/>
  <c r="R91" i="27" s="1"/>
  <c r="V91" i="27" a="1"/>
  <c r="V91" i="27" s="1"/>
  <c r="Y91" i="27" a="1"/>
  <c r="Y91" i="27" s="1"/>
  <c r="AC91" i="27" a="1"/>
  <c r="AC91" i="27" s="1"/>
  <c r="L91" i="27" a="1"/>
  <c r="L91" i="27" s="1"/>
  <c r="P91" i="27" a="1"/>
  <c r="P91" i="27" s="1"/>
  <c r="S91" i="27" a="1"/>
  <c r="S91" i="27" s="1"/>
  <c r="W91" i="27" a="1"/>
  <c r="W91" i="27" s="1"/>
  <c r="Z91" i="27" a="1"/>
  <c r="Z91" i="27" s="1"/>
  <c r="AD91" i="27" a="1"/>
  <c r="AD91" i="27" s="1"/>
  <c r="AG91" i="27" a="1"/>
  <c r="AG91" i="27" s="1"/>
  <c r="M91" i="27" a="1"/>
  <c r="M91" i="27" s="1"/>
  <c r="T91" i="27" a="1"/>
  <c r="T91" i="27" s="1"/>
  <c r="X91" i="27" a="1"/>
  <c r="X91" i="27" s="1"/>
  <c r="AA91" i="27" a="1"/>
  <c r="AA91" i="27" s="1"/>
  <c r="AE91" i="27" a="1"/>
  <c r="AE91" i="27" s="1"/>
  <c r="AH91" i="27" a="1"/>
  <c r="AH91" i="27" s="1"/>
  <c r="U91" i="27" a="1"/>
  <c r="U91" i="27" s="1"/>
  <c r="AI91" i="27" a="1"/>
  <c r="AI91" i="27" s="1"/>
  <c r="N91" i="27" a="1"/>
  <c r="N91" i="27" s="1"/>
  <c r="AB91" i="27" a="1"/>
  <c r="AB91" i="27" s="1"/>
  <c r="AF91" i="27" a="1"/>
  <c r="AF91" i="27" s="1"/>
  <c r="Q91" i="27" a="1"/>
  <c r="Q91" i="27" s="1"/>
  <c r="L59" i="27" a="1"/>
  <c r="L59" i="27" s="1"/>
  <c r="Q59" i="27" a="1"/>
  <c r="Q59" i="27" s="1"/>
  <c r="W59" i="27" a="1"/>
  <c r="W59" i="27" s="1"/>
  <c r="Z59" i="27" a="1"/>
  <c r="Z59" i="27" s="1"/>
  <c r="AC59" i="27" a="1"/>
  <c r="AC59" i="27" s="1"/>
  <c r="AF59" i="27" a="1"/>
  <c r="AF59" i="27" s="1"/>
  <c r="AI59" i="27" a="1"/>
  <c r="AI59" i="27" s="1"/>
  <c r="O59" i="27" a="1"/>
  <c r="O59" i="27" s="1"/>
  <c r="R59" i="27" a="1"/>
  <c r="R59" i="27" s="1"/>
  <c r="U59" i="27" a="1"/>
  <c r="U59" i="27" s="1"/>
  <c r="X59" i="27" a="1"/>
  <c r="X59" i="27" s="1"/>
  <c r="AA59" i="27" a="1"/>
  <c r="AA59" i="27" s="1"/>
  <c r="AD59" i="27" a="1"/>
  <c r="AD59" i="27" s="1"/>
  <c r="M59" i="27" a="1"/>
  <c r="M59" i="27" s="1"/>
  <c r="P59" i="27" a="1"/>
  <c r="P59" i="27" s="1"/>
  <c r="S59" i="27" a="1"/>
  <c r="S59" i="27" s="1"/>
  <c r="V59" i="27" a="1"/>
  <c r="V59" i="27" s="1"/>
  <c r="AB59" i="27" a="1"/>
  <c r="AB59" i="27" s="1"/>
  <c r="AG59" i="27" a="1"/>
  <c r="AG59" i="27" s="1"/>
  <c r="T59" i="27" a="1"/>
  <c r="T59" i="27" s="1"/>
  <c r="AE59" i="27" a="1"/>
  <c r="AE59" i="27" s="1"/>
  <c r="AH59" i="27" a="1"/>
  <c r="AH59" i="27" s="1"/>
  <c r="N59" i="27" a="1"/>
  <c r="N59" i="27" s="1"/>
  <c r="Y59" i="27" a="1"/>
  <c r="Y59" i="27" s="1"/>
  <c r="AW96" i="27"/>
  <c r="AW32" i="27"/>
  <c r="AW18" i="27"/>
  <c r="AW65" i="27"/>
  <c r="M89" i="27" a="1"/>
  <c r="M89" i="27" s="1"/>
  <c r="T89" i="27" a="1"/>
  <c r="T89" i="27" s="1"/>
  <c r="W89" i="27" a="1"/>
  <c r="W89" i="27" s="1"/>
  <c r="Z89" i="27" a="1"/>
  <c r="Z89" i="27" s="1"/>
  <c r="AC89" i="27" a="1"/>
  <c r="AC89" i="27" s="1"/>
  <c r="N89" i="27" a="1"/>
  <c r="N89" i="27" s="1"/>
  <c r="Q89" i="27" a="1"/>
  <c r="Q89" i="27" s="1"/>
  <c r="X89" i="27" a="1"/>
  <c r="X89" i="27" s="1"/>
  <c r="AA89" i="27" a="1"/>
  <c r="AA89" i="27" s="1"/>
  <c r="AD89" i="27" a="1"/>
  <c r="AD89" i="27" s="1"/>
  <c r="AG89" i="27" a="1"/>
  <c r="AG89" i="27" s="1"/>
  <c r="L89" i="27" a="1"/>
  <c r="L89" i="27" s="1"/>
  <c r="O89" i="27" a="1"/>
  <c r="O89" i="27" s="1"/>
  <c r="R89" i="27" a="1"/>
  <c r="R89" i="27" s="1"/>
  <c r="U89" i="27" a="1"/>
  <c r="U89" i="27" s="1"/>
  <c r="AB89" i="27" a="1"/>
  <c r="AB89" i="27" s="1"/>
  <c r="AE89" i="27" a="1"/>
  <c r="AE89" i="27" s="1"/>
  <c r="AH89" i="27" a="1"/>
  <c r="AH89" i="27" s="1"/>
  <c r="S89" i="27" a="1"/>
  <c r="S89" i="27" s="1"/>
  <c r="AF89" i="27" a="1"/>
  <c r="AF89" i="27" s="1"/>
  <c r="V89" i="27" a="1"/>
  <c r="V89" i="27" s="1"/>
  <c r="AI89" i="27" a="1"/>
  <c r="AI89" i="27" s="1"/>
  <c r="Y89" i="27" a="1"/>
  <c r="Y89" i="27" s="1"/>
  <c r="P89" i="27" a="1"/>
  <c r="P89" i="27" s="1"/>
  <c r="N108" i="27" a="1"/>
  <c r="N108" i="27" s="1"/>
  <c r="T108" i="27" a="1"/>
  <c r="T108" i="27" s="1"/>
  <c r="W108" i="27" a="1"/>
  <c r="W108" i="27" s="1"/>
  <c r="Z108" i="27" a="1"/>
  <c r="Z108" i="27" s="1"/>
  <c r="AD108" i="27" a="1"/>
  <c r="AD108" i="27" s="1"/>
  <c r="Q108" i="27" a="1"/>
  <c r="Q108" i="27" s="1"/>
  <c r="U108" i="27" a="1"/>
  <c r="U108" i="27" s="1"/>
  <c r="X108" i="27" a="1"/>
  <c r="X108" i="27" s="1"/>
  <c r="AA108" i="27" a="1"/>
  <c r="AA108" i="27" s="1"/>
  <c r="AG108" i="27" a="1"/>
  <c r="AG108" i="27" s="1"/>
  <c r="L108" i="27" a="1"/>
  <c r="L108" i="27" s="1"/>
  <c r="O108" i="27" a="1"/>
  <c r="O108" i="27" s="1"/>
  <c r="R108" i="27" a="1"/>
  <c r="R108" i="27" s="1"/>
  <c r="V108" i="27" a="1"/>
  <c r="V108" i="27" s="1"/>
  <c r="AB108" i="27" a="1"/>
  <c r="AB108" i="27" s="1"/>
  <c r="AE108" i="27" a="1"/>
  <c r="AE108" i="27" s="1"/>
  <c r="AH108" i="27" a="1"/>
  <c r="AH108" i="27" s="1"/>
  <c r="S108" i="27" a="1"/>
  <c r="S108" i="27" s="1"/>
  <c r="AF108" i="27" a="1"/>
  <c r="AF108" i="27" s="1"/>
  <c r="AI108" i="27" a="1"/>
  <c r="AI108" i="27" s="1"/>
  <c r="P108" i="27" a="1"/>
  <c r="P108" i="27" s="1"/>
  <c r="M108" i="27" a="1"/>
  <c r="M108" i="27" s="1"/>
  <c r="Y108" i="27" a="1"/>
  <c r="Y108" i="27" s="1"/>
  <c r="AC108" i="27" a="1"/>
  <c r="AC108" i="27" s="1"/>
  <c r="AW124" i="27"/>
  <c r="AW107" i="27"/>
  <c r="AW134" i="27"/>
  <c r="AW78" i="27"/>
  <c r="AW46" i="27"/>
  <c r="AW63" i="27"/>
  <c r="AW29" i="27"/>
  <c r="L94" i="27" a="1"/>
  <c r="L94" i="27" s="1"/>
  <c r="P94" i="27" a="1"/>
  <c r="P94" i="27" s="1"/>
  <c r="S94" i="27" a="1"/>
  <c r="S94" i="27" s="1"/>
  <c r="W94" i="27" a="1"/>
  <c r="W94" i="27" s="1"/>
  <c r="Z94" i="27" a="1"/>
  <c r="Z94" i="27" s="1"/>
  <c r="AD94" i="27" a="1"/>
  <c r="AD94" i="27" s="1"/>
  <c r="AG94" i="27" a="1"/>
  <c r="AG94" i="27" s="1"/>
  <c r="N94" i="27" a="1"/>
  <c r="N94" i="27" s="1"/>
  <c r="Q94" i="27" a="1"/>
  <c r="Q94" i="27" s="1"/>
  <c r="U94" i="27" a="1"/>
  <c r="U94" i="27" s="1"/>
  <c r="AB94" i="27" a="1"/>
  <c r="AB94" i="27" s="1"/>
  <c r="AF94" i="27" a="1"/>
  <c r="AF94" i="27" s="1"/>
  <c r="AI94" i="27" a="1"/>
  <c r="AI94" i="27" s="1"/>
  <c r="O94" i="27" a="1"/>
  <c r="O94" i="27" s="1"/>
  <c r="V94" i="27" a="1"/>
  <c r="V94" i="27" s="1"/>
  <c r="AC94" i="27" a="1"/>
  <c r="AC94" i="27" s="1"/>
  <c r="X94" i="27" a="1"/>
  <c r="X94" i="27" s="1"/>
  <c r="AE94" i="27" a="1"/>
  <c r="AE94" i="27" s="1"/>
  <c r="R94" i="27" a="1"/>
  <c r="R94" i="27" s="1"/>
  <c r="Y94" i="27" a="1"/>
  <c r="Y94" i="27" s="1"/>
  <c r="T94" i="27" a="1"/>
  <c r="T94" i="27" s="1"/>
  <c r="AA94" i="27" a="1"/>
  <c r="AA94" i="27" s="1"/>
  <c r="AH94" i="27" a="1"/>
  <c r="AH94" i="27" s="1"/>
  <c r="M94" i="27" a="1"/>
  <c r="M94" i="27" s="1"/>
  <c r="AW44" i="27"/>
  <c r="AW128" i="27"/>
  <c r="AW99" i="27"/>
  <c r="AW25" i="27"/>
  <c r="AW68" i="27"/>
  <c r="BJ44" i="27"/>
  <c r="BL44" i="27" s="1"/>
  <c r="P92" i="27" a="1"/>
  <c r="P92" i="27" s="1"/>
  <c r="S92" i="27" a="1"/>
  <c r="S92" i="27" s="1"/>
  <c r="V92" i="27" a="1"/>
  <c r="V92" i="27" s="1"/>
  <c r="Y92" i="27" a="1"/>
  <c r="Y92" i="27" s="1"/>
  <c r="AF92" i="27" a="1"/>
  <c r="AF92" i="27" s="1"/>
  <c r="AI92" i="27" a="1"/>
  <c r="AI92" i="27" s="1"/>
  <c r="M92" i="27" a="1"/>
  <c r="M92" i="27" s="1"/>
  <c r="T92" i="27" a="1"/>
  <c r="T92" i="27" s="1"/>
  <c r="W92" i="27" a="1"/>
  <c r="W92" i="27" s="1"/>
  <c r="Z92" i="27" a="1"/>
  <c r="Z92" i="27" s="1"/>
  <c r="AC92" i="27" a="1"/>
  <c r="AC92" i="27" s="1"/>
  <c r="N92" i="27" a="1"/>
  <c r="N92" i="27" s="1"/>
  <c r="Q92" i="27" a="1"/>
  <c r="Q92" i="27" s="1"/>
  <c r="X92" i="27" a="1"/>
  <c r="X92" i="27" s="1"/>
  <c r="AA92" i="27" a="1"/>
  <c r="AA92" i="27" s="1"/>
  <c r="AD92" i="27" a="1"/>
  <c r="AD92" i="27" s="1"/>
  <c r="AG92" i="27" a="1"/>
  <c r="AG92" i="27" s="1"/>
  <c r="L92" i="27" a="1"/>
  <c r="L92" i="27" s="1"/>
  <c r="O92" i="27" a="1"/>
  <c r="O92" i="27" s="1"/>
  <c r="AB92" i="27" a="1"/>
  <c r="AB92" i="27" s="1"/>
  <c r="R92" i="27" a="1"/>
  <c r="R92" i="27" s="1"/>
  <c r="AE92" i="27" a="1"/>
  <c r="AE92" i="27" s="1"/>
  <c r="AH92" i="27" a="1"/>
  <c r="AH92" i="27" s="1"/>
  <c r="U92" i="27" a="1"/>
  <c r="U92" i="27" s="1"/>
  <c r="AW31" i="27"/>
  <c r="DI7" i="27"/>
  <c r="DP7" i="27"/>
  <c r="DK7" i="27"/>
  <c r="DM16" i="27"/>
  <c r="DI16" i="27"/>
  <c r="DK16" i="27"/>
  <c r="DQ11" i="27"/>
  <c r="DR11" i="27"/>
  <c r="DL11" i="27"/>
  <c r="DM21" i="27"/>
  <c r="DR21" i="27"/>
  <c r="DJ21" i="27"/>
  <c r="DN23" i="27"/>
  <c r="DJ23" i="27"/>
  <c r="DI23" i="27"/>
  <c r="DJ39" i="27"/>
  <c r="DP39" i="27"/>
  <c r="DR39" i="27"/>
  <c r="DT26" i="27"/>
  <c r="DP26" i="27"/>
  <c r="DM26" i="27"/>
  <c r="DI41" i="27"/>
  <c r="DP41" i="27"/>
  <c r="DK41" i="27"/>
  <c r="DI40" i="27"/>
  <c r="DO40" i="27"/>
  <c r="DR40" i="27"/>
  <c r="DN30" i="27"/>
  <c r="DQ30" i="27"/>
  <c r="DL30" i="27"/>
  <c r="DP48" i="27"/>
  <c r="DO48" i="27"/>
  <c r="DJ48" i="27"/>
  <c r="DR51" i="27"/>
  <c r="DM51" i="27"/>
  <c r="DL51" i="27"/>
  <c r="DJ65" i="27"/>
  <c r="DM65" i="27"/>
  <c r="DL65" i="27"/>
  <c r="DR62" i="27"/>
  <c r="DM62" i="27"/>
  <c r="DL62" i="27"/>
  <c r="DR75" i="27"/>
  <c r="DT75" i="27"/>
  <c r="DK75" i="27"/>
  <c r="DI60" i="27"/>
  <c r="DP60" i="27"/>
  <c r="DK60" i="27"/>
  <c r="DK84" i="27"/>
  <c r="DN84" i="27"/>
  <c r="DI84" i="27"/>
  <c r="DT59" i="27"/>
  <c r="DO59" i="27"/>
  <c r="DJ59" i="27"/>
  <c r="DO88" i="27"/>
  <c r="DN88" i="27"/>
  <c r="DI88" i="27"/>
  <c r="DQ79" i="27"/>
  <c r="DP79" i="27"/>
  <c r="DK79" i="27"/>
  <c r="DL94" i="27"/>
  <c r="DP94" i="27"/>
  <c r="DK94" i="27"/>
  <c r="DP98" i="27"/>
  <c r="DI98" i="27"/>
  <c r="DK98" i="27"/>
  <c r="DR103" i="27"/>
  <c r="DM103" i="27"/>
  <c r="DL103" i="27"/>
  <c r="DP116" i="27"/>
  <c r="DJ116" i="27"/>
  <c r="DK116" i="27"/>
  <c r="DT97" i="27"/>
  <c r="DO97" i="27"/>
  <c r="DS97" i="27"/>
  <c r="DO93" i="27"/>
  <c r="DQ93" i="27"/>
  <c r="DL93" i="27"/>
  <c r="DM111" i="27"/>
  <c r="DN111" i="27"/>
  <c r="DS111" i="27"/>
  <c r="DI117" i="27"/>
  <c r="DN117" i="27"/>
  <c r="DS117" i="27"/>
  <c r="DT83" i="27"/>
  <c r="DO83" i="27"/>
  <c r="DJ83" i="27"/>
  <c r="DJ130" i="27"/>
  <c r="DR130" i="27"/>
  <c r="DI130" i="27"/>
  <c r="DS139" i="27"/>
  <c r="DI139" i="27"/>
  <c r="DM139" i="27"/>
  <c r="DT128" i="27"/>
  <c r="DP128" i="27"/>
  <c r="DN128" i="27"/>
  <c r="DR105" i="27"/>
  <c r="DM105" i="27"/>
  <c r="DL105" i="27"/>
  <c r="DW16" i="27"/>
  <c r="DU16" i="27" s="1"/>
  <c r="X14" i="30" s="1"/>
  <c r="DW44" i="27"/>
  <c r="DY44" i="27" s="1"/>
  <c r="DW31" i="27"/>
  <c r="DU31" i="27" s="1"/>
  <c r="X29" i="30" s="1"/>
  <c r="DW92" i="27"/>
  <c r="DU92" i="27" s="1"/>
  <c r="DW69" i="27"/>
  <c r="DU69" i="27" s="1"/>
  <c r="X67" i="30" s="1"/>
  <c r="DW87" i="27"/>
  <c r="DU87" i="27" s="1"/>
  <c r="DW99" i="27"/>
  <c r="DU99" i="27" s="1"/>
  <c r="N137" i="27" a="1"/>
  <c r="N137" i="27" s="1"/>
  <c r="Q137" i="27" a="1"/>
  <c r="Q137" i="27" s="1"/>
  <c r="V137" i="27" a="1"/>
  <c r="V137" i="27" s="1"/>
  <c r="Y137" i="27" a="1"/>
  <c r="Y137" i="27" s="1"/>
  <c r="AD137" i="27" a="1"/>
  <c r="AD137" i="27" s="1"/>
  <c r="AG137" i="27" a="1"/>
  <c r="AG137" i="27" s="1"/>
  <c r="L137" i="27" a="1"/>
  <c r="L137" i="27" s="1"/>
  <c r="O137" i="27" a="1"/>
  <c r="O137" i="27" s="1"/>
  <c r="T137" i="27" a="1"/>
  <c r="T137" i="27" s="1"/>
  <c r="W137" i="27" a="1"/>
  <c r="W137" i="27" s="1"/>
  <c r="AB137" i="27" a="1"/>
  <c r="AB137" i="27" s="1"/>
  <c r="AE137" i="27" a="1"/>
  <c r="AE137" i="27" s="1"/>
  <c r="P137" i="27" a="1"/>
  <c r="P137" i="27" s="1"/>
  <c r="X137" i="27" a="1"/>
  <c r="X137" i="27" s="1"/>
  <c r="AF137" i="27" a="1"/>
  <c r="AF137" i="27" s="1"/>
  <c r="M137" i="27" a="1"/>
  <c r="M137" i="27" s="1"/>
  <c r="R137" i="27" a="1"/>
  <c r="R137" i="27" s="1"/>
  <c r="U137" i="27" a="1"/>
  <c r="U137" i="27" s="1"/>
  <c r="Z137" i="27" a="1"/>
  <c r="Z137" i="27" s="1"/>
  <c r="AC137" i="27" a="1"/>
  <c r="AC137" i="27" s="1"/>
  <c r="AH137" i="27" a="1"/>
  <c r="AH137" i="27" s="1"/>
  <c r="S137" i="27" a="1"/>
  <c r="S137" i="27" s="1"/>
  <c r="AA137" i="27" a="1"/>
  <c r="AA137" i="27" s="1"/>
  <c r="AI137" i="27" a="1"/>
  <c r="AI137" i="27" s="1"/>
  <c r="AW20" i="27"/>
  <c r="O87" i="27" a="1"/>
  <c r="O87" i="27" s="1"/>
  <c r="R87" i="27" a="1"/>
  <c r="R87" i="27" s="1"/>
  <c r="W87" i="27" a="1"/>
  <c r="W87" i="27" s="1"/>
  <c r="Z87" i="27" a="1"/>
  <c r="Z87" i="27" s="1"/>
  <c r="AE87" i="27" a="1"/>
  <c r="AE87" i="27" s="1"/>
  <c r="AH87" i="27" a="1"/>
  <c r="AH87" i="27" s="1"/>
  <c r="M87" i="27" a="1"/>
  <c r="M87" i="27" s="1"/>
  <c r="P87" i="27" a="1"/>
  <c r="P87" i="27" s="1"/>
  <c r="U87" i="27" a="1"/>
  <c r="U87" i="27" s="1"/>
  <c r="X87" i="27" a="1"/>
  <c r="X87" i="27" s="1"/>
  <c r="AC87" i="27" a="1"/>
  <c r="AC87" i="27" s="1"/>
  <c r="AF87" i="27" a="1"/>
  <c r="AF87" i="27" s="1"/>
  <c r="N87" i="27" a="1"/>
  <c r="N87" i="27" s="1"/>
  <c r="S87" i="27" a="1"/>
  <c r="S87" i="27" s="1"/>
  <c r="V87" i="27" a="1"/>
  <c r="V87" i="27" s="1"/>
  <c r="AA87" i="27" a="1"/>
  <c r="AA87" i="27" s="1"/>
  <c r="AD87" i="27" a="1"/>
  <c r="AD87" i="27" s="1"/>
  <c r="AI87" i="27" a="1"/>
  <c r="AI87" i="27" s="1"/>
  <c r="L87" i="27" a="1"/>
  <c r="L87" i="27" s="1"/>
  <c r="AG87" i="27" a="1"/>
  <c r="AG87" i="27" s="1"/>
  <c r="Y87" i="27" a="1"/>
  <c r="Y87" i="27" s="1"/>
  <c r="Q87" i="27" a="1"/>
  <c r="Q87" i="27" s="1"/>
  <c r="AB87" i="27" a="1"/>
  <c r="AB87" i="27" s="1"/>
  <c r="T87" i="27" a="1"/>
  <c r="T87" i="27" s="1"/>
  <c r="AW75" i="27"/>
  <c r="AW126" i="27"/>
  <c r="AW30" i="27"/>
  <c r="AW45" i="27"/>
  <c r="L52" i="27" a="1"/>
  <c r="L52" i="27" s="1"/>
  <c r="Q52" i="27" a="1"/>
  <c r="Q52" i="27" s="1"/>
  <c r="T52" i="27" a="1"/>
  <c r="T52" i="27" s="1"/>
  <c r="Y52" i="27" a="1"/>
  <c r="Y52" i="27" s="1"/>
  <c r="AB52" i="27" a="1"/>
  <c r="AB52" i="27" s="1"/>
  <c r="AG52" i="27" a="1"/>
  <c r="AG52" i="27" s="1"/>
  <c r="O52" i="27" a="1"/>
  <c r="O52" i="27" s="1"/>
  <c r="R52" i="27" a="1"/>
  <c r="R52" i="27" s="1"/>
  <c r="W52" i="27" a="1"/>
  <c r="W52" i="27" s="1"/>
  <c r="Z52" i="27" a="1"/>
  <c r="Z52" i="27" s="1"/>
  <c r="AE52" i="27" a="1"/>
  <c r="AE52" i="27" s="1"/>
  <c r="AH52" i="27" a="1"/>
  <c r="AH52" i="27" s="1"/>
  <c r="M52" i="27" a="1"/>
  <c r="M52" i="27" s="1"/>
  <c r="P52" i="27" a="1"/>
  <c r="P52" i="27" s="1"/>
  <c r="U52" i="27" a="1"/>
  <c r="U52" i="27" s="1"/>
  <c r="X52" i="27" a="1"/>
  <c r="X52" i="27" s="1"/>
  <c r="AC52" i="27" a="1"/>
  <c r="AC52" i="27" s="1"/>
  <c r="AF52" i="27" a="1"/>
  <c r="AF52" i="27" s="1"/>
  <c r="V52" i="27" a="1"/>
  <c r="V52" i="27" s="1"/>
  <c r="N52" i="27" a="1"/>
  <c r="N52" i="27" s="1"/>
  <c r="AI52" i="27" a="1"/>
  <c r="AI52" i="27" s="1"/>
  <c r="AA52" i="27" a="1"/>
  <c r="AA52" i="27" s="1"/>
  <c r="S52" i="27" a="1"/>
  <c r="S52" i="27" s="1"/>
  <c r="AD52" i="27" a="1"/>
  <c r="AD52" i="27" s="1"/>
  <c r="M12" i="27" a="1"/>
  <c r="M12" i="27" s="1"/>
  <c r="T12" i="27" a="1"/>
  <c r="T12" i="27" s="1"/>
  <c r="W12" i="27" a="1"/>
  <c r="W12" i="27" s="1"/>
  <c r="AB12" i="27" a="1"/>
  <c r="AB12" i="27" s="1"/>
  <c r="AE12" i="27" a="1"/>
  <c r="AE12" i="27" s="1"/>
  <c r="N12" i="27" a="1"/>
  <c r="N12" i="27" s="1"/>
  <c r="Q12" i="27" a="1"/>
  <c r="Q12" i="27" s="1"/>
  <c r="U12" i="27" a="1"/>
  <c r="U12" i="27" s="1"/>
  <c r="Z12" i="27" a="1"/>
  <c r="Z12" i="27" s="1"/>
  <c r="AC12" i="27" a="1"/>
  <c r="AC12" i="27" s="1"/>
  <c r="AH12" i="27" a="1"/>
  <c r="AH12" i="27" s="1"/>
  <c r="P12" i="27" a="1"/>
  <c r="P12" i="27" s="1"/>
  <c r="V12" i="27" a="1"/>
  <c r="V12" i="27" s="1"/>
  <c r="AG12" i="27" a="1"/>
  <c r="AG12" i="27" s="1"/>
  <c r="R12" i="27" a="1"/>
  <c r="R12" i="27" s="1"/>
  <c r="X12" i="27" a="1"/>
  <c r="X12" i="27" s="1"/>
  <c r="AI12" i="27" a="1"/>
  <c r="AI12" i="27" s="1"/>
  <c r="L12" i="27" a="1"/>
  <c r="L12" i="27" s="1"/>
  <c r="S12" i="27" a="1"/>
  <c r="S12" i="27" s="1"/>
  <c r="Y12" i="27" a="1"/>
  <c r="Y12" i="27" s="1"/>
  <c r="AD12" i="27" a="1"/>
  <c r="AD12" i="27" s="1"/>
  <c r="AA12" i="27" a="1"/>
  <c r="AA12" i="27" s="1"/>
  <c r="AF12" i="27" a="1"/>
  <c r="AF12" i="27" s="1"/>
  <c r="O12" i="27" a="1"/>
  <c r="O12" i="27" s="1"/>
  <c r="AW88" i="27"/>
  <c r="M51" i="27" a="1"/>
  <c r="M51" i="27" s="1"/>
  <c r="P51" i="27" a="1"/>
  <c r="P51" i="27" s="1"/>
  <c r="U51" i="27" a="1"/>
  <c r="U51" i="27" s="1"/>
  <c r="X51" i="27" a="1"/>
  <c r="X51" i="27" s="1"/>
  <c r="AC51" i="27" a="1"/>
  <c r="AC51" i="27" s="1"/>
  <c r="AF51" i="27" a="1"/>
  <c r="AF51" i="27" s="1"/>
  <c r="N51" i="27" a="1"/>
  <c r="N51" i="27" s="1"/>
  <c r="S51" i="27" a="1"/>
  <c r="S51" i="27" s="1"/>
  <c r="V51" i="27" a="1"/>
  <c r="V51" i="27" s="1"/>
  <c r="AA51" i="27" a="1"/>
  <c r="AA51" i="27" s="1"/>
  <c r="AD51" i="27" a="1"/>
  <c r="AD51" i="27" s="1"/>
  <c r="AI51" i="27" a="1"/>
  <c r="AI51" i="27" s="1"/>
  <c r="L51" i="27" a="1"/>
  <c r="L51" i="27" s="1"/>
  <c r="Q51" i="27" a="1"/>
  <c r="Q51" i="27" s="1"/>
  <c r="T51" i="27" a="1"/>
  <c r="T51" i="27" s="1"/>
  <c r="Y51" i="27" a="1"/>
  <c r="Y51" i="27" s="1"/>
  <c r="AB51" i="27" a="1"/>
  <c r="AB51" i="27" s="1"/>
  <c r="AG51" i="27" a="1"/>
  <c r="AG51" i="27" s="1"/>
  <c r="R51" i="27" a="1"/>
  <c r="R51" i="27" s="1"/>
  <c r="AE51" i="27" a="1"/>
  <c r="AE51" i="27" s="1"/>
  <c r="W51" i="27" a="1"/>
  <c r="W51" i="27" s="1"/>
  <c r="AH51" i="27" a="1"/>
  <c r="AH51" i="27" s="1"/>
  <c r="Z51" i="27" a="1"/>
  <c r="Z51" i="27" s="1"/>
  <c r="O51" i="27" a="1"/>
  <c r="O51" i="27" s="1"/>
  <c r="AW64" i="27"/>
  <c r="AW58" i="27"/>
  <c r="AW10" i="27"/>
  <c r="M133" i="27" a="1"/>
  <c r="M133" i="27" s="1"/>
  <c r="R133" i="27" a="1"/>
  <c r="R133" i="27" s="1"/>
  <c r="U133" i="27" a="1"/>
  <c r="U133" i="27" s="1"/>
  <c r="Z133" i="27" a="1"/>
  <c r="Z133" i="27" s="1"/>
  <c r="AC133" i="27" a="1"/>
  <c r="AC133" i="27" s="1"/>
  <c r="AH133" i="27" a="1"/>
  <c r="AH133" i="27" s="1"/>
  <c r="T133" i="27" a="1"/>
  <c r="T133" i="27" s="1"/>
  <c r="P133" i="27" a="1"/>
  <c r="P133" i="27" s="1"/>
  <c r="S133" i="27" a="1"/>
  <c r="S133" i="27" s="1"/>
  <c r="X133" i="27" a="1"/>
  <c r="X133" i="27" s="1"/>
  <c r="AA133" i="27" a="1"/>
  <c r="AA133" i="27" s="1"/>
  <c r="AF133" i="27" a="1"/>
  <c r="AF133" i="27" s="1"/>
  <c r="AI133" i="27" a="1"/>
  <c r="AI133" i="27" s="1"/>
  <c r="L133" i="27" a="1"/>
  <c r="L133" i="27" s="1"/>
  <c r="W133" i="27" a="1"/>
  <c r="W133" i="27" s="1"/>
  <c r="AB133" i="27" a="1"/>
  <c r="AB133" i="27" s="1"/>
  <c r="N133" i="27" a="1"/>
  <c r="N133" i="27" s="1"/>
  <c r="Q133" i="27" a="1"/>
  <c r="Q133" i="27" s="1"/>
  <c r="V133" i="27" a="1"/>
  <c r="V133" i="27" s="1"/>
  <c r="Y133" i="27" a="1"/>
  <c r="Y133" i="27" s="1"/>
  <c r="AD133" i="27" a="1"/>
  <c r="AD133" i="27" s="1"/>
  <c r="AG133" i="27" a="1"/>
  <c r="AG133" i="27" s="1"/>
  <c r="O133" i="27" a="1"/>
  <c r="O133" i="27" s="1"/>
  <c r="AE133" i="27" a="1"/>
  <c r="AE133" i="27" s="1"/>
  <c r="AW15" i="27"/>
  <c r="AW101" i="27"/>
  <c r="AW21" i="27"/>
  <c r="DP10" i="27"/>
  <c r="DJ10" i="27"/>
  <c r="DR10" i="27"/>
  <c r="DR14" i="27"/>
  <c r="DO14" i="27"/>
  <c r="DQ14" i="27"/>
  <c r="DR13" i="27"/>
  <c r="DL13" i="27"/>
  <c r="DO13" i="27"/>
  <c r="DQ25" i="27"/>
  <c r="DO25" i="27"/>
  <c r="DL25" i="27"/>
  <c r="DJ31" i="27"/>
  <c r="DK31" i="27"/>
  <c r="DT31" i="27"/>
  <c r="DS24" i="27"/>
  <c r="DO24" i="27"/>
  <c r="DT24" i="27"/>
  <c r="DJ33" i="27"/>
  <c r="DT33" i="27"/>
  <c r="DP33" i="27"/>
  <c r="DL42" i="27"/>
  <c r="DK42" i="27"/>
  <c r="DQ42" i="27"/>
  <c r="DK43" i="27"/>
  <c r="DN43" i="27"/>
  <c r="DT43" i="27"/>
  <c r="DJ45" i="27"/>
  <c r="DK45" i="27"/>
  <c r="DT45" i="27"/>
  <c r="DJ56" i="27"/>
  <c r="DR56" i="27"/>
  <c r="DT56" i="27"/>
  <c r="DS46" i="27"/>
  <c r="DL46" i="27"/>
  <c r="DQ46" i="27"/>
  <c r="DL69" i="27"/>
  <c r="DK69" i="27"/>
  <c r="DQ69" i="27"/>
  <c r="DK66" i="27"/>
  <c r="DJ66" i="27"/>
  <c r="DT66" i="27"/>
  <c r="DK50" i="27"/>
  <c r="DJ50" i="27"/>
  <c r="DT50" i="27"/>
  <c r="DI63" i="27"/>
  <c r="DL63" i="27"/>
  <c r="DR63" i="27"/>
  <c r="DS89" i="27"/>
  <c r="DJ89" i="27"/>
  <c r="DT89" i="27"/>
  <c r="DJ80" i="27"/>
  <c r="DI80" i="27"/>
  <c r="DS80" i="27"/>
  <c r="DJ92" i="27"/>
  <c r="DI92" i="27"/>
  <c r="DS92" i="27"/>
  <c r="DQ82" i="27"/>
  <c r="DL82" i="27"/>
  <c r="DR82" i="27"/>
  <c r="DS95" i="27"/>
  <c r="DO95" i="27"/>
  <c r="DT95" i="27"/>
  <c r="DP99" i="27"/>
  <c r="DJ99" i="27"/>
  <c r="DR99" i="27"/>
  <c r="DK107" i="27"/>
  <c r="DJ107" i="27"/>
  <c r="DT107" i="27"/>
  <c r="DP118" i="27"/>
  <c r="DT118" i="27"/>
  <c r="DK118" i="27"/>
  <c r="DM102" i="27"/>
  <c r="DL102" i="27"/>
  <c r="DR102" i="27"/>
  <c r="DN104" i="27"/>
  <c r="DI104" i="27"/>
  <c r="DS104" i="27"/>
  <c r="DI113" i="27"/>
  <c r="DP113" i="27"/>
  <c r="DO113" i="27"/>
  <c r="DT119" i="27"/>
  <c r="DP119" i="27"/>
  <c r="DK119" i="27"/>
  <c r="DT96" i="27"/>
  <c r="DM96" i="27"/>
  <c r="DQ96" i="27"/>
  <c r="DR137" i="27"/>
  <c r="DS137" i="27"/>
  <c r="DT137" i="27"/>
  <c r="DI78" i="27"/>
  <c r="DK78" i="27"/>
  <c r="DT78" i="27"/>
  <c r="DR129" i="27"/>
  <c r="DP129" i="27"/>
  <c r="DT129" i="27"/>
  <c r="DJ131" i="27"/>
  <c r="DP131" i="27"/>
  <c r="DO131" i="27"/>
  <c r="DW19" i="27"/>
  <c r="DU19" i="27" s="1"/>
  <c r="DW48" i="27"/>
  <c r="DU48" i="27" s="1"/>
  <c r="DW41" i="27"/>
  <c r="DU41" i="27" s="1"/>
  <c r="DW111" i="27"/>
  <c r="DU111" i="27" s="1"/>
  <c r="X109" i="30" s="1"/>
  <c r="AW116" i="27"/>
  <c r="AW74" i="27"/>
  <c r="AW41" i="27"/>
  <c r="AW28" i="27"/>
  <c r="DI12" i="27"/>
  <c r="DP12" i="27"/>
  <c r="DO12" i="27"/>
  <c r="DJ15" i="27"/>
  <c r="DN15" i="27"/>
  <c r="DL15" i="27"/>
  <c r="DJ20" i="27"/>
  <c r="DQ20" i="27"/>
  <c r="DS20" i="27"/>
  <c r="DR28" i="27"/>
  <c r="DT28" i="27"/>
  <c r="DN28" i="27"/>
  <c r="DQ32" i="27"/>
  <c r="DR32" i="27"/>
  <c r="DL32" i="27"/>
  <c r="DR27" i="27"/>
  <c r="DI27" i="27"/>
  <c r="DM27" i="27"/>
  <c r="DM36" i="27"/>
  <c r="DN36" i="27"/>
  <c r="DJ36" i="27"/>
  <c r="DM37" i="27"/>
  <c r="DN37" i="27"/>
  <c r="DJ37" i="27"/>
  <c r="DN44" i="27"/>
  <c r="DJ44" i="27"/>
  <c r="DI44" i="27"/>
  <c r="DP52" i="27"/>
  <c r="DO52" i="27"/>
  <c r="DJ52" i="27"/>
  <c r="DQ22" i="27"/>
  <c r="DJ22" i="27"/>
  <c r="DO22" i="27"/>
  <c r="DT54" i="27"/>
  <c r="DP54" i="27"/>
  <c r="DK54" i="27"/>
  <c r="DN70" i="27"/>
  <c r="DM70" i="27"/>
  <c r="DL70" i="27"/>
  <c r="DK71" i="27"/>
  <c r="DN71" i="27"/>
  <c r="DI71" i="27"/>
  <c r="DP53" i="27"/>
  <c r="DS53" i="27"/>
  <c r="DJ53" i="27"/>
  <c r="DM73" i="27"/>
  <c r="DP73" i="27"/>
  <c r="DK73" i="27"/>
  <c r="DP90" i="27"/>
  <c r="DO90" i="27"/>
  <c r="DJ90" i="27"/>
  <c r="DK81" i="27"/>
  <c r="DN81" i="27"/>
  <c r="DI81" i="27"/>
  <c r="DQ64" i="27"/>
  <c r="DP64" i="27"/>
  <c r="DK64" i="27"/>
  <c r="DR86" i="27"/>
  <c r="DM86" i="27"/>
  <c r="DL86" i="27"/>
  <c r="DM68" i="27"/>
  <c r="DP68" i="27"/>
  <c r="DK68" i="27"/>
  <c r="DR100" i="27"/>
  <c r="DM100" i="27"/>
  <c r="DL100" i="27"/>
  <c r="DJ110" i="27"/>
  <c r="DI110" i="27"/>
  <c r="DK110" i="27"/>
  <c r="DQ120" i="27"/>
  <c r="DI120" i="27"/>
  <c r="DS120" i="27"/>
  <c r="DJ106" i="27"/>
  <c r="DM106" i="27"/>
  <c r="DL106" i="27"/>
  <c r="DT108" i="27"/>
  <c r="DO108" i="27"/>
  <c r="DJ108" i="27"/>
  <c r="DJ114" i="27"/>
  <c r="DI114" i="27"/>
  <c r="DS114" i="27"/>
  <c r="DI121" i="27"/>
  <c r="DM121" i="27"/>
  <c r="DS121" i="27"/>
  <c r="DJ124" i="27"/>
  <c r="DT124" i="27"/>
  <c r="DK124" i="27"/>
  <c r="DI138" i="27"/>
  <c r="DT138" i="27"/>
  <c r="DM138" i="27"/>
  <c r="DT125" i="27"/>
  <c r="DM125" i="27"/>
  <c r="DO125" i="27"/>
  <c r="DS133" i="27"/>
  <c r="DR133" i="27"/>
  <c r="DK133" i="27"/>
  <c r="DM135" i="27"/>
  <c r="DJ135" i="27"/>
  <c r="DQ135" i="27"/>
  <c r="BZ62" i="27" a="1"/>
  <c r="BZ62" i="27" s="1"/>
  <c r="CH62" i="27" a="1"/>
  <c r="CH62" i="27" s="1"/>
  <c r="CP62" i="27" a="1"/>
  <c r="CP62" i="27" s="1"/>
  <c r="BY62" i="27" a="1"/>
  <c r="BY62" i="27" s="1"/>
  <c r="CM62" i="27" a="1"/>
  <c r="CM62" i="27" s="1"/>
  <c r="CS62" i="27" a="1"/>
  <c r="CS62" i="27" s="1"/>
  <c r="CB62" i="27" a="1"/>
  <c r="CB62" i="27" s="1"/>
  <c r="CJ62" i="27" a="1"/>
  <c r="CJ62" i="27" s="1"/>
  <c r="CR62" i="27" a="1"/>
  <c r="CR62" i="27" s="1"/>
  <c r="CG62" i="27" a="1"/>
  <c r="CG62" i="27" s="1"/>
  <c r="CU62" i="27" a="1"/>
  <c r="CU62" i="27" s="1"/>
  <c r="CA62" i="27" a="1"/>
  <c r="CA62" i="27" s="1"/>
  <c r="CD62" i="27" a="1"/>
  <c r="CD62" i="27" s="1"/>
  <c r="CL62" i="27" a="1"/>
  <c r="CL62" i="27" s="1"/>
  <c r="CT62" i="27" a="1"/>
  <c r="CT62" i="27" s="1"/>
  <c r="CO62" i="27" a="1"/>
  <c r="CO62" i="27" s="1"/>
  <c r="CC62" i="27" a="1"/>
  <c r="CC62" i="27" s="1"/>
  <c r="CI62" i="27" a="1"/>
  <c r="CI62" i="27" s="1"/>
  <c r="CF62" i="27" a="1"/>
  <c r="CF62" i="27" s="1"/>
  <c r="CN62" i="27" a="1"/>
  <c r="CN62" i="27" s="1"/>
  <c r="CV62" i="27" a="1"/>
  <c r="CV62" i="27" s="1"/>
  <c r="CE62" i="27" a="1"/>
  <c r="CE62" i="27" s="1"/>
  <c r="CK62" i="27" a="1"/>
  <c r="CK62" i="27" s="1"/>
  <c r="CQ62" i="27" a="1"/>
  <c r="CQ62" i="27" s="1"/>
  <c r="BZ65" i="27" a="1"/>
  <c r="BZ65" i="27" s="1"/>
  <c r="BY65" i="27" a="1"/>
  <c r="BY65" i="27" s="1"/>
  <c r="CG65" i="27" a="1"/>
  <c r="CG65" i="27" s="1"/>
  <c r="CO65" i="27" a="1"/>
  <c r="CO65" i="27" s="1"/>
  <c r="CA65" i="27" a="1"/>
  <c r="CA65" i="27" s="1"/>
  <c r="CI65" i="27" a="1"/>
  <c r="CI65" i="27" s="1"/>
  <c r="CQ65" i="27" a="1"/>
  <c r="CQ65" i="27" s="1"/>
  <c r="CC65" i="27" a="1"/>
  <c r="CC65" i="27" s="1"/>
  <c r="CK65" i="27" a="1"/>
  <c r="CK65" i="27" s="1"/>
  <c r="CS65" i="27" a="1"/>
  <c r="CS65" i="27" s="1"/>
  <c r="CE65" i="27" a="1"/>
  <c r="CE65" i="27" s="1"/>
  <c r="CM65" i="27" a="1"/>
  <c r="CM65" i="27" s="1"/>
  <c r="CU65" i="27" a="1"/>
  <c r="CU65" i="27" s="1"/>
  <c r="CV65" i="27" a="1"/>
  <c r="CV65" i="27" s="1"/>
  <c r="CN65" i="27" a="1"/>
  <c r="CN65" i="27" s="1"/>
  <c r="CF65" i="27" a="1"/>
  <c r="CF65" i="27" s="1"/>
  <c r="CT65" i="27" a="1"/>
  <c r="CT65" i="27" s="1"/>
  <c r="CL65" i="27" a="1"/>
  <c r="CL65" i="27" s="1"/>
  <c r="CD65" i="27" a="1"/>
  <c r="CD65" i="27" s="1"/>
  <c r="CR65" i="27" a="1"/>
  <c r="CR65" i="27" s="1"/>
  <c r="CJ65" i="27" a="1"/>
  <c r="CJ65" i="27" s="1"/>
  <c r="CB65" i="27" a="1"/>
  <c r="CB65" i="27" s="1"/>
  <c r="CH65" i="27" a="1"/>
  <c r="CH65" i="27" s="1"/>
  <c r="CP65" i="27" a="1"/>
  <c r="CP65" i="27" s="1"/>
  <c r="DW98" i="27"/>
  <c r="DU98" i="27" s="1"/>
  <c r="DW106" i="27"/>
  <c r="DU106" i="27" s="1"/>
  <c r="BZ94" i="27" a="1"/>
  <c r="BZ94" i="27" s="1"/>
  <c r="CH94" i="27" a="1"/>
  <c r="CH94" i="27" s="1"/>
  <c r="CP94" i="27" a="1"/>
  <c r="CP94" i="27" s="1"/>
  <c r="CA94" i="27" a="1"/>
  <c r="CA94" i="27" s="1"/>
  <c r="CG94" i="27" a="1"/>
  <c r="CG94" i="27" s="1"/>
  <c r="CU94" i="27" a="1"/>
  <c r="CU94" i="27" s="1"/>
  <c r="CB94" i="27" a="1"/>
  <c r="CB94" i="27" s="1"/>
  <c r="CR94" i="27" a="1"/>
  <c r="CR94" i="27" s="1"/>
  <c r="CI94" i="27" a="1"/>
  <c r="CI94" i="27" s="1"/>
  <c r="CC94" i="27" a="1"/>
  <c r="CC94" i="27" s="1"/>
  <c r="CJ94" i="27" a="1"/>
  <c r="CJ94" i="27" s="1"/>
  <c r="CO94" i="27" a="1"/>
  <c r="CO94" i="27" s="1"/>
  <c r="CD94" i="27" a="1"/>
  <c r="CD94" i="27" s="1"/>
  <c r="CL94" i="27" a="1"/>
  <c r="CL94" i="27" s="1"/>
  <c r="CT94" i="27" a="1"/>
  <c r="CT94" i="27" s="1"/>
  <c r="CQ94" i="27" a="1"/>
  <c r="CQ94" i="27" s="1"/>
  <c r="CE94" i="27" a="1"/>
  <c r="CE94" i="27" s="1"/>
  <c r="CS94" i="27" a="1"/>
  <c r="CS94" i="27" s="1"/>
  <c r="CF94" i="27" a="1"/>
  <c r="CF94" i="27" s="1"/>
  <c r="CN94" i="27" a="1"/>
  <c r="CN94" i="27" s="1"/>
  <c r="CV94" i="27" a="1"/>
  <c r="CV94" i="27" s="1"/>
  <c r="BY94" i="27" a="1"/>
  <c r="BY94" i="27" s="1"/>
  <c r="CM94" i="27" a="1"/>
  <c r="CM94" i="27" s="1"/>
  <c r="CK94" i="27" a="1"/>
  <c r="CK94" i="27" s="1"/>
  <c r="M31" i="27" a="1"/>
  <c r="M31" i="27" s="1"/>
  <c r="Q31" i="27" a="1"/>
  <c r="Q31" i="27" s="1"/>
  <c r="U31" i="27" a="1"/>
  <c r="U31" i="27" s="1"/>
  <c r="Y31" i="27" a="1"/>
  <c r="Y31" i="27" s="1"/>
  <c r="AC31" i="27" a="1"/>
  <c r="AC31" i="27" s="1"/>
  <c r="AG31" i="27" a="1"/>
  <c r="AG31" i="27" s="1"/>
  <c r="N31" i="27" a="1"/>
  <c r="N31" i="27" s="1"/>
  <c r="R31" i="27" a="1"/>
  <c r="R31" i="27" s="1"/>
  <c r="V31" i="27" a="1"/>
  <c r="V31" i="27" s="1"/>
  <c r="Z31" i="27" a="1"/>
  <c r="Z31" i="27" s="1"/>
  <c r="AD31" i="27" a="1"/>
  <c r="AD31" i="27" s="1"/>
  <c r="AH31" i="27" a="1"/>
  <c r="AH31" i="27" s="1"/>
  <c r="O31" i="27" a="1"/>
  <c r="O31" i="27" s="1"/>
  <c r="W31" i="27" a="1"/>
  <c r="W31" i="27" s="1"/>
  <c r="AE31" i="27" a="1"/>
  <c r="AE31" i="27" s="1"/>
  <c r="P31" i="27" a="1"/>
  <c r="P31" i="27" s="1"/>
  <c r="X31" i="27" a="1"/>
  <c r="X31" i="27" s="1"/>
  <c r="AF31" i="27" a="1"/>
  <c r="AF31" i="27" s="1"/>
  <c r="S31" i="27" a="1"/>
  <c r="S31" i="27" s="1"/>
  <c r="AA31" i="27" a="1"/>
  <c r="AA31" i="27" s="1"/>
  <c r="AI31" i="27" a="1"/>
  <c r="AI31" i="27" s="1"/>
  <c r="L31" i="27" a="1"/>
  <c r="L31" i="27" s="1"/>
  <c r="T31" i="27" a="1"/>
  <c r="T31" i="27" s="1"/>
  <c r="AB31" i="27" a="1"/>
  <c r="AB31" i="27" s="1"/>
  <c r="DQ29" i="27"/>
  <c r="DP29" i="27"/>
  <c r="DQ38" i="27"/>
  <c r="DP38" i="27"/>
  <c r="DQ55" i="27"/>
  <c r="DS49" i="27"/>
  <c r="DQ72" i="27"/>
  <c r="DQ58" i="27"/>
  <c r="DS58" i="27"/>
  <c r="DM67" i="27"/>
  <c r="DQ87" i="27"/>
  <c r="DQ101" i="27"/>
  <c r="DP101" i="27"/>
  <c r="DR112" i="27"/>
  <c r="DM112" i="27"/>
  <c r="DM122" i="27"/>
  <c r="DR76" i="27"/>
  <c r="DQ123" i="27"/>
  <c r="DP126" i="27"/>
  <c r="DJ126" i="27"/>
  <c r="DS134" i="27"/>
  <c r="DW50" i="27"/>
  <c r="DU50" i="27" s="1"/>
  <c r="X48" i="30" s="1"/>
  <c r="DW125" i="27"/>
  <c r="DU125" i="27" s="1"/>
  <c r="X123" i="30" s="1"/>
  <c r="BJ132" i="27"/>
  <c r="BH132" i="27" s="1"/>
  <c r="N81" i="27" a="1"/>
  <c r="N81" i="27" s="1"/>
  <c r="T81" i="27" a="1"/>
  <c r="T81" i="27" s="1"/>
  <c r="Y81" i="27" a="1"/>
  <c r="Y81" i="27" s="1"/>
  <c r="AE81" i="27" a="1"/>
  <c r="AE81" i="27" s="1"/>
  <c r="AH81" i="27" a="1"/>
  <c r="AH81" i="27" s="1"/>
  <c r="L81" i="27" a="1"/>
  <c r="L81" i="27" s="1"/>
  <c r="Q81" i="27" a="1"/>
  <c r="Q81" i="27" s="1"/>
  <c r="W81" i="27" a="1"/>
  <c r="W81" i="27" s="1"/>
  <c r="Z81" i="27" a="1"/>
  <c r="Z81" i="27" s="1"/>
  <c r="AC81" i="27" a="1"/>
  <c r="AC81" i="27" s="1"/>
  <c r="AF81" i="27" a="1"/>
  <c r="AF81" i="27" s="1"/>
  <c r="AI81" i="27" a="1"/>
  <c r="AI81" i="27" s="1"/>
  <c r="O81" i="27" a="1"/>
  <c r="O81" i="27" s="1"/>
  <c r="R81" i="27" a="1"/>
  <c r="R81" i="27" s="1"/>
  <c r="U81" i="27" a="1"/>
  <c r="U81" i="27" s="1"/>
  <c r="X81" i="27" a="1"/>
  <c r="X81" i="27" s="1"/>
  <c r="AA81" i="27" a="1"/>
  <c r="AA81" i="27" s="1"/>
  <c r="AD81" i="27" a="1"/>
  <c r="AD81" i="27" s="1"/>
  <c r="M81" i="27" a="1"/>
  <c r="M81" i="27" s="1"/>
  <c r="P81" i="27" a="1"/>
  <c r="P81" i="27" s="1"/>
  <c r="AB81" i="27" a="1"/>
  <c r="AB81" i="27" s="1"/>
  <c r="S81" i="27" a="1"/>
  <c r="S81" i="27" s="1"/>
  <c r="V81" i="27" a="1"/>
  <c r="V81" i="27" s="1"/>
  <c r="AG81" i="27" a="1"/>
  <c r="AG81" i="27" s="1"/>
  <c r="BJ97" i="27"/>
  <c r="BH97" i="27" s="1"/>
  <c r="M123" i="27" a="1"/>
  <c r="M123" i="27" s="1"/>
  <c r="R123" i="27" a="1"/>
  <c r="R123" i="27" s="1"/>
  <c r="U123" i="27" a="1"/>
  <c r="U123" i="27" s="1"/>
  <c r="Z123" i="27" a="1"/>
  <c r="Z123" i="27" s="1"/>
  <c r="AC123" i="27" a="1"/>
  <c r="AC123" i="27" s="1"/>
  <c r="AH123" i="27" a="1"/>
  <c r="AH123" i="27" s="1"/>
  <c r="N123" i="27" a="1"/>
  <c r="N123" i="27" s="1"/>
  <c r="Q123" i="27" a="1"/>
  <c r="Q123" i="27" s="1"/>
  <c r="V123" i="27" a="1"/>
  <c r="V123" i="27" s="1"/>
  <c r="Y123" i="27" a="1"/>
  <c r="Y123" i="27" s="1"/>
  <c r="AD123" i="27" a="1"/>
  <c r="AD123" i="27" s="1"/>
  <c r="AG123" i="27" a="1"/>
  <c r="AG123" i="27" s="1"/>
  <c r="P123" i="27" a="1"/>
  <c r="P123" i="27" s="1"/>
  <c r="AA123" i="27" a="1"/>
  <c r="AA123" i="27" s="1"/>
  <c r="AF123" i="27" a="1"/>
  <c r="AF123" i="27" s="1"/>
  <c r="T123" i="27" a="1"/>
  <c r="T123" i="27" s="1"/>
  <c r="AE123" i="27" a="1"/>
  <c r="AE123" i="27" s="1"/>
  <c r="L123" i="27" a="1"/>
  <c r="L123" i="27" s="1"/>
  <c r="W123" i="27" a="1"/>
  <c r="W123" i="27" s="1"/>
  <c r="AB123" i="27" a="1"/>
  <c r="AB123" i="27" s="1"/>
  <c r="O123" i="27" a="1"/>
  <c r="O123" i="27" s="1"/>
  <c r="S123" i="27" a="1"/>
  <c r="S123" i="27" s="1"/>
  <c r="X123" i="27" a="1"/>
  <c r="X123" i="27" s="1"/>
  <c r="AI123" i="27" a="1"/>
  <c r="AI123" i="27" s="1"/>
  <c r="DQ16" i="27"/>
  <c r="DJ41" i="27"/>
  <c r="DS48" i="27"/>
  <c r="DQ51" i="27"/>
  <c r="DJ94" i="27"/>
  <c r="DR117" i="27"/>
  <c r="DS83" i="27"/>
  <c r="M119" i="27" a="1"/>
  <c r="M119" i="27" s="1"/>
  <c r="R119" i="27" a="1"/>
  <c r="R119" i="27" s="1"/>
  <c r="U119" i="27" a="1"/>
  <c r="U119" i="27" s="1"/>
  <c r="Z119" i="27" a="1"/>
  <c r="Z119" i="27" s="1"/>
  <c r="AC119" i="27" a="1"/>
  <c r="AC119" i="27" s="1"/>
  <c r="AH119" i="27" a="1"/>
  <c r="AH119" i="27" s="1"/>
  <c r="N119" i="27" a="1"/>
  <c r="N119" i="27" s="1"/>
  <c r="Q119" i="27" a="1"/>
  <c r="Q119" i="27" s="1"/>
  <c r="V119" i="27" a="1"/>
  <c r="V119" i="27" s="1"/>
  <c r="Y119" i="27" a="1"/>
  <c r="Y119" i="27" s="1"/>
  <c r="AD119" i="27" a="1"/>
  <c r="AD119" i="27" s="1"/>
  <c r="AG119" i="27" a="1"/>
  <c r="AG119" i="27" s="1"/>
  <c r="P119" i="27" a="1"/>
  <c r="P119" i="27" s="1"/>
  <c r="AA119" i="27" a="1"/>
  <c r="AA119" i="27" s="1"/>
  <c r="AF119" i="27" a="1"/>
  <c r="AF119" i="27" s="1"/>
  <c r="L119" i="27" a="1"/>
  <c r="L119" i="27" s="1"/>
  <c r="W119" i="27" a="1"/>
  <c r="W119" i="27" s="1"/>
  <c r="AB119" i="27" a="1"/>
  <c r="AB119" i="27" s="1"/>
  <c r="S119" i="27" a="1"/>
  <c r="S119" i="27" s="1"/>
  <c r="X119" i="27" a="1"/>
  <c r="X119" i="27" s="1"/>
  <c r="AI119" i="27" a="1"/>
  <c r="AI119" i="27" s="1"/>
  <c r="O119" i="27" a="1"/>
  <c r="O119" i="27" s="1"/>
  <c r="T119" i="27" a="1"/>
  <c r="T119" i="27" s="1"/>
  <c r="AE119" i="27" a="1"/>
  <c r="AE119" i="27" s="1"/>
  <c r="N101" i="27" a="1"/>
  <c r="N101" i="27" s="1"/>
  <c r="S101" i="27" a="1"/>
  <c r="S101" i="27" s="1"/>
  <c r="V101" i="27" a="1"/>
  <c r="V101" i="27" s="1"/>
  <c r="AA101" i="27" a="1"/>
  <c r="AA101" i="27" s="1"/>
  <c r="AD101" i="27" a="1"/>
  <c r="AD101" i="27" s="1"/>
  <c r="AI101" i="27" a="1"/>
  <c r="AI101" i="27" s="1"/>
  <c r="L101" i="27" a="1"/>
  <c r="L101" i="27" s="1"/>
  <c r="Q101" i="27" a="1"/>
  <c r="Q101" i="27" s="1"/>
  <c r="T101" i="27" a="1"/>
  <c r="T101" i="27" s="1"/>
  <c r="Y101" i="27" a="1"/>
  <c r="Y101" i="27" s="1"/>
  <c r="AB101" i="27" a="1"/>
  <c r="AB101" i="27" s="1"/>
  <c r="AG101" i="27" a="1"/>
  <c r="AG101" i="27" s="1"/>
  <c r="O101" i="27" a="1"/>
  <c r="O101" i="27" s="1"/>
  <c r="R101" i="27" a="1"/>
  <c r="R101" i="27" s="1"/>
  <c r="W101" i="27" a="1"/>
  <c r="W101" i="27" s="1"/>
  <c r="Z101" i="27" a="1"/>
  <c r="Z101" i="27" s="1"/>
  <c r="AE101" i="27" a="1"/>
  <c r="AE101" i="27" s="1"/>
  <c r="AH101" i="27" a="1"/>
  <c r="AH101" i="27" s="1"/>
  <c r="AC101" i="27" a="1"/>
  <c r="AC101" i="27" s="1"/>
  <c r="U101" i="27" a="1"/>
  <c r="U101" i="27" s="1"/>
  <c r="AF101" i="27" a="1"/>
  <c r="AF101" i="27" s="1"/>
  <c r="P101" i="27" a="1"/>
  <c r="P101" i="27" s="1"/>
  <c r="M101" i="27" a="1"/>
  <c r="M101" i="27" s="1"/>
  <c r="X101" i="27" a="1"/>
  <c r="X101" i="27" s="1"/>
  <c r="DJ24" i="27"/>
  <c r="DM33" i="27"/>
  <c r="DR33" i="27"/>
  <c r="DS45" i="27"/>
  <c r="DJ69" i="27"/>
  <c r="DM63" i="27"/>
  <c r="DP63" i="27"/>
  <c r="DM80" i="27"/>
  <c r="DM137" i="27"/>
  <c r="DQ129" i="27"/>
  <c r="DJ129" i="27"/>
  <c r="CC12" i="27" a="1"/>
  <c r="CC12" i="27" s="1"/>
  <c r="CK12" i="27" a="1"/>
  <c r="CK12" i="27" s="1"/>
  <c r="CS12" i="27" a="1"/>
  <c r="CS12" i="27" s="1"/>
  <c r="CN12" i="27" a="1"/>
  <c r="CN12" i="27" s="1"/>
  <c r="CH12" i="27" a="1"/>
  <c r="CH12" i="27" s="1"/>
  <c r="CE12" i="27" a="1"/>
  <c r="CE12" i="27" s="1"/>
  <c r="CM12" i="27" a="1"/>
  <c r="CM12" i="27" s="1"/>
  <c r="CU12" i="27" a="1"/>
  <c r="CU12" i="27" s="1"/>
  <c r="CJ12" i="27" a="1"/>
  <c r="CJ12" i="27" s="1"/>
  <c r="CT12" i="27" a="1"/>
  <c r="CT12" i="27" s="1"/>
  <c r="CD12" i="27" a="1"/>
  <c r="CD12" i="27" s="1"/>
  <c r="BY12" i="27" a="1"/>
  <c r="BY12" i="27" s="1"/>
  <c r="CG12" i="27" a="1"/>
  <c r="CG12" i="27" s="1"/>
  <c r="CO12" i="27" a="1"/>
  <c r="CO12" i="27" s="1"/>
  <c r="CV12" i="27" a="1"/>
  <c r="CV12" i="27" s="1"/>
  <c r="CP12" i="27" a="1"/>
  <c r="CP12" i="27" s="1"/>
  <c r="BZ12" i="27" a="1"/>
  <c r="BZ12" i="27" s="1"/>
  <c r="CF12" i="27" a="1"/>
  <c r="CF12" i="27" s="1"/>
  <c r="CA12" i="27" a="1"/>
  <c r="CA12" i="27" s="1"/>
  <c r="CB12" i="27" a="1"/>
  <c r="CB12" i="27" s="1"/>
  <c r="CI12" i="27" a="1"/>
  <c r="CI12" i="27" s="1"/>
  <c r="CL12" i="27" a="1"/>
  <c r="CL12" i="27" s="1"/>
  <c r="CR12" i="27" a="1"/>
  <c r="CR12" i="27" s="1"/>
  <c r="CQ12" i="27" a="1"/>
  <c r="CQ12" i="27" s="1"/>
  <c r="DW112" i="27"/>
  <c r="DU112" i="27" s="1"/>
  <c r="X110" i="30" s="1"/>
  <c r="DW100" i="27"/>
  <c r="DY100" i="27" s="1"/>
  <c r="EA100" i="27" s="1"/>
  <c r="DW121" i="27"/>
  <c r="DU121" i="27" s="1"/>
  <c r="M57" i="27" a="1"/>
  <c r="M57" i="27" s="1"/>
  <c r="P57" i="27" a="1"/>
  <c r="P57" i="27" s="1"/>
  <c r="U57" i="27" a="1"/>
  <c r="U57" i="27" s="1"/>
  <c r="X57" i="27" a="1"/>
  <c r="X57" i="27" s="1"/>
  <c r="AC57" i="27" a="1"/>
  <c r="AC57" i="27" s="1"/>
  <c r="L57" i="27" a="1"/>
  <c r="L57" i="27" s="1"/>
  <c r="O57" i="27" a="1"/>
  <c r="O57" i="27" s="1"/>
  <c r="S57" i="27" a="1"/>
  <c r="S57" i="27" s="1"/>
  <c r="Z57" i="27" a="1"/>
  <c r="Z57" i="27" s="1"/>
  <c r="AD57" i="27" a="1"/>
  <c r="AD57" i="27" s="1"/>
  <c r="AI57" i="27" a="1"/>
  <c r="AI57" i="27" s="1"/>
  <c r="T57" i="27" a="1"/>
  <c r="T57" i="27" s="1"/>
  <c r="W57" i="27" a="1"/>
  <c r="W57" i="27" s="1"/>
  <c r="AA57" i="27" a="1"/>
  <c r="AA57" i="27" s="1"/>
  <c r="AG57" i="27" a="1"/>
  <c r="AG57" i="27" s="1"/>
  <c r="N57" i="27" a="1"/>
  <c r="N57" i="27" s="1"/>
  <c r="Q57" i="27" a="1"/>
  <c r="Q57" i="27" s="1"/>
  <c r="AB57" i="27" a="1"/>
  <c r="AB57" i="27" s="1"/>
  <c r="AE57" i="27" a="1"/>
  <c r="AE57" i="27" s="1"/>
  <c r="AH57" i="27" a="1"/>
  <c r="AH57" i="27" s="1"/>
  <c r="R57" i="27" a="1"/>
  <c r="R57" i="27" s="1"/>
  <c r="AF57" i="27" a="1"/>
  <c r="AF57" i="27" s="1"/>
  <c r="V57" i="27" a="1"/>
  <c r="V57" i="27" s="1"/>
  <c r="Y57" i="27" a="1"/>
  <c r="Y57" i="27" s="1"/>
  <c r="DS52" i="27"/>
  <c r="DJ54" i="27"/>
  <c r="DJ73" i="27"/>
  <c r="DR110" i="27"/>
  <c r="DJ125" i="27"/>
  <c r="DP133" i="27"/>
  <c r="DS135" i="27"/>
  <c r="DP8" i="27"/>
  <c r="DS8" i="27"/>
  <c r="DJ8" i="27"/>
  <c r="DP9" i="27"/>
  <c r="DK9" i="27"/>
  <c r="DS9" i="27"/>
  <c r="DI17" i="27"/>
  <c r="DT17" i="27"/>
  <c r="DK17" i="27"/>
  <c r="DM18" i="27"/>
  <c r="DP18" i="27"/>
  <c r="DI18" i="27"/>
  <c r="DM19" i="27"/>
  <c r="DR19" i="27"/>
  <c r="DL19" i="27"/>
  <c r="DM34" i="27"/>
  <c r="DT34" i="27"/>
  <c r="DN34" i="27"/>
  <c r="DK29" i="27"/>
  <c r="DN29" i="27"/>
  <c r="DI29" i="27"/>
  <c r="DT38" i="27"/>
  <c r="DM38" i="27"/>
  <c r="DL38" i="27"/>
  <c r="DM35" i="27"/>
  <c r="DO35" i="27"/>
  <c r="DK35" i="27"/>
  <c r="DT47" i="27"/>
  <c r="DM47" i="27"/>
  <c r="DK47" i="27"/>
  <c r="DR55" i="27"/>
  <c r="DS55" i="27"/>
  <c r="DI55" i="27"/>
  <c r="DM49" i="27"/>
  <c r="DP49" i="27"/>
  <c r="DK49" i="27"/>
  <c r="DO61" i="27"/>
  <c r="DN61" i="27"/>
  <c r="DI61" i="27"/>
  <c r="DL74" i="27"/>
  <c r="DO74" i="27"/>
  <c r="DJ74" i="27"/>
  <c r="DS72" i="27"/>
  <c r="DN72" i="27"/>
  <c r="DI72" i="27"/>
  <c r="DM58" i="27"/>
  <c r="DP58" i="27"/>
  <c r="DK58" i="27"/>
  <c r="DI67" i="27"/>
  <c r="DP67" i="27"/>
  <c r="DK67" i="27"/>
  <c r="DR57" i="27"/>
  <c r="DM57" i="27"/>
  <c r="DL57" i="27"/>
  <c r="DR85" i="27"/>
  <c r="DM85" i="27"/>
  <c r="DL85" i="27"/>
  <c r="DM77" i="27"/>
  <c r="DI77" i="27"/>
  <c r="DL77" i="27"/>
  <c r="DS87" i="27"/>
  <c r="DN87" i="27"/>
  <c r="DI87" i="27"/>
  <c r="DK91" i="27"/>
  <c r="DN91" i="27"/>
  <c r="DI91" i="27"/>
  <c r="DS101" i="27"/>
  <c r="DN101" i="27"/>
  <c r="DI101" i="27"/>
  <c r="DQ112" i="27"/>
  <c r="DI112" i="27"/>
  <c r="DK112" i="27"/>
  <c r="DR122" i="27"/>
  <c r="DT122" i="27"/>
  <c r="DK122" i="27"/>
  <c r="DT76" i="27"/>
  <c r="DP76" i="27"/>
  <c r="DK76" i="27"/>
  <c r="DI109" i="27"/>
  <c r="DT109" i="27"/>
  <c r="DS109" i="27"/>
  <c r="DT115" i="27"/>
  <c r="DR115" i="27"/>
  <c r="DS115" i="27"/>
  <c r="DT123" i="27"/>
  <c r="DN123" i="27"/>
  <c r="DS123" i="27"/>
  <c r="DI126" i="27"/>
  <c r="DT126" i="27"/>
  <c r="DS126" i="27"/>
  <c r="DR132" i="27"/>
  <c r="DM132" i="27"/>
  <c r="DP132" i="27"/>
  <c r="DT127" i="27"/>
  <c r="DM127" i="27"/>
  <c r="DK127" i="27"/>
  <c r="DJ134" i="27"/>
  <c r="DK134" i="27"/>
  <c r="DR134" i="27"/>
  <c r="DQ136" i="27"/>
  <c r="DJ136" i="27"/>
  <c r="DR136" i="27"/>
  <c r="DW43" i="27"/>
  <c r="DU43" i="27" s="1"/>
  <c r="BZ51" i="27" a="1"/>
  <c r="BZ51" i="27" s="1"/>
  <c r="CH51" i="27" a="1"/>
  <c r="CH51" i="27" s="1"/>
  <c r="CP51" i="27" a="1"/>
  <c r="CP51" i="27" s="1"/>
  <c r="BY51" i="27" a="1"/>
  <c r="BY51" i="27" s="1"/>
  <c r="CG51" i="27" a="1"/>
  <c r="CG51" i="27" s="1"/>
  <c r="CO51" i="27" a="1"/>
  <c r="CO51" i="27" s="1"/>
  <c r="CB51" i="27" a="1"/>
  <c r="CB51" i="27" s="1"/>
  <c r="CJ51" i="27" a="1"/>
  <c r="CJ51" i="27" s="1"/>
  <c r="CR51" i="27" a="1"/>
  <c r="CR51" i="27" s="1"/>
  <c r="CA51" i="27" a="1"/>
  <c r="CA51" i="27" s="1"/>
  <c r="CI51" i="27" a="1"/>
  <c r="CI51" i="27" s="1"/>
  <c r="CQ51" i="27" a="1"/>
  <c r="CQ51" i="27" s="1"/>
  <c r="CD51" i="27" a="1"/>
  <c r="CD51" i="27" s="1"/>
  <c r="CL51" i="27" a="1"/>
  <c r="CL51" i="27" s="1"/>
  <c r="CT51" i="27" a="1"/>
  <c r="CT51" i="27" s="1"/>
  <c r="CC51" i="27" a="1"/>
  <c r="CC51" i="27" s="1"/>
  <c r="CK51" i="27" a="1"/>
  <c r="CK51" i="27" s="1"/>
  <c r="CS51" i="27" a="1"/>
  <c r="CS51" i="27" s="1"/>
  <c r="CF51" i="27" a="1"/>
  <c r="CF51" i="27" s="1"/>
  <c r="CN51" i="27" a="1"/>
  <c r="CN51" i="27" s="1"/>
  <c r="CV51" i="27" a="1"/>
  <c r="CV51" i="27" s="1"/>
  <c r="CE51" i="27" a="1"/>
  <c r="CE51" i="27" s="1"/>
  <c r="CM51" i="27" a="1"/>
  <c r="CM51" i="27" s="1"/>
  <c r="CU51" i="27" a="1"/>
  <c r="CU51" i="27" s="1"/>
  <c r="BZ74" i="27" a="1"/>
  <c r="BZ74" i="27" s="1"/>
  <c r="CH74" i="27" a="1"/>
  <c r="CH74" i="27" s="1"/>
  <c r="CP74" i="27" a="1"/>
  <c r="CP74" i="27" s="1"/>
  <c r="CA74" i="27" a="1"/>
  <c r="CA74" i="27" s="1"/>
  <c r="CG74" i="27" a="1"/>
  <c r="CG74" i="27" s="1"/>
  <c r="CU74" i="27" a="1"/>
  <c r="CU74" i="27" s="1"/>
  <c r="CB74" i="27" a="1"/>
  <c r="CB74" i="27" s="1"/>
  <c r="CJ74" i="27" a="1"/>
  <c r="CJ74" i="27" s="1"/>
  <c r="CR74" i="27" a="1"/>
  <c r="CR74" i="27" s="1"/>
  <c r="CI74" i="27" a="1"/>
  <c r="CI74" i="27" s="1"/>
  <c r="CO74" i="27" a="1"/>
  <c r="CO74" i="27" s="1"/>
  <c r="CC74" i="27" a="1"/>
  <c r="CC74" i="27" s="1"/>
  <c r="CD74" i="27" a="1"/>
  <c r="CD74" i="27" s="1"/>
  <c r="CL74" i="27" a="1"/>
  <c r="CL74" i="27" s="1"/>
  <c r="CT74" i="27" a="1"/>
  <c r="CT74" i="27" s="1"/>
  <c r="CQ74" i="27" a="1"/>
  <c r="CQ74" i="27" s="1"/>
  <c r="CE74" i="27" a="1"/>
  <c r="CE74" i="27" s="1"/>
  <c r="CK74" i="27" a="1"/>
  <c r="CK74" i="27" s="1"/>
  <c r="CF74" i="27" a="1"/>
  <c r="CF74" i="27" s="1"/>
  <c r="CN74" i="27" a="1"/>
  <c r="CN74" i="27" s="1"/>
  <c r="CV74" i="27" a="1"/>
  <c r="CV74" i="27" s="1"/>
  <c r="BY74" i="27" a="1"/>
  <c r="BY74" i="27" s="1"/>
  <c r="CM74" i="27" a="1"/>
  <c r="CM74" i="27" s="1"/>
  <c r="CS74" i="27" a="1"/>
  <c r="CS74" i="27" s="1"/>
  <c r="DW108" i="27"/>
  <c r="DY108" i="27" s="1"/>
  <c r="N116" i="27" a="1"/>
  <c r="N116" i="27" s="1"/>
  <c r="Q116" i="27" a="1"/>
  <c r="Q116" i="27" s="1"/>
  <c r="V116" i="27" a="1"/>
  <c r="V116" i="27" s="1"/>
  <c r="Y116" i="27" a="1"/>
  <c r="Y116" i="27" s="1"/>
  <c r="AD116" i="27" a="1"/>
  <c r="AD116" i="27" s="1"/>
  <c r="AG116" i="27" a="1"/>
  <c r="AG116" i="27" s="1"/>
  <c r="L116" i="27" a="1"/>
  <c r="L116" i="27" s="1"/>
  <c r="O116" i="27" a="1"/>
  <c r="O116" i="27" s="1"/>
  <c r="T116" i="27" a="1"/>
  <c r="T116" i="27" s="1"/>
  <c r="W116" i="27" a="1"/>
  <c r="W116" i="27" s="1"/>
  <c r="AB116" i="27" a="1"/>
  <c r="AB116" i="27" s="1"/>
  <c r="AE116" i="27" a="1"/>
  <c r="AE116" i="27" s="1"/>
  <c r="M116" i="27" a="1"/>
  <c r="M116" i="27" s="1"/>
  <c r="R116" i="27" a="1"/>
  <c r="R116" i="27" s="1"/>
  <c r="U116" i="27" a="1"/>
  <c r="U116" i="27" s="1"/>
  <c r="Z116" i="27" a="1"/>
  <c r="Z116" i="27" s="1"/>
  <c r="AC116" i="27" a="1"/>
  <c r="AC116" i="27" s="1"/>
  <c r="AH116" i="27" a="1"/>
  <c r="AH116" i="27" s="1"/>
  <c r="AF116" i="27" a="1"/>
  <c r="AF116" i="27" s="1"/>
  <c r="X116" i="27" a="1"/>
  <c r="X116" i="27" s="1"/>
  <c r="AI116" i="27" a="1"/>
  <c r="AI116" i="27" s="1"/>
  <c r="P116" i="27" a="1"/>
  <c r="P116" i="27" s="1"/>
  <c r="AA116" i="27" a="1"/>
  <c r="AA116" i="27" s="1"/>
  <c r="S116" i="27" a="1"/>
  <c r="S116" i="27" s="1"/>
  <c r="N112" i="27" a="1"/>
  <c r="N112" i="27" s="1"/>
  <c r="Q112" i="27" a="1"/>
  <c r="Q112" i="27" s="1"/>
  <c r="V112" i="27" a="1"/>
  <c r="V112" i="27" s="1"/>
  <c r="Y112" i="27" a="1"/>
  <c r="Y112" i="27" s="1"/>
  <c r="AD112" i="27" a="1"/>
  <c r="AD112" i="27" s="1"/>
  <c r="AG112" i="27" a="1"/>
  <c r="AG112" i="27" s="1"/>
  <c r="L112" i="27" a="1"/>
  <c r="L112" i="27" s="1"/>
  <c r="O112" i="27" a="1"/>
  <c r="O112" i="27" s="1"/>
  <c r="T112" i="27" a="1"/>
  <c r="T112" i="27" s="1"/>
  <c r="W112" i="27" a="1"/>
  <c r="W112" i="27" s="1"/>
  <c r="AB112" i="27" a="1"/>
  <c r="AB112" i="27" s="1"/>
  <c r="AE112" i="27" a="1"/>
  <c r="AE112" i="27" s="1"/>
  <c r="M112" i="27" a="1"/>
  <c r="M112" i="27" s="1"/>
  <c r="R112" i="27" a="1"/>
  <c r="R112" i="27" s="1"/>
  <c r="U112" i="27" a="1"/>
  <c r="U112" i="27" s="1"/>
  <c r="Z112" i="27" a="1"/>
  <c r="Z112" i="27" s="1"/>
  <c r="AC112" i="27" a="1"/>
  <c r="AC112" i="27" s="1"/>
  <c r="AH112" i="27" a="1"/>
  <c r="AH112" i="27" s="1"/>
  <c r="X112" i="27" a="1"/>
  <c r="X112" i="27" s="1"/>
  <c r="AI112" i="27" a="1"/>
  <c r="AI112" i="27" s="1"/>
  <c r="P112" i="27" a="1"/>
  <c r="P112" i="27" s="1"/>
  <c r="AA112" i="27" a="1"/>
  <c r="AA112" i="27" s="1"/>
  <c r="AF112" i="27" a="1"/>
  <c r="AF112" i="27" s="1"/>
  <c r="S112" i="27" a="1"/>
  <c r="S112" i="27" s="1"/>
  <c r="O86" i="27" a="1"/>
  <c r="O86" i="27" s="1"/>
  <c r="R86" i="27" a="1"/>
  <c r="R86" i="27" s="1"/>
  <c r="W86" i="27" a="1"/>
  <c r="W86" i="27" s="1"/>
  <c r="Z86" i="27" a="1"/>
  <c r="Z86" i="27" s="1"/>
  <c r="AE86" i="27" a="1"/>
  <c r="AE86" i="27" s="1"/>
  <c r="AH86" i="27" a="1"/>
  <c r="AH86" i="27" s="1"/>
  <c r="M86" i="27" a="1"/>
  <c r="M86" i="27" s="1"/>
  <c r="P86" i="27" a="1"/>
  <c r="P86" i="27" s="1"/>
  <c r="U86" i="27" a="1"/>
  <c r="U86" i="27" s="1"/>
  <c r="X86" i="27" a="1"/>
  <c r="X86" i="27" s="1"/>
  <c r="AC86" i="27" a="1"/>
  <c r="AC86" i="27" s="1"/>
  <c r="AF86" i="27" a="1"/>
  <c r="AF86" i="27" s="1"/>
  <c r="N86" i="27" a="1"/>
  <c r="N86" i="27" s="1"/>
  <c r="S86" i="27" a="1"/>
  <c r="S86" i="27" s="1"/>
  <c r="V86" i="27" a="1"/>
  <c r="V86" i="27" s="1"/>
  <c r="AA86" i="27" a="1"/>
  <c r="AA86" i="27" s="1"/>
  <c r="AD86" i="27" a="1"/>
  <c r="AD86" i="27" s="1"/>
  <c r="AI86" i="27" a="1"/>
  <c r="AI86" i="27" s="1"/>
  <c r="T86" i="27" a="1"/>
  <c r="T86" i="27" s="1"/>
  <c r="L86" i="27" a="1"/>
  <c r="L86" i="27" s="1"/>
  <c r="AG86" i="27" a="1"/>
  <c r="AG86" i="27" s="1"/>
  <c r="Y86" i="27" a="1"/>
  <c r="Y86" i="27" s="1"/>
  <c r="AB86" i="27" a="1"/>
  <c r="AB86" i="27" s="1"/>
  <c r="Q86" i="27" a="1"/>
  <c r="Q86" i="27" s="1"/>
  <c r="O43" i="27" a="1"/>
  <c r="O43" i="27" s="1"/>
  <c r="S43" i="27" a="1"/>
  <c r="S43" i="27" s="1"/>
  <c r="W43" i="27" a="1"/>
  <c r="W43" i="27" s="1"/>
  <c r="AA43" i="27" a="1"/>
  <c r="AA43" i="27" s="1"/>
  <c r="AE43" i="27" a="1"/>
  <c r="AE43" i="27" s="1"/>
  <c r="AI43" i="27" a="1"/>
  <c r="AI43" i="27" s="1"/>
  <c r="L43" i="27" a="1"/>
  <c r="L43" i="27" s="1"/>
  <c r="P43" i="27" a="1"/>
  <c r="P43" i="27" s="1"/>
  <c r="T43" i="27" a="1"/>
  <c r="T43" i="27" s="1"/>
  <c r="X43" i="27" a="1"/>
  <c r="X43" i="27" s="1"/>
  <c r="AB43" i="27" a="1"/>
  <c r="AB43" i="27" s="1"/>
  <c r="AF43" i="27" a="1"/>
  <c r="AF43" i="27" s="1"/>
  <c r="M43" i="27" a="1"/>
  <c r="M43" i="27" s="1"/>
  <c r="Q43" i="27" a="1"/>
  <c r="Q43" i="27" s="1"/>
  <c r="U43" i="27" a="1"/>
  <c r="U43" i="27" s="1"/>
  <c r="Y43" i="27" a="1"/>
  <c r="Y43" i="27" s="1"/>
  <c r="AC43" i="27" a="1"/>
  <c r="AC43" i="27" s="1"/>
  <c r="AG43" i="27" a="1"/>
  <c r="AG43" i="27" s="1"/>
  <c r="V43" i="27" a="1"/>
  <c r="V43" i="27" s="1"/>
  <c r="Z43" i="27" a="1"/>
  <c r="Z43" i="27" s="1"/>
  <c r="N43" i="27" a="1"/>
  <c r="N43" i="27" s="1"/>
  <c r="AD43" i="27" a="1"/>
  <c r="AD43" i="27" s="1"/>
  <c r="R43" i="27" a="1"/>
  <c r="R43" i="27" s="1"/>
  <c r="AH43" i="27" a="1"/>
  <c r="AH43" i="27" s="1"/>
  <c r="AW83" i="27"/>
  <c r="AW43" i="27"/>
  <c r="AW114" i="27"/>
  <c r="AW82" i="27"/>
  <c r="AW27" i="27"/>
  <c r="AW11" i="27"/>
  <c r="AW129" i="27"/>
  <c r="AW113" i="27"/>
  <c r="AW81" i="27"/>
  <c r="AW49" i="27"/>
  <c r="O77" i="27" a="1"/>
  <c r="O77" i="27" s="1"/>
  <c r="R77" i="27" a="1"/>
  <c r="R77" i="27" s="1"/>
  <c r="U77" i="27" a="1"/>
  <c r="U77" i="27" s="1"/>
  <c r="AA77" i="27" a="1"/>
  <c r="AA77" i="27" s="1"/>
  <c r="AE77" i="27" a="1"/>
  <c r="AE77" i="27" s="1"/>
  <c r="AH77" i="27" a="1"/>
  <c r="AH77" i="27" s="1"/>
  <c r="M77" i="27" a="1"/>
  <c r="M77" i="27" s="1"/>
  <c r="S77" i="27" a="1"/>
  <c r="S77" i="27" s="1"/>
  <c r="W77" i="27" a="1"/>
  <c r="W77" i="27" s="1"/>
  <c r="Z77" i="27" a="1"/>
  <c r="Z77" i="27" s="1"/>
  <c r="AC77" i="27" a="1"/>
  <c r="AC77" i="27" s="1"/>
  <c r="AI77" i="27" a="1"/>
  <c r="AI77" i="27" s="1"/>
  <c r="Q77" i="27" a="1"/>
  <c r="Q77" i="27" s="1"/>
  <c r="X77" i="27" a="1"/>
  <c r="X77" i="27" s="1"/>
  <c r="AD77" i="27" a="1"/>
  <c r="AD77" i="27" s="1"/>
  <c r="L77" i="27" a="1"/>
  <c r="L77" i="27" s="1"/>
  <c r="Y77" i="27" a="1"/>
  <c r="Y77" i="27" s="1"/>
  <c r="AF77" i="27" a="1"/>
  <c r="AF77" i="27" s="1"/>
  <c r="N77" i="27" a="1"/>
  <c r="N77" i="27" s="1"/>
  <c r="T77" i="27" a="1"/>
  <c r="T77" i="27" s="1"/>
  <c r="AG77" i="27" a="1"/>
  <c r="AG77" i="27" s="1"/>
  <c r="P77" i="27" a="1"/>
  <c r="P77" i="27" s="1"/>
  <c r="V77" i="27" a="1"/>
  <c r="V77" i="27" s="1"/>
  <c r="AB77" i="27" a="1"/>
  <c r="AB77" i="27" s="1"/>
  <c r="L28" i="27" a="1"/>
  <c r="L28" i="27" s="1"/>
  <c r="N28" i="27" a="1"/>
  <c r="N28" i="27" s="1"/>
  <c r="P28" i="27" a="1"/>
  <c r="P28" i="27" s="1"/>
  <c r="R28" i="27" a="1"/>
  <c r="R28" i="27" s="1"/>
  <c r="T28" i="27" a="1"/>
  <c r="T28" i="27" s="1"/>
  <c r="W28" i="27" a="1"/>
  <c r="W28" i="27" s="1"/>
  <c r="AB28" i="27" a="1"/>
  <c r="AB28" i="27" s="1"/>
  <c r="AE28" i="27" a="1"/>
  <c r="AE28" i="27" s="1"/>
  <c r="M28" i="27" a="1"/>
  <c r="M28" i="27" s="1"/>
  <c r="Y28" i="27" a="1"/>
  <c r="Y28" i="27" s="1"/>
  <c r="AC28" i="27" a="1"/>
  <c r="AC28" i="27" s="1"/>
  <c r="AF28" i="27" a="1"/>
  <c r="AF28" i="27" s="1"/>
  <c r="S28" i="27" a="1"/>
  <c r="S28" i="27" s="1"/>
  <c r="V28" i="27" a="1"/>
  <c r="V28" i="27" s="1"/>
  <c r="Z28" i="27" a="1"/>
  <c r="Z28" i="27" s="1"/>
  <c r="AG28" i="27" a="1"/>
  <c r="AG28" i="27" s="1"/>
  <c r="Q28" i="27" a="1"/>
  <c r="Q28" i="27" s="1"/>
  <c r="AA28" i="27" a="1"/>
  <c r="AA28" i="27" s="1"/>
  <c r="AD28" i="27" a="1"/>
  <c r="AD28" i="27" s="1"/>
  <c r="AH28" i="27" a="1"/>
  <c r="AH28" i="27" s="1"/>
  <c r="O28" i="27" a="1"/>
  <c r="O28" i="27" s="1"/>
  <c r="U28" i="27" a="1"/>
  <c r="U28" i="27" s="1"/>
  <c r="AI28" i="27" a="1"/>
  <c r="AI28" i="27" s="1"/>
  <c r="X28" i="27" a="1"/>
  <c r="X28" i="27" s="1"/>
  <c r="AW120" i="27"/>
  <c r="BJ8" i="27"/>
  <c r="BH8" i="27" s="1"/>
  <c r="L45" i="27" a="1"/>
  <c r="L45" i="27" s="1"/>
  <c r="O45" i="27" a="1"/>
  <c r="O45" i="27" s="1"/>
  <c r="R45" i="27" a="1"/>
  <c r="R45" i="27" s="1"/>
  <c r="U45" i="27" a="1"/>
  <c r="U45" i="27" s="1"/>
  <c r="AB45" i="27" a="1"/>
  <c r="AB45" i="27" s="1"/>
  <c r="AE45" i="27" a="1"/>
  <c r="AE45" i="27" s="1"/>
  <c r="AH45" i="27" a="1"/>
  <c r="AH45" i="27" s="1"/>
  <c r="P45" i="27" a="1"/>
  <c r="P45" i="27" s="1"/>
  <c r="S45" i="27" a="1"/>
  <c r="S45" i="27" s="1"/>
  <c r="V45" i="27" a="1"/>
  <c r="V45" i="27" s="1"/>
  <c r="Y45" i="27" a="1"/>
  <c r="Y45" i="27" s="1"/>
  <c r="AF45" i="27" a="1"/>
  <c r="AF45" i="27" s="1"/>
  <c r="AI45" i="27" a="1"/>
  <c r="AI45" i="27" s="1"/>
  <c r="W45" i="27" a="1"/>
  <c r="W45" i="27" s="1"/>
  <c r="AC45" i="27" a="1"/>
  <c r="AC45" i="27" s="1"/>
  <c r="Q45" i="27" a="1"/>
  <c r="Q45" i="27" s="1"/>
  <c r="X45" i="27" a="1"/>
  <c r="X45" i="27" s="1"/>
  <c r="AD45" i="27" a="1"/>
  <c r="AD45" i="27" s="1"/>
  <c r="M45" i="27" a="1"/>
  <c r="M45" i="27" s="1"/>
  <c r="T45" i="27" a="1"/>
  <c r="T45" i="27" s="1"/>
  <c r="Z45" i="27" a="1"/>
  <c r="Z45" i="27" s="1"/>
  <c r="AG45" i="27" a="1"/>
  <c r="AG45" i="27" s="1"/>
  <c r="N45" i="27" a="1"/>
  <c r="N45" i="27" s="1"/>
  <c r="AA45" i="27" a="1"/>
  <c r="AA45" i="27" s="1"/>
  <c r="AW122" i="27"/>
  <c r="AW105" i="27"/>
  <c r="N74" i="27" a="1"/>
  <c r="N74" i="27" s="1"/>
  <c r="Q74" i="27" a="1"/>
  <c r="Q74" i="27" s="1"/>
  <c r="T74" i="27" a="1"/>
  <c r="T74" i="27" s="1"/>
  <c r="X74" i="27" a="1"/>
  <c r="X74" i="27" s="1"/>
  <c r="AD74" i="27" a="1"/>
  <c r="AD74" i="27" s="1"/>
  <c r="AG74" i="27" a="1"/>
  <c r="AG74" i="27" s="1"/>
  <c r="O74" i="27" a="1"/>
  <c r="O74" i="27" s="1"/>
  <c r="R74" i="27" a="1"/>
  <c r="R74" i="27" s="1"/>
  <c r="U74" i="27" a="1"/>
  <c r="U74" i="27" s="1"/>
  <c r="AA74" i="27" a="1"/>
  <c r="AA74" i="27" s="1"/>
  <c r="AE74" i="27" a="1"/>
  <c r="AE74" i="27" s="1"/>
  <c r="AH74" i="27" a="1"/>
  <c r="AH74" i="27" s="1"/>
  <c r="L74" i="27" a="1"/>
  <c r="L74" i="27" s="1"/>
  <c r="P74" i="27" a="1"/>
  <c r="P74" i="27" s="1"/>
  <c r="V74" i="27" a="1"/>
  <c r="V74" i="27" s="1"/>
  <c r="Y74" i="27" a="1"/>
  <c r="Y74" i="27" s="1"/>
  <c r="AB74" i="27" a="1"/>
  <c r="AB74" i="27" s="1"/>
  <c r="AF74" i="27" a="1"/>
  <c r="AF74" i="27" s="1"/>
  <c r="M74" i="27" a="1"/>
  <c r="M74" i="27" s="1"/>
  <c r="Z74" i="27" a="1"/>
  <c r="Z74" i="27" s="1"/>
  <c r="AC74" i="27" a="1"/>
  <c r="AC74" i="27" s="1"/>
  <c r="S74" i="27" a="1"/>
  <c r="S74" i="27" s="1"/>
  <c r="W74" i="27" a="1"/>
  <c r="W74" i="27" s="1"/>
  <c r="AI74" i="27" a="1"/>
  <c r="AI74" i="27" s="1"/>
  <c r="AW112" i="27"/>
  <c r="AW135" i="27"/>
  <c r="DQ7" i="27"/>
  <c r="DL7" i="27"/>
  <c r="DR7" i="27"/>
  <c r="DT16" i="27"/>
  <c r="DP16" i="27"/>
  <c r="DR16" i="27"/>
  <c r="DI11" i="27"/>
  <c r="DJ11" i="27"/>
  <c r="DS11" i="27"/>
  <c r="DQ21" i="27"/>
  <c r="DP21" i="27"/>
  <c r="DS21" i="27"/>
  <c r="DS23" i="27"/>
  <c r="DO23" i="27"/>
  <c r="DT23" i="27"/>
  <c r="DK39" i="27"/>
  <c r="DI39" i="27"/>
  <c r="DL39" i="27"/>
  <c r="DN26" i="27"/>
  <c r="DQ26" i="27"/>
  <c r="DS26" i="27"/>
  <c r="DQ41" i="27"/>
  <c r="DL41" i="27"/>
  <c r="DR41" i="27"/>
  <c r="DQ40" i="27"/>
  <c r="DJ40" i="27"/>
  <c r="DL40" i="27"/>
  <c r="DM30" i="27"/>
  <c r="DI30" i="27"/>
  <c r="DS30" i="27"/>
  <c r="DL48" i="27"/>
  <c r="DK48" i="27"/>
  <c r="DQ48" i="27"/>
  <c r="DN51" i="27"/>
  <c r="DI51" i="27"/>
  <c r="DS51" i="27"/>
  <c r="DR65" i="27"/>
  <c r="DI65" i="27"/>
  <c r="DS65" i="27"/>
  <c r="DN62" i="27"/>
  <c r="DI62" i="27"/>
  <c r="DS62" i="27"/>
  <c r="DJ75" i="27"/>
  <c r="DL75" i="27"/>
  <c r="DQ75" i="27"/>
  <c r="DQ60" i="27"/>
  <c r="DL60" i="27"/>
  <c r="DR60" i="27"/>
  <c r="DS84" i="27"/>
  <c r="DJ84" i="27"/>
  <c r="DT84" i="27"/>
  <c r="DP59" i="27"/>
  <c r="DK59" i="27"/>
  <c r="DQ59" i="27"/>
  <c r="DK88" i="27"/>
  <c r="DJ88" i="27"/>
  <c r="DT88" i="27"/>
  <c r="DM79" i="27"/>
  <c r="DL79" i="27"/>
  <c r="DR79" i="27"/>
  <c r="DT94" i="27"/>
  <c r="DN94" i="27"/>
  <c r="DQ94" i="27"/>
  <c r="DT98" i="27"/>
  <c r="DR98" i="27"/>
  <c r="DO98" i="27"/>
  <c r="DN103" i="27"/>
  <c r="DI103" i="27"/>
  <c r="DS103" i="27"/>
  <c r="DR116" i="27"/>
  <c r="DQ116" i="27"/>
  <c r="DS116" i="27"/>
  <c r="DP97" i="27"/>
  <c r="DM97" i="27"/>
  <c r="DN97" i="27"/>
  <c r="DM93" i="27"/>
  <c r="DI93" i="27"/>
  <c r="DR93" i="27"/>
  <c r="DQ111" i="27"/>
  <c r="DP111" i="27"/>
  <c r="DO111" i="27"/>
  <c r="DJ117" i="27"/>
  <c r="DP117" i="27"/>
  <c r="DO117" i="27"/>
  <c r="DP83" i="27"/>
  <c r="DK83" i="27"/>
  <c r="DQ83" i="27"/>
  <c r="DQ130" i="27"/>
  <c r="DM130" i="27"/>
  <c r="DK130" i="27"/>
  <c r="DN139" i="27"/>
  <c r="DP139" i="27"/>
  <c r="DT139" i="27"/>
  <c r="DK128" i="27"/>
  <c r="DR128" i="27"/>
  <c r="DI128" i="27"/>
  <c r="DN105" i="27"/>
  <c r="DI105" i="27"/>
  <c r="DS105" i="27"/>
  <c r="BZ10" i="27" a="1"/>
  <c r="BZ10" i="27" s="1"/>
  <c r="CH10" i="27" a="1"/>
  <c r="CH10" i="27" s="1"/>
  <c r="CP10" i="27" a="1"/>
  <c r="CP10" i="27" s="1"/>
  <c r="BY10" i="27" a="1"/>
  <c r="BY10" i="27" s="1"/>
  <c r="CO10" i="27" a="1"/>
  <c r="CO10" i="27" s="1"/>
  <c r="CI10" i="27" a="1"/>
  <c r="CI10" i="27" s="1"/>
  <c r="CB10" i="27" a="1"/>
  <c r="CB10" i="27" s="1"/>
  <c r="CJ10" i="27" a="1"/>
  <c r="CJ10" i="27" s="1"/>
  <c r="CR10" i="27" a="1"/>
  <c r="CR10" i="27" s="1"/>
  <c r="CC10" i="27" a="1"/>
  <c r="CC10" i="27" s="1"/>
  <c r="CS10" i="27" a="1"/>
  <c r="CS10" i="27" s="1"/>
  <c r="CM10" i="27" a="1"/>
  <c r="CM10" i="27" s="1"/>
  <c r="CD10" i="27" a="1"/>
  <c r="CD10" i="27" s="1"/>
  <c r="CL10" i="27" a="1"/>
  <c r="CL10" i="27" s="1"/>
  <c r="CT10" i="27" a="1"/>
  <c r="CT10" i="27" s="1"/>
  <c r="CG10" i="27" a="1"/>
  <c r="CG10" i="27" s="1"/>
  <c r="CA10" i="27" a="1"/>
  <c r="CA10" i="27" s="1"/>
  <c r="CQ10" i="27" a="1"/>
  <c r="CQ10" i="27" s="1"/>
  <c r="CF10" i="27" a="1"/>
  <c r="CF10" i="27" s="1"/>
  <c r="CN10" i="27" a="1"/>
  <c r="CN10" i="27" s="1"/>
  <c r="CV10" i="27" a="1"/>
  <c r="CV10" i="27" s="1"/>
  <c r="CK10" i="27" a="1"/>
  <c r="CK10" i="27" s="1"/>
  <c r="CE10" i="27" a="1"/>
  <c r="CE10" i="27" s="1"/>
  <c r="CU10" i="27" a="1"/>
  <c r="CU10" i="27" s="1"/>
  <c r="DW11" i="27"/>
  <c r="DU11" i="27" s="1"/>
  <c r="DW35" i="27"/>
  <c r="DU35" i="27" s="1"/>
  <c r="DW38" i="27"/>
  <c r="DU38" i="27" s="1"/>
  <c r="DW63" i="27"/>
  <c r="DU63" i="27" s="1"/>
  <c r="X61" i="30" s="1"/>
  <c r="DW59" i="27"/>
  <c r="DU59" i="27" s="1"/>
  <c r="DW84" i="27"/>
  <c r="DU84" i="27" s="1"/>
  <c r="DW109" i="27"/>
  <c r="DU109" i="27" s="1"/>
  <c r="DW127" i="27"/>
  <c r="DU127" i="27" s="1"/>
  <c r="X125" i="30" s="1"/>
  <c r="DW119" i="27"/>
  <c r="DU119" i="27" s="1"/>
  <c r="N21" i="27" a="1"/>
  <c r="N21" i="27" s="1"/>
  <c r="Q21" i="27" a="1"/>
  <c r="Q21" i="27" s="1"/>
  <c r="V21" i="27" a="1"/>
  <c r="V21" i="27" s="1"/>
  <c r="Y21" i="27" a="1"/>
  <c r="Y21" i="27" s="1"/>
  <c r="AD21" i="27" a="1"/>
  <c r="AD21" i="27" s="1"/>
  <c r="AG21" i="27" a="1"/>
  <c r="AG21" i="27" s="1"/>
  <c r="L21" i="27" a="1"/>
  <c r="L21" i="27" s="1"/>
  <c r="O21" i="27" a="1"/>
  <c r="O21" i="27" s="1"/>
  <c r="T21" i="27" a="1"/>
  <c r="T21" i="27" s="1"/>
  <c r="W21" i="27" a="1"/>
  <c r="W21" i="27" s="1"/>
  <c r="AB21" i="27" a="1"/>
  <c r="AB21" i="27" s="1"/>
  <c r="AE21" i="27" a="1"/>
  <c r="AE21" i="27" s="1"/>
  <c r="S21" i="27" a="1"/>
  <c r="S21" i="27" s="1"/>
  <c r="X21" i="27" a="1"/>
  <c r="X21" i="27" s="1"/>
  <c r="AI21" i="27" a="1"/>
  <c r="AI21" i="27" s="1"/>
  <c r="U21" i="27" a="1"/>
  <c r="U21" i="27" s="1"/>
  <c r="Z21" i="27" a="1"/>
  <c r="Z21" i="27" s="1"/>
  <c r="P21" i="27" a="1"/>
  <c r="P21" i="27" s="1"/>
  <c r="AA21" i="27" a="1"/>
  <c r="AA21" i="27" s="1"/>
  <c r="AF21" i="27" a="1"/>
  <c r="AF21" i="27" s="1"/>
  <c r="M21" i="27" a="1"/>
  <c r="M21" i="27" s="1"/>
  <c r="AH21" i="27" a="1"/>
  <c r="AH21" i="27" s="1"/>
  <c r="R21" i="27" a="1"/>
  <c r="R21" i="27" s="1"/>
  <c r="AC21" i="27" a="1"/>
  <c r="AC21" i="27" s="1"/>
  <c r="AW60" i="27"/>
  <c r="N55" i="27" a="1"/>
  <c r="N55" i="27" s="1"/>
  <c r="S55" i="27" a="1"/>
  <c r="S55" i="27" s="1"/>
  <c r="V55" i="27" a="1"/>
  <c r="V55" i="27" s="1"/>
  <c r="AA55" i="27" a="1"/>
  <c r="AA55" i="27" s="1"/>
  <c r="AD55" i="27" a="1"/>
  <c r="AD55" i="27" s="1"/>
  <c r="AI55" i="27" a="1"/>
  <c r="AI55" i="27" s="1"/>
  <c r="L55" i="27" a="1"/>
  <c r="L55" i="27" s="1"/>
  <c r="Q55" i="27" a="1"/>
  <c r="Q55" i="27" s="1"/>
  <c r="T55" i="27" a="1"/>
  <c r="T55" i="27" s="1"/>
  <c r="Y55" i="27" a="1"/>
  <c r="Y55" i="27" s="1"/>
  <c r="AB55" i="27" a="1"/>
  <c r="AB55" i="27" s="1"/>
  <c r="AG55" i="27" a="1"/>
  <c r="AG55" i="27" s="1"/>
  <c r="O55" i="27" a="1"/>
  <c r="O55" i="27" s="1"/>
  <c r="Z55" i="27" a="1"/>
  <c r="Z55" i="27" s="1"/>
  <c r="AE55" i="27" a="1"/>
  <c r="AE55" i="27" s="1"/>
  <c r="P55" i="27" a="1"/>
  <c r="P55" i="27" s="1"/>
  <c r="U55" i="27" a="1"/>
  <c r="U55" i="27" s="1"/>
  <c r="AF55" i="27" a="1"/>
  <c r="AF55" i="27" s="1"/>
  <c r="R55" i="27" a="1"/>
  <c r="R55" i="27" s="1"/>
  <c r="W55" i="27" a="1"/>
  <c r="W55" i="27" s="1"/>
  <c r="AH55" i="27" a="1"/>
  <c r="AH55" i="27" s="1"/>
  <c r="X55" i="27" a="1"/>
  <c r="X55" i="27" s="1"/>
  <c r="AC55" i="27" a="1"/>
  <c r="AC55" i="27" s="1"/>
  <c r="M55" i="27" a="1"/>
  <c r="M55" i="27" s="1"/>
  <c r="AW95" i="27"/>
  <c r="AW7" i="27"/>
  <c r="L64" i="27" a="1"/>
  <c r="L64" i="27" s="1"/>
  <c r="Q64" i="27" a="1"/>
  <c r="Q64" i="27" s="1"/>
  <c r="T64" i="27" a="1"/>
  <c r="T64" i="27" s="1"/>
  <c r="Y64" i="27" a="1"/>
  <c r="Y64" i="27" s="1"/>
  <c r="AB64" i="27" a="1"/>
  <c r="AB64" i="27" s="1"/>
  <c r="AG64" i="27" a="1"/>
  <c r="AG64" i="27" s="1"/>
  <c r="O64" i="27" a="1"/>
  <c r="O64" i="27" s="1"/>
  <c r="R64" i="27" a="1"/>
  <c r="R64" i="27" s="1"/>
  <c r="W64" i="27" a="1"/>
  <c r="W64" i="27" s="1"/>
  <c r="Z64" i="27" a="1"/>
  <c r="Z64" i="27" s="1"/>
  <c r="AE64" i="27" a="1"/>
  <c r="AE64" i="27" s="1"/>
  <c r="AH64" i="27" a="1"/>
  <c r="AH64" i="27" s="1"/>
  <c r="M64" i="27" a="1"/>
  <c r="M64" i="27" s="1"/>
  <c r="P64" i="27" a="1"/>
  <c r="P64" i="27" s="1"/>
  <c r="U64" i="27" a="1"/>
  <c r="U64" i="27" s="1"/>
  <c r="X64" i="27" a="1"/>
  <c r="X64" i="27" s="1"/>
  <c r="AC64" i="27" a="1"/>
  <c r="AC64" i="27" s="1"/>
  <c r="AF64" i="27" a="1"/>
  <c r="AF64" i="27" s="1"/>
  <c r="S64" i="27" a="1"/>
  <c r="S64" i="27" s="1"/>
  <c r="AD64" i="27" a="1"/>
  <c r="AD64" i="27" s="1"/>
  <c r="V64" i="27" a="1"/>
  <c r="V64" i="27" s="1"/>
  <c r="N64" i="27" a="1"/>
  <c r="N64" i="27" s="1"/>
  <c r="AI64" i="27" a="1"/>
  <c r="AI64" i="27" s="1"/>
  <c r="AA64" i="27" a="1"/>
  <c r="AA64" i="27" s="1"/>
  <c r="AW108" i="27"/>
  <c r="AW119" i="27"/>
  <c r="AW57" i="27"/>
  <c r="AW9" i="27"/>
  <c r="AW36" i="27"/>
  <c r="AW56" i="27"/>
  <c r="BJ24" i="27"/>
  <c r="BH24" i="27" s="1"/>
  <c r="AW22" i="27"/>
  <c r="DQ10" i="27"/>
  <c r="DS10" i="27"/>
  <c r="DM10" i="27"/>
  <c r="DP14" i="27"/>
  <c r="DI14" i="27"/>
  <c r="DL14" i="27"/>
  <c r="DM13" i="27"/>
  <c r="DP13" i="27"/>
  <c r="DI13" i="27"/>
  <c r="DM25" i="27"/>
  <c r="DN25" i="27"/>
  <c r="DR25" i="27"/>
  <c r="DO31" i="27"/>
  <c r="DQ31" i="27"/>
  <c r="DP31" i="27"/>
  <c r="DK24" i="27"/>
  <c r="DQ24" i="27"/>
  <c r="DP24" i="27"/>
  <c r="DQ33" i="27"/>
  <c r="DS33" i="27"/>
  <c r="DO33" i="27"/>
  <c r="DT42" i="27"/>
  <c r="DR42" i="27"/>
  <c r="DM42" i="27"/>
  <c r="DR43" i="27"/>
  <c r="DQ43" i="27"/>
  <c r="DP43" i="27"/>
  <c r="DO45" i="27"/>
  <c r="DQ45" i="27"/>
  <c r="DP45" i="27"/>
  <c r="DS56" i="27"/>
  <c r="DM56" i="27"/>
  <c r="DP56" i="27"/>
  <c r="DP46" i="27"/>
  <c r="DR46" i="27"/>
  <c r="DM46" i="27"/>
  <c r="DT69" i="27"/>
  <c r="DR69" i="27"/>
  <c r="DM69" i="27"/>
  <c r="DS66" i="27"/>
  <c r="DQ66" i="27"/>
  <c r="DP66" i="27"/>
  <c r="DS50" i="27"/>
  <c r="DQ50" i="27"/>
  <c r="DP50" i="27"/>
  <c r="DQ63" i="27"/>
  <c r="DS63" i="27"/>
  <c r="DN63" i="27"/>
  <c r="DO89" i="27"/>
  <c r="DQ89" i="27"/>
  <c r="DP89" i="27"/>
  <c r="DR80" i="27"/>
  <c r="DT80" i="27"/>
  <c r="DO80" i="27"/>
  <c r="DR92" i="27"/>
  <c r="DT92" i="27"/>
  <c r="DO92" i="27"/>
  <c r="DM82" i="27"/>
  <c r="DS82" i="27"/>
  <c r="DN82" i="27"/>
  <c r="DK95" i="27"/>
  <c r="DR95" i="27"/>
  <c r="DP95" i="27"/>
  <c r="DK99" i="27"/>
  <c r="DS99" i="27"/>
  <c r="DM99" i="27"/>
  <c r="DS107" i="27"/>
  <c r="DQ107" i="27"/>
  <c r="DP107" i="27"/>
  <c r="DM118" i="27"/>
  <c r="DQ118" i="27"/>
  <c r="DO118" i="27"/>
  <c r="DI102" i="27"/>
  <c r="DS102" i="27"/>
  <c r="DN102" i="27"/>
  <c r="DJ104" i="27"/>
  <c r="DT104" i="27"/>
  <c r="DO104" i="27"/>
  <c r="DJ113" i="27"/>
  <c r="DQ113" i="27"/>
  <c r="DK113" i="27"/>
  <c r="DQ119" i="27"/>
  <c r="DI119" i="27"/>
  <c r="DO119" i="27"/>
  <c r="DJ96" i="27"/>
  <c r="DS96" i="27"/>
  <c r="DK96" i="27"/>
  <c r="DI137" i="27"/>
  <c r="DJ137" i="27"/>
  <c r="DO137" i="27"/>
  <c r="DO78" i="27"/>
  <c r="DR78" i="27"/>
  <c r="DP78" i="27"/>
  <c r="DM129" i="27"/>
  <c r="DN129" i="27"/>
  <c r="DS129" i="27"/>
  <c r="DT131" i="27"/>
  <c r="DR131" i="27"/>
  <c r="DK131" i="27"/>
  <c r="DW26" i="27"/>
  <c r="DU26" i="27" s="1"/>
  <c r="X24" i="30" s="1"/>
  <c r="DW39" i="27"/>
  <c r="DU39" i="27" s="1"/>
  <c r="CA45" i="27" a="1"/>
  <c r="CA45" i="27" s="1"/>
  <c r="CI45" i="27" a="1"/>
  <c r="CI45" i="27" s="1"/>
  <c r="CD45" i="27" a="1"/>
  <c r="CD45" i="27" s="1"/>
  <c r="CL45" i="27" a="1"/>
  <c r="CL45" i="27" s="1"/>
  <c r="CT45" i="27" a="1"/>
  <c r="CT45" i="27" s="1"/>
  <c r="CK45" i="27" a="1"/>
  <c r="CK45" i="27" s="1"/>
  <c r="CU45" i="27" a="1"/>
  <c r="CU45" i="27" s="1"/>
  <c r="CE45" i="27" a="1"/>
  <c r="CE45" i="27" s="1"/>
  <c r="CF45" i="27" a="1"/>
  <c r="CF45" i="27" s="1"/>
  <c r="CN45" i="27" a="1"/>
  <c r="CN45" i="27" s="1"/>
  <c r="CV45" i="27" a="1"/>
  <c r="CV45" i="27" s="1"/>
  <c r="CG45" i="27" a="1"/>
  <c r="CG45" i="27" s="1"/>
  <c r="CM45" i="27" a="1"/>
  <c r="CM45" i="27" s="1"/>
  <c r="CQ45" i="27" a="1"/>
  <c r="CQ45" i="27" s="1"/>
  <c r="BZ45" i="27" a="1"/>
  <c r="BZ45" i="27" s="1"/>
  <c r="CH45" i="27" a="1"/>
  <c r="CH45" i="27" s="1"/>
  <c r="CP45" i="27" a="1"/>
  <c r="CP45" i="27" s="1"/>
  <c r="CS45" i="27" a="1"/>
  <c r="CS45" i="27" s="1"/>
  <c r="CC45" i="27" a="1"/>
  <c r="CC45" i="27" s="1"/>
  <c r="CJ45" i="27" a="1"/>
  <c r="CJ45" i="27" s="1"/>
  <c r="CR45" i="27" a="1"/>
  <c r="CR45" i="27" s="1"/>
  <c r="CO45" i="27" a="1"/>
  <c r="CO45" i="27" s="1"/>
  <c r="CB45" i="27" a="1"/>
  <c r="CB45" i="27" s="1"/>
  <c r="BY45" i="27" a="1"/>
  <c r="BY45" i="27" s="1"/>
  <c r="BZ81" i="27" a="1"/>
  <c r="BZ81" i="27" s="1"/>
  <c r="CH81" i="27" a="1"/>
  <c r="CH81" i="27" s="1"/>
  <c r="CP81" i="27" a="1"/>
  <c r="CP81" i="27" s="1"/>
  <c r="BY81" i="27" a="1"/>
  <c r="BY81" i="27" s="1"/>
  <c r="CG81" i="27" a="1"/>
  <c r="CG81" i="27" s="1"/>
  <c r="CO81" i="27" a="1"/>
  <c r="CO81" i="27" s="1"/>
  <c r="CB81" i="27" a="1"/>
  <c r="CB81" i="27" s="1"/>
  <c r="CJ81" i="27" a="1"/>
  <c r="CJ81" i="27" s="1"/>
  <c r="CR81" i="27" a="1"/>
  <c r="CR81" i="27" s="1"/>
  <c r="CA81" i="27" a="1"/>
  <c r="CA81" i="27" s="1"/>
  <c r="CI81" i="27" a="1"/>
  <c r="CI81" i="27" s="1"/>
  <c r="CQ81" i="27" a="1"/>
  <c r="CQ81" i="27" s="1"/>
  <c r="CD81" i="27" a="1"/>
  <c r="CD81" i="27" s="1"/>
  <c r="CL81" i="27" a="1"/>
  <c r="CL81" i="27" s="1"/>
  <c r="CT81" i="27" a="1"/>
  <c r="CT81" i="27" s="1"/>
  <c r="CC81" i="27" a="1"/>
  <c r="CC81" i="27" s="1"/>
  <c r="CK81" i="27" a="1"/>
  <c r="CK81" i="27" s="1"/>
  <c r="CS81" i="27" a="1"/>
  <c r="CS81" i="27" s="1"/>
  <c r="CF81" i="27" a="1"/>
  <c r="CF81" i="27" s="1"/>
  <c r="CN81" i="27" a="1"/>
  <c r="CN81" i="27" s="1"/>
  <c r="CV81" i="27" a="1"/>
  <c r="CV81" i="27" s="1"/>
  <c r="CE81" i="27" a="1"/>
  <c r="CE81" i="27" s="1"/>
  <c r="CM81" i="27" a="1"/>
  <c r="CM81" i="27" s="1"/>
  <c r="CU81" i="27" a="1"/>
  <c r="CU81" i="27" s="1"/>
  <c r="DW93" i="27"/>
  <c r="DU93" i="27" s="1"/>
  <c r="BZ96" i="27" a="1"/>
  <c r="BZ96" i="27" s="1"/>
  <c r="CH96" i="27" a="1"/>
  <c r="CH96" i="27" s="1"/>
  <c r="CP96" i="27" a="1"/>
  <c r="CP96" i="27" s="1"/>
  <c r="CE96" i="27" a="1"/>
  <c r="CE96" i="27" s="1"/>
  <c r="CG96" i="27" a="1"/>
  <c r="CG96" i="27" s="1"/>
  <c r="CQ96" i="27" a="1"/>
  <c r="CQ96" i="27" s="1"/>
  <c r="CM96" i="27" a="1"/>
  <c r="CM96" i="27" s="1"/>
  <c r="CC96" i="27" a="1"/>
  <c r="CC96" i="27" s="1"/>
  <c r="CB96" i="27" a="1"/>
  <c r="CB96" i="27" s="1"/>
  <c r="CJ96" i="27" a="1"/>
  <c r="CJ96" i="27" s="1"/>
  <c r="CR96" i="27" a="1"/>
  <c r="CR96" i="27" s="1"/>
  <c r="CO96" i="27" a="1"/>
  <c r="CO96" i="27" s="1"/>
  <c r="CD96" i="27" a="1"/>
  <c r="CD96" i="27" s="1"/>
  <c r="CL96" i="27" a="1"/>
  <c r="CL96" i="27" s="1"/>
  <c r="CT96" i="27" a="1"/>
  <c r="CT96" i="27" s="1"/>
  <c r="CU96" i="27" a="1"/>
  <c r="CU96" i="27" s="1"/>
  <c r="CA96" i="27" a="1"/>
  <c r="CA96" i="27" s="1"/>
  <c r="CK96" i="27" a="1"/>
  <c r="CK96" i="27" s="1"/>
  <c r="CF96" i="27" a="1"/>
  <c r="CF96" i="27" s="1"/>
  <c r="CN96" i="27" a="1"/>
  <c r="CN96" i="27" s="1"/>
  <c r="CV96" i="27" a="1"/>
  <c r="CV96" i="27" s="1"/>
  <c r="BY96" i="27" a="1"/>
  <c r="BY96" i="27" s="1"/>
  <c r="CI96" i="27" a="1"/>
  <c r="CI96" i="27" s="1"/>
  <c r="CS96" i="27" a="1"/>
  <c r="CS96" i="27" s="1"/>
  <c r="M53" i="27" a="1"/>
  <c r="M53" i="27" s="1"/>
  <c r="P53" i="27" a="1"/>
  <c r="P53" i="27" s="1"/>
  <c r="U53" i="27" a="1"/>
  <c r="U53" i="27" s="1"/>
  <c r="X53" i="27" a="1"/>
  <c r="X53" i="27" s="1"/>
  <c r="AC53" i="27" a="1"/>
  <c r="AC53" i="27" s="1"/>
  <c r="AF53" i="27" a="1"/>
  <c r="AF53" i="27" s="1"/>
  <c r="N53" i="27" a="1"/>
  <c r="N53" i="27" s="1"/>
  <c r="S53" i="27" a="1"/>
  <c r="S53" i="27" s="1"/>
  <c r="V53" i="27" a="1"/>
  <c r="V53" i="27" s="1"/>
  <c r="AA53" i="27" a="1"/>
  <c r="AA53" i="27" s="1"/>
  <c r="AD53" i="27" a="1"/>
  <c r="AD53" i="27" s="1"/>
  <c r="AI53" i="27" a="1"/>
  <c r="AI53" i="27" s="1"/>
  <c r="L53" i="27" a="1"/>
  <c r="L53" i="27" s="1"/>
  <c r="Q53" i="27" a="1"/>
  <c r="Q53" i="27" s="1"/>
  <c r="T53" i="27" a="1"/>
  <c r="T53" i="27" s="1"/>
  <c r="Y53" i="27" a="1"/>
  <c r="Y53" i="27" s="1"/>
  <c r="AB53" i="27" a="1"/>
  <c r="AB53" i="27" s="1"/>
  <c r="AG53" i="27" a="1"/>
  <c r="AG53" i="27" s="1"/>
  <c r="O53" i="27" a="1"/>
  <c r="O53" i="27" s="1"/>
  <c r="Z53" i="27" a="1"/>
  <c r="Z53" i="27" s="1"/>
  <c r="R53" i="27" a="1"/>
  <c r="R53" i="27" s="1"/>
  <c r="AE53" i="27" a="1"/>
  <c r="AE53" i="27" s="1"/>
  <c r="W53" i="27" a="1"/>
  <c r="W53" i="27" s="1"/>
  <c r="AH53" i="27" a="1"/>
  <c r="AH53" i="27" s="1"/>
  <c r="M19" i="27" a="1"/>
  <c r="M19" i="27" s="1"/>
  <c r="O19" i="27" a="1"/>
  <c r="O19" i="27" s="1"/>
  <c r="V19" i="27" a="1"/>
  <c r="V19" i="27" s="1"/>
  <c r="Y19" i="27" a="1"/>
  <c r="Y19" i="27" s="1"/>
  <c r="AB19" i="27" a="1"/>
  <c r="AB19" i="27" s="1"/>
  <c r="AH19" i="27" a="1"/>
  <c r="AH19" i="27" s="1"/>
  <c r="P19" i="27" a="1"/>
  <c r="P19" i="27" s="1"/>
  <c r="S19" i="27" a="1"/>
  <c r="S19" i="27" s="1"/>
  <c r="W19" i="27" a="1"/>
  <c r="W19" i="27" s="1"/>
  <c r="Z19" i="27" a="1"/>
  <c r="Z19" i="27" s="1"/>
  <c r="AC19" i="27" a="1"/>
  <c r="AC19" i="27" s="1"/>
  <c r="AF19" i="27" a="1"/>
  <c r="AF19" i="27" s="1"/>
  <c r="AI19" i="27" a="1"/>
  <c r="AI19" i="27" s="1"/>
  <c r="L19" i="27" a="1"/>
  <c r="L19" i="27" s="1"/>
  <c r="Q19" i="27" a="1"/>
  <c r="Q19" i="27" s="1"/>
  <c r="T19" i="27" a="1"/>
  <c r="T19" i="27" s="1"/>
  <c r="X19" i="27" a="1"/>
  <c r="X19" i="27" s="1"/>
  <c r="AD19" i="27" a="1"/>
  <c r="AD19" i="27" s="1"/>
  <c r="AG19" i="27" a="1"/>
  <c r="AG19" i="27" s="1"/>
  <c r="U19" i="27" a="1"/>
  <c r="U19" i="27" s="1"/>
  <c r="N19" i="27" a="1"/>
  <c r="N19" i="27" s="1"/>
  <c r="AA19" i="27" a="1"/>
  <c r="AA19" i="27" s="1"/>
  <c r="AE19" i="27" a="1"/>
  <c r="AE19" i="27" s="1"/>
  <c r="R19" i="27" a="1"/>
  <c r="R19" i="27" s="1"/>
  <c r="AW54" i="27"/>
  <c r="DR12" i="27"/>
  <c r="DM12" i="27"/>
  <c r="DL12" i="27"/>
  <c r="DR15" i="27"/>
  <c r="DM15" i="27"/>
  <c r="DS15" i="27"/>
  <c r="DN20" i="27"/>
  <c r="DL20" i="27"/>
  <c r="DP20" i="27"/>
  <c r="DL28" i="27"/>
  <c r="DO28" i="27"/>
  <c r="DQ28" i="27"/>
  <c r="DI32" i="27"/>
  <c r="DJ32" i="27"/>
  <c r="DS32" i="27"/>
  <c r="DN27" i="27"/>
  <c r="DP27" i="27"/>
  <c r="DQ27" i="27"/>
  <c r="DQ36" i="27"/>
  <c r="DS36" i="27"/>
  <c r="DP36" i="27"/>
  <c r="DQ37" i="27"/>
  <c r="DS37" i="27"/>
  <c r="DP37" i="27"/>
  <c r="DS44" i="27"/>
  <c r="DO44" i="27"/>
  <c r="DT44" i="27"/>
  <c r="DL52" i="27"/>
  <c r="DK52" i="27"/>
  <c r="DQ52" i="27"/>
  <c r="DM22" i="27"/>
  <c r="DR22" i="27"/>
  <c r="DT22" i="27"/>
  <c r="DL54" i="27"/>
  <c r="DM54" i="27"/>
  <c r="DR54" i="27"/>
  <c r="DJ70" i="27"/>
  <c r="DI70" i="27"/>
  <c r="DS70" i="27"/>
  <c r="DS71" i="27"/>
  <c r="DJ71" i="27"/>
  <c r="DT71" i="27"/>
  <c r="DO53" i="27"/>
  <c r="DK53" i="27"/>
  <c r="DQ53" i="27"/>
  <c r="DI73" i="27"/>
  <c r="DL73" i="27"/>
  <c r="DR73" i="27"/>
  <c r="DL90" i="27"/>
  <c r="DK90" i="27"/>
  <c r="DQ90" i="27"/>
  <c r="DS81" i="27"/>
  <c r="DJ81" i="27"/>
  <c r="DT81" i="27"/>
  <c r="DM64" i="27"/>
  <c r="DL64" i="27"/>
  <c r="DR64" i="27"/>
  <c r="DN86" i="27"/>
  <c r="DI86" i="27"/>
  <c r="DS86" i="27"/>
  <c r="DI68" i="27"/>
  <c r="DL68" i="27"/>
  <c r="DR68" i="27"/>
  <c r="DN100" i="27"/>
  <c r="DI100" i="27"/>
  <c r="DS100" i="27"/>
  <c r="DP110" i="27"/>
  <c r="DT110" i="27"/>
  <c r="DS110" i="27"/>
  <c r="DP120" i="27"/>
  <c r="DN120" i="27"/>
  <c r="DK120" i="27"/>
  <c r="DN106" i="27"/>
  <c r="DI106" i="27"/>
  <c r="DS106" i="27"/>
  <c r="DP108" i="27"/>
  <c r="DK108" i="27"/>
  <c r="DQ108" i="27"/>
  <c r="DP114" i="27"/>
  <c r="DT114" i="27"/>
  <c r="DO114" i="27"/>
  <c r="DR121" i="27"/>
  <c r="DP121" i="27"/>
  <c r="DK121" i="27"/>
  <c r="DP124" i="27"/>
  <c r="DI124" i="27"/>
  <c r="DS124" i="27"/>
  <c r="DR138" i="27"/>
  <c r="DQ138" i="27"/>
  <c r="DJ138" i="27"/>
  <c r="DI125" i="27"/>
  <c r="DP125" i="27"/>
  <c r="DS125" i="27"/>
  <c r="DJ133" i="27"/>
  <c r="DM133" i="27"/>
  <c r="DN133" i="27"/>
  <c r="DK135" i="27"/>
  <c r="DR135" i="27"/>
  <c r="DN135" i="27"/>
  <c r="DW13" i="27"/>
  <c r="DU13" i="27" s="1"/>
  <c r="X11" i="30" s="1"/>
  <c r="DW27" i="27"/>
  <c r="DU27" i="27" s="1"/>
  <c r="X25" i="30" s="1"/>
  <c r="DW36" i="27"/>
  <c r="DU36" i="27" s="1"/>
  <c r="DW56" i="27"/>
  <c r="DU56" i="27" s="1"/>
  <c r="DW113" i="27"/>
  <c r="DU113" i="27" s="1"/>
  <c r="X111" i="30" s="1"/>
  <c r="DW118" i="27"/>
  <c r="DU118" i="27" s="1"/>
  <c r="DW139" i="27"/>
  <c r="DU139" i="27" s="1"/>
  <c r="M85" i="27" a="1"/>
  <c r="M85" i="27" s="1"/>
  <c r="P85" i="27" a="1"/>
  <c r="P85" i="27" s="1"/>
  <c r="U85" i="27" a="1"/>
  <c r="U85" i="27" s="1"/>
  <c r="X85" i="27" a="1"/>
  <c r="X85" i="27" s="1"/>
  <c r="AC85" i="27" a="1"/>
  <c r="AC85" i="27" s="1"/>
  <c r="AF85" i="27" a="1"/>
  <c r="AF85" i="27" s="1"/>
  <c r="N85" i="27" a="1"/>
  <c r="N85" i="27" s="1"/>
  <c r="S85" i="27" a="1"/>
  <c r="S85" i="27" s="1"/>
  <c r="V85" i="27" a="1"/>
  <c r="V85" i="27" s="1"/>
  <c r="AA85" i="27" a="1"/>
  <c r="AA85" i="27" s="1"/>
  <c r="AD85" i="27" a="1"/>
  <c r="AD85" i="27" s="1"/>
  <c r="AI85" i="27" a="1"/>
  <c r="AI85" i="27" s="1"/>
  <c r="L85" i="27" a="1"/>
  <c r="L85" i="27" s="1"/>
  <c r="Q85" i="27" a="1"/>
  <c r="Q85" i="27" s="1"/>
  <c r="T85" i="27" a="1"/>
  <c r="T85" i="27" s="1"/>
  <c r="Y85" i="27" a="1"/>
  <c r="Y85" i="27" s="1"/>
  <c r="AB85" i="27" a="1"/>
  <c r="AB85" i="27" s="1"/>
  <c r="AG85" i="27" a="1"/>
  <c r="AG85" i="27" s="1"/>
  <c r="O85" i="27" a="1"/>
  <c r="O85" i="27" s="1"/>
  <c r="Z85" i="27" a="1"/>
  <c r="Z85" i="27" s="1"/>
  <c r="R85" i="27" a="1"/>
  <c r="R85" i="27" s="1"/>
  <c r="AE85" i="27" a="1"/>
  <c r="AE85" i="27" s="1"/>
  <c r="AH85" i="27" a="1"/>
  <c r="AH85" i="27" s="1"/>
  <c r="W85" i="27" a="1"/>
  <c r="W85" i="27" s="1"/>
  <c r="BJ88" i="27"/>
  <c r="BH88" i="27" s="1"/>
  <c r="AW84" i="27"/>
  <c r="AW133" i="27"/>
  <c r="DR8" i="27"/>
  <c r="DM8" i="27"/>
  <c r="DQ9" i="27"/>
  <c r="DQ18" i="27"/>
  <c r="DP55" i="27"/>
  <c r="DQ49" i="27"/>
  <c r="DS61" i="27"/>
  <c r="DQ61" i="27"/>
  <c r="DP61" i="27"/>
  <c r="DR74" i="27"/>
  <c r="DM74" i="27"/>
  <c r="DP72" i="27"/>
  <c r="DJ57" i="27"/>
  <c r="DP91" i="27"/>
  <c r="DM76" i="27"/>
  <c r="DQ109" i="27"/>
  <c r="DS132" i="27"/>
  <c r="DJ127" i="27"/>
  <c r="DP134" i="27"/>
  <c r="M125" i="27" a="1"/>
  <c r="M125" i="27" s="1"/>
  <c r="R125" i="27" a="1"/>
  <c r="R125" i="27" s="1"/>
  <c r="U125" i="27" a="1"/>
  <c r="U125" i="27" s="1"/>
  <c r="Z125" i="27" a="1"/>
  <c r="Z125" i="27" s="1"/>
  <c r="AC125" i="27" a="1"/>
  <c r="AC125" i="27" s="1"/>
  <c r="AH125" i="27" a="1"/>
  <c r="AH125" i="27" s="1"/>
  <c r="P125" i="27" a="1"/>
  <c r="P125" i="27" s="1"/>
  <c r="S125" i="27" a="1"/>
  <c r="S125" i="27" s="1"/>
  <c r="X125" i="27" a="1"/>
  <c r="X125" i="27" s="1"/>
  <c r="AA125" i="27" a="1"/>
  <c r="AA125" i="27" s="1"/>
  <c r="AF125" i="27" a="1"/>
  <c r="AF125" i="27" s="1"/>
  <c r="AI125" i="27" a="1"/>
  <c r="AI125" i="27" s="1"/>
  <c r="AB125" i="27" a="1"/>
  <c r="AB125" i="27" s="1"/>
  <c r="N125" i="27" a="1"/>
  <c r="N125" i="27" s="1"/>
  <c r="Q125" i="27" a="1"/>
  <c r="Q125" i="27" s="1"/>
  <c r="V125" i="27" a="1"/>
  <c r="V125" i="27" s="1"/>
  <c r="Y125" i="27" a="1"/>
  <c r="Y125" i="27" s="1"/>
  <c r="AD125" i="27" a="1"/>
  <c r="AD125" i="27" s="1"/>
  <c r="AG125" i="27" a="1"/>
  <c r="AG125" i="27" s="1"/>
  <c r="L125" i="27" a="1"/>
  <c r="L125" i="27" s="1"/>
  <c r="O125" i="27" a="1"/>
  <c r="O125" i="27" s="1"/>
  <c r="T125" i="27" a="1"/>
  <c r="T125" i="27" s="1"/>
  <c r="W125" i="27" a="1"/>
  <c r="W125" i="27" s="1"/>
  <c r="AE125" i="27" a="1"/>
  <c r="AE125" i="27" s="1"/>
  <c r="L48" i="27" a="1"/>
  <c r="L48" i="27" s="1"/>
  <c r="O48" i="27" a="1"/>
  <c r="O48" i="27" s="1"/>
  <c r="S48" i="27" a="1"/>
  <c r="S48" i="27" s="1"/>
  <c r="V48" i="27" a="1"/>
  <c r="V48" i="27" s="1"/>
  <c r="Z48" i="27" a="1"/>
  <c r="Z48" i="27" s="1"/>
  <c r="AC48" i="27" a="1"/>
  <c r="AC48" i="27" s="1"/>
  <c r="P48" i="27" a="1"/>
  <c r="P48" i="27" s="1"/>
  <c r="Y48" i="27" a="1"/>
  <c r="Y48" i="27" s="1"/>
  <c r="AD48" i="27" a="1"/>
  <c r="AD48" i="27" s="1"/>
  <c r="AH48" i="27" a="1"/>
  <c r="AH48" i="27" s="1"/>
  <c r="Q48" i="27" a="1"/>
  <c r="Q48" i="27" s="1"/>
  <c r="U48" i="27" a="1"/>
  <c r="U48" i="27" s="1"/>
  <c r="AA48" i="27" a="1"/>
  <c r="AA48" i="27" s="1"/>
  <c r="AE48" i="27" a="1"/>
  <c r="AE48" i="27" s="1"/>
  <c r="AI48" i="27" a="1"/>
  <c r="AI48" i="27" s="1"/>
  <c r="M48" i="27" a="1"/>
  <c r="M48" i="27" s="1"/>
  <c r="R48" i="27" a="1"/>
  <c r="R48" i="27" s="1"/>
  <c r="W48" i="27" a="1"/>
  <c r="W48" i="27" s="1"/>
  <c r="AB48" i="27" a="1"/>
  <c r="AB48" i="27" s="1"/>
  <c r="AF48" i="27" a="1"/>
  <c r="AF48" i="27" s="1"/>
  <c r="N48" i="27" a="1"/>
  <c r="N48" i="27" s="1"/>
  <c r="AG48" i="27" a="1"/>
  <c r="AG48" i="27" s="1"/>
  <c r="T48" i="27" a="1"/>
  <c r="T48" i="27" s="1"/>
  <c r="X48" i="27" a="1"/>
  <c r="X48" i="27" s="1"/>
  <c r="L104" i="27" a="1"/>
  <c r="L104" i="27" s="1"/>
  <c r="P104" i="27" a="1"/>
  <c r="P104" i="27" s="1"/>
  <c r="V104" i="27" a="1"/>
  <c r="V104" i="27" s="1"/>
  <c r="Y104" i="27" a="1"/>
  <c r="Y104" i="27" s="1"/>
  <c r="AB104" i="27" a="1"/>
  <c r="AB104" i="27" s="1"/>
  <c r="AF104" i="27" a="1"/>
  <c r="AF104" i="27" s="1"/>
  <c r="M104" i="27" a="1"/>
  <c r="M104" i="27" s="1"/>
  <c r="S104" i="27" a="1"/>
  <c r="S104" i="27" s="1"/>
  <c r="W104" i="27" a="1"/>
  <c r="W104" i="27" s="1"/>
  <c r="Z104" i="27" a="1"/>
  <c r="Z104" i="27" s="1"/>
  <c r="AC104" i="27" a="1"/>
  <c r="AC104" i="27" s="1"/>
  <c r="AI104" i="27" a="1"/>
  <c r="AI104" i="27" s="1"/>
  <c r="N104" i="27" a="1"/>
  <c r="N104" i="27" s="1"/>
  <c r="Q104" i="27" a="1"/>
  <c r="Q104" i="27" s="1"/>
  <c r="T104" i="27" a="1"/>
  <c r="T104" i="27" s="1"/>
  <c r="X104" i="27" a="1"/>
  <c r="X104" i="27" s="1"/>
  <c r="AD104" i="27" a="1"/>
  <c r="AD104" i="27" s="1"/>
  <c r="AG104" i="27" a="1"/>
  <c r="AG104" i="27" s="1"/>
  <c r="O104" i="27" a="1"/>
  <c r="O104" i="27" s="1"/>
  <c r="AA104" i="27" a="1"/>
  <c r="AA104" i="27" s="1"/>
  <c r="U104" i="27" a="1"/>
  <c r="U104" i="27" s="1"/>
  <c r="AH104" i="27" a="1"/>
  <c r="AH104" i="27" s="1"/>
  <c r="R104" i="27" a="1"/>
  <c r="R104" i="27" s="1"/>
  <c r="AE104" i="27" a="1"/>
  <c r="AE104" i="27" s="1"/>
  <c r="L67" i="27" a="1"/>
  <c r="L67" i="27" s="1"/>
  <c r="Q67" i="27" a="1"/>
  <c r="Q67" i="27" s="1"/>
  <c r="T67" i="27" a="1"/>
  <c r="T67" i="27" s="1"/>
  <c r="Y67" i="27" a="1"/>
  <c r="Y67" i="27" s="1"/>
  <c r="AB67" i="27" a="1"/>
  <c r="AB67" i="27" s="1"/>
  <c r="AG67" i="27" a="1"/>
  <c r="AG67" i="27" s="1"/>
  <c r="O67" i="27" a="1"/>
  <c r="O67" i="27" s="1"/>
  <c r="R67" i="27" a="1"/>
  <c r="R67" i="27" s="1"/>
  <c r="W67" i="27" a="1"/>
  <c r="W67" i="27" s="1"/>
  <c r="Z67" i="27" a="1"/>
  <c r="Z67" i="27" s="1"/>
  <c r="AE67" i="27" a="1"/>
  <c r="AE67" i="27" s="1"/>
  <c r="AH67" i="27" a="1"/>
  <c r="AH67" i="27" s="1"/>
  <c r="M67" i="27" a="1"/>
  <c r="M67" i="27" s="1"/>
  <c r="P67" i="27" a="1"/>
  <c r="P67" i="27" s="1"/>
  <c r="U67" i="27" a="1"/>
  <c r="U67" i="27" s="1"/>
  <c r="X67" i="27" a="1"/>
  <c r="X67" i="27" s="1"/>
  <c r="AC67" i="27" a="1"/>
  <c r="AC67" i="27" s="1"/>
  <c r="AF67" i="27" a="1"/>
  <c r="AF67" i="27" s="1"/>
  <c r="N67" i="27" a="1"/>
  <c r="N67" i="27" s="1"/>
  <c r="AI67" i="27" a="1"/>
  <c r="AI67" i="27" s="1"/>
  <c r="AA67" i="27" a="1"/>
  <c r="AA67" i="27" s="1"/>
  <c r="S67" i="27" a="1"/>
  <c r="S67" i="27" s="1"/>
  <c r="AD67" i="27" a="1"/>
  <c r="AD67" i="27" s="1"/>
  <c r="V67" i="27" a="1"/>
  <c r="V67" i="27" s="1"/>
  <c r="M10" i="27" a="1"/>
  <c r="M10" i="27" s="1"/>
  <c r="P10" i="27" a="1"/>
  <c r="P10" i="27" s="1"/>
  <c r="U10" i="27" a="1"/>
  <c r="U10" i="27" s="1"/>
  <c r="X10" i="27" a="1"/>
  <c r="X10" i="27" s="1"/>
  <c r="AC10" i="27" a="1"/>
  <c r="AC10" i="27" s="1"/>
  <c r="AF10" i="27" a="1"/>
  <c r="AF10" i="27" s="1"/>
  <c r="N10" i="27" a="1"/>
  <c r="N10" i="27" s="1"/>
  <c r="S10" i="27" a="1"/>
  <c r="S10" i="27" s="1"/>
  <c r="V10" i="27" a="1"/>
  <c r="V10" i="27" s="1"/>
  <c r="AA10" i="27" a="1"/>
  <c r="AA10" i="27" s="1"/>
  <c r="AD10" i="27" a="1"/>
  <c r="AD10" i="27" s="1"/>
  <c r="AI10" i="27" a="1"/>
  <c r="AI10" i="27" s="1"/>
  <c r="T10" i="27" a="1"/>
  <c r="T10" i="27" s="1"/>
  <c r="Y10" i="27" a="1"/>
  <c r="Y10" i="27" s="1"/>
  <c r="O10" i="27" a="1"/>
  <c r="O10" i="27" s="1"/>
  <c r="Z10" i="27" a="1"/>
  <c r="Z10" i="27" s="1"/>
  <c r="AE10" i="27" a="1"/>
  <c r="AE10" i="27" s="1"/>
  <c r="L10" i="27" a="1"/>
  <c r="L10" i="27" s="1"/>
  <c r="Q10" i="27" a="1"/>
  <c r="Q10" i="27" s="1"/>
  <c r="AB10" i="27" a="1"/>
  <c r="AB10" i="27" s="1"/>
  <c r="AG10" i="27" a="1"/>
  <c r="AG10" i="27" s="1"/>
  <c r="AH10" i="27" a="1"/>
  <c r="AH10" i="27" s="1"/>
  <c r="R10" i="27" a="1"/>
  <c r="R10" i="27" s="1"/>
  <c r="W10" i="27" a="1"/>
  <c r="W10" i="27" s="1"/>
  <c r="DJ26" i="27"/>
  <c r="DP62" i="27"/>
  <c r="DJ60" i="27"/>
  <c r="DR84" i="27"/>
  <c r="DM84" i="27"/>
  <c r="DS59" i="27"/>
  <c r="DJ79" i="27"/>
  <c r="DJ93" i="27"/>
  <c r="DJ139" i="27"/>
  <c r="DQ128" i="27"/>
  <c r="DS128" i="27"/>
  <c r="DQ105" i="27"/>
  <c r="DP105" i="27"/>
  <c r="DW24" i="27"/>
  <c r="DU24" i="27" s="1"/>
  <c r="DW95" i="27"/>
  <c r="DY95" i="27" s="1"/>
  <c r="DW134" i="27"/>
  <c r="DU134" i="27" s="1"/>
  <c r="DS25" i="27"/>
  <c r="DR31" i="27"/>
  <c r="DS31" i="27"/>
  <c r="DP42" i="27"/>
  <c r="DJ42" i="27"/>
  <c r="DJ118" i="27"/>
  <c r="DQ102" i="27"/>
  <c r="DM104" i="27"/>
  <c r="DQ137" i="27"/>
  <c r="DQ78" i="27"/>
  <c r="DJ78" i="27"/>
  <c r="BZ77" i="27" a="1"/>
  <c r="BZ77" i="27" s="1"/>
  <c r="CH77" i="27" a="1"/>
  <c r="CH77" i="27" s="1"/>
  <c r="CP77" i="27" a="1"/>
  <c r="CP77" i="27" s="1"/>
  <c r="CA77" i="27" a="1"/>
  <c r="CA77" i="27" s="1"/>
  <c r="CG77" i="27" a="1"/>
  <c r="CG77" i="27" s="1"/>
  <c r="CU77" i="27" a="1"/>
  <c r="CU77" i="27" s="1"/>
  <c r="CB77" i="27" a="1"/>
  <c r="CB77" i="27" s="1"/>
  <c r="CJ77" i="27" a="1"/>
  <c r="CJ77" i="27" s="1"/>
  <c r="CR77" i="27" a="1"/>
  <c r="CR77" i="27" s="1"/>
  <c r="CI77" i="27" a="1"/>
  <c r="CI77" i="27" s="1"/>
  <c r="CO77" i="27" a="1"/>
  <c r="CO77" i="27" s="1"/>
  <c r="CC77" i="27" a="1"/>
  <c r="CC77" i="27" s="1"/>
  <c r="CD77" i="27" a="1"/>
  <c r="CD77" i="27" s="1"/>
  <c r="CL77" i="27" a="1"/>
  <c r="CL77" i="27" s="1"/>
  <c r="CT77" i="27" a="1"/>
  <c r="CT77" i="27" s="1"/>
  <c r="CQ77" i="27" a="1"/>
  <c r="CQ77" i="27" s="1"/>
  <c r="CE77" i="27" a="1"/>
  <c r="CE77" i="27" s="1"/>
  <c r="CK77" i="27" a="1"/>
  <c r="CK77" i="27" s="1"/>
  <c r="CF77" i="27" a="1"/>
  <c r="CF77" i="27" s="1"/>
  <c r="CN77" i="27" a="1"/>
  <c r="CN77" i="27" s="1"/>
  <c r="CV77" i="27" a="1"/>
  <c r="CV77" i="27" s="1"/>
  <c r="BY77" i="27" a="1"/>
  <c r="BY77" i="27" s="1"/>
  <c r="CM77" i="27" a="1"/>
  <c r="CM77" i="27" s="1"/>
  <c r="CS77" i="27" a="1"/>
  <c r="CS77" i="27" s="1"/>
  <c r="DS12" i="27"/>
  <c r="DS27" i="27"/>
  <c r="DJ27" i="27"/>
  <c r="DS22" i="27"/>
  <c r="DQ70" i="27"/>
  <c r="DR71" i="27"/>
  <c r="DR120" i="27"/>
  <c r="DQ106" i="27"/>
  <c r="DP106" i="27"/>
  <c r="DS108" i="27"/>
  <c r="DJ121" i="27"/>
  <c r="DQ124" i="27"/>
  <c r="DP6" i="27"/>
  <c r="DJ6" i="27"/>
  <c r="DR6" i="27"/>
  <c r="DQ6" i="27"/>
  <c r="DI6" i="27"/>
  <c r="DO8" i="27"/>
  <c r="DK8" i="27"/>
  <c r="DQ8" i="27"/>
  <c r="DT9" i="27"/>
  <c r="DR9" i="27"/>
  <c r="DN9" i="27"/>
  <c r="DQ17" i="27"/>
  <c r="DL17" i="27"/>
  <c r="DR17" i="27"/>
  <c r="DR18" i="27"/>
  <c r="DJ18" i="27"/>
  <c r="DS18" i="27"/>
  <c r="DJ19" i="27"/>
  <c r="DK19" i="27"/>
  <c r="DP19" i="27"/>
  <c r="DQ34" i="27"/>
  <c r="DJ34" i="27"/>
  <c r="DR34" i="27"/>
  <c r="DS29" i="27"/>
  <c r="DJ29" i="27"/>
  <c r="DT29" i="27"/>
  <c r="DS38" i="27"/>
  <c r="DN38" i="27"/>
  <c r="DK38" i="27"/>
  <c r="DQ35" i="27"/>
  <c r="DT35" i="27"/>
  <c r="DS35" i="27"/>
  <c r="DO47" i="27"/>
  <c r="DQ47" i="27"/>
  <c r="DR47" i="27"/>
  <c r="DJ55" i="27"/>
  <c r="DK55" i="27"/>
  <c r="DT55" i="27"/>
  <c r="DI49" i="27"/>
  <c r="DL49" i="27"/>
  <c r="DR49" i="27"/>
  <c r="DK61" i="27"/>
  <c r="DJ61" i="27"/>
  <c r="DT61" i="27"/>
  <c r="DT74" i="27"/>
  <c r="DK74" i="27"/>
  <c r="DQ74" i="27"/>
  <c r="DO72" i="27"/>
  <c r="DJ72" i="27"/>
  <c r="DT72" i="27"/>
  <c r="DI58" i="27"/>
  <c r="DL58" i="27"/>
  <c r="DR58" i="27"/>
  <c r="DQ67" i="27"/>
  <c r="DL67" i="27"/>
  <c r="DR67" i="27"/>
  <c r="DN57" i="27"/>
  <c r="DI57" i="27"/>
  <c r="DS57" i="27"/>
  <c r="DN85" i="27"/>
  <c r="DI85" i="27"/>
  <c r="DS85" i="27"/>
  <c r="DS77" i="27"/>
  <c r="DO77" i="27"/>
  <c r="DR77" i="27"/>
  <c r="DO87" i="27"/>
  <c r="DJ87" i="27"/>
  <c r="DT87" i="27"/>
  <c r="DS91" i="27"/>
  <c r="DJ91" i="27"/>
  <c r="DT91" i="27"/>
  <c r="DO101" i="27"/>
  <c r="DJ101" i="27"/>
  <c r="DT101" i="27"/>
  <c r="DP112" i="27"/>
  <c r="DJ112" i="27"/>
  <c r="DS112" i="27"/>
  <c r="DP122" i="27"/>
  <c r="DQ122" i="27"/>
  <c r="DS122" i="27"/>
  <c r="DL76" i="27"/>
  <c r="DN76" i="27"/>
  <c r="DQ76" i="27"/>
  <c r="DJ109" i="27"/>
  <c r="DP109" i="27"/>
  <c r="DO109" i="27"/>
  <c r="DN115" i="27"/>
  <c r="DP115" i="27"/>
  <c r="DO115" i="27"/>
  <c r="DM123" i="27"/>
  <c r="DP123" i="27"/>
  <c r="DK123" i="27"/>
  <c r="DR126" i="27"/>
  <c r="DQ126" i="27"/>
  <c r="DK126" i="27"/>
  <c r="DL132" i="27"/>
  <c r="DJ132" i="27"/>
  <c r="DK132" i="27"/>
  <c r="DQ127" i="27"/>
  <c r="DP127" i="27"/>
  <c r="DS127" i="27"/>
  <c r="DM134" i="27"/>
  <c r="DI134" i="27"/>
  <c r="DL134" i="27"/>
  <c r="DL136" i="27"/>
  <c r="DN136" i="27"/>
  <c r="DP136" i="27"/>
  <c r="DW60" i="27"/>
  <c r="DY60" i="27" s="1"/>
  <c r="EA60" i="27" s="1"/>
  <c r="DW68" i="27"/>
  <c r="DU68" i="27" s="1"/>
  <c r="DW88" i="27"/>
  <c r="DU88" i="27" s="1"/>
  <c r="X86" i="30" s="1"/>
  <c r="DW86" i="27"/>
  <c r="DU86" i="27" s="1"/>
  <c r="DW83" i="27"/>
  <c r="DU83" i="27" s="1"/>
  <c r="X81" i="30" s="1"/>
  <c r="DW89" i="27"/>
  <c r="DU89" i="27" s="1"/>
  <c r="X87" i="30" s="1"/>
  <c r="DW105" i="27"/>
  <c r="DU105" i="27" s="1"/>
  <c r="X103" i="30" s="1"/>
  <c r="DW133" i="27"/>
  <c r="DU133" i="27" s="1"/>
  <c r="DW131" i="27"/>
  <c r="DU131" i="27" s="1"/>
  <c r="X129" i="30" s="1"/>
  <c r="N138" i="27" a="1"/>
  <c r="N138" i="27" s="1"/>
  <c r="Q138" i="27" a="1"/>
  <c r="Q138" i="27" s="1"/>
  <c r="V138" i="27" a="1"/>
  <c r="V138" i="27" s="1"/>
  <c r="Y138" i="27" a="1"/>
  <c r="Y138" i="27" s="1"/>
  <c r="AD138" i="27" a="1"/>
  <c r="AD138" i="27" s="1"/>
  <c r="AG138" i="27" a="1"/>
  <c r="AG138" i="27" s="1"/>
  <c r="L138" i="27" a="1"/>
  <c r="L138" i="27" s="1"/>
  <c r="O138" i="27" a="1"/>
  <c r="O138" i="27" s="1"/>
  <c r="T138" i="27" a="1"/>
  <c r="T138" i="27" s="1"/>
  <c r="W138" i="27" a="1"/>
  <c r="W138" i="27" s="1"/>
  <c r="AB138" i="27" a="1"/>
  <c r="AB138" i="27" s="1"/>
  <c r="AE138" i="27" a="1"/>
  <c r="AE138" i="27" s="1"/>
  <c r="P138" i="27" a="1"/>
  <c r="P138" i="27" s="1"/>
  <c r="S138" i="27" a="1"/>
  <c r="S138" i="27" s="1"/>
  <c r="X138" i="27" a="1"/>
  <c r="X138" i="27" s="1"/>
  <c r="AA138" i="27" a="1"/>
  <c r="AA138" i="27" s="1"/>
  <c r="AF138" i="27" a="1"/>
  <c r="AF138" i="27" s="1"/>
  <c r="AI138" i="27" a="1"/>
  <c r="AI138" i="27" s="1"/>
  <c r="M138" i="27" a="1"/>
  <c r="M138" i="27" s="1"/>
  <c r="R138" i="27" a="1"/>
  <c r="R138" i="27" s="1"/>
  <c r="U138" i="27" a="1"/>
  <c r="U138" i="27" s="1"/>
  <c r="Z138" i="27" a="1"/>
  <c r="Z138" i="27" s="1"/>
  <c r="AC138" i="27" a="1"/>
  <c r="AC138" i="27" s="1"/>
  <c r="AH138" i="27" a="1"/>
  <c r="AH138" i="27" s="1"/>
  <c r="M109" i="27" a="1"/>
  <c r="M109" i="27" s="1"/>
  <c r="R109" i="27" a="1"/>
  <c r="R109" i="27" s="1"/>
  <c r="U109" i="27" a="1"/>
  <c r="U109" i="27" s="1"/>
  <c r="Z109" i="27" a="1"/>
  <c r="Z109" i="27" s="1"/>
  <c r="AC109" i="27" a="1"/>
  <c r="AC109" i="27" s="1"/>
  <c r="AH109" i="27" a="1"/>
  <c r="AH109" i="27" s="1"/>
  <c r="P109" i="27" a="1"/>
  <c r="P109" i="27" s="1"/>
  <c r="S109" i="27" a="1"/>
  <c r="S109" i="27" s="1"/>
  <c r="X109" i="27" a="1"/>
  <c r="X109" i="27" s="1"/>
  <c r="AA109" i="27" a="1"/>
  <c r="AA109" i="27" s="1"/>
  <c r="AF109" i="27" a="1"/>
  <c r="AF109" i="27" s="1"/>
  <c r="AI109" i="27" a="1"/>
  <c r="AI109" i="27" s="1"/>
  <c r="N109" i="27" a="1"/>
  <c r="N109" i="27" s="1"/>
  <c r="Q109" i="27" a="1"/>
  <c r="Q109" i="27" s="1"/>
  <c r="V109" i="27" a="1"/>
  <c r="V109" i="27" s="1"/>
  <c r="Y109" i="27" a="1"/>
  <c r="Y109" i="27" s="1"/>
  <c r="AD109" i="27" a="1"/>
  <c r="AD109" i="27" s="1"/>
  <c r="AG109" i="27" a="1"/>
  <c r="AG109" i="27" s="1"/>
  <c r="AB109" i="27" a="1"/>
  <c r="AB109" i="27" s="1"/>
  <c r="T109" i="27" a="1"/>
  <c r="T109" i="27" s="1"/>
  <c r="AE109" i="27" a="1"/>
  <c r="AE109" i="27" s="1"/>
  <c r="L109" i="27" a="1"/>
  <c r="L109" i="27" s="1"/>
  <c r="W109" i="27" a="1"/>
  <c r="W109" i="27" s="1"/>
  <c r="O109" i="27" a="1"/>
  <c r="O109" i="27" s="1"/>
  <c r="M117" i="27" a="1"/>
  <c r="M117" i="27" s="1"/>
  <c r="R117" i="27" a="1"/>
  <c r="R117" i="27" s="1"/>
  <c r="U117" i="27" a="1"/>
  <c r="U117" i="27" s="1"/>
  <c r="Z117" i="27" a="1"/>
  <c r="Z117" i="27" s="1"/>
  <c r="AC117" i="27" a="1"/>
  <c r="AC117" i="27" s="1"/>
  <c r="AH117" i="27" a="1"/>
  <c r="AH117" i="27" s="1"/>
  <c r="P117" i="27" a="1"/>
  <c r="P117" i="27" s="1"/>
  <c r="S117" i="27" a="1"/>
  <c r="S117" i="27" s="1"/>
  <c r="X117" i="27" a="1"/>
  <c r="X117" i="27" s="1"/>
  <c r="AA117" i="27" a="1"/>
  <c r="AA117" i="27" s="1"/>
  <c r="AF117" i="27" a="1"/>
  <c r="AF117" i="27" s="1"/>
  <c r="AI117" i="27" a="1"/>
  <c r="AI117" i="27" s="1"/>
  <c r="N117" i="27" a="1"/>
  <c r="N117" i="27" s="1"/>
  <c r="Q117" i="27" a="1"/>
  <c r="Q117" i="27" s="1"/>
  <c r="V117" i="27" a="1"/>
  <c r="V117" i="27" s="1"/>
  <c r="Y117" i="27" a="1"/>
  <c r="Y117" i="27" s="1"/>
  <c r="AD117" i="27" a="1"/>
  <c r="AD117" i="27" s="1"/>
  <c r="AG117" i="27" a="1"/>
  <c r="AG117" i="27" s="1"/>
  <c r="O117" i="27" a="1"/>
  <c r="O117" i="27" s="1"/>
  <c r="AB117" i="27" a="1"/>
  <c r="AB117" i="27" s="1"/>
  <c r="L117" i="27" a="1"/>
  <c r="L117" i="27" s="1"/>
  <c r="W117" i="27" a="1"/>
  <c r="W117" i="27" s="1"/>
  <c r="T117" i="27" a="1"/>
  <c r="T117" i="27" s="1"/>
  <c r="AE117" i="27" a="1"/>
  <c r="AE117" i="27" s="1"/>
  <c r="AW40" i="27"/>
  <c r="N124" i="27" a="1"/>
  <c r="N124" i="27" s="1"/>
  <c r="Q124" i="27" a="1"/>
  <c r="Q124" i="27" s="1"/>
  <c r="V124" i="27" a="1"/>
  <c r="V124" i="27" s="1"/>
  <c r="Y124" i="27" a="1"/>
  <c r="Y124" i="27" s="1"/>
  <c r="AD124" i="27" a="1"/>
  <c r="AD124" i="27" s="1"/>
  <c r="AG124" i="27" a="1"/>
  <c r="AG124" i="27" s="1"/>
  <c r="M124" i="27" a="1"/>
  <c r="M124" i="27" s="1"/>
  <c r="R124" i="27" a="1"/>
  <c r="R124" i="27" s="1"/>
  <c r="U124" i="27" a="1"/>
  <c r="U124" i="27" s="1"/>
  <c r="Z124" i="27" a="1"/>
  <c r="Z124" i="27" s="1"/>
  <c r="AC124" i="27" a="1"/>
  <c r="AC124" i="27" s="1"/>
  <c r="AH124" i="27" a="1"/>
  <c r="AH124" i="27" s="1"/>
  <c r="S124" i="27" a="1"/>
  <c r="S124" i="27" s="1"/>
  <c r="X124" i="27" a="1"/>
  <c r="X124" i="27" s="1"/>
  <c r="AI124" i="27" a="1"/>
  <c r="AI124" i="27" s="1"/>
  <c r="L124" i="27" a="1"/>
  <c r="L124" i="27" s="1"/>
  <c r="W124" i="27" a="1"/>
  <c r="W124" i="27" s="1"/>
  <c r="O124" i="27" a="1"/>
  <c r="O124" i="27" s="1"/>
  <c r="T124" i="27" a="1"/>
  <c r="T124" i="27" s="1"/>
  <c r="AE124" i="27" a="1"/>
  <c r="AE124" i="27" s="1"/>
  <c r="P124" i="27" a="1"/>
  <c r="P124" i="27" s="1"/>
  <c r="AA124" i="27" a="1"/>
  <c r="AA124" i="27" s="1"/>
  <c r="AF124" i="27" a="1"/>
  <c r="AF124" i="27" s="1"/>
  <c r="AB124" i="27" a="1"/>
  <c r="AB124" i="27" s="1"/>
  <c r="O37" i="27" a="1"/>
  <c r="O37" i="27" s="1"/>
  <c r="S37" i="27" a="1"/>
  <c r="S37" i="27" s="1"/>
  <c r="W37" i="27" a="1"/>
  <c r="W37" i="27" s="1"/>
  <c r="AA37" i="27" a="1"/>
  <c r="AA37" i="27" s="1"/>
  <c r="AE37" i="27" a="1"/>
  <c r="AE37" i="27" s="1"/>
  <c r="AI37" i="27" a="1"/>
  <c r="AI37" i="27" s="1"/>
  <c r="L37" i="27" a="1"/>
  <c r="L37" i="27" s="1"/>
  <c r="Q37" i="27" a="1"/>
  <c r="Q37" i="27" s="1"/>
  <c r="V37" i="27" a="1"/>
  <c r="V37" i="27" s="1"/>
  <c r="AB37" i="27" a="1"/>
  <c r="AB37" i="27" s="1"/>
  <c r="AG37" i="27" a="1"/>
  <c r="AG37" i="27" s="1"/>
  <c r="M37" i="27" a="1"/>
  <c r="M37" i="27" s="1"/>
  <c r="R37" i="27" a="1"/>
  <c r="R37" i="27" s="1"/>
  <c r="X37" i="27" a="1"/>
  <c r="X37" i="27" s="1"/>
  <c r="AC37" i="27" a="1"/>
  <c r="AC37" i="27" s="1"/>
  <c r="AH37" i="27" a="1"/>
  <c r="AH37" i="27" s="1"/>
  <c r="N37" i="27" a="1"/>
  <c r="N37" i="27" s="1"/>
  <c r="T37" i="27" a="1"/>
  <c r="T37" i="27" s="1"/>
  <c r="Y37" i="27" a="1"/>
  <c r="Y37" i="27" s="1"/>
  <c r="AD37" i="27" a="1"/>
  <c r="AD37" i="27" s="1"/>
  <c r="AF37" i="27" a="1"/>
  <c r="AF37" i="27" s="1"/>
  <c r="P37" i="27" a="1"/>
  <c r="P37" i="27" s="1"/>
  <c r="U37" i="27" a="1"/>
  <c r="U37" i="27" s="1"/>
  <c r="Z37" i="27" a="1"/>
  <c r="Z37" i="27" s="1"/>
  <c r="Q80" i="27" a="1"/>
  <c r="Q80" i="27" s="1"/>
  <c r="U80" i="27" a="1"/>
  <c r="U80" i="27" s="1"/>
  <c r="X80" i="27" a="1"/>
  <c r="X80" i="27" s="1"/>
  <c r="AA80" i="27" a="1"/>
  <c r="AA80" i="27" s="1"/>
  <c r="AG80" i="27" a="1"/>
  <c r="AG80" i="27" s="1"/>
  <c r="L80" i="27" a="1"/>
  <c r="L80" i="27" s="1"/>
  <c r="O80" i="27" a="1"/>
  <c r="O80" i="27" s="1"/>
  <c r="R80" i="27" a="1"/>
  <c r="R80" i="27" s="1"/>
  <c r="V80" i="27" a="1"/>
  <c r="V80" i="27" s="1"/>
  <c r="AB80" i="27" a="1"/>
  <c r="AB80" i="27" s="1"/>
  <c r="AE80" i="27" a="1"/>
  <c r="AE80" i="27" s="1"/>
  <c r="AH80" i="27" a="1"/>
  <c r="AH80" i="27" s="1"/>
  <c r="M80" i="27" a="1"/>
  <c r="M80" i="27" s="1"/>
  <c r="P80" i="27" a="1"/>
  <c r="P80" i="27" s="1"/>
  <c r="S80" i="27" a="1"/>
  <c r="S80" i="27" s="1"/>
  <c r="Y80" i="27" a="1"/>
  <c r="Y80" i="27" s="1"/>
  <c r="AC80" i="27" a="1"/>
  <c r="AC80" i="27" s="1"/>
  <c r="AF80" i="27" a="1"/>
  <c r="AF80" i="27" s="1"/>
  <c r="AI80" i="27" a="1"/>
  <c r="AI80" i="27" s="1"/>
  <c r="W80" i="27" a="1"/>
  <c r="W80" i="27" s="1"/>
  <c r="N80" i="27" a="1"/>
  <c r="N80" i="27" s="1"/>
  <c r="Z80" i="27" a="1"/>
  <c r="Z80" i="27" s="1"/>
  <c r="AD80" i="27" a="1"/>
  <c r="AD80" i="27" s="1"/>
  <c r="T80" i="27" a="1"/>
  <c r="T80" i="27" s="1"/>
  <c r="AW52" i="27"/>
  <c r="L135" i="27" a="1"/>
  <c r="L135" i="27" s="1"/>
  <c r="O135" i="27" a="1"/>
  <c r="O135" i="27" s="1"/>
  <c r="T135" i="27" a="1"/>
  <c r="T135" i="27" s="1"/>
  <c r="W135" i="27" a="1"/>
  <c r="W135" i="27" s="1"/>
  <c r="AB135" i="27" a="1"/>
  <c r="AB135" i="27" s="1"/>
  <c r="AE135" i="27" a="1"/>
  <c r="AE135" i="27" s="1"/>
  <c r="M135" i="27" a="1"/>
  <c r="M135" i="27" s="1"/>
  <c r="R135" i="27" a="1"/>
  <c r="R135" i="27" s="1"/>
  <c r="U135" i="27" a="1"/>
  <c r="U135" i="27" s="1"/>
  <c r="Z135" i="27" a="1"/>
  <c r="Z135" i="27" s="1"/>
  <c r="AC135" i="27" a="1"/>
  <c r="AC135" i="27" s="1"/>
  <c r="AH135" i="27" a="1"/>
  <c r="AH135" i="27" s="1"/>
  <c r="N135" i="27" a="1"/>
  <c r="N135" i="27" s="1"/>
  <c r="Q135" i="27" a="1"/>
  <c r="Q135" i="27" s="1"/>
  <c r="V135" i="27" a="1"/>
  <c r="V135" i="27" s="1"/>
  <c r="Y135" i="27" a="1"/>
  <c r="Y135" i="27" s="1"/>
  <c r="AD135" i="27" a="1"/>
  <c r="AD135" i="27" s="1"/>
  <c r="AG135" i="27" a="1"/>
  <c r="AG135" i="27" s="1"/>
  <c r="P135" i="27" a="1"/>
  <c r="P135" i="27" s="1"/>
  <c r="S135" i="27" a="1"/>
  <c r="S135" i="27" s="1"/>
  <c r="X135" i="27" a="1"/>
  <c r="X135" i="27" s="1"/>
  <c r="AA135" i="27" a="1"/>
  <c r="AA135" i="27" s="1"/>
  <c r="AF135" i="27" a="1"/>
  <c r="AF135" i="27" s="1"/>
  <c r="AI135" i="27" a="1"/>
  <c r="AI135" i="27" s="1"/>
  <c r="N70" i="27" a="1"/>
  <c r="N70" i="27" s="1"/>
  <c r="Q70" i="27" a="1"/>
  <c r="Q70" i="27" s="1"/>
  <c r="W70" i="27" a="1"/>
  <c r="W70" i="27" s="1"/>
  <c r="AA70" i="27" a="1"/>
  <c r="AA70" i="27" s="1"/>
  <c r="AD70" i="27" a="1"/>
  <c r="AD70" i="27" s="1"/>
  <c r="AG70" i="27" a="1"/>
  <c r="AG70" i="27" s="1"/>
  <c r="L70" i="27" a="1"/>
  <c r="L70" i="27" s="1"/>
  <c r="R70" i="27" a="1"/>
  <c r="R70" i="27" s="1"/>
  <c r="U70" i="27" a="1"/>
  <c r="U70" i="27" s="1"/>
  <c r="X70" i="27" a="1"/>
  <c r="X70" i="27" s="1"/>
  <c r="AB70" i="27" a="1"/>
  <c r="AB70" i="27" s="1"/>
  <c r="AH70" i="27" a="1"/>
  <c r="AH70" i="27" s="1"/>
  <c r="O70" i="27" a="1"/>
  <c r="O70" i="27" s="1"/>
  <c r="S70" i="27" a="1"/>
  <c r="S70" i="27" s="1"/>
  <c r="V70" i="27" a="1"/>
  <c r="V70" i="27" s="1"/>
  <c r="Y70" i="27" a="1"/>
  <c r="Y70" i="27" s="1"/>
  <c r="AE70" i="27" a="1"/>
  <c r="AE70" i="27" s="1"/>
  <c r="AI70" i="27" a="1"/>
  <c r="AI70" i="27" s="1"/>
  <c r="T70" i="27" a="1"/>
  <c r="T70" i="27" s="1"/>
  <c r="AF70" i="27" a="1"/>
  <c r="AF70" i="27" s="1"/>
  <c r="M70" i="27" a="1"/>
  <c r="M70" i="27" s="1"/>
  <c r="Z70" i="27" a="1"/>
  <c r="Z70" i="27" s="1"/>
  <c r="P70" i="27" a="1"/>
  <c r="P70" i="27" s="1"/>
  <c r="AC70" i="27" a="1"/>
  <c r="AC70" i="27" s="1"/>
  <c r="O38" i="27" a="1"/>
  <c r="O38" i="27" s="1"/>
  <c r="S38" i="27" a="1"/>
  <c r="S38" i="27" s="1"/>
  <c r="V38" i="27" a="1"/>
  <c r="V38" i="27" s="1"/>
  <c r="Z38" i="27" a="1"/>
  <c r="Z38" i="27" s="1"/>
  <c r="AC38" i="27" a="1"/>
  <c r="AC38" i="27" s="1"/>
  <c r="AG38" i="27" a="1"/>
  <c r="AG38" i="27" s="1"/>
  <c r="L38" i="27" a="1"/>
  <c r="L38" i="27" s="1"/>
  <c r="Q38" i="27" a="1"/>
  <c r="Q38" i="27" s="1"/>
  <c r="U38" i="27" a="1"/>
  <c r="U38" i="27" s="1"/>
  <c r="AA38" i="27" a="1"/>
  <c r="AA38" i="27" s="1"/>
  <c r="AE38" i="27" a="1"/>
  <c r="AE38" i="27" s="1"/>
  <c r="M38" i="27" a="1"/>
  <c r="M38" i="27" s="1"/>
  <c r="R38" i="27" a="1"/>
  <c r="R38" i="27" s="1"/>
  <c r="W38" i="27" a="1"/>
  <c r="W38" i="27" s="1"/>
  <c r="AF38" i="27" a="1"/>
  <c r="AF38" i="27" s="1"/>
  <c r="N38" i="27" a="1"/>
  <c r="N38" i="27" s="1"/>
  <c r="X38" i="27" a="1"/>
  <c r="X38" i="27" s="1"/>
  <c r="AB38" i="27" a="1"/>
  <c r="AB38" i="27" s="1"/>
  <c r="AH38" i="27" a="1"/>
  <c r="AH38" i="27" s="1"/>
  <c r="P38" i="27" a="1"/>
  <c r="P38" i="27" s="1"/>
  <c r="AI38" i="27" a="1"/>
  <c r="AI38" i="27" s="1"/>
  <c r="T38" i="27" a="1"/>
  <c r="T38" i="27" s="1"/>
  <c r="Y38" i="27" a="1"/>
  <c r="Y38" i="27" s="1"/>
  <c r="AD38" i="27" a="1"/>
  <c r="AD38" i="27" s="1"/>
  <c r="AW12" i="27"/>
  <c r="M127" i="27" a="1"/>
  <c r="M127" i="27" s="1"/>
  <c r="R127" i="27" a="1"/>
  <c r="R127" i="27" s="1"/>
  <c r="U127" i="27" a="1"/>
  <c r="U127" i="27" s="1"/>
  <c r="Z127" i="27" a="1"/>
  <c r="Z127" i="27" s="1"/>
  <c r="AC127" i="27" a="1"/>
  <c r="AC127" i="27" s="1"/>
  <c r="AH127" i="27" a="1"/>
  <c r="AH127" i="27" s="1"/>
  <c r="L127" i="27" a="1"/>
  <c r="L127" i="27" s="1"/>
  <c r="T127" i="27" a="1"/>
  <c r="T127" i="27" s="1"/>
  <c r="AB127" i="27" a="1"/>
  <c r="AB127" i="27" s="1"/>
  <c r="P127" i="27" a="1"/>
  <c r="P127" i="27" s="1"/>
  <c r="S127" i="27" a="1"/>
  <c r="S127" i="27" s="1"/>
  <c r="X127" i="27" a="1"/>
  <c r="X127" i="27" s="1"/>
  <c r="AA127" i="27" a="1"/>
  <c r="AA127" i="27" s="1"/>
  <c r="AF127" i="27" a="1"/>
  <c r="AF127" i="27" s="1"/>
  <c r="AI127" i="27" a="1"/>
  <c r="AI127" i="27" s="1"/>
  <c r="O127" i="27" a="1"/>
  <c r="O127" i="27" s="1"/>
  <c r="AE127" i="27" a="1"/>
  <c r="AE127" i="27" s="1"/>
  <c r="N127" i="27" a="1"/>
  <c r="N127" i="27" s="1"/>
  <c r="Q127" i="27" a="1"/>
  <c r="Q127" i="27" s="1"/>
  <c r="V127" i="27" a="1"/>
  <c r="V127" i="27" s="1"/>
  <c r="Y127" i="27" a="1"/>
  <c r="Y127" i="27" s="1"/>
  <c r="AD127" i="27" a="1"/>
  <c r="AD127" i="27" s="1"/>
  <c r="AG127" i="27" a="1"/>
  <c r="AG127" i="27" s="1"/>
  <c r="W127" i="27" a="1"/>
  <c r="W127" i="27" s="1"/>
  <c r="M27" i="27" a="1"/>
  <c r="M27" i="27" s="1"/>
  <c r="O27" i="27" a="1"/>
  <c r="O27" i="27" s="1"/>
  <c r="Q27" i="27" a="1"/>
  <c r="Q27" i="27" s="1"/>
  <c r="S27" i="27" a="1"/>
  <c r="S27" i="27" s="1"/>
  <c r="U27" i="27" a="1"/>
  <c r="U27" i="27" s="1"/>
  <c r="W27" i="27" a="1"/>
  <c r="W27" i="27" s="1"/>
  <c r="Y27" i="27" a="1"/>
  <c r="Y27" i="27" s="1"/>
  <c r="AA27" i="27" a="1"/>
  <c r="AA27" i="27" s="1"/>
  <c r="AC27" i="27" a="1"/>
  <c r="AC27" i="27" s="1"/>
  <c r="AE27" i="27" a="1"/>
  <c r="AE27" i="27" s="1"/>
  <c r="AG27" i="27" a="1"/>
  <c r="AG27" i="27" s="1"/>
  <c r="AI27" i="27" a="1"/>
  <c r="AI27" i="27" s="1"/>
  <c r="L27" i="27" a="1"/>
  <c r="L27" i="27" s="1"/>
  <c r="P27" i="27" a="1"/>
  <c r="P27" i="27" s="1"/>
  <c r="T27" i="27" a="1"/>
  <c r="T27" i="27" s="1"/>
  <c r="X27" i="27" a="1"/>
  <c r="X27" i="27" s="1"/>
  <c r="AB27" i="27" a="1"/>
  <c r="AB27" i="27" s="1"/>
  <c r="AF27" i="27" a="1"/>
  <c r="AF27" i="27" s="1"/>
  <c r="R27" i="27" a="1"/>
  <c r="R27" i="27" s="1"/>
  <c r="AH27" i="27" a="1"/>
  <c r="AH27" i="27" s="1"/>
  <c r="V27" i="27" a="1"/>
  <c r="V27" i="27" s="1"/>
  <c r="Z27" i="27" a="1"/>
  <c r="Z27" i="27" s="1"/>
  <c r="N27" i="27" a="1"/>
  <c r="N27" i="27" s="1"/>
  <c r="AD27" i="27" a="1"/>
  <c r="AD27" i="27" s="1"/>
  <c r="AW130" i="27"/>
  <c r="AW50" i="27"/>
  <c r="AW34" i="27"/>
  <c r="AW97" i="27"/>
  <c r="AW17" i="27"/>
  <c r="L105" i="27" a="1"/>
  <c r="L105" i="27" s="1"/>
  <c r="R105" i="27" a="1"/>
  <c r="R105" i="27" s="1"/>
  <c r="U105" i="27" a="1"/>
  <c r="U105" i="27" s="1"/>
  <c r="X105" i="27" a="1"/>
  <c r="X105" i="27" s="1"/>
  <c r="AB105" i="27" a="1"/>
  <c r="AB105" i="27" s="1"/>
  <c r="AH105" i="27" a="1"/>
  <c r="AH105" i="27" s="1"/>
  <c r="O105" i="27" a="1"/>
  <c r="O105" i="27" s="1"/>
  <c r="S105" i="27" a="1"/>
  <c r="S105" i="27" s="1"/>
  <c r="V105" i="27" a="1"/>
  <c r="V105" i="27" s="1"/>
  <c r="Y105" i="27" a="1"/>
  <c r="Y105" i="27" s="1"/>
  <c r="AE105" i="27" a="1"/>
  <c r="AE105" i="27" s="1"/>
  <c r="AI105" i="27" a="1"/>
  <c r="AI105" i="27" s="1"/>
  <c r="M105" i="27" a="1"/>
  <c r="M105" i="27" s="1"/>
  <c r="P105" i="27" a="1"/>
  <c r="P105" i="27" s="1"/>
  <c r="T105" i="27" a="1"/>
  <c r="T105" i="27" s="1"/>
  <c r="Z105" i="27" a="1"/>
  <c r="Z105" i="27" s="1"/>
  <c r="AC105" i="27" a="1"/>
  <c r="AC105" i="27" s="1"/>
  <c r="AF105" i="27" a="1"/>
  <c r="AF105" i="27" s="1"/>
  <c r="W105" i="27" a="1"/>
  <c r="W105" i="27" s="1"/>
  <c r="N105" i="27" a="1"/>
  <c r="N105" i="27" s="1"/>
  <c r="AA105" i="27" a="1"/>
  <c r="AA105" i="27" s="1"/>
  <c r="Q105" i="27" a="1"/>
  <c r="Q105" i="27" s="1"/>
  <c r="AD105" i="27" a="1"/>
  <c r="AD105" i="27" s="1"/>
  <c r="AG105" i="27" a="1"/>
  <c r="AG105" i="27" s="1"/>
  <c r="L130" i="27" a="1"/>
  <c r="L130" i="27" s="1"/>
  <c r="O130" i="27" a="1"/>
  <c r="O130" i="27" s="1"/>
  <c r="T130" i="27" a="1"/>
  <c r="T130" i="27" s="1"/>
  <c r="W130" i="27" a="1"/>
  <c r="W130" i="27" s="1"/>
  <c r="AB130" i="27" a="1"/>
  <c r="AB130" i="27" s="1"/>
  <c r="AE130" i="27" a="1"/>
  <c r="AE130" i="27" s="1"/>
  <c r="V130" i="27" a="1"/>
  <c r="V130" i="27" s="1"/>
  <c r="M130" i="27" a="1"/>
  <c r="M130" i="27" s="1"/>
  <c r="R130" i="27" a="1"/>
  <c r="R130" i="27" s="1"/>
  <c r="U130" i="27" a="1"/>
  <c r="U130" i="27" s="1"/>
  <c r="Z130" i="27" a="1"/>
  <c r="Z130" i="27" s="1"/>
  <c r="AC130" i="27" a="1"/>
  <c r="AC130" i="27" s="1"/>
  <c r="AH130" i="27" a="1"/>
  <c r="AH130" i="27" s="1"/>
  <c r="N130" i="27" a="1"/>
  <c r="N130" i="27" s="1"/>
  <c r="Q130" i="27" a="1"/>
  <c r="Q130" i="27" s="1"/>
  <c r="Y130" i="27" a="1"/>
  <c r="Y130" i="27" s="1"/>
  <c r="AD130" i="27" a="1"/>
  <c r="AD130" i="27" s="1"/>
  <c r="P130" i="27" a="1"/>
  <c r="P130" i="27" s="1"/>
  <c r="S130" i="27" a="1"/>
  <c r="S130" i="27" s="1"/>
  <c r="X130" i="27" a="1"/>
  <c r="X130" i="27" s="1"/>
  <c r="AA130" i="27" a="1"/>
  <c r="AA130" i="27" s="1"/>
  <c r="AF130" i="27" a="1"/>
  <c r="AF130" i="27" s="1"/>
  <c r="AI130" i="27" a="1"/>
  <c r="AI130" i="27" s="1"/>
  <c r="AG130" i="27" a="1"/>
  <c r="AG130" i="27" s="1"/>
  <c r="BJ98" i="27"/>
  <c r="BH98" i="27" s="1"/>
  <c r="BJ34" i="27"/>
  <c r="BH34" i="27" s="1"/>
  <c r="M134" i="27" a="1"/>
  <c r="M134" i="27" s="1"/>
  <c r="R134" i="27" a="1"/>
  <c r="R134" i="27" s="1"/>
  <c r="U134" i="27" a="1"/>
  <c r="U134" i="27" s="1"/>
  <c r="Z134" i="27" a="1"/>
  <c r="Z134" i="27" s="1"/>
  <c r="AC134" i="27" a="1"/>
  <c r="AC134" i="27" s="1"/>
  <c r="AH134" i="27" a="1"/>
  <c r="AH134" i="27" s="1"/>
  <c r="O134" i="27" a="1"/>
  <c r="O134" i="27" s="1"/>
  <c r="W134" i="27" a="1"/>
  <c r="W134" i="27" s="1"/>
  <c r="P134" i="27" a="1"/>
  <c r="P134" i="27" s="1"/>
  <c r="S134" i="27" a="1"/>
  <c r="S134" i="27" s="1"/>
  <c r="X134" i="27" a="1"/>
  <c r="X134" i="27" s="1"/>
  <c r="AA134" i="27" a="1"/>
  <c r="AA134" i="27" s="1"/>
  <c r="AF134" i="27" a="1"/>
  <c r="AF134" i="27" s="1"/>
  <c r="AI134" i="27" a="1"/>
  <c r="AI134" i="27" s="1"/>
  <c r="AE134" i="27" a="1"/>
  <c r="AE134" i="27" s="1"/>
  <c r="N134" i="27" a="1"/>
  <c r="N134" i="27" s="1"/>
  <c r="Q134" i="27" a="1"/>
  <c r="Q134" i="27" s="1"/>
  <c r="V134" i="27" a="1"/>
  <c r="V134" i="27" s="1"/>
  <c r="Y134" i="27" a="1"/>
  <c r="Y134" i="27" s="1"/>
  <c r="AD134" i="27" a="1"/>
  <c r="AD134" i="27" s="1"/>
  <c r="AG134" i="27" a="1"/>
  <c r="AG134" i="27" s="1"/>
  <c r="L134" i="27" a="1"/>
  <c r="L134" i="27" s="1"/>
  <c r="T134" i="27" a="1"/>
  <c r="T134" i="27" s="1"/>
  <c r="AB134" i="27" a="1"/>
  <c r="AB134" i="27" s="1"/>
  <c r="N39" i="27" a="1"/>
  <c r="N39" i="27" s="1"/>
  <c r="Q39" i="27" a="1"/>
  <c r="Q39" i="27" s="1"/>
  <c r="T39" i="27" a="1"/>
  <c r="T39" i="27" s="1"/>
  <c r="Z39" i="27" a="1"/>
  <c r="Z39" i="27" s="1"/>
  <c r="AD39" i="27" a="1"/>
  <c r="AD39" i="27" s="1"/>
  <c r="AG39" i="27" a="1"/>
  <c r="AG39" i="27" s="1"/>
  <c r="O39" i="27" a="1"/>
  <c r="O39" i="27" s="1"/>
  <c r="R39" i="27" a="1"/>
  <c r="R39" i="27" s="1"/>
  <c r="W39" i="27" a="1"/>
  <c r="W39" i="27" s="1"/>
  <c r="AA39" i="27" a="1"/>
  <c r="AA39" i="27" s="1"/>
  <c r="AI39" i="27" a="1"/>
  <c r="AI39" i="27" s="1"/>
  <c r="S39" i="27" a="1"/>
  <c r="S39" i="27" s="1"/>
  <c r="X39" i="27" a="1"/>
  <c r="X39" i="27" s="1"/>
  <c r="AB39" i="27" a="1"/>
  <c r="AB39" i="27" s="1"/>
  <c r="AF39" i="27" a="1"/>
  <c r="AF39" i="27" s="1"/>
  <c r="L39" i="27" a="1"/>
  <c r="L39" i="27" s="1"/>
  <c r="P39" i="27" a="1"/>
  <c r="P39" i="27" s="1"/>
  <c r="U39" i="27" a="1"/>
  <c r="U39" i="27" s="1"/>
  <c r="Y39" i="27" a="1"/>
  <c r="Y39" i="27" s="1"/>
  <c r="AC39" i="27" a="1"/>
  <c r="AC39" i="27" s="1"/>
  <c r="V39" i="27" a="1"/>
  <c r="V39" i="27" s="1"/>
  <c r="M39" i="27" a="1"/>
  <c r="M39" i="27" s="1"/>
  <c r="AE39" i="27" a="1"/>
  <c r="AE39" i="27" s="1"/>
  <c r="AH39" i="27" a="1"/>
  <c r="AH39" i="27" s="1"/>
  <c r="AW80" i="27"/>
  <c r="AW110" i="27"/>
  <c r="AW127" i="27"/>
  <c r="AW61" i="27"/>
  <c r="M128" i="27" a="1"/>
  <c r="M128" i="27" s="1"/>
  <c r="R128" i="27" a="1"/>
  <c r="R128" i="27" s="1"/>
  <c r="U128" i="27" a="1"/>
  <c r="U128" i="27" s="1"/>
  <c r="Z128" i="27" a="1"/>
  <c r="Z128" i="27" s="1"/>
  <c r="AC128" i="27" a="1"/>
  <c r="AC128" i="27" s="1"/>
  <c r="AH128" i="27" a="1"/>
  <c r="AH128" i="27" s="1"/>
  <c r="O128" i="27" a="1"/>
  <c r="O128" i="27" s="1"/>
  <c r="T128" i="27" a="1"/>
  <c r="T128" i="27" s="1"/>
  <c r="AB128" i="27" a="1"/>
  <c r="AB128" i="27" s="1"/>
  <c r="P128" i="27" a="1"/>
  <c r="P128" i="27" s="1"/>
  <c r="S128" i="27" a="1"/>
  <c r="S128" i="27" s="1"/>
  <c r="X128" i="27" a="1"/>
  <c r="X128" i="27" s="1"/>
  <c r="AA128" i="27" a="1"/>
  <c r="AA128" i="27" s="1"/>
  <c r="AF128" i="27" a="1"/>
  <c r="AF128" i="27" s="1"/>
  <c r="AI128" i="27" a="1"/>
  <c r="AI128" i="27" s="1"/>
  <c r="N128" i="27" a="1"/>
  <c r="N128" i="27" s="1"/>
  <c r="Q128" i="27" a="1"/>
  <c r="Q128" i="27" s="1"/>
  <c r="V128" i="27" a="1"/>
  <c r="V128" i="27" s="1"/>
  <c r="Y128" i="27" a="1"/>
  <c r="Y128" i="27" s="1"/>
  <c r="AD128" i="27" a="1"/>
  <c r="AD128" i="27" s="1"/>
  <c r="AG128" i="27" a="1"/>
  <c r="AG128" i="27" s="1"/>
  <c r="L128" i="27" a="1"/>
  <c r="L128" i="27" s="1"/>
  <c r="W128" i="27" a="1"/>
  <c r="W128" i="27" s="1"/>
  <c r="AE128" i="27" a="1"/>
  <c r="AE128" i="27" s="1"/>
  <c r="AW90" i="27"/>
  <c r="AW87" i="27"/>
  <c r="BJ120" i="27"/>
  <c r="BH120" i="27" s="1"/>
  <c r="AW85" i="27"/>
  <c r="DM7" i="27"/>
  <c r="DS7" i="27"/>
  <c r="DN7" i="27"/>
  <c r="DL16" i="27"/>
  <c r="DS16" i="27"/>
  <c r="DN16" i="27"/>
  <c r="DN11" i="27"/>
  <c r="DT11" i="27"/>
  <c r="DO11" i="27"/>
  <c r="DL21" i="27"/>
  <c r="DT21" i="27"/>
  <c r="DN21" i="27"/>
  <c r="DK23" i="27"/>
  <c r="DQ23" i="27"/>
  <c r="DP23" i="27"/>
  <c r="DM39" i="27"/>
  <c r="DT39" i="27"/>
  <c r="DS39" i="27"/>
  <c r="DR26" i="27"/>
  <c r="DO26" i="27"/>
  <c r="DK26" i="27"/>
  <c r="DM41" i="27"/>
  <c r="DS41" i="27"/>
  <c r="DN41" i="27"/>
  <c r="DM40" i="27"/>
  <c r="DS40" i="27"/>
  <c r="DP40" i="27"/>
  <c r="DR30" i="27"/>
  <c r="DT30" i="27"/>
  <c r="DO30" i="27"/>
  <c r="DT48" i="27"/>
  <c r="DR48" i="27"/>
  <c r="DM48" i="27"/>
  <c r="DJ51" i="27"/>
  <c r="DT51" i="27"/>
  <c r="DO51" i="27"/>
  <c r="DN65" i="27"/>
  <c r="DT65" i="27"/>
  <c r="DO65" i="27"/>
  <c r="DJ62" i="27"/>
  <c r="DT62" i="27"/>
  <c r="DO62" i="27"/>
  <c r="DP75" i="27"/>
  <c r="DS75" i="27"/>
  <c r="DM75" i="27"/>
  <c r="DM60" i="27"/>
  <c r="DS60" i="27"/>
  <c r="DN60" i="27"/>
  <c r="DO84" i="27"/>
  <c r="DQ84" i="27"/>
  <c r="DP84" i="27"/>
  <c r="DL59" i="27"/>
  <c r="DR59" i="27"/>
  <c r="DM59" i="27"/>
  <c r="DS88" i="27"/>
  <c r="DQ88" i="27"/>
  <c r="DP88" i="27"/>
  <c r="DI79" i="27"/>
  <c r="DS79" i="27"/>
  <c r="DN79" i="27"/>
  <c r="DR94" i="27"/>
  <c r="DS94" i="27"/>
  <c r="DM94" i="27"/>
  <c r="DN98" i="27"/>
  <c r="DM98" i="27"/>
  <c r="DJ98" i="27"/>
  <c r="DJ103" i="27"/>
  <c r="DT103" i="27"/>
  <c r="DO103" i="27"/>
  <c r="DT116" i="27"/>
  <c r="DM116" i="27"/>
  <c r="DO116" i="27"/>
  <c r="DQ97" i="27"/>
  <c r="DR97" i="27"/>
  <c r="DI97" i="27"/>
  <c r="DS93" i="27"/>
  <c r="DT93" i="27"/>
  <c r="DN93" i="27"/>
  <c r="DR111" i="27"/>
  <c r="DI111" i="27"/>
  <c r="DK111" i="27"/>
  <c r="DT117" i="27"/>
  <c r="DQ117" i="27"/>
  <c r="DK117" i="27"/>
  <c r="DL83" i="27"/>
  <c r="DR83" i="27"/>
  <c r="DM83" i="27"/>
  <c r="DP130" i="27"/>
  <c r="DL130" i="27"/>
  <c r="DS130" i="27"/>
  <c r="DR139" i="27"/>
  <c r="DQ139" i="27"/>
  <c r="DO139" i="27"/>
  <c r="DJ128" i="27"/>
  <c r="DM128" i="27"/>
  <c r="DO128" i="27"/>
  <c r="DJ105" i="27"/>
  <c r="DT105" i="27"/>
  <c r="DO105" i="27"/>
  <c r="DW28" i="27"/>
  <c r="DU28" i="27" s="1"/>
  <c r="DW71" i="27"/>
  <c r="DU71" i="27" s="1"/>
  <c r="X69" i="30" s="1"/>
  <c r="DW32" i="27"/>
  <c r="DU32" i="27" s="1"/>
  <c r="X30" i="30" s="1"/>
  <c r="DW76" i="27"/>
  <c r="DU76" i="27" s="1"/>
  <c r="DW122" i="27"/>
  <c r="DU122" i="27" s="1"/>
  <c r="AW100" i="27"/>
  <c r="N84" i="27" a="1"/>
  <c r="N84" i="27" s="1"/>
  <c r="S84" i="27" a="1"/>
  <c r="S84" i="27" s="1"/>
  <c r="V84" i="27" a="1"/>
  <c r="V84" i="27" s="1"/>
  <c r="AA84" i="27" a="1"/>
  <c r="AA84" i="27" s="1"/>
  <c r="AD84" i="27" a="1"/>
  <c r="AD84" i="27" s="1"/>
  <c r="AI84" i="27" a="1"/>
  <c r="AI84" i="27" s="1"/>
  <c r="L84" i="27" a="1"/>
  <c r="L84" i="27" s="1"/>
  <c r="Q84" i="27" a="1"/>
  <c r="Q84" i="27" s="1"/>
  <c r="T84" i="27" a="1"/>
  <c r="T84" i="27" s="1"/>
  <c r="Y84" i="27" a="1"/>
  <c r="Y84" i="27" s="1"/>
  <c r="AB84" i="27" a="1"/>
  <c r="AB84" i="27" s="1"/>
  <c r="AG84" i="27" a="1"/>
  <c r="AG84" i="27" s="1"/>
  <c r="O84" i="27" a="1"/>
  <c r="O84" i="27" s="1"/>
  <c r="R84" i="27" a="1"/>
  <c r="R84" i="27" s="1"/>
  <c r="W84" i="27" a="1"/>
  <c r="W84" i="27" s="1"/>
  <c r="Z84" i="27" a="1"/>
  <c r="Z84" i="27" s="1"/>
  <c r="AE84" i="27" a="1"/>
  <c r="AE84" i="27" s="1"/>
  <c r="AH84" i="27" a="1"/>
  <c r="AH84" i="27" s="1"/>
  <c r="U84" i="27" a="1"/>
  <c r="U84" i="27" s="1"/>
  <c r="AF84" i="27" a="1"/>
  <c r="AF84" i="27" s="1"/>
  <c r="M84" i="27" a="1"/>
  <c r="M84" i="27" s="1"/>
  <c r="X84" i="27" a="1"/>
  <c r="X84" i="27" s="1"/>
  <c r="P84" i="27" a="1"/>
  <c r="P84" i="27" s="1"/>
  <c r="AC84" i="27" a="1"/>
  <c r="AC84" i="27" s="1"/>
  <c r="L65" i="27" a="1"/>
  <c r="L65" i="27" s="1"/>
  <c r="Q65" i="27" a="1"/>
  <c r="Q65" i="27" s="1"/>
  <c r="T65" i="27" a="1"/>
  <c r="T65" i="27" s="1"/>
  <c r="Y65" i="27" a="1"/>
  <c r="Y65" i="27" s="1"/>
  <c r="AB65" i="27" a="1"/>
  <c r="AB65" i="27" s="1"/>
  <c r="AG65" i="27" a="1"/>
  <c r="AG65" i="27" s="1"/>
  <c r="O65" i="27" a="1"/>
  <c r="O65" i="27" s="1"/>
  <c r="R65" i="27" a="1"/>
  <c r="R65" i="27" s="1"/>
  <c r="W65" i="27" a="1"/>
  <c r="W65" i="27" s="1"/>
  <c r="Z65" i="27" a="1"/>
  <c r="Z65" i="27" s="1"/>
  <c r="AE65" i="27" a="1"/>
  <c r="AE65" i="27" s="1"/>
  <c r="AH65" i="27" a="1"/>
  <c r="AH65" i="27" s="1"/>
  <c r="M65" i="27" a="1"/>
  <c r="M65" i="27" s="1"/>
  <c r="P65" i="27" a="1"/>
  <c r="P65" i="27" s="1"/>
  <c r="U65" i="27" a="1"/>
  <c r="U65" i="27" s="1"/>
  <c r="X65" i="27" a="1"/>
  <c r="X65" i="27" s="1"/>
  <c r="AC65" i="27" a="1"/>
  <c r="AC65" i="27" s="1"/>
  <c r="AF65" i="27" a="1"/>
  <c r="AF65" i="27" s="1"/>
  <c r="V65" i="27" a="1"/>
  <c r="V65" i="27" s="1"/>
  <c r="N65" i="27" a="1"/>
  <c r="N65" i="27" s="1"/>
  <c r="AI65" i="27" a="1"/>
  <c r="AI65" i="27" s="1"/>
  <c r="AA65" i="27" a="1"/>
  <c r="AA65" i="27" s="1"/>
  <c r="S65" i="27" a="1"/>
  <c r="S65" i="27" s="1"/>
  <c r="AD65" i="27" a="1"/>
  <c r="AD65" i="27" s="1"/>
  <c r="L69" i="27" a="1"/>
  <c r="L69" i="27" s="1"/>
  <c r="Q69" i="27" a="1"/>
  <c r="Q69" i="27" s="1"/>
  <c r="T69" i="27" a="1"/>
  <c r="T69" i="27" s="1"/>
  <c r="Y69" i="27" a="1"/>
  <c r="Y69" i="27" s="1"/>
  <c r="AB69" i="27" a="1"/>
  <c r="AB69" i="27" s="1"/>
  <c r="AE69" i="27" a="1"/>
  <c r="AE69" i="27" s="1"/>
  <c r="AH69" i="27" a="1"/>
  <c r="AH69" i="27" s="1"/>
  <c r="O69" i="27" a="1"/>
  <c r="O69" i="27" s="1"/>
  <c r="R69" i="27" a="1"/>
  <c r="R69" i="27" s="1"/>
  <c r="W69" i="27" a="1"/>
  <c r="W69" i="27" s="1"/>
  <c r="Z69" i="27" a="1"/>
  <c r="Z69" i="27" s="1"/>
  <c r="AF69" i="27" a="1"/>
  <c r="AF69" i="27" s="1"/>
  <c r="M69" i="27" a="1"/>
  <c r="M69" i="27" s="1"/>
  <c r="P69" i="27" a="1"/>
  <c r="P69" i="27" s="1"/>
  <c r="U69" i="27" a="1"/>
  <c r="U69" i="27" s="1"/>
  <c r="X69" i="27" a="1"/>
  <c r="X69" i="27" s="1"/>
  <c r="AC69" i="27" a="1"/>
  <c r="AC69" i="27" s="1"/>
  <c r="AI69" i="27" a="1"/>
  <c r="AI69" i="27" s="1"/>
  <c r="S69" i="27" a="1"/>
  <c r="S69" i="27" s="1"/>
  <c r="AD69" i="27" a="1"/>
  <c r="AD69" i="27" s="1"/>
  <c r="V69" i="27" a="1"/>
  <c r="V69" i="27" s="1"/>
  <c r="AG69" i="27" a="1"/>
  <c r="AG69" i="27" s="1"/>
  <c r="N69" i="27" a="1"/>
  <c r="N69" i="27" s="1"/>
  <c r="AA69" i="27" a="1"/>
  <c r="AA69" i="27" s="1"/>
  <c r="P23" i="27" a="1"/>
  <c r="P23" i="27" s="1"/>
  <c r="S23" i="27" a="1"/>
  <c r="S23" i="27" s="1"/>
  <c r="X23" i="27" a="1"/>
  <c r="X23" i="27" s="1"/>
  <c r="AA23" i="27" a="1"/>
  <c r="AA23" i="27" s="1"/>
  <c r="AF23" i="27" a="1"/>
  <c r="AF23" i="27" s="1"/>
  <c r="AI23" i="27" a="1"/>
  <c r="AI23" i="27" s="1"/>
  <c r="N23" i="27" a="1"/>
  <c r="N23" i="27" s="1"/>
  <c r="Q23" i="27" a="1"/>
  <c r="Q23" i="27" s="1"/>
  <c r="V23" i="27" a="1"/>
  <c r="V23" i="27" s="1"/>
  <c r="Y23" i="27" a="1"/>
  <c r="Y23" i="27" s="1"/>
  <c r="AD23" i="27" a="1"/>
  <c r="AD23" i="27" s="1"/>
  <c r="AG23" i="27" a="1"/>
  <c r="AG23" i="27" s="1"/>
  <c r="L23" i="27" a="1"/>
  <c r="L23" i="27" s="1"/>
  <c r="W23" i="27" a="1"/>
  <c r="W23" i="27" s="1"/>
  <c r="AB23" i="27" a="1"/>
  <c r="AB23" i="27" s="1"/>
  <c r="M23" i="27" a="1"/>
  <c r="M23" i="27" s="1"/>
  <c r="R23" i="27" a="1"/>
  <c r="R23" i="27" s="1"/>
  <c r="AC23" i="27" a="1"/>
  <c r="AC23" i="27" s="1"/>
  <c r="AH23" i="27" a="1"/>
  <c r="AH23" i="27" s="1"/>
  <c r="O23" i="27" a="1"/>
  <c r="O23" i="27" s="1"/>
  <c r="T23" i="27" a="1"/>
  <c r="T23" i="27" s="1"/>
  <c r="AE23" i="27" a="1"/>
  <c r="AE23" i="27" s="1"/>
  <c r="U23" i="27" a="1"/>
  <c r="U23" i="27" s="1"/>
  <c r="Z23" i="27" a="1"/>
  <c r="Z23" i="27" s="1"/>
  <c r="AW16" i="27"/>
  <c r="AW62" i="27"/>
  <c r="AW14" i="27"/>
  <c r="AW39" i="27"/>
  <c r="AW109" i="27"/>
  <c r="AW77" i="27"/>
  <c r="AW13" i="27"/>
  <c r="N41" i="27" a="1"/>
  <c r="N41" i="27" s="1"/>
  <c r="Q41" i="27" a="1"/>
  <c r="Q41" i="27" s="1"/>
  <c r="U41" i="27" a="1"/>
  <c r="U41" i="27" s="1"/>
  <c r="AA41" i="27" a="1"/>
  <c r="AA41" i="27" s="1"/>
  <c r="AD41" i="27" a="1"/>
  <c r="AD41" i="27" s="1"/>
  <c r="AG41" i="27" a="1"/>
  <c r="AG41" i="27" s="1"/>
  <c r="L41" i="27" a="1"/>
  <c r="L41" i="27" s="1"/>
  <c r="O41" i="27" a="1"/>
  <c r="O41" i="27" s="1"/>
  <c r="R41" i="27" a="1"/>
  <c r="R41" i="27" s="1"/>
  <c r="X41" i="27" a="1"/>
  <c r="X41" i="27" s="1"/>
  <c r="AB41" i="27" a="1"/>
  <c r="AB41" i="27" s="1"/>
  <c r="AE41" i="27" a="1"/>
  <c r="AE41" i="27" s="1"/>
  <c r="AH41" i="27" a="1"/>
  <c r="AH41" i="27" s="1"/>
  <c r="M41" i="27" a="1"/>
  <c r="M41" i="27" s="1"/>
  <c r="S41" i="27" a="1"/>
  <c r="S41" i="27" s="1"/>
  <c r="V41" i="27" a="1"/>
  <c r="V41" i="27" s="1"/>
  <c r="Y41" i="27" a="1"/>
  <c r="Y41" i="27" s="1"/>
  <c r="AC41" i="27" a="1"/>
  <c r="AC41" i="27" s="1"/>
  <c r="AI41" i="27" a="1"/>
  <c r="AI41" i="27" s="1"/>
  <c r="W41" i="27" a="1"/>
  <c r="W41" i="27" s="1"/>
  <c r="Z41" i="27" a="1"/>
  <c r="Z41" i="27" s="1"/>
  <c r="P41" i="27" a="1"/>
  <c r="P41" i="27" s="1"/>
  <c r="T41" i="27" a="1"/>
  <c r="T41" i="27" s="1"/>
  <c r="AF41" i="27" a="1"/>
  <c r="AF41" i="27" s="1"/>
  <c r="AW106" i="27"/>
  <c r="AW92" i="27"/>
  <c r="L15" i="27" a="1"/>
  <c r="L15" i="27" s="1"/>
  <c r="O15" i="27" a="1"/>
  <c r="O15" i="27" s="1"/>
  <c r="T15" i="27" a="1"/>
  <c r="T15" i="27" s="1"/>
  <c r="W15" i="27" a="1"/>
  <c r="W15" i="27" s="1"/>
  <c r="AB15" i="27" a="1"/>
  <c r="AB15" i="27" s="1"/>
  <c r="AE15" i="27" a="1"/>
  <c r="AE15" i="27" s="1"/>
  <c r="M15" i="27" a="1"/>
  <c r="M15" i="27" s="1"/>
  <c r="R15" i="27" a="1"/>
  <c r="R15" i="27" s="1"/>
  <c r="U15" i="27" a="1"/>
  <c r="U15" i="27" s="1"/>
  <c r="Z15" i="27" a="1"/>
  <c r="Z15" i="27" s="1"/>
  <c r="AC15" i="27" a="1"/>
  <c r="AC15" i="27" s="1"/>
  <c r="AF15" i="27" a="1"/>
  <c r="AF15" i="27" s="1"/>
  <c r="P15" i="27" a="1"/>
  <c r="P15" i="27" s="1"/>
  <c r="S15" i="27" a="1"/>
  <c r="S15" i="27" s="1"/>
  <c r="X15" i="27" a="1"/>
  <c r="X15" i="27" s="1"/>
  <c r="AA15" i="27" a="1"/>
  <c r="AA15" i="27" s="1"/>
  <c r="AG15" i="27" a="1"/>
  <c r="AG15" i="27" s="1"/>
  <c r="Q15" i="27" a="1"/>
  <c r="Q15" i="27" s="1"/>
  <c r="AD15" i="27" a="1"/>
  <c r="AD15" i="27" s="1"/>
  <c r="V15" i="27" a="1"/>
  <c r="V15" i="27" s="1"/>
  <c r="AH15" i="27" a="1"/>
  <c r="AH15" i="27" s="1"/>
  <c r="N15" i="27" a="1"/>
  <c r="N15" i="27" s="1"/>
  <c r="Y15" i="27" a="1"/>
  <c r="Y15" i="27" s="1"/>
  <c r="AI15" i="27" a="1"/>
  <c r="AI15" i="27" s="1"/>
  <c r="AW86" i="27"/>
  <c r="DO10" i="27"/>
  <c r="DN10" i="27"/>
  <c r="DL10" i="27"/>
  <c r="DK14" i="27"/>
  <c r="DS14" i="27"/>
  <c r="DJ14" i="27"/>
  <c r="DS13" i="27"/>
  <c r="DK13" i="27"/>
  <c r="DJ13" i="27"/>
  <c r="DK25" i="27"/>
  <c r="DT25" i="27"/>
  <c r="DJ25" i="27"/>
  <c r="DN31" i="27"/>
  <c r="DM31" i="27"/>
  <c r="DL31" i="27"/>
  <c r="DR24" i="27"/>
  <c r="DM24" i="27"/>
  <c r="DL24" i="27"/>
  <c r="DN33" i="27"/>
  <c r="DL33" i="27"/>
  <c r="DI33" i="27"/>
  <c r="DS42" i="27"/>
  <c r="DN42" i="27"/>
  <c r="DI42" i="27"/>
  <c r="DJ43" i="27"/>
  <c r="DM43" i="27"/>
  <c r="DL43" i="27"/>
  <c r="DN45" i="27"/>
  <c r="DM45" i="27"/>
  <c r="DL45" i="27"/>
  <c r="DN56" i="27"/>
  <c r="DQ56" i="27"/>
  <c r="DL56" i="27"/>
  <c r="DO46" i="27"/>
  <c r="DN46" i="27"/>
  <c r="DI46" i="27"/>
  <c r="DS69" i="27"/>
  <c r="DN69" i="27"/>
  <c r="DI69" i="27"/>
  <c r="DR66" i="27"/>
  <c r="DM66" i="27"/>
  <c r="DL66" i="27"/>
  <c r="DR50" i="27"/>
  <c r="DM50" i="27"/>
  <c r="DL50" i="27"/>
  <c r="DT63" i="27"/>
  <c r="DO63" i="27"/>
  <c r="DJ63" i="27"/>
  <c r="DR89" i="27"/>
  <c r="DM89" i="27"/>
  <c r="DL89" i="27"/>
  <c r="DQ80" i="27"/>
  <c r="DP80" i="27"/>
  <c r="DK80" i="27"/>
  <c r="DQ92" i="27"/>
  <c r="DP92" i="27"/>
  <c r="DK92" i="27"/>
  <c r="DT82" i="27"/>
  <c r="DO82" i="27"/>
  <c r="DJ82" i="27"/>
  <c r="DQ95" i="27"/>
  <c r="DN95" i="27"/>
  <c r="DL95" i="27"/>
  <c r="DQ99" i="27"/>
  <c r="DN99" i="27"/>
  <c r="DL99" i="27"/>
  <c r="DR107" i="27"/>
  <c r="DM107" i="27"/>
  <c r="DL107" i="27"/>
  <c r="DN118" i="27"/>
  <c r="DR118" i="27"/>
  <c r="DL118" i="27"/>
  <c r="DT102" i="27"/>
  <c r="DO102" i="27"/>
  <c r="DJ102" i="27"/>
  <c r="DQ104" i="27"/>
  <c r="DP104" i="27"/>
  <c r="DK104" i="27"/>
  <c r="DM113" i="27"/>
  <c r="DR113" i="27"/>
  <c r="DL113" i="27"/>
  <c r="DR119" i="27"/>
  <c r="DN119" i="27"/>
  <c r="DL119" i="27"/>
  <c r="DR96" i="27"/>
  <c r="DN96" i="27"/>
  <c r="DL96" i="27"/>
  <c r="DL137" i="27"/>
  <c r="DN137" i="27"/>
  <c r="DK137" i="27"/>
  <c r="DM78" i="27"/>
  <c r="DN78" i="27"/>
  <c r="DL78" i="27"/>
  <c r="DL129" i="27"/>
  <c r="DI129" i="27"/>
  <c r="DO129" i="27"/>
  <c r="DI131" i="27"/>
  <c r="DM131" i="27"/>
  <c r="DS131" i="27"/>
  <c r="DW14" i="27"/>
  <c r="DU14" i="27" s="1"/>
  <c r="DW46" i="27"/>
  <c r="DU46" i="27" s="1"/>
  <c r="DW73" i="27"/>
  <c r="DY73" i="27" s="1"/>
  <c r="EB73" i="27" s="1"/>
  <c r="DW64" i="27"/>
  <c r="DU64" i="27" s="1"/>
  <c r="DW117" i="27"/>
  <c r="DU117" i="27" s="1"/>
  <c r="DW128" i="27"/>
  <c r="DU128" i="27" s="1"/>
  <c r="DW138" i="27"/>
  <c r="DU138" i="27" s="1"/>
  <c r="X136" i="30" s="1"/>
  <c r="L96" i="27" a="1"/>
  <c r="L96" i="27" s="1"/>
  <c r="N96" i="27" a="1"/>
  <c r="N96" i="27" s="1"/>
  <c r="P96" i="27" a="1"/>
  <c r="P96" i="27" s="1"/>
  <c r="R96" i="27" a="1"/>
  <c r="R96" i="27" s="1"/>
  <c r="T96" i="27" a="1"/>
  <c r="T96" i="27" s="1"/>
  <c r="V96" i="27" a="1"/>
  <c r="V96" i="27" s="1"/>
  <c r="X96" i="27" a="1"/>
  <c r="X96" i="27" s="1"/>
  <c r="Z96" i="27" a="1"/>
  <c r="Z96" i="27" s="1"/>
  <c r="AB96" i="27" a="1"/>
  <c r="AB96" i="27" s="1"/>
  <c r="AD96" i="27" a="1"/>
  <c r="AD96" i="27" s="1"/>
  <c r="AF96" i="27" a="1"/>
  <c r="AF96" i="27" s="1"/>
  <c r="AH96" i="27" a="1"/>
  <c r="AH96" i="27" s="1"/>
  <c r="M96" i="27" a="1"/>
  <c r="M96" i="27" s="1"/>
  <c r="O96" i="27" a="1"/>
  <c r="O96" i="27" s="1"/>
  <c r="Q96" i="27" a="1"/>
  <c r="Q96" i="27" s="1"/>
  <c r="S96" i="27" a="1"/>
  <c r="S96" i="27" s="1"/>
  <c r="U96" i="27" a="1"/>
  <c r="U96" i="27" s="1"/>
  <c r="W96" i="27" a="1"/>
  <c r="W96" i="27" s="1"/>
  <c r="Y96" i="27" a="1"/>
  <c r="Y96" i="27" s="1"/>
  <c r="AA96" i="27" a="1"/>
  <c r="AA96" i="27" s="1"/>
  <c r="AC96" i="27" a="1"/>
  <c r="AC96" i="27" s="1"/>
  <c r="AE96" i="27" a="1"/>
  <c r="AE96" i="27" s="1"/>
  <c r="AG96" i="27" a="1"/>
  <c r="AG96" i="27" s="1"/>
  <c r="AI96" i="27" a="1"/>
  <c r="AI96" i="27" s="1"/>
  <c r="N62" i="27" a="1"/>
  <c r="N62" i="27" s="1"/>
  <c r="S62" i="27" a="1"/>
  <c r="S62" i="27" s="1"/>
  <c r="Y62" i="27" a="1"/>
  <c r="Y62" i="27" s="1"/>
  <c r="AB62" i="27" a="1"/>
  <c r="AB62" i="27" s="1"/>
  <c r="AE62" i="27" a="1"/>
  <c r="AE62" i="27" s="1"/>
  <c r="AH62" i="27" a="1"/>
  <c r="AH62" i="27" s="1"/>
  <c r="Q62" i="27" a="1"/>
  <c r="Q62" i="27" s="1"/>
  <c r="T62" i="27" a="1"/>
  <c r="T62" i="27" s="1"/>
  <c r="W62" i="27" a="1"/>
  <c r="W62" i="27" s="1"/>
  <c r="Z62" i="27" a="1"/>
  <c r="Z62" i="27" s="1"/>
  <c r="AC62" i="27" a="1"/>
  <c r="AC62" i="27" s="1"/>
  <c r="AF62" i="27" a="1"/>
  <c r="AF62" i="27" s="1"/>
  <c r="L62" i="27" a="1"/>
  <c r="L62" i="27" s="1"/>
  <c r="O62" i="27" a="1"/>
  <c r="O62" i="27" s="1"/>
  <c r="R62" i="27" a="1"/>
  <c r="R62" i="27" s="1"/>
  <c r="U62" i="27" a="1"/>
  <c r="U62" i="27" s="1"/>
  <c r="X62" i="27" a="1"/>
  <c r="X62" i="27" s="1"/>
  <c r="AD62" i="27" a="1"/>
  <c r="AD62" i="27" s="1"/>
  <c r="AI62" i="27" a="1"/>
  <c r="AI62" i="27" s="1"/>
  <c r="V62" i="27" a="1"/>
  <c r="V62" i="27" s="1"/>
  <c r="AG62" i="27" a="1"/>
  <c r="AG62" i="27" s="1"/>
  <c r="M62" i="27" a="1"/>
  <c r="M62" i="27" s="1"/>
  <c r="P62" i="27" a="1"/>
  <c r="P62" i="27" s="1"/>
  <c r="AA62" i="27" a="1"/>
  <c r="AA62" i="27" s="1"/>
  <c r="AW26" i="27"/>
  <c r="AW138" i="27"/>
  <c r="M36" i="27" a="1"/>
  <c r="M36" i="27" s="1"/>
  <c r="P36" i="27" a="1"/>
  <c r="P36" i="27" s="1"/>
  <c r="T36" i="27" a="1"/>
  <c r="T36" i="27" s="1"/>
  <c r="X36" i="27" a="1"/>
  <c r="X36" i="27" s="1"/>
  <c r="AB36" i="27" a="1"/>
  <c r="AB36" i="27" s="1"/>
  <c r="AF36" i="27" a="1"/>
  <c r="AF36" i="27" s="1"/>
  <c r="R36" i="27" a="1"/>
  <c r="R36" i="27" s="1"/>
  <c r="W36" i="27" a="1"/>
  <c r="W36" i="27" s="1"/>
  <c r="AC36" i="27" a="1"/>
  <c r="AC36" i="27" s="1"/>
  <c r="AH36" i="27" a="1"/>
  <c r="AH36" i="27" s="1"/>
  <c r="N36" i="27" a="1"/>
  <c r="N36" i="27" s="1"/>
  <c r="S36" i="27" a="1"/>
  <c r="S36" i="27" s="1"/>
  <c r="Y36" i="27" a="1"/>
  <c r="Y36" i="27" s="1"/>
  <c r="AD36" i="27" a="1"/>
  <c r="AD36" i="27" s="1"/>
  <c r="AI36" i="27" a="1"/>
  <c r="AI36" i="27" s="1"/>
  <c r="O36" i="27" a="1"/>
  <c r="O36" i="27" s="1"/>
  <c r="U36" i="27" a="1"/>
  <c r="U36" i="27" s="1"/>
  <c r="Z36" i="27" a="1"/>
  <c r="Z36" i="27" s="1"/>
  <c r="AE36" i="27" a="1"/>
  <c r="AE36" i="27" s="1"/>
  <c r="AA36" i="27" a="1"/>
  <c r="AA36" i="27" s="1"/>
  <c r="L36" i="27" a="1"/>
  <c r="L36" i="27" s="1"/>
  <c r="AG36" i="27" a="1"/>
  <c r="AG36" i="27" s="1"/>
  <c r="Q36" i="27" a="1"/>
  <c r="Q36" i="27" s="1"/>
  <c r="V36" i="27" a="1"/>
  <c r="V36" i="27" s="1"/>
  <c r="BJ106" i="27"/>
  <c r="BH106" i="27" s="1"/>
  <c r="AW123" i="27"/>
  <c r="AW118" i="27"/>
  <c r="AW111" i="27"/>
  <c r="AW69" i="27"/>
  <c r="DQ12" i="27"/>
  <c r="DJ12" i="27"/>
  <c r="DT12" i="27"/>
  <c r="DQ15" i="27"/>
  <c r="DT15" i="27"/>
  <c r="DO15" i="27"/>
  <c r="DM20" i="27"/>
  <c r="DK20" i="27"/>
  <c r="DO20" i="27"/>
  <c r="DP28" i="27"/>
  <c r="DJ28" i="27"/>
  <c r="DM28" i="27"/>
  <c r="DN32" i="27"/>
  <c r="DT32" i="27"/>
  <c r="DO32" i="27"/>
  <c r="DK27" i="27"/>
  <c r="DO27" i="27"/>
  <c r="DL27" i="27"/>
  <c r="DO36" i="27"/>
  <c r="DL36" i="27"/>
  <c r="DK36" i="27"/>
  <c r="DO37" i="27"/>
  <c r="DL37" i="27"/>
  <c r="DK37" i="27"/>
  <c r="DK44" i="27"/>
  <c r="DQ44" i="27"/>
  <c r="DP44" i="27"/>
  <c r="DT52" i="27"/>
  <c r="DR52" i="27"/>
  <c r="DM52" i="27"/>
  <c r="DI22" i="27"/>
  <c r="DP22" i="27"/>
  <c r="DL22" i="27"/>
  <c r="DQ54" i="27"/>
  <c r="DS54" i="27"/>
  <c r="DN54" i="27"/>
  <c r="DR70" i="27"/>
  <c r="DT70" i="27"/>
  <c r="DO70" i="27"/>
  <c r="DO71" i="27"/>
  <c r="DQ71" i="27"/>
  <c r="DP71" i="27"/>
  <c r="DT53" i="27"/>
  <c r="DR53" i="27"/>
  <c r="DM53" i="27"/>
  <c r="DQ73" i="27"/>
  <c r="DS73" i="27"/>
  <c r="DN73" i="27"/>
  <c r="DT90" i="27"/>
  <c r="DR90" i="27"/>
  <c r="DM90" i="27"/>
  <c r="DO81" i="27"/>
  <c r="DQ81" i="27"/>
  <c r="DP81" i="27"/>
  <c r="DI64" i="27"/>
  <c r="DS64" i="27"/>
  <c r="DN64" i="27"/>
  <c r="DJ86" i="27"/>
  <c r="DT86" i="27"/>
  <c r="DO86" i="27"/>
  <c r="DQ68" i="27"/>
  <c r="DN68" i="27"/>
  <c r="DJ100" i="27"/>
  <c r="DT100" i="27"/>
  <c r="DO100" i="27"/>
  <c r="DM110" i="27"/>
  <c r="DQ110" i="27"/>
  <c r="DO110" i="27"/>
  <c r="DM120" i="27"/>
  <c r="DO120" i="27"/>
  <c r="DR106" i="27"/>
  <c r="DT106" i="27"/>
  <c r="DO106" i="27"/>
  <c r="DL108" i="27"/>
  <c r="DR108" i="27"/>
  <c r="DM108" i="27"/>
  <c r="DQ114" i="27"/>
  <c r="DK114" i="27"/>
  <c r="DQ121" i="27"/>
  <c r="DO121" i="27"/>
  <c r="DN124" i="27"/>
  <c r="DR124" i="27"/>
  <c r="DO124" i="27"/>
  <c r="DP138" i="27"/>
  <c r="DQ125" i="27"/>
  <c r="DL133" i="27"/>
  <c r="DI133" i="27"/>
  <c r="DW15" i="27"/>
  <c r="DU15" i="27" s="1"/>
  <c r="BZ52" i="27" a="1"/>
  <c r="BZ52" i="27" s="1"/>
  <c r="CH52" i="27" a="1"/>
  <c r="CH52" i="27" s="1"/>
  <c r="CP52" i="27" a="1"/>
  <c r="CP52" i="27" s="1"/>
  <c r="BY52" i="27" a="1"/>
  <c r="BY52" i="27" s="1"/>
  <c r="CG52" i="27" a="1"/>
  <c r="CG52" i="27" s="1"/>
  <c r="CO52" i="27" a="1"/>
  <c r="CO52" i="27" s="1"/>
  <c r="CB52" i="27" a="1"/>
  <c r="CB52" i="27" s="1"/>
  <c r="CJ52" i="27" a="1"/>
  <c r="CJ52" i="27" s="1"/>
  <c r="CR52" i="27" a="1"/>
  <c r="CR52" i="27" s="1"/>
  <c r="CA52" i="27" a="1"/>
  <c r="CA52" i="27" s="1"/>
  <c r="CI52" i="27" a="1"/>
  <c r="CI52" i="27" s="1"/>
  <c r="CQ52" i="27" a="1"/>
  <c r="CQ52" i="27" s="1"/>
  <c r="CD52" i="27" a="1"/>
  <c r="CD52" i="27" s="1"/>
  <c r="CL52" i="27" a="1"/>
  <c r="CL52" i="27" s="1"/>
  <c r="CT52" i="27" a="1"/>
  <c r="CT52" i="27" s="1"/>
  <c r="CC52" i="27" a="1"/>
  <c r="CC52" i="27" s="1"/>
  <c r="CK52" i="27" a="1"/>
  <c r="CK52" i="27" s="1"/>
  <c r="CS52" i="27" a="1"/>
  <c r="CS52" i="27" s="1"/>
  <c r="CF52" i="27" a="1"/>
  <c r="CF52" i="27" s="1"/>
  <c r="CN52" i="27" a="1"/>
  <c r="CN52" i="27" s="1"/>
  <c r="CV52" i="27" a="1"/>
  <c r="CV52" i="27" s="1"/>
  <c r="CE52" i="27" a="1"/>
  <c r="CE52" i="27" s="1"/>
  <c r="CM52" i="27" a="1"/>
  <c r="CM52" i="27" s="1"/>
  <c r="CU52" i="27" a="1"/>
  <c r="CU52" i="27" s="1"/>
  <c r="DW82" i="27"/>
  <c r="DU82" i="27" s="1"/>
  <c r="X80" i="30" s="1"/>
  <c r="BZ104" i="27" a="1"/>
  <c r="BZ104" i="27" s="1"/>
  <c r="CH104" i="27" a="1"/>
  <c r="CH104" i="27" s="1"/>
  <c r="CP104" i="27" a="1"/>
  <c r="CP104" i="27" s="1"/>
  <c r="CA104" i="27" a="1"/>
  <c r="CA104" i="27" s="1"/>
  <c r="CG104" i="27" a="1"/>
  <c r="CG104" i="27" s="1"/>
  <c r="CU104" i="27" a="1"/>
  <c r="CU104" i="27" s="1"/>
  <c r="CB104" i="27" a="1"/>
  <c r="CB104" i="27" s="1"/>
  <c r="CJ104" i="27" a="1"/>
  <c r="CJ104" i="27" s="1"/>
  <c r="CR104" i="27" a="1"/>
  <c r="CR104" i="27" s="1"/>
  <c r="CI104" i="27" a="1"/>
  <c r="CI104" i="27" s="1"/>
  <c r="CO104" i="27" a="1"/>
  <c r="CO104" i="27" s="1"/>
  <c r="CC104" i="27" a="1"/>
  <c r="CC104" i="27" s="1"/>
  <c r="CD104" i="27" a="1"/>
  <c r="CD104" i="27" s="1"/>
  <c r="CL104" i="27" a="1"/>
  <c r="CL104" i="27" s="1"/>
  <c r="CT104" i="27" a="1"/>
  <c r="CT104" i="27" s="1"/>
  <c r="CQ104" i="27" a="1"/>
  <c r="CQ104" i="27" s="1"/>
  <c r="CE104" i="27" a="1"/>
  <c r="CE104" i="27" s="1"/>
  <c r="CK104" i="27" a="1"/>
  <c r="CK104" i="27" s="1"/>
  <c r="CF104" i="27" a="1"/>
  <c r="CF104" i="27" s="1"/>
  <c r="CN104" i="27" a="1"/>
  <c r="CN104" i="27" s="1"/>
  <c r="CV104" i="27" a="1"/>
  <c r="CV104" i="27" s="1"/>
  <c r="BY104" i="27" a="1"/>
  <c r="BY104" i="27" s="1"/>
  <c r="CM104" i="27" a="1"/>
  <c r="CM104" i="27" s="1"/>
  <c r="CS104" i="27" a="1"/>
  <c r="CS104" i="27" s="1"/>
  <c r="BZ103" i="27" a="1"/>
  <c r="BZ103" i="27" s="1"/>
  <c r="CH103" i="27" a="1"/>
  <c r="CH103" i="27" s="1"/>
  <c r="CP103" i="27" a="1"/>
  <c r="CP103" i="27" s="1"/>
  <c r="BY103" i="27" a="1"/>
  <c r="BY103" i="27" s="1"/>
  <c r="CC103" i="27" a="1"/>
  <c r="CC103" i="27" s="1"/>
  <c r="CI103" i="27" a="1"/>
  <c r="CI103" i="27" s="1"/>
  <c r="CB103" i="27" a="1"/>
  <c r="CB103" i="27" s="1"/>
  <c r="CJ103" i="27" a="1"/>
  <c r="CJ103" i="27" s="1"/>
  <c r="CR103" i="27" a="1"/>
  <c r="CR103" i="27" s="1"/>
  <c r="CE103" i="27" a="1"/>
  <c r="CE103" i="27" s="1"/>
  <c r="CK103" i="27" a="1"/>
  <c r="CK103" i="27" s="1"/>
  <c r="CQ103" i="27" a="1"/>
  <c r="CQ103" i="27" s="1"/>
  <c r="CD103" i="27" a="1"/>
  <c r="CD103" i="27" s="1"/>
  <c r="CL103" i="27" a="1"/>
  <c r="CL103" i="27" s="1"/>
  <c r="CT103" i="27" a="1"/>
  <c r="CT103" i="27" s="1"/>
  <c r="CM103" i="27" a="1"/>
  <c r="CM103" i="27" s="1"/>
  <c r="CS103" i="27" a="1"/>
  <c r="CS103" i="27" s="1"/>
  <c r="CG103" i="27" a="1"/>
  <c r="CG103" i="27" s="1"/>
  <c r="CF103" i="27" a="1"/>
  <c r="CF103" i="27" s="1"/>
  <c r="CN103" i="27" a="1"/>
  <c r="CN103" i="27" s="1"/>
  <c r="CV103" i="27" a="1"/>
  <c r="CV103" i="27" s="1"/>
  <c r="CU103" i="27" a="1"/>
  <c r="CU103" i="27" s="1"/>
  <c r="CA103" i="27" a="1"/>
  <c r="CA103" i="27" s="1"/>
  <c r="CO103" i="27" a="1"/>
  <c r="CO103" i="27" s="1"/>
  <c r="AW91" i="27"/>
  <c r="AW102" i="27"/>
  <c r="AW53" i="27"/>
  <c r="DS6" i="27"/>
  <c r="DK6" i="27"/>
  <c r="CA6" i="27" a="1"/>
  <c r="CA6" i="27" s="1"/>
  <c r="CI6" i="27" a="1"/>
  <c r="CI6" i="27" s="1"/>
  <c r="CQ6" i="27" a="1"/>
  <c r="CQ6" i="27" s="1"/>
  <c r="CC6" i="27" a="1"/>
  <c r="CC6" i="27" s="1"/>
  <c r="CK6" i="27" a="1"/>
  <c r="CK6" i="27" s="1"/>
  <c r="CS6" i="27" a="1"/>
  <c r="CS6" i="27" s="1"/>
  <c r="CE6" i="27" a="1"/>
  <c r="CE6" i="27" s="1"/>
  <c r="CM6" i="27" a="1"/>
  <c r="CM6" i="27" s="1"/>
  <c r="CU6" i="27" a="1"/>
  <c r="CU6" i="27" s="1"/>
  <c r="CF6" i="27" a="1"/>
  <c r="CF6" i="27" s="1"/>
  <c r="CN6" i="27" a="1"/>
  <c r="CN6" i="27" s="1"/>
  <c r="CV6" i="27" a="1"/>
  <c r="CV6" i="27" s="1"/>
  <c r="BZ6" i="27" a="1"/>
  <c r="BZ6" i="27" s="1"/>
  <c r="CH6" i="27" a="1"/>
  <c r="CH6" i="27" s="1"/>
  <c r="CP6" i="27" a="1"/>
  <c r="CP6" i="27" s="1"/>
  <c r="CB6" i="27" a="1"/>
  <c r="CB6" i="27" s="1"/>
  <c r="CG6" i="27" a="1"/>
  <c r="CG6" i="27" s="1"/>
  <c r="CL6" i="27" a="1"/>
  <c r="CL6" i="27" s="1"/>
  <c r="CO6" i="27" a="1"/>
  <c r="CO6" i="27" s="1"/>
  <c r="CT6" i="27" a="1"/>
  <c r="CT6" i="27" s="1"/>
  <c r="CD6" i="27" a="1"/>
  <c r="CD6" i="27" s="1"/>
  <c r="CR6" i="27" a="1"/>
  <c r="CR6" i="27" s="1"/>
  <c r="CJ6" i="27" a="1"/>
  <c r="CJ6" i="27" s="1"/>
  <c r="BY6" i="27" a="1"/>
  <c r="BY6" i="27" s="1"/>
  <c r="N9" i="13"/>
  <c r="AW6" i="27"/>
  <c r="M42" i="30" l="1"/>
  <c r="M58" i="30"/>
  <c r="M93" i="30"/>
  <c r="X115" i="30"/>
  <c r="X54" i="30"/>
  <c r="M54" i="30" s="1"/>
  <c r="M86" i="30"/>
  <c r="X74" i="30"/>
  <c r="X13" i="30"/>
  <c r="X66" i="30"/>
  <c r="X21" i="30"/>
  <c r="X36" i="30"/>
  <c r="X37" i="30"/>
  <c r="X34" i="30"/>
  <c r="X131" i="30"/>
  <c r="X17" i="30"/>
  <c r="X95" i="30"/>
  <c r="M95" i="30" s="1"/>
  <c r="X19" i="30"/>
  <c r="X118" i="30"/>
  <c r="M118" i="30" s="1"/>
  <c r="X126" i="30"/>
  <c r="X41" i="30"/>
  <c r="X96" i="30"/>
  <c r="M96" i="30" s="1"/>
  <c r="X104" i="30"/>
  <c r="M104" i="30" s="1"/>
  <c r="X44" i="30"/>
  <c r="X39" i="30"/>
  <c r="X137" i="30"/>
  <c r="X119" i="30"/>
  <c r="X62" i="30"/>
  <c r="X100" i="30"/>
  <c r="X84" i="30"/>
  <c r="X31" i="30"/>
  <c r="X116" i="30"/>
  <c r="X46" i="30"/>
  <c r="X76" i="30"/>
  <c r="X91" i="30"/>
  <c r="X9" i="30"/>
  <c r="X117" i="30"/>
  <c r="X85" i="30"/>
  <c r="X64" i="30"/>
  <c r="X82" i="30"/>
  <c r="X57" i="30"/>
  <c r="M64" i="30"/>
  <c r="X78" i="30"/>
  <c r="X12" i="30"/>
  <c r="X26" i="30"/>
  <c r="X20" i="30"/>
  <c r="X107" i="30"/>
  <c r="X97" i="30"/>
  <c r="M106" i="30"/>
  <c r="X120" i="30"/>
  <c r="M71" i="30"/>
  <c r="X22" i="30"/>
  <c r="M22" i="30" s="1"/>
  <c r="M112" i="30"/>
  <c r="M51" i="30"/>
  <c r="M98" i="30"/>
  <c r="X132" i="30"/>
  <c r="X33" i="30"/>
  <c r="X90" i="30"/>
  <c r="DW7" i="27"/>
  <c r="DU7" i="27" s="1"/>
  <c r="DW75" i="27"/>
  <c r="DU75" i="27" s="1"/>
  <c r="X73" i="30" s="1"/>
  <c r="EB60" i="27"/>
  <c r="BJ78" i="27"/>
  <c r="BH78" i="27" s="1"/>
  <c r="DW58" i="27"/>
  <c r="DU58" i="27" s="1"/>
  <c r="DW101" i="27"/>
  <c r="DU101" i="27" s="1"/>
  <c r="X99" i="30" s="1"/>
  <c r="DW72" i="27"/>
  <c r="DU72" i="27" s="1"/>
  <c r="X70" i="30" s="1"/>
  <c r="BJ26" i="27"/>
  <c r="BH26" i="27" s="1"/>
  <c r="DW129" i="27"/>
  <c r="DU129" i="27" s="1"/>
  <c r="X127" i="30" s="1"/>
  <c r="DW116" i="27"/>
  <c r="DU116" i="27" s="1"/>
  <c r="X114" i="30" s="1"/>
  <c r="DW90" i="27"/>
  <c r="DU90" i="27" s="1"/>
  <c r="DW115" i="27"/>
  <c r="DU115" i="27" s="1"/>
  <c r="X113" i="30" s="1"/>
  <c r="EB100" i="27"/>
  <c r="DW8" i="27"/>
  <c r="DU8" i="27" s="1"/>
  <c r="X6" i="30" s="1"/>
  <c r="M6" i="30" s="1"/>
  <c r="BJ129" i="27"/>
  <c r="BH129" i="27" s="1"/>
  <c r="BJ122" i="27"/>
  <c r="BH122" i="27" s="1"/>
  <c r="BJ114" i="27"/>
  <c r="BL114" i="27" s="1"/>
  <c r="BO114" i="27" s="1"/>
  <c r="BJ115" i="27"/>
  <c r="BH115" i="27" s="1"/>
  <c r="BJ32" i="27"/>
  <c r="BH32" i="27" s="1"/>
  <c r="M30" i="30" s="1"/>
  <c r="BJ61" i="27"/>
  <c r="BH61" i="27" s="1"/>
  <c r="BJ100" i="27"/>
  <c r="BL100" i="27" s="1"/>
  <c r="BN100" i="27" s="1"/>
  <c r="BJ63" i="27"/>
  <c r="BH63" i="27" s="1"/>
  <c r="BJ46" i="27"/>
  <c r="BH46" i="27" s="1"/>
  <c r="BJ50" i="27"/>
  <c r="BH50" i="27" s="1"/>
  <c r="BJ25" i="27"/>
  <c r="BH25" i="27" s="1"/>
  <c r="DW34" i="27"/>
  <c r="DU34" i="27" s="1"/>
  <c r="X32" i="30" s="1"/>
  <c r="M32" i="30" s="1"/>
  <c r="DW67" i="27"/>
  <c r="DU67" i="27" s="1"/>
  <c r="X65" i="30" s="1"/>
  <c r="BJ47" i="27"/>
  <c r="BH47" i="27" s="1"/>
  <c r="BJ83" i="27"/>
  <c r="BH83" i="27" s="1"/>
  <c r="DW42" i="27"/>
  <c r="DU42" i="27" s="1"/>
  <c r="BJ30" i="27"/>
  <c r="BH30" i="27" s="1"/>
  <c r="BJ126" i="27"/>
  <c r="BH126" i="27" s="1"/>
  <c r="DW61" i="27"/>
  <c r="DU61" i="27" s="1"/>
  <c r="DW136" i="27"/>
  <c r="DU136" i="27" s="1"/>
  <c r="X134" i="30" s="1"/>
  <c r="DW47" i="27"/>
  <c r="DU47" i="27" s="1"/>
  <c r="X45" i="12" s="1"/>
  <c r="DW107" i="27"/>
  <c r="DU107" i="27" s="1"/>
  <c r="X105" i="30" s="1"/>
  <c r="DW80" i="27"/>
  <c r="DY80" i="27" s="1"/>
  <c r="EB80" i="27" s="1"/>
  <c r="DW132" i="27"/>
  <c r="DU132" i="27" s="1"/>
  <c r="X130" i="30" s="1"/>
  <c r="M130" i="30" s="1"/>
  <c r="DW29" i="27"/>
  <c r="DU29" i="27" s="1"/>
  <c r="X27" i="30" s="1"/>
  <c r="DW126" i="27"/>
  <c r="DU126" i="27" s="1"/>
  <c r="X124" i="30" s="1"/>
  <c r="M124" i="30" s="1"/>
  <c r="DW66" i="27"/>
  <c r="DY66" i="27" s="1"/>
  <c r="EA66" i="27" s="1"/>
  <c r="DW25" i="27"/>
  <c r="DU25" i="27" s="1"/>
  <c r="X23" i="30" s="1"/>
  <c r="DW9" i="27"/>
  <c r="DU9" i="27" s="1"/>
  <c r="X7" i="30" s="1"/>
  <c r="DY22" i="27"/>
  <c r="EB22" i="27" s="1"/>
  <c r="DW55" i="27"/>
  <c r="DU55" i="27" s="1"/>
  <c r="X53" i="30" s="1"/>
  <c r="DW49" i="27"/>
  <c r="DU49" i="27" s="1"/>
  <c r="BJ95" i="27"/>
  <c r="BL95" i="27" s="1"/>
  <c r="BN95" i="27" s="1"/>
  <c r="DW123" i="27"/>
  <c r="DU123" i="27" s="1"/>
  <c r="DW85" i="27"/>
  <c r="DU85" i="27" s="1"/>
  <c r="X83" i="30" s="1"/>
  <c r="BJ131" i="27"/>
  <c r="BH131" i="27" s="1"/>
  <c r="BJ20" i="27"/>
  <c r="BH20" i="27" s="1"/>
  <c r="BJ9" i="27"/>
  <c r="BH9" i="27" s="1"/>
  <c r="BJ82" i="27"/>
  <c r="BH82" i="27" s="1"/>
  <c r="BJ29" i="27"/>
  <c r="BH29" i="27" s="1"/>
  <c r="BJ42" i="27"/>
  <c r="BH42" i="27" s="1"/>
  <c r="BJ13" i="27"/>
  <c r="BH13" i="27" s="1"/>
  <c r="BJ136" i="27"/>
  <c r="BH136" i="27" s="1"/>
  <c r="BJ73" i="27"/>
  <c r="BL73" i="27" s="1"/>
  <c r="BN73" i="27" s="1"/>
  <c r="BJ17" i="27"/>
  <c r="BH17" i="27" s="1"/>
  <c r="BJ71" i="27"/>
  <c r="BH71" i="27" s="1"/>
  <c r="M69" i="30" s="1"/>
  <c r="BJ66" i="27"/>
  <c r="BL66" i="27" s="1"/>
  <c r="BO66" i="27" s="1"/>
  <c r="BJ40" i="27"/>
  <c r="BH40" i="27" s="1"/>
  <c r="BJ113" i="27"/>
  <c r="BH113" i="27" s="1"/>
  <c r="BJ58" i="27"/>
  <c r="BH58" i="27" s="1"/>
  <c r="BJ139" i="27"/>
  <c r="BH139" i="27" s="1"/>
  <c r="BJ72" i="27"/>
  <c r="BH72" i="27" s="1"/>
  <c r="BJ90" i="27"/>
  <c r="BH90" i="27" s="1"/>
  <c r="BJ49" i="27"/>
  <c r="BH49" i="27" s="1"/>
  <c r="BJ14" i="27"/>
  <c r="BH14" i="27" s="1"/>
  <c r="BJ110" i="27"/>
  <c r="BH110" i="27" s="1"/>
  <c r="BJ60" i="27"/>
  <c r="BL60" i="27" s="1"/>
  <c r="BN60" i="27" s="1"/>
  <c r="BJ18" i="27"/>
  <c r="BH18" i="27" s="1"/>
  <c r="BL82" i="27"/>
  <c r="BO82" i="27" s="1"/>
  <c r="DU40" i="27"/>
  <c r="DY40" i="27"/>
  <c r="DU57" i="27"/>
  <c r="DY57" i="27"/>
  <c r="DW77" i="27"/>
  <c r="DY77" i="27" s="1"/>
  <c r="EB77" i="27" s="1"/>
  <c r="DW96" i="27"/>
  <c r="DY96" i="27" s="1"/>
  <c r="DW74" i="27"/>
  <c r="DY74" i="27" s="1"/>
  <c r="EA74" i="27" s="1"/>
  <c r="EA53" i="27"/>
  <c r="EB53" i="27"/>
  <c r="BJ36" i="27"/>
  <c r="BH36" i="27" s="1"/>
  <c r="BJ117" i="27"/>
  <c r="BH117" i="27" s="1"/>
  <c r="M115" i="30" s="1"/>
  <c r="BJ128" i="27"/>
  <c r="BH128" i="27" s="1"/>
  <c r="BJ134" i="27"/>
  <c r="BH134" i="27" s="1"/>
  <c r="BJ93" i="27"/>
  <c r="BH93" i="27" s="1"/>
  <c r="EA73" i="27"/>
  <c r="DY71" i="27"/>
  <c r="BJ105" i="27"/>
  <c r="BH105" i="27" s="1"/>
  <c r="BJ124" i="27"/>
  <c r="BH124" i="27" s="1"/>
  <c r="M122" i="30" s="1"/>
  <c r="DY89" i="27"/>
  <c r="DY68" i="27"/>
  <c r="EB95" i="27"/>
  <c r="EA95" i="27"/>
  <c r="DY36" i="27"/>
  <c r="DY101" i="27"/>
  <c r="DY15" i="27"/>
  <c r="BJ62" i="27"/>
  <c r="BL62" i="27" s="1"/>
  <c r="BJ96" i="27"/>
  <c r="BL96" i="27" s="1"/>
  <c r="BP96" i="27" s="1"/>
  <c r="DY117" i="27"/>
  <c r="BJ41" i="27"/>
  <c r="BH41" i="27" s="1"/>
  <c r="DY76" i="27"/>
  <c r="BL120" i="27"/>
  <c r="BJ39" i="27"/>
  <c r="BH39" i="27" s="1"/>
  <c r="BL34" i="27"/>
  <c r="BJ135" i="27"/>
  <c r="BH135" i="27" s="1"/>
  <c r="BJ80" i="27"/>
  <c r="BL80" i="27" s="1"/>
  <c r="BJ138" i="27"/>
  <c r="BH138" i="27" s="1"/>
  <c r="DY133" i="27"/>
  <c r="DY86" i="27"/>
  <c r="DY24" i="27"/>
  <c r="BJ10" i="27"/>
  <c r="BL10" i="27" s="1"/>
  <c r="DY113" i="27"/>
  <c r="DY13" i="27"/>
  <c r="BJ19" i="27"/>
  <c r="BH19" i="27" s="1"/>
  <c r="DY93" i="27"/>
  <c r="DY119" i="27"/>
  <c r="DY59" i="27"/>
  <c r="DY11" i="27"/>
  <c r="BJ45" i="27"/>
  <c r="BL45" i="27" s="1"/>
  <c r="BJ28" i="27"/>
  <c r="BH28" i="27" s="1"/>
  <c r="BJ43" i="27"/>
  <c r="BH43" i="27" s="1"/>
  <c r="BJ112" i="27"/>
  <c r="BH112" i="27" s="1"/>
  <c r="BJ116" i="27"/>
  <c r="BH116" i="27" s="1"/>
  <c r="DW51" i="27"/>
  <c r="DY51" i="27" s="1"/>
  <c r="DY43" i="27"/>
  <c r="DY121" i="27"/>
  <c r="BJ123" i="27"/>
  <c r="BH123" i="27" s="1"/>
  <c r="BL132" i="27"/>
  <c r="DY98" i="27"/>
  <c r="DY48" i="27"/>
  <c r="BJ133" i="27"/>
  <c r="BH133" i="27" s="1"/>
  <c r="BJ51" i="27"/>
  <c r="BL51" i="27" s="1"/>
  <c r="BJ87" i="27"/>
  <c r="BH87" i="27" s="1"/>
  <c r="DY69" i="27"/>
  <c r="DY16" i="27"/>
  <c r="BJ92" i="27"/>
  <c r="BH92" i="27" s="1"/>
  <c r="BJ91" i="27"/>
  <c r="BL91" i="27" s="1"/>
  <c r="BJ121" i="27"/>
  <c r="BH121" i="27" s="1"/>
  <c r="DY110" i="27"/>
  <c r="DY33" i="27"/>
  <c r="DY18" i="27"/>
  <c r="BJ68" i="27"/>
  <c r="BH68" i="27" s="1"/>
  <c r="BJ103" i="27"/>
  <c r="BL103" i="27" s="1"/>
  <c r="BP103" i="27" s="1"/>
  <c r="BJ11" i="27"/>
  <c r="BH11" i="27" s="1"/>
  <c r="BJ75" i="27"/>
  <c r="BH75" i="27" s="1"/>
  <c r="BL56" i="27"/>
  <c r="BJ35" i="27"/>
  <c r="BH35" i="27" s="1"/>
  <c r="DW130" i="27"/>
  <c r="DY130" i="27" s="1"/>
  <c r="DY64" i="27"/>
  <c r="BJ38" i="27"/>
  <c r="BH38" i="27" s="1"/>
  <c r="BJ125" i="27"/>
  <c r="BH125" i="27" s="1"/>
  <c r="M123" i="30" s="1"/>
  <c r="DY139" i="27"/>
  <c r="BJ55" i="27"/>
  <c r="BH55" i="27" s="1"/>
  <c r="BL8" i="27"/>
  <c r="DW52" i="27"/>
  <c r="DY52" i="27" s="1"/>
  <c r="BL106" i="27"/>
  <c r="DW104" i="27"/>
  <c r="DY104" i="27" s="1"/>
  <c r="DY138" i="27"/>
  <c r="DY46" i="27"/>
  <c r="BJ23" i="27"/>
  <c r="BH23" i="27" s="1"/>
  <c r="BJ69" i="27"/>
  <c r="BH69" i="27" s="1"/>
  <c r="BJ65" i="27"/>
  <c r="BL65" i="27" s="1"/>
  <c r="DY32" i="27"/>
  <c r="BL98" i="27"/>
  <c r="BJ130" i="27"/>
  <c r="BL130" i="27" s="1"/>
  <c r="BP130" i="27" s="1"/>
  <c r="BJ127" i="27"/>
  <c r="BH127" i="27" s="1"/>
  <c r="BJ109" i="27"/>
  <c r="BH109" i="27" s="1"/>
  <c r="DY105" i="27"/>
  <c r="DY88" i="27"/>
  <c r="DY134" i="27"/>
  <c r="BJ67" i="27"/>
  <c r="BH67" i="27" s="1"/>
  <c r="BJ104" i="27"/>
  <c r="BL104" i="27" s="1"/>
  <c r="BJ48" i="27"/>
  <c r="BH48" i="27" s="1"/>
  <c r="DY116" i="27"/>
  <c r="DY56" i="27"/>
  <c r="BJ53" i="27"/>
  <c r="BL53" i="27" s="1"/>
  <c r="DW81" i="27"/>
  <c r="DY81" i="27" s="1"/>
  <c r="DW45" i="27"/>
  <c r="DY45" i="27" s="1"/>
  <c r="X37" i="12"/>
  <c r="DY39" i="27"/>
  <c r="BJ21" i="27"/>
  <c r="BH21" i="27" s="1"/>
  <c r="DY127" i="27"/>
  <c r="DY63" i="27"/>
  <c r="DW10" i="27"/>
  <c r="DY10" i="27" s="1"/>
  <c r="BJ77" i="27"/>
  <c r="BL77" i="27" s="1"/>
  <c r="DY25" i="27"/>
  <c r="DY125" i="27"/>
  <c r="DW94" i="27"/>
  <c r="DY94" i="27" s="1"/>
  <c r="DY111" i="27"/>
  <c r="DY19" i="27"/>
  <c r="BJ12" i="27"/>
  <c r="BL12" i="27" s="1"/>
  <c r="BO100" i="27"/>
  <c r="DY92" i="27"/>
  <c r="BJ94" i="27"/>
  <c r="BL94" i="27" s="1"/>
  <c r="BN66" i="27"/>
  <c r="BJ59" i="27"/>
  <c r="BH59" i="27" s="1"/>
  <c r="DY120" i="27"/>
  <c r="DY37" i="27"/>
  <c r="DW54" i="27"/>
  <c r="DY54" i="27" s="1"/>
  <c r="DY78" i="27"/>
  <c r="DY34" i="27"/>
  <c r="DW91" i="27"/>
  <c r="DY91" i="27" s="1"/>
  <c r="DY17" i="27"/>
  <c r="BJ137" i="27"/>
  <c r="BH137" i="27" s="1"/>
  <c r="DY99" i="27"/>
  <c r="DY31" i="27"/>
  <c r="BN44" i="27"/>
  <c r="BO44" i="27"/>
  <c r="BJ89" i="27"/>
  <c r="BH89" i="27" s="1"/>
  <c r="BJ102" i="27"/>
  <c r="BH102" i="27" s="1"/>
  <c r="BJ33" i="27"/>
  <c r="BH33" i="27" s="1"/>
  <c r="EA114" i="27"/>
  <c r="EB114" i="27"/>
  <c r="DY21" i="27"/>
  <c r="BJ79" i="27"/>
  <c r="BL79" i="27" s="1"/>
  <c r="BJ111" i="27"/>
  <c r="BH111" i="27" s="1"/>
  <c r="DY124" i="27"/>
  <c r="DY20" i="27"/>
  <c r="DY102" i="27"/>
  <c r="BJ99" i="27"/>
  <c r="BH99" i="27" s="1"/>
  <c r="DY135" i="27"/>
  <c r="BJ7" i="27"/>
  <c r="BH7" i="27" s="1"/>
  <c r="BJ107" i="27"/>
  <c r="BH107" i="27" s="1"/>
  <c r="BJ54" i="27"/>
  <c r="BL54" i="27" s="1"/>
  <c r="BJ118" i="27"/>
  <c r="BH118" i="27" s="1"/>
  <c r="BJ76" i="27"/>
  <c r="BH76" i="27" s="1"/>
  <c r="DY136" i="27"/>
  <c r="DY14" i="27"/>
  <c r="BJ70" i="27"/>
  <c r="BH70" i="27" s="1"/>
  <c r="DY26" i="27"/>
  <c r="BJ64" i="27"/>
  <c r="BH64" i="27" s="1"/>
  <c r="DY109" i="27"/>
  <c r="DY38" i="27"/>
  <c r="BL63" i="27"/>
  <c r="BJ57" i="27"/>
  <c r="BH57" i="27" s="1"/>
  <c r="DY112" i="27"/>
  <c r="BJ119" i="27"/>
  <c r="BH119" i="27" s="1"/>
  <c r="BL97" i="27"/>
  <c r="BP97" i="27" s="1"/>
  <c r="BJ81" i="27"/>
  <c r="BL81" i="27" s="1"/>
  <c r="DW62" i="27"/>
  <c r="DY62" i="27" s="1"/>
  <c r="DY41" i="27"/>
  <c r="BJ52" i="27"/>
  <c r="BL52" i="27" s="1"/>
  <c r="DW103" i="27"/>
  <c r="DY103" i="27" s="1"/>
  <c r="DY82" i="27"/>
  <c r="DY128" i="27"/>
  <c r="DY8" i="27"/>
  <c r="BJ15" i="27"/>
  <c r="BH15" i="27" s="1"/>
  <c r="BJ84" i="27"/>
  <c r="BH84" i="27" s="1"/>
  <c r="DY122" i="27"/>
  <c r="DY28" i="27"/>
  <c r="BL115" i="27"/>
  <c r="BJ27" i="27"/>
  <c r="BH27" i="27" s="1"/>
  <c r="BJ37" i="27"/>
  <c r="BH37" i="27" s="1"/>
  <c r="DY131" i="27"/>
  <c r="DY83" i="27"/>
  <c r="BL88" i="27"/>
  <c r="BJ85" i="27"/>
  <c r="BH85" i="27" s="1"/>
  <c r="DY118" i="27"/>
  <c r="DY27" i="27"/>
  <c r="DY132" i="27"/>
  <c r="BL24" i="27"/>
  <c r="DY84" i="27"/>
  <c r="DY35" i="27"/>
  <c r="BJ74" i="27"/>
  <c r="BL74" i="27" s="1"/>
  <c r="BJ86" i="27"/>
  <c r="BH86" i="27" s="1"/>
  <c r="EB108" i="27"/>
  <c r="EA108" i="27"/>
  <c r="DW12" i="27"/>
  <c r="DY12" i="27" s="1"/>
  <c r="BJ101" i="27"/>
  <c r="BH101" i="27" s="1"/>
  <c r="DY50" i="27"/>
  <c r="BJ31" i="27"/>
  <c r="BH31" i="27" s="1"/>
  <c r="DY106" i="27"/>
  <c r="DW65" i="27"/>
  <c r="DY65" i="27" s="1"/>
  <c r="DY42" i="27"/>
  <c r="DY87" i="27"/>
  <c r="EA44" i="27"/>
  <c r="EB44" i="27"/>
  <c r="BJ108" i="27"/>
  <c r="BL108" i="27" s="1"/>
  <c r="BJ16" i="27"/>
  <c r="BH16" i="27" s="1"/>
  <c r="M14" i="30" s="1"/>
  <c r="DY70" i="27"/>
  <c r="DY23" i="27"/>
  <c r="DW79" i="27"/>
  <c r="DY79" i="27" s="1"/>
  <c r="DY137" i="27"/>
  <c r="BJ22" i="27"/>
  <c r="BH22" i="27" s="1"/>
  <c r="DY97" i="27"/>
  <c r="DY75" i="27"/>
  <c r="DY30" i="27"/>
  <c r="X78" i="12"/>
  <c r="X56" i="12"/>
  <c r="X71" i="12"/>
  <c r="X93" i="12"/>
  <c r="X108" i="12"/>
  <c r="X112" i="12"/>
  <c r="X64" i="12"/>
  <c r="X42" i="12"/>
  <c r="X51" i="12"/>
  <c r="X41" i="12"/>
  <c r="X58" i="12"/>
  <c r="X98" i="12"/>
  <c r="X106" i="12"/>
  <c r="X136" i="12"/>
  <c r="X86" i="12"/>
  <c r="X82" i="12"/>
  <c r="DW6" i="27"/>
  <c r="DU6" i="27" s="1"/>
  <c r="X17" i="12"/>
  <c r="X61" i="12"/>
  <c r="X11" i="12"/>
  <c r="M23" i="30" l="1"/>
  <c r="M99" i="30"/>
  <c r="M19" i="30"/>
  <c r="M7" i="30"/>
  <c r="M27" i="30"/>
  <c r="M70" i="30"/>
  <c r="M53" i="30"/>
  <c r="M41" i="30"/>
  <c r="M134" i="30"/>
  <c r="BL20" i="27"/>
  <c r="DY90" i="27"/>
  <c r="M114" i="30"/>
  <c r="M73" i="30"/>
  <c r="BL29" i="27"/>
  <c r="BP29" i="27" s="1"/>
  <c r="M83" i="30"/>
  <c r="M127" i="30"/>
  <c r="X88" i="30"/>
  <c r="X5" i="30"/>
  <c r="M65" i="30"/>
  <c r="M105" i="30"/>
  <c r="M113" i="30"/>
  <c r="M82" i="30"/>
  <c r="M9" i="30"/>
  <c r="M46" i="30"/>
  <c r="M62" i="30"/>
  <c r="BL25" i="27"/>
  <c r="EB66" i="27"/>
  <c r="BN114" i="27"/>
  <c r="DY123" i="27"/>
  <c r="EA123" i="27" s="1"/>
  <c r="BL113" i="27"/>
  <c r="DY129" i="27"/>
  <c r="EA22" i="27"/>
  <c r="ED22" i="27" s="1"/>
  <c r="M26" i="30"/>
  <c r="M24" i="30"/>
  <c r="M15" i="30"/>
  <c r="X38" i="30"/>
  <c r="M38" i="30" s="1"/>
  <c r="M33" i="30"/>
  <c r="X40" i="30"/>
  <c r="M40" i="30" s="1"/>
  <c r="X59" i="30"/>
  <c r="M59" i="30" s="1"/>
  <c r="X121" i="30"/>
  <c r="M121" i="30" s="1"/>
  <c r="X45" i="30"/>
  <c r="M45" i="30" s="1"/>
  <c r="M120" i="30"/>
  <c r="M20" i="30"/>
  <c r="X56" i="30"/>
  <c r="M56" i="30" s="1"/>
  <c r="X47" i="30"/>
  <c r="M47" i="30" s="1"/>
  <c r="M85" i="30"/>
  <c r="M91" i="30"/>
  <c r="M76" i="30"/>
  <c r="M116" i="30"/>
  <c r="M31" i="30"/>
  <c r="M74" i="30"/>
  <c r="M119" i="30"/>
  <c r="M44" i="30"/>
  <c r="M126" i="30"/>
  <c r="M36" i="30"/>
  <c r="M136" i="30"/>
  <c r="M48" i="30"/>
  <c r="M18" i="30"/>
  <c r="M16" i="30"/>
  <c r="M133" i="30"/>
  <c r="M11" i="30"/>
  <c r="M28" i="30"/>
  <c r="M5" i="30"/>
  <c r="BO95" i="27"/>
  <c r="BL90" i="27"/>
  <c r="BO90" i="27" s="1"/>
  <c r="BO60" i="27"/>
  <c r="BL17" i="27"/>
  <c r="BO17" i="27" s="1"/>
  <c r="M90" i="30"/>
  <c r="M132" i="30"/>
  <c r="M107" i="30"/>
  <c r="M12" i="30"/>
  <c r="M117" i="30"/>
  <c r="M84" i="30"/>
  <c r="M13" i="30"/>
  <c r="M137" i="30"/>
  <c r="M17" i="30"/>
  <c r="M34" i="30"/>
  <c r="M37" i="30"/>
  <c r="M80" i="30"/>
  <c r="M81" i="30"/>
  <c r="M61" i="30"/>
  <c r="M67" i="30"/>
  <c r="M68" i="30"/>
  <c r="M111" i="30"/>
  <c r="M125" i="30"/>
  <c r="M88" i="30"/>
  <c r="M131" i="30"/>
  <c r="BL36" i="27"/>
  <c r="BN36" i="27" s="1"/>
  <c r="BL42" i="27"/>
  <c r="BN42" i="27" s="1"/>
  <c r="BL93" i="27"/>
  <c r="BO93" i="27" s="1"/>
  <c r="X55" i="30"/>
  <c r="M55" i="30" s="1"/>
  <c r="M97" i="30"/>
  <c r="M57" i="30"/>
  <c r="M29" i="30"/>
  <c r="M100" i="30"/>
  <c r="M135" i="30"/>
  <c r="M39" i="30"/>
  <c r="M66" i="30"/>
  <c r="M21" i="30"/>
  <c r="M35" i="30"/>
  <c r="M108" i="30"/>
  <c r="M129" i="30"/>
  <c r="M25" i="30"/>
  <c r="M110" i="30"/>
  <c r="M109" i="30"/>
  <c r="M87" i="30"/>
  <c r="M103" i="30"/>
  <c r="M78" i="30"/>
  <c r="BO73" i="27"/>
  <c r="S20" i="30"/>
  <c r="DY115" i="27"/>
  <c r="EA115" i="27" s="1"/>
  <c r="DY107" i="27"/>
  <c r="BL26" i="27"/>
  <c r="BO26" i="27" s="1"/>
  <c r="BL72" i="27"/>
  <c r="BN72" i="27" s="1"/>
  <c r="BL40" i="27"/>
  <c r="BN40" i="27" s="1"/>
  <c r="EA80" i="27"/>
  <c r="DY58" i="27"/>
  <c r="DY61" i="27"/>
  <c r="EB61" i="27" s="1"/>
  <c r="DY7" i="27"/>
  <c r="EB7" i="27" s="1"/>
  <c r="BL50" i="27"/>
  <c r="DY126" i="27"/>
  <c r="BL78" i="27"/>
  <c r="BN78" i="27" s="1"/>
  <c r="BL126" i="27"/>
  <c r="BO126" i="27" s="1"/>
  <c r="BL136" i="27"/>
  <c r="BL47" i="27"/>
  <c r="BN47" i="27" s="1"/>
  <c r="BL83" i="27"/>
  <c r="BN83" i="27" s="1"/>
  <c r="BL61" i="27"/>
  <c r="BO61" i="27" s="1"/>
  <c r="BL131" i="27"/>
  <c r="BP131" i="27" s="1"/>
  <c r="DY49" i="27"/>
  <c r="BL110" i="27"/>
  <c r="BO110" i="27" s="1"/>
  <c r="BL122" i="27"/>
  <c r="BO122" i="27" s="1"/>
  <c r="BL32" i="27"/>
  <c r="BN32" i="27" s="1"/>
  <c r="DY9" i="27"/>
  <c r="EB9" i="27" s="1"/>
  <c r="BL18" i="27"/>
  <c r="BO18" i="27" s="1"/>
  <c r="BL46" i="27"/>
  <c r="BN46" i="27" s="1"/>
  <c r="BL49" i="27"/>
  <c r="BO49" i="27" s="1"/>
  <c r="BL71" i="27"/>
  <c r="BO71" i="27" s="1"/>
  <c r="DY47" i="27"/>
  <c r="EA47" i="27" s="1"/>
  <c r="BL58" i="27"/>
  <c r="BN58" i="27" s="1"/>
  <c r="BL13" i="27"/>
  <c r="BO13" i="27" s="1"/>
  <c r="BL9" i="27"/>
  <c r="BN9" i="27" s="1"/>
  <c r="BL129" i="27"/>
  <c r="BP129" i="27" s="1"/>
  <c r="DY72" i="27"/>
  <c r="EB72" i="27" s="1"/>
  <c r="DY67" i="27"/>
  <c r="EA67" i="27" s="1"/>
  <c r="DY29" i="27"/>
  <c r="EA29" i="27" s="1"/>
  <c r="BL30" i="27"/>
  <c r="BN30" i="27" s="1"/>
  <c r="DY55" i="27"/>
  <c r="EB55" i="27" s="1"/>
  <c r="EB74" i="27"/>
  <c r="ED74" i="27" s="1"/>
  <c r="DY85" i="27"/>
  <c r="EA77" i="27"/>
  <c r="ED77" i="27" s="1"/>
  <c r="BL134" i="27"/>
  <c r="BO134" i="27" s="1"/>
  <c r="BL139" i="27"/>
  <c r="BO139" i="27" s="1"/>
  <c r="BN82" i="27"/>
  <c r="BQ82" i="27" s="1"/>
  <c r="BL14" i="27"/>
  <c r="BN14" i="27" s="1"/>
  <c r="BL117" i="27"/>
  <c r="BN117" i="27" s="1"/>
  <c r="EB40" i="27"/>
  <c r="EA40" i="27"/>
  <c r="EA96" i="27"/>
  <c r="EB96" i="27"/>
  <c r="EB57" i="27"/>
  <c r="EA57" i="27"/>
  <c r="BL128" i="27"/>
  <c r="BN128" i="27" s="1"/>
  <c r="EB97" i="27"/>
  <c r="EA97" i="27"/>
  <c r="EB41" i="27"/>
  <c r="EA41" i="27"/>
  <c r="EA9" i="27"/>
  <c r="EA14" i="27"/>
  <c r="EB14" i="27"/>
  <c r="EB124" i="27"/>
  <c r="EA124" i="27"/>
  <c r="BL89" i="27"/>
  <c r="EA17" i="27"/>
  <c r="EB17" i="27"/>
  <c r="EA37" i="27"/>
  <c r="EB37" i="27"/>
  <c r="BN12" i="27"/>
  <c r="BO12" i="27"/>
  <c r="EB111" i="27"/>
  <c r="EA111" i="27"/>
  <c r="EB88" i="27"/>
  <c r="EA88" i="27"/>
  <c r="BL23" i="27"/>
  <c r="EA52" i="27"/>
  <c r="EB52" i="27"/>
  <c r="EA139" i="27"/>
  <c r="EB139" i="27"/>
  <c r="BN45" i="27"/>
  <c r="BO45" i="27"/>
  <c r="EB59" i="27"/>
  <c r="EA59" i="27"/>
  <c r="EA93" i="27"/>
  <c r="EB93" i="27"/>
  <c r="EB113" i="27"/>
  <c r="EA113" i="27"/>
  <c r="BN96" i="27"/>
  <c r="BO96" i="27"/>
  <c r="EB89" i="27"/>
  <c r="EA89" i="27"/>
  <c r="EA75" i="27"/>
  <c r="EB75" i="27"/>
  <c r="BL22" i="27"/>
  <c r="BL16" i="27"/>
  <c r="EB27" i="27"/>
  <c r="EA27" i="27"/>
  <c r="BL85" i="27"/>
  <c r="EA82" i="27"/>
  <c r="EB82" i="27"/>
  <c r="EA49" i="27"/>
  <c r="EB49" i="27"/>
  <c r="BO97" i="27"/>
  <c r="BN97" i="27"/>
  <c r="BN63" i="27"/>
  <c r="BO63" i="27"/>
  <c r="EB109" i="27"/>
  <c r="EA109" i="27"/>
  <c r="EA26" i="27"/>
  <c r="EB26" i="27"/>
  <c r="BL70" i="27"/>
  <c r="BL107" i="27"/>
  <c r="BL99" i="27"/>
  <c r="EA20" i="27"/>
  <c r="EB20" i="27"/>
  <c r="BO79" i="27"/>
  <c r="BN79" i="27"/>
  <c r="EB99" i="27"/>
  <c r="EA99" i="27"/>
  <c r="EB78" i="27"/>
  <c r="EA78" i="27"/>
  <c r="EB10" i="27"/>
  <c r="EA10" i="27"/>
  <c r="EA127" i="27"/>
  <c r="EB127" i="27"/>
  <c r="EB45" i="27"/>
  <c r="EA45" i="27"/>
  <c r="BO47" i="27"/>
  <c r="EB116" i="27"/>
  <c r="EA116" i="27"/>
  <c r="EB105" i="27"/>
  <c r="EA105" i="27"/>
  <c r="BO130" i="27"/>
  <c r="BN130" i="27"/>
  <c r="BN25" i="27"/>
  <c r="BO25" i="27"/>
  <c r="BN8" i="27"/>
  <c r="BO8" i="27"/>
  <c r="BL35" i="27"/>
  <c r="EA110" i="27"/>
  <c r="EB110" i="27"/>
  <c r="BL133" i="27"/>
  <c r="BO132" i="27"/>
  <c r="BN132" i="27"/>
  <c r="EB43" i="27"/>
  <c r="EA43" i="27"/>
  <c r="BL112" i="27"/>
  <c r="EA11" i="27"/>
  <c r="EB11" i="27"/>
  <c r="BL19" i="27"/>
  <c r="EA24" i="27"/>
  <c r="EB24" i="27"/>
  <c r="BL138" i="27"/>
  <c r="BO62" i="27"/>
  <c r="BN62" i="27"/>
  <c r="EB36" i="27"/>
  <c r="EA36" i="27"/>
  <c r="EA106" i="27"/>
  <c r="EB106" i="27"/>
  <c r="BO74" i="27"/>
  <c r="BN74" i="27"/>
  <c r="EB131" i="27"/>
  <c r="EA131" i="27"/>
  <c r="EA122" i="27"/>
  <c r="EB122" i="27"/>
  <c r="EA8" i="27"/>
  <c r="EB8" i="27"/>
  <c r="BL64" i="27"/>
  <c r="BO36" i="27"/>
  <c r="EA34" i="27"/>
  <c r="EB34" i="27"/>
  <c r="BN49" i="27"/>
  <c r="EA25" i="27"/>
  <c r="EB25" i="27"/>
  <c r="BN51" i="27"/>
  <c r="BO51" i="27"/>
  <c r="BL116" i="27"/>
  <c r="BO10" i="27"/>
  <c r="BN10" i="27"/>
  <c r="EA137" i="27"/>
  <c r="EB137" i="27"/>
  <c r="EB23" i="27"/>
  <c r="EA23" i="27"/>
  <c r="BN108" i="27"/>
  <c r="BO108" i="27"/>
  <c r="EB42" i="27"/>
  <c r="EA42" i="27"/>
  <c r="BL31" i="27"/>
  <c r="BO32" i="27"/>
  <c r="BN131" i="27"/>
  <c r="BO131" i="27"/>
  <c r="EB84" i="27"/>
  <c r="EA84" i="27"/>
  <c r="BO24" i="27"/>
  <c r="BN24" i="27"/>
  <c r="BO88" i="27"/>
  <c r="BN88" i="27"/>
  <c r="BO9" i="27"/>
  <c r="BL37" i="27"/>
  <c r="BL84" i="27"/>
  <c r="EB128" i="27"/>
  <c r="EA128" i="27"/>
  <c r="EB103" i="27"/>
  <c r="EA103" i="27"/>
  <c r="EB62" i="27"/>
  <c r="EA62" i="27"/>
  <c r="EB126" i="27"/>
  <c r="EA126" i="27"/>
  <c r="EA112" i="27"/>
  <c r="EB112" i="27"/>
  <c r="BO113" i="27"/>
  <c r="BN113" i="27"/>
  <c r="EB136" i="27"/>
  <c r="EA136" i="27"/>
  <c r="BL76" i="27"/>
  <c r="BL7" i="27"/>
  <c r="BL111" i="27"/>
  <c r="BL33" i="27"/>
  <c r="EB91" i="27"/>
  <c r="EA91" i="27"/>
  <c r="EB120" i="27"/>
  <c r="EA120" i="27"/>
  <c r="EB19" i="27"/>
  <c r="EA19" i="27"/>
  <c r="BN136" i="27"/>
  <c r="BO136" i="27"/>
  <c r="EA85" i="27"/>
  <c r="EB85" i="27"/>
  <c r="EA125" i="27"/>
  <c r="EB125" i="27"/>
  <c r="BO77" i="27"/>
  <c r="BN77" i="27"/>
  <c r="EA63" i="27"/>
  <c r="EB63" i="27"/>
  <c r="BL21" i="27"/>
  <c r="EB81" i="27"/>
  <c r="EA81" i="27"/>
  <c r="EB56" i="27"/>
  <c r="EA56" i="27"/>
  <c r="BL48" i="27"/>
  <c r="EB134" i="27"/>
  <c r="EA134" i="27"/>
  <c r="BN65" i="27"/>
  <c r="BO65" i="27"/>
  <c r="EB90" i="27"/>
  <c r="EA90" i="27"/>
  <c r="BO106" i="27"/>
  <c r="BN106" i="27"/>
  <c r="BL125" i="27"/>
  <c r="EA64" i="27"/>
  <c r="EB64" i="27"/>
  <c r="EB29" i="27"/>
  <c r="BL75" i="27"/>
  <c r="BN103" i="27"/>
  <c r="BO103" i="27"/>
  <c r="BL121" i="27"/>
  <c r="EA16" i="27"/>
  <c r="EB16" i="27"/>
  <c r="EB98" i="27"/>
  <c r="EA98" i="27"/>
  <c r="BL123" i="27"/>
  <c r="BL43" i="27"/>
  <c r="EB119" i="27"/>
  <c r="EA119" i="27"/>
  <c r="EB86" i="27"/>
  <c r="EA86" i="27"/>
  <c r="BO80" i="27"/>
  <c r="BN80" i="27"/>
  <c r="BL39" i="27"/>
  <c r="EB76" i="27"/>
  <c r="EA76" i="27"/>
  <c r="EB117" i="27"/>
  <c r="EA117" i="27"/>
  <c r="EB68" i="27"/>
  <c r="EA68" i="27"/>
  <c r="BL124" i="27"/>
  <c r="BP124" i="27" s="1"/>
  <c r="EB71" i="27"/>
  <c r="EA71" i="27"/>
  <c r="BN29" i="27"/>
  <c r="BO29" i="27"/>
  <c r="EA79" i="27"/>
  <c r="EB79" i="27"/>
  <c r="EB70" i="27"/>
  <c r="EA70" i="27"/>
  <c r="EB87" i="27"/>
  <c r="EA87" i="27"/>
  <c r="EA12" i="27"/>
  <c r="EB12" i="27"/>
  <c r="EA118" i="27"/>
  <c r="EB118" i="27"/>
  <c r="BO115" i="27"/>
  <c r="BN115" i="27"/>
  <c r="BL119" i="27"/>
  <c r="BN54" i="27"/>
  <c r="BO54" i="27"/>
  <c r="BL59" i="27"/>
  <c r="EA92" i="27"/>
  <c r="EB92" i="27"/>
  <c r="BL67" i="27"/>
  <c r="BL127" i="27"/>
  <c r="EA32" i="27"/>
  <c r="EB32" i="27"/>
  <c r="EB46" i="27"/>
  <c r="EA46" i="27"/>
  <c r="BN26" i="27"/>
  <c r="EB130" i="27"/>
  <c r="EA130" i="27"/>
  <c r="BN56" i="27"/>
  <c r="BO56" i="27"/>
  <c r="BN93" i="27"/>
  <c r="EA18" i="27"/>
  <c r="EB18" i="27"/>
  <c r="BL92" i="27"/>
  <c r="EB69" i="27"/>
  <c r="EA69" i="27"/>
  <c r="EA48" i="27"/>
  <c r="EB48" i="27"/>
  <c r="EB121" i="27"/>
  <c r="EA121" i="27"/>
  <c r="BO34" i="27"/>
  <c r="BN34" i="27"/>
  <c r="EA30" i="27"/>
  <c r="EB30" i="27"/>
  <c r="BO20" i="27"/>
  <c r="BN20" i="27"/>
  <c r="EA65" i="27"/>
  <c r="EB65" i="27"/>
  <c r="EB50" i="27"/>
  <c r="EA50" i="27"/>
  <c r="BL101" i="27"/>
  <c r="BL86" i="27"/>
  <c r="EA35" i="27"/>
  <c r="EB35" i="27"/>
  <c r="BO50" i="27"/>
  <c r="BN50" i="27"/>
  <c r="EB132" i="27"/>
  <c r="EA132" i="27"/>
  <c r="EB83" i="27"/>
  <c r="EA83" i="27"/>
  <c r="BL27" i="27"/>
  <c r="EA28" i="27"/>
  <c r="EB28" i="27"/>
  <c r="BL15" i="27"/>
  <c r="BO52" i="27"/>
  <c r="BN52" i="27"/>
  <c r="EB123" i="27"/>
  <c r="BN81" i="27"/>
  <c r="BO81" i="27"/>
  <c r="EB107" i="27"/>
  <c r="EA107" i="27"/>
  <c r="BL57" i="27"/>
  <c r="EB38" i="27"/>
  <c r="EA38" i="27"/>
  <c r="BL118" i="27"/>
  <c r="EA135" i="27"/>
  <c r="EB135" i="27"/>
  <c r="EA102" i="27"/>
  <c r="EB102" i="27"/>
  <c r="EA58" i="27"/>
  <c r="EB58" i="27"/>
  <c r="EA21" i="27"/>
  <c r="EB21" i="27"/>
  <c r="BL102" i="27"/>
  <c r="BP102" i="27" s="1"/>
  <c r="EB31" i="27"/>
  <c r="EA31" i="27"/>
  <c r="BL137" i="27"/>
  <c r="EA54" i="27"/>
  <c r="EB54" i="27"/>
  <c r="BO94" i="27"/>
  <c r="BN94" i="27"/>
  <c r="BN139" i="27"/>
  <c r="EA94" i="27"/>
  <c r="EB94" i="27"/>
  <c r="BN71" i="27"/>
  <c r="EB39" i="27"/>
  <c r="EA39" i="27"/>
  <c r="BN53" i="27"/>
  <c r="BO53" i="27"/>
  <c r="BO104" i="27"/>
  <c r="BN104" i="27"/>
  <c r="BL109" i="27"/>
  <c r="BP109" i="27" s="1"/>
  <c r="BN98" i="27"/>
  <c r="BO98" i="27"/>
  <c r="BL69" i="27"/>
  <c r="EA138" i="27"/>
  <c r="EB138" i="27"/>
  <c r="EA104" i="27"/>
  <c r="EB104" i="27"/>
  <c r="BL55" i="27"/>
  <c r="BL38" i="27"/>
  <c r="BL11" i="27"/>
  <c r="BL68" i="27"/>
  <c r="EA33" i="27"/>
  <c r="EB33" i="27"/>
  <c r="BO91" i="27"/>
  <c r="BN91" i="27"/>
  <c r="BL87" i="27"/>
  <c r="EA51" i="27"/>
  <c r="EB51" i="27"/>
  <c r="BL28" i="27"/>
  <c r="EA13" i="27"/>
  <c r="EB13" i="27"/>
  <c r="EA129" i="27"/>
  <c r="EB129" i="27"/>
  <c r="EA133" i="27"/>
  <c r="EB133" i="27"/>
  <c r="BL135" i="27"/>
  <c r="BN120" i="27"/>
  <c r="BO120" i="27"/>
  <c r="BL41" i="27"/>
  <c r="EA15" i="27"/>
  <c r="EB15" i="27"/>
  <c r="EB101" i="27"/>
  <c r="EA101" i="27"/>
  <c r="BL105" i="27"/>
  <c r="X15" i="12"/>
  <c r="X76" i="12"/>
  <c r="X12" i="12"/>
  <c r="X13" i="12"/>
  <c r="X107" i="12"/>
  <c r="X7" i="12"/>
  <c r="X33" i="12"/>
  <c r="X127" i="12"/>
  <c r="X75" i="12"/>
  <c r="X5" i="12"/>
  <c r="X35" i="12"/>
  <c r="X95" i="12"/>
  <c r="X6" i="12"/>
  <c r="X91" i="12"/>
  <c r="X84" i="12"/>
  <c r="X34" i="12"/>
  <c r="X109" i="12"/>
  <c r="X100" i="12"/>
  <c r="X126" i="12"/>
  <c r="X53" i="12"/>
  <c r="X47" i="12"/>
  <c r="X121" i="12"/>
  <c r="X39" i="12"/>
  <c r="X70" i="12"/>
  <c r="X68" i="12"/>
  <c r="X73" i="12"/>
  <c r="X85" i="12"/>
  <c r="X16" i="12"/>
  <c r="X57" i="12"/>
  <c r="X4" i="12"/>
  <c r="X133" i="12"/>
  <c r="X83" i="12"/>
  <c r="X29" i="12"/>
  <c r="X125" i="12"/>
  <c r="X55" i="12"/>
  <c r="X123" i="12"/>
  <c r="X18" i="12"/>
  <c r="X19" i="12"/>
  <c r="X72" i="12"/>
  <c r="X23" i="12"/>
  <c r="X26" i="12"/>
  <c r="X105" i="12"/>
  <c r="X120" i="12"/>
  <c r="X48" i="12"/>
  <c r="X81" i="12"/>
  <c r="X25" i="12"/>
  <c r="X14" i="12"/>
  <c r="X44" i="12"/>
  <c r="X38" i="12"/>
  <c r="X28" i="12"/>
  <c r="X9" i="12"/>
  <c r="X130" i="12"/>
  <c r="X113" i="12"/>
  <c r="X129" i="12"/>
  <c r="X27" i="12"/>
  <c r="X132" i="12"/>
  <c r="X22" i="12"/>
  <c r="X21" i="12"/>
  <c r="X122" i="12"/>
  <c r="X32" i="12"/>
  <c r="X119" i="12"/>
  <c r="X20" i="12"/>
  <c r="X115" i="12"/>
  <c r="X74" i="12"/>
  <c r="X99" i="12"/>
  <c r="X87" i="12"/>
  <c r="X65" i="12"/>
  <c r="X62" i="12"/>
  <c r="X97" i="12"/>
  <c r="X104" i="12"/>
  <c r="X69" i="12"/>
  <c r="X134" i="12"/>
  <c r="X131" i="12"/>
  <c r="X116" i="12"/>
  <c r="X103" i="12"/>
  <c r="X31" i="12"/>
  <c r="X118" i="12"/>
  <c r="X40" i="12"/>
  <c r="X66" i="12"/>
  <c r="X110" i="12"/>
  <c r="X24" i="12"/>
  <c r="X80" i="12"/>
  <c r="X46" i="12"/>
  <c r="X30" i="12"/>
  <c r="X59" i="12"/>
  <c r="X111" i="12"/>
  <c r="X114" i="12"/>
  <c r="X117" i="12"/>
  <c r="X124" i="12"/>
  <c r="X135" i="12"/>
  <c r="X88" i="12"/>
  <c r="X54" i="12"/>
  <c r="X90" i="12"/>
  <c r="X36" i="12"/>
  <c r="X137" i="12"/>
  <c r="X4" i="30"/>
  <c r="DY6" i="27"/>
  <c r="EC6" i="27" s="1"/>
  <c r="BN17" i="27" l="1"/>
  <c r="BO46" i="27"/>
  <c r="EB47" i="27"/>
  <c r="EA61" i="27"/>
  <c r="BO72" i="27"/>
  <c r="BN126" i="27"/>
  <c r="BQ126" i="27" s="1"/>
  <c r="BN90" i="27"/>
  <c r="BQ90" i="27" s="1"/>
  <c r="BO42" i="27"/>
  <c r="BQ42" i="27" s="1"/>
  <c r="BO117" i="27"/>
  <c r="BQ117" i="27" s="1"/>
  <c r="BN122" i="27"/>
  <c r="BQ122" i="27" s="1"/>
  <c r="BO40" i="27"/>
  <c r="BQ40" i="27" s="1"/>
  <c r="EA7" i="27"/>
  <c r="ED7" i="27" s="1"/>
  <c r="EA72" i="27"/>
  <c r="ED72" i="27" s="1"/>
  <c r="EA55" i="27"/>
  <c r="ED55" i="27" s="1"/>
  <c r="ED97" i="27"/>
  <c r="S95" i="30" s="1"/>
  <c r="ED89" i="27"/>
  <c r="S87" i="30" s="1"/>
  <c r="ED59" i="27"/>
  <c r="S57" i="12" s="1"/>
  <c r="ED105" i="27"/>
  <c r="S103" i="30" s="1"/>
  <c r="BN61" i="27"/>
  <c r="BQ61" i="27" s="1"/>
  <c r="S75" i="30"/>
  <c r="BO58" i="27"/>
  <c r="BQ58" i="27" s="1"/>
  <c r="BN134" i="27"/>
  <c r="EB115" i="27"/>
  <c r="ED115" i="27" s="1"/>
  <c r="S72" i="30"/>
  <c r="BO78" i="27"/>
  <c r="BQ78" i="27" s="1"/>
  <c r="BN18" i="27"/>
  <c r="BQ18" i="27" s="1"/>
  <c r="BO83" i="27"/>
  <c r="BQ83" i="27" s="1"/>
  <c r="BO30" i="27"/>
  <c r="BQ30" i="27" s="1"/>
  <c r="BN129" i="27"/>
  <c r="BN110" i="27"/>
  <c r="BQ110" i="27" s="1"/>
  <c r="BO129" i="27"/>
  <c r="ED132" i="27"/>
  <c r="ED50" i="27"/>
  <c r="ED117" i="27"/>
  <c r="ED91" i="27"/>
  <c r="ED62" i="27"/>
  <c r="ED57" i="27"/>
  <c r="ED40" i="27"/>
  <c r="ED19" i="27"/>
  <c r="BN13" i="27"/>
  <c r="BQ13" i="27" s="1"/>
  <c r="BO14" i="27"/>
  <c r="BQ14" i="27" s="1"/>
  <c r="EB67" i="27"/>
  <c r="ED67" i="27" s="1"/>
  <c r="ED47" i="27"/>
  <c r="S45" i="12" s="1"/>
  <c r="ED31" i="27"/>
  <c r="ED130" i="27"/>
  <c r="ED46" i="27"/>
  <c r="ED87" i="27"/>
  <c r="ED71" i="27"/>
  <c r="S69" i="12" s="1"/>
  <c r="ED32" i="27"/>
  <c r="ED76" i="27"/>
  <c r="ED16" i="27"/>
  <c r="ED90" i="27"/>
  <c r="ED134" i="27"/>
  <c r="ED136" i="27"/>
  <c r="ED126" i="27"/>
  <c r="ED103" i="27"/>
  <c r="ED84" i="27"/>
  <c r="ED122" i="27"/>
  <c r="ED26" i="27"/>
  <c r="ED41" i="27"/>
  <c r="BQ72" i="27"/>
  <c r="BQ97" i="27"/>
  <c r="H95" i="30" s="1"/>
  <c r="BO128" i="27"/>
  <c r="BQ128" i="27" s="1"/>
  <c r="BQ91" i="27"/>
  <c r="BQ98" i="27"/>
  <c r="BQ71" i="27"/>
  <c r="BQ94" i="27"/>
  <c r="BQ50" i="27"/>
  <c r="BQ88" i="27"/>
  <c r="BQ130" i="27"/>
  <c r="BQ63" i="27"/>
  <c r="ED86" i="27"/>
  <c r="BQ106" i="27"/>
  <c r="ED83" i="27"/>
  <c r="ED121" i="27"/>
  <c r="ED43" i="27"/>
  <c r="ED98" i="27"/>
  <c r="ED29" i="27"/>
  <c r="ED81" i="27"/>
  <c r="ED111" i="27"/>
  <c r="BQ93" i="27"/>
  <c r="BQ79" i="27"/>
  <c r="ED75" i="27"/>
  <c r="ED93" i="27"/>
  <c r="BQ26" i="27"/>
  <c r="BQ131" i="27"/>
  <c r="BQ8" i="27"/>
  <c r="BQ47" i="27"/>
  <c r="ED116" i="27"/>
  <c r="ED45" i="27"/>
  <c r="ED133" i="27"/>
  <c r="ED138" i="27"/>
  <c r="ED131" i="27"/>
  <c r="BQ104" i="27"/>
  <c r="BQ115" i="27"/>
  <c r="ED10" i="27"/>
  <c r="ED27" i="27"/>
  <c r="ED124" i="27"/>
  <c r="ED13" i="27"/>
  <c r="ED21" i="27"/>
  <c r="ED102" i="27"/>
  <c r="ED65" i="27"/>
  <c r="ED30" i="27"/>
  <c r="ED63" i="27"/>
  <c r="ED125" i="27"/>
  <c r="ED34" i="27"/>
  <c r="ED9" i="27"/>
  <c r="ED28" i="27"/>
  <c r="ED137" i="27"/>
  <c r="ED8" i="27"/>
  <c r="ED106" i="27"/>
  <c r="ED11" i="27"/>
  <c r="ED82" i="27"/>
  <c r="ED37" i="27"/>
  <c r="ED17" i="27"/>
  <c r="ED15" i="27"/>
  <c r="ED129" i="27"/>
  <c r="ED33" i="27"/>
  <c r="ED104" i="27"/>
  <c r="ED94" i="27"/>
  <c r="ED54" i="27"/>
  <c r="ED58" i="27"/>
  <c r="ED135" i="27"/>
  <c r="ED38" i="27"/>
  <c r="ED35" i="27"/>
  <c r="ED48" i="27"/>
  <c r="ED70" i="27"/>
  <c r="ED119" i="27"/>
  <c r="ED56" i="27"/>
  <c r="ED85" i="27"/>
  <c r="ED112" i="27"/>
  <c r="ED42" i="27"/>
  <c r="ED23" i="27"/>
  <c r="ED24" i="27"/>
  <c r="ED127" i="27"/>
  <c r="ED20" i="27"/>
  <c r="ED139" i="27"/>
  <c r="ED88" i="27"/>
  <c r="ED14" i="27"/>
  <c r="ED96" i="27"/>
  <c r="BQ46" i="27"/>
  <c r="BQ17" i="27"/>
  <c r="BQ136" i="27"/>
  <c r="BQ32" i="27"/>
  <c r="BQ120" i="27"/>
  <c r="BQ52" i="27"/>
  <c r="BQ20" i="27"/>
  <c r="BQ34" i="27"/>
  <c r="BQ77" i="27"/>
  <c r="H75" i="30" s="1"/>
  <c r="BQ113" i="27"/>
  <c r="BQ9" i="27"/>
  <c r="BQ24" i="27"/>
  <c r="BQ49" i="27"/>
  <c r="BQ132" i="27"/>
  <c r="BQ134" i="27"/>
  <c r="ED39" i="27"/>
  <c r="ED107" i="27"/>
  <c r="ED123" i="27"/>
  <c r="ED92" i="27"/>
  <c r="ED79" i="27"/>
  <c r="ED120" i="27"/>
  <c r="ED128" i="27"/>
  <c r="ED78" i="27"/>
  <c r="ED99" i="27"/>
  <c r="ED113" i="27"/>
  <c r="ED61" i="27"/>
  <c r="ED101" i="27"/>
  <c r="ED51" i="27"/>
  <c r="ED69" i="27"/>
  <c r="ED18" i="27"/>
  <c r="ED118" i="27"/>
  <c r="ED12" i="27"/>
  <c r="ED68" i="27"/>
  <c r="ED64" i="27"/>
  <c r="ED110" i="27"/>
  <c r="ED49" i="27"/>
  <c r="ED25" i="27"/>
  <c r="ED36" i="27"/>
  <c r="ED109" i="27"/>
  <c r="ED52" i="27"/>
  <c r="BQ139" i="27"/>
  <c r="BQ103" i="27"/>
  <c r="BQ65" i="27"/>
  <c r="BQ51" i="27"/>
  <c r="BQ36" i="27"/>
  <c r="BQ74" i="27"/>
  <c r="H72" i="30" s="1"/>
  <c r="BQ25" i="27"/>
  <c r="BQ56" i="27"/>
  <c r="BQ29" i="27"/>
  <c r="BQ12" i="27"/>
  <c r="BQ81" i="27"/>
  <c r="BQ54" i="27"/>
  <c r="BQ10" i="27"/>
  <c r="BQ62" i="27"/>
  <c r="BQ96" i="27"/>
  <c r="BQ45" i="27"/>
  <c r="BN121" i="27"/>
  <c r="BO121" i="27"/>
  <c r="BN41" i="27"/>
  <c r="BO41" i="27"/>
  <c r="BO28" i="27"/>
  <c r="BN28" i="27"/>
  <c r="BO68" i="27"/>
  <c r="BN68" i="27"/>
  <c r="BN55" i="27"/>
  <c r="BO55" i="27"/>
  <c r="BN118" i="27"/>
  <c r="BO118" i="27"/>
  <c r="BO127" i="27"/>
  <c r="BN127" i="27"/>
  <c r="BN119" i="27"/>
  <c r="BO119" i="27"/>
  <c r="BN43" i="27"/>
  <c r="BO43" i="27"/>
  <c r="BO75" i="27"/>
  <c r="BN75" i="27"/>
  <c r="BN33" i="27"/>
  <c r="BO33" i="27"/>
  <c r="BO7" i="27"/>
  <c r="BN7" i="27"/>
  <c r="BN107" i="27"/>
  <c r="BO107" i="27"/>
  <c r="BO16" i="27"/>
  <c r="BN16" i="27"/>
  <c r="BN135" i="27"/>
  <c r="BO135" i="27"/>
  <c r="BN48" i="27"/>
  <c r="BO48" i="27"/>
  <c r="BO85" i="27"/>
  <c r="BN85" i="27"/>
  <c r="BO105" i="27"/>
  <c r="BN105" i="27"/>
  <c r="BN87" i="27"/>
  <c r="BO87" i="27"/>
  <c r="BO11" i="27"/>
  <c r="BN11" i="27"/>
  <c r="BO69" i="27"/>
  <c r="BN69" i="27"/>
  <c r="BN109" i="27"/>
  <c r="BO109" i="27"/>
  <c r="BO57" i="27"/>
  <c r="BN57" i="27"/>
  <c r="BN15" i="27"/>
  <c r="BO15" i="27"/>
  <c r="BO27" i="27"/>
  <c r="BN27" i="27"/>
  <c r="BO101" i="27"/>
  <c r="BN101" i="27"/>
  <c r="BN39" i="27"/>
  <c r="BO39" i="27"/>
  <c r="BO21" i="27"/>
  <c r="BN21" i="27"/>
  <c r="BN37" i="27"/>
  <c r="BO37" i="27"/>
  <c r="BO138" i="27"/>
  <c r="BN138" i="27"/>
  <c r="BN112" i="27"/>
  <c r="BO112" i="27"/>
  <c r="BN22" i="27"/>
  <c r="BO22" i="27"/>
  <c r="BN86" i="27"/>
  <c r="BO86" i="27"/>
  <c r="BN92" i="27"/>
  <c r="BO92" i="27"/>
  <c r="BN84" i="27"/>
  <c r="BO84" i="27"/>
  <c r="BO64" i="27"/>
  <c r="BN64" i="27"/>
  <c r="BO133" i="27"/>
  <c r="BN133" i="27"/>
  <c r="BO89" i="27"/>
  <c r="BN89" i="27"/>
  <c r="BN38" i="27"/>
  <c r="BO38" i="27"/>
  <c r="BN137" i="27"/>
  <c r="BO137" i="27"/>
  <c r="BO102" i="27"/>
  <c r="BN102" i="27"/>
  <c r="BN67" i="27"/>
  <c r="BO67" i="27"/>
  <c r="BN59" i="27"/>
  <c r="BO59" i="27"/>
  <c r="BN124" i="27"/>
  <c r="BO124" i="27"/>
  <c r="BN123" i="27"/>
  <c r="BO123" i="27"/>
  <c r="BO125" i="27"/>
  <c r="BN125" i="27"/>
  <c r="BO111" i="27"/>
  <c r="BN111" i="27"/>
  <c r="BN76" i="27"/>
  <c r="BO76" i="27"/>
  <c r="BO31" i="27"/>
  <c r="BN31" i="27"/>
  <c r="BN116" i="27"/>
  <c r="BO116" i="27"/>
  <c r="BN19" i="27"/>
  <c r="BO19" i="27"/>
  <c r="BN35" i="27"/>
  <c r="BO35" i="27"/>
  <c r="BO99" i="27"/>
  <c r="BN99" i="27"/>
  <c r="BN70" i="27"/>
  <c r="BO70" i="27"/>
  <c r="BN23" i="27"/>
  <c r="BO23" i="27"/>
  <c r="X96" i="12"/>
  <c r="X67" i="12"/>
  <c r="S6" i="12"/>
  <c r="S28" i="12"/>
  <c r="EB6" i="27"/>
  <c r="S115" i="12"/>
  <c r="EA6" i="27"/>
  <c r="S89" i="12"/>
  <c r="S57" i="30" l="1"/>
  <c r="BQ129" i="27"/>
  <c r="S113" i="30"/>
  <c r="H113" i="30"/>
  <c r="S10" i="30"/>
  <c r="H10" i="30"/>
  <c r="S37" i="12"/>
  <c r="S37" i="30"/>
  <c r="S125" i="30"/>
  <c r="S133" i="30"/>
  <c r="S104" i="30"/>
  <c r="H104" i="30"/>
  <c r="S28" i="30"/>
  <c r="H28" i="30"/>
  <c r="H81" i="30"/>
  <c r="S81" i="30"/>
  <c r="H120" i="30"/>
  <c r="S120" i="30"/>
  <c r="S74" i="30"/>
  <c r="S34" i="12"/>
  <c r="S34" i="30"/>
  <c r="H34" i="30"/>
  <c r="S70" i="30"/>
  <c r="H70" i="30"/>
  <c r="S116" i="12"/>
  <c r="S116" i="30"/>
  <c r="S99" i="12"/>
  <c r="S99" i="30"/>
  <c r="S76" i="12"/>
  <c r="H76" i="30"/>
  <c r="S76" i="30"/>
  <c r="S90" i="30"/>
  <c r="H86" i="30"/>
  <c r="S86" i="30"/>
  <c r="S22" i="30"/>
  <c r="H22" i="30"/>
  <c r="S83" i="30"/>
  <c r="S46" i="12"/>
  <c r="S46" i="30"/>
  <c r="S56" i="12"/>
  <c r="S56" i="30"/>
  <c r="H56" i="30"/>
  <c r="S31" i="12"/>
  <c r="S31" i="30"/>
  <c r="S35" i="30"/>
  <c r="S6" i="30"/>
  <c r="H6" i="30"/>
  <c r="H32" i="30"/>
  <c r="S32" i="30"/>
  <c r="S63" i="30"/>
  <c r="H63" i="30"/>
  <c r="S122" i="12"/>
  <c r="S122" i="30"/>
  <c r="S43" i="30"/>
  <c r="H43" i="30"/>
  <c r="S91" i="30"/>
  <c r="H91" i="30"/>
  <c r="S109" i="30"/>
  <c r="S96" i="12"/>
  <c r="S96" i="30"/>
  <c r="H96" i="30"/>
  <c r="S82" i="12"/>
  <c r="S82" i="30"/>
  <c r="S132" i="30"/>
  <c r="H132" i="30"/>
  <c r="S30" i="12"/>
  <c r="H30" i="30"/>
  <c r="S30" i="30"/>
  <c r="S53" i="30"/>
  <c r="S45" i="30"/>
  <c r="H45" i="30"/>
  <c r="S17" i="30"/>
  <c r="S89" i="30"/>
  <c r="H89" i="30"/>
  <c r="S108" i="30"/>
  <c r="H108" i="30"/>
  <c r="S97" i="12"/>
  <c r="S97" i="30"/>
  <c r="S12" i="30"/>
  <c r="H12" i="30"/>
  <c r="S68" i="30"/>
  <c r="H15" i="30"/>
  <c r="S15" i="30"/>
  <c r="S11" i="30"/>
  <c r="H11" i="30"/>
  <c r="S27" i="30"/>
  <c r="H27" i="30"/>
  <c r="S29" i="12"/>
  <c r="S29" i="30"/>
  <c r="S133" i="12"/>
  <c r="S23" i="12"/>
  <c r="H23" i="30"/>
  <c r="S23" i="30"/>
  <c r="S62" i="12"/>
  <c r="S62" i="30"/>
  <c r="S16" i="30"/>
  <c r="H16" i="30"/>
  <c r="S59" i="12"/>
  <c r="S59" i="30"/>
  <c r="H59" i="30"/>
  <c r="S126" i="12"/>
  <c r="S126" i="30"/>
  <c r="H126" i="30"/>
  <c r="S121" i="30"/>
  <c r="S137" i="30"/>
  <c r="H137" i="30"/>
  <c r="S21" i="12"/>
  <c r="S21" i="30"/>
  <c r="S54" i="30"/>
  <c r="H54" i="30"/>
  <c r="S33" i="30"/>
  <c r="S52" i="12"/>
  <c r="S52" i="30"/>
  <c r="H52" i="30"/>
  <c r="S127" i="30"/>
  <c r="H127" i="30"/>
  <c r="S80" i="30"/>
  <c r="H80" i="30"/>
  <c r="S135" i="30"/>
  <c r="S123" i="30"/>
  <c r="S100" i="30"/>
  <c r="S25" i="30"/>
  <c r="S129" i="30"/>
  <c r="H129" i="30"/>
  <c r="S114" i="30"/>
  <c r="S73" i="30"/>
  <c r="S5" i="30"/>
  <c r="S41" i="30"/>
  <c r="S84" i="30"/>
  <c r="S39" i="12"/>
  <c r="S39" i="30"/>
  <c r="S101" i="30"/>
  <c r="H101" i="30"/>
  <c r="S88" i="30"/>
  <c r="H88" i="30"/>
  <c r="S44" i="30"/>
  <c r="H44" i="30"/>
  <c r="S65" i="30"/>
  <c r="S38" i="30"/>
  <c r="H38" i="30"/>
  <c r="S115" i="30"/>
  <c r="H115" i="30"/>
  <c r="S107" i="12"/>
  <c r="S107" i="30"/>
  <c r="S49" i="30"/>
  <c r="H49" i="30"/>
  <c r="S77" i="12"/>
  <c r="S77" i="30"/>
  <c r="H77" i="30"/>
  <c r="S110" i="12"/>
  <c r="S110" i="30"/>
  <c r="S102" i="12"/>
  <c r="S102" i="30"/>
  <c r="H102" i="30"/>
  <c r="S7" i="30"/>
  <c r="H7" i="30"/>
  <c r="S131" i="30"/>
  <c r="S134" i="30"/>
  <c r="H134" i="30"/>
  <c r="S85" i="30"/>
  <c r="S60" i="12"/>
  <c r="S60" i="30"/>
  <c r="H60" i="30"/>
  <c r="S130" i="12"/>
  <c r="H130" i="30"/>
  <c r="S130" i="30"/>
  <c r="S81" i="12"/>
  <c r="S27" i="12"/>
  <c r="S50" i="12"/>
  <c r="S50" i="30"/>
  <c r="H50" i="30"/>
  <c r="S47" i="30"/>
  <c r="H47" i="30"/>
  <c r="S66" i="12"/>
  <c r="S66" i="30"/>
  <c r="S67" i="12"/>
  <c r="S67" i="30"/>
  <c r="S111" i="30"/>
  <c r="H111" i="30"/>
  <c r="S118" i="30"/>
  <c r="H118" i="30"/>
  <c r="S105" i="12"/>
  <c r="S105" i="30"/>
  <c r="S94" i="30"/>
  <c r="H94" i="30"/>
  <c r="S18" i="30"/>
  <c r="H18" i="30"/>
  <c r="S40" i="30"/>
  <c r="H40" i="30"/>
  <c r="S117" i="12"/>
  <c r="S117" i="30"/>
  <c r="S36" i="12"/>
  <c r="S36" i="30"/>
  <c r="H92" i="30"/>
  <c r="S92" i="30"/>
  <c r="S13" i="30"/>
  <c r="S9" i="30"/>
  <c r="S26" i="30"/>
  <c r="H61" i="30"/>
  <c r="S61" i="30"/>
  <c r="S19" i="30"/>
  <c r="S8" i="12"/>
  <c r="S8" i="30"/>
  <c r="H8" i="30"/>
  <c r="S136" i="30"/>
  <c r="S79" i="12"/>
  <c r="H79" i="30"/>
  <c r="S79" i="30"/>
  <c r="S119" i="30"/>
  <c r="H24" i="30"/>
  <c r="S24" i="30"/>
  <c r="S124" i="30"/>
  <c r="H124" i="30"/>
  <c r="S14" i="30"/>
  <c r="S69" i="30"/>
  <c r="H69" i="30"/>
  <c r="S128" i="30"/>
  <c r="H128" i="30"/>
  <c r="S55" i="30"/>
  <c r="S48" i="30"/>
  <c r="H48" i="30"/>
  <c r="S108" i="12"/>
  <c r="BQ123" i="27"/>
  <c r="H121" i="30" s="1"/>
  <c r="BQ84" i="27"/>
  <c r="H82" i="30" s="1"/>
  <c r="BQ59" i="27"/>
  <c r="H57" i="30" s="1"/>
  <c r="BQ38" i="27"/>
  <c r="H36" i="30" s="1"/>
  <c r="S41" i="12"/>
  <c r="BQ86" i="27"/>
  <c r="H84" i="30" s="1"/>
  <c r="BQ112" i="27"/>
  <c r="H110" i="30" s="1"/>
  <c r="BQ37" i="27"/>
  <c r="H35" i="30" s="1"/>
  <c r="BQ39" i="27"/>
  <c r="H37" i="30" s="1"/>
  <c r="BQ87" i="27"/>
  <c r="H85" i="30" s="1"/>
  <c r="BQ135" i="27"/>
  <c r="H133" i="30" s="1"/>
  <c r="BQ119" i="27"/>
  <c r="H117" i="30" s="1"/>
  <c r="BQ125" i="27"/>
  <c r="H123" i="30" s="1"/>
  <c r="BQ89" i="27"/>
  <c r="H87" i="30" s="1"/>
  <c r="BQ64" i="27"/>
  <c r="H62" i="30" s="1"/>
  <c r="BQ21" i="27"/>
  <c r="H19" i="30" s="1"/>
  <c r="BQ101" i="27"/>
  <c r="H99" i="30" s="1"/>
  <c r="BQ105" i="27"/>
  <c r="H103" i="30" s="1"/>
  <c r="BQ127" i="27"/>
  <c r="H125" i="30" s="1"/>
  <c r="BQ99" i="27"/>
  <c r="H97" i="30" s="1"/>
  <c r="BQ27" i="27"/>
  <c r="H25" i="30" s="1"/>
  <c r="BQ118" i="27"/>
  <c r="H116" i="30" s="1"/>
  <c r="BQ111" i="27"/>
  <c r="H109" i="30" s="1"/>
  <c r="BQ133" i="27"/>
  <c r="H131" i="30" s="1"/>
  <c r="BQ57" i="27"/>
  <c r="H55" i="30" s="1"/>
  <c r="BQ69" i="27"/>
  <c r="H67" i="30" s="1"/>
  <c r="BQ7" i="27"/>
  <c r="H5" i="30" s="1"/>
  <c r="BQ19" i="27"/>
  <c r="H17" i="30" s="1"/>
  <c r="BQ107" i="27"/>
  <c r="H105" i="30" s="1"/>
  <c r="BQ41" i="27"/>
  <c r="H39" i="30" s="1"/>
  <c r="BQ23" i="27"/>
  <c r="H21" i="30" s="1"/>
  <c r="BQ70" i="27"/>
  <c r="H68" i="30" s="1"/>
  <c r="BQ35" i="27"/>
  <c r="H33" i="30" s="1"/>
  <c r="BQ116" i="27"/>
  <c r="H114" i="30" s="1"/>
  <c r="BQ76" i="27"/>
  <c r="H74" i="30" s="1"/>
  <c r="BQ124" i="27"/>
  <c r="H122" i="30" s="1"/>
  <c r="BQ67" i="27"/>
  <c r="H65" i="30" s="1"/>
  <c r="BQ137" i="27"/>
  <c r="H135" i="30" s="1"/>
  <c r="BQ92" i="27"/>
  <c r="H90" i="30" s="1"/>
  <c r="BQ22" i="27"/>
  <c r="H20" i="30" s="1"/>
  <c r="BQ15" i="27"/>
  <c r="H13" i="30" s="1"/>
  <c r="BQ109" i="27"/>
  <c r="H107" i="30" s="1"/>
  <c r="BQ48" i="27"/>
  <c r="H46" i="30" s="1"/>
  <c r="BQ33" i="27"/>
  <c r="H31" i="30" s="1"/>
  <c r="BQ43" i="27"/>
  <c r="H41" i="30" s="1"/>
  <c r="BQ55" i="27"/>
  <c r="H53" i="30" s="1"/>
  <c r="BQ121" i="27"/>
  <c r="H119" i="30" s="1"/>
  <c r="BQ31" i="27"/>
  <c r="H29" i="30" s="1"/>
  <c r="BQ102" i="27"/>
  <c r="H100" i="30" s="1"/>
  <c r="BQ85" i="27"/>
  <c r="H83" i="30" s="1"/>
  <c r="BQ75" i="27"/>
  <c r="H73" i="30" s="1"/>
  <c r="BQ68" i="27"/>
  <c r="H66" i="30" s="1"/>
  <c r="BQ138" i="27"/>
  <c r="H136" i="30" s="1"/>
  <c r="BQ11" i="27"/>
  <c r="H9" i="30" s="1"/>
  <c r="BQ16" i="27"/>
  <c r="H14" i="30" s="1"/>
  <c r="BQ28" i="27"/>
  <c r="H26" i="30" s="1"/>
  <c r="S7" i="12"/>
  <c r="S129" i="12"/>
  <c r="S114" i="12"/>
  <c r="S120" i="12"/>
  <c r="S136" i="12"/>
  <c r="S16" i="12"/>
  <c r="S84" i="12"/>
  <c r="S14" i="12"/>
  <c r="S83" i="12"/>
  <c r="S121" i="12"/>
  <c r="S5" i="12"/>
  <c r="S12" i="12"/>
  <c r="S135" i="12"/>
  <c r="S88" i="12"/>
  <c r="S118" i="12"/>
  <c r="S72" i="12"/>
  <c r="S131" i="12"/>
  <c r="S128" i="12"/>
  <c r="S119" i="12"/>
  <c r="S111" i="12"/>
  <c r="S73" i="12"/>
  <c r="S55" i="12"/>
  <c r="S87" i="12"/>
  <c r="S109" i="12"/>
  <c r="S70" i="12"/>
  <c r="S85" i="12"/>
  <c r="S54" i="12"/>
  <c r="S90" i="12"/>
  <c r="S38" i="12"/>
  <c r="S44" i="12"/>
  <c r="S17" i="12"/>
  <c r="S104" i="12"/>
  <c r="S125" i="12"/>
  <c r="S91" i="12"/>
  <c r="S10" i="12"/>
  <c r="S80" i="12"/>
  <c r="S9" i="12"/>
  <c r="S47" i="12"/>
  <c r="S18" i="12"/>
  <c r="S100" i="12"/>
  <c r="S15" i="12"/>
  <c r="S86" i="12"/>
  <c r="S24" i="12"/>
  <c r="S101" i="12"/>
  <c r="S33" i="12"/>
  <c r="S103" i="12"/>
  <c r="S113" i="12"/>
  <c r="ED6" i="27"/>
  <c r="S4" i="12" s="1"/>
  <c r="S40" i="12"/>
  <c r="S123" i="12"/>
  <c r="S65" i="12"/>
  <c r="S95" i="12"/>
  <c r="S63" i="12"/>
  <c r="S132" i="12"/>
  <c r="S137" i="12"/>
  <c r="S124" i="12"/>
  <c r="S92" i="12"/>
  <c r="S35" i="12"/>
  <c r="S134" i="12"/>
  <c r="S74" i="12"/>
  <c r="S32" i="12"/>
  <c r="S53" i="12"/>
  <c r="S48" i="12"/>
  <c r="S49" i="12"/>
  <c r="S68" i="12"/>
  <c r="S94" i="12"/>
  <c r="S20" i="12"/>
  <c r="S25" i="12"/>
  <c r="S43" i="12"/>
  <c r="S19" i="12"/>
  <c r="S75" i="12"/>
  <c r="S26" i="12"/>
  <c r="S22" i="12"/>
  <c r="S11" i="12"/>
  <c r="S61" i="12"/>
  <c r="S13" i="12"/>
  <c r="S127" i="12"/>
  <c r="S4" i="30" l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4" i="1"/>
  <c r="K135" i="1"/>
  <c r="K136" i="1"/>
  <c r="K137" i="1"/>
  <c r="K138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4" i="1"/>
  <c r="J135" i="1"/>
  <c r="J136" i="1"/>
  <c r="J137" i="1"/>
  <c r="C138" i="1" l="1"/>
  <c r="K139" i="27" s="1"/>
  <c r="K137" i="30" s="1"/>
  <c r="G138" i="1"/>
  <c r="BX139" i="27" s="1"/>
  <c r="V137" i="30" s="1"/>
  <c r="C4" i="13" l="1"/>
  <c r="D4" i="13"/>
  <c r="AZ4" i="13" s="1"/>
  <c r="AY4" i="13" l="1"/>
  <c r="A6" i="20"/>
  <c r="E4" i="13"/>
  <c r="BA4" i="13" s="1"/>
  <c r="F4" i="13"/>
  <c r="BB4" i="13" s="1"/>
  <c r="G4" i="13"/>
  <c r="BC4" i="13" s="1"/>
  <c r="H4" i="13"/>
  <c r="BD4" i="13" s="1"/>
  <c r="I4" i="13"/>
  <c r="BE4" i="13" s="1"/>
  <c r="J4" i="13"/>
  <c r="BF4" i="13" s="1"/>
  <c r="K4" i="13"/>
  <c r="BG4" i="13" s="1"/>
  <c r="L4" i="13"/>
  <c r="BH4" i="13" s="1"/>
  <c r="M4" i="13"/>
  <c r="BI4" i="13" s="1"/>
  <c r="N4" i="13"/>
  <c r="BJ4" i="13" s="1"/>
  <c r="O4" i="13"/>
  <c r="BK4" i="13" s="1"/>
  <c r="P4" i="13"/>
  <c r="BL4" i="13" s="1"/>
  <c r="Q4" i="13"/>
  <c r="BM4" i="13" s="1"/>
  <c r="R4" i="13"/>
  <c r="BN4" i="13" s="1"/>
  <c r="S4" i="13"/>
  <c r="BO4" i="13" s="1"/>
  <c r="T4" i="13"/>
  <c r="BP4" i="13" s="1"/>
  <c r="U4" i="13"/>
  <c r="BQ4" i="13" s="1"/>
  <c r="V4" i="13"/>
  <c r="BR4" i="13" s="1"/>
  <c r="W4" i="13"/>
  <c r="BS4" i="13" s="1"/>
  <c r="X4" i="13"/>
  <c r="BT4" i="13" s="1"/>
  <c r="Y4" i="13"/>
  <c r="BU4" i="13" s="1"/>
  <c r="Z4" i="13"/>
  <c r="BV4" i="13" s="1"/>
  <c r="D5" i="13"/>
  <c r="E5" i="13"/>
  <c r="F5" i="13"/>
  <c r="G5" i="13"/>
  <c r="H5" i="13"/>
  <c r="I5" i="13"/>
  <c r="J5" i="13"/>
  <c r="K5" i="13"/>
  <c r="L5" i="13"/>
  <c r="M5" i="13"/>
  <c r="N5" i="13"/>
  <c r="O5" i="13"/>
  <c r="P5" i="13"/>
  <c r="Q5" i="13"/>
  <c r="R5" i="13"/>
  <c r="S5" i="13"/>
  <c r="T5" i="13"/>
  <c r="U5" i="13"/>
  <c r="V5" i="13"/>
  <c r="W5" i="13"/>
  <c r="X5" i="13"/>
  <c r="Y5" i="13"/>
  <c r="Z5" i="13"/>
  <c r="D6" i="13"/>
  <c r="AZ6" i="13" s="1"/>
  <c r="E6" i="13"/>
  <c r="F6" i="13"/>
  <c r="BB6" i="13" s="1"/>
  <c r="G6" i="13"/>
  <c r="H6" i="13"/>
  <c r="BD6" i="13" s="1"/>
  <c r="I6" i="13"/>
  <c r="J6" i="13"/>
  <c r="BF6" i="13" s="1"/>
  <c r="K6" i="13"/>
  <c r="L6" i="13"/>
  <c r="BH6" i="13" s="1"/>
  <c r="M6" i="13"/>
  <c r="N6" i="13"/>
  <c r="BJ6" i="13" s="1"/>
  <c r="O6" i="13"/>
  <c r="P6" i="13"/>
  <c r="BL6" i="13" s="1"/>
  <c r="Q6" i="13"/>
  <c r="R6" i="13"/>
  <c r="BN6" i="13" s="1"/>
  <c r="S6" i="13"/>
  <c r="T6" i="13"/>
  <c r="BP6" i="13" s="1"/>
  <c r="U6" i="13"/>
  <c r="V6" i="13"/>
  <c r="BR6" i="13" s="1"/>
  <c r="W6" i="13"/>
  <c r="X6" i="13"/>
  <c r="BT6" i="13" s="1"/>
  <c r="Y6" i="13"/>
  <c r="Z6" i="13"/>
  <c r="BV6" i="13" s="1"/>
  <c r="D7" i="13"/>
  <c r="E7" i="13"/>
  <c r="D11" i="13" s="1"/>
  <c r="F7" i="13"/>
  <c r="G7" i="13"/>
  <c r="E11" i="13" s="1"/>
  <c r="H7" i="13"/>
  <c r="I7" i="13"/>
  <c r="F11" i="13" s="1"/>
  <c r="J7" i="13"/>
  <c r="K7" i="13"/>
  <c r="G11" i="13" s="1"/>
  <c r="L7" i="13"/>
  <c r="M7" i="13"/>
  <c r="H11" i="13" s="1"/>
  <c r="N7" i="13"/>
  <c r="O7" i="13"/>
  <c r="I11" i="13" s="1"/>
  <c r="P7" i="13"/>
  <c r="Q7" i="13"/>
  <c r="J11" i="13" s="1"/>
  <c r="R7" i="13"/>
  <c r="S7" i="13"/>
  <c r="K11" i="13" s="1"/>
  <c r="T7" i="13"/>
  <c r="U7" i="13"/>
  <c r="L11" i="13" s="1"/>
  <c r="V7" i="13"/>
  <c r="W7" i="13"/>
  <c r="M11" i="13" s="1"/>
  <c r="X7" i="13"/>
  <c r="Y7" i="13"/>
  <c r="N11" i="13" s="1"/>
  <c r="Z7" i="13"/>
  <c r="C7" i="13"/>
  <c r="C11" i="13" s="1"/>
  <c r="C6" i="13"/>
  <c r="C5" i="13"/>
  <c r="A138" i="1"/>
  <c r="R92" i="30" l="1"/>
  <c r="R73" i="30"/>
  <c r="R57" i="30"/>
  <c r="R34" i="30"/>
  <c r="R25" i="30"/>
  <c r="R7" i="30"/>
  <c r="R121" i="30"/>
  <c r="R125" i="30"/>
  <c r="R96" i="30"/>
  <c r="R85" i="30"/>
  <c r="R56" i="30"/>
  <c r="R72" i="30"/>
  <c r="R45" i="30"/>
  <c r="R28" i="30"/>
  <c r="R9" i="30"/>
  <c r="R119" i="30"/>
  <c r="R124" i="30"/>
  <c r="R89" i="30"/>
  <c r="R95" i="30"/>
  <c r="R76" i="30"/>
  <c r="R68" i="30"/>
  <c r="R40" i="30"/>
  <c r="R22" i="30"/>
  <c r="R5" i="30"/>
  <c r="R133" i="30"/>
  <c r="R111" i="30"/>
  <c r="R134" i="30"/>
  <c r="R97" i="30"/>
  <c r="R87" i="30"/>
  <c r="R62" i="30"/>
  <c r="R23" i="30"/>
  <c r="R41" i="30"/>
  <c r="R17" i="30"/>
  <c r="R128" i="30"/>
  <c r="R78" i="30"/>
  <c r="R71" i="30"/>
  <c r="R46" i="30"/>
  <c r="R37" i="30"/>
  <c r="R15" i="30"/>
  <c r="R99" i="30"/>
  <c r="R137" i="30"/>
  <c r="R118" i="30"/>
  <c r="R114" i="30"/>
  <c r="R90" i="30"/>
  <c r="R70" i="30"/>
  <c r="R55" i="30"/>
  <c r="R27" i="30"/>
  <c r="R21" i="30"/>
  <c r="R91" i="30"/>
  <c r="R113" i="30"/>
  <c r="R116" i="30"/>
  <c r="R110" i="30"/>
  <c r="R88" i="30"/>
  <c r="R67" i="30"/>
  <c r="R54" i="30"/>
  <c r="R44" i="30"/>
  <c r="R14" i="30"/>
  <c r="R105" i="30"/>
  <c r="R130" i="30"/>
  <c r="R112" i="30"/>
  <c r="R103" i="30"/>
  <c r="R64" i="30"/>
  <c r="R58" i="30"/>
  <c r="R42" i="30"/>
  <c r="R30" i="30"/>
  <c r="R11" i="30"/>
  <c r="R102" i="30"/>
  <c r="R82" i="30"/>
  <c r="R61" i="30"/>
  <c r="R51" i="30"/>
  <c r="R26" i="30"/>
  <c r="R10" i="30"/>
  <c r="R120" i="30"/>
  <c r="R127" i="30"/>
  <c r="R131" i="30"/>
  <c r="R100" i="30"/>
  <c r="R69" i="30"/>
  <c r="R66" i="30"/>
  <c r="R43" i="30"/>
  <c r="R36" i="30"/>
  <c r="R13" i="30"/>
  <c r="R132" i="30"/>
  <c r="R117" i="30"/>
  <c r="R123" i="30"/>
  <c r="R98" i="30"/>
  <c r="R47" i="30"/>
  <c r="R65" i="30"/>
  <c r="R53" i="30"/>
  <c r="R32" i="30"/>
  <c r="R20" i="30"/>
  <c r="R126" i="30"/>
  <c r="R107" i="30"/>
  <c r="R122" i="30"/>
  <c r="R84" i="30"/>
  <c r="R94" i="30"/>
  <c r="R74" i="30"/>
  <c r="R63" i="30"/>
  <c r="R35" i="30"/>
  <c r="R18" i="30"/>
  <c r="R8" i="30"/>
  <c r="R77" i="30"/>
  <c r="R81" i="30"/>
  <c r="R38" i="30"/>
  <c r="R24" i="30"/>
  <c r="R29" i="30"/>
  <c r="R6" i="30"/>
  <c r="R86" i="30"/>
  <c r="R136" i="30"/>
  <c r="R129" i="30"/>
  <c r="R80" i="30"/>
  <c r="R79" i="30"/>
  <c r="R60" i="30"/>
  <c r="R50" i="30"/>
  <c r="R33" i="30"/>
  <c r="R16" i="30"/>
  <c r="R101" i="30"/>
  <c r="R135" i="30"/>
  <c r="R115" i="30"/>
  <c r="R104" i="30"/>
  <c r="R75" i="30"/>
  <c r="R59" i="30"/>
  <c r="R48" i="30"/>
  <c r="R31" i="30"/>
  <c r="R12" i="30"/>
  <c r="R93" i="30"/>
  <c r="R106" i="30"/>
  <c r="R109" i="30"/>
  <c r="R108" i="30"/>
  <c r="R83" i="30"/>
  <c r="R52" i="30"/>
  <c r="R49" i="30"/>
  <c r="R39" i="30"/>
  <c r="R19" i="30"/>
  <c r="Q42" i="30"/>
  <c r="W42" i="30" s="1"/>
  <c r="Y42" i="30" s="1"/>
  <c r="Q109" i="30"/>
  <c r="U109" i="30" s="1"/>
  <c r="W109" i="30" s="1"/>
  <c r="Y109" i="30" s="1"/>
  <c r="Q71" i="30"/>
  <c r="W71" i="30" s="1"/>
  <c r="Y71" i="30" s="1"/>
  <c r="Q93" i="30"/>
  <c r="W93" i="30" s="1"/>
  <c r="Y93" i="30" s="1"/>
  <c r="Q58" i="30"/>
  <c r="Q51" i="30"/>
  <c r="W51" i="30" s="1"/>
  <c r="Y51" i="30" s="1"/>
  <c r="Q112" i="30"/>
  <c r="W112" i="30" s="1"/>
  <c r="Y112" i="30" s="1"/>
  <c r="Q98" i="30"/>
  <c r="W98" i="30" s="1"/>
  <c r="Y98" i="30" s="1"/>
  <c r="Q106" i="30"/>
  <c r="W106" i="30" s="1"/>
  <c r="Y106" i="30" s="1"/>
  <c r="Q68" i="30"/>
  <c r="U68" i="30" s="1"/>
  <c r="W68" i="30" s="1"/>
  <c r="Y68" i="30" s="1"/>
  <c r="Q41" i="30"/>
  <c r="U41" i="30" s="1"/>
  <c r="W41" i="30" s="1"/>
  <c r="Y41" i="30" s="1"/>
  <c r="Q36" i="30"/>
  <c r="U36" i="30" s="1"/>
  <c r="W36" i="30" s="1"/>
  <c r="Y36" i="30" s="1"/>
  <c r="Q126" i="30"/>
  <c r="Q62" i="30"/>
  <c r="U62" i="30" s="1"/>
  <c r="W62" i="30" s="1"/>
  <c r="Y62" i="30" s="1"/>
  <c r="Q39" i="30"/>
  <c r="U39" i="30" s="1"/>
  <c r="W39" i="30" s="1"/>
  <c r="Y39" i="30" s="1"/>
  <c r="Q104" i="30"/>
  <c r="Q137" i="30"/>
  <c r="U137" i="30" s="1"/>
  <c r="W137" i="30" s="1"/>
  <c r="Y137" i="30" s="1"/>
  <c r="Q9" i="30"/>
  <c r="U9" i="30" s="1"/>
  <c r="W9" i="30" s="1"/>
  <c r="Y9" i="30" s="1"/>
  <c r="Q95" i="30"/>
  <c r="U95" i="30" s="1"/>
  <c r="W95" i="30" s="1"/>
  <c r="Y95" i="30" s="1"/>
  <c r="Q15" i="30"/>
  <c r="U15" i="30" s="1"/>
  <c r="W15" i="30" s="1"/>
  <c r="Y15" i="30" s="1"/>
  <c r="Q125" i="30"/>
  <c r="U125" i="30" s="1"/>
  <c r="W125" i="30" s="1"/>
  <c r="Y125" i="30" s="1"/>
  <c r="Q122" i="30"/>
  <c r="U122" i="30" s="1"/>
  <c r="W122" i="30" s="1"/>
  <c r="Y122" i="30" s="1"/>
  <c r="Q136" i="30"/>
  <c r="U136" i="30" s="1"/>
  <c r="W136" i="30" s="1"/>
  <c r="Y136" i="30" s="1"/>
  <c r="Q28" i="30"/>
  <c r="U28" i="30" s="1"/>
  <c r="W28" i="30" s="1"/>
  <c r="Y28" i="30" s="1"/>
  <c r="Q129" i="30"/>
  <c r="U129" i="30" s="1"/>
  <c r="W129" i="30" s="1"/>
  <c r="Y129" i="30" s="1"/>
  <c r="Q80" i="30"/>
  <c r="U80" i="30" s="1"/>
  <c r="W80" i="30" s="1"/>
  <c r="Y80" i="30" s="1"/>
  <c r="Q110" i="30"/>
  <c r="U110" i="30" s="1"/>
  <c r="W110" i="30" s="1"/>
  <c r="Y110" i="30" s="1"/>
  <c r="Q132" i="30"/>
  <c r="U132" i="30" s="1"/>
  <c r="W132" i="30" s="1"/>
  <c r="Y132" i="30" s="1"/>
  <c r="Q120" i="30"/>
  <c r="U120" i="30" s="1"/>
  <c r="W120" i="30" s="1"/>
  <c r="Y120" i="30" s="1"/>
  <c r="Q8" i="30"/>
  <c r="U8" i="30" s="1"/>
  <c r="Q78" i="30"/>
  <c r="W78" i="30" s="1"/>
  <c r="Y78" i="30" s="1"/>
  <c r="Q26" i="30"/>
  <c r="U26" i="30" s="1"/>
  <c r="W26" i="30" s="1"/>
  <c r="Y26" i="30" s="1"/>
  <c r="Q107" i="30"/>
  <c r="U107" i="30" s="1"/>
  <c r="W107" i="30" s="1"/>
  <c r="Y107" i="30" s="1"/>
  <c r="Q57" i="30"/>
  <c r="U57" i="30" s="1"/>
  <c r="W57" i="30" s="1"/>
  <c r="Y57" i="30" s="1"/>
  <c r="Q75" i="30"/>
  <c r="U75" i="30" s="1"/>
  <c r="Q77" i="30"/>
  <c r="U77" i="30" s="1"/>
  <c r="Q33" i="30"/>
  <c r="U33" i="30" s="1"/>
  <c r="W33" i="30" s="1"/>
  <c r="Y33" i="30" s="1"/>
  <c r="Q21" i="30"/>
  <c r="U21" i="30" s="1"/>
  <c r="W21" i="30" s="1"/>
  <c r="Y21" i="30" s="1"/>
  <c r="Q84" i="30"/>
  <c r="U84" i="30" s="1"/>
  <c r="W84" i="30" s="1"/>
  <c r="Y84" i="30" s="1"/>
  <c r="Q76" i="30"/>
  <c r="U76" i="30" s="1"/>
  <c r="W76" i="30" s="1"/>
  <c r="Y76" i="30" s="1"/>
  <c r="Q103" i="30"/>
  <c r="U103" i="30" s="1"/>
  <c r="W103" i="30" s="1"/>
  <c r="Y103" i="30" s="1"/>
  <c r="Q86" i="30"/>
  <c r="U86" i="30" s="1"/>
  <c r="W86" i="30" s="1"/>
  <c r="Y86" i="30" s="1"/>
  <c r="Q87" i="30"/>
  <c r="U87" i="30" s="1"/>
  <c r="W87" i="30" s="1"/>
  <c r="Y87" i="30" s="1"/>
  <c r="Q89" i="30"/>
  <c r="U89" i="30" s="1"/>
  <c r="Q50" i="30"/>
  <c r="U50" i="30" s="1"/>
  <c r="Q115" i="30"/>
  <c r="U115" i="30" s="1"/>
  <c r="W115" i="30" s="1"/>
  <c r="Y115" i="30" s="1"/>
  <c r="Q96" i="30"/>
  <c r="U96" i="30" s="1"/>
  <c r="W96" i="30" s="1"/>
  <c r="Y96" i="30" s="1"/>
  <c r="Q116" i="30"/>
  <c r="U116" i="30" s="1"/>
  <c r="W116" i="30" s="1"/>
  <c r="Y116" i="30" s="1"/>
  <c r="Q54" i="30"/>
  <c r="U54" i="30" s="1"/>
  <c r="W54" i="30" s="1"/>
  <c r="Y54" i="30" s="1"/>
  <c r="Q31" i="30"/>
  <c r="U31" i="30" s="1"/>
  <c r="W31" i="30" s="1"/>
  <c r="Y31" i="30" s="1"/>
  <c r="Q19" i="30"/>
  <c r="U19" i="30" s="1"/>
  <c r="W19" i="30" s="1"/>
  <c r="Y19" i="30" s="1"/>
  <c r="Q34" i="30"/>
  <c r="U34" i="30" s="1"/>
  <c r="W34" i="30" s="1"/>
  <c r="Y34" i="30" s="1"/>
  <c r="Q46" i="30"/>
  <c r="U46" i="30" s="1"/>
  <c r="W46" i="30" s="1"/>
  <c r="Y46" i="30" s="1"/>
  <c r="Q100" i="30"/>
  <c r="U100" i="30" s="1"/>
  <c r="W100" i="30" s="1"/>
  <c r="Y100" i="30" s="1"/>
  <c r="Q135" i="30"/>
  <c r="U135" i="30" s="1"/>
  <c r="W135" i="30" s="1"/>
  <c r="Y135" i="30" s="1"/>
  <c r="Q25" i="30"/>
  <c r="U25" i="30" s="1"/>
  <c r="W25" i="30" s="1"/>
  <c r="Y25" i="30" s="1"/>
  <c r="Q123" i="30"/>
  <c r="U123" i="30" s="1"/>
  <c r="W123" i="30" s="1"/>
  <c r="Y123" i="30" s="1"/>
  <c r="Q35" i="30"/>
  <c r="U35" i="30" s="1"/>
  <c r="W35" i="30" s="1"/>
  <c r="Y35" i="30" s="1"/>
  <c r="Q69" i="30"/>
  <c r="U69" i="30" s="1"/>
  <c r="W69" i="30" s="1"/>
  <c r="Y69" i="30" s="1"/>
  <c r="Q16" i="30"/>
  <c r="U16" i="30" s="1"/>
  <c r="W16" i="30" s="1"/>
  <c r="Y16" i="30" s="1"/>
  <c r="Q133" i="30"/>
  <c r="U133" i="30" s="1"/>
  <c r="W133" i="30" s="1"/>
  <c r="Y133" i="30" s="1"/>
  <c r="Q24" i="30"/>
  <c r="U24" i="30" s="1"/>
  <c r="W24" i="30" s="1"/>
  <c r="Y24" i="30" s="1"/>
  <c r="Q49" i="30"/>
  <c r="U49" i="30" s="1"/>
  <c r="Q22" i="30"/>
  <c r="U22" i="30" s="1"/>
  <c r="W22" i="30" s="1"/>
  <c r="Y22" i="30" s="1"/>
  <c r="Q72" i="30"/>
  <c r="U72" i="30" s="1"/>
  <c r="Q82" i="30"/>
  <c r="U82" i="30" s="1"/>
  <c r="W82" i="30" s="1"/>
  <c r="Y82" i="30" s="1"/>
  <c r="Q101" i="30"/>
  <c r="U101" i="30" s="1"/>
  <c r="Q52" i="30"/>
  <c r="U52" i="30" s="1"/>
  <c r="Q29" i="30"/>
  <c r="U29" i="30" s="1"/>
  <c r="W29" i="30" s="1"/>
  <c r="Y29" i="30" s="1"/>
  <c r="Q81" i="30"/>
  <c r="U81" i="30" s="1"/>
  <c r="W81" i="30" s="1"/>
  <c r="Y81" i="30" s="1"/>
  <c r="Q18" i="30"/>
  <c r="U18" i="30" s="1"/>
  <c r="W18" i="30" s="1"/>
  <c r="Y18" i="30" s="1"/>
  <c r="Q94" i="30"/>
  <c r="U94" i="30" s="1"/>
  <c r="Q10" i="30"/>
  <c r="U10" i="30" s="1"/>
  <c r="Q43" i="30"/>
  <c r="U43" i="30" s="1"/>
  <c r="Q74" i="30"/>
  <c r="U74" i="30" s="1"/>
  <c r="W74" i="30" s="1"/>
  <c r="Y74" i="30" s="1"/>
  <c r="Q85" i="30"/>
  <c r="U85" i="30" s="1"/>
  <c r="W85" i="30" s="1"/>
  <c r="Y85" i="30" s="1"/>
  <c r="Q17" i="30"/>
  <c r="U17" i="30" s="1"/>
  <c r="W17" i="30" s="1"/>
  <c r="Y17" i="30" s="1"/>
  <c r="Q91" i="30"/>
  <c r="U91" i="30" s="1"/>
  <c r="W91" i="30" s="1"/>
  <c r="Y91" i="30" s="1"/>
  <c r="Q13" i="30"/>
  <c r="U13" i="30" s="1"/>
  <c r="W13" i="30" s="1"/>
  <c r="Y13" i="30" s="1"/>
  <c r="Q131" i="30"/>
  <c r="U131" i="30" s="1"/>
  <c r="W131" i="30" s="1"/>
  <c r="Y131" i="30" s="1"/>
  <c r="Q37" i="30"/>
  <c r="U37" i="30" s="1"/>
  <c r="W37" i="30" s="1"/>
  <c r="Y37" i="30" s="1"/>
  <c r="Q118" i="30"/>
  <c r="U118" i="30" s="1"/>
  <c r="W118" i="30" s="1"/>
  <c r="Y118" i="30" s="1"/>
  <c r="Q48" i="30"/>
  <c r="U48" i="30" s="1"/>
  <c r="W48" i="30" s="1"/>
  <c r="Y48" i="30" s="1"/>
  <c r="Q30" i="30"/>
  <c r="U30" i="30" s="1"/>
  <c r="W30" i="30" s="1"/>
  <c r="Y30" i="30" s="1"/>
  <c r="Q14" i="30"/>
  <c r="U14" i="30" s="1"/>
  <c r="W14" i="30" s="1"/>
  <c r="Y14" i="30" s="1"/>
  <c r="Q67" i="30"/>
  <c r="U67" i="30" s="1"/>
  <c r="W67" i="30" s="1"/>
  <c r="Y67" i="30" s="1"/>
  <c r="Q108" i="30"/>
  <c r="U108" i="30" s="1"/>
  <c r="W108" i="30" s="1"/>
  <c r="Y108" i="30" s="1"/>
  <c r="Q61" i="30"/>
  <c r="U61" i="30" s="1"/>
  <c r="W61" i="30" s="1"/>
  <c r="Y61" i="30" s="1"/>
  <c r="Q63" i="30"/>
  <c r="U63" i="30" s="1"/>
  <c r="Q12" i="30"/>
  <c r="U12" i="30" s="1"/>
  <c r="W12" i="30" s="1"/>
  <c r="Y12" i="30" s="1"/>
  <c r="Q20" i="30"/>
  <c r="U20" i="30" s="1"/>
  <c r="W20" i="30" s="1"/>
  <c r="Y20" i="30" s="1"/>
  <c r="Q97" i="30"/>
  <c r="U97" i="30" s="1"/>
  <c r="W97" i="30" s="1"/>
  <c r="Y97" i="30" s="1"/>
  <c r="Q64" i="30"/>
  <c r="W64" i="30" s="1"/>
  <c r="Y64" i="30" s="1"/>
  <c r="Q102" i="30"/>
  <c r="U102" i="30" s="1"/>
  <c r="Q92" i="30"/>
  <c r="U92" i="30" s="1"/>
  <c r="Q79" i="30"/>
  <c r="U79" i="30" s="1"/>
  <c r="Q128" i="30"/>
  <c r="U128" i="30" s="1"/>
  <c r="Q90" i="30"/>
  <c r="U90" i="30" s="1"/>
  <c r="W90" i="30" s="1"/>
  <c r="Y90" i="30" s="1"/>
  <c r="Q66" i="30"/>
  <c r="U66" i="30" s="1"/>
  <c r="W66" i="30" s="1"/>
  <c r="Y66" i="30" s="1"/>
  <c r="Q119" i="30"/>
  <c r="U119" i="30" s="1"/>
  <c r="W119" i="30" s="1"/>
  <c r="Y119" i="30" s="1"/>
  <c r="Q44" i="30"/>
  <c r="U44" i="30" s="1"/>
  <c r="W44" i="30" s="1"/>
  <c r="Y44" i="30" s="1"/>
  <c r="Q117" i="30"/>
  <c r="U117" i="30" s="1"/>
  <c r="W117" i="30" s="1"/>
  <c r="Y117" i="30" s="1"/>
  <c r="Q111" i="30"/>
  <c r="U111" i="30" s="1"/>
  <c r="W111" i="30" s="1"/>
  <c r="Y111" i="30" s="1"/>
  <c r="Q11" i="30"/>
  <c r="U11" i="30" s="1"/>
  <c r="W11" i="30" s="1"/>
  <c r="Y11" i="30" s="1"/>
  <c r="Q60" i="30"/>
  <c r="U60" i="30" s="1"/>
  <c r="Q88" i="30"/>
  <c r="U88" i="30" s="1"/>
  <c r="W88" i="30" s="1"/>
  <c r="Y88" i="30" s="1"/>
  <c r="Q40" i="30"/>
  <c r="U40" i="30" s="1"/>
  <c r="W40" i="30" s="1"/>
  <c r="Y40" i="30" s="1"/>
  <c r="Q59" i="30"/>
  <c r="U59" i="30" s="1"/>
  <c r="W59" i="30" s="1"/>
  <c r="Y59" i="30" s="1"/>
  <c r="Q27" i="30"/>
  <c r="U27" i="30" s="1"/>
  <c r="W27" i="30" s="1"/>
  <c r="Y27" i="30" s="1"/>
  <c r="Q83" i="30"/>
  <c r="U83" i="30" s="1"/>
  <c r="W83" i="30" s="1"/>
  <c r="Y83" i="30" s="1"/>
  <c r="Q23" i="30"/>
  <c r="U23" i="30" s="1"/>
  <c r="W23" i="30" s="1"/>
  <c r="Y23" i="30" s="1"/>
  <c r="Q113" i="30"/>
  <c r="U113" i="30" s="1"/>
  <c r="W113" i="30" s="1"/>
  <c r="Y113" i="30" s="1"/>
  <c r="Q47" i="30"/>
  <c r="U47" i="30" s="1"/>
  <c r="W47" i="30" s="1"/>
  <c r="Y47" i="30" s="1"/>
  <c r="Q7" i="30"/>
  <c r="U7" i="30" s="1"/>
  <c r="W7" i="30" s="1"/>
  <c r="Y7" i="30" s="1"/>
  <c r="Q105" i="30"/>
  <c r="U105" i="30" s="1"/>
  <c r="W105" i="30" s="1"/>
  <c r="Y105" i="30" s="1"/>
  <c r="Q121" i="30"/>
  <c r="U121" i="30" s="1"/>
  <c r="W121" i="30" s="1"/>
  <c r="Y121" i="30" s="1"/>
  <c r="Q32" i="30"/>
  <c r="U32" i="30" s="1"/>
  <c r="W32" i="30" s="1"/>
  <c r="Y32" i="30" s="1"/>
  <c r="Q56" i="30"/>
  <c r="U56" i="30" s="1"/>
  <c r="W56" i="30" s="1"/>
  <c r="Y56" i="30" s="1"/>
  <c r="Q134" i="30"/>
  <c r="U134" i="30" s="1"/>
  <c r="W134" i="30" s="1"/>
  <c r="Y134" i="30" s="1"/>
  <c r="Q38" i="30"/>
  <c r="U38" i="30" s="1"/>
  <c r="W38" i="30" s="1"/>
  <c r="Y38" i="30" s="1"/>
  <c r="Q130" i="30"/>
  <c r="U130" i="30" s="1"/>
  <c r="W130" i="30" s="1"/>
  <c r="Y130" i="30" s="1"/>
  <c r="Q65" i="30"/>
  <c r="U65" i="30" s="1"/>
  <c r="W65" i="30" s="1"/>
  <c r="Y65" i="30" s="1"/>
  <c r="Q124" i="30"/>
  <c r="U124" i="30" s="1"/>
  <c r="W124" i="30" s="1"/>
  <c r="Y124" i="30" s="1"/>
  <c r="Q53" i="30"/>
  <c r="U53" i="30" s="1"/>
  <c r="W53" i="30" s="1"/>
  <c r="Y53" i="30" s="1"/>
  <c r="Q70" i="30"/>
  <c r="U70" i="30" s="1"/>
  <c r="W70" i="30" s="1"/>
  <c r="Y70" i="30" s="1"/>
  <c r="Q127" i="30"/>
  <c r="U127" i="30" s="1"/>
  <c r="W127" i="30" s="1"/>
  <c r="Y127" i="30" s="1"/>
  <c r="Q6" i="30"/>
  <c r="U6" i="30" s="1"/>
  <c r="W6" i="30" s="1"/>
  <c r="Y6" i="30" s="1"/>
  <c r="Q4" i="30" a="1"/>
  <c r="Q4" i="30" s="1"/>
  <c r="Q99" i="30"/>
  <c r="U99" i="30" s="1"/>
  <c r="W99" i="30" s="1"/>
  <c r="Y99" i="30" s="1"/>
  <c r="Q5" i="30"/>
  <c r="U5" i="30" s="1"/>
  <c r="W5" i="30" s="1"/>
  <c r="Y5" i="30" s="1"/>
  <c r="Q73" i="30"/>
  <c r="U73" i="30" s="1"/>
  <c r="W73" i="30" s="1"/>
  <c r="Y73" i="30" s="1"/>
  <c r="Q45" i="30"/>
  <c r="U45" i="30" s="1"/>
  <c r="W45" i="30" s="1"/>
  <c r="Y45" i="30" s="1"/>
  <c r="Q55" i="30"/>
  <c r="U55" i="30" s="1"/>
  <c r="W55" i="30" s="1"/>
  <c r="Y55" i="30" s="1"/>
  <c r="Q114" i="30"/>
  <c r="U114" i="30" s="1"/>
  <c r="W114" i="30" s="1"/>
  <c r="Y114" i="30" s="1"/>
  <c r="F51" i="30"/>
  <c r="F9" i="30"/>
  <c r="F7" i="30"/>
  <c r="F30" i="30"/>
  <c r="F91" i="30"/>
  <c r="F74" i="30"/>
  <c r="F57" i="30"/>
  <c r="F35" i="30"/>
  <c r="F80" i="30"/>
  <c r="F10" i="30"/>
  <c r="F50" i="30"/>
  <c r="F65" i="30"/>
  <c r="F112" i="30"/>
  <c r="F81" i="30"/>
  <c r="F19" i="30"/>
  <c r="F34" i="30"/>
  <c r="F127" i="30"/>
  <c r="F39" i="30"/>
  <c r="F125" i="30"/>
  <c r="F123" i="30"/>
  <c r="F88" i="30"/>
  <c r="F55" i="30"/>
  <c r="F45" i="30"/>
  <c r="F105" i="30"/>
  <c r="F11" i="30"/>
  <c r="F109" i="30"/>
  <c r="F12" i="30"/>
  <c r="F129" i="30"/>
  <c r="F132" i="30"/>
  <c r="F90" i="30"/>
  <c r="F37" i="30"/>
  <c r="F38" i="30"/>
  <c r="F115" i="30"/>
  <c r="F108" i="30"/>
  <c r="F131" i="30"/>
  <c r="F14" i="30"/>
  <c r="F54" i="30"/>
  <c r="F92" i="30"/>
  <c r="F86" i="30"/>
  <c r="F128" i="30"/>
  <c r="F22" i="30"/>
  <c r="F96" i="30"/>
  <c r="F60" i="30"/>
  <c r="F95" i="30"/>
  <c r="F58" i="30"/>
  <c r="F42" i="30"/>
  <c r="F18" i="30"/>
  <c r="F31" i="30"/>
  <c r="F137" i="30"/>
  <c r="F29" i="30"/>
  <c r="F28" i="30"/>
  <c r="F67" i="30"/>
  <c r="F124" i="30"/>
  <c r="F21" i="30"/>
  <c r="F43" i="30"/>
  <c r="F79" i="30"/>
  <c r="F64" i="30"/>
  <c r="F119" i="30"/>
  <c r="F76" i="30"/>
  <c r="F41" i="30"/>
  <c r="F26" i="30"/>
  <c r="F66" i="30"/>
  <c r="F113" i="30"/>
  <c r="F87" i="30"/>
  <c r="F83" i="30"/>
  <c r="F122" i="30"/>
  <c r="F15" i="30"/>
  <c r="F99" i="30"/>
  <c r="F16" i="30"/>
  <c r="F27" i="30"/>
  <c r="F121" i="30"/>
  <c r="F117" i="30"/>
  <c r="F56" i="30"/>
  <c r="F120" i="30"/>
  <c r="F53" i="30"/>
  <c r="F68" i="30"/>
  <c r="F110" i="30"/>
  <c r="F82" i="30"/>
  <c r="F46" i="30"/>
  <c r="F101" i="30"/>
  <c r="F114" i="30"/>
  <c r="F130" i="30"/>
  <c r="F32" i="30"/>
  <c r="F77" i="30"/>
  <c r="F102" i="30"/>
  <c r="F52" i="30"/>
  <c r="F72" i="30"/>
  <c r="F118" i="30"/>
  <c r="F71" i="30"/>
  <c r="F98" i="30"/>
  <c r="F48" i="30"/>
  <c r="F135" i="30"/>
  <c r="F25" i="30"/>
  <c r="F17" i="30"/>
  <c r="F59" i="30"/>
  <c r="F23" i="30"/>
  <c r="F13" i="30"/>
  <c r="F89" i="30"/>
  <c r="F6" i="30"/>
  <c r="F106" i="30"/>
  <c r="F107" i="30"/>
  <c r="F33" i="30"/>
  <c r="F40" i="30"/>
  <c r="F84" i="30"/>
  <c r="F47" i="30"/>
  <c r="F44" i="30"/>
  <c r="F133" i="30"/>
  <c r="F5" i="30"/>
  <c r="F103" i="30"/>
  <c r="F24" i="30"/>
  <c r="F85" i="30"/>
  <c r="F100" i="30"/>
  <c r="F36" i="30"/>
  <c r="F61" i="30"/>
  <c r="F116" i="30"/>
  <c r="F136" i="30"/>
  <c r="F134" i="30"/>
  <c r="F111" i="30"/>
  <c r="F20" i="30"/>
  <c r="F69" i="30"/>
  <c r="F62" i="30"/>
  <c r="F126" i="30"/>
  <c r="F70" i="30"/>
  <c r="F78" i="30"/>
  <c r="F73" i="30"/>
  <c r="F49" i="30"/>
  <c r="F97" i="30"/>
  <c r="F75" i="30"/>
  <c r="F8" i="30"/>
  <c r="F94" i="30"/>
  <c r="F63" i="30"/>
  <c r="F93" i="30"/>
  <c r="F104" i="30"/>
  <c r="J10" i="13"/>
  <c r="BM6" i="13"/>
  <c r="AH10" i="13" s="1"/>
  <c r="H10" i="13"/>
  <c r="BI6" i="13"/>
  <c r="AF10" i="13" s="1"/>
  <c r="F10" i="13"/>
  <c r="BE6" i="13"/>
  <c r="AD10" i="13" s="1"/>
  <c r="D10" i="13"/>
  <c r="BA6" i="13"/>
  <c r="AB10" i="13" s="1"/>
  <c r="N10" i="13"/>
  <c r="BU6" i="13"/>
  <c r="AL10" i="13" s="1"/>
  <c r="L10" i="13"/>
  <c r="BQ6" i="13"/>
  <c r="AJ10" i="13" s="1"/>
  <c r="C10" i="13"/>
  <c r="AY6" i="13"/>
  <c r="AA10" i="13" s="1"/>
  <c r="I10" i="13"/>
  <c r="BK6" i="13"/>
  <c r="AG10" i="13" s="1"/>
  <c r="E10" i="13"/>
  <c r="BC6" i="13"/>
  <c r="AC10" i="13" s="1"/>
  <c r="M10" i="13"/>
  <c r="BS6" i="13"/>
  <c r="AK10" i="13" s="1"/>
  <c r="K10" i="13"/>
  <c r="BO6" i="13"/>
  <c r="AI10" i="13" s="1"/>
  <c r="G10" i="13"/>
  <c r="BG6" i="13"/>
  <c r="AE10" i="13" s="1"/>
  <c r="R123" i="12"/>
  <c r="R129" i="12"/>
  <c r="R67" i="12"/>
  <c r="R33" i="12"/>
  <c r="R115" i="12"/>
  <c r="R134" i="12"/>
  <c r="R70" i="12"/>
  <c r="R22" i="12"/>
  <c r="R25" i="12"/>
  <c r="R78" i="12"/>
  <c r="R55" i="12"/>
  <c r="R53" i="12"/>
  <c r="R38" i="12"/>
  <c r="R109" i="12"/>
  <c r="R114" i="12"/>
  <c r="R75" i="12"/>
  <c r="R23" i="12"/>
  <c r="R94" i="12"/>
  <c r="R104" i="12"/>
  <c r="R66" i="12"/>
  <c r="R13" i="12"/>
  <c r="R122" i="12"/>
  <c r="R130" i="12"/>
  <c r="R81" i="12"/>
  <c r="R50" i="12"/>
  <c r="R17" i="12"/>
  <c r="R95" i="12"/>
  <c r="R96" i="12"/>
  <c r="R47" i="12"/>
  <c r="R12" i="12"/>
  <c r="R87" i="12"/>
  <c r="R136" i="12"/>
  <c r="R62" i="12"/>
  <c r="R35" i="12"/>
  <c r="R84" i="12"/>
  <c r="R133" i="12"/>
  <c r="R61" i="12"/>
  <c r="R32" i="12"/>
  <c r="R121" i="12"/>
  <c r="R125" i="12"/>
  <c r="R64" i="12"/>
  <c r="R30" i="12"/>
  <c r="R86" i="12"/>
  <c r="R135" i="12"/>
  <c r="R69" i="12"/>
  <c r="R8" i="12"/>
  <c r="R21" i="12"/>
  <c r="R72" i="12"/>
  <c r="R83" i="12"/>
  <c r="R42" i="12"/>
  <c r="R37" i="12"/>
  <c r="R108" i="12"/>
  <c r="R113" i="12"/>
  <c r="R60" i="12"/>
  <c r="R20" i="12"/>
  <c r="R73" i="12"/>
  <c r="R110" i="12"/>
  <c r="R39" i="12"/>
  <c r="R48" i="12"/>
  <c r="R132" i="12"/>
  <c r="R126" i="12"/>
  <c r="R71" i="12"/>
  <c r="R45" i="12"/>
  <c r="R4" i="12"/>
  <c r="R93" i="12"/>
  <c r="R80" i="12"/>
  <c r="R40" i="12"/>
  <c r="R11" i="12"/>
  <c r="R92" i="12"/>
  <c r="R54" i="12"/>
  <c r="R26" i="12"/>
  <c r="R36" i="12"/>
  <c r="R120" i="12"/>
  <c r="R137" i="12"/>
  <c r="R51" i="12"/>
  <c r="R31" i="12"/>
  <c r="R103" i="12"/>
  <c r="R117" i="12"/>
  <c r="R59" i="12"/>
  <c r="R28" i="12"/>
  <c r="R76" i="12"/>
  <c r="R118" i="12"/>
  <c r="R58" i="12"/>
  <c r="R7" i="12"/>
  <c r="R5" i="12"/>
  <c r="R105" i="12"/>
  <c r="R82" i="12"/>
  <c r="R18" i="12"/>
  <c r="R24" i="12"/>
  <c r="R88" i="12"/>
  <c r="R102" i="12"/>
  <c r="R65" i="12"/>
  <c r="R10" i="12"/>
  <c r="R131" i="12"/>
  <c r="R106" i="12"/>
  <c r="R6" i="12"/>
  <c r="R46" i="12"/>
  <c r="R128" i="12"/>
  <c r="R91" i="12"/>
  <c r="R19" i="12"/>
  <c r="R44" i="12"/>
  <c r="R124" i="12"/>
  <c r="R100" i="12"/>
  <c r="R79" i="12"/>
  <c r="R29" i="12"/>
  <c r="R41" i="12"/>
  <c r="R90" i="12"/>
  <c r="R56" i="12"/>
  <c r="R74" i="12"/>
  <c r="R16" i="12"/>
  <c r="R119" i="12"/>
  <c r="R116" i="12"/>
  <c r="R43" i="12"/>
  <c r="R27" i="12"/>
  <c r="R97" i="12"/>
  <c r="R112" i="12"/>
  <c r="R77" i="12"/>
  <c r="R14" i="12"/>
  <c r="R85" i="12"/>
  <c r="R111" i="12"/>
  <c r="R57" i="12"/>
  <c r="R49" i="12"/>
  <c r="R101" i="12"/>
  <c r="R99" i="12"/>
  <c r="R52" i="12"/>
  <c r="R15" i="12"/>
  <c r="R107" i="12"/>
  <c r="R89" i="12"/>
  <c r="R63" i="12"/>
  <c r="R9" i="12"/>
  <c r="R127" i="12"/>
  <c r="R98" i="12"/>
  <c r="R68" i="12"/>
  <c r="R34" i="12"/>
  <c r="K137" i="31"/>
  <c r="K1" i="31" s="1"/>
  <c r="K137" i="12"/>
  <c r="Q43" i="12"/>
  <c r="U43" i="12" s="1"/>
  <c r="Q56" i="12"/>
  <c r="Q8" i="12"/>
  <c r="U8" i="12" s="1"/>
  <c r="Q93" i="12"/>
  <c r="Q112" i="12"/>
  <c r="Q60" i="12"/>
  <c r="U60" i="12" s="1"/>
  <c r="Q58" i="12"/>
  <c r="W58" i="12" s="1"/>
  <c r="Y58" i="12" s="1"/>
  <c r="Q98" i="12"/>
  <c r="Q49" i="12"/>
  <c r="Q42" i="12"/>
  <c r="W42" i="12" s="1"/>
  <c r="Y42" i="12" s="1"/>
  <c r="Q63" i="12"/>
  <c r="Q77" i="12"/>
  <c r="Q52" i="12"/>
  <c r="U52" i="12" s="1"/>
  <c r="Q64" i="12"/>
  <c r="Q128" i="12"/>
  <c r="Q89" i="12"/>
  <c r="Q92" i="12"/>
  <c r="U92" i="12" s="1"/>
  <c r="Q10" i="12"/>
  <c r="Q78" i="12"/>
  <c r="W78" i="12" s="1"/>
  <c r="Y78" i="12" s="1"/>
  <c r="Q71" i="12"/>
  <c r="Q101" i="12"/>
  <c r="Q108" i="12"/>
  <c r="Q102" i="12"/>
  <c r="U102" i="12" s="1"/>
  <c r="Q79" i="12"/>
  <c r="Q41" i="12"/>
  <c r="Q50" i="12"/>
  <c r="U50" i="12" s="1"/>
  <c r="Q106" i="12"/>
  <c r="W106" i="12" s="1"/>
  <c r="Y106" i="12" s="1"/>
  <c r="Q94" i="12"/>
  <c r="Q51" i="12"/>
  <c r="Q74" i="12"/>
  <c r="Q76" i="12"/>
  <c r="U76" i="12" s="1"/>
  <c r="W76" i="12" s="1"/>
  <c r="Y76" i="12" s="1"/>
  <c r="Q27" i="12"/>
  <c r="Q47" i="12"/>
  <c r="U47" i="12" s="1"/>
  <c r="W47" i="12" s="1"/>
  <c r="Y47" i="12" s="1"/>
  <c r="Q118" i="12"/>
  <c r="U118" i="12" s="1"/>
  <c r="W118" i="12" s="1"/>
  <c r="Y118" i="12" s="1"/>
  <c r="Q127" i="12"/>
  <c r="U127" i="12" s="1"/>
  <c r="W127" i="12" s="1"/>
  <c r="Y127" i="12" s="1"/>
  <c r="Q109" i="12"/>
  <c r="Q15" i="12"/>
  <c r="U15" i="12" s="1"/>
  <c r="W15" i="12" s="1"/>
  <c r="Y15" i="12" s="1"/>
  <c r="Q23" i="12"/>
  <c r="U23" i="12" s="1"/>
  <c r="W23" i="12" s="1"/>
  <c r="Y23" i="12" s="1"/>
  <c r="Q55" i="12"/>
  <c r="U55" i="12" s="1"/>
  <c r="W55" i="12" s="1"/>
  <c r="Y55" i="12" s="1"/>
  <c r="Q38" i="12"/>
  <c r="U38" i="12" s="1"/>
  <c r="W38" i="12" s="1"/>
  <c r="Y38" i="12" s="1"/>
  <c r="Q25" i="12"/>
  <c r="U25" i="12" s="1"/>
  <c r="W25" i="12" s="1"/>
  <c r="Y25" i="12" s="1"/>
  <c r="Q11" i="12"/>
  <c r="Q114" i="12"/>
  <c r="Q135" i="12"/>
  <c r="Q17" i="12"/>
  <c r="U17" i="12" s="1"/>
  <c r="W17" i="12" s="1"/>
  <c r="Y17" i="12" s="1"/>
  <c r="Q54" i="12"/>
  <c r="U54" i="12" s="1"/>
  <c r="W54" i="12" s="1"/>
  <c r="Y54" i="12" s="1"/>
  <c r="Q37" i="12"/>
  <c r="Q75" i="12"/>
  <c r="Q84" i="12"/>
  <c r="Q39" i="12"/>
  <c r="Q133" i="12"/>
  <c r="Q14" i="12"/>
  <c r="Q132" i="12"/>
  <c r="Q119" i="12"/>
  <c r="Q103" i="12"/>
  <c r="U103" i="12" s="1"/>
  <c r="W103" i="12" s="1"/>
  <c r="Y103" i="12" s="1"/>
  <c r="Q80" i="12"/>
  <c r="Q81" i="12"/>
  <c r="Q33" i="12"/>
  <c r="Q85" i="12"/>
  <c r="U85" i="12" s="1"/>
  <c r="W85" i="12" s="1"/>
  <c r="Y85" i="12" s="1"/>
  <c r="Q30" i="12"/>
  <c r="Q125" i="12"/>
  <c r="Q9" i="12"/>
  <c r="U9" i="12" s="1"/>
  <c r="W9" i="12" s="1"/>
  <c r="Y9" i="12" s="1"/>
  <c r="Q129" i="12"/>
  <c r="U129" i="12" s="1"/>
  <c r="W129" i="12" s="1"/>
  <c r="Y129" i="12" s="1"/>
  <c r="Q22" i="12"/>
  <c r="Q87" i="12"/>
  <c r="Q100" i="12"/>
  <c r="U100" i="12" s="1"/>
  <c r="W100" i="12" s="1"/>
  <c r="Y100" i="12" s="1"/>
  <c r="Q99" i="12"/>
  <c r="U99" i="12" s="1"/>
  <c r="W99" i="12" s="1"/>
  <c r="Y99" i="12" s="1"/>
  <c r="Q70" i="12"/>
  <c r="Q73" i="12"/>
  <c r="Q120" i="12"/>
  <c r="U120" i="12" s="1"/>
  <c r="W120" i="12" s="1"/>
  <c r="Y120" i="12" s="1"/>
  <c r="Q68" i="12"/>
  <c r="Q123" i="12"/>
  <c r="U123" i="12" s="1"/>
  <c r="W123" i="12" s="1"/>
  <c r="Y123" i="12" s="1"/>
  <c r="Q134" i="12"/>
  <c r="U134" i="12" s="1"/>
  <c r="W134" i="12" s="1"/>
  <c r="Y134" i="12" s="1"/>
  <c r="Q35" i="12"/>
  <c r="U35" i="12" s="1"/>
  <c r="W35" i="12" s="1"/>
  <c r="Y35" i="12" s="1"/>
  <c r="Q29" i="12"/>
  <c r="U29" i="12" s="1"/>
  <c r="W29" i="12" s="1"/>
  <c r="Y29" i="12" s="1"/>
  <c r="Q110" i="12"/>
  <c r="U110" i="12" s="1"/>
  <c r="W110" i="12" s="1"/>
  <c r="Y110" i="12" s="1"/>
  <c r="Q72" i="12"/>
  <c r="Q59" i="12"/>
  <c r="U59" i="12" s="1"/>
  <c r="W59" i="12" s="1"/>
  <c r="Y59" i="12" s="1"/>
  <c r="Q82" i="12"/>
  <c r="U82" i="12" s="1"/>
  <c r="W82" i="12" s="1"/>
  <c r="Y82" i="12" s="1"/>
  <c r="Q88" i="12"/>
  <c r="Q45" i="12"/>
  <c r="Q137" i="12"/>
  <c r="U137" i="12" s="1"/>
  <c r="Q5" i="12"/>
  <c r="U5" i="12" s="1"/>
  <c r="W5" i="12" s="1"/>
  <c r="Y5" i="12" s="1"/>
  <c r="Q16" i="12"/>
  <c r="Q19" i="12"/>
  <c r="Q105" i="12"/>
  <c r="U105" i="12" s="1"/>
  <c r="W105" i="12" s="1"/>
  <c r="Y105" i="12" s="1"/>
  <c r="Q28" i="12"/>
  <c r="U28" i="12" s="1"/>
  <c r="W28" i="12" s="1"/>
  <c r="Y28" i="12" s="1"/>
  <c r="Q20" i="12"/>
  <c r="Q69" i="12"/>
  <c r="U69" i="12" s="1"/>
  <c r="W69" i="12" s="1"/>
  <c r="Y69" i="12" s="1"/>
  <c r="Q31" i="12"/>
  <c r="Q131" i="12"/>
  <c r="U131" i="12" s="1"/>
  <c r="W131" i="12" s="1"/>
  <c r="Y131" i="12" s="1"/>
  <c r="Q65" i="12"/>
  <c r="Q107" i="12"/>
  <c r="Q124" i="12"/>
  <c r="U124" i="12" s="1"/>
  <c r="W124" i="12" s="1"/>
  <c r="Y124" i="12" s="1"/>
  <c r="Q36" i="12"/>
  <c r="U36" i="12" s="1"/>
  <c r="W36" i="12" s="1"/>
  <c r="Y36" i="12" s="1"/>
  <c r="Q6" i="12"/>
  <c r="Q113" i="12"/>
  <c r="U113" i="12" s="1"/>
  <c r="W113" i="12" s="1"/>
  <c r="Y113" i="12" s="1"/>
  <c r="Q21" i="12"/>
  <c r="Q116" i="12"/>
  <c r="U116" i="12" s="1"/>
  <c r="W116" i="12" s="1"/>
  <c r="Y116" i="12" s="1"/>
  <c r="Q12" i="12"/>
  <c r="Q62" i="12"/>
  <c r="U62" i="12" s="1"/>
  <c r="W62" i="12" s="1"/>
  <c r="Y62" i="12" s="1"/>
  <c r="Q97" i="12"/>
  <c r="U97" i="12" s="1"/>
  <c r="W97" i="12" s="1"/>
  <c r="Y97" i="12" s="1"/>
  <c r="Q91" i="12"/>
  <c r="U91" i="12" s="1"/>
  <c r="W91" i="12" s="1"/>
  <c r="Y91" i="12" s="1"/>
  <c r="Q18" i="12"/>
  <c r="Q53" i="12"/>
  <c r="Q34" i="12"/>
  <c r="U34" i="12" s="1"/>
  <c r="W34" i="12" s="1"/>
  <c r="Y34" i="12" s="1"/>
  <c r="Q130" i="12"/>
  <c r="U130" i="12" s="1"/>
  <c r="W130" i="12" s="1"/>
  <c r="Y130" i="12" s="1"/>
  <c r="Q122" i="12"/>
  <c r="Q4" i="12"/>
  <c r="Q44" i="12"/>
  <c r="U44" i="12" s="1"/>
  <c r="W44" i="12" s="1"/>
  <c r="Y44" i="12" s="1"/>
  <c r="Q121" i="12"/>
  <c r="Q136" i="12"/>
  <c r="Q117" i="12"/>
  <c r="U117" i="12" s="1"/>
  <c r="W117" i="12" s="1"/>
  <c r="Y117" i="12" s="1"/>
  <c r="Q86" i="12"/>
  <c r="U86" i="12" s="1"/>
  <c r="W86" i="12" s="1"/>
  <c r="Y86" i="12" s="1"/>
  <c r="Q90" i="12"/>
  <c r="U90" i="12" s="1"/>
  <c r="W90" i="12" s="1"/>
  <c r="Y90" i="12" s="1"/>
  <c r="Q61" i="12"/>
  <c r="U61" i="12" s="1"/>
  <c r="W61" i="12" s="1"/>
  <c r="Y61" i="12" s="1"/>
  <c r="Q13" i="12"/>
  <c r="U13" i="12" s="1"/>
  <c r="W13" i="12" s="1"/>
  <c r="Y13" i="12" s="1"/>
  <c r="Q95" i="12"/>
  <c r="U95" i="12" s="1"/>
  <c r="W95" i="12" s="1"/>
  <c r="Y95" i="12" s="1"/>
  <c r="Q83" i="12"/>
  <c r="U83" i="12" s="1"/>
  <c r="W83" i="12" s="1"/>
  <c r="Y83" i="12" s="1"/>
  <c r="Q26" i="12"/>
  <c r="Q48" i="12"/>
  <c r="Q115" i="12"/>
  <c r="U115" i="12" s="1"/>
  <c r="W115" i="12" s="1"/>
  <c r="Y115" i="12" s="1"/>
  <c r="Q104" i="12"/>
  <c r="U104" i="12" s="1"/>
  <c r="W104" i="12" s="1"/>
  <c r="Y104" i="12" s="1"/>
  <c r="Q66" i="12"/>
  <c r="Q46" i="12"/>
  <c r="U46" i="12" s="1"/>
  <c r="W46" i="12" s="1"/>
  <c r="Y46" i="12" s="1"/>
  <c r="Q7" i="12"/>
  <c r="Q32" i="12"/>
  <c r="U32" i="12" s="1"/>
  <c r="W32" i="12" s="1"/>
  <c r="Y32" i="12" s="1"/>
  <c r="Q40" i="12"/>
  <c r="Q57" i="12"/>
  <c r="U57" i="12" s="1"/>
  <c r="W57" i="12" s="1"/>
  <c r="Y57" i="12" s="1"/>
  <c r="Q24" i="12"/>
  <c r="U24" i="12" s="1"/>
  <c r="W24" i="12" s="1"/>
  <c r="Y24" i="12" s="1"/>
  <c r="Q111" i="12"/>
  <c r="U111" i="12" s="1"/>
  <c r="W111" i="12" s="1"/>
  <c r="Y111" i="12" s="1"/>
  <c r="Q126" i="12"/>
  <c r="U126" i="12" s="1"/>
  <c r="W126" i="12" s="1"/>
  <c r="Y126" i="12" s="1"/>
  <c r="Q96" i="12"/>
  <c r="Q67" i="12"/>
  <c r="U67" i="12" s="1"/>
  <c r="W67" i="12" s="1"/>
  <c r="Y67" i="12" s="1"/>
  <c r="R6" i="31"/>
  <c r="R18" i="31"/>
  <c r="R26" i="31"/>
  <c r="R34" i="31"/>
  <c r="R46" i="31"/>
  <c r="U46" i="31" s="1"/>
  <c r="W46" i="31" s="1"/>
  <c r="Y46" i="31" s="1"/>
  <c r="R63" i="31"/>
  <c r="U63" i="31" s="1"/>
  <c r="R79" i="31"/>
  <c r="U79" i="31" s="1"/>
  <c r="R85" i="31"/>
  <c r="U85" i="31" s="1"/>
  <c r="W85" i="31" s="1"/>
  <c r="Y85" i="31" s="1"/>
  <c r="R91" i="31"/>
  <c r="U91" i="31" s="1"/>
  <c r="W91" i="31" s="1"/>
  <c r="Y91" i="31" s="1"/>
  <c r="R102" i="31"/>
  <c r="U102" i="31" s="1"/>
  <c r="R117" i="31"/>
  <c r="R125" i="31"/>
  <c r="R131" i="31"/>
  <c r="R9" i="31"/>
  <c r="R15" i="31"/>
  <c r="R23" i="31"/>
  <c r="U23" i="31" s="1"/>
  <c r="W23" i="31" s="1"/>
  <c r="Y23" i="31" s="1"/>
  <c r="R31" i="31"/>
  <c r="R39" i="31"/>
  <c r="U39" i="31" s="1"/>
  <c r="W39" i="31" s="1"/>
  <c r="Y39" i="31" s="1"/>
  <c r="R42" i="31"/>
  <c r="W42" i="31" s="1"/>
  <c r="Y42" i="31" s="1"/>
  <c r="R56" i="31"/>
  <c r="R75" i="31"/>
  <c r="R82" i="31"/>
  <c r="R95" i="31"/>
  <c r="U95" i="31" s="1"/>
  <c r="W95" i="31" s="1"/>
  <c r="Y95" i="31" s="1"/>
  <c r="R98" i="31"/>
  <c r="W98" i="31" s="1"/>
  <c r="Y98" i="31" s="1"/>
  <c r="R101" i="31"/>
  <c r="U101" i="31" s="1"/>
  <c r="R105" i="31"/>
  <c r="R108" i="31"/>
  <c r="R111" i="31"/>
  <c r="R114" i="31"/>
  <c r="R122" i="31"/>
  <c r="R136" i="31"/>
  <c r="R5" i="31"/>
  <c r="R8" i="31"/>
  <c r="U8" i="31" s="1"/>
  <c r="R12" i="31"/>
  <c r="R20" i="31"/>
  <c r="R28" i="31"/>
  <c r="R36" i="31"/>
  <c r="R48" i="31"/>
  <c r="R53" i="31"/>
  <c r="U53" i="31" s="1"/>
  <c r="W53" i="31" s="1"/>
  <c r="Y53" i="31" s="1"/>
  <c r="R59" i="31"/>
  <c r="R66" i="31"/>
  <c r="R69" i="31"/>
  <c r="R72" i="31"/>
  <c r="R78" i="31"/>
  <c r="W78" i="31" s="1"/>
  <c r="Y78" i="31" s="1"/>
  <c r="R87" i="31"/>
  <c r="R94" i="31"/>
  <c r="U94" i="31" s="1"/>
  <c r="R119" i="31"/>
  <c r="R127" i="31"/>
  <c r="R133" i="31"/>
  <c r="R4" i="30"/>
  <c r="R17" i="31"/>
  <c r="U17" i="31" s="1"/>
  <c r="W17" i="31" s="1"/>
  <c r="Y17" i="31" s="1"/>
  <c r="R25" i="31"/>
  <c r="U25" i="31" s="1"/>
  <c r="W25" i="31" s="1"/>
  <c r="Y25" i="31" s="1"/>
  <c r="R33" i="31"/>
  <c r="R41" i="31"/>
  <c r="R45" i="31"/>
  <c r="U45" i="31" s="1"/>
  <c r="W45" i="31" s="1"/>
  <c r="Y45" i="31" s="1"/>
  <c r="R52" i="31"/>
  <c r="U52" i="31" s="1"/>
  <c r="R62" i="31"/>
  <c r="U62" i="31" s="1"/>
  <c r="W62" i="31" s="1"/>
  <c r="Y62" i="31" s="1"/>
  <c r="R77" i="31"/>
  <c r="U77" i="31" s="1"/>
  <c r="R84" i="31"/>
  <c r="R90" i="31"/>
  <c r="U90" i="31" s="1"/>
  <c r="W90" i="31" s="1"/>
  <c r="Y90" i="31" s="1"/>
  <c r="R116" i="31"/>
  <c r="U116" i="31" s="1"/>
  <c r="W116" i="31" s="1"/>
  <c r="Y116" i="31" s="1"/>
  <c r="R124" i="31"/>
  <c r="R130" i="31"/>
  <c r="R14" i="31"/>
  <c r="R22" i="31"/>
  <c r="R30" i="31"/>
  <c r="R38" i="31"/>
  <c r="R55" i="31"/>
  <c r="R58" i="31"/>
  <c r="W58" i="31" s="1"/>
  <c r="Y58" i="31" s="1"/>
  <c r="R71" i="31"/>
  <c r="W71" i="31" s="1"/>
  <c r="Y71" i="31" s="1"/>
  <c r="R74" i="31"/>
  <c r="U74" i="31" s="1"/>
  <c r="W74" i="31" s="1"/>
  <c r="Y74" i="31" s="1"/>
  <c r="R81" i="31"/>
  <c r="R89" i="31"/>
  <c r="U89" i="31" s="1"/>
  <c r="R93" i="31"/>
  <c r="W93" i="31" s="1"/>
  <c r="Y93" i="31" s="1"/>
  <c r="R97" i="31"/>
  <c r="U97" i="31" s="1"/>
  <c r="W97" i="31" s="1"/>
  <c r="Y97" i="31" s="1"/>
  <c r="R100" i="31"/>
  <c r="R104" i="31"/>
  <c r="R107" i="31"/>
  <c r="R110" i="31"/>
  <c r="R113" i="31"/>
  <c r="R121" i="31"/>
  <c r="R135" i="31"/>
  <c r="R4" i="31"/>
  <c r="R7" i="31"/>
  <c r="R11" i="31"/>
  <c r="R19" i="31"/>
  <c r="R27" i="31"/>
  <c r="U27" i="31" s="1"/>
  <c r="W27" i="31" s="1"/>
  <c r="Y27" i="31" s="1"/>
  <c r="R35" i="31"/>
  <c r="R47" i="31"/>
  <c r="U47" i="31" s="1"/>
  <c r="W47" i="31" s="1"/>
  <c r="Y47" i="31" s="1"/>
  <c r="R51" i="31"/>
  <c r="W51" i="31" s="1"/>
  <c r="Y51" i="31" s="1"/>
  <c r="R65" i="31"/>
  <c r="R68" i="31"/>
  <c r="U68" i="31" s="1"/>
  <c r="W68" i="31" s="1"/>
  <c r="Y68" i="31" s="1"/>
  <c r="R86" i="31"/>
  <c r="R92" i="31"/>
  <c r="U92" i="31" s="1"/>
  <c r="R118" i="31"/>
  <c r="R126" i="31"/>
  <c r="R132" i="31"/>
  <c r="R10" i="31"/>
  <c r="U10" i="31" s="1"/>
  <c r="R16" i="31"/>
  <c r="R24" i="31"/>
  <c r="R32" i="31"/>
  <c r="R40" i="31"/>
  <c r="R44" i="31"/>
  <c r="R50" i="31"/>
  <c r="U50" i="31" s="1"/>
  <c r="R61" i="31"/>
  <c r="R76" i="31"/>
  <c r="R83" i="31"/>
  <c r="R96" i="31"/>
  <c r="R106" i="31"/>
  <c r="W106" i="31" s="1"/>
  <c r="Y106" i="31" s="1"/>
  <c r="R112" i="31"/>
  <c r="W112" i="31" s="1"/>
  <c r="Y112" i="31" s="1"/>
  <c r="R115" i="31"/>
  <c r="R123" i="31"/>
  <c r="R129" i="31"/>
  <c r="R137" i="31"/>
  <c r="R13" i="31"/>
  <c r="U13" i="31" s="1"/>
  <c r="W13" i="31" s="1"/>
  <c r="Y13" i="31" s="1"/>
  <c r="R21" i="31"/>
  <c r="R29" i="31"/>
  <c r="R37" i="31"/>
  <c r="R43" i="31"/>
  <c r="U43" i="31" s="1"/>
  <c r="R49" i="31"/>
  <c r="U49" i="31" s="1"/>
  <c r="R54" i="31"/>
  <c r="R57" i="31"/>
  <c r="R60" i="31"/>
  <c r="U60" i="31" s="1"/>
  <c r="R64" i="31"/>
  <c r="W64" i="31" s="1"/>
  <c r="Y64" i="31" s="1"/>
  <c r="R67" i="31"/>
  <c r="R70" i="31"/>
  <c r="R73" i="31"/>
  <c r="R80" i="31"/>
  <c r="U80" i="31" s="1"/>
  <c r="W80" i="31" s="1"/>
  <c r="Y80" i="31" s="1"/>
  <c r="R88" i="31"/>
  <c r="R99" i="31"/>
  <c r="U99" i="31" s="1"/>
  <c r="W99" i="31" s="1"/>
  <c r="Y99" i="31" s="1"/>
  <c r="R103" i="31"/>
  <c r="R109" i="31"/>
  <c r="R120" i="31"/>
  <c r="R128" i="31"/>
  <c r="U128" i="31" s="1"/>
  <c r="R134" i="31"/>
  <c r="J138" i="1"/>
  <c r="V137" i="12"/>
  <c r="A7" i="20"/>
  <c r="A8" i="20"/>
  <c r="W64" i="12" l="1"/>
  <c r="Y64" i="12" s="1"/>
  <c r="W93" i="12"/>
  <c r="Y93" i="12" s="1"/>
  <c r="U74" i="12"/>
  <c r="W74" i="12" s="1"/>
  <c r="Y74" i="12" s="1"/>
  <c r="U10" i="12"/>
  <c r="U77" i="12"/>
  <c r="U119" i="12"/>
  <c r="W119" i="12" s="1"/>
  <c r="Y119" i="12" s="1"/>
  <c r="U126" i="30"/>
  <c r="W126" i="30" s="1"/>
  <c r="Y126" i="30" s="1"/>
  <c r="W58" i="30"/>
  <c r="Y58" i="30" s="1"/>
  <c r="U104" i="30"/>
  <c r="W104" i="30" s="1"/>
  <c r="Y104" i="30" s="1"/>
  <c r="U128" i="12"/>
  <c r="R1" i="31"/>
  <c r="U49" i="12"/>
  <c r="G6" i="12"/>
  <c r="AC6" i="12" s="1"/>
  <c r="G10" i="12"/>
  <c r="AC10" i="12" s="1"/>
  <c r="G14" i="12"/>
  <c r="AC14" i="12" s="1"/>
  <c r="G18" i="12"/>
  <c r="AC18" i="12" s="1"/>
  <c r="G22" i="12"/>
  <c r="AC22" i="12" s="1"/>
  <c r="G26" i="12"/>
  <c r="AC26" i="12" s="1"/>
  <c r="G30" i="12"/>
  <c r="AC30" i="12" s="1"/>
  <c r="G34" i="12"/>
  <c r="AC34" i="12" s="1"/>
  <c r="G38" i="12"/>
  <c r="AC38" i="12" s="1"/>
  <c r="G42" i="12"/>
  <c r="AC42" i="12" s="1"/>
  <c r="G46" i="12"/>
  <c r="AC46" i="12" s="1"/>
  <c r="G50" i="12"/>
  <c r="AC50" i="12" s="1"/>
  <c r="G54" i="12"/>
  <c r="AC54" i="12" s="1"/>
  <c r="G58" i="12"/>
  <c r="AC58" i="12" s="1"/>
  <c r="G62" i="12"/>
  <c r="AC62" i="12" s="1"/>
  <c r="G66" i="12"/>
  <c r="AC66" i="12" s="1"/>
  <c r="G70" i="12"/>
  <c r="AC70" i="12" s="1"/>
  <c r="G74" i="12"/>
  <c r="AC74" i="12" s="1"/>
  <c r="G78" i="12"/>
  <c r="AC78" i="12" s="1"/>
  <c r="G82" i="12"/>
  <c r="AC82" i="12" s="1"/>
  <c r="G86" i="12"/>
  <c r="AC86" i="12" s="1"/>
  <c r="G90" i="12"/>
  <c r="AC90" i="12" s="1"/>
  <c r="G94" i="12"/>
  <c r="AC94" i="12" s="1"/>
  <c r="G98" i="12"/>
  <c r="AC98" i="12" s="1"/>
  <c r="G102" i="12"/>
  <c r="AC102" i="12" s="1"/>
  <c r="G106" i="12"/>
  <c r="AC106" i="12" s="1"/>
  <c r="G110" i="12"/>
  <c r="AC110" i="12" s="1"/>
  <c r="G114" i="12"/>
  <c r="AC114" i="12" s="1"/>
  <c r="G118" i="12"/>
  <c r="AC118" i="12" s="1"/>
  <c r="G122" i="12"/>
  <c r="AC122" i="12" s="1"/>
  <c r="G126" i="12"/>
  <c r="AC126" i="12" s="1"/>
  <c r="G130" i="12"/>
  <c r="AC130" i="12" s="1"/>
  <c r="G7" i="12"/>
  <c r="AC7" i="12" s="1"/>
  <c r="G11" i="12"/>
  <c r="AC11" i="12" s="1"/>
  <c r="G15" i="12"/>
  <c r="AC15" i="12" s="1"/>
  <c r="G19" i="12"/>
  <c r="AC19" i="12" s="1"/>
  <c r="G23" i="12"/>
  <c r="AC23" i="12" s="1"/>
  <c r="G27" i="12"/>
  <c r="AC27" i="12" s="1"/>
  <c r="G31" i="12"/>
  <c r="AC31" i="12" s="1"/>
  <c r="G35" i="12"/>
  <c r="AC35" i="12" s="1"/>
  <c r="G39" i="12"/>
  <c r="AC39" i="12" s="1"/>
  <c r="G43" i="12"/>
  <c r="AC43" i="12" s="1"/>
  <c r="G47" i="12"/>
  <c r="AC47" i="12" s="1"/>
  <c r="G51" i="12"/>
  <c r="AC51" i="12" s="1"/>
  <c r="G55" i="12"/>
  <c r="AC55" i="12" s="1"/>
  <c r="G59" i="12"/>
  <c r="AC59" i="12" s="1"/>
  <c r="G63" i="12"/>
  <c r="AC63" i="12" s="1"/>
  <c r="G67" i="12"/>
  <c r="AC67" i="12" s="1"/>
  <c r="G71" i="12"/>
  <c r="AC71" i="12" s="1"/>
  <c r="G75" i="12"/>
  <c r="AC75" i="12" s="1"/>
  <c r="G79" i="12"/>
  <c r="AC79" i="12" s="1"/>
  <c r="G83" i="12"/>
  <c r="AC83" i="12" s="1"/>
  <c r="G87" i="12"/>
  <c r="AC87" i="12" s="1"/>
  <c r="G91" i="12"/>
  <c r="AC91" i="12" s="1"/>
  <c r="G95" i="12"/>
  <c r="AC95" i="12" s="1"/>
  <c r="G99" i="12"/>
  <c r="AC99" i="12" s="1"/>
  <c r="G103" i="12"/>
  <c r="AC103" i="12" s="1"/>
  <c r="G107" i="12"/>
  <c r="AC107" i="12" s="1"/>
  <c r="G111" i="12"/>
  <c r="AC111" i="12" s="1"/>
  <c r="G115" i="12"/>
  <c r="AC115" i="12" s="1"/>
  <c r="G119" i="12"/>
  <c r="AC119" i="12" s="1"/>
  <c r="G123" i="12"/>
  <c r="AC123" i="12" s="1"/>
  <c r="G127" i="12"/>
  <c r="AC127" i="12" s="1"/>
  <c r="G131" i="12"/>
  <c r="AC131" i="12" s="1"/>
  <c r="G135" i="12"/>
  <c r="AC135" i="12" s="1"/>
  <c r="G8" i="12"/>
  <c r="AC8" i="12" s="1"/>
  <c r="G12" i="12"/>
  <c r="AC12" i="12" s="1"/>
  <c r="G16" i="12"/>
  <c r="AC16" i="12" s="1"/>
  <c r="G20" i="12"/>
  <c r="AC20" i="12" s="1"/>
  <c r="G24" i="12"/>
  <c r="AC24" i="12" s="1"/>
  <c r="G28" i="12"/>
  <c r="AC28" i="12" s="1"/>
  <c r="G32" i="12"/>
  <c r="AC32" i="12" s="1"/>
  <c r="G36" i="12"/>
  <c r="AC36" i="12" s="1"/>
  <c r="G40" i="12"/>
  <c r="AC40" i="12" s="1"/>
  <c r="G44" i="12"/>
  <c r="AC44" i="12" s="1"/>
  <c r="G48" i="12"/>
  <c r="AC48" i="12" s="1"/>
  <c r="G52" i="12"/>
  <c r="AC52" i="12" s="1"/>
  <c r="G56" i="12"/>
  <c r="AC56" i="12" s="1"/>
  <c r="G60" i="12"/>
  <c r="AC60" i="12" s="1"/>
  <c r="G64" i="12"/>
  <c r="AC64" i="12" s="1"/>
  <c r="G68" i="12"/>
  <c r="AC68" i="12" s="1"/>
  <c r="G72" i="12"/>
  <c r="AC72" i="12" s="1"/>
  <c r="G76" i="12"/>
  <c r="AC76" i="12" s="1"/>
  <c r="G80" i="12"/>
  <c r="AC80" i="12" s="1"/>
  <c r="G84" i="12"/>
  <c r="AC84" i="12" s="1"/>
  <c r="G88" i="12"/>
  <c r="AC88" i="12" s="1"/>
  <c r="G92" i="12"/>
  <c r="AC92" i="12" s="1"/>
  <c r="G96" i="12"/>
  <c r="AC96" i="12" s="1"/>
  <c r="G100" i="12"/>
  <c r="AC100" i="12" s="1"/>
  <c r="G104" i="12"/>
  <c r="AC104" i="12" s="1"/>
  <c r="G108" i="12"/>
  <c r="AC108" i="12" s="1"/>
  <c r="G112" i="12"/>
  <c r="AC112" i="12" s="1"/>
  <c r="G116" i="12"/>
  <c r="AC116" i="12" s="1"/>
  <c r="G120" i="12"/>
  <c r="AC120" i="12" s="1"/>
  <c r="G124" i="12"/>
  <c r="AC124" i="12" s="1"/>
  <c r="G128" i="12"/>
  <c r="G132" i="12"/>
  <c r="AC132" i="12" s="1"/>
  <c r="G13" i="12"/>
  <c r="AC13" i="12" s="1"/>
  <c r="G29" i="12"/>
  <c r="AC29" i="12" s="1"/>
  <c r="G45" i="12"/>
  <c r="AC45" i="12" s="1"/>
  <c r="G61" i="12"/>
  <c r="AC61" i="12" s="1"/>
  <c r="G77" i="12"/>
  <c r="AC77" i="12" s="1"/>
  <c r="G93" i="12"/>
  <c r="AC93" i="12" s="1"/>
  <c r="G109" i="12"/>
  <c r="AC109" i="12" s="1"/>
  <c r="G125" i="12"/>
  <c r="AC125" i="12" s="1"/>
  <c r="G136" i="12"/>
  <c r="AC136" i="12" s="1"/>
  <c r="G25" i="12"/>
  <c r="AC25" i="12" s="1"/>
  <c r="G57" i="12"/>
  <c r="AC57" i="12" s="1"/>
  <c r="G105" i="12"/>
  <c r="AC105" i="12" s="1"/>
  <c r="G17" i="12"/>
  <c r="AC17" i="12" s="1"/>
  <c r="G33" i="12"/>
  <c r="AC33" i="12" s="1"/>
  <c r="G49" i="12"/>
  <c r="AC49" i="12" s="1"/>
  <c r="G65" i="12"/>
  <c r="AC65" i="12" s="1"/>
  <c r="G81" i="12"/>
  <c r="AC81" i="12" s="1"/>
  <c r="G97" i="12"/>
  <c r="AC97" i="12" s="1"/>
  <c r="G113" i="12"/>
  <c r="AC113" i="12" s="1"/>
  <c r="G129" i="12"/>
  <c r="AC129" i="12" s="1"/>
  <c r="G137" i="12"/>
  <c r="AC137" i="12" s="1"/>
  <c r="G9" i="12"/>
  <c r="AC9" i="12" s="1"/>
  <c r="G89" i="12"/>
  <c r="AC89" i="12" s="1"/>
  <c r="G134" i="12"/>
  <c r="AC134" i="12" s="1"/>
  <c r="G5" i="12"/>
  <c r="AC5" i="12" s="1"/>
  <c r="G21" i="12"/>
  <c r="AC21" i="12" s="1"/>
  <c r="G37" i="12"/>
  <c r="AC37" i="12" s="1"/>
  <c r="G53" i="12"/>
  <c r="AC53" i="12" s="1"/>
  <c r="G69" i="12"/>
  <c r="AC69" i="12" s="1"/>
  <c r="G85" i="12"/>
  <c r="AC85" i="12" s="1"/>
  <c r="G101" i="12"/>
  <c r="AC101" i="12" s="1"/>
  <c r="G117" i="12"/>
  <c r="AC117" i="12" s="1"/>
  <c r="G133" i="12"/>
  <c r="AC133" i="12" s="1"/>
  <c r="G41" i="12"/>
  <c r="AC41" i="12" s="1"/>
  <c r="G73" i="12"/>
  <c r="AC73" i="12" s="1"/>
  <c r="G121" i="12"/>
  <c r="AC121" i="12" s="1"/>
  <c r="G93" i="31"/>
  <c r="G64" i="31"/>
  <c r="G56" i="31"/>
  <c r="G78" i="31"/>
  <c r="G51" i="31"/>
  <c r="G112" i="31"/>
  <c r="G67" i="31"/>
  <c r="G106" i="31"/>
  <c r="G42" i="31"/>
  <c r="G96" i="31"/>
  <c r="G71" i="31"/>
  <c r="G128" i="30"/>
  <c r="G77" i="30"/>
  <c r="G78" i="30"/>
  <c r="G81" i="30"/>
  <c r="G71" i="30"/>
  <c r="G46" i="30"/>
  <c r="G24" i="30"/>
  <c r="G37" i="30"/>
  <c r="G29" i="30"/>
  <c r="G6" i="30"/>
  <c r="G99" i="30"/>
  <c r="G86" i="30"/>
  <c r="G121" i="30"/>
  <c r="G127" i="30"/>
  <c r="G125" i="30"/>
  <c r="G131" i="30"/>
  <c r="G96" i="30"/>
  <c r="G100" i="30"/>
  <c r="G85" i="30"/>
  <c r="G56" i="30"/>
  <c r="G72" i="30"/>
  <c r="G45" i="30"/>
  <c r="G28" i="30"/>
  <c r="G13" i="30"/>
  <c r="G9" i="30"/>
  <c r="G91" i="30"/>
  <c r="G101" i="30"/>
  <c r="G113" i="30"/>
  <c r="G135" i="30"/>
  <c r="G116" i="30"/>
  <c r="G115" i="30"/>
  <c r="G104" i="30"/>
  <c r="G88" i="30"/>
  <c r="G75" i="30"/>
  <c r="G67" i="30"/>
  <c r="G59" i="30"/>
  <c r="G54" i="30"/>
  <c r="G48" i="30"/>
  <c r="G44" i="30"/>
  <c r="G14" i="30"/>
  <c r="G12" i="30"/>
  <c r="G112" i="30"/>
  <c r="G108" i="30"/>
  <c r="G103" i="30"/>
  <c r="G39" i="30"/>
  <c r="G19" i="30"/>
  <c r="G11" i="30"/>
  <c r="G69" i="30"/>
  <c r="G105" i="30"/>
  <c r="G122" i="30"/>
  <c r="G97" i="30"/>
  <c r="G74" i="30"/>
  <c r="G41" i="30"/>
  <c r="G8" i="30"/>
  <c r="G102" i="30"/>
  <c r="G73" i="30"/>
  <c r="G120" i="30"/>
  <c r="G79" i="30"/>
  <c r="G70" i="30"/>
  <c r="G27" i="30"/>
  <c r="G98" i="30"/>
  <c r="G47" i="30"/>
  <c r="G65" i="30"/>
  <c r="G40" i="30"/>
  <c r="G126" i="30"/>
  <c r="G133" i="30"/>
  <c r="G106" i="30"/>
  <c r="G130" i="30"/>
  <c r="G109" i="30"/>
  <c r="G83" i="30"/>
  <c r="G64" i="30"/>
  <c r="G52" i="30"/>
  <c r="G58" i="30"/>
  <c r="G49" i="30"/>
  <c r="G42" i="30"/>
  <c r="G30" i="30"/>
  <c r="G66" i="30"/>
  <c r="G110" i="30"/>
  <c r="G31" i="30"/>
  <c r="G111" i="30"/>
  <c r="G84" i="30"/>
  <c r="G94" i="30"/>
  <c r="G18" i="30"/>
  <c r="G92" i="30"/>
  <c r="G82" i="30"/>
  <c r="G61" i="30"/>
  <c r="G57" i="30"/>
  <c r="G51" i="30"/>
  <c r="G34" i="30"/>
  <c r="G26" i="30"/>
  <c r="G25" i="30"/>
  <c r="G10" i="30"/>
  <c r="G7" i="30"/>
  <c r="G137" i="30"/>
  <c r="G136" i="30"/>
  <c r="G118" i="30"/>
  <c r="G129" i="30"/>
  <c r="G114" i="30"/>
  <c r="G80" i="30"/>
  <c r="G90" i="30"/>
  <c r="G60" i="30"/>
  <c r="G55" i="30"/>
  <c r="G50" i="30"/>
  <c r="G33" i="30"/>
  <c r="G21" i="30"/>
  <c r="G16" i="30"/>
  <c r="G132" i="30"/>
  <c r="G119" i="30"/>
  <c r="G117" i="30"/>
  <c r="G124" i="30"/>
  <c r="G123" i="30"/>
  <c r="G89" i="30"/>
  <c r="G95" i="30"/>
  <c r="G76" i="30"/>
  <c r="G68" i="30"/>
  <c r="G53" i="30"/>
  <c r="G32" i="30"/>
  <c r="G22" i="30"/>
  <c r="G20" i="30"/>
  <c r="G5" i="30"/>
  <c r="G62" i="30"/>
  <c r="G23" i="30"/>
  <c r="G35" i="30"/>
  <c r="G38" i="30"/>
  <c r="G15" i="30"/>
  <c r="G43" i="30"/>
  <c r="G36" i="30"/>
  <c r="G93" i="30"/>
  <c r="G107" i="30"/>
  <c r="G134" i="30"/>
  <c r="G87" i="30"/>
  <c r="G63" i="30"/>
  <c r="G17" i="30"/>
  <c r="G108" i="31"/>
  <c r="G5" i="31"/>
  <c r="G58" i="31"/>
  <c r="G98" i="31"/>
  <c r="G41" i="31"/>
  <c r="U48" i="12"/>
  <c r="W48" i="12" s="1"/>
  <c r="Y48" i="12" s="1"/>
  <c r="U107" i="12"/>
  <c r="W107" i="12" s="1"/>
  <c r="Y107" i="12" s="1"/>
  <c r="U87" i="12"/>
  <c r="W87" i="12" s="1"/>
  <c r="Y87" i="12" s="1"/>
  <c r="W51" i="12"/>
  <c r="Y51" i="12" s="1"/>
  <c r="U101" i="12"/>
  <c r="U40" i="12"/>
  <c r="W40" i="12" s="1"/>
  <c r="Y40" i="12" s="1"/>
  <c r="U26" i="12"/>
  <c r="W26" i="12" s="1"/>
  <c r="Y26" i="12" s="1"/>
  <c r="U122" i="12"/>
  <c r="W122" i="12" s="1"/>
  <c r="Y122" i="12" s="1"/>
  <c r="U12" i="12"/>
  <c r="W12" i="12" s="1"/>
  <c r="Y12" i="12" s="1"/>
  <c r="U20" i="12"/>
  <c r="W20" i="12" s="1"/>
  <c r="Y20" i="12" s="1"/>
  <c r="U16" i="12"/>
  <c r="W16" i="12" s="1"/>
  <c r="Y16" i="12" s="1"/>
  <c r="U88" i="12"/>
  <c r="W88" i="12" s="1"/>
  <c r="Y88" i="12" s="1"/>
  <c r="U70" i="12"/>
  <c r="W70" i="12" s="1"/>
  <c r="Y70" i="12" s="1"/>
  <c r="U30" i="12"/>
  <c r="W30" i="12" s="1"/>
  <c r="Y30" i="12" s="1"/>
  <c r="U80" i="12"/>
  <c r="W80" i="12" s="1"/>
  <c r="Y80" i="12" s="1"/>
  <c r="U14" i="12"/>
  <c r="W14" i="12" s="1"/>
  <c r="Y14" i="12" s="1"/>
  <c r="U109" i="12"/>
  <c r="W109" i="12" s="1"/>
  <c r="Y109" i="12" s="1"/>
  <c r="U27" i="12"/>
  <c r="W27" i="12" s="1"/>
  <c r="Y27" i="12" s="1"/>
  <c r="U94" i="12"/>
  <c r="W71" i="12"/>
  <c r="Y71" i="12" s="1"/>
  <c r="U108" i="12"/>
  <c r="W108" i="12" s="1"/>
  <c r="Y108" i="12" s="1"/>
  <c r="U56" i="12"/>
  <c r="W56" i="12" s="1"/>
  <c r="Y56" i="12" s="1"/>
  <c r="U41" i="31"/>
  <c r="W41" i="31" s="1"/>
  <c r="Y41" i="31" s="1"/>
  <c r="U56" i="31"/>
  <c r="W56" i="31" s="1"/>
  <c r="Y56" i="31" s="1"/>
  <c r="U108" i="31"/>
  <c r="W108" i="31" s="1"/>
  <c r="Y108" i="31" s="1"/>
  <c r="U41" i="12"/>
  <c r="W41" i="12" s="1"/>
  <c r="Y41" i="12" s="1"/>
  <c r="U68" i="12"/>
  <c r="W68" i="12" s="1"/>
  <c r="Y68" i="12" s="1"/>
  <c r="U63" i="12"/>
  <c r="U121" i="12"/>
  <c r="W121" i="12" s="1"/>
  <c r="Y121" i="12" s="1"/>
  <c r="U133" i="12"/>
  <c r="W133" i="12" s="1"/>
  <c r="Y133" i="12" s="1"/>
  <c r="U37" i="12"/>
  <c r="W37" i="12" s="1"/>
  <c r="Y37" i="12" s="1"/>
  <c r="U114" i="12"/>
  <c r="W114" i="12" s="1"/>
  <c r="Y114" i="12" s="1"/>
  <c r="U7" i="12"/>
  <c r="W7" i="12" s="1"/>
  <c r="Y7" i="12" s="1"/>
  <c r="U21" i="12"/>
  <c r="W21" i="12" s="1"/>
  <c r="Y21" i="12" s="1"/>
  <c r="U31" i="12"/>
  <c r="W31" i="12" s="1"/>
  <c r="Y31" i="12" s="1"/>
  <c r="W137" i="12"/>
  <c r="Y137" i="12" s="1"/>
  <c r="U33" i="12"/>
  <c r="W33" i="12" s="1"/>
  <c r="Y33" i="12" s="1"/>
  <c r="U39" i="12"/>
  <c r="W39" i="12" s="1"/>
  <c r="Y39" i="12" s="1"/>
  <c r="U11" i="12"/>
  <c r="W11" i="12" s="1"/>
  <c r="Y11" i="12" s="1"/>
  <c r="U96" i="12"/>
  <c r="W96" i="12" s="1"/>
  <c r="Y96" i="12" s="1"/>
  <c r="U4" i="12"/>
  <c r="U53" i="12"/>
  <c r="W53" i="12" s="1"/>
  <c r="Y53" i="12" s="1"/>
  <c r="U19" i="12"/>
  <c r="W19" i="12" s="1"/>
  <c r="Y19" i="12" s="1"/>
  <c r="U45" i="12"/>
  <c r="W45" i="12" s="1"/>
  <c r="Y45" i="12" s="1"/>
  <c r="U72" i="12"/>
  <c r="W72" i="12" s="1"/>
  <c r="Y72" i="12" s="1"/>
  <c r="U73" i="12"/>
  <c r="W73" i="12" s="1"/>
  <c r="Y73" i="12" s="1"/>
  <c r="U125" i="12"/>
  <c r="W125" i="12" s="1"/>
  <c r="Y125" i="12" s="1"/>
  <c r="U81" i="12"/>
  <c r="W81" i="12" s="1"/>
  <c r="Y81" i="12" s="1"/>
  <c r="U132" i="12"/>
  <c r="W132" i="12" s="1"/>
  <c r="Y132" i="12" s="1"/>
  <c r="U84" i="12"/>
  <c r="W84" i="12" s="1"/>
  <c r="Y84" i="12" s="1"/>
  <c r="W112" i="12"/>
  <c r="Y112" i="12" s="1"/>
  <c r="U66" i="12"/>
  <c r="W66" i="12" s="1"/>
  <c r="Y66" i="12" s="1"/>
  <c r="U136" i="12"/>
  <c r="W136" i="12" s="1"/>
  <c r="Y136" i="12" s="1"/>
  <c r="U18" i="12"/>
  <c r="W18" i="12" s="1"/>
  <c r="Y18" i="12" s="1"/>
  <c r="U6" i="12"/>
  <c r="W6" i="12" s="1"/>
  <c r="Y6" i="12" s="1"/>
  <c r="U65" i="12"/>
  <c r="W65" i="12" s="1"/>
  <c r="Y65" i="12" s="1"/>
  <c r="U22" i="12"/>
  <c r="W22" i="12" s="1"/>
  <c r="Y22" i="12" s="1"/>
  <c r="U75" i="12"/>
  <c r="W75" i="12" s="1"/>
  <c r="Y75" i="12" s="1"/>
  <c r="U135" i="12"/>
  <c r="W135" i="12" s="1"/>
  <c r="Y135" i="12" s="1"/>
  <c r="U79" i="12"/>
  <c r="U89" i="12"/>
  <c r="W98" i="12"/>
  <c r="Y98" i="12" s="1"/>
  <c r="U5" i="31"/>
  <c r="W5" i="31" s="1"/>
  <c r="Y5" i="31" s="1"/>
  <c r="U96" i="31"/>
  <c r="W96" i="31" s="1"/>
  <c r="Y96" i="31" s="1"/>
  <c r="U67" i="31"/>
  <c r="W67" i="31" s="1"/>
  <c r="Y67" i="31" s="1"/>
  <c r="V137" i="31"/>
  <c r="V1" i="31" s="1"/>
  <c r="U4" i="30"/>
  <c r="U109" i="31"/>
  <c r="W109" i="31" s="1"/>
  <c r="Y109" i="31" s="1"/>
  <c r="U21" i="31"/>
  <c r="W21" i="31" s="1"/>
  <c r="Y21" i="31" s="1"/>
  <c r="U129" i="31"/>
  <c r="W129" i="31" s="1"/>
  <c r="Y129" i="31" s="1"/>
  <c r="U61" i="31"/>
  <c r="W61" i="31" s="1"/>
  <c r="Y61" i="31" s="1"/>
  <c r="U132" i="31"/>
  <c r="W132" i="31" s="1"/>
  <c r="Y132" i="31" s="1"/>
  <c r="U100" i="31"/>
  <c r="W100" i="31" s="1"/>
  <c r="Y100" i="31" s="1"/>
  <c r="U55" i="31"/>
  <c r="W55" i="31" s="1"/>
  <c r="Y55" i="31" s="1"/>
  <c r="U72" i="31"/>
  <c r="W72" i="31" s="1"/>
  <c r="Y72" i="31" s="1"/>
  <c r="U20" i="31"/>
  <c r="W20" i="31" s="1"/>
  <c r="Y20" i="31" s="1"/>
  <c r="U31" i="31"/>
  <c r="W31" i="31" s="1"/>
  <c r="Y31" i="31" s="1"/>
  <c r="U103" i="31"/>
  <c r="W103" i="31" s="1"/>
  <c r="Y103" i="31" s="1"/>
  <c r="U123" i="31"/>
  <c r="W123" i="31" s="1"/>
  <c r="Y123" i="31" s="1"/>
  <c r="U126" i="31"/>
  <c r="W126" i="31" s="1"/>
  <c r="Y126" i="31" s="1"/>
  <c r="U35" i="31"/>
  <c r="W35" i="31" s="1"/>
  <c r="Y35" i="31" s="1"/>
  <c r="U38" i="31"/>
  <c r="W38" i="31" s="1"/>
  <c r="Y38" i="31" s="1"/>
  <c r="U84" i="31"/>
  <c r="W84" i="31" s="1"/>
  <c r="Y84" i="31" s="1"/>
  <c r="U69" i="31"/>
  <c r="W69" i="31" s="1"/>
  <c r="Y69" i="31" s="1"/>
  <c r="U12" i="31"/>
  <c r="W12" i="31" s="1"/>
  <c r="Y12" i="31" s="1"/>
  <c r="U57" i="31"/>
  <c r="W57" i="31" s="1"/>
  <c r="Y57" i="31" s="1"/>
  <c r="U115" i="31"/>
  <c r="W115" i="31" s="1"/>
  <c r="Y115" i="31" s="1"/>
  <c r="U44" i="31"/>
  <c r="W44" i="31" s="1"/>
  <c r="Y44" i="31" s="1"/>
  <c r="U118" i="31"/>
  <c r="W118" i="31" s="1"/>
  <c r="Y118" i="31" s="1"/>
  <c r="U135" i="31"/>
  <c r="W135" i="31" s="1"/>
  <c r="Y135" i="31" s="1"/>
  <c r="U30" i="31"/>
  <c r="W30" i="31" s="1"/>
  <c r="Y30" i="31" s="1"/>
  <c r="U133" i="31"/>
  <c r="W133" i="31" s="1"/>
  <c r="Y133" i="31" s="1"/>
  <c r="U66" i="31"/>
  <c r="W66" i="31" s="1"/>
  <c r="Y66" i="31" s="1"/>
  <c r="U136" i="31"/>
  <c r="W136" i="31" s="1"/>
  <c r="Y136" i="31" s="1"/>
  <c r="U15" i="31"/>
  <c r="W15" i="31" s="1"/>
  <c r="Y15" i="31" s="1"/>
  <c r="U88" i="31"/>
  <c r="W88" i="31" s="1"/>
  <c r="Y88" i="31" s="1"/>
  <c r="U54" i="31"/>
  <c r="W54" i="31" s="1"/>
  <c r="Y54" i="31" s="1"/>
  <c r="U40" i="31"/>
  <c r="W40" i="31" s="1"/>
  <c r="Y40" i="31" s="1"/>
  <c r="U19" i="31"/>
  <c r="W19" i="31" s="1"/>
  <c r="Y19" i="31" s="1"/>
  <c r="U121" i="31"/>
  <c r="W121" i="31" s="1"/>
  <c r="Y121" i="31" s="1"/>
  <c r="U22" i="31"/>
  <c r="W22" i="31" s="1"/>
  <c r="Y22" i="31" s="1"/>
  <c r="U127" i="31"/>
  <c r="W127" i="31" s="1"/>
  <c r="Y127" i="31" s="1"/>
  <c r="U59" i="31"/>
  <c r="W59" i="31" s="1"/>
  <c r="Y59" i="31" s="1"/>
  <c r="U122" i="31"/>
  <c r="W122" i="31" s="1"/>
  <c r="Y122" i="31" s="1"/>
  <c r="U82" i="31"/>
  <c r="W82" i="31" s="1"/>
  <c r="Y82" i="31" s="1"/>
  <c r="U9" i="31"/>
  <c r="W9" i="31" s="1"/>
  <c r="Y9" i="31" s="1"/>
  <c r="U131" i="31"/>
  <c r="W131" i="31" s="1"/>
  <c r="Y131" i="31" s="1"/>
  <c r="U32" i="31"/>
  <c r="W32" i="31" s="1"/>
  <c r="Y32" i="31" s="1"/>
  <c r="U86" i="31"/>
  <c r="W86" i="31" s="1"/>
  <c r="Y86" i="31" s="1"/>
  <c r="U11" i="31"/>
  <c r="W11" i="31" s="1"/>
  <c r="Y11" i="31" s="1"/>
  <c r="U113" i="31"/>
  <c r="W113" i="31" s="1"/>
  <c r="Y113" i="31" s="1"/>
  <c r="U81" i="31"/>
  <c r="W81" i="31" s="1"/>
  <c r="Y81" i="31" s="1"/>
  <c r="U14" i="31"/>
  <c r="W14" i="31" s="1"/>
  <c r="Y14" i="31" s="1"/>
  <c r="U119" i="31"/>
  <c r="W119" i="31" s="1"/>
  <c r="Y119" i="31" s="1"/>
  <c r="U114" i="31"/>
  <c r="W114" i="31" s="1"/>
  <c r="Y114" i="31" s="1"/>
  <c r="U75" i="31"/>
  <c r="W75" i="31" s="1"/>
  <c r="Y75" i="31" s="1"/>
  <c r="U125" i="31"/>
  <c r="W125" i="31" s="1"/>
  <c r="Y125" i="31" s="1"/>
  <c r="U34" i="31"/>
  <c r="W34" i="31" s="1"/>
  <c r="Y34" i="31" s="1"/>
  <c r="U134" i="31"/>
  <c r="W134" i="31" s="1"/>
  <c r="Y134" i="31" s="1"/>
  <c r="U73" i="31"/>
  <c r="W73" i="31" s="1"/>
  <c r="Y73" i="31" s="1"/>
  <c r="U24" i="31"/>
  <c r="W24" i="31" s="1"/>
  <c r="Y24" i="31" s="1"/>
  <c r="U7" i="31"/>
  <c r="W7" i="31" s="1"/>
  <c r="Y7" i="31" s="1"/>
  <c r="U110" i="31"/>
  <c r="W110" i="31" s="1"/>
  <c r="Y110" i="31" s="1"/>
  <c r="U130" i="31"/>
  <c r="W130" i="31" s="1"/>
  <c r="Y130" i="31" s="1"/>
  <c r="U48" i="31"/>
  <c r="W48" i="31" s="1"/>
  <c r="Y48" i="31" s="1"/>
  <c r="U111" i="31"/>
  <c r="W111" i="31" s="1"/>
  <c r="Y111" i="31" s="1"/>
  <c r="U117" i="31"/>
  <c r="W117" i="31" s="1"/>
  <c r="Y117" i="31" s="1"/>
  <c r="U26" i="31"/>
  <c r="W26" i="31" s="1"/>
  <c r="Y26" i="31" s="1"/>
  <c r="U70" i="31"/>
  <c r="W70" i="31" s="1"/>
  <c r="Y70" i="31" s="1"/>
  <c r="U37" i="31"/>
  <c r="W37" i="31" s="1"/>
  <c r="Y37" i="31" s="1"/>
  <c r="U83" i="31"/>
  <c r="W83" i="31" s="1"/>
  <c r="Y83" i="31" s="1"/>
  <c r="U16" i="31"/>
  <c r="W16" i="31" s="1"/>
  <c r="Y16" i="31" s="1"/>
  <c r="U65" i="31"/>
  <c r="W65" i="31" s="1"/>
  <c r="Y65" i="31" s="1"/>
  <c r="U4" i="31"/>
  <c r="U107" i="31"/>
  <c r="W107" i="31" s="1"/>
  <c r="Y107" i="31" s="1"/>
  <c r="U124" i="31"/>
  <c r="W124" i="31" s="1"/>
  <c r="Y124" i="31" s="1"/>
  <c r="U87" i="31"/>
  <c r="W87" i="31" s="1"/>
  <c r="Y87" i="31" s="1"/>
  <c r="U36" i="31"/>
  <c r="W36" i="31" s="1"/>
  <c r="Y36" i="31" s="1"/>
  <c r="U18" i="31"/>
  <c r="W18" i="31" s="1"/>
  <c r="Y18" i="31" s="1"/>
  <c r="U120" i="31"/>
  <c r="W120" i="31" s="1"/>
  <c r="Y120" i="31" s="1"/>
  <c r="U29" i="31"/>
  <c r="W29" i="31" s="1"/>
  <c r="Y29" i="31" s="1"/>
  <c r="U137" i="31"/>
  <c r="U76" i="31"/>
  <c r="W76" i="31" s="1"/>
  <c r="Y76" i="31" s="1"/>
  <c r="U104" i="31"/>
  <c r="W104" i="31" s="1"/>
  <c r="Y104" i="31" s="1"/>
  <c r="U33" i="31"/>
  <c r="W33" i="31" s="1"/>
  <c r="Y33" i="31" s="1"/>
  <c r="U28" i="31"/>
  <c r="W28" i="31" s="1"/>
  <c r="Y28" i="31" s="1"/>
  <c r="U105" i="31"/>
  <c r="W105" i="31" s="1"/>
  <c r="Y105" i="31" s="1"/>
  <c r="U6" i="31"/>
  <c r="W6" i="31" s="1"/>
  <c r="Y6" i="31" s="1"/>
  <c r="A9" i="20"/>
  <c r="J73" i="2" l="1"/>
  <c r="W4" i="31"/>
  <c r="U1" i="31"/>
  <c r="W4" i="12"/>
  <c r="W4" i="30"/>
  <c r="W137" i="31"/>
  <c r="Y137" i="31" s="1"/>
  <c r="A10" i="20"/>
  <c r="Y4" i="31" l="1"/>
  <c r="W1" i="31"/>
  <c r="Y1" i="31" s="1"/>
  <c r="N2" i="31" s="1"/>
  <c r="Y4" i="12"/>
  <c r="Y4" i="30"/>
  <c r="G77" i="2"/>
  <c r="A11" i="20"/>
  <c r="A12" i="20" l="1"/>
  <c r="A13" i="20" l="1"/>
  <c r="A14" i="20" l="1"/>
  <c r="A15" i="20" l="1"/>
  <c r="A16" i="20" l="1"/>
  <c r="A17" i="20" l="1"/>
  <c r="A18" i="20" l="1"/>
  <c r="A19" i="20" l="1"/>
  <c r="A20" i="20" l="1"/>
  <c r="A21" i="20" l="1"/>
  <c r="A22" i="20" l="1"/>
  <c r="A23" i="20" l="1"/>
  <c r="A24" i="20" l="1"/>
  <c r="A25" i="20" l="1"/>
  <c r="A26" i="20" l="1"/>
  <c r="A27" i="20" l="1"/>
  <c r="A28" i="20" l="1"/>
  <c r="A29" i="20" l="1"/>
  <c r="A30" i="20" l="1"/>
  <c r="A31" i="20" l="1"/>
  <c r="A32" i="20" l="1"/>
  <c r="A33" i="20" l="1"/>
  <c r="A34" i="20" l="1"/>
  <c r="A35" i="20" l="1"/>
  <c r="A36" i="20" l="1"/>
  <c r="A37" i="20" l="1"/>
  <c r="A38" i="20" l="1"/>
  <c r="A39" i="20" l="1"/>
  <c r="A40" i="20" l="1"/>
  <c r="A41" i="20" l="1"/>
  <c r="A42" i="20" l="1"/>
  <c r="A43" i="20" l="1"/>
  <c r="A44" i="20" l="1"/>
  <c r="A45" i="20" l="1"/>
  <c r="A46" i="20" l="1"/>
  <c r="A47" i="20" l="1"/>
  <c r="A48" i="20" l="1"/>
  <c r="A49" i="20" l="1"/>
  <c r="A50" i="20" l="1"/>
  <c r="A51" i="20" l="1"/>
  <c r="A52" i="20" l="1"/>
  <c r="A53" i="20" l="1"/>
  <c r="A54" i="20" l="1"/>
  <c r="A55" i="20" l="1"/>
  <c r="A56" i="20" l="1"/>
  <c r="A57" i="20" l="1"/>
  <c r="A58" i="20" l="1"/>
  <c r="A59" i="20" l="1"/>
  <c r="A60" i="20" l="1"/>
  <c r="A61" i="20" l="1"/>
  <c r="A62" i="20" l="1"/>
  <c r="A63" i="20" l="1"/>
  <c r="A64" i="20" l="1"/>
  <c r="A65" i="20" l="1"/>
  <c r="A66" i="20" l="1"/>
  <c r="A67" i="20" l="1"/>
  <c r="A68" i="20" l="1"/>
  <c r="A69" i="20" l="1"/>
  <c r="A70" i="20" l="1"/>
  <c r="A71" i="20" l="1"/>
  <c r="A72" i="20" l="1"/>
  <c r="A73" i="20" l="1"/>
  <c r="A74" i="20" l="1"/>
  <c r="A75" i="20" l="1"/>
  <c r="A76" i="20" l="1"/>
  <c r="A77" i="20" l="1"/>
  <c r="A78" i="20" l="1"/>
  <c r="A79" i="20" l="1"/>
  <c r="A80" i="20" l="1"/>
  <c r="A81" i="20" l="1"/>
  <c r="A82" i="20" l="1"/>
  <c r="A83" i="20" l="1"/>
  <c r="A84" i="20" l="1"/>
  <c r="A85" i="20" l="1"/>
  <c r="A86" i="20" l="1"/>
  <c r="A87" i="20" l="1"/>
  <c r="A88" i="20" l="1"/>
  <c r="A89" i="20" l="1"/>
  <c r="A90" i="20" l="1"/>
  <c r="A91" i="20" l="1"/>
  <c r="A92" i="20" l="1"/>
  <c r="A93" i="20" l="1"/>
  <c r="A94" i="20" l="1"/>
  <c r="A95" i="20" l="1"/>
  <c r="A96" i="20" l="1"/>
  <c r="A97" i="20" l="1"/>
  <c r="A98" i="20" l="1"/>
  <c r="A99" i="20" l="1"/>
  <c r="A100" i="20" l="1"/>
  <c r="A101" i="20" l="1"/>
  <c r="A102" i="20" l="1"/>
  <c r="A103" i="20" l="1"/>
  <c r="A104" i="20" l="1"/>
  <c r="A105" i="20" l="1"/>
  <c r="A106" i="20" l="1"/>
  <c r="A107" i="20" l="1"/>
  <c r="A108" i="20" l="1"/>
  <c r="A109" i="20" l="1"/>
  <c r="A110" i="20" l="1"/>
  <c r="A111" i="20" l="1"/>
  <c r="A112" i="20" l="1"/>
  <c r="A113" i="20" l="1"/>
  <c r="A114" i="20" l="1"/>
  <c r="A115" i="20" l="1"/>
  <c r="A116" i="20" l="1"/>
  <c r="A117" i="20" l="1"/>
  <c r="A118" i="20" l="1"/>
  <c r="A119" i="20" l="1"/>
  <c r="A120" i="20" l="1"/>
  <c r="BP6" i="27" l="1"/>
  <c r="F93" i="12" l="1"/>
  <c r="M93" i="12"/>
  <c r="F64" i="12" l="1"/>
  <c r="M64" i="12"/>
  <c r="F98" i="12"/>
  <c r="M98" i="12"/>
  <c r="F51" i="12"/>
  <c r="M51" i="12"/>
  <c r="F42" i="12"/>
  <c r="M42" i="12"/>
  <c r="F71" i="12"/>
  <c r="M71" i="12"/>
  <c r="F112" i="12"/>
  <c r="M112" i="12"/>
  <c r="AB6" i="27" a="1"/>
  <c r="AB6" i="27" s="1"/>
  <c r="Y6" i="27" a="1"/>
  <c r="Y6" i="27" s="1"/>
  <c r="AG6" i="27" a="1"/>
  <c r="AG6" i="27" s="1"/>
  <c r="S6" i="27" a="1"/>
  <c r="S6" i="27" s="1"/>
  <c r="U6" i="27" a="1"/>
  <c r="U6" i="27" s="1"/>
  <c r="AA6" i="27" a="1"/>
  <c r="AA6" i="27" s="1"/>
  <c r="AE6" i="27" a="1"/>
  <c r="AE6" i="27" s="1"/>
  <c r="AD6" i="27" a="1"/>
  <c r="AD6" i="27" s="1"/>
  <c r="Z6" i="27" a="1"/>
  <c r="Z6" i="27" s="1"/>
  <c r="V6" i="27" a="1"/>
  <c r="V6" i="27" s="1"/>
  <c r="T6" i="27" a="1"/>
  <c r="T6" i="27" s="1"/>
  <c r="AH6" i="27" a="1"/>
  <c r="AH6" i="27" s="1"/>
  <c r="X6" i="27" a="1"/>
  <c r="X6" i="27" s="1"/>
  <c r="W6" i="27" a="1"/>
  <c r="W6" i="27" s="1"/>
  <c r="N6" i="27" a="1"/>
  <c r="N6" i="27" s="1"/>
  <c r="P6" i="27" a="1"/>
  <c r="P6" i="27" s="1"/>
  <c r="AF6" i="27" a="1"/>
  <c r="AF6" i="27" s="1"/>
  <c r="AC6" i="27" a="1"/>
  <c r="AC6" i="27" s="1"/>
  <c r="R6" i="27" a="1"/>
  <c r="R6" i="27" s="1"/>
  <c r="AI6" i="27" a="1"/>
  <c r="AI6" i="27" s="1"/>
  <c r="O6" i="27" a="1"/>
  <c r="O6" i="27" s="1"/>
  <c r="Q6" i="27" a="1"/>
  <c r="Q6" i="27" s="1"/>
  <c r="M6" i="27" a="1"/>
  <c r="M6" i="27" s="1"/>
  <c r="F132" i="12" l="1"/>
  <c r="F8" i="12"/>
  <c r="F60" i="12"/>
  <c r="F58" i="12"/>
  <c r="M58" i="12"/>
  <c r="F128" i="12"/>
  <c r="F78" i="12"/>
  <c r="M78" i="12"/>
  <c r="F101" i="12"/>
  <c r="F49" i="12"/>
  <c r="F92" i="12"/>
  <c r="F52" i="12"/>
  <c r="M132" i="12"/>
  <c r="BJ6" i="27"/>
  <c r="BH6" i="27" s="1"/>
  <c r="F4" i="30" s="1" a="1"/>
  <c r="F4" i="30" s="1"/>
  <c r="H72" i="2" s="1"/>
  <c r="F56" i="12" l="1"/>
  <c r="M56" i="12"/>
  <c r="H108" i="12"/>
  <c r="F108" i="12"/>
  <c r="M108" i="12"/>
  <c r="F120" i="12"/>
  <c r="F105" i="12"/>
  <c r="F31" i="12"/>
  <c r="F27" i="12"/>
  <c r="F32" i="12"/>
  <c r="F82" i="12"/>
  <c r="M4" i="30"/>
  <c r="F16" i="12"/>
  <c r="F35" i="12"/>
  <c r="F20" i="12"/>
  <c r="F68" i="12"/>
  <c r="F24" i="12"/>
  <c r="F100" i="12"/>
  <c r="M83" i="12"/>
  <c r="F133" i="12"/>
  <c r="F40" i="12"/>
  <c r="M104" i="12"/>
  <c r="F77" i="12"/>
  <c r="F106" i="12"/>
  <c r="M106" i="12"/>
  <c r="M82" i="12"/>
  <c r="F94" i="12"/>
  <c r="M16" i="12"/>
  <c r="F88" i="12"/>
  <c r="F79" i="12"/>
  <c r="F43" i="12"/>
  <c r="F67" i="12"/>
  <c r="M67" i="12"/>
  <c r="F63" i="12"/>
  <c r="M31" i="12"/>
  <c r="M105" i="12"/>
  <c r="M100" i="12"/>
  <c r="M32" i="12"/>
  <c r="F102" i="12"/>
  <c r="F28" i="12"/>
  <c r="M34" i="12"/>
  <c r="M59" i="12"/>
  <c r="M15" i="12"/>
  <c r="M84" i="12"/>
  <c r="F96" i="12"/>
  <c r="M96" i="12"/>
  <c r="F10" i="12"/>
  <c r="F89" i="12"/>
  <c r="F5" i="12"/>
  <c r="M5" i="12"/>
  <c r="M4" i="12"/>
  <c r="F34" i="12"/>
  <c r="F59" i="12"/>
  <c r="F15" i="12"/>
  <c r="F84" i="12"/>
  <c r="M27" i="12"/>
  <c r="F50" i="12"/>
  <c r="F4" i="12"/>
  <c r="BL6" i="27"/>
  <c r="M88" i="12" l="1"/>
  <c r="F76" i="12"/>
  <c r="H67" i="12"/>
  <c r="H56" i="12"/>
  <c r="M120" i="12"/>
  <c r="F41" i="12"/>
  <c r="M41" i="12"/>
  <c r="M44" i="12"/>
  <c r="M68" i="12"/>
  <c r="F47" i="12"/>
  <c r="M76" i="12"/>
  <c r="M36" i="12"/>
  <c r="F12" i="12"/>
  <c r="M12" i="12"/>
  <c r="F44" i="12"/>
  <c r="M47" i="12"/>
  <c r="F80" i="12"/>
  <c r="F36" i="12"/>
  <c r="M20" i="12"/>
  <c r="M80" i="12"/>
  <c r="M28" i="12"/>
  <c r="F124" i="12"/>
  <c r="M124" i="12"/>
  <c r="M133" i="12"/>
  <c r="F83" i="12"/>
  <c r="M48" i="12"/>
  <c r="F72" i="12"/>
  <c r="F116" i="12"/>
  <c r="M35" i="12"/>
  <c r="M72" i="12"/>
  <c r="M116" i="12"/>
  <c r="M24" i="12"/>
  <c r="M40" i="12"/>
  <c r="F48" i="12"/>
  <c r="F29" i="12"/>
  <c r="F125" i="12"/>
  <c r="F62" i="12"/>
  <c r="M109" i="12"/>
  <c r="F30" i="12"/>
  <c r="F21" i="12"/>
  <c r="F103" i="12"/>
  <c r="F91" i="12"/>
  <c r="F19" i="12"/>
  <c r="F107" i="12"/>
  <c r="F90" i="12"/>
  <c r="F117" i="12"/>
  <c r="F113" i="12"/>
  <c r="F104" i="12"/>
  <c r="M33" i="12"/>
  <c r="M122" i="12"/>
  <c r="F110" i="12"/>
  <c r="F38" i="12"/>
  <c r="M37" i="12"/>
  <c r="F135" i="12"/>
  <c r="M73" i="12"/>
  <c r="M97" i="12"/>
  <c r="F95" i="12"/>
  <c r="F99" i="12"/>
  <c r="F87" i="12"/>
  <c r="F46" i="12"/>
  <c r="F53" i="12"/>
  <c r="F6" i="12"/>
  <c r="F18" i="12"/>
  <c r="F75" i="12"/>
  <c r="M81" i="12"/>
  <c r="F26" i="12"/>
  <c r="F39" i="12"/>
  <c r="F17" i="12"/>
  <c r="F45" i="12"/>
  <c r="M111" i="12"/>
  <c r="F55" i="12"/>
  <c r="M57" i="12"/>
  <c r="F70" i="12"/>
  <c r="H5" i="12"/>
  <c r="M66" i="12"/>
  <c r="M99" i="12"/>
  <c r="M110" i="12"/>
  <c r="F86" i="12"/>
  <c r="F73" i="12"/>
  <c r="F109" i="12"/>
  <c r="M38" i="12"/>
  <c r="F61" i="12"/>
  <c r="F66" i="12"/>
  <c r="M107" i="12"/>
  <c r="M127" i="12"/>
  <c r="M103" i="12"/>
  <c r="M74" i="12"/>
  <c r="M125" i="12"/>
  <c r="M62" i="12"/>
  <c r="F127" i="12"/>
  <c r="M18" i="12"/>
  <c r="F74" i="12"/>
  <c r="M21" i="12"/>
  <c r="M6" i="12"/>
  <c r="M25" i="12"/>
  <c r="M23" i="12"/>
  <c r="M131" i="12"/>
  <c r="M129" i="12"/>
  <c r="M87" i="12"/>
  <c r="F25" i="12"/>
  <c r="M55" i="12"/>
  <c r="F23" i="12"/>
  <c r="F131" i="12"/>
  <c r="M65" i="12"/>
  <c r="M14" i="12"/>
  <c r="F129" i="12"/>
  <c r="M85" i="12"/>
  <c r="M75" i="12"/>
  <c r="M13" i="12"/>
  <c r="H96" i="12"/>
  <c r="M117" i="12"/>
  <c r="F65" i="12"/>
  <c r="M113" i="12"/>
  <c r="F14" i="12"/>
  <c r="M26" i="12"/>
  <c r="M130" i="12"/>
  <c r="F85" i="12"/>
  <c r="F13" i="12"/>
  <c r="M54" i="12"/>
  <c r="F130" i="12"/>
  <c r="M86" i="12"/>
  <c r="F54" i="12"/>
  <c r="H49" i="12"/>
  <c r="H60" i="12"/>
  <c r="H92" i="12"/>
  <c r="H52" i="12"/>
  <c r="H132" i="12"/>
  <c r="H8" i="12"/>
  <c r="H128" i="12"/>
  <c r="H101" i="12"/>
  <c r="BO6" i="27"/>
  <c r="BN6" i="27"/>
  <c r="M22" i="12" l="1"/>
  <c r="F22" i="12"/>
  <c r="M61" i="12"/>
  <c r="M114" i="12"/>
  <c r="F114" i="12"/>
  <c r="M29" i="12"/>
  <c r="M19" i="12"/>
  <c r="M91" i="12"/>
  <c r="F115" i="12"/>
  <c r="F11" i="12"/>
  <c r="M135" i="12"/>
  <c r="M30" i="12"/>
  <c r="M115" i="12"/>
  <c r="F118" i="12"/>
  <c r="M126" i="12"/>
  <c r="F136" i="12"/>
  <c r="M39" i="12"/>
  <c r="M70" i="12"/>
  <c r="M134" i="12"/>
  <c r="F7" i="12"/>
  <c r="F97" i="12"/>
  <c r="M136" i="12"/>
  <c r="M46" i="12"/>
  <c r="M118" i="12"/>
  <c r="F119" i="12"/>
  <c r="M119" i="12"/>
  <c r="F33" i="12"/>
  <c r="F9" i="12"/>
  <c r="F126" i="12"/>
  <c r="F134" i="12"/>
  <c r="M90" i="12"/>
  <c r="M7" i="12"/>
  <c r="F37" i="12"/>
  <c r="M123" i="12"/>
  <c r="M9" i="12"/>
  <c r="F121" i="12"/>
  <c r="M121" i="12"/>
  <c r="M11" i="12"/>
  <c r="M17" i="12"/>
  <c r="F69" i="12"/>
  <c r="M69" i="12"/>
  <c r="F122" i="12"/>
  <c r="M53" i="12"/>
  <c r="M95" i="12"/>
  <c r="F123" i="12"/>
  <c r="F81" i="12"/>
  <c r="F111" i="12"/>
  <c r="M45" i="12"/>
  <c r="F57" i="12"/>
  <c r="F137" i="12"/>
  <c r="H24" i="12"/>
  <c r="H16" i="12"/>
  <c r="H12" i="12"/>
  <c r="H124" i="12"/>
  <c r="H104" i="12"/>
  <c r="H68" i="12"/>
  <c r="H105" i="12"/>
  <c r="H84" i="12"/>
  <c r="H36" i="12"/>
  <c r="H20" i="12"/>
  <c r="H76" i="12"/>
  <c r="H15" i="12"/>
  <c r="H72" i="12"/>
  <c r="H47" i="12"/>
  <c r="H83" i="12"/>
  <c r="H88" i="12"/>
  <c r="H48" i="12"/>
  <c r="H32" i="12"/>
  <c r="H50" i="12"/>
  <c r="H80" i="12"/>
  <c r="H89" i="12"/>
  <c r="H100" i="12"/>
  <c r="H120" i="12"/>
  <c r="H116" i="12"/>
  <c r="H133" i="12"/>
  <c r="H44" i="12"/>
  <c r="H35" i="12"/>
  <c r="H34" i="12"/>
  <c r="H40" i="12"/>
  <c r="BQ6" i="27"/>
  <c r="H4" i="12" s="1"/>
  <c r="H94" i="12"/>
  <c r="H28" i="12"/>
  <c r="H77" i="12"/>
  <c r="H79" i="12"/>
  <c r="H27" i="12"/>
  <c r="H10" i="12"/>
  <c r="H82" i="12"/>
  <c r="H43" i="12"/>
  <c r="H31" i="12"/>
  <c r="H59" i="12"/>
  <c r="H41" i="12" l="1"/>
  <c r="M137" i="12"/>
  <c r="H117" i="12"/>
  <c r="H4" i="30"/>
  <c r="H7" i="12"/>
  <c r="H62" i="12"/>
  <c r="H63" i="12"/>
  <c r="H21" i="12"/>
  <c r="H33" i="12"/>
  <c r="H39" i="12"/>
  <c r="H14" i="12"/>
  <c r="H110" i="12"/>
  <c r="H45" i="12"/>
  <c r="H13" i="12"/>
  <c r="H46" i="12"/>
  <c r="H109" i="12"/>
  <c r="H22" i="12"/>
  <c r="H114" i="12"/>
  <c r="H134" i="12"/>
  <c r="H115" i="12"/>
  <c r="H118" i="12"/>
  <c r="H131" i="12"/>
  <c r="H55" i="12"/>
  <c r="H18" i="12"/>
  <c r="H54" i="12"/>
  <c r="H75" i="12"/>
  <c r="H121" i="12"/>
  <c r="H99" i="12"/>
  <c r="H123" i="12"/>
  <c r="H119" i="12"/>
  <c r="H127" i="12"/>
  <c r="H90" i="12"/>
  <c r="H19" i="12"/>
  <c r="H57" i="12"/>
  <c r="H70" i="12"/>
  <c r="H107" i="12"/>
  <c r="H113" i="12"/>
  <c r="H74" i="12"/>
  <c r="H66" i="12"/>
  <c r="H130" i="12"/>
  <c r="H30" i="12"/>
  <c r="H85" i="12"/>
  <c r="H69" i="12"/>
  <c r="H65" i="12"/>
  <c r="H103" i="12"/>
  <c r="H86" i="12"/>
  <c r="H136" i="12"/>
  <c r="H29" i="12"/>
  <c r="H111" i="12"/>
  <c r="H9" i="12"/>
  <c r="H91" i="12"/>
  <c r="H23" i="12"/>
  <c r="H97" i="12"/>
  <c r="H38" i="12"/>
  <c r="H73" i="12"/>
  <c r="H87" i="12"/>
  <c r="H122" i="12"/>
  <c r="H37" i="12"/>
  <c r="H129" i="12"/>
  <c r="H11" i="12"/>
  <c r="H17" i="12"/>
  <c r="H95" i="12"/>
  <c r="H53" i="12"/>
  <c r="H81" i="12"/>
  <c r="H26" i="12"/>
  <c r="H25" i="12"/>
  <c r="H102" i="12"/>
  <c r="H61" i="12"/>
  <c r="H135" i="12"/>
  <c r="H126" i="12"/>
  <c r="H125" i="12"/>
  <c r="H6" i="12"/>
  <c r="H137" i="12" l="1"/>
  <c r="AS6" i="27" l="1" a="1"/>
  <c r="AS6" i="27" s="1"/>
  <c r="AQ6" i="27" l="1" a="1"/>
  <c r="AQ6" i="27" s="1"/>
  <c r="AO6" i="27" a="1"/>
  <c r="AO6" i="27" s="1"/>
  <c r="AR6" i="27" a="1"/>
  <c r="AR6" i="27" s="1"/>
  <c r="AM6" i="27" a="1"/>
  <c r="AM6" i="27" s="1"/>
  <c r="AP6" i="27" l="1" a="1"/>
  <c r="AP6" i="27" s="1"/>
  <c r="AL6" i="27" a="1"/>
  <c r="AL6" i="27" s="1"/>
  <c r="AT6" i="27" a="1"/>
  <c r="AT6" i="27" s="1"/>
  <c r="AN6" i="27" a="1"/>
  <c r="AN6" i="27" s="1"/>
  <c r="AK6" i="27" a="1"/>
  <c r="AK6" i="27" s="1"/>
  <c r="AJ6" i="27" l="1" a="1"/>
  <c r="AJ6" i="27" s="1"/>
  <c r="G55" i="31" l="1"/>
  <c r="G126" i="31"/>
  <c r="Z72" i="30"/>
  <c r="G72" i="31"/>
  <c r="G82" i="31"/>
  <c r="G99" i="31"/>
  <c r="G113" i="31"/>
  <c r="G73" i="31"/>
  <c r="G61" i="31"/>
  <c r="G133" i="31"/>
  <c r="G123" i="31"/>
  <c r="G53" i="31"/>
  <c r="G23" i="31"/>
  <c r="G102" i="31"/>
  <c r="G54" i="31"/>
  <c r="G135" i="31"/>
  <c r="G75" i="31"/>
  <c r="G12" i="31"/>
  <c r="G115" i="31"/>
  <c r="G70" i="31"/>
  <c r="G105" i="31"/>
  <c r="G59" i="31"/>
  <c r="G130" i="31"/>
  <c r="G10" i="31"/>
  <c r="G28" i="31"/>
  <c r="G101" i="31"/>
  <c r="G117" i="31"/>
  <c r="G62" i="31"/>
  <c r="G16" i="31"/>
  <c r="G48" i="31"/>
  <c r="G50" i="31"/>
  <c r="G11" i="31"/>
  <c r="G43" i="31"/>
  <c r="AU6" i="27" a="1"/>
  <c r="AU6" i="27" s="1"/>
  <c r="G4" i="31" s="1"/>
  <c r="G36" i="31"/>
  <c r="G116" i="31"/>
  <c r="G13" i="31"/>
  <c r="G38" i="31"/>
  <c r="G79" i="31"/>
  <c r="G8" i="31"/>
  <c r="G136" i="31"/>
  <c r="G57" i="31"/>
  <c r="G4" i="12" l="1"/>
  <c r="G118" i="31"/>
  <c r="G137" i="31"/>
  <c r="G66" i="31"/>
  <c r="G40" i="31"/>
  <c r="G65" i="31"/>
  <c r="G119" i="31"/>
  <c r="G63" i="31"/>
  <c r="G107" i="31"/>
  <c r="G39" i="31"/>
  <c r="G37" i="31"/>
  <c r="G122" i="31"/>
  <c r="G19" i="31"/>
  <c r="G17" i="31"/>
  <c r="G22" i="31"/>
  <c r="G74" i="31"/>
  <c r="G45" i="31"/>
  <c r="G33" i="31"/>
  <c r="G31" i="31"/>
  <c r="G7" i="31"/>
  <c r="G21" i="31"/>
  <c r="G24" i="31"/>
  <c r="G47" i="31"/>
  <c r="G34" i="31"/>
  <c r="G68" i="31"/>
  <c r="G60" i="31"/>
  <c r="G109" i="31"/>
  <c r="G120" i="31"/>
  <c r="G134" i="31"/>
  <c r="G100" i="31"/>
  <c r="G128" i="31"/>
  <c r="G110" i="31"/>
  <c r="G129" i="31"/>
  <c r="G35" i="31"/>
  <c r="G88" i="31"/>
  <c r="G90" i="31"/>
  <c r="G104" i="31"/>
  <c r="G86" i="31"/>
  <c r="G80" i="31"/>
  <c r="G94" i="31"/>
  <c r="G76" i="31"/>
  <c r="G97" i="31"/>
  <c r="G14" i="31"/>
  <c r="G92" i="31"/>
  <c r="G124" i="31"/>
  <c r="G103" i="31"/>
  <c r="G91" i="31"/>
  <c r="G52" i="31"/>
  <c r="G81" i="31"/>
  <c r="G29" i="31"/>
  <c r="G30" i="31"/>
  <c r="G127" i="31"/>
  <c r="G32" i="31"/>
  <c r="G49" i="31"/>
  <c r="G18" i="31"/>
  <c r="G26" i="31"/>
  <c r="G4" i="30"/>
  <c r="G83" i="31"/>
  <c r="G111" i="31"/>
  <c r="G95" i="31"/>
  <c r="G125" i="31"/>
  <c r="G20" i="31"/>
  <c r="G121" i="31"/>
  <c r="G131" i="31"/>
  <c r="G15" i="31"/>
  <c r="G46" i="31"/>
  <c r="G77" i="31"/>
  <c r="G89" i="31"/>
  <c r="G87" i="31"/>
  <c r="G69" i="31"/>
  <c r="G9" i="31"/>
  <c r="G85" i="31"/>
  <c r="AC4" i="12" l="1"/>
  <c r="H71" i="2"/>
  <c r="H73" i="2" s="1"/>
  <c r="I73" i="2" s="1"/>
  <c r="K73" i="2" s="1"/>
  <c r="G6" i="31"/>
  <c r="G132" i="31"/>
  <c r="G84" i="31"/>
  <c r="Z75" i="30"/>
  <c r="G44" i="31" l="1"/>
  <c r="G27" i="31"/>
  <c r="G25" i="31"/>
  <c r="G114" i="31" l="1"/>
  <c r="G1" i="31" s="1"/>
  <c r="AA102" i="12" l="1"/>
  <c r="AA63" i="12"/>
  <c r="AA63" i="31"/>
  <c r="AA102" i="31"/>
  <c r="AA102" i="30"/>
  <c r="AA72" i="30"/>
  <c r="AA75" i="30"/>
  <c r="AA63" i="30"/>
  <c r="G108" i="23" l="1"/>
  <c r="O108" i="23"/>
  <c r="O109" i="23"/>
  <c r="O95" i="23"/>
  <c r="G95" i="23"/>
  <c r="G109" i="23"/>
  <c r="D108" i="23"/>
  <c r="M95" i="23"/>
  <c r="D95" i="23"/>
  <c r="M108" i="23"/>
  <c r="D109" i="23"/>
  <c r="M109" i="23"/>
  <c r="O113" i="23"/>
  <c r="G115" i="23"/>
  <c r="G103" i="23"/>
  <c r="O103" i="23"/>
  <c r="O115" i="23"/>
  <c r="G113" i="23"/>
  <c r="O116" i="23"/>
  <c r="G116" i="23"/>
  <c r="D116" i="23"/>
  <c r="M116" i="23"/>
  <c r="D115" i="23"/>
  <c r="D113" i="23"/>
  <c r="M103" i="23"/>
  <c r="M113" i="23"/>
  <c r="D103" i="23"/>
  <c r="M115" i="23"/>
  <c r="N100" i="23"/>
  <c r="N85" i="23"/>
  <c r="N61" i="23"/>
  <c r="N45" i="23"/>
  <c r="N21" i="23"/>
  <c r="F117" i="23"/>
  <c r="F59" i="23"/>
  <c r="F43" i="23"/>
  <c r="F23" i="23"/>
  <c r="F37" i="23"/>
  <c r="N118" i="23"/>
  <c r="N72" i="23"/>
  <c r="F107" i="23"/>
  <c r="F67" i="23"/>
  <c r="N88" i="23"/>
  <c r="N40" i="23"/>
  <c r="F77" i="23"/>
  <c r="F58" i="23"/>
  <c r="N80" i="23"/>
  <c r="N60" i="23"/>
  <c r="N44" i="23"/>
  <c r="N91" i="23"/>
  <c r="N36" i="23"/>
  <c r="N76" i="23"/>
  <c r="N28" i="23"/>
  <c r="F83" i="23"/>
  <c r="N20" i="23"/>
  <c r="N111" i="23"/>
  <c r="N96" i="23"/>
  <c r="N81" i="23"/>
  <c r="N57" i="23"/>
  <c r="N41" i="23"/>
  <c r="F106" i="23"/>
  <c r="F87" i="23"/>
  <c r="F71" i="23"/>
  <c r="F55" i="23"/>
  <c r="F39" i="23"/>
  <c r="F85" i="23"/>
  <c r="F53" i="23"/>
  <c r="F69" i="23"/>
  <c r="F105" i="23"/>
  <c r="F34" i="23"/>
  <c r="N32" i="23"/>
  <c r="F97" i="23"/>
  <c r="N75" i="23"/>
  <c r="N24" i="23"/>
  <c r="F42" i="23"/>
  <c r="N27" i="23"/>
  <c r="N19" i="23"/>
  <c r="F84" i="23"/>
  <c r="F68" i="23"/>
  <c r="F20" i="23"/>
  <c r="N25" i="23"/>
  <c r="N98" i="23"/>
  <c r="N35" i="23"/>
  <c r="N107" i="23"/>
  <c r="N92" i="23"/>
  <c r="N77" i="23"/>
  <c r="N53" i="23"/>
  <c r="N37" i="23"/>
  <c r="F102" i="23"/>
  <c r="N83" i="23"/>
  <c r="N67" i="23"/>
  <c r="N51" i="23"/>
  <c r="F31" i="23"/>
  <c r="F51" i="23"/>
  <c r="N56" i="23"/>
  <c r="F100" i="23"/>
  <c r="F50" i="23"/>
  <c r="F26" i="23"/>
  <c r="F45" i="23"/>
  <c r="F21" i="23"/>
  <c r="F92" i="23"/>
  <c r="N48" i="23"/>
  <c r="F18" i="23"/>
  <c r="N59" i="23"/>
  <c r="F60" i="23"/>
  <c r="F44" i="23"/>
  <c r="F91" i="23"/>
  <c r="F36" i="23"/>
  <c r="N49" i="23"/>
  <c r="F63" i="23"/>
  <c r="F66" i="23"/>
  <c r="F74" i="23"/>
  <c r="F27" i="23"/>
  <c r="F75" i="23"/>
  <c r="F104" i="23"/>
  <c r="F89" i="23"/>
  <c r="F65" i="23"/>
  <c r="F41" i="23"/>
  <c r="N99" i="23"/>
  <c r="F57" i="23"/>
  <c r="F98" i="23"/>
  <c r="N43" i="23"/>
  <c r="F88" i="23"/>
  <c r="N78" i="23"/>
  <c r="F56" i="23"/>
  <c r="N46" i="23"/>
  <c r="F24" i="23"/>
  <c r="F101" i="23"/>
  <c r="F86" i="23"/>
  <c r="F70" i="23"/>
  <c r="F54" i="23"/>
  <c r="F38" i="23"/>
  <c r="F22" i="23"/>
  <c r="N102" i="23"/>
  <c r="N87" i="23"/>
  <c r="N105" i="23"/>
  <c r="N50" i="23"/>
  <c r="N18" i="23"/>
  <c r="N69" i="23"/>
  <c r="F61" i="23"/>
  <c r="F28" i="23"/>
  <c r="N33" i="23"/>
  <c r="N52" i="23"/>
  <c r="N106" i="23"/>
  <c r="N101" i="23"/>
  <c r="N70" i="23"/>
  <c r="N38" i="23"/>
  <c r="N71" i="23"/>
  <c r="N23" i="23"/>
  <c r="N97" i="23"/>
  <c r="N74" i="23"/>
  <c r="N42" i="23"/>
  <c r="N104" i="23"/>
  <c r="N29" i="23"/>
  <c r="F47" i="23"/>
  <c r="F29" i="23"/>
  <c r="F19" i="23"/>
  <c r="F76" i="23"/>
  <c r="N84" i="23"/>
  <c r="F25" i="23"/>
  <c r="N65" i="23"/>
  <c r="F81" i="23"/>
  <c r="N73" i="23"/>
  <c r="F35" i="23"/>
  <c r="N86" i="23"/>
  <c r="F64" i="23"/>
  <c r="N54" i="23"/>
  <c r="F32" i="23"/>
  <c r="N22" i="23"/>
  <c r="N117" i="23"/>
  <c r="N79" i="23"/>
  <c r="N63" i="23"/>
  <c r="N47" i="23"/>
  <c r="N31" i="23"/>
  <c r="N58" i="23"/>
  <c r="N26" i="23"/>
  <c r="N66" i="23"/>
  <c r="F99" i="23"/>
  <c r="F80" i="23"/>
  <c r="F48" i="23"/>
  <c r="N55" i="23"/>
  <c r="N89" i="23"/>
  <c r="F94" i="23"/>
  <c r="N64" i="23"/>
  <c r="F111" i="23"/>
  <c r="F96" i="23"/>
  <c r="F73" i="23"/>
  <c r="F49" i="23"/>
  <c r="F33" i="23"/>
  <c r="F52" i="23"/>
  <c r="F118" i="23"/>
  <c r="N93" i="23"/>
  <c r="F72" i="23"/>
  <c r="N62" i="23"/>
  <c r="F40" i="23"/>
  <c r="N30" i="23"/>
  <c r="F93" i="23"/>
  <c r="F78" i="23"/>
  <c r="F62" i="23"/>
  <c r="F46" i="23"/>
  <c r="F30" i="23"/>
  <c r="N94" i="23"/>
  <c r="N34" i="23"/>
  <c r="F79" i="23"/>
  <c r="N68" i="23"/>
  <c r="N39" i="23"/>
  <c r="F11" i="23"/>
  <c r="N17" i="23"/>
  <c r="F8" i="23"/>
  <c r="F14" i="23"/>
  <c r="F7" i="23"/>
  <c r="N13" i="23"/>
  <c r="F6" i="23"/>
  <c r="F16" i="23"/>
  <c r="N12" i="23"/>
  <c r="F5" i="23"/>
  <c r="N11" i="23"/>
  <c r="F17" i="23"/>
  <c r="F15" i="23"/>
  <c r="F10" i="23"/>
  <c r="N9" i="23"/>
  <c r="N14" i="23"/>
  <c r="N6" i="23"/>
  <c r="N15" i="23"/>
  <c r="F12" i="23"/>
  <c r="N5" i="23"/>
  <c r="N8" i="23"/>
  <c r="N7" i="23"/>
  <c r="N16" i="23"/>
  <c r="F9" i="23"/>
  <c r="F13" i="23"/>
  <c r="N10" i="23"/>
  <c r="L18" i="23"/>
  <c r="C93" i="23"/>
  <c r="C70" i="23"/>
  <c r="C54" i="23"/>
  <c r="C38" i="23"/>
  <c r="C22" i="23"/>
  <c r="C64" i="23"/>
  <c r="C72" i="23"/>
  <c r="C63" i="23"/>
  <c r="C118" i="23"/>
  <c r="C88" i="23"/>
  <c r="L61" i="23"/>
  <c r="C40" i="23"/>
  <c r="C42" i="23"/>
  <c r="C55" i="23"/>
  <c r="L32" i="23"/>
  <c r="C32" i="23"/>
  <c r="C34" i="23"/>
  <c r="L69" i="23"/>
  <c r="L48" i="23"/>
  <c r="L24" i="23"/>
  <c r="C98" i="23"/>
  <c r="C67" i="23"/>
  <c r="C35" i="23"/>
  <c r="L27" i="23"/>
  <c r="L19" i="23"/>
  <c r="C59" i="23"/>
  <c r="C84" i="23"/>
  <c r="C68" i="23"/>
  <c r="C20" i="23"/>
  <c r="L33" i="23"/>
  <c r="L25" i="23"/>
  <c r="L99" i="23"/>
  <c r="L52" i="23"/>
  <c r="L81" i="23"/>
  <c r="L57" i="23"/>
  <c r="L105" i="23"/>
  <c r="C86" i="23"/>
  <c r="L66" i="23"/>
  <c r="L50" i="23"/>
  <c r="L34" i="23"/>
  <c r="C80" i="23"/>
  <c r="L37" i="23"/>
  <c r="L78" i="23"/>
  <c r="L53" i="23"/>
  <c r="L88" i="23"/>
  <c r="L46" i="23"/>
  <c r="C58" i="23"/>
  <c r="L77" i="23"/>
  <c r="C56" i="23"/>
  <c r="C105" i="23"/>
  <c r="C50" i="23"/>
  <c r="C26" i="23"/>
  <c r="C117" i="23"/>
  <c r="C97" i="23"/>
  <c r="L107" i="23"/>
  <c r="L86" i="23"/>
  <c r="L64" i="23"/>
  <c r="C18" i="23"/>
  <c r="C60" i="23"/>
  <c r="C44" i="23"/>
  <c r="C91" i="23"/>
  <c r="C36" i="23"/>
  <c r="L98" i="23"/>
  <c r="L67" i="23"/>
  <c r="L35" i="23"/>
  <c r="C76" i="23"/>
  <c r="C28" i="23"/>
  <c r="L59" i="23"/>
  <c r="C111" i="23"/>
  <c r="C104" i="23"/>
  <c r="C96" i="23"/>
  <c r="C89" i="23"/>
  <c r="C73" i="23"/>
  <c r="C65" i="23"/>
  <c r="C49" i="23"/>
  <c r="C41" i="23"/>
  <c r="C33" i="23"/>
  <c r="C101" i="23"/>
  <c r="C78" i="23"/>
  <c r="C62" i="23"/>
  <c r="C46" i="23"/>
  <c r="C30" i="23"/>
  <c r="L40" i="23"/>
  <c r="L56" i="23"/>
  <c r="L118" i="23"/>
  <c r="L30" i="23"/>
  <c r="C48" i="23"/>
  <c r="L22" i="23"/>
  <c r="C47" i="23"/>
  <c r="L101" i="23"/>
  <c r="L29" i="23"/>
  <c r="C71" i="23"/>
  <c r="L92" i="23"/>
  <c r="C66" i="23"/>
  <c r="L70" i="23"/>
  <c r="L80" i="23"/>
  <c r="L38" i="23"/>
  <c r="C75" i="23"/>
  <c r="C51" i="23"/>
  <c r="L97" i="23"/>
  <c r="L26" i="23"/>
  <c r="L62" i="23"/>
  <c r="L100" i="23"/>
  <c r="C23" i="23"/>
  <c r="C39" i="23"/>
  <c r="C74" i="23"/>
  <c r="L44" i="23"/>
  <c r="L28" i="23"/>
  <c r="L83" i="23"/>
  <c r="L84" i="23"/>
  <c r="L20" i="23"/>
  <c r="C25" i="23"/>
  <c r="C81" i="23"/>
  <c r="C100" i="23"/>
  <c r="C69" i="23"/>
  <c r="C37" i="23"/>
  <c r="L94" i="23"/>
  <c r="L71" i="23"/>
  <c r="L39" i="23"/>
  <c r="L23" i="23"/>
  <c r="C79" i="23"/>
  <c r="C27" i="23"/>
  <c r="L96" i="23"/>
  <c r="L74" i="23"/>
  <c r="C24" i="23"/>
  <c r="C94" i="23"/>
  <c r="L45" i="23"/>
  <c r="L54" i="23"/>
  <c r="L91" i="23"/>
  <c r="L75" i="23"/>
  <c r="C106" i="23"/>
  <c r="C43" i="23"/>
  <c r="L104" i="23"/>
  <c r="L89" i="23"/>
  <c r="L65" i="23"/>
  <c r="L41" i="23"/>
  <c r="C52" i="23"/>
  <c r="C107" i="23"/>
  <c r="C77" i="23"/>
  <c r="C45" i="23"/>
  <c r="L117" i="23"/>
  <c r="L102" i="23"/>
  <c r="L79" i="23"/>
  <c r="L47" i="23"/>
  <c r="L42" i="23"/>
  <c r="L93" i="23"/>
  <c r="L111" i="23"/>
  <c r="L49" i="23"/>
  <c r="C57" i="23"/>
  <c r="L63" i="23"/>
  <c r="L58" i="23"/>
  <c r="L85" i="23"/>
  <c r="L72" i="23"/>
  <c r="L21" i="23"/>
  <c r="C87" i="23"/>
  <c r="C31" i="23"/>
  <c r="L36" i="23"/>
  <c r="L51" i="23"/>
  <c r="C19" i="23"/>
  <c r="L76" i="23"/>
  <c r="L106" i="23"/>
  <c r="L43" i="23"/>
  <c r="L68" i="23"/>
  <c r="C99" i="23"/>
  <c r="C85" i="23"/>
  <c r="C53" i="23"/>
  <c r="C21" i="23"/>
  <c r="L55" i="23"/>
  <c r="C102" i="23"/>
  <c r="L60" i="23"/>
  <c r="C83" i="23"/>
  <c r="L73" i="23"/>
  <c r="C92" i="23"/>
  <c r="C61" i="23"/>
  <c r="C29" i="23"/>
  <c r="L87" i="23"/>
  <c r="L31" i="23"/>
  <c r="C10" i="23"/>
  <c r="C8" i="23"/>
  <c r="L9" i="23"/>
  <c r="L13" i="23"/>
  <c r="L15" i="23"/>
  <c r="C12" i="23"/>
  <c r="C17" i="23"/>
  <c r="C9" i="23"/>
  <c r="C13" i="23"/>
  <c r="L12" i="23"/>
  <c r="L14" i="23"/>
  <c r="C7" i="23"/>
  <c r="C6" i="23"/>
  <c r="L5" i="23"/>
  <c r="C11" i="23"/>
  <c r="L10" i="23"/>
  <c r="L17" i="23"/>
  <c r="L8" i="23"/>
  <c r="L7" i="23"/>
  <c r="L6" i="23"/>
  <c r="L16" i="23"/>
  <c r="C5" i="23"/>
  <c r="C14" i="23"/>
  <c r="C16" i="23"/>
  <c r="C15" i="23"/>
  <c r="L11" i="23"/>
  <c r="F82" i="23"/>
  <c r="F90" i="23"/>
  <c r="F110" i="23"/>
  <c r="F112" i="23"/>
  <c r="F114" i="23"/>
  <c r="N114" i="23"/>
  <c r="N82" i="23"/>
  <c r="N119" i="23"/>
  <c r="F119" i="23"/>
  <c r="N112" i="23"/>
  <c r="N90" i="23"/>
  <c r="N110" i="23"/>
  <c r="C82" i="23"/>
  <c r="L119" i="23"/>
  <c r="C119" i="23"/>
  <c r="C112" i="23"/>
  <c r="C114" i="23"/>
  <c r="L90" i="23"/>
  <c r="L110" i="23"/>
  <c r="L112" i="23"/>
  <c r="L114" i="23"/>
  <c r="L82" i="23"/>
  <c r="C90" i="23"/>
  <c r="C110" i="23"/>
  <c r="F4" i="23"/>
  <c r="N4" i="23"/>
  <c r="C4" i="23"/>
  <c r="L4" i="23"/>
  <c r="Q95" i="23" l="1"/>
  <c r="Q108" i="23"/>
  <c r="Q109" i="23"/>
  <c r="Q103" i="23"/>
  <c r="Q116" i="23"/>
  <c r="Q113" i="23"/>
  <c r="Q115" i="23"/>
  <c r="P4" i="23"/>
  <c r="P84" i="23"/>
  <c r="P68" i="23"/>
  <c r="P48" i="23"/>
  <c r="P75" i="23"/>
  <c r="P93" i="23"/>
  <c r="P67" i="23"/>
  <c r="P59" i="23"/>
  <c r="P36" i="23"/>
  <c r="P111" i="23"/>
  <c r="P104" i="23"/>
  <c r="P96" i="23"/>
  <c r="P89" i="23"/>
  <c r="P73" i="23"/>
  <c r="P65" i="23"/>
  <c r="P49" i="23"/>
  <c r="P41" i="23"/>
  <c r="P106" i="23"/>
  <c r="P43" i="23"/>
  <c r="P118" i="23"/>
  <c r="P80" i="23"/>
  <c r="P64" i="23"/>
  <c r="P40" i="23"/>
  <c r="P83" i="23"/>
  <c r="P62" i="23"/>
  <c r="P70" i="23"/>
  <c r="P54" i="23"/>
  <c r="P91" i="23"/>
  <c r="P28" i="23"/>
  <c r="P44" i="23"/>
  <c r="P33" i="23"/>
  <c r="P99" i="23"/>
  <c r="P76" i="23"/>
  <c r="P56" i="23"/>
  <c r="P32" i="23"/>
  <c r="P101" i="23"/>
  <c r="P30" i="23"/>
  <c r="P78" i="23"/>
  <c r="P52" i="23"/>
  <c r="P22" i="23"/>
  <c r="P98" i="23"/>
  <c r="P66" i="23"/>
  <c r="P50" i="23"/>
  <c r="P34" i="23"/>
  <c r="P18" i="23"/>
  <c r="P85" i="23"/>
  <c r="P61" i="23"/>
  <c r="P29" i="23"/>
  <c r="P77" i="23"/>
  <c r="P102" i="23"/>
  <c r="P71" i="23"/>
  <c r="P23" i="23"/>
  <c r="P24" i="23"/>
  <c r="P86" i="23"/>
  <c r="P20" i="23"/>
  <c r="P57" i="23"/>
  <c r="P94" i="23"/>
  <c r="P79" i="23"/>
  <c r="P63" i="23"/>
  <c r="P47" i="23"/>
  <c r="P31" i="23"/>
  <c r="P97" i="23"/>
  <c r="P92" i="23"/>
  <c r="P69" i="23"/>
  <c r="P37" i="23"/>
  <c r="P38" i="23"/>
  <c r="P19" i="23"/>
  <c r="P117" i="23"/>
  <c r="P55" i="23"/>
  <c r="P105" i="23"/>
  <c r="P107" i="23"/>
  <c r="P21" i="23"/>
  <c r="P88" i="23"/>
  <c r="P27" i="23"/>
  <c r="P35" i="23"/>
  <c r="P25" i="23"/>
  <c r="P81" i="23"/>
  <c r="P60" i="23"/>
  <c r="P74" i="23"/>
  <c r="P58" i="23"/>
  <c r="P42" i="23"/>
  <c r="P26" i="23"/>
  <c r="P100" i="23"/>
  <c r="P45" i="23"/>
  <c r="P72" i="23"/>
  <c r="P46" i="23"/>
  <c r="P51" i="23"/>
  <c r="P87" i="23"/>
  <c r="P39" i="23"/>
  <c r="P53" i="23"/>
  <c r="P11" i="23"/>
  <c r="P5" i="23"/>
  <c r="P14" i="23"/>
  <c r="P16" i="23"/>
  <c r="P10" i="23"/>
  <c r="P8" i="23"/>
  <c r="P7" i="23"/>
  <c r="P12" i="23"/>
  <c r="P9" i="23"/>
  <c r="P13" i="23"/>
  <c r="P17" i="23"/>
  <c r="P6" i="23"/>
  <c r="P15" i="23"/>
  <c r="P110" i="23"/>
  <c r="P112" i="23"/>
  <c r="P119" i="23"/>
  <c r="P90" i="23"/>
  <c r="P82" i="23"/>
  <c r="P114" i="23"/>
  <c r="Z75" i="31" l="1"/>
  <c r="AA75" i="31" s="1"/>
  <c r="Z72" i="31"/>
  <c r="AA72" i="31" s="1"/>
  <c r="Z75" i="12"/>
  <c r="AA75" i="12" s="1"/>
  <c r="Z72" i="12"/>
  <c r="AA72" i="12" s="1"/>
  <c r="L75" i="12"/>
  <c r="L72" i="31"/>
  <c r="L75" i="31"/>
  <c r="L72" i="12"/>
  <c r="L73" i="2"/>
  <c r="M73" i="2" s="1"/>
  <c r="E77" i="2"/>
  <c r="E4" i="31"/>
  <c r="E10" i="30" l="1"/>
  <c r="J10" i="30" s="1"/>
  <c r="E79" i="30"/>
  <c r="J79" i="30" s="1"/>
  <c r="E72" i="30"/>
  <c r="J72" i="30" s="1"/>
  <c r="E49" i="12"/>
  <c r="J49" i="12" s="1"/>
  <c r="E128" i="12"/>
  <c r="J128" i="12" s="1"/>
  <c r="E77" i="12"/>
  <c r="J77" i="12" s="1"/>
  <c r="E72" i="12"/>
  <c r="J72" i="12" s="1"/>
  <c r="E94" i="12"/>
  <c r="J94" i="12" s="1"/>
  <c r="E79" i="12"/>
  <c r="J79" i="12" s="1"/>
  <c r="E102" i="12"/>
  <c r="J102" i="12" s="1"/>
  <c r="E92" i="31"/>
  <c r="J92" i="31" s="1"/>
  <c r="E94" i="31"/>
  <c r="J94" i="31" s="1"/>
  <c r="E92" i="30"/>
  <c r="J92" i="30" s="1"/>
  <c r="E60" i="30"/>
  <c r="J60" i="30" s="1"/>
  <c r="E52" i="30"/>
  <c r="J52" i="30" s="1"/>
  <c r="E128" i="30"/>
  <c r="J128" i="30" s="1"/>
  <c r="E63" i="12"/>
  <c r="J63" i="12" s="1"/>
  <c r="E89" i="12"/>
  <c r="J89" i="12" s="1"/>
  <c r="E60" i="12"/>
  <c r="J60" i="12" s="1"/>
  <c r="E101" i="31"/>
  <c r="J101" i="31" s="1"/>
  <c r="E10" i="12"/>
  <c r="J10" i="12" s="1"/>
  <c r="E72" i="31"/>
  <c r="J72" i="31" s="1"/>
  <c r="E79" i="31"/>
  <c r="J79" i="31" s="1"/>
  <c r="E43" i="30"/>
  <c r="J43" i="30" s="1"/>
  <c r="E49" i="30"/>
  <c r="J49" i="30" s="1"/>
  <c r="E102" i="30"/>
  <c r="J102" i="30" s="1"/>
  <c r="E75" i="30"/>
  <c r="J75" i="30" s="1"/>
  <c r="E77" i="30"/>
  <c r="J77" i="30" s="1"/>
  <c r="E89" i="30"/>
  <c r="J89" i="30" s="1"/>
  <c r="E63" i="30"/>
  <c r="J63" i="30" s="1"/>
  <c r="E52" i="12"/>
  <c r="J52" i="12" s="1"/>
  <c r="E50" i="31"/>
  <c r="J50" i="31" s="1"/>
  <c r="E8" i="12"/>
  <c r="J8" i="12" s="1"/>
  <c r="E50" i="12"/>
  <c r="J50" i="12" s="1"/>
  <c r="E94" i="30"/>
  <c r="J94" i="30" s="1"/>
  <c r="E101" i="30"/>
  <c r="J101" i="30" s="1"/>
  <c r="E50" i="30"/>
  <c r="J50" i="30" s="1"/>
  <c r="E8" i="30"/>
  <c r="J8" i="30" s="1"/>
  <c r="E92" i="12"/>
  <c r="J92" i="12" s="1"/>
  <c r="E101" i="12"/>
  <c r="J101" i="12" s="1"/>
  <c r="E75" i="31"/>
  <c r="J75" i="31" s="1"/>
  <c r="E8" i="31"/>
  <c r="J8" i="31" s="1"/>
  <c r="E102" i="31"/>
  <c r="J102" i="31" s="1"/>
  <c r="E43" i="31"/>
  <c r="J43" i="31" s="1"/>
  <c r="E43" i="12"/>
  <c r="J43" i="12" s="1"/>
  <c r="E10" i="31"/>
  <c r="J10" i="31" s="1"/>
  <c r="E75" i="12"/>
  <c r="J75" i="12" s="1"/>
  <c r="E89" i="31"/>
  <c r="J89" i="31" s="1"/>
  <c r="E51" i="30"/>
  <c r="L51" i="30" s="1"/>
  <c r="N51" i="30" s="1"/>
  <c r="Z51" i="30" s="1"/>
  <c r="E81" i="30"/>
  <c r="E33" i="30"/>
  <c r="E19" i="30"/>
  <c r="E113" i="30"/>
  <c r="E62" i="30"/>
  <c r="E13" i="30"/>
  <c r="E117" i="30"/>
  <c r="E32" i="30"/>
  <c r="E99" i="30"/>
  <c r="E68" i="30"/>
  <c r="E56" i="30"/>
  <c r="E128" i="31"/>
  <c r="J128" i="31" s="1"/>
  <c r="E12" i="30"/>
  <c r="E24" i="30"/>
  <c r="E106" i="30"/>
  <c r="L106" i="30" s="1"/>
  <c r="N106" i="30" s="1"/>
  <c r="Z106" i="30" s="1"/>
  <c r="E135" i="30"/>
  <c r="E47" i="30"/>
  <c r="E137" i="30"/>
  <c r="E114" i="30"/>
  <c r="E6" i="30"/>
  <c r="E118" i="30"/>
  <c r="E112" i="30"/>
  <c r="L112" i="30" s="1"/>
  <c r="N112" i="30" s="1"/>
  <c r="Z112" i="30" s="1"/>
  <c r="E84" i="30"/>
  <c r="E132" i="30"/>
  <c r="E52" i="31"/>
  <c r="J52" i="31" s="1"/>
  <c r="E77" i="31"/>
  <c r="J77" i="31" s="1"/>
  <c r="E63" i="31"/>
  <c r="J63" i="31" s="1"/>
  <c r="E49" i="31"/>
  <c r="J49" i="31" s="1"/>
  <c r="E66" i="30"/>
  <c r="E93" i="30"/>
  <c r="L93" i="30" s="1"/>
  <c r="N93" i="30" s="1"/>
  <c r="Z93" i="30" s="1"/>
  <c r="E111" i="30"/>
  <c r="E83" i="30"/>
  <c r="E7" i="30"/>
  <c r="E18" i="30"/>
  <c r="E105" i="30"/>
  <c r="E25" i="30"/>
  <c r="E116" i="30"/>
  <c r="E69" i="30"/>
  <c r="E20" i="30"/>
  <c r="E130" i="30"/>
  <c r="E58" i="30"/>
  <c r="L58" i="30" s="1"/>
  <c r="N58" i="30" s="1"/>
  <c r="Z58" i="30" s="1"/>
  <c r="E60" i="31"/>
  <c r="J60" i="31" s="1"/>
  <c r="E14" i="30"/>
  <c r="E38" i="30"/>
  <c r="E91" i="30"/>
  <c r="E87" i="30"/>
  <c r="E78" i="30"/>
  <c r="L78" i="30" s="1"/>
  <c r="N78" i="30" s="1"/>
  <c r="Z78" i="30" s="1"/>
  <c r="E53" i="30"/>
  <c r="E120" i="30"/>
  <c r="E21" i="30"/>
  <c r="E5" i="30"/>
  <c r="E17" i="30"/>
  <c r="E76" i="30"/>
  <c r="E39" i="30"/>
  <c r="E123" i="30"/>
  <c r="E44" i="30"/>
  <c r="E82" i="30"/>
  <c r="E88" i="30"/>
  <c r="E98" i="30"/>
  <c r="L98" i="30" s="1"/>
  <c r="N98" i="30" s="1"/>
  <c r="Z98" i="30" s="1"/>
  <c r="E59" i="30"/>
  <c r="E70" i="30"/>
  <c r="E90" i="30"/>
  <c r="E41" i="30"/>
  <c r="E35" i="30"/>
  <c r="E29" i="30"/>
  <c r="E16" i="30"/>
  <c r="E74" i="30"/>
  <c r="E104" i="30"/>
  <c r="E27" i="30"/>
  <c r="E65" i="30"/>
  <c r="E48" i="12"/>
  <c r="E96" i="12"/>
  <c r="E39" i="12"/>
  <c r="E23" i="12"/>
  <c r="E93" i="12"/>
  <c r="L93" i="12" s="1"/>
  <c r="N93" i="12" s="1"/>
  <c r="Z93" i="12" s="1"/>
  <c r="E32" i="12"/>
  <c r="E68" i="12"/>
  <c r="E110" i="30"/>
  <c r="E46" i="30"/>
  <c r="E26" i="30"/>
  <c r="E109" i="30"/>
  <c r="E37" i="30"/>
  <c r="E125" i="30"/>
  <c r="E95" i="30"/>
  <c r="E71" i="30"/>
  <c r="L71" i="30" s="1"/>
  <c r="N71" i="30" s="1"/>
  <c r="Z71" i="30" s="1"/>
  <c r="E55" i="30"/>
  <c r="E134" i="30"/>
  <c r="E127" i="30"/>
  <c r="E124" i="30"/>
  <c r="E30" i="30"/>
  <c r="E97" i="30"/>
  <c r="E42" i="30"/>
  <c r="L42" i="30" s="1"/>
  <c r="N42" i="30" s="1"/>
  <c r="Z42" i="30" s="1"/>
  <c r="E61" i="30"/>
  <c r="E118" i="12"/>
  <c r="E98" i="12"/>
  <c r="L98" i="12" s="1"/>
  <c r="N98" i="12" s="1"/>
  <c r="Z98" i="12" s="1"/>
  <c r="E81" i="12"/>
  <c r="E113" i="12"/>
  <c r="E18" i="12"/>
  <c r="E130" i="12"/>
  <c r="E126" i="12"/>
  <c r="E36" i="30"/>
  <c r="E129" i="30"/>
  <c r="E103" i="30"/>
  <c r="E131" i="30"/>
  <c r="E64" i="30"/>
  <c r="L64" i="30" s="1"/>
  <c r="N64" i="30" s="1"/>
  <c r="Z64" i="30" s="1"/>
  <c r="E100" i="30"/>
  <c r="E23" i="30"/>
  <c r="E45" i="30"/>
  <c r="E122" i="30"/>
  <c r="E107" i="30"/>
  <c r="E54" i="30"/>
  <c r="E34" i="30"/>
  <c r="E48" i="30"/>
  <c r="E96" i="30"/>
  <c r="E67" i="30"/>
  <c r="E119" i="30"/>
  <c r="E85" i="30"/>
  <c r="E29" i="12"/>
  <c r="E124" i="12"/>
  <c r="E45" i="12"/>
  <c r="E134" i="12"/>
  <c r="E64" i="12"/>
  <c r="L64" i="12" s="1"/>
  <c r="N64" i="12" s="1"/>
  <c r="Z64" i="12" s="1"/>
  <c r="E41" i="12"/>
  <c r="E13" i="12"/>
  <c r="E54" i="12"/>
  <c r="E9" i="30"/>
  <c r="E73" i="30"/>
  <c r="E31" i="30"/>
  <c r="E15" i="30"/>
  <c r="E108" i="30"/>
  <c r="E136" i="30"/>
  <c r="E40" i="30"/>
  <c r="E28" i="30"/>
  <c r="E11" i="30"/>
  <c r="E57" i="30"/>
  <c r="E121" i="30"/>
  <c r="E115" i="30"/>
  <c r="E126" i="30"/>
  <c r="E86" i="30"/>
  <c r="E133" i="30"/>
  <c r="E22" i="30"/>
  <c r="E80" i="30"/>
  <c r="E33" i="12"/>
  <c r="E99" i="12"/>
  <c r="E69" i="12"/>
  <c r="E105" i="12"/>
  <c r="E61" i="12"/>
  <c r="E120" i="12"/>
  <c r="E76" i="12"/>
  <c r="E116" i="12"/>
  <c r="E26" i="12"/>
  <c r="E65" i="12"/>
  <c r="E56" i="12"/>
  <c r="E109" i="12"/>
  <c r="E133" i="12"/>
  <c r="E27" i="12"/>
  <c r="E47" i="12"/>
  <c r="E28" i="12"/>
  <c r="E34" i="12"/>
  <c r="E114" i="12"/>
  <c r="E136" i="12"/>
  <c r="E104" i="12"/>
  <c r="E7" i="12"/>
  <c r="E84" i="12"/>
  <c r="E30" i="12"/>
  <c r="E67" i="12"/>
  <c r="E46" i="12"/>
  <c r="E103" i="12"/>
  <c r="E51" i="12"/>
  <c r="L51" i="12" s="1"/>
  <c r="N51" i="12" s="1"/>
  <c r="Z51" i="12" s="1"/>
  <c r="E70" i="12"/>
  <c r="E59" i="12"/>
  <c r="E11" i="12"/>
  <c r="E125" i="12"/>
  <c r="E35" i="12"/>
  <c r="E36" i="12"/>
  <c r="E5" i="12"/>
  <c r="E131" i="12"/>
  <c r="E15" i="12"/>
  <c r="E121" i="12"/>
  <c r="E122" i="12"/>
  <c r="E123" i="12"/>
  <c r="E95" i="12"/>
  <c r="E14" i="12"/>
  <c r="E62" i="12"/>
  <c r="E66" i="12"/>
  <c r="E87" i="12"/>
  <c r="E21" i="12"/>
  <c r="E97" i="12"/>
  <c r="E132" i="12"/>
  <c r="E55" i="12"/>
  <c r="E19" i="12"/>
  <c r="E37" i="12"/>
  <c r="E44" i="12"/>
  <c r="E135" i="12"/>
  <c r="E80" i="12"/>
  <c r="E6" i="12"/>
  <c r="E86" i="12"/>
  <c r="E90" i="12"/>
  <c r="E88" i="12"/>
  <c r="E111" i="12"/>
  <c r="E57" i="12"/>
  <c r="E129" i="12"/>
  <c r="E115" i="12"/>
  <c r="E110" i="12"/>
  <c r="E20" i="12"/>
  <c r="E82" i="12"/>
  <c r="E127" i="12"/>
  <c r="E25" i="12"/>
  <c r="E108" i="12"/>
  <c r="E42" i="12"/>
  <c r="L42" i="12" s="1"/>
  <c r="N42" i="12" s="1"/>
  <c r="Z42" i="12" s="1"/>
  <c r="E91" i="12"/>
  <c r="E68" i="31"/>
  <c r="E18" i="31"/>
  <c r="E13" i="31"/>
  <c r="E71" i="31"/>
  <c r="L71" i="31" s="1"/>
  <c r="N71" i="31" s="1"/>
  <c r="Z71" i="31" s="1"/>
  <c r="E137" i="12"/>
  <c r="E24" i="12"/>
  <c r="E38" i="12"/>
  <c r="E58" i="12"/>
  <c r="L58" i="12" s="1"/>
  <c r="N58" i="12" s="1"/>
  <c r="Z58" i="12" s="1"/>
  <c r="E12" i="12"/>
  <c r="E100" i="12"/>
  <c r="E119" i="12"/>
  <c r="E31" i="12"/>
  <c r="E53" i="12"/>
  <c r="E9" i="12"/>
  <c r="E83" i="12"/>
  <c r="E16" i="12"/>
  <c r="E73" i="12"/>
  <c r="E85" i="12"/>
  <c r="E74" i="12"/>
  <c r="E17" i="12"/>
  <c r="E40" i="12"/>
  <c r="E78" i="12"/>
  <c r="L78" i="12" s="1"/>
  <c r="N78" i="12" s="1"/>
  <c r="Z78" i="12" s="1"/>
  <c r="E112" i="12"/>
  <c r="L112" i="12" s="1"/>
  <c r="N112" i="12" s="1"/>
  <c r="Z112" i="12" s="1"/>
  <c r="E117" i="12"/>
  <c r="E22" i="12"/>
  <c r="E107" i="12"/>
  <c r="E106" i="12"/>
  <c r="L106" i="12" s="1"/>
  <c r="N106" i="12" s="1"/>
  <c r="Z106" i="12" s="1"/>
  <c r="E71" i="12"/>
  <c r="L71" i="12" s="1"/>
  <c r="N71" i="12" s="1"/>
  <c r="Z71" i="12" s="1"/>
  <c r="E121" i="31"/>
  <c r="E36" i="31"/>
  <c r="E129" i="31"/>
  <c r="E108" i="31"/>
  <c r="E113" i="31"/>
  <c r="E12" i="31"/>
  <c r="E4" i="12"/>
  <c r="E7" i="31"/>
  <c r="E118" i="31"/>
  <c r="E59" i="31"/>
  <c r="E131" i="31"/>
  <c r="E39" i="31"/>
  <c r="E87" i="31"/>
  <c r="E28" i="31"/>
  <c r="E22" i="31"/>
  <c r="E9" i="31"/>
  <c r="E5" i="31"/>
  <c r="E98" i="31"/>
  <c r="L98" i="31" s="1"/>
  <c r="N98" i="31" s="1"/>
  <c r="Z98" i="31" s="1"/>
  <c r="E42" i="31"/>
  <c r="L42" i="31" s="1"/>
  <c r="N42" i="31" s="1"/>
  <c r="Z42" i="31" s="1"/>
  <c r="E16" i="31"/>
  <c r="E48" i="31"/>
  <c r="E100" i="31"/>
  <c r="E47" i="31"/>
  <c r="E93" i="31"/>
  <c r="L93" i="31" s="1"/>
  <c r="N93" i="31" s="1"/>
  <c r="Z93" i="31" s="1"/>
  <c r="E37" i="31"/>
  <c r="E114" i="31"/>
  <c r="E85" i="31"/>
  <c r="E20" i="31"/>
  <c r="E135" i="31"/>
  <c r="E106" i="31"/>
  <c r="L106" i="31" s="1"/>
  <c r="N106" i="31" s="1"/>
  <c r="Z106" i="31" s="1"/>
  <c r="E29" i="31"/>
  <c r="E38" i="31"/>
  <c r="E64" i="31"/>
  <c r="L64" i="31" s="1"/>
  <c r="N64" i="31" s="1"/>
  <c r="Z64" i="31" s="1"/>
  <c r="E119" i="31"/>
  <c r="E69" i="31"/>
  <c r="E104" i="31"/>
  <c r="E103" i="31"/>
  <c r="E46" i="31"/>
  <c r="E61" i="31"/>
  <c r="E96" i="31"/>
  <c r="E97" i="31"/>
  <c r="E117" i="31"/>
  <c r="E127" i="31"/>
  <c r="E54" i="31"/>
  <c r="E11" i="31"/>
  <c r="E70" i="31"/>
  <c r="E136" i="31"/>
  <c r="E17" i="31"/>
  <c r="E122" i="31"/>
  <c r="E76" i="31"/>
  <c r="E58" i="31"/>
  <c r="L58" i="31" s="1"/>
  <c r="N58" i="31" s="1"/>
  <c r="Z58" i="31" s="1"/>
  <c r="E134" i="31"/>
  <c r="E66" i="31"/>
  <c r="E82" i="31"/>
  <c r="E62" i="31"/>
  <c r="E41" i="31"/>
  <c r="E133" i="31"/>
  <c r="E110" i="31"/>
  <c r="E116" i="31"/>
  <c r="E137" i="31"/>
  <c r="E88" i="31"/>
  <c r="E74" i="31"/>
  <c r="E35" i="31"/>
  <c r="E24" i="31"/>
  <c r="E78" i="31"/>
  <c r="L78" i="31" s="1"/>
  <c r="N78" i="31" s="1"/>
  <c r="Z78" i="31" s="1"/>
  <c r="E26" i="31"/>
  <c r="E19" i="31"/>
  <c r="E31" i="31"/>
  <c r="E25" i="31"/>
  <c r="E44" i="31"/>
  <c r="E123" i="31"/>
  <c r="E32" i="31"/>
  <c r="E27" i="31"/>
  <c r="E40" i="31"/>
  <c r="E99" i="31"/>
  <c r="E55" i="31"/>
  <c r="E30" i="31"/>
  <c r="E21" i="31"/>
  <c r="E112" i="31"/>
  <c r="L112" i="31" s="1"/>
  <c r="N112" i="31" s="1"/>
  <c r="Z112" i="31" s="1"/>
  <c r="E130" i="31"/>
  <c r="E23" i="31"/>
  <c r="E91" i="31"/>
  <c r="E67" i="31"/>
  <c r="E84" i="31"/>
  <c r="E6" i="31"/>
  <c r="E80" i="31"/>
  <c r="E53" i="31"/>
  <c r="E120" i="31"/>
  <c r="E73" i="31"/>
  <c r="E34" i="31"/>
  <c r="E4" i="30"/>
  <c r="E109" i="31"/>
  <c r="E57" i="31"/>
  <c r="E126" i="31"/>
  <c r="E115" i="31"/>
  <c r="E45" i="31"/>
  <c r="E15" i="31"/>
  <c r="E83" i="31"/>
  <c r="E90" i="31"/>
  <c r="E81" i="31"/>
  <c r="E51" i="31"/>
  <c r="L51" i="31" s="1"/>
  <c r="N51" i="31" s="1"/>
  <c r="Z51" i="31" s="1"/>
  <c r="E56" i="31"/>
  <c r="E14" i="31"/>
  <c r="E65" i="31"/>
  <c r="E132" i="31"/>
  <c r="E33" i="31"/>
  <c r="E86" i="31"/>
  <c r="E105" i="31"/>
  <c r="E107" i="31"/>
  <c r="E124" i="31"/>
  <c r="E111" i="31"/>
  <c r="E95" i="31"/>
  <c r="E125" i="31"/>
  <c r="J4" i="31"/>
  <c r="J86" i="31" l="1"/>
  <c r="L86" i="31"/>
  <c r="N86" i="31" s="1"/>
  <c r="Z86" i="31" s="1"/>
  <c r="J115" i="31"/>
  <c r="L115" i="31" s="1"/>
  <c r="N115" i="31" s="1"/>
  <c r="Z115" i="31" s="1"/>
  <c r="J67" i="31"/>
  <c r="L67" i="31" s="1"/>
  <c r="N67" i="31" s="1"/>
  <c r="Z67" i="31" s="1"/>
  <c r="J35" i="31"/>
  <c r="L35" i="31"/>
  <c r="N35" i="31" s="1"/>
  <c r="Z35" i="31" s="1"/>
  <c r="J127" i="31"/>
  <c r="L127" i="31" s="1"/>
  <c r="N127" i="31" s="1"/>
  <c r="Z127" i="31" s="1"/>
  <c r="J85" i="31"/>
  <c r="L85" i="31" s="1"/>
  <c r="N85" i="31" s="1"/>
  <c r="Z85" i="31" s="1"/>
  <c r="J131" i="31"/>
  <c r="L131" i="31" s="1"/>
  <c r="N131" i="31" s="1"/>
  <c r="Z131" i="31" s="1"/>
  <c r="J74" i="12"/>
  <c r="L74" i="12" s="1"/>
  <c r="N74" i="12" s="1"/>
  <c r="Z74" i="12" s="1"/>
  <c r="J83" i="12"/>
  <c r="L83" i="12" s="1"/>
  <c r="N83" i="12" s="1"/>
  <c r="Z83" i="12" s="1"/>
  <c r="J119" i="12"/>
  <c r="L119" i="12" s="1"/>
  <c r="N119" i="12" s="1"/>
  <c r="Z119" i="12" s="1"/>
  <c r="J13" i="31"/>
  <c r="L13" i="31" s="1"/>
  <c r="N13" i="31" s="1"/>
  <c r="Z13" i="31" s="1"/>
  <c r="J82" i="12"/>
  <c r="L82" i="12" s="1"/>
  <c r="N82" i="12" s="1"/>
  <c r="Z82" i="12" s="1"/>
  <c r="J129" i="12"/>
  <c r="L129" i="12" s="1"/>
  <c r="N129" i="12" s="1"/>
  <c r="Z129" i="12" s="1"/>
  <c r="J90" i="12"/>
  <c r="L90" i="12" s="1"/>
  <c r="N90" i="12" s="1"/>
  <c r="Z90" i="12" s="1"/>
  <c r="J135" i="12"/>
  <c r="L135" i="12" s="1"/>
  <c r="N135" i="12" s="1"/>
  <c r="Z135" i="12" s="1"/>
  <c r="J55" i="12"/>
  <c r="L55" i="12" s="1"/>
  <c r="N55" i="12" s="1"/>
  <c r="Z55" i="12" s="1"/>
  <c r="J87" i="12"/>
  <c r="L87" i="12" s="1"/>
  <c r="N87" i="12" s="1"/>
  <c r="Z87" i="12" s="1"/>
  <c r="J95" i="12"/>
  <c r="L95" i="12" s="1"/>
  <c r="N95" i="12" s="1"/>
  <c r="Z95" i="12" s="1"/>
  <c r="J15" i="12"/>
  <c r="L15" i="12" s="1"/>
  <c r="N15" i="12" s="1"/>
  <c r="Z15" i="12" s="1"/>
  <c r="J35" i="12"/>
  <c r="L35" i="12" s="1"/>
  <c r="N35" i="12" s="1"/>
  <c r="Z35" i="12" s="1"/>
  <c r="J70" i="12"/>
  <c r="L70" i="12" s="1"/>
  <c r="N70" i="12" s="1"/>
  <c r="Z70" i="12" s="1"/>
  <c r="J67" i="12"/>
  <c r="L67" i="12" s="1"/>
  <c r="N67" i="12" s="1"/>
  <c r="Z67" i="12" s="1"/>
  <c r="J104" i="12"/>
  <c r="L104" i="12" s="1"/>
  <c r="N104" i="12" s="1"/>
  <c r="Z104" i="12" s="1"/>
  <c r="J28" i="12"/>
  <c r="L28" i="12" s="1"/>
  <c r="N28" i="12" s="1"/>
  <c r="Z28" i="12" s="1"/>
  <c r="J109" i="12"/>
  <c r="L109" i="12" s="1"/>
  <c r="N109" i="12" s="1"/>
  <c r="Z109" i="12" s="1"/>
  <c r="J116" i="12"/>
  <c r="L116" i="12" s="1"/>
  <c r="N116" i="12" s="1"/>
  <c r="Z116" i="12" s="1"/>
  <c r="J105" i="12"/>
  <c r="L105" i="12" s="1"/>
  <c r="N105" i="12" s="1"/>
  <c r="Z105" i="12" s="1"/>
  <c r="J80" i="30"/>
  <c r="L80" i="30" s="1"/>
  <c r="N80" i="30" s="1"/>
  <c r="Z80" i="30" s="1"/>
  <c r="J126" i="30"/>
  <c r="L126" i="30" s="1"/>
  <c r="N126" i="30" s="1"/>
  <c r="Z126" i="30" s="1"/>
  <c r="J11" i="30"/>
  <c r="L11" i="30" s="1"/>
  <c r="N11" i="30" s="1"/>
  <c r="Z11" i="30" s="1"/>
  <c r="J108" i="30"/>
  <c r="L108" i="30" s="1"/>
  <c r="N108" i="30" s="1"/>
  <c r="Z108" i="30" s="1"/>
  <c r="J9" i="30"/>
  <c r="L9" i="30" s="1"/>
  <c r="N9" i="30" s="1"/>
  <c r="Z9" i="30" s="1"/>
  <c r="J29" i="12"/>
  <c r="L29" i="12" s="1"/>
  <c r="N29" i="12" s="1"/>
  <c r="Z29" i="12" s="1"/>
  <c r="J96" i="30"/>
  <c r="L96" i="30" s="1"/>
  <c r="N96" i="30" s="1"/>
  <c r="Z96" i="30" s="1"/>
  <c r="J107" i="30"/>
  <c r="L107" i="30" s="1"/>
  <c r="N107" i="30" s="1"/>
  <c r="Z107" i="30" s="1"/>
  <c r="J100" i="30"/>
  <c r="L100" i="30" s="1"/>
  <c r="N100" i="30" s="1"/>
  <c r="Z100" i="30" s="1"/>
  <c r="J129" i="30"/>
  <c r="L129" i="30" s="1"/>
  <c r="N129" i="30" s="1"/>
  <c r="Z129" i="30" s="1"/>
  <c r="J18" i="12"/>
  <c r="L18" i="12" s="1"/>
  <c r="N18" i="12" s="1"/>
  <c r="Z18" i="12" s="1"/>
  <c r="J118" i="12"/>
  <c r="L118" i="12" s="1"/>
  <c r="N118" i="12" s="1"/>
  <c r="Z118" i="12" s="1"/>
  <c r="J30" i="30"/>
  <c r="L30" i="30" s="1"/>
  <c r="N30" i="30" s="1"/>
  <c r="Z30" i="30" s="1"/>
  <c r="J55" i="30"/>
  <c r="L55" i="30" s="1"/>
  <c r="N55" i="30" s="1"/>
  <c r="Z55" i="30" s="1"/>
  <c r="J37" i="30"/>
  <c r="L37" i="30" s="1"/>
  <c r="N37" i="30" s="1"/>
  <c r="Z37" i="30" s="1"/>
  <c r="J110" i="30"/>
  <c r="L110" i="30" s="1"/>
  <c r="N110" i="30" s="1"/>
  <c r="Z110" i="30" s="1"/>
  <c r="J23" i="12"/>
  <c r="L23" i="12" s="1"/>
  <c r="N23" i="12" s="1"/>
  <c r="Z23" i="12" s="1"/>
  <c r="J65" i="30"/>
  <c r="L65" i="30" s="1"/>
  <c r="N65" i="30" s="1"/>
  <c r="Z65" i="30" s="1"/>
  <c r="J16" i="30"/>
  <c r="L16" i="30" s="1"/>
  <c r="N16" i="30" s="1"/>
  <c r="Z16" i="30" s="1"/>
  <c r="J90" i="30"/>
  <c r="L90" i="30" s="1"/>
  <c r="N90" i="30" s="1"/>
  <c r="Z90" i="30" s="1"/>
  <c r="J88" i="30"/>
  <c r="L88" i="30" s="1"/>
  <c r="N88" i="30" s="1"/>
  <c r="Z88" i="30" s="1"/>
  <c r="J39" i="30"/>
  <c r="L39" i="30" s="1"/>
  <c r="N39" i="30" s="1"/>
  <c r="Z39" i="30" s="1"/>
  <c r="J21" i="30"/>
  <c r="L21" i="30" s="1"/>
  <c r="N21" i="30" s="1"/>
  <c r="Z21" i="30" s="1"/>
  <c r="J87" i="30"/>
  <c r="L87" i="30" s="1"/>
  <c r="N87" i="30" s="1"/>
  <c r="Z87" i="30" s="1"/>
  <c r="J69" i="30"/>
  <c r="L69" i="30" s="1"/>
  <c r="N69" i="30" s="1"/>
  <c r="Z69" i="30" s="1"/>
  <c r="J18" i="30"/>
  <c r="L18" i="30" s="1"/>
  <c r="N18" i="30" s="1"/>
  <c r="Z18" i="30" s="1"/>
  <c r="J137" i="30"/>
  <c r="L137" i="30" s="1"/>
  <c r="N137" i="30" s="1"/>
  <c r="Z137" i="30" s="1"/>
  <c r="J24" i="30"/>
  <c r="L24" i="30" s="1"/>
  <c r="N24" i="30" s="1"/>
  <c r="Z24" i="30" s="1"/>
  <c r="J68" i="30"/>
  <c r="L68" i="30" s="1"/>
  <c r="N68" i="30" s="1"/>
  <c r="Z68" i="30" s="1"/>
  <c r="J13" i="30"/>
  <c r="L13" i="30" s="1"/>
  <c r="N13" i="30" s="1"/>
  <c r="Z13" i="30" s="1"/>
  <c r="J33" i="30"/>
  <c r="L33" i="30" s="1"/>
  <c r="N33" i="30" s="1"/>
  <c r="Z33" i="30" s="1"/>
  <c r="J14" i="31"/>
  <c r="L14" i="31" s="1"/>
  <c r="N14" i="31" s="1"/>
  <c r="Z14" i="31" s="1"/>
  <c r="J90" i="31"/>
  <c r="L90" i="31" s="1"/>
  <c r="N90" i="31" s="1"/>
  <c r="Z90" i="31" s="1"/>
  <c r="J53" i="31"/>
  <c r="L53" i="31" s="1"/>
  <c r="N53" i="31" s="1"/>
  <c r="Z53" i="31" s="1"/>
  <c r="J99" i="31"/>
  <c r="L99" i="31" s="1"/>
  <c r="N99" i="31" s="1"/>
  <c r="Z99" i="31" s="1"/>
  <c r="J19" i="31"/>
  <c r="L19" i="31" s="1"/>
  <c r="N19" i="31" s="1"/>
  <c r="Z19" i="31" s="1"/>
  <c r="J116" i="31"/>
  <c r="L116" i="31" s="1"/>
  <c r="N116" i="31" s="1"/>
  <c r="Z116" i="31" s="1"/>
  <c r="J136" i="31"/>
  <c r="L136" i="31" s="1"/>
  <c r="N136" i="31" s="1"/>
  <c r="Z136" i="31" s="1"/>
  <c r="J61" i="31"/>
  <c r="L61" i="31" s="1"/>
  <c r="N61" i="31" s="1"/>
  <c r="Z61" i="31" s="1"/>
  <c r="J29" i="31"/>
  <c r="L29" i="31" s="1"/>
  <c r="N29" i="31" s="1"/>
  <c r="Z29" i="31" s="1"/>
  <c r="J47" i="31"/>
  <c r="L47" i="31" s="1"/>
  <c r="N47" i="31" s="1"/>
  <c r="Z47" i="31" s="1"/>
  <c r="J22" i="31"/>
  <c r="L22" i="31" s="1"/>
  <c r="N22" i="31" s="1"/>
  <c r="Z22" i="31" s="1"/>
  <c r="E1" i="12"/>
  <c r="J4" i="12"/>
  <c r="L4" i="12" s="1"/>
  <c r="J38" i="12"/>
  <c r="L38" i="12" s="1"/>
  <c r="N38" i="12" s="1"/>
  <c r="Z38" i="12" s="1"/>
  <c r="E1" i="31"/>
  <c r="J83" i="31"/>
  <c r="L83" i="31" s="1"/>
  <c r="N83" i="31" s="1"/>
  <c r="Z83" i="31" s="1"/>
  <c r="J91" i="31"/>
  <c r="L91" i="31" s="1"/>
  <c r="N91" i="31" s="1"/>
  <c r="Z91" i="31" s="1"/>
  <c r="J44" i="31"/>
  <c r="L44" i="31" s="1"/>
  <c r="N44" i="31" s="1"/>
  <c r="Z44" i="31" s="1"/>
  <c r="J82" i="31"/>
  <c r="L82" i="31" s="1"/>
  <c r="N82" i="31" s="1"/>
  <c r="Z82" i="31" s="1"/>
  <c r="J117" i="31"/>
  <c r="L117" i="31" s="1"/>
  <c r="N117" i="31" s="1"/>
  <c r="Z117" i="31" s="1"/>
  <c r="J119" i="31"/>
  <c r="L119" i="31" s="1"/>
  <c r="N119" i="31" s="1"/>
  <c r="Z119" i="31" s="1"/>
  <c r="J28" i="31"/>
  <c r="L28" i="31" s="1"/>
  <c r="N28" i="31" s="1"/>
  <c r="Z28" i="31" s="1"/>
  <c r="J59" i="31"/>
  <c r="L59" i="31" s="1"/>
  <c r="N59" i="31" s="1"/>
  <c r="Z59" i="31" s="1"/>
  <c r="J12" i="31"/>
  <c r="L12" i="31" s="1"/>
  <c r="N12" i="31" s="1"/>
  <c r="Z12" i="31" s="1"/>
  <c r="J36" i="31"/>
  <c r="L36" i="31" s="1"/>
  <c r="N36" i="31" s="1"/>
  <c r="Z36" i="31" s="1"/>
  <c r="J107" i="12"/>
  <c r="L107" i="12" s="1"/>
  <c r="N107" i="12" s="1"/>
  <c r="Z107" i="12" s="1"/>
  <c r="J85" i="12"/>
  <c r="L85" i="12" s="1"/>
  <c r="N85" i="12" s="1"/>
  <c r="Z85" i="12" s="1"/>
  <c r="J9" i="12"/>
  <c r="L9" i="12" s="1"/>
  <c r="N9" i="12" s="1"/>
  <c r="Z9" i="12" s="1"/>
  <c r="J100" i="12"/>
  <c r="L100" i="12" s="1"/>
  <c r="N100" i="12" s="1"/>
  <c r="Z100" i="12" s="1"/>
  <c r="J24" i="12"/>
  <c r="L24" i="12" s="1"/>
  <c r="N24" i="12" s="1"/>
  <c r="Z24" i="12" s="1"/>
  <c r="J18" i="31"/>
  <c r="L18" i="31" s="1"/>
  <c r="N18" i="31" s="1"/>
  <c r="Z18" i="31" s="1"/>
  <c r="J108" i="12"/>
  <c r="L108" i="12" s="1"/>
  <c r="N108" i="12" s="1"/>
  <c r="Z108" i="12" s="1"/>
  <c r="J20" i="12"/>
  <c r="L20" i="12" s="1"/>
  <c r="N20" i="12" s="1"/>
  <c r="Z20" i="12" s="1"/>
  <c r="J57" i="12"/>
  <c r="L57" i="12" s="1"/>
  <c r="N57" i="12" s="1"/>
  <c r="Z57" i="12" s="1"/>
  <c r="J86" i="12"/>
  <c r="L86" i="12" s="1"/>
  <c r="N86" i="12" s="1"/>
  <c r="Z86" i="12" s="1"/>
  <c r="J44" i="12"/>
  <c r="L44" i="12" s="1"/>
  <c r="N44" i="12" s="1"/>
  <c r="Z44" i="12" s="1"/>
  <c r="J132" i="12"/>
  <c r="L132" i="12" s="1"/>
  <c r="N132" i="12" s="1"/>
  <c r="Z132" i="12" s="1"/>
  <c r="J66" i="12"/>
  <c r="L66" i="12" s="1"/>
  <c r="N66" i="12" s="1"/>
  <c r="Z66" i="12" s="1"/>
  <c r="J123" i="12"/>
  <c r="L123" i="12" s="1"/>
  <c r="N123" i="12" s="1"/>
  <c r="Z123" i="12" s="1"/>
  <c r="J131" i="12"/>
  <c r="L131" i="12" s="1"/>
  <c r="N131" i="12" s="1"/>
  <c r="Z131" i="12" s="1"/>
  <c r="J125" i="12"/>
  <c r="L125" i="12" s="1"/>
  <c r="N125" i="12" s="1"/>
  <c r="Z125" i="12" s="1"/>
  <c r="J30" i="12"/>
  <c r="L30" i="12" s="1"/>
  <c r="N30" i="12" s="1"/>
  <c r="Z30" i="12" s="1"/>
  <c r="J136" i="12"/>
  <c r="L136" i="12" s="1"/>
  <c r="N136" i="12" s="1"/>
  <c r="Z136" i="12" s="1"/>
  <c r="J47" i="12"/>
  <c r="L47" i="12" s="1"/>
  <c r="N47" i="12" s="1"/>
  <c r="Z47" i="12" s="1"/>
  <c r="J56" i="12"/>
  <c r="L56" i="12" s="1"/>
  <c r="N56" i="12" s="1"/>
  <c r="Z56" i="12" s="1"/>
  <c r="J76" i="12"/>
  <c r="L76" i="12" s="1"/>
  <c r="N76" i="12" s="1"/>
  <c r="Z76" i="12" s="1"/>
  <c r="J69" i="12"/>
  <c r="L69" i="12" s="1"/>
  <c r="N69" i="12" s="1"/>
  <c r="Z69" i="12" s="1"/>
  <c r="J22" i="30"/>
  <c r="L22" i="30" s="1"/>
  <c r="N22" i="30" s="1"/>
  <c r="Z22" i="30" s="1"/>
  <c r="J115" i="30"/>
  <c r="L115" i="30" s="1"/>
  <c r="N115" i="30" s="1"/>
  <c r="Z115" i="30" s="1"/>
  <c r="J28" i="30"/>
  <c r="L28" i="30" s="1"/>
  <c r="N28" i="30" s="1"/>
  <c r="Z28" i="30" s="1"/>
  <c r="J15" i="30"/>
  <c r="L15" i="30" s="1"/>
  <c r="N15" i="30" s="1"/>
  <c r="Z15" i="30" s="1"/>
  <c r="J54" i="12"/>
  <c r="L54" i="12" s="1"/>
  <c r="N54" i="12" s="1"/>
  <c r="Z54" i="12" s="1"/>
  <c r="J134" i="12"/>
  <c r="L134" i="12" s="1"/>
  <c r="N134" i="12" s="1"/>
  <c r="Z134" i="12" s="1"/>
  <c r="J85" i="30"/>
  <c r="L85" i="30" s="1"/>
  <c r="N85" i="30" s="1"/>
  <c r="Z85" i="30" s="1"/>
  <c r="J48" i="30"/>
  <c r="L48" i="30" s="1"/>
  <c r="N48" i="30" s="1"/>
  <c r="Z48" i="30" s="1"/>
  <c r="J122" i="30"/>
  <c r="L122" i="30" s="1"/>
  <c r="N122" i="30" s="1"/>
  <c r="Z122" i="30" s="1"/>
  <c r="J36" i="30"/>
  <c r="L36" i="30" s="1"/>
  <c r="N36" i="30" s="1"/>
  <c r="Z36" i="30" s="1"/>
  <c r="J113" i="12"/>
  <c r="L113" i="12" s="1"/>
  <c r="N113" i="12" s="1"/>
  <c r="Z113" i="12" s="1"/>
  <c r="J61" i="30"/>
  <c r="L61" i="30" s="1"/>
  <c r="N61" i="30" s="1"/>
  <c r="Z61" i="30" s="1"/>
  <c r="J124" i="30"/>
  <c r="L124" i="30" s="1"/>
  <c r="N124" i="30" s="1"/>
  <c r="Z124" i="30" s="1"/>
  <c r="J109" i="30"/>
  <c r="L109" i="30" s="1"/>
  <c r="N109" i="30" s="1"/>
  <c r="Z109" i="30" s="1"/>
  <c r="J68" i="12"/>
  <c r="L68" i="12" s="1"/>
  <c r="N68" i="12" s="1"/>
  <c r="Z68" i="12" s="1"/>
  <c r="J39" i="12"/>
  <c r="L39" i="12" s="1"/>
  <c r="N39" i="12" s="1"/>
  <c r="Z39" i="12" s="1"/>
  <c r="J27" i="30"/>
  <c r="L27" i="30" s="1"/>
  <c r="N27" i="30" s="1"/>
  <c r="Z27" i="30" s="1"/>
  <c r="J29" i="30"/>
  <c r="L29" i="30" s="1"/>
  <c r="N29" i="30" s="1"/>
  <c r="Z29" i="30" s="1"/>
  <c r="J70" i="30"/>
  <c r="L70" i="30" s="1"/>
  <c r="N70" i="30" s="1"/>
  <c r="Z70" i="30" s="1"/>
  <c r="J82" i="30"/>
  <c r="L82" i="30" s="1"/>
  <c r="N82" i="30" s="1"/>
  <c r="Z82" i="30" s="1"/>
  <c r="J76" i="30"/>
  <c r="L76" i="30" s="1"/>
  <c r="N76" i="30" s="1"/>
  <c r="Z76" i="30" s="1"/>
  <c r="J120" i="30"/>
  <c r="L120" i="30" s="1"/>
  <c r="N120" i="30" s="1"/>
  <c r="Z120" i="30" s="1"/>
  <c r="J91" i="30"/>
  <c r="L91" i="30" s="1"/>
  <c r="N91" i="30" s="1"/>
  <c r="Z91" i="30" s="1"/>
  <c r="J116" i="30"/>
  <c r="L116" i="30" s="1"/>
  <c r="N116" i="30" s="1"/>
  <c r="Z116" i="30" s="1"/>
  <c r="J7" i="30"/>
  <c r="L7" i="30" s="1"/>
  <c r="N7" i="30" s="1"/>
  <c r="Z7" i="30" s="1"/>
  <c r="J66" i="30"/>
  <c r="L66" i="30" s="1"/>
  <c r="N66" i="30" s="1"/>
  <c r="Z66" i="30" s="1"/>
  <c r="J118" i="30"/>
  <c r="L118" i="30" s="1"/>
  <c r="N118" i="30" s="1"/>
  <c r="Z118" i="30" s="1"/>
  <c r="J47" i="30"/>
  <c r="L47" i="30" s="1"/>
  <c r="N47" i="30" s="1"/>
  <c r="Z47" i="30" s="1"/>
  <c r="J12" i="30"/>
  <c r="L12" i="30" s="1"/>
  <c r="N12" i="30" s="1"/>
  <c r="Z12" i="30" s="1"/>
  <c r="J99" i="30"/>
  <c r="L99" i="30" s="1"/>
  <c r="N99" i="30" s="1"/>
  <c r="Z99" i="30" s="1"/>
  <c r="J62" i="30"/>
  <c r="L62" i="30" s="1"/>
  <c r="N62" i="30" s="1"/>
  <c r="Z62" i="30" s="1"/>
  <c r="J81" i="30"/>
  <c r="L81" i="30" s="1"/>
  <c r="N81" i="30" s="1"/>
  <c r="Z81" i="30" s="1"/>
  <c r="E1" i="30"/>
  <c r="J4" i="30"/>
  <c r="L4" i="30" s="1"/>
  <c r="J69" i="31"/>
  <c r="L69" i="31" s="1"/>
  <c r="N69" i="31" s="1"/>
  <c r="Z69" i="31" s="1"/>
  <c r="J129" i="31"/>
  <c r="L129" i="31" s="1"/>
  <c r="N129" i="31" s="1"/>
  <c r="Z129" i="31" s="1"/>
  <c r="J124" i="31"/>
  <c r="L124" i="31" s="1"/>
  <c r="N124" i="31" s="1"/>
  <c r="Z124" i="31" s="1"/>
  <c r="J33" i="31"/>
  <c r="L33" i="31" s="1"/>
  <c r="N33" i="31" s="1"/>
  <c r="Z33" i="31" s="1"/>
  <c r="J56" i="31"/>
  <c r="L56" i="31" s="1"/>
  <c r="N56" i="31" s="1"/>
  <c r="Z56" i="31" s="1"/>
  <c r="J126" i="31"/>
  <c r="L126" i="31" s="1"/>
  <c r="N126" i="31" s="1"/>
  <c r="Z126" i="31" s="1"/>
  <c r="J34" i="31"/>
  <c r="L34" i="31" s="1"/>
  <c r="N34" i="31" s="1"/>
  <c r="Z34" i="31" s="1"/>
  <c r="J80" i="31"/>
  <c r="L80" i="31" s="1"/>
  <c r="N80" i="31" s="1"/>
  <c r="Z80" i="31" s="1"/>
  <c r="J21" i="31"/>
  <c r="L21" i="31" s="1"/>
  <c r="N21" i="31" s="1"/>
  <c r="Z21" i="31" s="1"/>
  <c r="J40" i="31"/>
  <c r="L40" i="31" s="1"/>
  <c r="N40" i="31" s="1"/>
  <c r="Z40" i="31" s="1"/>
  <c r="J26" i="31"/>
  <c r="L26" i="31" s="1"/>
  <c r="N26" i="31" s="1"/>
  <c r="Z26" i="31" s="1"/>
  <c r="J74" i="31"/>
  <c r="L74" i="31" s="1"/>
  <c r="N74" i="31" s="1"/>
  <c r="Z74" i="31" s="1"/>
  <c r="J110" i="31"/>
  <c r="L110" i="31" s="1"/>
  <c r="N110" i="31" s="1"/>
  <c r="Z110" i="31" s="1"/>
  <c r="J76" i="31"/>
  <c r="L76" i="31" s="1"/>
  <c r="N76" i="31" s="1"/>
  <c r="Z76" i="31" s="1"/>
  <c r="J70" i="31"/>
  <c r="L70" i="31" s="1"/>
  <c r="N70" i="31" s="1"/>
  <c r="Z70" i="31" s="1"/>
  <c r="J46" i="31"/>
  <c r="L46" i="31" s="1"/>
  <c r="N46" i="31" s="1"/>
  <c r="Z46" i="31" s="1"/>
  <c r="J114" i="31"/>
  <c r="L114" i="31" s="1"/>
  <c r="N114" i="31" s="1"/>
  <c r="Z114" i="31" s="1"/>
  <c r="J100" i="31"/>
  <c r="L100" i="31" s="1"/>
  <c r="N100" i="31" s="1"/>
  <c r="Z100" i="31" s="1"/>
  <c r="J125" i="31"/>
  <c r="L125" i="31" s="1"/>
  <c r="N125" i="31" s="1"/>
  <c r="Z125" i="31" s="1"/>
  <c r="J107" i="31"/>
  <c r="L107" i="31" s="1"/>
  <c r="N107" i="31" s="1"/>
  <c r="Z107" i="31" s="1"/>
  <c r="J132" i="31"/>
  <c r="L132" i="31" s="1"/>
  <c r="N132" i="31" s="1"/>
  <c r="Z132" i="31" s="1"/>
  <c r="J15" i="31"/>
  <c r="L15" i="31" s="1"/>
  <c r="N15" i="31" s="1"/>
  <c r="Z15" i="31" s="1"/>
  <c r="J57" i="31"/>
  <c r="L57" i="31" s="1"/>
  <c r="N57" i="31" s="1"/>
  <c r="Z57" i="31" s="1"/>
  <c r="J73" i="31"/>
  <c r="L73" i="31" s="1"/>
  <c r="N73" i="31" s="1"/>
  <c r="Z73" i="31" s="1"/>
  <c r="J6" i="31"/>
  <c r="L6" i="31" s="1"/>
  <c r="N6" i="31" s="1"/>
  <c r="Z6" i="31" s="1"/>
  <c r="J23" i="31"/>
  <c r="L23" i="31" s="1"/>
  <c r="N23" i="31" s="1"/>
  <c r="Z23" i="31" s="1"/>
  <c r="J30" i="31"/>
  <c r="L30" i="31" s="1"/>
  <c r="N30" i="31" s="1"/>
  <c r="Z30" i="31" s="1"/>
  <c r="J27" i="31"/>
  <c r="L27" i="31" s="1"/>
  <c r="N27" i="31" s="1"/>
  <c r="Z27" i="31" s="1"/>
  <c r="J25" i="31"/>
  <c r="L25" i="31" s="1"/>
  <c r="N25" i="31" s="1"/>
  <c r="Z25" i="31" s="1"/>
  <c r="J88" i="31"/>
  <c r="L88" i="31" s="1"/>
  <c r="N88" i="31" s="1"/>
  <c r="Z88" i="31" s="1"/>
  <c r="J133" i="31"/>
  <c r="L133" i="31" s="1"/>
  <c r="N133" i="31" s="1"/>
  <c r="Z133" i="31" s="1"/>
  <c r="J66" i="31"/>
  <c r="L66" i="31" s="1"/>
  <c r="N66" i="31" s="1"/>
  <c r="Z66" i="31" s="1"/>
  <c r="J122" i="31"/>
  <c r="L122" i="31" s="1"/>
  <c r="N122" i="31" s="1"/>
  <c r="Z122" i="31" s="1"/>
  <c r="J11" i="31"/>
  <c r="L11" i="31" s="1"/>
  <c r="N11" i="31" s="1"/>
  <c r="Z11" i="31" s="1"/>
  <c r="J97" i="31"/>
  <c r="L97" i="31" s="1"/>
  <c r="N97" i="31" s="1"/>
  <c r="Z97" i="31" s="1"/>
  <c r="J103" i="31"/>
  <c r="L103" i="31" s="1"/>
  <c r="N103" i="31" s="1"/>
  <c r="Z103" i="31" s="1"/>
  <c r="J135" i="31"/>
  <c r="L135" i="31" s="1"/>
  <c r="N135" i="31" s="1"/>
  <c r="Z135" i="31" s="1"/>
  <c r="J37" i="31"/>
  <c r="L37" i="31" s="1"/>
  <c r="N37" i="31" s="1"/>
  <c r="Z37" i="31" s="1"/>
  <c r="J48" i="31"/>
  <c r="L48" i="31" s="1"/>
  <c r="N48" i="31" s="1"/>
  <c r="Z48" i="31" s="1"/>
  <c r="J5" i="31"/>
  <c r="L5" i="31" s="1"/>
  <c r="N5" i="31" s="1"/>
  <c r="Z5" i="31" s="1"/>
  <c r="J87" i="31"/>
  <c r="L87" i="31" s="1"/>
  <c r="N87" i="31" s="1"/>
  <c r="Z87" i="31" s="1"/>
  <c r="J118" i="31"/>
  <c r="L118" i="31" s="1"/>
  <c r="N118" i="31" s="1"/>
  <c r="Z118" i="31" s="1"/>
  <c r="J113" i="31"/>
  <c r="L113" i="31" s="1"/>
  <c r="N113" i="31" s="1"/>
  <c r="Z113" i="31" s="1"/>
  <c r="J121" i="31"/>
  <c r="L121" i="31" s="1"/>
  <c r="N121" i="31" s="1"/>
  <c r="Z121" i="31" s="1"/>
  <c r="J22" i="12"/>
  <c r="L22" i="12" s="1"/>
  <c r="N22" i="12" s="1"/>
  <c r="Z22" i="12" s="1"/>
  <c r="J40" i="12"/>
  <c r="L40" i="12" s="1"/>
  <c r="N40" i="12" s="1"/>
  <c r="Z40" i="12" s="1"/>
  <c r="J73" i="12"/>
  <c r="L73" i="12" s="1"/>
  <c r="N73" i="12" s="1"/>
  <c r="Z73" i="12" s="1"/>
  <c r="J53" i="12"/>
  <c r="L53" i="12" s="1"/>
  <c r="N53" i="12" s="1"/>
  <c r="Z53" i="12" s="1"/>
  <c r="J12" i="12"/>
  <c r="L12" i="12" s="1"/>
  <c r="N12" i="12" s="1"/>
  <c r="Z12" i="12" s="1"/>
  <c r="J137" i="12"/>
  <c r="L137" i="12" s="1"/>
  <c r="N137" i="12" s="1"/>
  <c r="Z137" i="12" s="1"/>
  <c r="J68" i="31"/>
  <c r="L68" i="31" s="1"/>
  <c r="N68" i="31" s="1"/>
  <c r="Z68" i="31" s="1"/>
  <c r="J25" i="12"/>
  <c r="L25" i="12" s="1"/>
  <c r="N25" i="12" s="1"/>
  <c r="Z25" i="12" s="1"/>
  <c r="J110" i="12"/>
  <c r="L110" i="12" s="1"/>
  <c r="N110" i="12" s="1"/>
  <c r="Z110" i="12" s="1"/>
  <c r="J111" i="12"/>
  <c r="L111" i="12" s="1"/>
  <c r="N111" i="12" s="1"/>
  <c r="Z111" i="12" s="1"/>
  <c r="J6" i="12"/>
  <c r="L6" i="12" s="1"/>
  <c r="N6" i="12" s="1"/>
  <c r="Z6" i="12" s="1"/>
  <c r="J37" i="12"/>
  <c r="L37" i="12" s="1"/>
  <c r="N37" i="12" s="1"/>
  <c r="Z37" i="12" s="1"/>
  <c r="J97" i="12"/>
  <c r="L97" i="12" s="1"/>
  <c r="N97" i="12" s="1"/>
  <c r="Z97" i="12" s="1"/>
  <c r="J62" i="12"/>
  <c r="L62" i="12" s="1"/>
  <c r="N62" i="12" s="1"/>
  <c r="Z62" i="12" s="1"/>
  <c r="J122" i="12"/>
  <c r="L122" i="12" s="1"/>
  <c r="N122" i="12" s="1"/>
  <c r="Z122" i="12" s="1"/>
  <c r="J5" i="12"/>
  <c r="L5" i="12" s="1"/>
  <c r="N5" i="12" s="1"/>
  <c r="Z5" i="12" s="1"/>
  <c r="J11" i="12"/>
  <c r="L11" i="12" s="1"/>
  <c r="N11" i="12" s="1"/>
  <c r="Z11" i="12" s="1"/>
  <c r="J103" i="12"/>
  <c r="L103" i="12" s="1"/>
  <c r="N103" i="12" s="1"/>
  <c r="Z103" i="12" s="1"/>
  <c r="J84" i="12"/>
  <c r="L84" i="12" s="1"/>
  <c r="N84" i="12" s="1"/>
  <c r="Z84" i="12" s="1"/>
  <c r="J114" i="12"/>
  <c r="L114" i="12" s="1"/>
  <c r="N114" i="12" s="1"/>
  <c r="Z114" i="12" s="1"/>
  <c r="J27" i="12"/>
  <c r="L27" i="12" s="1"/>
  <c r="N27" i="12" s="1"/>
  <c r="Z27" i="12" s="1"/>
  <c r="J65" i="12"/>
  <c r="L65" i="12" s="1"/>
  <c r="N65" i="12" s="1"/>
  <c r="Z65" i="12" s="1"/>
  <c r="J120" i="12"/>
  <c r="L120" i="12" s="1"/>
  <c r="N120" i="12" s="1"/>
  <c r="Z120" i="12" s="1"/>
  <c r="J99" i="12"/>
  <c r="L99" i="12" s="1"/>
  <c r="N99" i="12" s="1"/>
  <c r="Z99" i="12" s="1"/>
  <c r="J133" i="30"/>
  <c r="L133" i="30" s="1"/>
  <c r="N133" i="30" s="1"/>
  <c r="Z133" i="30" s="1"/>
  <c r="J121" i="30"/>
  <c r="L121" i="30" s="1"/>
  <c r="N121" i="30" s="1"/>
  <c r="Z121" i="30" s="1"/>
  <c r="J40" i="30"/>
  <c r="L40" i="30" s="1"/>
  <c r="N40" i="30" s="1"/>
  <c r="Z40" i="30" s="1"/>
  <c r="J31" i="30"/>
  <c r="L31" i="30" s="1"/>
  <c r="N31" i="30" s="1"/>
  <c r="Z31" i="30" s="1"/>
  <c r="J13" i="12"/>
  <c r="L13" i="12" s="1"/>
  <c r="N13" i="12" s="1"/>
  <c r="Z13" i="12" s="1"/>
  <c r="J45" i="12"/>
  <c r="L45" i="12" s="1"/>
  <c r="N45" i="12" s="1"/>
  <c r="Z45" i="12" s="1"/>
  <c r="J119" i="30"/>
  <c r="L119" i="30" s="1"/>
  <c r="N119" i="30" s="1"/>
  <c r="Z119" i="30" s="1"/>
  <c r="J34" i="30"/>
  <c r="L34" i="30" s="1"/>
  <c r="N34" i="30" s="1"/>
  <c r="Z34" i="30" s="1"/>
  <c r="J45" i="30"/>
  <c r="L45" i="30" s="1"/>
  <c r="N45" i="30" s="1"/>
  <c r="Z45" i="30" s="1"/>
  <c r="J131" i="30"/>
  <c r="L131" i="30" s="1"/>
  <c r="N131" i="30" s="1"/>
  <c r="Z131" i="30" s="1"/>
  <c r="J126" i="12"/>
  <c r="L126" i="12" s="1"/>
  <c r="N126" i="12" s="1"/>
  <c r="Z126" i="12" s="1"/>
  <c r="J81" i="12"/>
  <c r="L81" i="12" s="1"/>
  <c r="N81" i="12" s="1"/>
  <c r="Z81" i="12" s="1"/>
  <c r="J127" i="30"/>
  <c r="L127" i="30" s="1"/>
  <c r="N127" i="30" s="1"/>
  <c r="Z127" i="30" s="1"/>
  <c r="J95" i="30"/>
  <c r="L95" i="30" s="1"/>
  <c r="N95" i="30" s="1"/>
  <c r="Z95" i="30" s="1"/>
  <c r="J26" i="30"/>
  <c r="L26" i="30" s="1"/>
  <c r="N26" i="30" s="1"/>
  <c r="Z26" i="30" s="1"/>
  <c r="J32" i="12"/>
  <c r="L32" i="12" s="1"/>
  <c r="N32" i="12" s="1"/>
  <c r="Z32" i="12" s="1"/>
  <c r="J96" i="12"/>
  <c r="L96" i="12" s="1"/>
  <c r="N96" i="12" s="1"/>
  <c r="Z96" i="12" s="1"/>
  <c r="J104" i="30"/>
  <c r="L104" i="30" s="1"/>
  <c r="N104" i="30" s="1"/>
  <c r="Z104" i="30" s="1"/>
  <c r="J35" i="30"/>
  <c r="L35" i="30" s="1"/>
  <c r="N35" i="30" s="1"/>
  <c r="Z35" i="30" s="1"/>
  <c r="J59" i="30"/>
  <c r="L59" i="30" s="1"/>
  <c r="N59" i="30" s="1"/>
  <c r="Z59" i="30" s="1"/>
  <c r="J44" i="30"/>
  <c r="L44" i="30" s="1"/>
  <c r="N44" i="30" s="1"/>
  <c r="Z44" i="30" s="1"/>
  <c r="J17" i="30"/>
  <c r="L17" i="30" s="1"/>
  <c r="N17" i="30" s="1"/>
  <c r="Z17" i="30" s="1"/>
  <c r="J53" i="30"/>
  <c r="L53" i="30" s="1"/>
  <c r="N53" i="30" s="1"/>
  <c r="Z53" i="30" s="1"/>
  <c r="J38" i="30"/>
  <c r="L38" i="30" s="1"/>
  <c r="N38" i="30" s="1"/>
  <c r="Z38" i="30" s="1"/>
  <c r="J130" i="30"/>
  <c r="L130" i="30" s="1"/>
  <c r="N130" i="30" s="1"/>
  <c r="Z130" i="30" s="1"/>
  <c r="J25" i="30"/>
  <c r="L25" i="30" s="1"/>
  <c r="N25" i="30" s="1"/>
  <c r="Z25" i="30" s="1"/>
  <c r="J83" i="30"/>
  <c r="L83" i="30" s="1"/>
  <c r="N83" i="30" s="1"/>
  <c r="Z83" i="30" s="1"/>
  <c r="J132" i="30"/>
  <c r="L132" i="30" s="1"/>
  <c r="N132" i="30" s="1"/>
  <c r="Z132" i="30" s="1"/>
  <c r="J6" i="30"/>
  <c r="L6" i="30" s="1"/>
  <c r="N6" i="30" s="1"/>
  <c r="Z6" i="30" s="1"/>
  <c r="J135" i="30"/>
  <c r="L135" i="30" s="1"/>
  <c r="N135" i="30" s="1"/>
  <c r="Z135" i="30" s="1"/>
  <c r="J32" i="30"/>
  <c r="L32" i="30" s="1"/>
  <c r="N32" i="30" s="1"/>
  <c r="Z32" i="30" s="1"/>
  <c r="J113" i="30"/>
  <c r="L113" i="30" s="1"/>
  <c r="N113" i="30" s="1"/>
  <c r="Z113" i="30" s="1"/>
  <c r="J111" i="31"/>
  <c r="L111" i="31" s="1"/>
  <c r="N111" i="31" s="1"/>
  <c r="Z111" i="31" s="1"/>
  <c r="J123" i="31"/>
  <c r="L123" i="31" s="1"/>
  <c r="N123" i="31" s="1"/>
  <c r="Z123" i="31" s="1"/>
  <c r="J62" i="31"/>
  <c r="L62" i="31" s="1"/>
  <c r="N62" i="31" s="1"/>
  <c r="Z62" i="31" s="1"/>
  <c r="J95" i="31"/>
  <c r="L95" i="31" s="1"/>
  <c r="N95" i="31" s="1"/>
  <c r="Z95" i="31" s="1"/>
  <c r="J105" i="31"/>
  <c r="L105" i="31" s="1"/>
  <c r="N105" i="31" s="1"/>
  <c r="Z105" i="31" s="1"/>
  <c r="J65" i="31"/>
  <c r="L65" i="31" s="1"/>
  <c r="N65" i="31" s="1"/>
  <c r="Z65" i="31" s="1"/>
  <c r="J81" i="31"/>
  <c r="L81" i="31" s="1"/>
  <c r="N81" i="31" s="1"/>
  <c r="Z81" i="31" s="1"/>
  <c r="J45" i="31"/>
  <c r="L45" i="31" s="1"/>
  <c r="N45" i="31" s="1"/>
  <c r="Z45" i="31" s="1"/>
  <c r="J109" i="31"/>
  <c r="L109" i="31" s="1"/>
  <c r="N109" i="31" s="1"/>
  <c r="Z109" i="31" s="1"/>
  <c r="J120" i="31"/>
  <c r="L120" i="31" s="1"/>
  <c r="N120" i="31" s="1"/>
  <c r="Z120" i="31" s="1"/>
  <c r="J84" i="31"/>
  <c r="L84" i="31" s="1"/>
  <c r="N84" i="31" s="1"/>
  <c r="Z84" i="31" s="1"/>
  <c r="J130" i="31"/>
  <c r="L130" i="31" s="1"/>
  <c r="N130" i="31" s="1"/>
  <c r="Z130" i="31" s="1"/>
  <c r="J55" i="31"/>
  <c r="L55" i="31" s="1"/>
  <c r="N55" i="31" s="1"/>
  <c r="Z55" i="31" s="1"/>
  <c r="J32" i="31"/>
  <c r="L32" i="31" s="1"/>
  <c r="N32" i="31" s="1"/>
  <c r="Z32" i="31" s="1"/>
  <c r="J31" i="31"/>
  <c r="L31" i="31" s="1"/>
  <c r="N31" i="31" s="1"/>
  <c r="Z31" i="31" s="1"/>
  <c r="J24" i="31"/>
  <c r="L24" i="31" s="1"/>
  <c r="N24" i="31" s="1"/>
  <c r="Z24" i="31" s="1"/>
  <c r="J137" i="31"/>
  <c r="L137" i="31" s="1"/>
  <c r="N137" i="31" s="1"/>
  <c r="Z137" i="31" s="1"/>
  <c r="J41" i="31"/>
  <c r="L41" i="31" s="1"/>
  <c r="N41" i="31" s="1"/>
  <c r="Z41" i="31" s="1"/>
  <c r="J134" i="31"/>
  <c r="L134" i="31" s="1"/>
  <c r="N134" i="31" s="1"/>
  <c r="Z134" i="31" s="1"/>
  <c r="J17" i="31"/>
  <c r="L17" i="31" s="1"/>
  <c r="N17" i="31" s="1"/>
  <c r="Z17" i="31" s="1"/>
  <c r="J54" i="31"/>
  <c r="L54" i="31" s="1"/>
  <c r="N54" i="31" s="1"/>
  <c r="Z54" i="31" s="1"/>
  <c r="J96" i="31"/>
  <c r="L96" i="31" s="1"/>
  <c r="N96" i="31" s="1"/>
  <c r="Z96" i="31" s="1"/>
  <c r="J104" i="31"/>
  <c r="L104" i="31" s="1"/>
  <c r="N104" i="31" s="1"/>
  <c r="Z104" i="31" s="1"/>
  <c r="J38" i="31"/>
  <c r="L38" i="31" s="1"/>
  <c r="N38" i="31" s="1"/>
  <c r="Z38" i="31" s="1"/>
  <c r="J20" i="31"/>
  <c r="L20" i="31" s="1"/>
  <c r="N20" i="31" s="1"/>
  <c r="Z20" i="31" s="1"/>
  <c r="J16" i="31"/>
  <c r="L16" i="31" s="1"/>
  <c r="N16" i="31" s="1"/>
  <c r="Z16" i="31" s="1"/>
  <c r="J9" i="31"/>
  <c r="L9" i="31" s="1"/>
  <c r="N9" i="31" s="1"/>
  <c r="Z9" i="31" s="1"/>
  <c r="J39" i="31"/>
  <c r="L39" i="31" s="1"/>
  <c r="N39" i="31" s="1"/>
  <c r="Z39" i="31" s="1"/>
  <c r="J7" i="31"/>
  <c r="L7" i="31" s="1"/>
  <c r="N7" i="31" s="1"/>
  <c r="Z7" i="31" s="1"/>
  <c r="J108" i="31"/>
  <c r="L108" i="31" s="1"/>
  <c r="N108" i="31" s="1"/>
  <c r="Z108" i="31" s="1"/>
  <c r="J117" i="12"/>
  <c r="L117" i="12" s="1"/>
  <c r="N117" i="12" s="1"/>
  <c r="Z117" i="12" s="1"/>
  <c r="J17" i="12"/>
  <c r="L17" i="12" s="1"/>
  <c r="N17" i="12" s="1"/>
  <c r="Z17" i="12" s="1"/>
  <c r="J16" i="12"/>
  <c r="L16" i="12" s="1"/>
  <c r="N16" i="12" s="1"/>
  <c r="Z16" i="12" s="1"/>
  <c r="J31" i="12"/>
  <c r="L31" i="12" s="1"/>
  <c r="N31" i="12" s="1"/>
  <c r="Z31" i="12" s="1"/>
  <c r="J91" i="12"/>
  <c r="L91" i="12" s="1"/>
  <c r="N91" i="12" s="1"/>
  <c r="Z91" i="12" s="1"/>
  <c r="J127" i="12"/>
  <c r="L127" i="12" s="1"/>
  <c r="N127" i="12" s="1"/>
  <c r="Z127" i="12" s="1"/>
  <c r="J115" i="12"/>
  <c r="L115" i="12" s="1"/>
  <c r="N115" i="12" s="1"/>
  <c r="Z115" i="12" s="1"/>
  <c r="J88" i="12"/>
  <c r="L88" i="12" s="1"/>
  <c r="N88" i="12" s="1"/>
  <c r="Z88" i="12" s="1"/>
  <c r="J80" i="12"/>
  <c r="L80" i="12" s="1"/>
  <c r="N80" i="12" s="1"/>
  <c r="Z80" i="12" s="1"/>
  <c r="J19" i="12"/>
  <c r="L19" i="12" s="1"/>
  <c r="N19" i="12" s="1"/>
  <c r="Z19" i="12" s="1"/>
  <c r="J21" i="12"/>
  <c r="L21" i="12" s="1"/>
  <c r="N21" i="12" s="1"/>
  <c r="Z21" i="12" s="1"/>
  <c r="J14" i="12"/>
  <c r="L14" i="12" s="1"/>
  <c r="N14" i="12" s="1"/>
  <c r="Z14" i="12" s="1"/>
  <c r="J121" i="12"/>
  <c r="L121" i="12" s="1"/>
  <c r="N121" i="12" s="1"/>
  <c r="Z121" i="12" s="1"/>
  <c r="J36" i="12"/>
  <c r="L36" i="12" s="1"/>
  <c r="N36" i="12" s="1"/>
  <c r="Z36" i="12" s="1"/>
  <c r="J59" i="12"/>
  <c r="L59" i="12" s="1"/>
  <c r="N59" i="12" s="1"/>
  <c r="Z59" i="12" s="1"/>
  <c r="J46" i="12"/>
  <c r="L46" i="12" s="1"/>
  <c r="N46" i="12" s="1"/>
  <c r="Z46" i="12" s="1"/>
  <c r="J7" i="12"/>
  <c r="L7" i="12" s="1"/>
  <c r="N7" i="12" s="1"/>
  <c r="Z7" i="12" s="1"/>
  <c r="J34" i="12"/>
  <c r="L34" i="12" s="1"/>
  <c r="N34" i="12" s="1"/>
  <c r="Z34" i="12" s="1"/>
  <c r="J133" i="12"/>
  <c r="L133" i="12" s="1"/>
  <c r="N133" i="12" s="1"/>
  <c r="Z133" i="12" s="1"/>
  <c r="J26" i="12"/>
  <c r="L26" i="12" s="1"/>
  <c r="N26" i="12" s="1"/>
  <c r="Z26" i="12" s="1"/>
  <c r="J61" i="12"/>
  <c r="L61" i="12" s="1"/>
  <c r="N61" i="12" s="1"/>
  <c r="Z61" i="12" s="1"/>
  <c r="J33" i="12"/>
  <c r="L33" i="12" s="1"/>
  <c r="N33" i="12" s="1"/>
  <c r="Z33" i="12" s="1"/>
  <c r="J86" i="30"/>
  <c r="L86" i="30" s="1"/>
  <c r="N86" i="30" s="1"/>
  <c r="Z86" i="30" s="1"/>
  <c r="J57" i="30"/>
  <c r="L57" i="30" s="1"/>
  <c r="N57" i="30" s="1"/>
  <c r="Z57" i="30" s="1"/>
  <c r="J136" i="30"/>
  <c r="L136" i="30" s="1"/>
  <c r="N136" i="30" s="1"/>
  <c r="Z136" i="30" s="1"/>
  <c r="J73" i="30"/>
  <c r="L73" i="30" s="1"/>
  <c r="N73" i="30" s="1"/>
  <c r="Z73" i="30" s="1"/>
  <c r="J41" i="12"/>
  <c r="L41" i="12" s="1"/>
  <c r="N41" i="12" s="1"/>
  <c r="Z41" i="12" s="1"/>
  <c r="J124" i="12"/>
  <c r="L124" i="12" s="1"/>
  <c r="N124" i="12" s="1"/>
  <c r="Z124" i="12" s="1"/>
  <c r="J67" i="30"/>
  <c r="L67" i="30" s="1"/>
  <c r="N67" i="30" s="1"/>
  <c r="Z67" i="30" s="1"/>
  <c r="J54" i="30"/>
  <c r="L54" i="30" s="1"/>
  <c r="N54" i="30" s="1"/>
  <c r="Z54" i="30" s="1"/>
  <c r="J23" i="30"/>
  <c r="L23" i="30" s="1"/>
  <c r="N23" i="30" s="1"/>
  <c r="Z23" i="30" s="1"/>
  <c r="J103" i="30"/>
  <c r="L103" i="30" s="1"/>
  <c r="N103" i="30" s="1"/>
  <c r="Z103" i="30" s="1"/>
  <c r="J130" i="12"/>
  <c r="L130" i="12" s="1"/>
  <c r="N130" i="12" s="1"/>
  <c r="Z130" i="12" s="1"/>
  <c r="J97" i="30"/>
  <c r="L97" i="30" s="1"/>
  <c r="N97" i="30" s="1"/>
  <c r="Z97" i="30" s="1"/>
  <c r="J134" i="30"/>
  <c r="L134" i="30" s="1"/>
  <c r="N134" i="30" s="1"/>
  <c r="Z134" i="30" s="1"/>
  <c r="J125" i="30"/>
  <c r="L125" i="30" s="1"/>
  <c r="N125" i="30" s="1"/>
  <c r="Z125" i="30" s="1"/>
  <c r="J46" i="30"/>
  <c r="L46" i="30" s="1"/>
  <c r="N46" i="30" s="1"/>
  <c r="Z46" i="30" s="1"/>
  <c r="J48" i="12"/>
  <c r="L48" i="12" s="1"/>
  <c r="N48" i="12" s="1"/>
  <c r="Z48" i="12" s="1"/>
  <c r="J74" i="30"/>
  <c r="L74" i="30" s="1"/>
  <c r="N74" i="30" s="1"/>
  <c r="Z74" i="30" s="1"/>
  <c r="J41" i="30"/>
  <c r="L41" i="30" s="1"/>
  <c r="N41" i="30" s="1"/>
  <c r="Z41" i="30" s="1"/>
  <c r="J123" i="30"/>
  <c r="L123" i="30" s="1"/>
  <c r="N123" i="30" s="1"/>
  <c r="Z123" i="30" s="1"/>
  <c r="J5" i="30"/>
  <c r="L5" i="30" s="1"/>
  <c r="N5" i="30" s="1"/>
  <c r="Z5" i="30" s="1"/>
  <c r="J14" i="30"/>
  <c r="L14" i="30" s="1"/>
  <c r="N14" i="30" s="1"/>
  <c r="Z14" i="30" s="1"/>
  <c r="J20" i="30"/>
  <c r="L20" i="30" s="1"/>
  <c r="N20" i="30" s="1"/>
  <c r="Z20" i="30" s="1"/>
  <c r="J105" i="30"/>
  <c r="L105" i="30" s="1"/>
  <c r="N105" i="30" s="1"/>
  <c r="Z105" i="30" s="1"/>
  <c r="J111" i="30"/>
  <c r="L111" i="30" s="1"/>
  <c r="N111" i="30" s="1"/>
  <c r="Z111" i="30" s="1"/>
  <c r="J84" i="30"/>
  <c r="L84" i="30" s="1"/>
  <c r="N84" i="30" s="1"/>
  <c r="Z84" i="30" s="1"/>
  <c r="J114" i="30"/>
  <c r="L114" i="30" s="1"/>
  <c r="N114" i="30" s="1"/>
  <c r="Z114" i="30" s="1"/>
  <c r="J56" i="30"/>
  <c r="L56" i="30" s="1"/>
  <c r="N56" i="30" s="1"/>
  <c r="Z56" i="30" s="1"/>
  <c r="J117" i="30"/>
  <c r="L117" i="30" s="1"/>
  <c r="N117" i="30" s="1"/>
  <c r="Z117" i="30" s="1"/>
  <c r="J19" i="30"/>
  <c r="L19" i="30" s="1"/>
  <c r="N19" i="30" s="1"/>
  <c r="Z19" i="30" s="1"/>
  <c r="L4" i="31"/>
  <c r="J1" i="31" l="1"/>
  <c r="L1" i="30"/>
  <c r="N1" i="30" s="1"/>
  <c r="N4" i="30"/>
  <c r="Z4" i="30" s="1"/>
  <c r="AA67" i="30" s="1"/>
  <c r="J1" i="30"/>
  <c r="L1" i="12"/>
  <c r="N1" i="12" s="1"/>
  <c r="N4" i="12"/>
  <c r="Z4" i="12" s="1"/>
  <c r="AA36" i="12" s="1"/>
  <c r="L1" i="31"/>
  <c r="N1" i="31" s="1"/>
  <c r="N4" i="31"/>
  <c r="Z4" i="31" s="1"/>
  <c r="AA20" i="31" s="1"/>
  <c r="J1" i="12"/>
  <c r="AA123" i="30" l="1"/>
  <c r="AA13" i="30"/>
  <c r="AA125" i="30"/>
  <c r="AA37" i="30"/>
  <c r="AA31" i="30"/>
  <c r="AA96" i="30"/>
  <c r="AA34" i="30"/>
  <c r="AA100" i="30"/>
  <c r="AA24" i="30"/>
  <c r="AA16" i="30"/>
  <c r="AA88" i="30"/>
  <c r="AA30" i="30"/>
  <c r="AA21" i="30"/>
  <c r="AA69" i="30"/>
  <c r="AA36" i="30"/>
  <c r="AA61" i="30"/>
  <c r="AA7" i="30"/>
  <c r="AA12" i="30"/>
  <c r="AA62" i="30"/>
  <c r="AA133" i="30"/>
  <c r="AA97" i="30"/>
  <c r="AA129" i="30"/>
  <c r="AA5" i="30"/>
  <c r="AA131" i="30"/>
  <c r="AA19" i="30"/>
  <c r="AA33" i="30"/>
  <c r="AA134" i="30"/>
  <c r="AA110" i="30"/>
  <c r="AA90" i="30"/>
  <c r="AA114" i="12"/>
  <c r="AA99" i="12"/>
  <c r="AA39" i="30"/>
  <c r="AA111" i="12"/>
  <c r="AA55" i="30"/>
  <c r="AA68" i="30"/>
  <c r="AA26" i="30"/>
  <c r="AA40" i="30"/>
  <c r="AA81" i="12"/>
  <c r="AA81" i="30"/>
  <c r="AA76" i="30"/>
  <c r="AA20" i="30"/>
  <c r="AA87" i="30"/>
  <c r="AA116" i="30"/>
  <c r="AA56" i="30"/>
  <c r="AA32" i="30"/>
  <c r="AA118" i="30"/>
  <c r="AA121" i="30"/>
  <c r="AA45" i="30"/>
  <c r="AA107" i="30"/>
  <c r="AA65" i="30"/>
  <c r="AA137" i="30"/>
  <c r="AA66" i="30"/>
  <c r="AA11" i="30"/>
  <c r="AA86" i="30"/>
  <c r="AA47" i="30"/>
  <c r="AA119" i="30"/>
  <c r="AA22" i="30"/>
  <c r="AA35" i="30"/>
  <c r="AA74" i="30"/>
  <c r="AA18" i="30"/>
  <c r="AA124" i="30"/>
  <c r="AA99" i="30"/>
  <c r="AA46" i="30"/>
  <c r="AA122" i="30"/>
  <c r="AA83" i="30"/>
  <c r="AA105" i="30"/>
  <c r="AA24" i="12"/>
  <c r="AA113" i="30"/>
  <c r="AA115" i="30"/>
  <c r="AA29" i="30"/>
  <c r="AA120" i="30"/>
  <c r="AA117" i="30"/>
  <c r="AA27" i="30"/>
  <c r="AA53" i="30"/>
  <c r="AA23" i="30"/>
  <c r="AA108" i="30"/>
  <c r="AA59" i="30"/>
  <c r="AA18" i="12"/>
  <c r="AA41" i="30"/>
  <c r="AA109" i="30"/>
  <c r="AA132" i="30"/>
  <c r="AA9" i="30"/>
  <c r="AA57" i="30"/>
  <c r="AA111" i="30"/>
  <c r="AA23" i="12"/>
  <c r="AA85" i="30"/>
  <c r="AA127" i="30"/>
  <c r="AA80" i="30"/>
  <c r="AA91" i="30"/>
  <c r="AA44" i="30"/>
  <c r="AA82" i="30"/>
  <c r="AA38" i="30"/>
  <c r="AA103" i="30"/>
  <c r="AA28" i="30"/>
  <c r="AA67" i="31"/>
  <c r="AA108" i="31"/>
  <c r="AA44" i="12"/>
  <c r="AA95" i="30"/>
  <c r="AA66" i="12"/>
  <c r="AA6" i="30"/>
  <c r="AA135" i="30"/>
  <c r="AA9" i="12"/>
  <c r="AA126" i="31"/>
  <c r="AA76" i="31"/>
  <c r="AA30" i="31"/>
  <c r="AA118" i="31"/>
  <c r="AA137" i="12"/>
  <c r="AA5" i="12"/>
  <c r="AA45" i="12"/>
  <c r="AA122" i="12"/>
  <c r="AA9" i="31"/>
  <c r="AA115" i="31"/>
  <c r="AA85" i="12"/>
  <c r="AA86" i="12"/>
  <c r="AA113" i="12"/>
  <c r="AA56" i="31"/>
  <c r="AA110" i="31"/>
  <c r="AA23" i="31"/>
  <c r="AA87" i="31"/>
  <c r="AA12" i="12"/>
  <c r="AA97" i="12"/>
  <c r="AA120" i="12"/>
  <c r="AA7" i="31"/>
  <c r="AA119" i="12"/>
  <c r="AA116" i="12"/>
  <c r="AA47" i="31"/>
  <c r="AA54" i="12"/>
  <c r="AA125" i="31"/>
  <c r="AA123" i="31"/>
  <c r="AA41" i="31"/>
  <c r="AA21" i="12"/>
  <c r="AA41" i="12"/>
  <c r="AA124" i="12"/>
  <c r="AA135" i="12"/>
  <c r="AA38" i="12"/>
  <c r="AA134" i="12"/>
  <c r="AA129" i="31"/>
  <c r="AA32" i="12"/>
  <c r="AA31" i="31"/>
  <c r="AA88" i="12"/>
  <c r="AA74" i="12"/>
  <c r="AA28" i="12"/>
  <c r="AA61" i="31"/>
  <c r="AA132" i="31"/>
  <c r="AA45" i="31"/>
  <c r="AA38" i="31"/>
  <c r="AA121" i="12"/>
  <c r="AA83" i="12"/>
  <c r="AA109" i="12"/>
  <c r="AA29" i="31"/>
  <c r="AA69" i="12"/>
  <c r="AA137" i="31"/>
  <c r="AA127" i="12"/>
  <c r="AA33" i="12"/>
  <c r="AA127" i="31"/>
  <c r="AA91" i="31"/>
  <c r="AA80" i="31"/>
  <c r="AA46" i="31"/>
  <c r="AA25" i="31"/>
  <c r="AA121" i="31"/>
  <c r="AA25" i="12"/>
  <c r="AA103" i="12"/>
  <c r="AA35" i="31"/>
  <c r="AA83" i="31"/>
  <c r="AA100" i="12"/>
  <c r="AA132" i="12"/>
  <c r="AA34" i="31"/>
  <c r="AA70" i="31"/>
  <c r="AA27" i="31"/>
  <c r="AA113" i="31"/>
  <c r="AA68" i="31"/>
  <c r="AA11" i="12"/>
  <c r="AA90" i="12"/>
  <c r="AA59" i="31"/>
  <c r="AA133" i="31"/>
  <c r="AA65" i="31"/>
  <c r="AA96" i="31"/>
  <c r="AA59" i="12"/>
  <c r="AA15" i="12"/>
  <c r="AA53" i="31"/>
  <c r="AA12" i="31"/>
  <c r="AA107" i="31"/>
  <c r="AA62" i="31"/>
  <c r="AA134" i="31"/>
  <c r="AA14" i="12"/>
  <c r="AA82" i="12"/>
  <c r="AA36" i="31"/>
  <c r="AA4" i="30"/>
  <c r="AA93" i="30"/>
  <c r="AA71" i="30"/>
  <c r="AA78" i="30"/>
  <c r="AA112" i="30"/>
  <c r="AA58" i="30"/>
  <c r="AA106" i="30"/>
  <c r="AA42" i="30"/>
  <c r="AA98" i="30"/>
  <c r="AA64" i="30"/>
  <c r="AA51" i="30"/>
  <c r="AA122" i="31"/>
  <c r="AA130" i="30"/>
  <c r="AA130" i="31"/>
  <c r="AA117" i="12"/>
  <c r="AA7" i="12"/>
  <c r="AA130" i="12"/>
  <c r="AA129" i="12"/>
  <c r="AA126" i="30"/>
  <c r="AA28" i="31"/>
  <c r="AA15" i="30"/>
  <c r="AA100" i="31"/>
  <c r="AA104" i="30"/>
  <c r="AA105" i="31"/>
  <c r="AA54" i="31"/>
  <c r="AA19" i="12"/>
  <c r="AA73" i="30"/>
  <c r="AA111" i="31"/>
  <c r="AA131" i="31"/>
  <c r="AA82" i="31"/>
  <c r="AA108" i="12"/>
  <c r="AA131" i="12"/>
  <c r="AA69" i="31"/>
  <c r="AA40" i="31"/>
  <c r="AA57" i="31"/>
  <c r="AA37" i="31"/>
  <c r="AA40" i="12"/>
  <c r="AA37" i="12"/>
  <c r="AA65" i="12"/>
  <c r="AA39" i="31"/>
  <c r="AA13" i="12"/>
  <c r="AA85" i="31"/>
  <c r="AA118" i="12"/>
  <c r="AA44" i="31"/>
  <c r="AA18" i="31"/>
  <c r="AA123" i="12"/>
  <c r="AA21" i="31"/>
  <c r="AA15" i="31"/>
  <c r="AA135" i="31"/>
  <c r="AA22" i="12"/>
  <c r="AA110" i="12"/>
  <c r="AA84" i="12"/>
  <c r="AA95" i="12"/>
  <c r="AA90" i="31"/>
  <c r="AA47" i="12"/>
  <c r="AA97" i="31"/>
  <c r="AA120" i="31"/>
  <c r="AA16" i="12"/>
  <c r="AA133" i="12"/>
  <c r="AA104" i="12"/>
  <c r="AA136" i="31"/>
  <c r="AA56" i="12"/>
  <c r="AA66" i="31"/>
  <c r="AA81" i="31"/>
  <c r="AA104" i="31"/>
  <c r="AA46" i="12"/>
  <c r="AA55" i="12"/>
  <c r="AA30" i="12"/>
  <c r="AA68" i="12"/>
  <c r="Z1" i="30"/>
  <c r="G79" i="2" s="1"/>
  <c r="AA24" i="31"/>
  <c r="AA91" i="12"/>
  <c r="AA61" i="12"/>
  <c r="AA14" i="30"/>
  <c r="AA87" i="12"/>
  <c r="AA14" i="31"/>
  <c r="AA107" i="12"/>
  <c r="AA48" i="30"/>
  <c r="AA88" i="31"/>
  <c r="AA17" i="30"/>
  <c r="AA109" i="31"/>
  <c r="AA54" i="30"/>
  <c r="AA4" i="31"/>
  <c r="AA71" i="31"/>
  <c r="AA51" i="31"/>
  <c r="AA64" i="31"/>
  <c r="AA98" i="31"/>
  <c r="AA42" i="31"/>
  <c r="AA106" i="31"/>
  <c r="AA78" i="31"/>
  <c r="AA112" i="31"/>
  <c r="AA58" i="31"/>
  <c r="AA93" i="31"/>
  <c r="AA16" i="31"/>
  <c r="AA86" i="31"/>
  <c r="AA4" i="12"/>
  <c r="AA51" i="12"/>
  <c r="AA93" i="12"/>
  <c r="AA64" i="12"/>
  <c r="AA78" i="12"/>
  <c r="AA42" i="12"/>
  <c r="AA106" i="12"/>
  <c r="AA112" i="12"/>
  <c r="AA71" i="12"/>
  <c r="AA58" i="12"/>
  <c r="AA98" i="12"/>
  <c r="AA119" i="31"/>
  <c r="AA57" i="12"/>
  <c r="AA33" i="31"/>
  <c r="AA74" i="31"/>
  <c r="AA6" i="31"/>
  <c r="AA5" i="31"/>
  <c r="AA53" i="12"/>
  <c r="AA62" i="12"/>
  <c r="AA29" i="12"/>
  <c r="AA117" i="31"/>
  <c r="AA20" i="12"/>
  <c r="AA125" i="12"/>
  <c r="AA124" i="31"/>
  <c r="AA26" i="31"/>
  <c r="AA73" i="31"/>
  <c r="AA48" i="31"/>
  <c r="AA73" i="12"/>
  <c r="AA6" i="12"/>
  <c r="AA27" i="12"/>
  <c r="AA126" i="12"/>
  <c r="AA67" i="12"/>
  <c r="AA116" i="31"/>
  <c r="AA32" i="31"/>
  <c r="AA115" i="12"/>
  <c r="AA13" i="31"/>
  <c r="AA105" i="12"/>
  <c r="AA22" i="31"/>
  <c r="AA103" i="31"/>
  <c r="AA84" i="31"/>
  <c r="AA31" i="12"/>
  <c r="AA26" i="12"/>
  <c r="AA48" i="12"/>
  <c r="AA35" i="12"/>
  <c r="AA99" i="31"/>
  <c r="AA76" i="12"/>
  <c r="AA70" i="30"/>
  <c r="AA114" i="31"/>
  <c r="AA96" i="12"/>
  <c r="AA95" i="31"/>
  <c r="AA17" i="31"/>
  <c r="AA80" i="12"/>
  <c r="AA136" i="30"/>
  <c r="AA84" i="30"/>
  <c r="AA70" i="12"/>
  <c r="AA19" i="31"/>
  <c r="AA136" i="12"/>
  <c r="AA39" i="12"/>
  <c r="AA11" i="31"/>
  <c r="AA25" i="30"/>
  <c r="AA55" i="31"/>
  <c r="AA17" i="12"/>
  <c r="AA34" i="12"/>
  <c r="AA114" i="30"/>
  <c r="D18" i="20" l="1"/>
  <c r="E6" i="20"/>
  <c r="C26" i="20"/>
  <c r="C88" i="20"/>
  <c r="C50" i="20"/>
  <c r="E32" i="20"/>
  <c r="D81" i="20"/>
  <c r="B32" i="20"/>
  <c r="D31" i="20"/>
  <c r="D48" i="20"/>
  <c r="D114" i="20"/>
  <c r="C82" i="20"/>
  <c r="C55" i="20"/>
  <c r="C38" i="20"/>
  <c r="D78" i="20"/>
  <c r="B114" i="20"/>
  <c r="E36" i="20"/>
  <c r="E59" i="20"/>
  <c r="E67" i="20"/>
  <c r="B20" i="20"/>
  <c r="D59" i="20"/>
  <c r="D103" i="20"/>
  <c r="B17" i="20"/>
  <c r="D16" i="20"/>
  <c r="D15" i="20"/>
  <c r="D46" i="20"/>
  <c r="E87" i="20"/>
  <c r="E52" i="20"/>
  <c r="C86" i="20"/>
  <c r="B56" i="20"/>
  <c r="B102" i="20"/>
  <c r="C48" i="20"/>
  <c r="B63" i="20"/>
  <c r="E58" i="20"/>
  <c r="C19" i="20"/>
  <c r="B16" i="20"/>
  <c r="B25" i="20"/>
  <c r="E18" i="20"/>
  <c r="B52" i="20"/>
  <c r="E26" i="20"/>
  <c r="D118" i="20"/>
  <c r="C63" i="20"/>
  <c r="B111" i="20"/>
  <c r="D99" i="20"/>
  <c r="D30" i="20"/>
  <c r="E89" i="20"/>
  <c r="C7" i="20"/>
  <c r="E113" i="20"/>
  <c r="D110" i="20"/>
  <c r="E83" i="20"/>
  <c r="C120" i="20"/>
  <c r="C104" i="20"/>
  <c r="E92" i="20"/>
  <c r="C75" i="20"/>
  <c r="C90" i="20"/>
  <c r="D50" i="20"/>
  <c r="D7" i="20"/>
  <c r="B41" i="20"/>
  <c r="E56" i="20"/>
  <c r="B29" i="20"/>
  <c r="D108" i="20"/>
  <c r="C27" i="20"/>
  <c r="E38" i="20"/>
  <c r="C113" i="20"/>
  <c r="B72" i="20"/>
  <c r="B55" i="20"/>
  <c r="C51" i="20"/>
  <c r="B58" i="20"/>
  <c r="B49" i="20"/>
  <c r="E25" i="20"/>
  <c r="E29" i="20"/>
  <c r="C102" i="20"/>
  <c r="E91" i="20"/>
  <c r="E27" i="20"/>
  <c r="E35" i="20"/>
  <c r="E13" i="20"/>
  <c r="D96" i="20"/>
  <c r="B23" i="20"/>
  <c r="B26" i="20"/>
  <c r="B82" i="20"/>
  <c r="C58" i="20"/>
  <c r="B91" i="20"/>
  <c r="D69" i="20"/>
  <c r="C110" i="20"/>
  <c r="B81" i="20"/>
  <c r="E28" i="20"/>
  <c r="C11" i="20"/>
  <c r="B112" i="20"/>
  <c r="C85" i="20"/>
  <c r="D66" i="20"/>
  <c r="E8" i="20"/>
  <c r="E95" i="20"/>
  <c r="B60" i="20"/>
  <c r="B105" i="20"/>
  <c r="C6" i="20"/>
  <c r="C111" i="20"/>
  <c r="E70" i="20"/>
  <c r="D88" i="20"/>
  <c r="C84" i="20"/>
  <c r="B35" i="20"/>
  <c r="B51" i="20"/>
  <c r="D44" i="20"/>
  <c r="C79" i="20"/>
  <c r="C108" i="20"/>
  <c r="C41" i="20"/>
  <c r="D38" i="20"/>
  <c r="D43" i="20"/>
  <c r="D76" i="20"/>
  <c r="E14" i="20"/>
  <c r="B14" i="20"/>
  <c r="B10" i="20"/>
  <c r="E85" i="20"/>
  <c r="C40" i="20"/>
  <c r="B90" i="20"/>
  <c r="E110" i="20"/>
  <c r="E9" i="20"/>
  <c r="E34" i="20"/>
  <c r="B6" i="20"/>
  <c r="E69" i="20"/>
  <c r="D13" i="20"/>
  <c r="C20" i="20"/>
  <c r="B80" i="20"/>
  <c r="D55" i="20"/>
  <c r="D70" i="20"/>
  <c r="B37" i="20"/>
  <c r="C106" i="20"/>
  <c r="D51" i="20"/>
  <c r="D120" i="20"/>
  <c r="C14" i="20"/>
  <c r="B89" i="20"/>
  <c r="D119" i="20"/>
  <c r="C116" i="20"/>
  <c r="D33" i="20"/>
  <c r="E50" i="20"/>
  <c r="B67" i="20"/>
  <c r="D9" i="20"/>
  <c r="D57" i="20"/>
  <c r="B15" i="20"/>
  <c r="B109" i="20"/>
  <c r="D24" i="20"/>
  <c r="B38" i="20"/>
  <c r="B94" i="20"/>
  <c r="B11" i="20"/>
  <c r="E43" i="20"/>
  <c r="B18" i="20"/>
  <c r="D56" i="20"/>
  <c r="B53" i="20"/>
  <c r="C47" i="20"/>
  <c r="B98" i="20"/>
  <c r="B61" i="20"/>
  <c r="C118" i="20"/>
  <c r="E100" i="20"/>
  <c r="E23" i="20"/>
  <c r="C43" i="20"/>
  <c r="D72" i="20"/>
  <c r="E103" i="20"/>
  <c r="D27" i="20"/>
  <c r="D36" i="20"/>
  <c r="E11" i="20"/>
  <c r="D53" i="20"/>
  <c r="D23" i="20"/>
  <c r="C36" i="20"/>
  <c r="C64" i="20"/>
  <c r="D75" i="20"/>
  <c r="E74" i="20"/>
  <c r="E45" i="20"/>
  <c r="C30" i="20"/>
  <c r="D37" i="20"/>
  <c r="B42" i="20"/>
  <c r="B84" i="20"/>
  <c r="B19" i="20"/>
  <c r="B87" i="20"/>
  <c r="B118" i="20"/>
  <c r="C9" i="20"/>
  <c r="C34" i="20"/>
  <c r="E31" i="20"/>
  <c r="E33" i="20"/>
  <c r="B33" i="20"/>
  <c r="E115" i="20"/>
  <c r="C76" i="20"/>
  <c r="D8" i="20"/>
  <c r="B86" i="20"/>
  <c r="B62" i="20"/>
  <c r="B99" i="20"/>
  <c r="D12" i="20"/>
  <c r="B8" i="20"/>
  <c r="B28" i="20"/>
  <c r="E53" i="20"/>
  <c r="E106" i="20"/>
  <c r="E61" i="20"/>
  <c r="E16" i="20"/>
  <c r="C53" i="20"/>
  <c r="C87" i="20"/>
  <c r="B64" i="20"/>
  <c r="E118" i="20"/>
  <c r="D90" i="20"/>
  <c r="B88" i="20"/>
  <c r="C68" i="20"/>
  <c r="D52" i="20"/>
  <c r="C44" i="20"/>
  <c r="B110" i="20"/>
  <c r="B79" i="20"/>
  <c r="D40" i="20"/>
  <c r="D93" i="20"/>
  <c r="E40" i="20"/>
  <c r="D14" i="20"/>
  <c r="D85" i="20"/>
  <c r="B36" i="20"/>
  <c r="B119" i="20"/>
  <c r="C114" i="20"/>
  <c r="B31" i="20"/>
  <c r="B104" i="20"/>
  <c r="E17" i="20"/>
  <c r="B7" i="20"/>
  <c r="E47" i="20"/>
  <c r="E76" i="20"/>
  <c r="C66" i="20"/>
  <c r="D42" i="20"/>
  <c r="C112" i="20"/>
  <c r="D117" i="20"/>
  <c r="C97" i="20"/>
  <c r="E68" i="20"/>
  <c r="D84" i="20"/>
  <c r="C105" i="20"/>
  <c r="D25" i="20"/>
  <c r="C31" i="20"/>
  <c r="B9" i="20"/>
  <c r="D104" i="20"/>
  <c r="D67" i="20"/>
  <c r="D58" i="20"/>
  <c r="D65" i="20"/>
  <c r="C33" i="20"/>
  <c r="D29" i="20"/>
  <c r="B97" i="20"/>
  <c r="C62" i="20"/>
  <c r="B22" i="20"/>
  <c r="C17" i="20"/>
  <c r="C57" i="20"/>
  <c r="D63" i="20"/>
  <c r="B21" i="20"/>
  <c r="E12" i="20"/>
  <c r="D22" i="20"/>
  <c r="C92" i="20"/>
  <c r="D97" i="20"/>
  <c r="D107" i="20"/>
  <c r="D17" i="20"/>
  <c r="D98" i="20"/>
  <c r="E73" i="20"/>
  <c r="E81" i="20"/>
  <c r="E119" i="20"/>
  <c r="C13" i="20"/>
  <c r="C25" i="20"/>
  <c r="D80" i="20"/>
  <c r="E71" i="20"/>
  <c r="B77" i="20"/>
  <c r="E48" i="20"/>
  <c r="C107" i="20"/>
  <c r="E7" i="20"/>
  <c r="E78" i="20"/>
  <c r="B96" i="20"/>
  <c r="C109" i="20"/>
  <c r="C56" i="20"/>
  <c r="C70" i="20"/>
  <c r="E46" i="20"/>
  <c r="E10" i="20"/>
  <c r="E117" i="20"/>
  <c r="B93" i="20"/>
  <c r="E62" i="20"/>
  <c r="C91" i="20"/>
  <c r="C12" i="20"/>
  <c r="D102" i="20"/>
  <c r="C35" i="20"/>
  <c r="B27" i="20"/>
  <c r="B47" i="20"/>
  <c r="E72" i="20"/>
  <c r="B65" i="20"/>
  <c r="D74" i="20"/>
  <c r="B46" i="20"/>
  <c r="B103" i="20"/>
  <c r="C81" i="20"/>
  <c r="E20" i="20"/>
  <c r="D71" i="20"/>
  <c r="B44" i="20"/>
  <c r="E63" i="20"/>
  <c r="E86" i="20"/>
  <c r="E107" i="20"/>
  <c r="E114" i="20"/>
  <c r="E99" i="20"/>
  <c r="B106" i="20"/>
  <c r="E108" i="20"/>
  <c r="D6" i="20"/>
  <c r="B48" i="20"/>
  <c r="B59" i="20"/>
  <c r="D61" i="20"/>
  <c r="D113" i="20"/>
  <c r="B50" i="20"/>
  <c r="E94" i="20"/>
  <c r="C18" i="20"/>
  <c r="D5" i="20"/>
  <c r="D86" i="20"/>
  <c r="D112" i="20"/>
  <c r="C72" i="20"/>
  <c r="C49" i="20"/>
  <c r="E30" i="20"/>
  <c r="E116" i="20"/>
  <c r="C45" i="20"/>
  <c r="C39" i="20"/>
  <c r="D32" i="20"/>
  <c r="D115" i="20"/>
  <c r="C78" i="20"/>
  <c r="C23" i="20"/>
  <c r="E39" i="20"/>
  <c r="C101" i="20"/>
  <c r="C71" i="20"/>
  <c r="D41" i="20"/>
  <c r="C115" i="20"/>
  <c r="D62" i="20"/>
  <c r="B108" i="20"/>
  <c r="D35" i="20"/>
  <c r="C96" i="20"/>
  <c r="B107" i="20"/>
  <c r="E105" i="20"/>
  <c r="C52" i="20"/>
  <c r="D28" i="20"/>
  <c r="B74" i="20"/>
  <c r="C37" i="20"/>
  <c r="E90" i="20"/>
  <c r="C22" i="20"/>
  <c r="E42" i="20"/>
  <c r="C77" i="20"/>
  <c r="D89" i="20"/>
  <c r="B75" i="20"/>
  <c r="E97" i="20"/>
  <c r="D11" i="20"/>
  <c r="D20" i="20"/>
  <c r="C59" i="20"/>
  <c r="C32" i="20"/>
  <c r="E109" i="20"/>
  <c r="B73" i="20"/>
  <c r="D106" i="20"/>
  <c r="C74" i="20"/>
  <c r="D73" i="20"/>
  <c r="D10" i="20"/>
  <c r="D26" i="20"/>
  <c r="E51" i="20"/>
  <c r="E49" i="20"/>
  <c r="C61" i="20"/>
  <c r="B66" i="20"/>
  <c r="C29" i="20"/>
  <c r="B68" i="20"/>
  <c r="D111" i="20"/>
  <c r="D82" i="20"/>
  <c r="B113" i="20"/>
  <c r="C42" i="20"/>
  <c r="B92" i="20"/>
  <c r="C100" i="20"/>
  <c r="E111" i="20"/>
  <c r="C94" i="20"/>
  <c r="E82" i="20"/>
  <c r="E60" i="20"/>
  <c r="C67" i="20"/>
  <c r="B100" i="20"/>
  <c r="D116" i="20"/>
  <c r="C89" i="20"/>
  <c r="D19" i="20"/>
  <c r="C80" i="20"/>
  <c r="D77" i="20"/>
  <c r="E101" i="20"/>
  <c r="C103" i="20"/>
  <c r="C54" i="20"/>
  <c r="C10" i="20"/>
  <c r="B120" i="20"/>
  <c r="B45" i="20"/>
  <c r="D45" i="20"/>
  <c r="E57" i="20"/>
  <c r="B101" i="20"/>
  <c r="E104" i="20"/>
  <c r="E22" i="20"/>
  <c r="E15" i="20"/>
  <c r="E112" i="20"/>
  <c r="B54" i="20"/>
  <c r="D79" i="20"/>
  <c r="E54" i="20"/>
  <c r="D47" i="20"/>
  <c r="B69" i="20"/>
  <c r="E65" i="20"/>
  <c r="D83" i="20"/>
  <c r="C95" i="20"/>
  <c r="C98" i="20"/>
  <c r="C83" i="20"/>
  <c r="E44" i="20"/>
  <c r="B83" i="20"/>
  <c r="B71" i="20"/>
  <c r="E24" i="20"/>
  <c r="E93" i="20"/>
  <c r="E96" i="20"/>
  <c r="D68" i="20"/>
  <c r="D64" i="20"/>
  <c r="E88" i="20"/>
  <c r="D94" i="20"/>
  <c r="B76" i="20"/>
  <c r="B57" i="20"/>
  <c r="E120" i="20"/>
  <c r="B116" i="20"/>
  <c r="B34" i="20"/>
  <c r="C28" i="20"/>
  <c r="C21" i="20"/>
  <c r="D60" i="20"/>
  <c r="E98" i="20"/>
  <c r="D109" i="20"/>
  <c r="D39" i="20"/>
  <c r="E102" i="20"/>
  <c r="C24" i="20"/>
  <c r="E75" i="20"/>
  <c r="C93" i="20"/>
  <c r="D105" i="20"/>
  <c r="B30" i="20"/>
  <c r="E84" i="20"/>
  <c r="E66" i="20"/>
  <c r="D100" i="20"/>
  <c r="B13" i="20"/>
  <c r="E79" i="20"/>
  <c r="D54" i="20"/>
  <c r="B85" i="20"/>
  <c r="D49" i="20"/>
  <c r="D91" i="20"/>
  <c r="B24" i="20"/>
  <c r="B95" i="20"/>
  <c r="B117" i="20"/>
  <c r="E80" i="20"/>
  <c r="C15" i="20"/>
  <c r="D95" i="20"/>
  <c r="E37" i="20"/>
  <c r="B70" i="20"/>
  <c r="D21" i="20"/>
  <c r="B12" i="20"/>
  <c r="C73" i="20"/>
  <c r="B115" i="20"/>
  <c r="B78" i="20"/>
  <c r="C60" i="20"/>
  <c r="D34" i="20"/>
  <c r="C117" i="20"/>
  <c r="C99" i="20"/>
  <c r="E41" i="20"/>
  <c r="C119" i="20"/>
  <c r="D87" i="20"/>
  <c r="C8" i="20"/>
  <c r="E64" i="20"/>
  <c r="B39" i="20"/>
  <c r="B43" i="20"/>
  <c r="D92" i="20"/>
  <c r="C69" i="20"/>
  <c r="E55" i="20"/>
  <c r="B40" i="20"/>
  <c r="D101" i="20"/>
  <c r="C65" i="20"/>
  <c r="E19" i="20"/>
  <c r="C16" i="20"/>
  <c r="C5" i="20"/>
  <c r="E21" i="20"/>
  <c r="E77" i="20"/>
  <c r="C46" i="20"/>
  <c r="B5" i="20"/>
  <c r="E5" i="20"/>
  <c r="T120" i="20"/>
  <c r="W120" i="20" s="1"/>
  <c r="J43" i="20"/>
  <c r="J7" i="20"/>
  <c r="H68" i="20"/>
  <c r="H95" i="20"/>
  <c r="T91" i="20"/>
  <c r="W91" i="20" s="1"/>
  <c r="K25" i="20"/>
  <c r="K58" i="20"/>
  <c r="J61" i="20"/>
  <c r="I6" i="20"/>
  <c r="T102" i="20"/>
  <c r="W102" i="20" s="1"/>
  <c r="K96" i="20"/>
  <c r="I83" i="20"/>
  <c r="I68" i="20"/>
  <c r="K24" i="20"/>
  <c r="J69" i="20"/>
  <c r="I69" i="20"/>
  <c r="J99" i="20"/>
  <c r="I108" i="20"/>
  <c r="K119" i="20"/>
  <c r="K91" i="20"/>
  <c r="H93" i="20"/>
  <c r="K48" i="20"/>
  <c r="T18" i="20"/>
  <c r="W18" i="20" s="1"/>
  <c r="I40" i="20"/>
  <c r="H108" i="20"/>
  <c r="I21" i="20"/>
  <c r="I87" i="20"/>
  <c r="H99" i="20"/>
  <c r="K44" i="20"/>
  <c r="H8" i="20"/>
  <c r="T54" i="20"/>
  <c r="W54" i="20" s="1"/>
  <c r="T109" i="20"/>
  <c r="W109" i="20" s="1"/>
  <c r="T6" i="20"/>
  <c r="W6" i="20" s="1"/>
  <c r="J59" i="20"/>
  <c r="K83" i="20"/>
  <c r="K95" i="20"/>
  <c r="H20" i="20"/>
  <c r="T15" i="20"/>
  <c r="W15" i="20" s="1"/>
  <c r="I71" i="20"/>
  <c r="K115" i="20"/>
  <c r="I25" i="20"/>
  <c r="I85" i="20"/>
  <c r="T111" i="20"/>
  <c r="W111" i="20" s="1"/>
  <c r="I36" i="20"/>
  <c r="K18" i="20"/>
  <c r="J29" i="20"/>
  <c r="T33" i="20"/>
  <c r="W33" i="20" s="1"/>
  <c r="T115" i="20"/>
  <c r="W115" i="20" s="1"/>
  <c r="H47" i="20"/>
  <c r="T59" i="20"/>
  <c r="W59" i="20" s="1"/>
  <c r="T118" i="20"/>
  <c r="W118" i="20" s="1"/>
  <c r="K106" i="20"/>
  <c r="J111" i="20"/>
  <c r="H113" i="20"/>
  <c r="H32" i="20"/>
  <c r="J105" i="20"/>
  <c r="I92" i="20"/>
  <c r="T77" i="20"/>
  <c r="W77" i="20" s="1"/>
  <c r="J62" i="20"/>
  <c r="I103" i="20"/>
  <c r="K117" i="20"/>
  <c r="H12" i="20"/>
  <c r="I77" i="20"/>
  <c r="J68" i="20"/>
  <c r="T81" i="20"/>
  <c r="W81" i="20" s="1"/>
  <c r="J56" i="20"/>
  <c r="H84" i="20"/>
  <c r="T56" i="20"/>
  <c r="W56" i="20" s="1"/>
  <c r="I27" i="20"/>
  <c r="T44" i="20"/>
  <c r="W44" i="20" s="1"/>
  <c r="K69" i="20"/>
  <c r="H62" i="20"/>
  <c r="K107" i="20"/>
  <c r="J65" i="20"/>
  <c r="H79" i="20"/>
  <c r="K8" i="20"/>
  <c r="K73" i="20"/>
  <c r="J116" i="20"/>
  <c r="T9" i="20"/>
  <c r="W9" i="20" s="1"/>
  <c r="T101" i="20"/>
  <c r="W101" i="20" s="1"/>
  <c r="J44" i="20"/>
  <c r="I75" i="20"/>
  <c r="I38" i="20"/>
  <c r="K55" i="20"/>
  <c r="J96" i="20"/>
  <c r="H114" i="20"/>
  <c r="J74" i="20"/>
  <c r="K33" i="20"/>
  <c r="T83" i="20"/>
  <c r="W83" i="20" s="1"/>
  <c r="I32" i="20"/>
  <c r="H90" i="20"/>
  <c r="I110" i="20"/>
  <c r="I23" i="20"/>
  <c r="H17" i="20"/>
  <c r="I102" i="20"/>
  <c r="H45" i="20"/>
  <c r="K43" i="20"/>
  <c r="I51" i="20"/>
  <c r="I14" i="20"/>
  <c r="K97" i="20"/>
  <c r="J22" i="20"/>
  <c r="J23" i="20"/>
  <c r="H44" i="20"/>
  <c r="T10" i="20"/>
  <c r="W10" i="20" s="1"/>
  <c r="K19" i="20"/>
  <c r="I8" i="20"/>
  <c r="J53" i="20"/>
  <c r="T11" i="20"/>
  <c r="W11" i="20" s="1"/>
  <c r="I89" i="20"/>
  <c r="H107" i="20"/>
  <c r="I11" i="20"/>
  <c r="J120" i="20"/>
  <c r="H56" i="20"/>
  <c r="J9" i="20"/>
  <c r="J64" i="20"/>
  <c r="T52" i="20"/>
  <c r="W52" i="20" s="1"/>
  <c r="H70" i="20"/>
  <c r="H118" i="20"/>
  <c r="K53" i="20"/>
  <c r="T88" i="20"/>
  <c r="W88" i="20" s="1"/>
  <c r="T117" i="20"/>
  <c r="W117" i="20" s="1"/>
  <c r="J75" i="20"/>
  <c r="I52" i="20"/>
  <c r="J85" i="20"/>
  <c r="H61" i="20"/>
  <c r="T113" i="20"/>
  <c r="W113" i="20" s="1"/>
  <c r="J102" i="20"/>
  <c r="J24" i="20"/>
  <c r="H57" i="20"/>
  <c r="K57" i="20"/>
  <c r="K6" i="20"/>
  <c r="J95" i="20"/>
  <c r="T7" i="20"/>
  <c r="W7" i="20" s="1"/>
  <c r="K89" i="20"/>
  <c r="K113" i="20"/>
  <c r="J36" i="20"/>
  <c r="K28" i="20"/>
  <c r="K45" i="20"/>
  <c r="I96" i="20"/>
  <c r="I78" i="20"/>
  <c r="T49" i="20"/>
  <c r="W49" i="20" s="1"/>
  <c r="K11" i="20"/>
  <c r="K100" i="20"/>
  <c r="H102" i="20"/>
  <c r="I55" i="20"/>
  <c r="K15" i="20"/>
  <c r="T27" i="20"/>
  <c r="W27" i="20" s="1"/>
  <c r="K20" i="20"/>
  <c r="I81" i="20"/>
  <c r="I10" i="20"/>
  <c r="T108" i="20"/>
  <c r="W108" i="20" s="1"/>
  <c r="K61" i="20"/>
  <c r="I54" i="20"/>
  <c r="K41" i="20"/>
  <c r="K74" i="20"/>
  <c r="T99" i="20"/>
  <c r="W99" i="20" s="1"/>
  <c r="H49" i="20"/>
  <c r="T60" i="20"/>
  <c r="W60" i="20" s="1"/>
  <c r="K84" i="20"/>
  <c r="K31" i="20"/>
  <c r="J83" i="20"/>
  <c r="T84" i="20"/>
  <c r="W84" i="20" s="1"/>
  <c r="I90" i="20"/>
  <c r="I39" i="20"/>
  <c r="T45" i="20"/>
  <c r="W45" i="20" s="1"/>
  <c r="K86" i="20"/>
  <c r="J117" i="20"/>
  <c r="T55" i="20"/>
  <c r="W55" i="20" s="1"/>
  <c r="J57" i="20"/>
  <c r="H96" i="20"/>
  <c r="J89" i="20"/>
  <c r="I112" i="20"/>
  <c r="H37" i="20"/>
  <c r="I76" i="20"/>
  <c r="T68" i="20"/>
  <c r="W68" i="20" s="1"/>
  <c r="T38" i="20"/>
  <c r="W38" i="20" s="1"/>
  <c r="J58" i="20"/>
  <c r="H29" i="20"/>
  <c r="H6" i="20"/>
  <c r="T24" i="20"/>
  <c r="W24" i="20" s="1"/>
  <c r="I119" i="20"/>
  <c r="K12" i="20"/>
  <c r="H109" i="20"/>
  <c r="K10" i="20"/>
  <c r="K34" i="20"/>
  <c r="K104" i="20"/>
  <c r="K56" i="20"/>
  <c r="T36" i="20"/>
  <c r="W36" i="20" s="1"/>
  <c r="J20" i="20"/>
  <c r="H52" i="20"/>
  <c r="H24" i="20"/>
  <c r="T67" i="20"/>
  <c r="W67" i="20" s="1"/>
  <c r="T90" i="20"/>
  <c r="W90" i="20" s="1"/>
  <c r="K78" i="20"/>
  <c r="H46" i="20"/>
  <c r="K85" i="20"/>
  <c r="H110" i="20"/>
  <c r="J8" i="20"/>
  <c r="K16" i="20"/>
  <c r="J70" i="20"/>
  <c r="K29" i="20"/>
  <c r="T69" i="20"/>
  <c r="W69" i="20" s="1"/>
  <c r="T16" i="20"/>
  <c r="W16" i="20" s="1"/>
  <c r="J91" i="20"/>
  <c r="I46" i="20"/>
  <c r="I15" i="20"/>
  <c r="T73" i="20"/>
  <c r="W73" i="20" s="1"/>
  <c r="H94" i="20"/>
  <c r="T85" i="20"/>
  <c r="W85" i="20" s="1"/>
  <c r="I34" i="20"/>
  <c r="I109" i="20"/>
  <c r="K76" i="20"/>
  <c r="T20" i="20"/>
  <c r="W20" i="20" s="1"/>
  <c r="H89" i="20"/>
  <c r="T87" i="20"/>
  <c r="W87" i="20" s="1"/>
  <c r="I29" i="20"/>
  <c r="K94" i="20"/>
  <c r="I43" i="20"/>
  <c r="H42" i="20"/>
  <c r="K54" i="20"/>
  <c r="T43" i="20"/>
  <c r="W43" i="20" s="1"/>
  <c r="T42" i="20"/>
  <c r="W42" i="20" s="1"/>
  <c r="J101" i="20"/>
  <c r="H65" i="20"/>
  <c r="J115" i="20"/>
  <c r="H69" i="20"/>
  <c r="J73" i="20"/>
  <c r="I65" i="20"/>
  <c r="H38" i="20"/>
  <c r="T76" i="20"/>
  <c r="W76" i="20" s="1"/>
  <c r="H9" i="20"/>
  <c r="T39" i="20"/>
  <c r="W39" i="20" s="1"/>
  <c r="I35" i="20"/>
  <c r="J71" i="20"/>
  <c r="H77" i="20"/>
  <c r="I47" i="20"/>
  <c r="H80" i="20"/>
  <c r="I59" i="20"/>
  <c r="J5" i="20"/>
  <c r="H21" i="20"/>
  <c r="I17" i="20"/>
  <c r="J35" i="20"/>
  <c r="H63" i="20"/>
  <c r="I61" i="20"/>
  <c r="I70" i="20"/>
  <c r="I37" i="20"/>
  <c r="H54" i="20"/>
  <c r="I7" i="20"/>
  <c r="K118" i="20"/>
  <c r="J87" i="20"/>
  <c r="T50" i="20"/>
  <c r="W50" i="20" s="1"/>
  <c r="H55" i="20"/>
  <c r="H116" i="20"/>
  <c r="H103" i="20"/>
  <c r="K39" i="20"/>
  <c r="K37" i="20"/>
  <c r="I82" i="20"/>
  <c r="H72" i="20"/>
  <c r="H97" i="20"/>
  <c r="J54" i="20"/>
  <c r="J104" i="20"/>
  <c r="K79" i="20"/>
  <c r="J10" i="20"/>
  <c r="H39" i="20"/>
  <c r="I9" i="20"/>
  <c r="T58" i="20"/>
  <c r="W58" i="20" s="1"/>
  <c r="T53" i="20"/>
  <c r="W53" i="20" s="1"/>
  <c r="K9" i="20"/>
  <c r="I80" i="20"/>
  <c r="I12" i="20"/>
  <c r="T51" i="20"/>
  <c r="W51" i="20" s="1"/>
  <c r="T12" i="20"/>
  <c r="W12" i="20" s="1"/>
  <c r="H76" i="20"/>
  <c r="T119" i="20"/>
  <c r="W119" i="20" s="1"/>
  <c r="J33" i="20"/>
  <c r="T34" i="20"/>
  <c r="W34" i="20" s="1"/>
  <c r="I60" i="20"/>
  <c r="H86" i="20"/>
  <c r="I58" i="20"/>
  <c r="K82" i="20"/>
  <c r="J21" i="20"/>
  <c r="J80" i="20"/>
  <c r="K101" i="20"/>
  <c r="J26" i="20"/>
  <c r="J92" i="20"/>
  <c r="T105" i="20"/>
  <c r="W105" i="20" s="1"/>
  <c r="K62" i="20"/>
  <c r="H41" i="20"/>
  <c r="T57" i="20"/>
  <c r="W57" i="20" s="1"/>
  <c r="H115" i="20"/>
  <c r="K40" i="20"/>
  <c r="J110" i="20"/>
  <c r="I97" i="20"/>
  <c r="K67" i="20"/>
  <c r="H7" i="20"/>
  <c r="I33" i="20"/>
  <c r="T31" i="20"/>
  <c r="W31" i="20" s="1"/>
  <c r="H67" i="20"/>
  <c r="I105" i="20"/>
  <c r="T29" i="20"/>
  <c r="W29" i="20" s="1"/>
  <c r="K63" i="20"/>
  <c r="H14" i="20"/>
  <c r="K88" i="20"/>
  <c r="K46" i="20"/>
  <c r="K21" i="20"/>
  <c r="T74" i="20"/>
  <c r="W74" i="20" s="1"/>
  <c r="H50" i="20"/>
  <c r="J81" i="20"/>
  <c r="J52" i="20"/>
  <c r="T71" i="20"/>
  <c r="W71" i="20" s="1"/>
  <c r="H92" i="20"/>
  <c r="K71" i="20"/>
  <c r="I28" i="20"/>
  <c r="I13" i="20"/>
  <c r="K109" i="20"/>
  <c r="J118" i="20"/>
  <c r="I114" i="20"/>
  <c r="I111" i="20"/>
  <c r="J31" i="20"/>
  <c r="K13" i="20"/>
  <c r="I115" i="20"/>
  <c r="I26" i="20"/>
  <c r="T64" i="20"/>
  <c r="W64" i="20" s="1"/>
  <c r="T62" i="20"/>
  <c r="W62" i="20" s="1"/>
  <c r="T78" i="20"/>
  <c r="W78" i="20" s="1"/>
  <c r="T94" i="20"/>
  <c r="W94" i="20" s="1"/>
  <c r="K59" i="20"/>
  <c r="I99" i="20"/>
  <c r="J72" i="20"/>
  <c r="T23" i="20"/>
  <c r="W23" i="20" s="1"/>
  <c r="H82" i="20"/>
  <c r="I63" i="20"/>
  <c r="J100" i="20"/>
  <c r="I67" i="20"/>
  <c r="J37" i="20"/>
  <c r="J113" i="20"/>
  <c r="K32" i="20"/>
  <c r="T116" i="20"/>
  <c r="W116" i="20" s="1"/>
  <c r="K110" i="20"/>
  <c r="I100" i="20"/>
  <c r="T104" i="20"/>
  <c r="W104" i="20" s="1"/>
  <c r="H78" i="20"/>
  <c r="I19" i="20"/>
  <c r="J12" i="20"/>
  <c r="K66" i="20"/>
  <c r="J94" i="20"/>
  <c r="H64" i="20"/>
  <c r="H58" i="20"/>
  <c r="T21" i="20"/>
  <c r="W21" i="20" s="1"/>
  <c r="H87" i="20"/>
  <c r="I42" i="20"/>
  <c r="T26" i="20"/>
  <c r="W26" i="20" s="1"/>
  <c r="H59" i="20"/>
  <c r="I66" i="20"/>
  <c r="H40" i="20"/>
  <c r="T40" i="20"/>
  <c r="W40" i="20" s="1"/>
  <c r="T79" i="20"/>
  <c r="W79" i="20" s="1"/>
  <c r="I31" i="20"/>
  <c r="H120" i="20"/>
  <c r="I79" i="20"/>
  <c r="J45" i="20"/>
  <c r="J25" i="20"/>
  <c r="T93" i="20"/>
  <c r="W93" i="20" s="1"/>
  <c r="J93" i="20"/>
  <c r="T47" i="20"/>
  <c r="W47" i="20" s="1"/>
  <c r="H48" i="20"/>
  <c r="I57" i="20"/>
  <c r="J97" i="20"/>
  <c r="H31" i="20"/>
  <c r="K30" i="20"/>
  <c r="T13" i="20"/>
  <c r="W13" i="20" s="1"/>
  <c r="H104" i="20"/>
  <c r="H60" i="20"/>
  <c r="I106" i="20"/>
  <c r="T41" i="20"/>
  <c r="W41" i="20" s="1"/>
  <c r="H26" i="20"/>
  <c r="J112" i="20"/>
  <c r="I48" i="20"/>
  <c r="H23" i="20"/>
  <c r="T22" i="20"/>
  <c r="W22" i="20" s="1"/>
  <c r="J48" i="20"/>
  <c r="T17" i="20"/>
  <c r="W17" i="20" s="1"/>
  <c r="I44" i="20"/>
  <c r="H15" i="20"/>
  <c r="J42" i="20"/>
  <c r="H22" i="20"/>
  <c r="J103" i="20"/>
  <c r="I50" i="20"/>
  <c r="I98" i="20"/>
  <c r="T63" i="20"/>
  <c r="W63" i="20" s="1"/>
  <c r="K81" i="20"/>
  <c r="T98" i="20"/>
  <c r="W98" i="20" s="1"/>
  <c r="H19" i="20"/>
  <c r="K111" i="20"/>
  <c r="H106" i="20"/>
  <c r="J6" i="20"/>
  <c r="H74" i="20"/>
  <c r="T103" i="20"/>
  <c r="W103" i="20" s="1"/>
  <c r="I18" i="20"/>
  <c r="J41" i="20"/>
  <c r="I91" i="20"/>
  <c r="J34" i="20"/>
  <c r="I16" i="20"/>
  <c r="K72" i="20"/>
  <c r="J16" i="20"/>
  <c r="T114" i="20"/>
  <c r="W114" i="20" s="1"/>
  <c r="K23" i="20"/>
  <c r="K7" i="20"/>
  <c r="T61" i="20"/>
  <c r="W61" i="20" s="1"/>
  <c r="T65" i="20"/>
  <c r="W65" i="20" s="1"/>
  <c r="I94" i="20"/>
  <c r="J67" i="20"/>
  <c r="I117" i="20"/>
  <c r="I64" i="20"/>
  <c r="H53" i="20"/>
  <c r="H85" i="20"/>
  <c r="J66" i="20"/>
  <c r="K99" i="20"/>
  <c r="I5" i="20"/>
  <c r="J13" i="20"/>
  <c r="J107" i="20"/>
  <c r="I41" i="20"/>
  <c r="T75" i="20"/>
  <c r="W75" i="20" s="1"/>
  <c r="J30" i="20"/>
  <c r="H71" i="20"/>
  <c r="T19" i="20"/>
  <c r="W19" i="20" s="1"/>
  <c r="K17" i="20"/>
  <c r="I56" i="20"/>
  <c r="T8" i="20"/>
  <c r="W8" i="20" s="1"/>
  <c r="K116" i="20"/>
  <c r="T14" i="20"/>
  <c r="W14" i="20" s="1"/>
  <c r="K60" i="20"/>
  <c r="K87" i="20"/>
  <c r="H111" i="20"/>
  <c r="K50" i="20"/>
  <c r="K64" i="20"/>
  <c r="T70" i="20"/>
  <c r="W70" i="20" s="1"/>
  <c r="I20" i="20"/>
  <c r="T30" i="20"/>
  <c r="W30" i="20" s="1"/>
  <c r="J88" i="20"/>
  <c r="J49" i="20"/>
  <c r="J60" i="20"/>
  <c r="J90" i="20"/>
  <c r="J18" i="20"/>
  <c r="T92" i="20"/>
  <c r="W92" i="20" s="1"/>
  <c r="K42" i="20"/>
  <c r="T25" i="20"/>
  <c r="W25" i="20" s="1"/>
  <c r="J77" i="20"/>
  <c r="I74" i="20"/>
  <c r="T48" i="20"/>
  <c r="W48" i="20" s="1"/>
  <c r="J14" i="20"/>
  <c r="K105" i="20"/>
  <c r="I113" i="20"/>
  <c r="J17" i="20"/>
  <c r="K114" i="20"/>
  <c r="K52" i="20"/>
  <c r="K93" i="20"/>
  <c r="I24" i="20"/>
  <c r="J106" i="20"/>
  <c r="J47" i="20"/>
  <c r="J84" i="20"/>
  <c r="H75" i="20"/>
  <c r="J46" i="20"/>
  <c r="K108" i="20"/>
  <c r="T112" i="20"/>
  <c r="W112" i="20" s="1"/>
  <c r="J55" i="20"/>
  <c r="T95" i="20"/>
  <c r="W95" i="20" s="1"/>
  <c r="H66" i="20"/>
  <c r="K36" i="20"/>
  <c r="J27" i="20"/>
  <c r="I93" i="20"/>
  <c r="H105" i="20"/>
  <c r="I120" i="20"/>
  <c r="K77" i="20"/>
  <c r="J51" i="20"/>
  <c r="J19" i="20"/>
  <c r="I53" i="20"/>
  <c r="K27" i="20"/>
  <c r="K38" i="20"/>
  <c r="K47" i="20"/>
  <c r="I118" i="20"/>
  <c r="K14" i="20"/>
  <c r="I22" i="20"/>
  <c r="I95" i="20"/>
  <c r="H100" i="20"/>
  <c r="H28" i="20"/>
  <c r="T80" i="20"/>
  <c r="W80" i="20" s="1"/>
  <c r="J108" i="20"/>
  <c r="H35" i="20"/>
  <c r="H88" i="20"/>
  <c r="K80" i="20"/>
  <c r="T100" i="20"/>
  <c r="W100" i="20" s="1"/>
  <c r="K70" i="20"/>
  <c r="J114" i="20"/>
  <c r="J11" i="20"/>
  <c r="J32" i="20"/>
  <c r="I30" i="20"/>
  <c r="H43" i="20"/>
  <c r="T107" i="20"/>
  <c r="W107" i="20" s="1"/>
  <c r="J15" i="20"/>
  <c r="T35" i="20"/>
  <c r="W35" i="20" s="1"/>
  <c r="K22" i="20"/>
  <c r="K112" i="20"/>
  <c r="H119" i="20"/>
  <c r="K103" i="20"/>
  <c r="H33" i="20"/>
  <c r="H11" i="20"/>
  <c r="I72" i="20"/>
  <c r="J63" i="20"/>
  <c r="K65" i="20"/>
  <c r="I73" i="20"/>
  <c r="T32" i="20"/>
  <c r="W32" i="20" s="1"/>
  <c r="H27" i="20"/>
  <c r="I62" i="20"/>
  <c r="H36" i="20"/>
  <c r="H73" i="20"/>
  <c r="T37" i="20"/>
  <c r="W37" i="20" s="1"/>
  <c r="T110" i="20"/>
  <c r="W110" i="20" s="1"/>
  <c r="H10" i="20"/>
  <c r="J39" i="20"/>
  <c r="K90" i="20"/>
  <c r="J50" i="20"/>
  <c r="I45" i="20"/>
  <c r="K49" i="20"/>
  <c r="K68" i="20"/>
  <c r="T97" i="20"/>
  <c r="W97" i="20" s="1"/>
  <c r="J86" i="20"/>
  <c r="I86" i="20"/>
  <c r="J38" i="20"/>
  <c r="H117" i="20"/>
  <c r="J82" i="20"/>
  <c r="I88" i="20"/>
  <c r="J76" i="20"/>
  <c r="H91" i="20"/>
  <c r="K26" i="20"/>
  <c r="H101" i="20"/>
  <c r="H25" i="20"/>
  <c r="J109" i="20"/>
  <c r="J28" i="20"/>
  <c r="H34" i="20"/>
  <c r="K51" i="20"/>
  <c r="J79" i="20"/>
  <c r="T86" i="20"/>
  <c r="W86" i="20" s="1"/>
  <c r="I101" i="20"/>
  <c r="K75" i="20"/>
  <c r="H112" i="20"/>
  <c r="T96" i="20"/>
  <c r="W96" i="20" s="1"/>
  <c r="H30" i="20"/>
  <c r="T72" i="20"/>
  <c r="W72" i="20" s="1"/>
  <c r="J78" i="20"/>
  <c r="T82" i="20"/>
  <c r="W82" i="20" s="1"/>
  <c r="T106" i="20"/>
  <c r="W106" i="20" s="1"/>
  <c r="K92" i="20"/>
  <c r="J40" i="20"/>
  <c r="K98" i="20"/>
  <c r="H98" i="20"/>
  <c r="T89" i="20"/>
  <c r="W89" i="20" s="1"/>
  <c r="I84" i="20"/>
  <c r="H83" i="20"/>
  <c r="H13" i="20"/>
  <c r="K102" i="20"/>
  <c r="H18" i="20"/>
  <c r="I104" i="20"/>
  <c r="H81" i="20"/>
  <c r="T66" i="20"/>
  <c r="W66" i="20" s="1"/>
  <c r="J119" i="20"/>
  <c r="I107" i="20"/>
  <c r="I116" i="20"/>
  <c r="H16" i="20"/>
  <c r="I49" i="20"/>
  <c r="K35" i="20"/>
  <c r="T28" i="20"/>
  <c r="W28" i="20" s="1"/>
  <c r="K120" i="20"/>
  <c r="J98" i="20"/>
  <c r="T46" i="20"/>
  <c r="W46" i="20" s="1"/>
  <c r="H51" i="20"/>
  <c r="K5" i="20"/>
  <c r="V84" i="20"/>
  <c r="U84" i="20" s="1"/>
  <c r="V27" i="20"/>
  <c r="U27" i="20" s="1"/>
  <c r="V83" i="20"/>
  <c r="V90" i="20"/>
  <c r="U90" i="20" s="1"/>
  <c r="V86" i="20"/>
  <c r="V13" i="20"/>
  <c r="U13" i="20" s="1"/>
  <c r="V52" i="20"/>
  <c r="U52" i="20" s="1"/>
  <c r="V106" i="20"/>
  <c r="V60" i="20"/>
  <c r="U60" i="20" s="1"/>
  <c r="V23" i="20"/>
  <c r="V77" i="20"/>
  <c r="V91" i="20"/>
  <c r="U91" i="20" s="1"/>
  <c r="V82" i="20"/>
  <c r="V8" i="20"/>
  <c r="V110" i="20"/>
  <c r="V15" i="20"/>
  <c r="V47" i="20"/>
  <c r="V98" i="20"/>
  <c r="V105" i="20"/>
  <c r="V55" i="20"/>
  <c r="V117" i="20"/>
  <c r="V35" i="20"/>
  <c r="V29" i="20"/>
  <c r="U29" i="20" s="1"/>
  <c r="V20" i="20"/>
  <c r="U20" i="20" s="1"/>
  <c r="V115" i="20"/>
  <c r="V81" i="20"/>
  <c r="V78" i="20"/>
  <c r="V17" i="20"/>
  <c r="V118" i="20"/>
  <c r="V14" i="20"/>
  <c r="U14" i="20" s="1"/>
  <c r="V120" i="20"/>
  <c r="U120" i="20" s="1"/>
  <c r="V89" i="20"/>
  <c r="V68" i="20"/>
  <c r="V85" i="20"/>
  <c r="V22" i="20"/>
  <c r="U22" i="20" s="1"/>
  <c r="V92" i="20"/>
  <c r="U92" i="20" s="1"/>
  <c r="V12" i="20"/>
  <c r="V111" i="20"/>
  <c r="U111" i="20" s="1"/>
  <c r="V39" i="20"/>
  <c r="U39" i="20" s="1"/>
  <c r="V119" i="20"/>
  <c r="V33" i="20"/>
  <c r="V50" i="20"/>
  <c r="U50" i="20" s="1"/>
  <c r="V94" i="20"/>
  <c r="V42" i="20"/>
  <c r="V63" i="20"/>
  <c r="U63" i="20" s="1"/>
  <c r="V103" i="20"/>
  <c r="V107" i="20"/>
  <c r="V10" i="20"/>
  <c r="V44" i="20"/>
  <c r="U44" i="20" s="1"/>
  <c r="V88" i="20"/>
  <c r="V43" i="20"/>
  <c r="V9" i="20"/>
  <c r="V113" i="20"/>
  <c r="U113" i="20" s="1"/>
  <c r="V76" i="20"/>
  <c r="V116" i="20"/>
  <c r="V7" i="20"/>
  <c r="U7" i="20" s="1"/>
  <c r="V19" i="20"/>
  <c r="U19" i="20" s="1"/>
  <c r="V57" i="20"/>
  <c r="V87" i="20"/>
  <c r="V24" i="20"/>
  <c r="V56" i="20"/>
  <c r="V41" i="20"/>
  <c r="U41" i="20" s="1"/>
  <c r="V45" i="20"/>
  <c r="V73" i="20"/>
  <c r="V114" i="20"/>
  <c r="U114" i="20" s="1"/>
  <c r="V38" i="20"/>
  <c r="V100" i="20"/>
  <c r="U100" i="20" s="1"/>
  <c r="V18" i="20"/>
  <c r="V49" i="20"/>
  <c r="V26" i="20"/>
  <c r="V6" i="20"/>
  <c r="U6" i="20" s="1"/>
  <c r="V112" i="20"/>
  <c r="U112" i="20" s="1"/>
  <c r="V96" i="20"/>
  <c r="V58" i="20"/>
  <c r="V93" i="20"/>
  <c r="V59" i="20"/>
  <c r="V108" i="20"/>
  <c r="V46" i="20"/>
  <c r="U46" i="20" s="1"/>
  <c r="V67" i="20"/>
  <c r="U67" i="20" s="1"/>
  <c r="V53" i="20"/>
  <c r="V66" i="20"/>
  <c r="V80" i="20"/>
  <c r="U80" i="20" s="1"/>
  <c r="V30" i="20"/>
  <c r="H5" i="20"/>
  <c r="V101" i="20"/>
  <c r="V21" i="20"/>
  <c r="V40" i="20"/>
  <c r="U40" i="20" s="1"/>
  <c r="V64" i="20"/>
  <c r="V62" i="20"/>
  <c r="V5" i="20"/>
  <c r="V97" i="20"/>
  <c r="V75" i="20"/>
  <c r="V32" i="20"/>
  <c r="V51" i="20"/>
  <c r="U51" i="20" s="1"/>
  <c r="T5" i="20"/>
  <c r="V71" i="20"/>
  <c r="V95" i="20"/>
  <c r="V34" i="20"/>
  <c r="V109" i="20"/>
  <c r="U109" i="20" s="1"/>
  <c r="V48" i="20"/>
  <c r="V11" i="20"/>
  <c r="V69" i="20"/>
  <c r="V54" i="20"/>
  <c r="V72" i="20"/>
  <c r="U72" i="20" s="1"/>
  <c r="V28" i="20"/>
  <c r="V102" i="20"/>
  <c r="V79" i="20"/>
  <c r="V25" i="20"/>
  <c r="V99" i="20"/>
  <c r="V70" i="20"/>
  <c r="V104" i="20"/>
  <c r="V16" i="20"/>
  <c r="V65" i="20"/>
  <c r="U65" i="20" s="1"/>
  <c r="V61" i="20"/>
  <c r="V36" i="20"/>
  <c r="U36" i="20" s="1"/>
  <c r="V74" i="20"/>
  <c r="V31" i="20"/>
  <c r="V37" i="20"/>
  <c r="N25" i="20"/>
  <c r="O26" i="20"/>
  <c r="O73" i="20"/>
  <c r="N42" i="20"/>
  <c r="N115" i="20"/>
  <c r="P104" i="20"/>
  <c r="N68" i="20"/>
  <c r="O102" i="20"/>
  <c r="N7" i="20"/>
  <c r="P57" i="20"/>
  <c r="N65" i="20"/>
  <c r="N82" i="20"/>
  <c r="O50" i="20"/>
  <c r="O78" i="20"/>
  <c r="N69" i="20"/>
  <c r="O62" i="20"/>
  <c r="Q118" i="20"/>
  <c r="N27" i="20"/>
  <c r="Q114" i="20"/>
  <c r="O85" i="20"/>
  <c r="O33" i="20"/>
  <c r="N53" i="20"/>
  <c r="P91" i="20"/>
  <c r="Q60" i="20"/>
  <c r="Q56" i="20"/>
  <c r="O111" i="20"/>
  <c r="Q100" i="20"/>
  <c r="Q78" i="20"/>
  <c r="Q22" i="20"/>
  <c r="P74" i="20"/>
  <c r="P10" i="20"/>
  <c r="N120" i="20"/>
  <c r="P46" i="20"/>
  <c r="P120" i="20"/>
  <c r="O13" i="20"/>
  <c r="O100" i="20"/>
  <c r="P115" i="20"/>
  <c r="O52" i="20"/>
  <c r="O56" i="20"/>
  <c r="Q54" i="20"/>
  <c r="P17" i="20"/>
  <c r="Q98" i="20"/>
  <c r="P87" i="20"/>
  <c r="Q107" i="20"/>
  <c r="Q11" i="20"/>
  <c r="Q29" i="20"/>
  <c r="Q48" i="20"/>
  <c r="O83" i="20"/>
  <c r="O108" i="20"/>
  <c r="Q34" i="20"/>
  <c r="P78" i="20"/>
  <c r="Q70" i="20"/>
  <c r="P12" i="20"/>
  <c r="N37" i="20"/>
  <c r="O96" i="20"/>
  <c r="Q59" i="20"/>
  <c r="N22" i="20"/>
  <c r="N112" i="20"/>
  <c r="Q74" i="20"/>
  <c r="O71" i="20"/>
  <c r="Q106" i="20"/>
  <c r="P117" i="20"/>
  <c r="O42" i="20"/>
  <c r="P66" i="20"/>
  <c r="P77" i="20"/>
  <c r="P76" i="20"/>
  <c r="P62" i="20"/>
  <c r="P72" i="20"/>
  <c r="P35" i="20"/>
  <c r="Q88" i="20"/>
  <c r="Q18" i="20"/>
  <c r="Q119" i="20"/>
  <c r="N29" i="20"/>
  <c r="N101" i="20"/>
  <c r="O7" i="20"/>
  <c r="P39" i="20"/>
  <c r="N96" i="20"/>
  <c r="N80" i="20"/>
  <c r="O118" i="20"/>
  <c r="Q21" i="20"/>
  <c r="N9" i="20"/>
  <c r="N13" i="20"/>
  <c r="Q19" i="20"/>
  <c r="P81" i="20"/>
  <c r="Q26" i="20"/>
  <c r="Q13" i="20"/>
  <c r="P111" i="20"/>
  <c r="N89" i="20"/>
  <c r="P14" i="20"/>
  <c r="P55" i="20"/>
  <c r="P101" i="20"/>
  <c r="O115" i="20"/>
  <c r="O97" i="20"/>
  <c r="N118" i="20"/>
  <c r="P109" i="20"/>
  <c r="N106" i="20"/>
  <c r="N12" i="20"/>
  <c r="O87" i="20"/>
  <c r="N119" i="20"/>
  <c r="Q80" i="20"/>
  <c r="P96" i="20"/>
  <c r="N45" i="20"/>
  <c r="P18" i="20"/>
  <c r="O49" i="20"/>
  <c r="Q111" i="20"/>
  <c r="P114" i="20"/>
  <c r="O80" i="20"/>
  <c r="P92" i="20"/>
  <c r="P61" i="20"/>
  <c r="P42" i="20"/>
  <c r="Q112" i="20"/>
  <c r="N14" i="20"/>
  <c r="P25" i="20"/>
  <c r="O10" i="20"/>
  <c r="Q10" i="20"/>
  <c r="P59" i="20"/>
  <c r="P118" i="20"/>
  <c r="N46" i="20"/>
  <c r="O93" i="20"/>
  <c r="Q33" i="20"/>
  <c r="O94" i="20"/>
  <c r="Q94" i="20"/>
  <c r="N24" i="20"/>
  <c r="Q51" i="20"/>
  <c r="N91" i="20"/>
  <c r="O84" i="20"/>
  <c r="N57" i="20"/>
  <c r="P41" i="20"/>
  <c r="N78" i="20"/>
  <c r="N117" i="20"/>
  <c r="N38" i="20"/>
  <c r="N85" i="20"/>
  <c r="P88" i="20"/>
  <c r="O61" i="20"/>
  <c r="O116" i="20"/>
  <c r="O72" i="20"/>
  <c r="N56" i="20"/>
  <c r="O21" i="20"/>
  <c r="P50" i="20"/>
  <c r="O22" i="20"/>
  <c r="N86" i="20"/>
  <c r="N10" i="20"/>
  <c r="N51" i="20"/>
  <c r="O39" i="20"/>
  <c r="N19" i="20"/>
  <c r="P113" i="20"/>
  <c r="P13" i="20"/>
  <c r="N32" i="20"/>
  <c r="P85" i="20"/>
  <c r="Q117" i="20"/>
  <c r="Q44" i="20"/>
  <c r="O82" i="20"/>
  <c r="Q7" i="20"/>
  <c r="Q37" i="20"/>
  <c r="N30" i="20"/>
  <c r="O107" i="20"/>
  <c r="P70" i="20"/>
  <c r="O38" i="20"/>
  <c r="O65" i="20"/>
  <c r="Q6" i="20"/>
  <c r="O23" i="20"/>
  <c r="Q116" i="20"/>
  <c r="Q15" i="20"/>
  <c r="Q89" i="20"/>
  <c r="N15" i="20"/>
  <c r="P68" i="20"/>
  <c r="Q27" i="20"/>
  <c r="P29" i="20"/>
  <c r="O99" i="20"/>
  <c r="N109" i="20"/>
  <c r="N90" i="20"/>
  <c r="P51" i="20"/>
  <c r="N88" i="20"/>
  <c r="O14" i="20"/>
  <c r="P97" i="20"/>
  <c r="Q115" i="20"/>
  <c r="O9" i="20"/>
  <c r="O90" i="20"/>
  <c r="Q64" i="20"/>
  <c r="Q109" i="20"/>
  <c r="Q39" i="20"/>
  <c r="N39" i="20"/>
  <c r="P15" i="20"/>
  <c r="O5" i="20"/>
  <c r="P119" i="20"/>
  <c r="O48" i="20"/>
  <c r="O36" i="20"/>
  <c r="Q105" i="20"/>
  <c r="O35" i="20"/>
  <c r="P95" i="20"/>
  <c r="O109" i="20"/>
  <c r="Q108" i="20"/>
  <c r="P65" i="20"/>
  <c r="Q55" i="20"/>
  <c r="Q25" i="20"/>
  <c r="N99" i="20"/>
  <c r="P79" i="20"/>
  <c r="O32" i="20"/>
  <c r="O24" i="20"/>
  <c r="P24" i="20"/>
  <c r="P80" i="20"/>
  <c r="O106" i="20"/>
  <c r="Q73" i="20"/>
  <c r="O18" i="20"/>
  <c r="O46" i="20"/>
  <c r="N41" i="20"/>
  <c r="Q41" i="20"/>
  <c r="N77" i="20"/>
  <c r="O58" i="20"/>
  <c r="O53" i="20"/>
  <c r="N11" i="20"/>
  <c r="Q61" i="20"/>
  <c r="N33" i="20"/>
  <c r="N97" i="20"/>
  <c r="P45" i="20"/>
  <c r="N16" i="20"/>
  <c r="O88" i="20"/>
  <c r="P53" i="20"/>
  <c r="P34" i="20"/>
  <c r="Q113" i="20"/>
  <c r="O60" i="20"/>
  <c r="O27" i="20"/>
  <c r="N48" i="20"/>
  <c r="P23" i="20"/>
  <c r="P47" i="20"/>
  <c r="O15" i="20"/>
  <c r="Q40" i="20"/>
  <c r="Q50" i="20"/>
  <c r="O76" i="20"/>
  <c r="O105" i="20"/>
  <c r="P30" i="20"/>
  <c r="P83" i="20"/>
  <c r="P102" i="20"/>
  <c r="Q77" i="20"/>
  <c r="N103" i="20"/>
  <c r="O16" i="20"/>
  <c r="P89" i="20"/>
  <c r="P52" i="20"/>
  <c r="N100" i="20"/>
  <c r="P26" i="20"/>
  <c r="Q32" i="20"/>
  <c r="N54" i="20"/>
  <c r="N63" i="20"/>
  <c r="Q66" i="20"/>
  <c r="Q23" i="20"/>
  <c r="Q12" i="20"/>
  <c r="Q96" i="20"/>
  <c r="Q14" i="20"/>
  <c r="O44" i="20"/>
  <c r="O81" i="20"/>
  <c r="P43" i="20"/>
  <c r="P112" i="20"/>
  <c r="Q79" i="20"/>
  <c r="Q99" i="20"/>
  <c r="Q38" i="20"/>
  <c r="O110" i="20"/>
  <c r="O30" i="20"/>
  <c r="N35" i="20"/>
  <c r="N93" i="20"/>
  <c r="O98" i="20"/>
  <c r="Q52" i="20"/>
  <c r="O70" i="20"/>
  <c r="N108" i="20"/>
  <c r="O112" i="20"/>
  <c r="N23" i="20"/>
  <c r="N83" i="20"/>
  <c r="P98" i="20"/>
  <c r="N31" i="20"/>
  <c r="P8" i="20"/>
  <c r="P90" i="20"/>
  <c r="N52" i="20"/>
  <c r="Q71" i="20"/>
  <c r="P105" i="20"/>
  <c r="N95" i="20"/>
  <c r="P82" i="20"/>
  <c r="P9" i="20"/>
  <c r="O55" i="20"/>
  <c r="P37" i="20"/>
  <c r="N21" i="20"/>
  <c r="N94" i="20"/>
  <c r="Q36" i="20"/>
  <c r="P11" i="20"/>
  <c r="O66" i="20"/>
  <c r="N84" i="20"/>
  <c r="P49" i="20"/>
  <c r="Q95" i="20"/>
  <c r="N75" i="20"/>
  <c r="P28" i="20"/>
  <c r="P94" i="20"/>
  <c r="Q81" i="20"/>
  <c r="O67" i="20"/>
  <c r="N102" i="20"/>
  <c r="O6" i="20"/>
  <c r="N55" i="20"/>
  <c r="N81" i="20"/>
  <c r="P64" i="20"/>
  <c r="P93" i="20"/>
  <c r="N60" i="20"/>
  <c r="N71" i="20"/>
  <c r="O8" i="20"/>
  <c r="Q57" i="20"/>
  <c r="Q120" i="20"/>
  <c r="O57" i="20"/>
  <c r="P19" i="20"/>
  <c r="Q93" i="20"/>
  <c r="N40" i="20"/>
  <c r="Q42" i="20"/>
  <c r="Q30" i="20"/>
  <c r="N79" i="20"/>
  <c r="P44" i="20"/>
  <c r="N105" i="20"/>
  <c r="Q90" i="20"/>
  <c r="N43" i="20"/>
  <c r="Q31" i="20"/>
  <c r="O51" i="20"/>
  <c r="O77" i="20"/>
  <c r="Q83" i="20"/>
  <c r="Q65" i="20"/>
  <c r="P56" i="20"/>
  <c r="N28" i="20"/>
  <c r="P107" i="20"/>
  <c r="P48" i="20"/>
  <c r="Q103" i="20"/>
  <c r="O119" i="20"/>
  <c r="N66" i="20"/>
  <c r="P63" i="20"/>
  <c r="N76" i="20"/>
  <c r="Q62" i="20"/>
  <c r="Q24" i="20"/>
  <c r="N116" i="20"/>
  <c r="N61" i="20"/>
  <c r="Q102" i="20"/>
  <c r="P27" i="20"/>
  <c r="P21" i="20"/>
  <c r="Q104" i="20"/>
  <c r="P22" i="20"/>
  <c r="N17" i="20"/>
  <c r="O86" i="20"/>
  <c r="Q82" i="20"/>
  <c r="Q85" i="20"/>
  <c r="N74" i="20"/>
  <c r="P5" i="20"/>
  <c r="P100" i="20"/>
  <c r="O74" i="20"/>
  <c r="O75" i="20"/>
  <c r="N64" i="20"/>
  <c r="P40" i="20"/>
  <c r="N49" i="20"/>
  <c r="Q68" i="20"/>
  <c r="P106" i="20"/>
  <c r="N6" i="20"/>
  <c r="N111" i="20"/>
  <c r="P31" i="20"/>
  <c r="O12" i="20"/>
  <c r="O69" i="20"/>
  <c r="N67" i="20"/>
  <c r="N73" i="20"/>
  <c r="O40" i="20"/>
  <c r="P36" i="20"/>
  <c r="O120" i="20"/>
  <c r="O79" i="20"/>
  <c r="N50" i="20"/>
  <c r="P7" i="20"/>
  <c r="P75" i="20"/>
  <c r="Q84" i="20"/>
  <c r="O45" i="20"/>
  <c r="Q91" i="20"/>
  <c r="Q69" i="20"/>
  <c r="Q92" i="20"/>
  <c r="Q28" i="20"/>
  <c r="O92" i="20"/>
  <c r="N47" i="20"/>
  <c r="P69" i="20"/>
  <c r="O89" i="20"/>
  <c r="Q35" i="20"/>
  <c r="N107" i="20"/>
  <c r="Q63" i="20"/>
  <c r="P58" i="20"/>
  <c r="Q86" i="20"/>
  <c r="Q17" i="20"/>
  <c r="N114" i="20"/>
  <c r="P38" i="20"/>
  <c r="Q58" i="20"/>
  <c r="Q49" i="20"/>
  <c r="O114" i="20"/>
  <c r="P116" i="20"/>
  <c r="O34" i="20"/>
  <c r="O117" i="20"/>
  <c r="N104" i="20"/>
  <c r="P110" i="20"/>
  <c r="O41" i="20"/>
  <c r="N26" i="20"/>
  <c r="N72" i="20"/>
  <c r="Q110" i="20"/>
  <c r="P20" i="20"/>
  <c r="Q76" i="20"/>
  <c r="O17" i="20"/>
  <c r="O63" i="20"/>
  <c r="Q16" i="20"/>
  <c r="N34" i="20"/>
  <c r="N58" i="20"/>
  <c r="O95" i="20"/>
  <c r="O113" i="20"/>
  <c r="P16" i="20"/>
  <c r="Q67" i="20"/>
  <c r="N18" i="20"/>
  <c r="N5" i="20"/>
  <c r="Q5" i="20"/>
  <c r="P103" i="20"/>
  <c r="P71" i="20"/>
  <c r="O54" i="20"/>
  <c r="Q45" i="20"/>
  <c r="N62" i="20"/>
  <c r="O11" i="20"/>
  <c r="N59" i="20"/>
  <c r="N92" i="20"/>
  <c r="O64" i="20"/>
  <c r="O47" i="20"/>
  <c r="O19" i="20"/>
  <c r="Q8" i="20"/>
  <c r="O104" i="20"/>
  <c r="Q9" i="20"/>
  <c r="O25" i="20"/>
  <c r="Q43" i="20"/>
  <c r="P99" i="20"/>
  <c r="P54" i="20"/>
  <c r="P60" i="20"/>
  <c r="P86" i="20"/>
  <c r="O59" i="20"/>
  <c r="P73" i="20"/>
  <c r="Q87" i="20"/>
  <c r="Q97" i="20"/>
  <c r="O91" i="20"/>
  <c r="Q101" i="20"/>
  <c r="Q72" i="20"/>
  <c r="P84" i="20"/>
  <c r="N36" i="20"/>
  <c r="N20" i="20"/>
  <c r="N70" i="20"/>
  <c r="O20" i="20"/>
  <c r="N98" i="20"/>
  <c r="P33" i="20"/>
  <c r="O68" i="20"/>
  <c r="N8" i="20"/>
  <c r="Q20" i="20"/>
  <c r="P108" i="20"/>
  <c r="N113" i="20"/>
  <c r="O103" i="20"/>
  <c r="O101" i="20"/>
  <c r="O43" i="20"/>
  <c r="P6" i="20"/>
  <c r="O29" i="20"/>
  <c r="N110" i="20"/>
  <c r="Q75" i="20"/>
  <c r="Q47" i="20"/>
  <c r="Q53" i="20"/>
  <c r="N87" i="20"/>
  <c r="N44" i="20"/>
  <c r="P32" i="20"/>
  <c r="P67" i="20"/>
  <c r="O31" i="20"/>
  <c r="Q46" i="20"/>
  <c r="O28" i="20"/>
  <c r="O37" i="20"/>
  <c r="U89" i="20" l="1"/>
  <c r="U49" i="20"/>
  <c r="U117" i="20"/>
  <c r="U83" i="20"/>
  <c r="U54" i="20"/>
  <c r="U95" i="20"/>
  <c r="U108" i="20"/>
  <c r="U33" i="20"/>
  <c r="U68" i="20"/>
  <c r="K47" i="23" s="1"/>
  <c r="U118" i="20"/>
  <c r="U16" i="20"/>
  <c r="K115" i="23" s="1"/>
  <c r="U25" i="20"/>
  <c r="K95" i="23" s="1"/>
  <c r="U75" i="20"/>
  <c r="K18" i="23" s="1"/>
  <c r="U64" i="20"/>
  <c r="U53" i="20"/>
  <c r="K66" i="23" s="1"/>
  <c r="U18" i="20"/>
  <c r="K113" i="23" s="1"/>
  <c r="U73" i="20"/>
  <c r="K61" i="23" s="1"/>
  <c r="U9" i="20"/>
  <c r="U30" i="20"/>
  <c r="K64" i="23" s="1"/>
  <c r="U93" i="20"/>
  <c r="K44" i="23" s="1"/>
  <c r="U87" i="20"/>
  <c r="K98" i="23" s="1"/>
  <c r="U107" i="20"/>
  <c r="U102" i="20"/>
  <c r="K73" i="23" s="1"/>
  <c r="U69" i="20"/>
  <c r="K68" i="23" s="1"/>
  <c r="U76" i="20"/>
  <c r="K19" i="23" s="1"/>
  <c r="U81" i="20"/>
  <c r="K15" i="23" s="1"/>
  <c r="U59" i="20"/>
  <c r="K54" i="23" s="1"/>
  <c r="U42" i="20"/>
  <c r="K117" i="23" s="1"/>
  <c r="U15" i="20"/>
  <c r="K20" i="23" s="1"/>
  <c r="U45" i="20"/>
  <c r="K74" i="23" s="1"/>
  <c r="U77" i="20"/>
  <c r="K71" i="23" s="1"/>
  <c r="U58" i="20"/>
  <c r="U103" i="20"/>
  <c r="K86" i="23" s="1"/>
  <c r="U23" i="20"/>
  <c r="K60" i="23" s="1"/>
  <c r="U74" i="20"/>
  <c r="U48" i="20"/>
  <c r="K14" i="23" s="1"/>
  <c r="U71" i="20"/>
  <c r="K77" i="23" s="1"/>
  <c r="U119" i="20"/>
  <c r="K31" i="23" s="1"/>
  <c r="U17" i="20"/>
  <c r="K10" i="23" s="1"/>
  <c r="U97" i="20"/>
  <c r="U116" i="20"/>
  <c r="K46" i="23" s="1"/>
  <c r="U94" i="20"/>
  <c r="K30" i="23" s="1"/>
  <c r="U105" i="20"/>
  <c r="K43" i="23" s="1"/>
  <c r="U110" i="20"/>
  <c r="K48" i="23" s="1"/>
  <c r="U88" i="20"/>
  <c r="K102" i="23" s="1"/>
  <c r="U99" i="20"/>
  <c r="K89" i="23" s="1"/>
  <c r="U11" i="20"/>
  <c r="U101" i="20"/>
  <c r="K56" i="23" s="1"/>
  <c r="U56" i="20"/>
  <c r="K87" i="23" s="1"/>
  <c r="U115" i="20"/>
  <c r="U10" i="20"/>
  <c r="K83" i="23" s="1"/>
  <c r="U96" i="20"/>
  <c r="U86" i="20"/>
  <c r="K24" i="23" s="1"/>
  <c r="U37" i="20"/>
  <c r="K34" i="23" s="1"/>
  <c r="U61" i="20"/>
  <c r="K81" i="23" s="1"/>
  <c r="U70" i="20"/>
  <c r="K55" i="23" s="1"/>
  <c r="U21" i="20"/>
  <c r="K22" i="23" s="1"/>
  <c r="U57" i="20"/>
  <c r="K6" i="23" s="1"/>
  <c r="U85" i="20"/>
  <c r="K7" i="23" s="1"/>
  <c r="U35" i="20"/>
  <c r="K63" i="23" s="1"/>
  <c r="U8" i="20"/>
  <c r="U31" i="20"/>
  <c r="U47" i="20"/>
  <c r="K28" i="23" s="1"/>
  <c r="U104" i="20"/>
  <c r="K52" i="23" s="1"/>
  <c r="U79" i="20"/>
  <c r="K49" i="23" s="1"/>
  <c r="U43" i="20"/>
  <c r="K58" i="23" s="1"/>
  <c r="U78" i="20"/>
  <c r="K106" i="23" s="1"/>
  <c r="U34" i="20"/>
  <c r="K79" i="23" s="1"/>
  <c r="U26" i="20"/>
  <c r="K51" i="23" s="1"/>
  <c r="U38" i="20"/>
  <c r="K59" i="23" s="1"/>
  <c r="U98" i="20"/>
  <c r="K26" i="23" s="1"/>
  <c r="U32" i="20"/>
  <c r="U62" i="20"/>
  <c r="U12" i="20"/>
  <c r="K116" i="23" s="1"/>
  <c r="U24" i="20"/>
  <c r="K5" i="23" s="1"/>
  <c r="U55" i="20"/>
  <c r="K38" i="23" s="1"/>
  <c r="U28" i="20"/>
  <c r="U66" i="20"/>
  <c r="K80" i="23" s="1"/>
  <c r="U82" i="20"/>
  <c r="K90" i="23" s="1"/>
  <c r="R5" i="20"/>
  <c r="R10" i="20"/>
  <c r="R15" i="20"/>
  <c r="R74" i="20"/>
  <c r="R112" i="20"/>
  <c r="R111" i="20"/>
  <c r="R96" i="20"/>
  <c r="R69" i="20"/>
  <c r="R7" i="20"/>
  <c r="R35" i="20"/>
  <c r="R115" i="20"/>
  <c r="R68" i="20"/>
  <c r="R82" i="20"/>
  <c r="R59" i="20"/>
  <c r="R50" i="20"/>
  <c r="R89" i="20"/>
  <c r="R41" i="20"/>
  <c r="R16" i="20"/>
  <c r="R6" i="20"/>
  <c r="R97" i="20"/>
  <c r="R57" i="20"/>
  <c r="R65" i="20"/>
  <c r="R62" i="20"/>
  <c r="R116" i="20"/>
  <c r="R105" i="20"/>
  <c r="R21" i="20"/>
  <c r="R83" i="20"/>
  <c r="R46" i="20"/>
  <c r="R113" i="20"/>
  <c r="R25" i="20"/>
  <c r="R119" i="20"/>
  <c r="R18" i="20"/>
  <c r="R17" i="20"/>
  <c r="R84" i="20"/>
  <c r="R109" i="20"/>
  <c r="R40" i="20"/>
  <c r="R117" i="20"/>
  <c r="R14" i="20"/>
  <c r="R39" i="20"/>
  <c r="R72" i="20"/>
  <c r="R86" i="20"/>
  <c r="R67" i="20"/>
  <c r="R29" i="20"/>
  <c r="R27" i="20"/>
  <c r="R38" i="20"/>
  <c r="R33" i="20"/>
  <c r="R49" i="20"/>
  <c r="R13" i="20"/>
  <c r="R87" i="20"/>
  <c r="R64" i="20"/>
  <c r="R53" i="20"/>
  <c r="R95" i="20"/>
  <c r="R66" i="20"/>
  <c r="R20" i="20"/>
  <c r="R44" i="20"/>
  <c r="R92" i="20"/>
  <c r="R47" i="20"/>
  <c r="R73" i="20"/>
  <c r="R8" i="20"/>
  <c r="R12" i="20"/>
  <c r="R114" i="20"/>
  <c r="R77" i="20"/>
  <c r="R81" i="20"/>
  <c r="R98" i="20"/>
  <c r="R70" i="20"/>
  <c r="R43" i="20"/>
  <c r="R110" i="20"/>
  <c r="R103" i="20"/>
  <c r="R79" i="20"/>
  <c r="R91" i="20"/>
  <c r="R100" i="20"/>
  <c r="R101" i="20"/>
  <c r="R102" i="20"/>
  <c r="R80" i="20"/>
  <c r="R26" i="20"/>
  <c r="R54" i="20"/>
  <c r="R36" i="20"/>
  <c r="R58" i="20"/>
  <c r="R88" i="20"/>
  <c r="R90" i="20"/>
  <c r="R22" i="20"/>
  <c r="R93" i="20"/>
  <c r="R118" i="20"/>
  <c r="R45" i="20"/>
  <c r="R63" i="20"/>
  <c r="R56" i="20"/>
  <c r="R42" i="20"/>
  <c r="R30" i="20"/>
  <c r="R52" i="20"/>
  <c r="R107" i="20"/>
  <c r="R78" i="20"/>
  <c r="R28" i="20"/>
  <c r="R76" i="20"/>
  <c r="R24" i="20"/>
  <c r="R71" i="20"/>
  <c r="R85" i="20"/>
  <c r="R31" i="20"/>
  <c r="R120" i="20"/>
  <c r="R51" i="20"/>
  <c r="R60" i="20"/>
  <c r="R104" i="20"/>
  <c r="R75" i="20"/>
  <c r="R61" i="20"/>
  <c r="R9" i="20"/>
  <c r="R19" i="20"/>
  <c r="R23" i="20"/>
  <c r="R108" i="20"/>
  <c r="R48" i="20"/>
  <c r="R55" i="20"/>
  <c r="R94" i="20"/>
  <c r="R11" i="20"/>
  <c r="R34" i="20"/>
  <c r="R37" i="20"/>
  <c r="R99" i="20"/>
  <c r="R106" i="20"/>
  <c r="R32" i="20"/>
  <c r="F5" i="20"/>
  <c r="F96" i="20"/>
  <c r="F105" i="20"/>
  <c r="F103" i="20"/>
  <c r="F63" i="20"/>
  <c r="F80" i="20"/>
  <c r="F112" i="20"/>
  <c r="F64" i="20"/>
  <c r="F13" i="20"/>
  <c r="F49" i="20"/>
  <c r="F43" i="20"/>
  <c r="F46" i="20"/>
  <c r="F72" i="20"/>
  <c r="F37" i="20"/>
  <c r="F100" i="20"/>
  <c r="F86" i="20"/>
  <c r="F16" i="20"/>
  <c r="F38" i="20"/>
  <c r="F114" i="20"/>
  <c r="F44" i="20"/>
  <c r="F82" i="20"/>
  <c r="F93" i="20"/>
  <c r="F18" i="20"/>
  <c r="F117" i="20"/>
  <c r="F56" i="20"/>
  <c r="F65" i="20"/>
  <c r="F87" i="20"/>
  <c r="F52" i="20"/>
  <c r="F21" i="20"/>
  <c r="F104" i="20"/>
  <c r="F6" i="20"/>
  <c r="F66" i="20"/>
  <c r="F48" i="20"/>
  <c r="F19" i="20"/>
  <c r="F32" i="20"/>
  <c r="F40" i="20"/>
  <c r="F102" i="20"/>
  <c r="F108" i="20"/>
  <c r="F73" i="20"/>
  <c r="F88" i="20"/>
  <c r="F111" i="20"/>
  <c r="F11" i="20"/>
  <c r="F99" i="20"/>
  <c r="F106" i="20"/>
  <c r="F53" i="20"/>
  <c r="F74" i="20"/>
  <c r="F115" i="20"/>
  <c r="F54" i="20"/>
  <c r="F67" i="20"/>
  <c r="F23" i="20"/>
  <c r="F45" i="20"/>
  <c r="F35" i="20"/>
  <c r="F47" i="20"/>
  <c r="F34" i="20"/>
  <c r="F71" i="20"/>
  <c r="F55" i="20"/>
  <c r="F31" i="20"/>
  <c r="F27" i="20"/>
  <c r="F60" i="20"/>
  <c r="F10" i="20"/>
  <c r="F57" i="20"/>
  <c r="F9" i="20"/>
  <c r="F15" i="20"/>
  <c r="F29" i="20"/>
  <c r="F36" i="20"/>
  <c r="F51" i="20"/>
  <c r="F91" i="20"/>
  <c r="F8" i="20"/>
  <c r="F94" i="20"/>
  <c r="F61" i="20"/>
  <c r="F70" i="20"/>
  <c r="F59" i="20"/>
  <c r="F97" i="20"/>
  <c r="F109" i="20"/>
  <c r="F12" i="20"/>
  <c r="F98" i="20"/>
  <c r="F25" i="20"/>
  <c r="F50" i="20"/>
  <c r="F110" i="20"/>
  <c r="F84" i="20"/>
  <c r="F89" i="20"/>
  <c r="F120" i="20"/>
  <c r="F28" i="20"/>
  <c r="F26" i="20"/>
  <c r="F92" i="20"/>
  <c r="F85" i="20"/>
  <c r="F101" i="20"/>
  <c r="F118" i="20"/>
  <c r="F113" i="20"/>
  <c r="F42" i="20"/>
  <c r="F33" i="20"/>
  <c r="F30" i="20"/>
  <c r="F83" i="20"/>
  <c r="F24" i="20"/>
  <c r="F79" i="20"/>
  <c r="F76" i="20"/>
  <c r="F119" i="20"/>
  <c r="F14" i="20"/>
  <c r="F69" i="20"/>
  <c r="F75" i="20"/>
  <c r="F7" i="20"/>
  <c r="F17" i="20"/>
  <c r="F62" i="20"/>
  <c r="F107" i="20"/>
  <c r="F78" i="20"/>
  <c r="F22" i="20"/>
  <c r="F20" i="20"/>
  <c r="F95" i="20"/>
  <c r="F41" i="20"/>
  <c r="F77" i="20"/>
  <c r="F58" i="20"/>
  <c r="F90" i="20"/>
  <c r="F39" i="20"/>
  <c r="F116" i="20"/>
  <c r="F68" i="20"/>
  <c r="F81" i="20"/>
  <c r="J75" i="23"/>
  <c r="Q104" i="23"/>
  <c r="J76" i="23"/>
  <c r="J54" i="23"/>
  <c r="Q20" i="23"/>
  <c r="J73" i="23"/>
  <c r="J88" i="23"/>
  <c r="J96" i="23"/>
  <c r="Q51" i="23"/>
  <c r="P109" i="23"/>
  <c r="Q35" i="23"/>
  <c r="Q68" i="23"/>
  <c r="Q74" i="23"/>
  <c r="Q101" i="23"/>
  <c r="Q98" i="23"/>
  <c r="J40" i="23"/>
  <c r="J5" i="23"/>
  <c r="P113" i="23"/>
  <c r="J58" i="23"/>
  <c r="Q114" i="23"/>
  <c r="J23" i="23"/>
  <c r="J97" i="23"/>
  <c r="Q50" i="23"/>
  <c r="J48" i="23"/>
  <c r="Q94" i="23"/>
  <c r="J29" i="23"/>
  <c r="J30" i="23"/>
  <c r="J84" i="23"/>
  <c r="Q72" i="23"/>
  <c r="Q66" i="23"/>
  <c r="Q8" i="23"/>
  <c r="Q47" i="23"/>
  <c r="J68" i="23"/>
  <c r="J60" i="23"/>
  <c r="Q54" i="23"/>
  <c r="J70" i="23"/>
  <c r="J13" i="23"/>
  <c r="J111" i="23"/>
  <c r="J14" i="23"/>
  <c r="Q23" i="23"/>
  <c r="J56" i="23"/>
  <c r="Q12" i="23"/>
  <c r="Q81" i="23"/>
  <c r="Q32" i="23"/>
  <c r="Q86" i="23"/>
  <c r="P115" i="23"/>
  <c r="J103" i="23"/>
  <c r="J21" i="23"/>
  <c r="Q64" i="23"/>
  <c r="J117" i="23"/>
  <c r="J32" i="23"/>
  <c r="Q48" i="23"/>
  <c r="Q13" i="23"/>
  <c r="Q63" i="23"/>
  <c r="Q97" i="23"/>
  <c r="Q102" i="23"/>
  <c r="Q117" i="23"/>
  <c r="J80" i="23"/>
  <c r="Q10" i="23"/>
  <c r="J45" i="23"/>
  <c r="Q73" i="23"/>
  <c r="Q110" i="23"/>
  <c r="Q71" i="23"/>
  <c r="J113" i="23"/>
  <c r="J7" i="23"/>
  <c r="J92" i="23"/>
  <c r="J90" i="23"/>
  <c r="Q30" i="23"/>
  <c r="J107" i="23"/>
  <c r="J94" i="23"/>
  <c r="Q44" i="23"/>
  <c r="J102" i="23"/>
  <c r="Q49" i="23"/>
  <c r="J20" i="23"/>
  <c r="Q59" i="23"/>
  <c r="J93" i="23"/>
  <c r="Q24" i="23"/>
  <c r="J85" i="23"/>
  <c r="Q43" i="23"/>
  <c r="J99" i="23"/>
  <c r="Q92" i="23"/>
  <c r="J89" i="23"/>
  <c r="Q9" i="23"/>
  <c r="J119" i="23"/>
  <c r="J26" i="23"/>
  <c r="J95" i="23"/>
  <c r="Q56" i="23"/>
  <c r="J17" i="23"/>
  <c r="J24" i="23"/>
  <c r="Q16" i="23"/>
  <c r="Q83" i="23"/>
  <c r="J50" i="23"/>
  <c r="Q93" i="23"/>
  <c r="Q14" i="23"/>
  <c r="Q55" i="23"/>
  <c r="J64" i="23"/>
  <c r="P95" i="23"/>
  <c r="J74" i="23"/>
  <c r="Q17" i="23"/>
  <c r="Q15" i="23"/>
  <c r="Q69" i="23"/>
  <c r="Q70" i="23"/>
  <c r="J112" i="23"/>
  <c r="Q42" i="23"/>
  <c r="J41" i="23"/>
  <c r="Q79" i="23"/>
  <c r="J86" i="23"/>
  <c r="J16" i="23"/>
  <c r="J98" i="23"/>
  <c r="J57" i="23"/>
  <c r="J34" i="23"/>
  <c r="J81" i="23"/>
  <c r="Q80" i="23"/>
  <c r="Q77" i="23"/>
  <c r="Q65" i="23"/>
  <c r="Q62" i="23"/>
  <c r="Q67" i="23"/>
  <c r="J109" i="23"/>
  <c r="Q82" i="23"/>
  <c r="J65" i="23"/>
  <c r="Q111" i="23"/>
  <c r="J36" i="23"/>
  <c r="J53" i="23"/>
  <c r="J22" i="23"/>
  <c r="J44" i="23"/>
  <c r="J108" i="23"/>
  <c r="J82" i="23"/>
  <c r="Q29" i="23"/>
  <c r="Q36" i="23"/>
  <c r="Q11" i="23"/>
  <c r="Q28" i="23"/>
  <c r="J72" i="23"/>
  <c r="Q45" i="23"/>
  <c r="Q118" i="23"/>
  <c r="J28" i="23"/>
  <c r="J66" i="23"/>
  <c r="J69" i="23"/>
  <c r="J37" i="23"/>
  <c r="Q57" i="23"/>
  <c r="P116" i="23"/>
  <c r="Q38" i="23"/>
  <c r="J46" i="23"/>
  <c r="J52" i="23"/>
  <c r="Q96" i="23"/>
  <c r="J42" i="23"/>
  <c r="J114" i="23"/>
  <c r="J10" i="23"/>
  <c r="J105" i="23"/>
  <c r="Q105" i="23"/>
  <c r="J61" i="23"/>
  <c r="J35" i="23"/>
  <c r="J15" i="23"/>
  <c r="Q60" i="23"/>
  <c r="Q53" i="23"/>
  <c r="J106" i="23"/>
  <c r="J12" i="23"/>
  <c r="J101" i="23"/>
  <c r="Q40" i="23"/>
  <c r="Q4" i="23"/>
  <c r="Q78" i="23"/>
  <c r="J55" i="23"/>
  <c r="J67" i="23"/>
  <c r="Q91" i="23"/>
  <c r="Q19" i="23"/>
  <c r="J71" i="23"/>
  <c r="Q34" i="23"/>
  <c r="J31" i="23"/>
  <c r="P108" i="23"/>
  <c r="J100" i="23"/>
  <c r="Q7" i="23"/>
  <c r="Q119" i="23"/>
  <c r="Q107" i="23"/>
  <c r="Q61" i="23"/>
  <c r="Q90" i="23"/>
  <c r="Q5" i="23"/>
  <c r="Q88" i="23"/>
  <c r="J8" i="23"/>
  <c r="J83" i="23"/>
  <c r="J79" i="23"/>
  <c r="J4" i="23"/>
  <c r="Q31" i="23"/>
  <c r="J77" i="23"/>
  <c r="J6" i="23"/>
  <c r="Q75" i="23"/>
  <c r="P103" i="23"/>
  <c r="J19" i="23"/>
  <c r="Q84" i="23"/>
  <c r="Q112" i="23"/>
  <c r="J9" i="23"/>
  <c r="Q46" i="23"/>
  <c r="Q21" i="23"/>
  <c r="Q39" i="23"/>
  <c r="J62" i="23"/>
  <c r="Q52" i="23"/>
  <c r="J104" i="23"/>
  <c r="J27" i="23"/>
  <c r="J49" i="23"/>
  <c r="Q106" i="23"/>
  <c r="Q27" i="23"/>
  <c r="Q18" i="23"/>
  <c r="Q25" i="23"/>
  <c r="J25" i="23"/>
  <c r="J59" i="23"/>
  <c r="Q99" i="23"/>
  <c r="J11" i="23"/>
  <c r="J110" i="23"/>
  <c r="J39" i="23"/>
  <c r="Q41" i="23"/>
  <c r="J63" i="23"/>
  <c r="Q37" i="23"/>
  <c r="Q100" i="23"/>
  <c r="Q22" i="23"/>
  <c r="J38" i="23"/>
  <c r="J78" i="23"/>
  <c r="J51" i="23"/>
  <c r="Q6" i="23"/>
  <c r="J91" i="23"/>
  <c r="Q89" i="23"/>
  <c r="J47" i="23"/>
  <c r="J115" i="23"/>
  <c r="J118" i="23"/>
  <c r="J33" i="23"/>
  <c r="Q58" i="23"/>
  <c r="Q76" i="23"/>
  <c r="Q26" i="23"/>
  <c r="J87" i="23"/>
  <c r="Q85" i="23"/>
  <c r="J43" i="23"/>
  <c r="J116" i="23"/>
  <c r="Q33" i="23"/>
  <c r="J18" i="23"/>
  <c r="Q87" i="23"/>
  <c r="D89" i="23"/>
  <c r="M11" i="23"/>
  <c r="M16" i="23"/>
  <c r="M76" i="23"/>
  <c r="M105" i="23"/>
  <c r="D50" i="23"/>
  <c r="M23" i="23"/>
  <c r="M48" i="23"/>
  <c r="D79" i="23"/>
  <c r="M20" i="23"/>
  <c r="M68" i="23"/>
  <c r="M13" i="23"/>
  <c r="D96" i="23"/>
  <c r="D21" i="23"/>
  <c r="D10" i="23"/>
  <c r="D30" i="23"/>
  <c r="D9" i="23"/>
  <c r="D39" i="23"/>
  <c r="D37" i="23"/>
  <c r="D70" i="23"/>
  <c r="D90" i="23"/>
  <c r="M41" i="23"/>
  <c r="M6" i="23"/>
  <c r="M17" i="23"/>
  <c r="M97" i="23"/>
  <c r="M86" i="23"/>
  <c r="D40" i="23"/>
  <c r="D51" i="23"/>
  <c r="D63" i="23"/>
  <c r="D119" i="23"/>
  <c r="M47" i="23"/>
  <c r="M94" i="23"/>
  <c r="M79" i="23"/>
  <c r="M66" i="23"/>
  <c r="D69" i="23"/>
  <c r="M52" i="23"/>
  <c r="D87" i="23"/>
  <c r="D14" i="23"/>
  <c r="M89" i="23"/>
  <c r="D97" i="23"/>
  <c r="D6" i="23"/>
  <c r="D94" i="23"/>
  <c r="M46" i="23"/>
  <c r="D56" i="23"/>
  <c r="D80" i="23"/>
  <c r="M110" i="23"/>
  <c r="M14" i="23"/>
  <c r="M35" i="23"/>
  <c r="M53" i="23"/>
  <c r="D71" i="23"/>
  <c r="M26" i="23"/>
  <c r="C95" i="23"/>
  <c r="M57" i="23"/>
  <c r="D106" i="23"/>
  <c r="D54" i="23"/>
  <c r="D8" i="23"/>
  <c r="D45" i="23"/>
  <c r="L113" i="23"/>
  <c r="D26" i="23"/>
  <c r="C108" i="23"/>
  <c r="M51" i="23"/>
  <c r="M83" i="23"/>
  <c r="D92" i="23"/>
  <c r="M90" i="23"/>
  <c r="M55" i="23"/>
  <c r="M102" i="23"/>
  <c r="L108" i="23"/>
  <c r="M4" i="23"/>
  <c r="M78" i="23"/>
  <c r="D24" i="23"/>
  <c r="M58" i="23"/>
  <c r="M21" i="23"/>
  <c r="D60" i="23"/>
  <c r="M96" i="23"/>
  <c r="M72" i="23"/>
  <c r="D93" i="23"/>
  <c r="M8" i="23"/>
  <c r="C115" i="23"/>
  <c r="D62" i="23"/>
  <c r="M119" i="23"/>
  <c r="M39" i="23"/>
  <c r="M10" i="23"/>
  <c r="D105" i="23"/>
  <c r="M81" i="23"/>
  <c r="M64" i="23"/>
  <c r="D58" i="23"/>
  <c r="M73" i="23"/>
  <c r="M112" i="23"/>
  <c r="D25" i="23"/>
  <c r="M65" i="23"/>
  <c r="M56" i="23"/>
  <c r="M77" i="23"/>
  <c r="D20" i="23"/>
  <c r="M63" i="23"/>
  <c r="D61" i="23"/>
  <c r="M28" i="23"/>
  <c r="D53" i="23"/>
  <c r="D7" i="23"/>
  <c r="D52" i="23"/>
  <c r="L116" i="23"/>
  <c r="M12" i="23"/>
  <c r="D112" i="23"/>
  <c r="M32" i="23"/>
  <c r="D91" i="23"/>
  <c r="M45" i="23"/>
  <c r="D34" i="23"/>
  <c r="M42" i="23"/>
  <c r="D114" i="23"/>
  <c r="D102" i="23"/>
  <c r="D107" i="23"/>
  <c r="D46" i="23"/>
  <c r="M117" i="23"/>
  <c r="D110" i="23"/>
  <c r="D118" i="23"/>
  <c r="D99" i="23"/>
  <c r="L95" i="23"/>
  <c r="M62" i="23"/>
  <c r="D65" i="23"/>
  <c r="D18" i="23"/>
  <c r="D29" i="23"/>
  <c r="M98" i="23"/>
  <c r="D12" i="23"/>
  <c r="D33" i="23"/>
  <c r="C109" i="23"/>
  <c r="M74" i="23"/>
  <c r="M44" i="23"/>
  <c r="D55" i="23"/>
  <c r="M91" i="23"/>
  <c r="D77" i="23"/>
  <c r="D22" i="23"/>
  <c r="M50" i="23"/>
  <c r="M7" i="23"/>
  <c r="D11" i="23"/>
  <c r="D104" i="23"/>
  <c r="D82" i="23"/>
  <c r="M67" i="23"/>
  <c r="D88" i="23"/>
  <c r="M82" i="23"/>
  <c r="D17" i="23"/>
  <c r="D72" i="23"/>
  <c r="M36" i="23"/>
  <c r="M87" i="23"/>
  <c r="D100" i="23"/>
  <c r="D64" i="23"/>
  <c r="D47" i="23"/>
  <c r="D36" i="23"/>
  <c r="D57" i="23"/>
  <c r="D75" i="23"/>
  <c r="M34" i="23"/>
  <c r="M29" i="23"/>
  <c r="D41" i="23"/>
  <c r="M101" i="23"/>
  <c r="D35" i="23"/>
  <c r="M71" i="23"/>
  <c r="M43" i="23"/>
  <c r="C103" i="23"/>
  <c r="D74" i="23"/>
  <c r="D4" i="23"/>
  <c r="M80" i="23"/>
  <c r="D73" i="23"/>
  <c r="D43" i="23"/>
  <c r="M114" i="23"/>
  <c r="M93" i="23"/>
  <c r="M99" i="23"/>
  <c r="M9" i="23"/>
  <c r="M31" i="23"/>
  <c r="D101" i="23"/>
  <c r="C113" i="23"/>
  <c r="D68" i="23"/>
  <c r="L115" i="23"/>
  <c r="D59" i="23"/>
  <c r="M88" i="23"/>
  <c r="D83" i="23"/>
  <c r="D42" i="23"/>
  <c r="D19" i="23"/>
  <c r="D81" i="23"/>
  <c r="M118" i="23"/>
  <c r="M84" i="23"/>
  <c r="D38" i="23"/>
  <c r="D27" i="23"/>
  <c r="D44" i="23"/>
  <c r="M38" i="23"/>
  <c r="D85" i="23"/>
  <c r="M69" i="23"/>
  <c r="D84" i="23"/>
  <c r="D13" i="23"/>
  <c r="L103" i="23"/>
  <c r="M22" i="23"/>
  <c r="D5" i="23"/>
  <c r="M59" i="23"/>
  <c r="M5" i="23"/>
  <c r="D48" i="23"/>
  <c r="M106" i="23"/>
  <c r="D76" i="23"/>
  <c r="M27" i="23"/>
  <c r="D66" i="23"/>
  <c r="D28" i="23"/>
  <c r="D49" i="23"/>
  <c r="M107" i="23"/>
  <c r="M37" i="23"/>
  <c r="D15" i="23"/>
  <c r="M104" i="23"/>
  <c r="M61" i="23"/>
  <c r="M19" i="23"/>
  <c r="M15" i="23"/>
  <c r="D117" i="23"/>
  <c r="D111" i="23"/>
  <c r="D78" i="23"/>
  <c r="D86" i="23"/>
  <c r="M85" i="23"/>
  <c r="M40" i="23"/>
  <c r="M25" i="23"/>
  <c r="D67" i="23"/>
  <c r="D32" i="23"/>
  <c r="M49" i="23"/>
  <c r="M111" i="23"/>
  <c r="C116" i="23"/>
  <c r="D23" i="23"/>
  <c r="M30" i="23"/>
  <c r="M33" i="23"/>
  <c r="M70" i="23"/>
  <c r="M92" i="23"/>
  <c r="M100" i="23"/>
  <c r="D16" i="23"/>
  <c r="L109" i="23"/>
  <c r="M18" i="23"/>
  <c r="M54" i="23"/>
  <c r="M24" i="23"/>
  <c r="D31" i="23"/>
  <c r="M60" i="23"/>
  <c r="D98" i="23"/>
  <c r="M75" i="23"/>
  <c r="G119" i="23"/>
  <c r="O12" i="23"/>
  <c r="O44" i="23"/>
  <c r="G20" i="23"/>
  <c r="G52" i="23"/>
  <c r="O29" i="23"/>
  <c r="G6" i="23"/>
  <c r="G15" i="23"/>
  <c r="G105" i="23"/>
  <c r="O80" i="23"/>
  <c r="O87" i="23"/>
  <c r="G13" i="23"/>
  <c r="O60" i="23"/>
  <c r="G107" i="23"/>
  <c r="O114" i="23"/>
  <c r="O22" i="23"/>
  <c r="O54" i="23"/>
  <c r="G30" i="23"/>
  <c r="O6" i="23"/>
  <c r="O39" i="23"/>
  <c r="O119" i="23"/>
  <c r="O42" i="23"/>
  <c r="O11" i="23"/>
  <c r="G68" i="23"/>
  <c r="O117" i="23"/>
  <c r="G35" i="23"/>
  <c r="O111" i="23"/>
  <c r="G117" i="23"/>
  <c r="G94" i="23"/>
  <c r="N108" i="23"/>
  <c r="O88" i="23"/>
  <c r="G98" i="23"/>
  <c r="O32" i="23"/>
  <c r="G40" i="23"/>
  <c r="O49" i="23"/>
  <c r="G47" i="23"/>
  <c r="O86" i="23"/>
  <c r="O102" i="23"/>
  <c r="G114" i="23"/>
  <c r="O50" i="23"/>
  <c r="G58" i="23"/>
  <c r="G53" i="23"/>
  <c r="G63" i="23"/>
  <c r="G74" i="23"/>
  <c r="O83" i="23"/>
  <c r="O58" i="23"/>
  <c r="G39" i="23"/>
  <c r="G17" i="23"/>
  <c r="O110" i="23"/>
  <c r="O56" i="23"/>
  <c r="O8" i="23"/>
  <c r="O61" i="23"/>
  <c r="G88" i="23"/>
  <c r="G49" i="23"/>
  <c r="G101" i="23"/>
  <c r="G106" i="23"/>
  <c r="O98" i="23"/>
  <c r="O85" i="23"/>
  <c r="O74" i="23"/>
  <c r="G90" i="23"/>
  <c r="O20" i="23"/>
  <c r="O52" i="23"/>
  <c r="G28" i="23"/>
  <c r="G60" i="23"/>
  <c r="O37" i="23"/>
  <c r="G59" i="23"/>
  <c r="O64" i="23"/>
  <c r="G43" i="23"/>
  <c r="O97" i="23"/>
  <c r="O96" i="23"/>
  <c r="G64" i="23"/>
  <c r="O76" i="23"/>
  <c r="G33" i="23"/>
  <c r="G82" i="23"/>
  <c r="O30" i="23"/>
  <c r="G7" i="23"/>
  <c r="G38" i="23"/>
  <c r="O15" i="23"/>
  <c r="O47" i="23"/>
  <c r="G110" i="23"/>
  <c r="G18" i="23"/>
  <c r="O27" i="23"/>
  <c r="G31" i="23"/>
  <c r="G57" i="23"/>
  <c r="O70" i="23"/>
  <c r="G29" i="23"/>
  <c r="O118" i="23"/>
  <c r="O84" i="23"/>
  <c r="O67" i="23"/>
  <c r="G45" i="23"/>
  <c r="O105" i="23"/>
  <c r="O48" i="23"/>
  <c r="G56" i="23"/>
  <c r="G37" i="23"/>
  <c r="G79" i="23"/>
  <c r="N113" i="23"/>
  <c r="O73" i="23"/>
  <c r="O82" i="23"/>
  <c r="G10" i="23"/>
  <c r="O19" i="23"/>
  <c r="O77" i="23"/>
  <c r="G86" i="23"/>
  <c r="N115" i="23"/>
  <c r="O94" i="23"/>
  <c r="F109" i="23"/>
  <c r="G75" i="23"/>
  <c r="O71" i="23"/>
  <c r="O9" i="23"/>
  <c r="G16" i="23"/>
  <c r="O25" i="23"/>
  <c r="G81" i="23"/>
  <c r="G19" i="23"/>
  <c r="G4" i="23"/>
  <c r="G41" i="23"/>
  <c r="O81" i="23"/>
  <c r="F113" i="23"/>
  <c r="O65" i="23"/>
  <c r="O112" i="23"/>
  <c r="O28" i="23"/>
  <c r="G5" i="23"/>
  <c r="G36" i="23"/>
  <c r="O13" i="23"/>
  <c r="O45" i="23"/>
  <c r="G76" i="23"/>
  <c r="G84" i="23"/>
  <c r="O99" i="23"/>
  <c r="G61" i="23"/>
  <c r="O104" i="23"/>
  <c r="G80" i="23"/>
  <c r="G87" i="23"/>
  <c r="G70" i="23"/>
  <c r="O7" i="23"/>
  <c r="O38" i="23"/>
  <c r="G14" i="23"/>
  <c r="G46" i="23"/>
  <c r="O23" i="23"/>
  <c r="O55" i="23"/>
  <c r="O10" i="23"/>
  <c r="G34" i="23"/>
  <c r="O43" i="23"/>
  <c r="O72" i="23"/>
  <c r="N109" i="23"/>
  <c r="O89" i="23"/>
  <c r="G72" i="23"/>
  <c r="G67" i="23"/>
  <c r="G62" i="23"/>
  <c r="O78" i="23"/>
  <c r="G23" i="23"/>
  <c r="G112" i="23"/>
  <c r="G9" i="23"/>
  <c r="O17" i="23"/>
  <c r="O69" i="23"/>
  <c r="G97" i="23"/>
  <c r="G73" i="23"/>
  <c r="O68" i="23"/>
  <c r="O18" i="23"/>
  <c r="G26" i="23"/>
  <c r="O35" i="23"/>
  <c r="F108" i="23"/>
  <c r="G99" i="23"/>
  <c r="O93" i="23"/>
  <c r="O106" i="23"/>
  <c r="G102" i="23"/>
  <c r="G89" i="23"/>
  <c r="N95" i="23"/>
  <c r="O24" i="23"/>
  <c r="G32" i="23"/>
  <c r="O41" i="23"/>
  <c r="G118" i="23"/>
  <c r="O107" i="23"/>
  <c r="G65" i="23"/>
  <c r="G69" i="23"/>
  <c r="G78" i="23"/>
  <c r="N103" i="23"/>
  <c r="G92" i="23"/>
  <c r="O5" i="23"/>
  <c r="O36" i="23"/>
  <c r="G12" i="23"/>
  <c r="G44" i="23"/>
  <c r="O21" i="23"/>
  <c r="O53" i="23"/>
  <c r="F95" i="23"/>
  <c r="G93" i="23"/>
  <c r="G66" i="23"/>
  <c r="G77" i="23"/>
  <c r="G27" i="23"/>
  <c r="G8" i="23"/>
  <c r="G96" i="23"/>
  <c r="O90" i="23"/>
  <c r="O14" i="23"/>
  <c r="O46" i="23"/>
  <c r="G22" i="23"/>
  <c r="G54" i="23"/>
  <c r="O31" i="23"/>
  <c r="G21" i="23"/>
  <c r="O26" i="23"/>
  <c r="G50" i="23"/>
  <c r="O59" i="23"/>
  <c r="G91" i="23"/>
  <c r="O66" i="23"/>
  <c r="O100" i="23"/>
  <c r="F115" i="23"/>
  <c r="G83" i="23"/>
  <c r="O79" i="23"/>
  <c r="O92" i="23"/>
  <c r="G85" i="23"/>
  <c r="O16" i="23"/>
  <c r="G24" i="23"/>
  <c r="O33" i="23"/>
  <c r="F103" i="23"/>
  <c r="G111" i="23"/>
  <c r="G51" i="23"/>
  <c r="O63" i="23"/>
  <c r="O34" i="23"/>
  <c r="G42" i="23"/>
  <c r="O51" i="23"/>
  <c r="F116" i="23"/>
  <c r="G25" i="23"/>
  <c r="O62" i="23"/>
  <c r="O91" i="23"/>
  <c r="G11" i="23"/>
  <c r="G100" i="23"/>
  <c r="N116" i="23"/>
  <c r="O40" i="23"/>
  <c r="G48" i="23"/>
  <c r="O57" i="23"/>
  <c r="G71" i="23"/>
  <c r="G55" i="23"/>
  <c r="G104" i="23"/>
  <c r="O101" i="23"/>
  <c r="O4" i="23"/>
  <c r="O75" i="23"/>
  <c r="U106" i="20"/>
  <c r="K119" i="23" s="1"/>
  <c r="L88" i="20"/>
  <c r="L85" i="20"/>
  <c r="L20" i="20"/>
  <c r="L51" i="20"/>
  <c r="L12" i="20"/>
  <c r="L114" i="20"/>
  <c r="L19" i="20"/>
  <c r="L59" i="20"/>
  <c r="L6" i="20"/>
  <c r="L41" i="20"/>
  <c r="L52" i="20"/>
  <c r="L61" i="20"/>
  <c r="L38" i="20"/>
  <c r="L77" i="20"/>
  <c r="L65" i="20"/>
  <c r="L119" i="20"/>
  <c r="L75" i="20"/>
  <c r="L73" i="20"/>
  <c r="L120" i="20"/>
  <c r="L107" i="20"/>
  <c r="L110" i="20"/>
  <c r="L24" i="20"/>
  <c r="L40" i="20"/>
  <c r="L49" i="20"/>
  <c r="L78" i="20"/>
  <c r="L100" i="20"/>
  <c r="L37" i="20"/>
  <c r="L91" i="20"/>
  <c r="L72" i="20"/>
  <c r="L15" i="20"/>
  <c r="L87" i="20"/>
  <c r="L71" i="20"/>
  <c r="L14" i="20"/>
  <c r="L56" i="20"/>
  <c r="L60" i="20"/>
  <c r="L26" i="20"/>
  <c r="L29" i="20"/>
  <c r="L25" i="20"/>
  <c r="L109" i="20"/>
  <c r="L7" i="20"/>
  <c r="L17" i="20"/>
  <c r="L111" i="20"/>
  <c r="L35" i="20"/>
  <c r="L106" i="20"/>
  <c r="L66" i="20"/>
  <c r="L22" i="20"/>
  <c r="L21" i="20"/>
  <c r="L118" i="20"/>
  <c r="L36" i="20"/>
  <c r="L27" i="20"/>
  <c r="L64" i="20"/>
  <c r="L9" i="20"/>
  <c r="L54" i="20"/>
  <c r="L46" i="20"/>
  <c r="L18" i="20"/>
  <c r="L116" i="20"/>
  <c r="L102" i="20"/>
  <c r="L47" i="20"/>
  <c r="L32" i="20"/>
  <c r="L90" i="20"/>
  <c r="L68" i="20"/>
  <c r="L83" i="20"/>
  <c r="L84" i="20"/>
  <c r="L50" i="20"/>
  <c r="L43" i="20"/>
  <c r="L95" i="20"/>
  <c r="L30" i="20"/>
  <c r="L58" i="20"/>
  <c r="L62" i="20"/>
  <c r="L97" i="20"/>
  <c r="L44" i="20"/>
  <c r="L101" i="20"/>
  <c r="L70" i="20"/>
  <c r="L117" i="20"/>
  <c r="L69" i="20"/>
  <c r="L99" i="20"/>
  <c r="L112" i="20"/>
  <c r="L63" i="20"/>
  <c r="L103" i="20"/>
  <c r="L105" i="20"/>
  <c r="L10" i="20"/>
  <c r="L28" i="20"/>
  <c r="L96" i="20"/>
  <c r="L55" i="20"/>
  <c r="L79" i="20"/>
  <c r="L8" i="20"/>
  <c r="L74" i="20"/>
  <c r="L86" i="20"/>
  <c r="L57" i="20"/>
  <c r="L98" i="20"/>
  <c r="L5" i="20"/>
  <c r="L45" i="20"/>
  <c r="L67" i="20"/>
  <c r="L16" i="20"/>
  <c r="L39" i="20"/>
  <c r="L13" i="20"/>
  <c r="L93" i="20"/>
  <c r="L23" i="20"/>
  <c r="L89" i="20"/>
  <c r="L82" i="20"/>
  <c r="L94" i="20"/>
  <c r="L80" i="20"/>
  <c r="L53" i="20"/>
  <c r="L48" i="20"/>
  <c r="L42" i="20"/>
  <c r="L113" i="20"/>
  <c r="L92" i="20"/>
  <c r="L115" i="20"/>
  <c r="L108" i="20"/>
  <c r="L33" i="20"/>
  <c r="L76" i="20"/>
  <c r="L104" i="20"/>
  <c r="L31" i="20"/>
  <c r="L11" i="20"/>
  <c r="L34" i="20"/>
  <c r="L81" i="20"/>
  <c r="K16" i="23"/>
  <c r="K104" i="23"/>
  <c r="K76" i="23"/>
  <c r="K94" i="23"/>
  <c r="K67" i="23"/>
  <c r="K118" i="23"/>
  <c r="K25" i="23"/>
  <c r="K42" i="23"/>
  <c r="K111" i="23"/>
  <c r="K69" i="23"/>
  <c r="K13" i="23"/>
  <c r="K101" i="23"/>
  <c r="K17" i="23"/>
  <c r="K11" i="23"/>
  <c r="K70" i="23"/>
  <c r="K72" i="23"/>
  <c r="K23" i="23"/>
  <c r="K100" i="23"/>
  <c r="K85" i="23"/>
  <c r="K93" i="23"/>
  <c r="K110" i="23"/>
  <c r="K112" i="23"/>
  <c r="K108" i="23"/>
  <c r="K114" i="23"/>
  <c r="K32" i="23"/>
  <c r="K78" i="23"/>
  <c r="K107" i="23"/>
  <c r="K37" i="23"/>
  <c r="K91" i="23"/>
  <c r="K9" i="23"/>
  <c r="K96" i="23"/>
  <c r="K45" i="23"/>
  <c r="K4" i="23"/>
  <c r="K12" i="23"/>
  <c r="K62" i="23"/>
  <c r="K36" i="23"/>
  <c r="K82" i="23"/>
  <c r="K75" i="23"/>
  <c r="K35" i="23"/>
  <c r="K40" i="23"/>
  <c r="K21" i="23"/>
  <c r="K65" i="23"/>
  <c r="W5" i="20"/>
  <c r="U5" i="20" s="1"/>
  <c r="K27" i="23" s="1"/>
  <c r="K105" i="23"/>
  <c r="K8" i="23"/>
  <c r="K33" i="23"/>
  <c r="K39" i="23"/>
  <c r="K84" i="23"/>
  <c r="K50" i="23"/>
  <c r="K92" i="23"/>
  <c r="K41" i="23"/>
  <c r="K53" i="23"/>
  <c r="K103" i="23"/>
  <c r="K99" i="23"/>
  <c r="K29" i="23"/>
  <c r="K57" i="23"/>
  <c r="K109" i="23"/>
  <c r="K97" i="23" l="1"/>
  <c r="K88" i="23"/>
</calcChain>
</file>

<file path=xl/sharedStrings.xml><?xml version="1.0" encoding="utf-8"?>
<sst xmlns="http://schemas.openxmlformats.org/spreadsheetml/2006/main" count="7142" uniqueCount="621">
  <si>
    <t>TOC</t>
  </si>
  <si>
    <t>é</t>
  </si>
  <si>
    <t>BESID</t>
  </si>
  <si>
    <t>Preference Customer</t>
  </si>
  <si>
    <t>NOTJOE</t>
  </si>
  <si>
    <t>JOE</t>
  </si>
  <si>
    <t>Avg Non-Slice
TOCA</t>
  </si>
  <si>
    <t>Alder Mutual</t>
  </si>
  <si>
    <t>Asotin County PUD #1</t>
  </si>
  <si>
    <t>Benton County PUD #1</t>
  </si>
  <si>
    <t>Benton REA</t>
  </si>
  <si>
    <t>Big Bend Elec Coop</t>
  </si>
  <si>
    <t>Blachly Lane Elec Coop</t>
  </si>
  <si>
    <t>Canby, City of</t>
  </si>
  <si>
    <t>Central Electric Coop</t>
  </si>
  <si>
    <t>Central Lincoln PUD</t>
  </si>
  <si>
    <t>Albion, City of</t>
  </si>
  <si>
    <t>Ashland, City of</t>
  </si>
  <si>
    <t>Bandon, City of</t>
  </si>
  <si>
    <t>Blaine, City of</t>
  </si>
  <si>
    <t>Bonners Ferry, City of</t>
  </si>
  <si>
    <t>Burley, City of</t>
  </si>
  <si>
    <t>Cascade Locks, City of</t>
  </si>
  <si>
    <t>Centralia, City of</t>
  </si>
  <si>
    <t>Cheney, City of</t>
  </si>
  <si>
    <t>Chewelah, City of</t>
  </si>
  <si>
    <t>Declo, City of</t>
  </si>
  <si>
    <t>Drain, City of</t>
  </si>
  <si>
    <t>Ellensburg, City of</t>
  </si>
  <si>
    <t>Forest Grove, City of</t>
  </si>
  <si>
    <t>Heyburn, City of</t>
  </si>
  <si>
    <t>McCleary, City of</t>
  </si>
  <si>
    <t>McMinnville, City of</t>
  </si>
  <si>
    <t>Milton, Town of</t>
  </si>
  <si>
    <t>Milton-Freewater, City of</t>
  </si>
  <si>
    <t>Minidoka, City of</t>
  </si>
  <si>
    <t>Monmouth, City of</t>
  </si>
  <si>
    <t>Plummer, City of</t>
  </si>
  <si>
    <t>Port Angeles, City of</t>
  </si>
  <si>
    <t>Richland, City of</t>
  </si>
  <si>
    <t>Rupert, City of</t>
  </si>
  <si>
    <t>Soda Springs, City of</t>
  </si>
  <si>
    <t>Sumas, Town of</t>
  </si>
  <si>
    <t>Troy, City of</t>
  </si>
  <si>
    <t>Clallam County PUD #1</t>
  </si>
  <si>
    <t>Clark County PUD #1</t>
  </si>
  <si>
    <t>Clatskanie PUD</t>
  </si>
  <si>
    <t>Clearwater Power</t>
  </si>
  <si>
    <t>Columbia Basin Elec Coop</t>
  </si>
  <si>
    <t>Columbia Power Coop</t>
  </si>
  <si>
    <t>Columbia River PUD</t>
  </si>
  <si>
    <t>Columbia REA</t>
  </si>
  <si>
    <t>Consolidated Irrigation District #19</t>
  </si>
  <si>
    <t>Consumers Power</t>
  </si>
  <si>
    <t>Coos Curry Elec Coop</t>
  </si>
  <si>
    <t>Cowlitz County PUD #1</t>
  </si>
  <si>
    <t>Douglas Electric Cooperative</t>
  </si>
  <si>
    <t>East End Mutual Electric</t>
  </si>
  <si>
    <t>Eatonville, City of</t>
  </si>
  <si>
    <t>Elmhurst Mutual P &amp; L</t>
  </si>
  <si>
    <t>Emerald PUD</t>
  </si>
  <si>
    <t>Energy Northwest</t>
  </si>
  <si>
    <t>Eugene Water &amp; Electric Board</t>
  </si>
  <si>
    <t>U.S. Airforce Base, Fairchild</t>
  </si>
  <si>
    <t>Fall River Elec Coop</t>
  </si>
  <si>
    <t>Farmers Elec Coop</t>
  </si>
  <si>
    <t>Ferry County PUD #1</t>
  </si>
  <si>
    <t>Flathead Elec Coop</t>
  </si>
  <si>
    <t>Franklin County PUD #1</t>
  </si>
  <si>
    <t>Glacier Elec  Coop</t>
  </si>
  <si>
    <t>Grant County PUD #2</t>
  </si>
  <si>
    <t>Grays Harbor PUD #1</t>
  </si>
  <si>
    <t>Harney Elec Coop</t>
  </si>
  <si>
    <t>Hood River Elec Coop</t>
  </si>
  <si>
    <t>Idaho County L &amp; P</t>
  </si>
  <si>
    <t>Idaho Falls Power</t>
  </si>
  <si>
    <t>Inland P &amp; L</t>
  </si>
  <si>
    <t>Kittitas County PUD #1</t>
  </si>
  <si>
    <t>Klickitat County PUD #1</t>
  </si>
  <si>
    <t>Kootenai Electric Coop</t>
  </si>
  <si>
    <t>Lakeview L &amp; P (WA)</t>
  </si>
  <si>
    <t>Lane County Elec Coop</t>
  </si>
  <si>
    <t>Lewis County PUD #1</t>
  </si>
  <si>
    <t>Lincoln Elec Coop (MT)</t>
  </si>
  <si>
    <t>Lost River Elec Coop</t>
  </si>
  <si>
    <t>Lower Valley Energy</t>
  </si>
  <si>
    <t>Mason County PUD #1</t>
  </si>
  <si>
    <t>Mason County PUD #3</t>
  </si>
  <si>
    <t>Midstate Elec Coop</t>
  </si>
  <si>
    <t>Mission Valley</t>
  </si>
  <si>
    <t>Missoula Elec Coop</t>
  </si>
  <si>
    <t>Modern Elec Coop</t>
  </si>
  <si>
    <t>Nespelem Valley Elec Coop</t>
  </si>
  <si>
    <t>Northern Lights</t>
  </si>
  <si>
    <t>Northern Wasco County PUD</t>
  </si>
  <si>
    <t>Ohop Mutual Light Company</t>
  </si>
  <si>
    <t>Okanogan County Elec Coop</t>
  </si>
  <si>
    <t>Okanogan County PUD #1</t>
  </si>
  <si>
    <t>Orcas P &amp; L</t>
  </si>
  <si>
    <t>Oregon Trail Coop</t>
  </si>
  <si>
    <t>Pacific County PUD #2</t>
  </si>
  <si>
    <t>Parkland L &amp; W</t>
  </si>
  <si>
    <t>Pend Oreille County PUD  #1</t>
  </si>
  <si>
    <t>Peninsula Light Company</t>
  </si>
  <si>
    <t>U.S. Naval Base,  Bremerton</t>
  </si>
  <si>
    <t>Raft River Elec Coop</t>
  </si>
  <si>
    <t>Ravalli County Elec Coop</t>
  </si>
  <si>
    <t>Riverside Elec Coop</t>
  </si>
  <si>
    <t>Salem Elec Coop</t>
  </si>
  <si>
    <t>Salmon River Elec Coop</t>
  </si>
  <si>
    <t>Seattle City Light</t>
  </si>
  <si>
    <t>Skamania County PUD #1</t>
  </si>
  <si>
    <t>Snohomish County PUD #1</t>
  </si>
  <si>
    <t>Southside Elec Lines</t>
  </si>
  <si>
    <t>Springfield Utility Board</t>
  </si>
  <si>
    <t>Surprise Valley Elec Coop</t>
  </si>
  <si>
    <t>Tacoma Public Utilities</t>
  </si>
  <si>
    <t>Tanner Elec Coop</t>
  </si>
  <si>
    <t>Tillamook PUD #1</t>
  </si>
  <si>
    <t>Coulee Dam, City of</t>
  </si>
  <si>
    <t>Steilacoom, Town of</t>
  </si>
  <si>
    <t>Umatilla Elec Coop</t>
  </si>
  <si>
    <t>United Electric Coop</t>
  </si>
  <si>
    <t>U.S. DOE Albany Research Center</t>
  </si>
  <si>
    <t>U.S. Naval Station, Everett (Jim Creek)</t>
  </si>
  <si>
    <t>U.S. Naval Submarine Base, Bangor</t>
  </si>
  <si>
    <t>U.S. DOE Richland Operations Office</t>
  </si>
  <si>
    <t>Vera Irrigation District</t>
  </si>
  <si>
    <t>Vigilante Elec Coop</t>
  </si>
  <si>
    <t>Wahkiakum County PUD #1</t>
  </si>
  <si>
    <t>Wasco Elec Coop</t>
  </si>
  <si>
    <t>Wells Rural Elec Coop</t>
  </si>
  <si>
    <t>West Oregon Elec Coop</t>
  </si>
  <si>
    <t>Whatcom County PUD #1</t>
  </si>
  <si>
    <t>Umpqua Indian Utility Cooperative</t>
  </si>
  <si>
    <t>Yakama Power</t>
  </si>
  <si>
    <t>Hermiston, City of</t>
  </si>
  <si>
    <t>Port of Seattle - SETAC In'tl. Airport</t>
  </si>
  <si>
    <t>Weiser, City of</t>
  </si>
  <si>
    <t>Jefferson County PUD #1</t>
  </si>
  <si>
    <t>PNGC Aggregate</t>
  </si>
  <si>
    <t/>
  </si>
  <si>
    <t>TOCA Computations, RHWMs and Net Requirements</t>
  </si>
  <si>
    <t>HLH</t>
  </si>
  <si>
    <t>LLH</t>
  </si>
  <si>
    <t>Tier 1 Demand Charge Billing Determinant (KW)</t>
  </si>
  <si>
    <t>Preference Customer Parameters</t>
  </si>
  <si>
    <t>AccountName</t>
  </si>
  <si>
    <t>IRD Loads</t>
  </si>
  <si>
    <t>Previous</t>
  </si>
  <si>
    <t>Current</t>
  </si>
  <si>
    <t>Annual Hours</t>
  </si>
  <si>
    <t>days</t>
  </si>
  <si>
    <t>hours</t>
  </si>
  <si>
    <t>HLH%</t>
  </si>
  <si>
    <t>year</t>
  </si>
  <si>
    <t>Cost Allocation under Tiered Rates</t>
  </si>
  <si>
    <t>Costs ($000)</t>
  </si>
  <si>
    <t>Rate Period</t>
  </si>
  <si>
    <t>Composite</t>
  </si>
  <si>
    <t>Non-Slice</t>
  </si>
  <si>
    <t>Slice</t>
  </si>
  <si>
    <t>Tier 2</t>
  </si>
  <si>
    <t>Total Costs</t>
  </si>
  <si>
    <t>Adjustments</t>
  </si>
  <si>
    <t>Revenues from Rate Pools to Composite Cost Pool</t>
  </si>
  <si>
    <t>DSI Revenue Credit</t>
  </si>
  <si>
    <t>Exchange Revenues</t>
  </si>
  <si>
    <t>New Resource Revenues</t>
  </si>
  <si>
    <t>FPS Revenues</t>
  </si>
  <si>
    <t>Non-Federal RSS Revenues</t>
  </si>
  <si>
    <t>Other Credits</t>
  </si>
  <si>
    <t>Tiered Rate Elements</t>
  </si>
  <si>
    <t>Unused RHWM Credit Reallocation</t>
  </si>
  <si>
    <t>Balancing Augmentation Adjustment Reallocation</t>
  </si>
  <si>
    <t>Composite Augmentation RSS Revenue Debit/(Credit)</t>
  </si>
  <si>
    <t>Composite Tier 2 RSS Revenue Debit/(Credit)</t>
  </si>
  <si>
    <t>Composite Tier 2 Rate Design Adjustment Debit/(Credit)</t>
  </si>
  <si>
    <t>Transmission Losses Adjustment Reallocation</t>
  </si>
  <si>
    <t>Total</t>
  </si>
  <si>
    <t>Rate Discount Costs Applied to Composite Pool</t>
  </si>
  <si>
    <t>Irigation Rate Discout Costs</t>
  </si>
  <si>
    <t>Low Density Discount Costs</t>
  </si>
  <si>
    <t>Non-Slice Revenues, Credits, and Costs</t>
  </si>
  <si>
    <t>Secondary Revenue</t>
  </si>
  <si>
    <t>Non-federal RSC Revenues</t>
  </si>
  <si>
    <t>Load Shaping Revenue</t>
  </si>
  <si>
    <t>Demand Revenue</t>
  </si>
  <si>
    <t>Non-Slice Augmentation RSC Revenue Debit/(Credit)</t>
  </si>
  <si>
    <t>Non-Slice Tier 2 RSC Revenue Debit/(Credit)</t>
  </si>
  <si>
    <t>Non-Slice Tier 2 Rate Design Debit/(Credit)</t>
  </si>
  <si>
    <t>TRM Costs after Adjustments</t>
  </si>
  <si>
    <t>Billing Determinants</t>
  </si>
  <si>
    <t>TOCA</t>
  </si>
  <si>
    <t>Non-slice TOCA</t>
  </si>
  <si>
    <t>Slice Percentage</t>
  </si>
  <si>
    <t>Annual TRM Rates ($000/percent)</t>
  </si>
  <si>
    <t>Monthly TRM Rates ($/percent)</t>
  </si>
  <si>
    <t>Tier 2 Rates ($/MWh)</t>
  </si>
  <si>
    <t>Tier 2 Short Term</t>
  </si>
  <si>
    <t>Tier 2 Load Growth</t>
  </si>
  <si>
    <t>Demand (kW)</t>
  </si>
  <si>
    <t>Demand Rate ($/kW/mo.)</t>
  </si>
  <si>
    <t>Demand</t>
  </si>
  <si>
    <t>Load Shaping HLH (MWh)</t>
  </si>
  <si>
    <t>Load Shaping LLH (MWh)</t>
  </si>
  <si>
    <t>Load Shaping HLH Rate ($/MWh)</t>
  </si>
  <si>
    <t>Load Shaping LLH Rate ($/MWh)</t>
  </si>
  <si>
    <t>Load Shaping</t>
  </si>
  <si>
    <t>previous LS</t>
  </si>
  <si>
    <t>current LS</t>
  </si>
  <si>
    <t>previous Demand</t>
  </si>
  <si>
    <t>current Demand</t>
  </si>
  <si>
    <t>Rate Class</t>
  </si>
  <si>
    <t>Charges</t>
  </si>
  <si>
    <t>IRD</t>
  </si>
  <si>
    <t>Tier 1 Energy</t>
  </si>
  <si>
    <t>Tier 1 System Capability</t>
  </si>
  <si>
    <t>previous</t>
  </si>
  <si>
    <t>current</t>
  </si>
  <si>
    <t>Previous Year</t>
  </si>
  <si>
    <t>Effective Rate</t>
  </si>
  <si>
    <t>Percent Change</t>
  </si>
  <si>
    <t>LSTUR</t>
  </si>
  <si>
    <t>Rank</t>
  </si>
  <si>
    <t>Rate Increase Including Slice and LS</t>
  </si>
  <si>
    <t>Increase</t>
  </si>
  <si>
    <t>Customer</t>
  </si>
  <si>
    <t>Energy</t>
  </si>
  <si>
    <t>Cumulative</t>
  </si>
  <si>
    <t>Rate</t>
  </si>
  <si>
    <t>Rate Increase NonSlice and Previous LS Rates</t>
  </si>
  <si>
    <t>Rate Increase NonSlice and Excluding Load Shaping</t>
  </si>
  <si>
    <t>Rate Increase NonSlice</t>
  </si>
  <si>
    <t>Rate Increase NonSlice Effective Rate to Effective Rate</t>
  </si>
  <si>
    <t>Effective Rate Increase</t>
  </si>
  <si>
    <t>NR Revenues from ESS services</t>
  </si>
  <si>
    <t>Reshaping physical format of rates for calculations</t>
  </si>
  <si>
    <t>Kalispel Tribe Utility</t>
  </si>
  <si>
    <t>LSTU</t>
  </si>
  <si>
    <t>Tier 2 Load Shaping Flat Block</t>
  </si>
  <si>
    <t>Tier 1 Load Shaping Charges Billing Determinant (MWh)</t>
  </si>
  <si>
    <t>Other Long Term Contract Revenues</t>
  </si>
  <si>
    <t>Tier 2 Vintage 3</t>
  </si>
  <si>
    <t>Staging Table</t>
  </si>
  <si>
    <t xml:space="preserve">Previous Year: </t>
  </si>
  <si>
    <t>Current Year:</t>
  </si>
  <si>
    <t>MWh</t>
  </si>
  <si>
    <t>Demand MW</t>
  </si>
  <si>
    <t>Tier 2 Load Shaping</t>
  </si>
  <si>
    <t>Load Shaping True Up</t>
  </si>
  <si>
    <t>Load Shaping MWh (If Slice/Block Customer then Load Shaping Billing Determinant is the average of the Monthly/Diurnal amounts in both years of the Rate Period)</t>
  </si>
  <si>
    <t>Sum of RHWMs</t>
  </si>
  <si>
    <t>LSTU Credit</t>
  </si>
  <si>
    <t>LSTU Charge</t>
  </si>
  <si>
    <t>Hours</t>
  </si>
  <si>
    <t>Special Implimentation Provision</t>
  </si>
  <si>
    <t>NonSlice</t>
  </si>
  <si>
    <t>LDD</t>
  </si>
  <si>
    <t>Include Tier 2 Load Shaping in Tier 1 Rate Impacts?</t>
  </si>
  <si>
    <t>Slice/Block or Block</t>
  </si>
  <si>
    <t>Yes</t>
  </si>
  <si>
    <t>PNGC LDD</t>
  </si>
  <si>
    <t>PNGC TOCA</t>
  </si>
  <si>
    <t>Surcharges</t>
  </si>
  <si>
    <t>RT1SC HLH</t>
  </si>
  <si>
    <t>RT1SC LLH</t>
  </si>
  <si>
    <t>System Shaped Load</t>
  </si>
  <si>
    <t xml:space="preserve">Total </t>
  </si>
  <si>
    <t>No</t>
  </si>
  <si>
    <t>Select Current Year?</t>
  </si>
  <si>
    <t>Monthly Hours</t>
  </si>
  <si>
    <t>FiscalID</t>
  </si>
  <si>
    <t>Cal Date</t>
  </si>
  <si>
    <t>LLH%</t>
  </si>
  <si>
    <t>2015_1</t>
  </si>
  <si>
    <t>2015_2</t>
  </si>
  <si>
    <t>2015_3</t>
  </si>
  <si>
    <t>2015_4</t>
  </si>
  <si>
    <t>2015_5</t>
  </si>
  <si>
    <t>2015_6</t>
  </si>
  <si>
    <t>2015_7</t>
  </si>
  <si>
    <t>2015_8</t>
  </si>
  <si>
    <t>2015_9</t>
  </si>
  <si>
    <t>2015_10</t>
  </si>
  <si>
    <t>2015_11</t>
  </si>
  <si>
    <t>2015_12</t>
  </si>
  <si>
    <t>2016_1</t>
  </si>
  <si>
    <t>2016_2</t>
  </si>
  <si>
    <t>2016_3</t>
  </si>
  <si>
    <t>2016_4</t>
  </si>
  <si>
    <t>2016_5</t>
  </si>
  <si>
    <t>2016_6</t>
  </si>
  <si>
    <t>2016_7</t>
  </si>
  <si>
    <t>2016_8</t>
  </si>
  <si>
    <t>2016_9</t>
  </si>
  <si>
    <t>2016_10</t>
  </si>
  <si>
    <t>2016_11</t>
  </si>
  <si>
    <t>2016_12</t>
  </si>
  <si>
    <t>2017_1</t>
  </si>
  <si>
    <t>2017_2</t>
  </si>
  <si>
    <t>2017_3</t>
  </si>
  <si>
    <t>2017_4</t>
  </si>
  <si>
    <t>2017_5</t>
  </si>
  <si>
    <t>2017_6</t>
  </si>
  <si>
    <t>2017_7</t>
  </si>
  <si>
    <t>2017_8</t>
  </si>
  <si>
    <t>2017_9</t>
  </si>
  <si>
    <t>2017_10</t>
  </si>
  <si>
    <t>2017_11</t>
  </si>
  <si>
    <t>2017_12</t>
  </si>
  <si>
    <t>2018_1</t>
  </si>
  <si>
    <t>2018_2</t>
  </si>
  <si>
    <t>2018_3</t>
  </si>
  <si>
    <t>2018_4</t>
  </si>
  <si>
    <t>2018_5</t>
  </si>
  <si>
    <t>2018_6</t>
  </si>
  <si>
    <t>2018_7</t>
  </si>
  <si>
    <t>2018_8</t>
  </si>
  <si>
    <t>2018_9</t>
  </si>
  <si>
    <t>2018_10</t>
  </si>
  <si>
    <t>2018_11</t>
  </si>
  <si>
    <t>2018_12</t>
  </si>
  <si>
    <t>2019_1</t>
  </si>
  <si>
    <t>2019_2</t>
  </si>
  <si>
    <t>2019_3</t>
  </si>
  <si>
    <t>2019_4</t>
  </si>
  <si>
    <t>2019_5</t>
  </si>
  <si>
    <t>2019_6</t>
  </si>
  <si>
    <t>2019_7</t>
  </si>
  <si>
    <t>2019_8</t>
  </si>
  <si>
    <t>2019_9</t>
  </si>
  <si>
    <t>2019_10</t>
  </si>
  <si>
    <t>2019_11</t>
  </si>
  <si>
    <t>2019_12</t>
  </si>
  <si>
    <t>2020_1</t>
  </si>
  <si>
    <t>2020_2</t>
  </si>
  <si>
    <t>2020_3</t>
  </si>
  <si>
    <t>2020_4</t>
  </si>
  <si>
    <t>2020_5</t>
  </si>
  <si>
    <t>2020_6</t>
  </si>
  <si>
    <t>2020_7</t>
  </si>
  <si>
    <t>2020_8</t>
  </si>
  <si>
    <t>2020_9</t>
  </si>
  <si>
    <t>2020_10</t>
  </si>
  <si>
    <t>2020_11</t>
  </si>
  <si>
    <t>2020_12</t>
  </si>
  <si>
    <t>2021_1</t>
  </si>
  <si>
    <t>2021_2</t>
  </si>
  <si>
    <t>2021_3</t>
  </si>
  <si>
    <t>2021_4</t>
  </si>
  <si>
    <t>2021_5</t>
  </si>
  <si>
    <t>2021_6</t>
  </si>
  <si>
    <t>2021_7</t>
  </si>
  <si>
    <t>2021_8</t>
  </si>
  <si>
    <t>2021_9</t>
  </si>
  <si>
    <t>2021_10</t>
  </si>
  <si>
    <t>2021_11</t>
  </si>
  <si>
    <t>2021_12</t>
  </si>
  <si>
    <t>2022_1</t>
  </si>
  <si>
    <t>2022_2</t>
  </si>
  <si>
    <t>2022_3</t>
  </si>
  <si>
    <t>2022_4</t>
  </si>
  <si>
    <t>2022_5</t>
  </si>
  <si>
    <t>2022_6</t>
  </si>
  <si>
    <t>2022_7</t>
  </si>
  <si>
    <t>2022_8</t>
  </si>
  <si>
    <t>2022_9</t>
  </si>
  <si>
    <t>2022_10</t>
  </si>
  <si>
    <t>2022_11</t>
  </si>
  <si>
    <t>2022_12</t>
  </si>
  <si>
    <t>2023_1</t>
  </si>
  <si>
    <t>2023_2</t>
  </si>
  <si>
    <t>2023_3</t>
  </si>
  <si>
    <t>2023_4</t>
  </si>
  <si>
    <t>2023_5</t>
  </si>
  <si>
    <t>2023_6</t>
  </si>
  <si>
    <t>2023_7</t>
  </si>
  <si>
    <t>2023_8</t>
  </si>
  <si>
    <t>2023_9</t>
  </si>
  <si>
    <t>2023_10</t>
  </si>
  <si>
    <t>2023_11</t>
  </si>
  <si>
    <t>2023_12</t>
  </si>
  <si>
    <t>2024_1</t>
  </si>
  <si>
    <t>2024_2</t>
  </si>
  <si>
    <t>2024_3</t>
  </si>
  <si>
    <t>2024_4</t>
  </si>
  <si>
    <t>2024_5</t>
  </si>
  <si>
    <t>2024_6</t>
  </si>
  <si>
    <t>2024_7</t>
  </si>
  <si>
    <t>2024_8</t>
  </si>
  <si>
    <t>2024_9</t>
  </si>
  <si>
    <t>2024_10</t>
  </si>
  <si>
    <t>2024_11</t>
  </si>
  <si>
    <t>2024_12</t>
  </si>
  <si>
    <t>2025_1</t>
  </si>
  <si>
    <t>2025_2</t>
  </si>
  <si>
    <t>2025_3</t>
  </si>
  <si>
    <t>2025_4</t>
  </si>
  <si>
    <t>2025_5</t>
  </si>
  <si>
    <t>2025_6</t>
  </si>
  <si>
    <t>2025_7</t>
  </si>
  <si>
    <t>2025_8</t>
  </si>
  <si>
    <t>2025_9</t>
  </si>
  <si>
    <t>2025_10</t>
  </si>
  <si>
    <t>2025_11</t>
  </si>
  <si>
    <t>2025_12</t>
  </si>
  <si>
    <t>2026_1</t>
  </si>
  <si>
    <t>2026_2</t>
  </si>
  <si>
    <t>2026_3</t>
  </si>
  <si>
    <t>2026_4</t>
  </si>
  <si>
    <t>2026_5</t>
  </si>
  <si>
    <t>2026_6</t>
  </si>
  <si>
    <t>2026_7</t>
  </si>
  <si>
    <t>2026_8</t>
  </si>
  <si>
    <t>2026_9</t>
  </si>
  <si>
    <t>2026_10</t>
  </si>
  <si>
    <t>2026_11</t>
  </si>
  <si>
    <t>2026_12</t>
  </si>
  <si>
    <t>2027_1</t>
  </si>
  <si>
    <t>2027_2</t>
  </si>
  <si>
    <t>2027_3</t>
  </si>
  <si>
    <t>2027_4</t>
  </si>
  <si>
    <t>2027_5</t>
  </si>
  <si>
    <t>2027_6</t>
  </si>
  <si>
    <t>2027_7</t>
  </si>
  <si>
    <t>2027_8</t>
  </si>
  <si>
    <t>2027_9</t>
  </si>
  <si>
    <t>2027_10</t>
  </si>
  <si>
    <t>2027_11</t>
  </si>
  <si>
    <t>2027_12</t>
  </si>
  <si>
    <t>2028_1</t>
  </si>
  <si>
    <t>2028_2</t>
  </si>
  <si>
    <t>2028_3</t>
  </si>
  <si>
    <t>2028_4</t>
  </si>
  <si>
    <t>2028_5</t>
  </si>
  <si>
    <t>2028_6</t>
  </si>
  <si>
    <t>2028_7</t>
  </si>
  <si>
    <t>2028_8</t>
  </si>
  <si>
    <t>2028_9</t>
  </si>
  <si>
    <t>2028_10</t>
  </si>
  <si>
    <t>2028_11</t>
  </si>
  <si>
    <t>2028_12</t>
  </si>
  <si>
    <t>2029_1</t>
  </si>
  <si>
    <t>2029_2</t>
  </si>
  <si>
    <t>2029_3</t>
  </si>
  <si>
    <t>2029_4</t>
  </si>
  <si>
    <t>2029_5</t>
  </si>
  <si>
    <t>2029_6</t>
  </si>
  <si>
    <t>2029_7</t>
  </si>
  <si>
    <t>2029_8</t>
  </si>
  <si>
    <t>2029_9</t>
  </si>
  <si>
    <t>2029_10</t>
  </si>
  <si>
    <t>2029_11</t>
  </si>
  <si>
    <t>2029_12</t>
  </si>
  <si>
    <t>2030_1</t>
  </si>
  <si>
    <t>2030_2</t>
  </si>
  <si>
    <t>2030_3</t>
  </si>
  <si>
    <t>2030_4</t>
  </si>
  <si>
    <t>2030_5</t>
  </si>
  <si>
    <t>2030_6</t>
  </si>
  <si>
    <t>2030_7</t>
  </si>
  <si>
    <t>2030_8</t>
  </si>
  <si>
    <t>2030_9</t>
  </si>
  <si>
    <t>2030_10</t>
  </si>
  <si>
    <t>2030_11</t>
  </si>
  <si>
    <t>2030_12</t>
  </si>
  <si>
    <t>2031_1</t>
  </si>
  <si>
    <t>2031_2</t>
  </si>
  <si>
    <t>2031_3</t>
  </si>
  <si>
    <t>2031_4</t>
  </si>
  <si>
    <t>2031_5</t>
  </si>
  <si>
    <t>2031_6</t>
  </si>
  <si>
    <t>2031_7</t>
  </si>
  <si>
    <t>2031_8</t>
  </si>
  <si>
    <t>2031_9</t>
  </si>
  <si>
    <t>2031_10</t>
  </si>
  <si>
    <t>2031_11</t>
  </si>
  <si>
    <t>2031_12</t>
  </si>
  <si>
    <t>2032_1</t>
  </si>
  <si>
    <t>2032_2</t>
  </si>
  <si>
    <t>2032_3</t>
  </si>
  <si>
    <t>2032_4</t>
  </si>
  <si>
    <t>2032_5</t>
  </si>
  <si>
    <t>2032_6</t>
  </si>
  <si>
    <t>2032_7</t>
  </si>
  <si>
    <t>2032_8</t>
  </si>
  <si>
    <t>2032_9</t>
  </si>
  <si>
    <t>2032_10</t>
  </si>
  <si>
    <t>2032_11</t>
  </si>
  <si>
    <t>2032_12</t>
  </si>
  <si>
    <t>2033_1</t>
  </si>
  <si>
    <t>2033_2</t>
  </si>
  <si>
    <t>2033_3</t>
  </si>
  <si>
    <t>2033_4</t>
  </si>
  <si>
    <t>2033_5</t>
  </si>
  <si>
    <t>2033_6</t>
  </si>
  <si>
    <t>2033_7</t>
  </si>
  <si>
    <t>2033_8</t>
  </si>
  <si>
    <t>2033_9</t>
  </si>
  <si>
    <t>2033_10</t>
  </si>
  <si>
    <t>2033_11</t>
  </si>
  <si>
    <t>2033_12</t>
  </si>
  <si>
    <t>JOE Previous</t>
  </si>
  <si>
    <t>JOE Current</t>
  </si>
  <si>
    <t>Real Power Losses (Non-Slice)</t>
  </si>
  <si>
    <t>PRSC Net Credit (Non-Slice)</t>
  </si>
  <si>
    <t>Rate Period Values</t>
  </si>
  <si>
    <t>CHWM 2024</t>
  </si>
  <si>
    <t>TRL 2024</t>
  </si>
  <si>
    <t>TRL 2025</t>
  </si>
  <si>
    <t>NLSL 2024</t>
  </si>
  <si>
    <t>NLSL 2025</t>
  </si>
  <si>
    <t>Existing/Other Resource aMW 2024</t>
  </si>
  <si>
    <t>Existing/Other Resource aMW 2025</t>
  </si>
  <si>
    <t>Existing/Other Resource MWh 2024</t>
  </si>
  <si>
    <t>Existing/Other Resource MWh 2025</t>
  </si>
  <si>
    <t>TRL - NLSL - Existing Resource 2024</t>
  </si>
  <si>
    <t>TRL - NLSL - Existing Resource 2025</t>
  </si>
  <si>
    <t>TRL - NLSL - Existing Resource MWh 2024</t>
  </si>
  <si>
    <t>TRL - NLSL - Existing Resource MWh 2025</t>
  </si>
  <si>
    <t>RHWM 2024</t>
  </si>
  <si>
    <t>RHWM MWh 2024</t>
  </si>
  <si>
    <t>Above RHWM 2024</t>
  </si>
  <si>
    <t>Above RHWM 2025</t>
  </si>
  <si>
    <t>Above RHWM Not Served with LS 2024</t>
  </si>
  <si>
    <t>Above RHWM Not Served with LS 2025</t>
  </si>
  <si>
    <t>TOCA 2024</t>
  </si>
  <si>
    <t>TOCA 2025</t>
  </si>
  <si>
    <t>Slice% 2024</t>
  </si>
  <si>
    <t>Non-slice TOCA 2024</t>
  </si>
  <si>
    <t>Non-slice TOCA 2025</t>
  </si>
  <si>
    <t>T1 Percentage 2024</t>
  </si>
  <si>
    <t>T1 Percentage 2025</t>
  </si>
  <si>
    <t>LDD adjTRL/RHWM 2024</t>
  </si>
  <si>
    <t>LDD adjTRL/RHWM 2025</t>
  </si>
  <si>
    <t>Applicable LDD 2024</t>
  </si>
  <si>
    <t>Applicable LDD 2025</t>
  </si>
  <si>
    <t>BP-24 Rate</t>
  </si>
  <si>
    <t>Transfer Service Delivery Rate</t>
  </si>
  <si>
    <t>Transfer Service Regional Compliance Enforcement Rate</t>
  </si>
  <si>
    <t>Rate Period (total)</t>
  </si>
  <si>
    <t>FPS Real Power Losses</t>
  </si>
  <si>
    <t>Rate Period (Avg)</t>
  </si>
  <si>
    <t>CHWM 2026</t>
  </si>
  <si>
    <t>TRL 2026</t>
  </si>
  <si>
    <t>TRL 2027</t>
  </si>
  <si>
    <t>TRL 2028</t>
  </si>
  <si>
    <t>NLSL 2026</t>
  </si>
  <si>
    <t>NLSL 2027</t>
  </si>
  <si>
    <t>NLSL 2028</t>
  </si>
  <si>
    <t>Existing/Other Resource aMW 2026</t>
  </si>
  <si>
    <t>Existing/Other Resource aMW 2027</t>
  </si>
  <si>
    <t>Existing/Other Resource aMW 2028</t>
  </si>
  <si>
    <t>Existing/Other Resource MWh 2026</t>
  </si>
  <si>
    <t>Existing/Other Resource MWh 2027</t>
  </si>
  <si>
    <t>Existing/Other Resource MWh 2028</t>
  </si>
  <si>
    <t>TRL - NLSL - Existing Resource 2026</t>
  </si>
  <si>
    <t>TRL - NLSL - Existing Resource 2027</t>
  </si>
  <si>
    <t>TRL - NLSL - Existing Resource 2028</t>
  </si>
  <si>
    <t>TRL - NLSL - Existing Resource MWh 2026</t>
  </si>
  <si>
    <t>TRL - NLSL - Existing Resource MWh 2027</t>
  </si>
  <si>
    <t>TRL - NLSL - Existing Resource MWh 2028</t>
  </si>
  <si>
    <t>RHWM 2026</t>
  </si>
  <si>
    <t>RHWM MWh 2026</t>
  </si>
  <si>
    <t>RHWM MWh 2027</t>
  </si>
  <si>
    <t>RHWM MWh 2028</t>
  </si>
  <si>
    <t>Above RHWM 2026</t>
  </si>
  <si>
    <t>Above RHWM 2027</t>
  </si>
  <si>
    <t>Above RHWM 2028</t>
  </si>
  <si>
    <t>Above RHWM Not Served with LS 2026</t>
  </si>
  <si>
    <t>Above RHWM Not Served with LS 2027</t>
  </si>
  <si>
    <t>Above RHWM Not Served with LS 2028</t>
  </si>
  <si>
    <t>Above RHWM Load Served at the LS rate 2026</t>
  </si>
  <si>
    <t>Above RHWM Load Served at the LS rate 2027</t>
  </si>
  <si>
    <t>Above RHWM Load Served at the LS rate 2028</t>
  </si>
  <si>
    <t>Total Vintage 2026</t>
  </si>
  <si>
    <t>Total Vintage 2027</t>
  </si>
  <si>
    <t>Total Vintage 2028</t>
  </si>
  <si>
    <t>Remaining Above RHWM 2026</t>
  </si>
  <si>
    <t>Remaining Above RHWM 2027</t>
  </si>
  <si>
    <t>Remaining Above RHWM 2028</t>
  </si>
  <si>
    <t>TOCA 2026</t>
  </si>
  <si>
    <t>TOCA 2027</t>
  </si>
  <si>
    <t>TOCA 2028</t>
  </si>
  <si>
    <t>Slice% 2026</t>
  </si>
  <si>
    <t>Non-slice TOCA 2026</t>
  </si>
  <si>
    <t>Non-slice TOCA 2027</t>
  </si>
  <si>
    <t>Non-slice TOCA 2028</t>
  </si>
  <si>
    <t>T1 Percentage 2026</t>
  </si>
  <si>
    <t>T1 Percentage 2027</t>
  </si>
  <si>
    <t>T1 Percentage 2028</t>
  </si>
  <si>
    <t>LDD adjTRL/RHWM 2026</t>
  </si>
  <si>
    <t>LDD adjTRL/RHWM 2027</t>
  </si>
  <si>
    <t>LDD adjTRL/RHWM 2028</t>
  </si>
  <si>
    <t>Applicable LDD 2026</t>
  </si>
  <si>
    <t>Applicable LDD 2027</t>
  </si>
  <si>
    <t>Applicable LDD 2028</t>
  </si>
  <si>
    <t>Use Previous BP-24 Billing Determinants adjusted for BP-26 Loads and CSP?</t>
  </si>
  <si>
    <t>Rate Period First Year</t>
  </si>
  <si>
    <t>BP-26 Rate</t>
  </si>
  <si>
    <t>BP24 Tier 1 Non-Slice Effective Rate $/MWh previous</t>
  </si>
  <si>
    <t>RAMmodel_RAM2024 Final Proposal</t>
  </si>
  <si>
    <t>Non-Slice Rate Adjustment for Excess Demand and Load Shaping Revenue GOAL</t>
  </si>
  <si>
    <t>RAM Non-Slice Rate Change</t>
  </si>
  <si>
    <t>Current Overall Non-Slice Rate</t>
  </si>
  <si>
    <t>Average Annual Demand Revenue</t>
  </si>
  <si>
    <t>Year 2 Annual Demand Revenue</t>
  </si>
  <si>
    <t>RT1SC aMW</t>
  </si>
  <si>
    <t>sum of RHWM (MWh)</t>
  </si>
  <si>
    <t>Non-Slice Adjustment for Added Load Shaping + Demand Revenue</t>
  </si>
  <si>
    <t>Clark + Emerald + Snohomish Load Shaping + Demand Revenue</t>
  </si>
  <si>
    <t>Delta</t>
  </si>
  <si>
    <t>Delta After Product Switchers</t>
  </si>
  <si>
    <t>Non-Slice Adjustment Amount</t>
  </si>
  <si>
    <t>RAM Non-Slice BP-26 IP</t>
  </si>
  <si>
    <t>RAM Non-Slice BP-24 FP</t>
  </si>
  <si>
    <t>Before Rate Discounts</t>
  </si>
  <si>
    <t>Close given other subtle differences</t>
  </si>
  <si>
    <t>RHWM MWh 2025</t>
  </si>
  <si>
    <t>RAMmodel_RAM2026 Initial Proposal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</si>
</sst>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9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.000000_);_(* \(#,##0.000000\);_(* &quot;-&quot;????_);_(@_)"/>
    <numFmt numFmtId="165" formatCode="_(* #,##0_);_(* \(#,##0\);_(* &quot;-&quot;????_);_(@_)"/>
    <numFmt numFmtId="166" formatCode="_(* #,##0.000_);_(* \(#,##0.000\);_(* &quot;-&quot;????_);_(@_)"/>
    <numFmt numFmtId="167" formatCode="_(* #,##0.0000000_);_(* \(#,##0.0000000\);_(* &quot;-&quot;??_);_(@_)"/>
    <numFmt numFmtId="168" formatCode="_(* #,##0_);_(* \(#,##0\);_(* &quot;-&quot;??_);_(@_)"/>
    <numFmt numFmtId="169" formatCode="0.000%"/>
    <numFmt numFmtId="170" formatCode="_(* #,##0.000_);_(* \(#,##0.000\);_(* &quot;-&quot;??_);_(@_)"/>
    <numFmt numFmtId="171" formatCode="@*."/>
    <numFmt numFmtId="172" formatCode="_(&quot;$&quot;* #,##0_);_(&quot;$&quot;* \(#,##0\);_(&quot;$&quot;* &quot;-&quot;??_);_(@_)"/>
    <numFmt numFmtId="173" formatCode="0.0000"/>
    <numFmt numFmtId="174" formatCode="[$-409]mmm\-yy;@"/>
    <numFmt numFmtId="175" formatCode="0.0%"/>
    <numFmt numFmtId="176" formatCode="_(* #,##0.00_);\(* #,##0.00\);_(* &quot;-&quot;??_);_(@_)"/>
    <numFmt numFmtId="177" formatCode="#,##0.0_)\x;\(#,##0.0\)\x;0.0_)\x;@_)_x"/>
    <numFmt numFmtId="178" formatCode="#,##0.0_);\(#,##0.0\);#,##0.0_);@_)"/>
    <numFmt numFmtId="179" formatCode="&quot;$&quot;_(#,##0.00_);&quot;$&quot;\(#,##0.00\);&quot;$&quot;_(0.00_);@_)"/>
    <numFmt numFmtId="180" formatCode="#,##0.00_);\(#,##0.00\);0.00_);@_)"/>
    <numFmt numFmtId="181" formatCode="\€_(#,##0.00_);\€\(#,##0.00\);\€_(0.00_);@_)"/>
    <numFmt numFmtId="182" formatCode="0.0_)\%;\(0.0\)\%;0.0_)\%;@_)_%"/>
    <numFmt numFmtId="183" formatCode="#,##0.0_)_%;\(#,##0.0\)_%;0.0_)_%;@_)_%"/>
    <numFmt numFmtId="184" formatCode="#,##0.0_)_x;\(#,##0.0\)_x;0.0_)_x;@_)_x"/>
    <numFmt numFmtId="185" formatCode="0.000%;;"/>
    <numFmt numFmtId="186" formatCode="&quot;$&quot;#,##0.0;[Red]\-&quot;$&quot;#,##0.0"/>
    <numFmt numFmtId="187" formatCode="_([$€-2]* #,##0.00_);_([$€-2]* \(#,##0.00\);_([$€-2]* &quot;-&quot;??_)"/>
    <numFmt numFmtId="188" formatCode="_-* #,##0.0_-;\-* #,##0.0_-;_-* &quot;-&quot;??_-;_-@_-"/>
    <numFmt numFmtId="189" formatCode="#,##0.00&quot; $&quot;;\-#,##0.00&quot; $&quot;"/>
    <numFmt numFmtId="190" formatCode="#,##0.0000\ ;[Red]\(#,##0.0000\)"/>
    <numFmt numFmtId="191" formatCode="mmm\-yyyy"/>
    <numFmt numFmtId="192" formatCode="_(* #,##0.00000_);_(* \(#,##0.00000\);_(* &quot;-&quot;??_);_(@_)"/>
    <numFmt numFmtId="193" formatCode="0.0000000"/>
    <numFmt numFmtId="194" formatCode="#,##0.000_);[Red]\(#,##0.000\)"/>
    <numFmt numFmtId="195" formatCode="#,##0.000"/>
    <numFmt numFmtId="196" formatCode="0.00_);\(0.00\)"/>
    <numFmt numFmtId="197" formatCode="#,##0.0000000_);\(#,##0.0000000\)"/>
    <numFmt numFmtId="198" formatCode="0.0"/>
  </numFmts>
  <fonts count="13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indexed="48"/>
      <name val="Arial"/>
      <family val="2"/>
    </font>
    <font>
      <sz val="8"/>
      <name val="Calibri"/>
      <family val="2"/>
    </font>
    <font>
      <sz val="10"/>
      <name val="Calibri"/>
      <family val="2"/>
    </font>
    <font>
      <sz val="10"/>
      <color indexed="22"/>
      <name val="Calibri"/>
      <family val="2"/>
    </font>
    <font>
      <u/>
      <sz val="10"/>
      <color indexed="12"/>
      <name val="Arial"/>
      <family val="2"/>
    </font>
    <font>
      <b/>
      <u/>
      <sz val="8"/>
      <color indexed="12"/>
      <name val="Times"/>
      <family val="1"/>
    </font>
    <font>
      <b/>
      <sz val="10"/>
      <name val="Times"/>
      <family val="1"/>
    </font>
    <font>
      <sz val="10"/>
      <name val="Arial"/>
      <family val="2"/>
    </font>
    <font>
      <b/>
      <u/>
      <sz val="10"/>
      <color indexed="12"/>
      <name val="Wingdings"/>
      <charset val="2"/>
    </font>
    <font>
      <b/>
      <sz val="10"/>
      <name val="Calibri"/>
      <family val="2"/>
    </font>
    <font>
      <b/>
      <sz val="8"/>
      <name val="Calibri"/>
      <family val="2"/>
    </font>
    <font>
      <sz val="10"/>
      <name val="Times New Roman"/>
      <family val="1"/>
    </font>
    <font>
      <sz val="10"/>
      <color indexed="22"/>
      <name val="Arial"/>
      <family val="2"/>
    </font>
    <font>
      <b/>
      <sz val="10"/>
      <name val="Arial"/>
      <family val="2"/>
    </font>
    <font>
      <sz val="10"/>
      <name val="Times"/>
      <family val="1"/>
    </font>
    <font>
      <b/>
      <sz val="12"/>
      <color indexed="48"/>
      <name val="Times New Roman"/>
      <family val="1"/>
    </font>
    <font>
      <sz val="10"/>
      <color indexed="9"/>
      <name val="Times New Roman"/>
      <family val="1"/>
    </font>
    <font>
      <sz val="10"/>
      <color indexed="48"/>
      <name val="Times New Roman"/>
      <family val="1"/>
    </font>
    <font>
      <b/>
      <sz val="10"/>
      <name val="Times"/>
    </font>
    <font>
      <sz val="10"/>
      <color rgb="FFFF0000"/>
      <name val="Times New Roman"/>
      <family val="1"/>
    </font>
    <font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MS Sans Serif"/>
      <family val="2"/>
    </font>
    <font>
      <b/>
      <sz val="10"/>
      <name val="MS Sans Serif"/>
      <family val="2"/>
    </font>
    <font>
      <b/>
      <sz val="11"/>
      <color theme="4"/>
      <name val="Calibri"/>
      <family val="2"/>
      <scheme val="minor"/>
    </font>
    <font>
      <sz val="10"/>
      <color indexed="9"/>
      <name val="Arial"/>
      <family val="2"/>
    </font>
    <font>
      <sz val="8"/>
      <name val="Arial"/>
      <family val="2"/>
    </font>
    <font>
      <sz val="8"/>
      <name val="Times New Roman"/>
      <family val="1"/>
    </font>
    <font>
      <sz val="11"/>
      <color indexed="8"/>
      <name val="Arial"/>
      <family val="2"/>
    </font>
    <font>
      <sz val="11"/>
      <color indexed="9"/>
      <name val="Arial"/>
      <family val="2"/>
    </font>
    <font>
      <sz val="11"/>
      <color indexed="20"/>
      <name val="Arial"/>
      <family val="2"/>
    </font>
    <font>
      <b/>
      <sz val="11"/>
      <color indexed="52"/>
      <name val="Arial"/>
      <family val="2"/>
    </font>
    <font>
      <b/>
      <sz val="11"/>
      <color indexed="9"/>
      <name val="Arial"/>
      <family val="2"/>
    </font>
    <font>
      <i/>
      <sz val="11"/>
      <color indexed="23"/>
      <name val="Arial"/>
      <family val="2"/>
    </font>
    <font>
      <sz val="11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u/>
      <sz val="7.5"/>
      <color indexed="12"/>
      <name val="Arial"/>
      <family val="2"/>
    </font>
    <font>
      <sz val="11"/>
      <color indexed="62"/>
      <name val="Arial"/>
      <family val="2"/>
    </font>
    <font>
      <sz val="11"/>
      <color indexed="52"/>
      <name val="Arial"/>
      <family val="2"/>
    </font>
    <font>
      <sz val="11"/>
      <color indexed="60"/>
      <name val="Arial"/>
      <family val="2"/>
    </font>
    <font>
      <b/>
      <sz val="11"/>
      <color indexed="63"/>
      <name val="Arial"/>
      <family val="2"/>
    </font>
    <font>
      <b/>
      <sz val="18"/>
      <color indexed="56"/>
      <name val="Cambria"/>
      <family val="2"/>
    </font>
    <font>
      <b/>
      <sz val="11"/>
      <color indexed="8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color indexed="12"/>
      <name val="Arial"/>
      <family val="2"/>
    </font>
    <font>
      <sz val="10"/>
      <color indexed="17"/>
      <name val="Arial"/>
      <family val="2"/>
    </font>
    <font>
      <sz val="9"/>
      <color indexed="8"/>
      <name val="Arial"/>
      <family val="2"/>
    </font>
    <font>
      <b/>
      <sz val="10"/>
      <color indexed="9"/>
      <name val="Arial"/>
      <family val="2"/>
    </font>
    <font>
      <b/>
      <sz val="9"/>
      <name val="Arial"/>
      <family val="2"/>
    </font>
    <font>
      <b/>
      <sz val="22"/>
      <color indexed="18"/>
      <name val="Arial"/>
      <family val="2"/>
    </font>
    <font>
      <b/>
      <sz val="14"/>
      <color indexed="18"/>
      <name val="Arial"/>
      <family val="2"/>
    </font>
    <font>
      <b/>
      <sz val="10"/>
      <color indexed="18"/>
      <name val="Arial"/>
      <family val="2"/>
    </font>
    <font>
      <b/>
      <u val="singleAccounting"/>
      <sz val="10"/>
      <color indexed="1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0"/>
      <color indexed="20"/>
      <name val="Arial"/>
      <family val="2"/>
    </font>
    <font>
      <b/>
      <sz val="11"/>
      <color indexed="52"/>
      <name val="Calibri"/>
      <family val="2"/>
    </font>
    <font>
      <b/>
      <sz val="10"/>
      <color indexed="52"/>
      <name val="Arial"/>
      <family val="2"/>
    </font>
    <font>
      <b/>
      <sz val="11"/>
      <color indexed="9"/>
      <name val="Calibri"/>
      <family val="2"/>
    </font>
    <font>
      <sz val="8"/>
      <name val="Palatino"/>
      <family val="1"/>
    </font>
    <font>
      <i/>
      <sz val="11"/>
      <color indexed="23"/>
      <name val="Calibri"/>
      <family val="2"/>
    </font>
    <font>
      <i/>
      <sz val="10"/>
      <color indexed="23"/>
      <name val="Arial"/>
      <family val="2"/>
    </font>
    <font>
      <sz val="11"/>
      <color indexed="17"/>
      <name val="Calibri"/>
      <family val="2"/>
    </font>
    <font>
      <sz val="6"/>
      <color indexed="16"/>
      <name val="Palatino"/>
      <family val="1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0"/>
      <color indexed="62"/>
      <name val="Arial"/>
      <family val="2"/>
    </font>
    <font>
      <sz val="11"/>
      <color indexed="52"/>
      <name val="Calibri"/>
      <family val="2"/>
    </font>
    <font>
      <sz val="10"/>
      <color indexed="52"/>
      <name val="Arial"/>
      <family val="2"/>
    </font>
    <font>
      <sz val="11"/>
      <color indexed="60"/>
      <name val="Calibri"/>
      <family val="2"/>
    </font>
    <font>
      <sz val="10"/>
      <color indexed="60"/>
      <name val="Arial"/>
      <family val="2"/>
    </font>
    <font>
      <b/>
      <sz val="11"/>
      <color indexed="63"/>
      <name val="Calibri"/>
      <family val="2"/>
    </font>
    <font>
      <b/>
      <sz val="10"/>
      <color indexed="63"/>
      <name val="Arial"/>
      <family val="2"/>
    </font>
    <font>
      <sz val="10"/>
      <color indexed="16"/>
      <name val="Helvetica-Black"/>
    </font>
    <font>
      <sz val="8"/>
      <color indexed="8"/>
      <name val="Times New Roman"/>
      <family val="1"/>
    </font>
    <font>
      <b/>
      <i/>
      <sz val="10"/>
      <name val="Times New Roman"/>
      <family val="1"/>
    </font>
    <font>
      <b/>
      <sz val="9"/>
      <name val="Palatino"/>
      <family val="1"/>
    </font>
    <font>
      <sz val="9"/>
      <color indexed="21"/>
      <name val="Helvetica-Black"/>
    </font>
    <font>
      <b/>
      <sz val="8"/>
      <name val="Arial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Helv"/>
    </font>
    <font>
      <sz val="11"/>
      <name val="??"/>
      <family val="3"/>
      <charset val="129"/>
    </font>
    <font>
      <sz val="10"/>
      <name val="Helv"/>
    </font>
    <font>
      <b/>
      <u/>
      <sz val="11"/>
      <color indexed="37"/>
      <name val="Arial"/>
      <family val="2"/>
    </font>
    <font>
      <sz val="7"/>
      <name val="Small Fonts"/>
      <family val="2"/>
    </font>
    <font>
      <sz val="8"/>
      <color indexed="12"/>
      <name val="Arial"/>
      <family val="2"/>
    </font>
    <font>
      <sz val="9"/>
      <color indexed="20"/>
      <name val="Times New Roman"/>
      <family val="1"/>
    </font>
    <font>
      <sz val="10"/>
      <color theme="1"/>
      <name val="Arial"/>
      <family val="2"/>
    </font>
    <font>
      <sz val="18"/>
      <name val="Arial"/>
      <family val="2"/>
    </font>
    <font>
      <i/>
      <sz val="12"/>
      <name val="Arial"/>
      <family val="2"/>
    </font>
    <font>
      <sz val="18"/>
      <name val="Times New Roman"/>
      <family val="1"/>
    </font>
    <font>
      <i/>
      <sz val="12"/>
      <name val="Times New Roman"/>
      <family val="1"/>
    </font>
    <font>
      <b/>
      <sz val="12"/>
      <color theme="4" tint="-0.249977111117893"/>
      <name val="Arial"/>
      <family val="2"/>
    </font>
    <font>
      <b/>
      <sz val="10"/>
      <color theme="4" tint="-0.249977111117893"/>
      <name val="Arial"/>
      <family val="2"/>
    </font>
    <font>
      <sz val="12"/>
      <name val="Times New Roman"/>
      <family val="1"/>
    </font>
    <font>
      <b/>
      <sz val="11"/>
      <name val="Calibri"/>
      <family val="2"/>
    </font>
    <font>
      <sz val="11"/>
      <color theme="0" tint="-0.249977111117893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2"/>
      <name val="Times New Roman"/>
      <family val="1"/>
    </font>
    <font>
      <sz val="11"/>
      <name val="Calibri"/>
      <family val="2"/>
      <scheme val="minor"/>
    </font>
    <font>
      <sz val="11"/>
      <color indexed="4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48"/>
      <name val="Calibri"/>
      <family val="2"/>
      <scheme val="minor"/>
    </font>
    <font>
      <b/>
      <u/>
      <sz val="11"/>
      <color indexed="12"/>
      <name val="Calibri"/>
      <family val="2"/>
      <scheme val="minor"/>
    </font>
    <font>
      <u/>
      <sz val="11"/>
      <color indexed="12"/>
      <name val="Calibri"/>
      <family val="2"/>
      <scheme val="minor"/>
    </font>
    <font>
      <sz val="11"/>
      <color indexed="10"/>
      <name val="Calibri"/>
      <family val="2"/>
      <scheme val="minor"/>
    </font>
    <font>
      <sz val="12"/>
      <name val="Times New Roman"/>
      <family val="1"/>
    </font>
    <font>
      <sz val="11"/>
      <color indexed="9"/>
      <name val="Calibri"/>
      <family val="2"/>
      <scheme val="minor"/>
    </font>
  </fonts>
  <fills count="7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mediumGray">
        <fgColor indexed="22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43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1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39997558519241921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/>
      <top/>
      <bottom style="medium">
        <color indexed="1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3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30" fillId="0" borderId="0" applyNumberFormat="0" applyFont="0" applyFill="0" applyBorder="0" applyAlignment="0" applyProtection="0">
      <alignment horizontal="left"/>
    </xf>
    <xf numFmtId="15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0" fontId="31" fillId="0" borderId="14">
      <alignment horizontal="center"/>
    </xf>
    <xf numFmtId="3" fontId="30" fillId="0" borderId="0" applyFont="0" applyFill="0" applyBorder="0" applyAlignment="0" applyProtection="0"/>
    <xf numFmtId="0" fontId="30" fillId="6" borderId="0" applyNumberFormat="0" applyFont="0" applyBorder="0" applyAlignment="0" applyProtection="0"/>
    <xf numFmtId="0" fontId="12" fillId="0" borderId="0"/>
    <xf numFmtId="182" fontId="34" fillId="0" borderId="0" applyFont="0" applyFill="0" applyBorder="0" applyAlignment="0" applyProtection="0"/>
    <xf numFmtId="182" fontId="34" fillId="0" borderId="0" applyFont="0" applyFill="0" applyBorder="0" applyAlignment="0" applyProtection="0"/>
    <xf numFmtId="183" fontId="34" fillId="0" borderId="0" applyFont="0" applyFill="0" applyBorder="0" applyAlignment="0" applyProtection="0"/>
    <xf numFmtId="183" fontId="34" fillId="0" borderId="0" applyFont="0" applyFill="0" applyBorder="0" applyAlignment="0" applyProtection="0"/>
    <xf numFmtId="178" fontId="34" fillId="0" borderId="0" applyFont="0" applyFill="0" applyBorder="0" applyAlignment="0" applyProtection="0"/>
    <xf numFmtId="178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0" fontId="62" fillId="0" borderId="0" applyNumberFormat="0" applyFill="0" applyBorder="0" applyAlignment="0" applyProtection="0"/>
    <xf numFmtId="38" fontId="34" fillId="9" borderId="0" applyNumberFormat="0" applyFont="0" applyAlignment="0" applyProtection="0"/>
    <xf numFmtId="38" fontId="34" fillId="9" borderId="0" applyNumberFormat="0" applyFont="0" applyAlignment="0" applyProtection="0"/>
    <xf numFmtId="177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184" fontId="34" fillId="0" borderId="0" applyFont="0" applyFill="0" applyBorder="0" applyProtection="0">
      <alignment horizontal="right"/>
    </xf>
    <xf numFmtId="184" fontId="34" fillId="0" borderId="0" applyFont="0" applyFill="0" applyBorder="0" applyProtection="0">
      <alignment horizontal="right"/>
    </xf>
    <xf numFmtId="0" fontId="63" fillId="0" borderId="0" applyNumberFormat="0" applyFill="0" applyBorder="0" applyProtection="0">
      <alignment vertical="top"/>
    </xf>
    <xf numFmtId="38" fontId="59" fillId="0" borderId="15" applyNumberFormat="0" applyFill="0" applyAlignment="0" applyProtection="0"/>
    <xf numFmtId="38" fontId="64" fillId="0" borderId="16" applyNumberFormat="0" applyFill="0" applyProtection="0">
      <alignment horizontal="center"/>
    </xf>
    <xf numFmtId="38" fontId="64" fillId="0" borderId="0" applyNumberFormat="0" applyFill="0" applyBorder="0" applyProtection="0">
      <alignment horizontal="left"/>
    </xf>
    <xf numFmtId="38" fontId="65" fillId="0" borderId="0" applyNumberFormat="0" applyFill="0" applyBorder="0" applyProtection="0">
      <alignment horizontal="centerContinuous"/>
    </xf>
    <xf numFmtId="0" fontId="36" fillId="10" borderId="0" applyNumberFormat="0" applyBorder="0" applyAlignment="0" applyProtection="0"/>
    <xf numFmtId="0" fontId="56" fillId="10" borderId="0" applyNumberFormat="0" applyBorder="0" applyAlignment="0" applyProtection="0"/>
    <xf numFmtId="0" fontId="66" fillId="10" borderId="0" applyNumberFormat="0" applyBorder="0" applyAlignment="0" applyProtection="0"/>
    <xf numFmtId="0" fontId="66" fillId="10" borderId="0" applyNumberFormat="0" applyBorder="0" applyAlignment="0" applyProtection="0"/>
    <xf numFmtId="0" fontId="36" fillId="11" borderId="0" applyNumberFormat="0" applyBorder="0" applyAlignment="0" applyProtection="0"/>
    <xf numFmtId="0" fontId="56" fillId="11" borderId="0" applyNumberFormat="0" applyBorder="0" applyAlignment="0" applyProtection="0"/>
    <xf numFmtId="0" fontId="66" fillId="11" borderId="0" applyNumberFormat="0" applyBorder="0" applyAlignment="0" applyProtection="0"/>
    <xf numFmtId="0" fontId="66" fillId="11" borderId="0" applyNumberFormat="0" applyBorder="0" applyAlignment="0" applyProtection="0"/>
    <xf numFmtId="0" fontId="36" fillId="12" borderId="0" applyNumberFormat="0" applyBorder="0" applyAlignment="0" applyProtection="0"/>
    <xf numFmtId="0" fontId="56" fillId="12" borderId="0" applyNumberFormat="0" applyBorder="0" applyAlignment="0" applyProtection="0"/>
    <xf numFmtId="0" fontId="66" fillId="12" borderId="0" applyNumberFormat="0" applyBorder="0" applyAlignment="0" applyProtection="0"/>
    <xf numFmtId="0" fontId="66" fillId="12" borderId="0" applyNumberFormat="0" applyBorder="0" applyAlignment="0" applyProtection="0"/>
    <xf numFmtId="0" fontId="36" fillId="13" borderId="0" applyNumberFormat="0" applyBorder="0" applyAlignment="0" applyProtection="0"/>
    <xf numFmtId="0" fontId="5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36" fillId="14" borderId="0" applyNumberFormat="0" applyBorder="0" applyAlignment="0" applyProtection="0"/>
    <xf numFmtId="0" fontId="56" fillId="14" borderId="0" applyNumberFormat="0" applyBorder="0" applyAlignment="0" applyProtection="0"/>
    <xf numFmtId="0" fontId="66" fillId="14" borderId="0" applyNumberFormat="0" applyBorder="0" applyAlignment="0" applyProtection="0"/>
    <xf numFmtId="0" fontId="66" fillId="14" borderId="0" applyNumberFormat="0" applyBorder="0" applyAlignment="0" applyProtection="0"/>
    <xf numFmtId="0" fontId="36" fillId="15" borderId="0" applyNumberFormat="0" applyBorder="0" applyAlignment="0" applyProtection="0"/>
    <xf numFmtId="0" fontId="56" fillId="15" borderId="0" applyNumberFormat="0" applyBorder="0" applyAlignment="0" applyProtection="0"/>
    <xf numFmtId="0" fontId="66" fillId="15" borderId="0" applyNumberFormat="0" applyBorder="0" applyAlignment="0" applyProtection="0"/>
    <xf numFmtId="0" fontId="66" fillId="15" borderId="0" applyNumberFormat="0" applyBorder="0" applyAlignment="0" applyProtection="0"/>
    <xf numFmtId="0" fontId="36" fillId="16" borderId="0" applyNumberFormat="0" applyBorder="0" applyAlignment="0" applyProtection="0"/>
    <xf numFmtId="0" fontId="56" fillId="16" borderId="0" applyNumberFormat="0" applyBorder="0" applyAlignment="0" applyProtection="0"/>
    <xf numFmtId="0" fontId="66" fillId="16" borderId="0" applyNumberFormat="0" applyBorder="0" applyAlignment="0" applyProtection="0"/>
    <xf numFmtId="0" fontId="66" fillId="16" borderId="0" applyNumberFormat="0" applyBorder="0" applyAlignment="0" applyProtection="0"/>
    <xf numFmtId="0" fontId="36" fillId="17" borderId="0" applyNumberFormat="0" applyBorder="0" applyAlignment="0" applyProtection="0"/>
    <xf numFmtId="0" fontId="56" fillId="17" borderId="0" applyNumberFormat="0" applyBorder="0" applyAlignment="0" applyProtection="0"/>
    <xf numFmtId="0" fontId="66" fillId="17" borderId="0" applyNumberFormat="0" applyBorder="0" applyAlignment="0" applyProtection="0"/>
    <xf numFmtId="0" fontId="66" fillId="17" borderId="0" applyNumberFormat="0" applyBorder="0" applyAlignment="0" applyProtection="0"/>
    <xf numFmtId="0" fontId="36" fillId="18" borderId="0" applyNumberFormat="0" applyBorder="0" applyAlignment="0" applyProtection="0"/>
    <xf numFmtId="0" fontId="56" fillId="18" borderId="0" applyNumberFormat="0" applyBorder="0" applyAlignment="0" applyProtection="0"/>
    <xf numFmtId="0" fontId="66" fillId="18" borderId="0" applyNumberFormat="0" applyBorder="0" applyAlignment="0" applyProtection="0"/>
    <xf numFmtId="0" fontId="66" fillId="18" borderId="0" applyNumberFormat="0" applyBorder="0" applyAlignment="0" applyProtection="0"/>
    <xf numFmtId="0" fontId="36" fillId="13" borderId="0" applyNumberFormat="0" applyBorder="0" applyAlignment="0" applyProtection="0"/>
    <xf numFmtId="0" fontId="56" fillId="13" borderId="0" applyNumberFormat="0" applyBorder="0" applyAlignment="0" applyProtection="0"/>
    <xf numFmtId="0" fontId="66" fillId="13" borderId="0" applyNumberFormat="0" applyBorder="0" applyAlignment="0" applyProtection="0"/>
    <xf numFmtId="0" fontId="66" fillId="13" borderId="0" applyNumberFormat="0" applyBorder="0" applyAlignment="0" applyProtection="0"/>
    <xf numFmtId="0" fontId="36" fillId="16" borderId="0" applyNumberFormat="0" applyBorder="0" applyAlignment="0" applyProtection="0"/>
    <xf numFmtId="0" fontId="56" fillId="16" borderId="0" applyNumberFormat="0" applyBorder="0" applyAlignment="0" applyProtection="0"/>
    <xf numFmtId="0" fontId="66" fillId="16" borderId="0" applyNumberFormat="0" applyBorder="0" applyAlignment="0" applyProtection="0"/>
    <xf numFmtId="0" fontId="66" fillId="16" borderId="0" applyNumberFormat="0" applyBorder="0" applyAlignment="0" applyProtection="0"/>
    <xf numFmtId="0" fontId="36" fillId="19" borderId="0" applyNumberFormat="0" applyBorder="0" applyAlignment="0" applyProtection="0"/>
    <xf numFmtId="0" fontId="56" fillId="19" borderId="0" applyNumberFormat="0" applyBorder="0" applyAlignment="0" applyProtection="0"/>
    <xf numFmtId="0" fontId="66" fillId="19" borderId="0" applyNumberFormat="0" applyBorder="0" applyAlignment="0" applyProtection="0"/>
    <xf numFmtId="0" fontId="66" fillId="19" borderId="0" applyNumberFormat="0" applyBorder="0" applyAlignment="0" applyProtection="0"/>
    <xf numFmtId="0" fontId="37" fillId="20" borderId="0" applyNumberFormat="0" applyBorder="0" applyAlignment="0" applyProtection="0"/>
    <xf numFmtId="0" fontId="33" fillId="20" borderId="0" applyNumberFormat="0" applyBorder="0" applyAlignment="0" applyProtection="0"/>
    <xf numFmtId="0" fontId="67" fillId="20" borderId="0" applyNumberFormat="0" applyBorder="0" applyAlignment="0" applyProtection="0"/>
    <xf numFmtId="0" fontId="67" fillId="20" borderId="0" applyNumberFormat="0" applyBorder="0" applyAlignment="0" applyProtection="0"/>
    <xf numFmtId="0" fontId="37" fillId="17" borderId="0" applyNumberFormat="0" applyBorder="0" applyAlignment="0" applyProtection="0"/>
    <xf numFmtId="0" fontId="33" fillId="17" borderId="0" applyNumberFormat="0" applyBorder="0" applyAlignment="0" applyProtection="0"/>
    <xf numFmtId="0" fontId="67" fillId="17" borderId="0" applyNumberFormat="0" applyBorder="0" applyAlignment="0" applyProtection="0"/>
    <xf numFmtId="0" fontId="67" fillId="17" borderId="0" applyNumberFormat="0" applyBorder="0" applyAlignment="0" applyProtection="0"/>
    <xf numFmtId="0" fontId="37" fillId="18" borderId="0" applyNumberFormat="0" applyBorder="0" applyAlignment="0" applyProtection="0"/>
    <xf numFmtId="0" fontId="33" fillId="18" borderId="0" applyNumberFormat="0" applyBorder="0" applyAlignment="0" applyProtection="0"/>
    <xf numFmtId="0" fontId="67" fillId="18" borderId="0" applyNumberFormat="0" applyBorder="0" applyAlignment="0" applyProtection="0"/>
    <xf numFmtId="0" fontId="67" fillId="18" borderId="0" applyNumberFormat="0" applyBorder="0" applyAlignment="0" applyProtection="0"/>
    <xf numFmtId="0" fontId="37" fillId="21" borderId="0" applyNumberFormat="0" applyBorder="0" applyAlignment="0" applyProtection="0"/>
    <xf numFmtId="0" fontId="33" fillId="21" borderId="0" applyNumberFormat="0" applyBorder="0" applyAlignment="0" applyProtection="0"/>
    <xf numFmtId="0" fontId="67" fillId="21" borderId="0" applyNumberFormat="0" applyBorder="0" applyAlignment="0" applyProtection="0"/>
    <xf numFmtId="0" fontId="67" fillId="21" borderId="0" applyNumberFormat="0" applyBorder="0" applyAlignment="0" applyProtection="0"/>
    <xf numFmtId="0" fontId="37" fillId="22" borderId="0" applyNumberFormat="0" applyBorder="0" applyAlignment="0" applyProtection="0"/>
    <xf numFmtId="0" fontId="33" fillId="22" borderId="0" applyNumberFormat="0" applyBorder="0" applyAlignment="0" applyProtection="0"/>
    <xf numFmtId="0" fontId="67" fillId="22" borderId="0" applyNumberFormat="0" applyBorder="0" applyAlignment="0" applyProtection="0"/>
    <xf numFmtId="0" fontId="67" fillId="22" borderId="0" applyNumberFormat="0" applyBorder="0" applyAlignment="0" applyProtection="0"/>
    <xf numFmtId="0" fontId="37" fillId="23" borderId="0" applyNumberFormat="0" applyBorder="0" applyAlignment="0" applyProtection="0"/>
    <xf numFmtId="0" fontId="33" fillId="23" borderId="0" applyNumberFormat="0" applyBorder="0" applyAlignment="0" applyProtection="0"/>
    <xf numFmtId="0" fontId="67" fillId="23" borderId="0" applyNumberFormat="0" applyBorder="0" applyAlignment="0" applyProtection="0"/>
    <xf numFmtId="0" fontId="67" fillId="23" borderId="0" applyNumberFormat="0" applyBorder="0" applyAlignment="0" applyProtection="0"/>
    <xf numFmtId="0" fontId="37" fillId="24" borderId="0" applyNumberFormat="0" applyBorder="0" applyAlignment="0" applyProtection="0"/>
    <xf numFmtId="0" fontId="33" fillId="24" borderId="0" applyNumberFormat="0" applyBorder="0" applyAlignment="0" applyProtection="0"/>
    <xf numFmtId="0" fontId="67" fillId="24" borderId="0" applyNumberFormat="0" applyBorder="0" applyAlignment="0" applyProtection="0"/>
    <xf numFmtId="0" fontId="67" fillId="24" borderId="0" applyNumberFormat="0" applyBorder="0" applyAlignment="0" applyProtection="0"/>
    <xf numFmtId="0" fontId="37" fillId="25" borderId="0" applyNumberFormat="0" applyBorder="0" applyAlignment="0" applyProtection="0"/>
    <xf numFmtId="0" fontId="33" fillId="25" borderId="0" applyNumberFormat="0" applyBorder="0" applyAlignment="0" applyProtection="0"/>
    <xf numFmtId="0" fontId="67" fillId="25" borderId="0" applyNumberFormat="0" applyBorder="0" applyAlignment="0" applyProtection="0"/>
    <xf numFmtId="0" fontId="67" fillId="25" borderId="0" applyNumberFormat="0" applyBorder="0" applyAlignment="0" applyProtection="0"/>
    <xf numFmtId="0" fontId="37" fillId="26" borderId="0" applyNumberFormat="0" applyBorder="0" applyAlignment="0" applyProtection="0"/>
    <xf numFmtId="0" fontId="33" fillId="26" borderId="0" applyNumberFormat="0" applyBorder="0" applyAlignment="0" applyProtection="0"/>
    <xf numFmtId="0" fontId="67" fillId="26" borderId="0" applyNumberFormat="0" applyBorder="0" applyAlignment="0" applyProtection="0"/>
    <xf numFmtId="0" fontId="67" fillId="26" borderId="0" applyNumberFormat="0" applyBorder="0" applyAlignment="0" applyProtection="0"/>
    <xf numFmtId="0" fontId="37" fillId="21" borderId="0" applyNumberFormat="0" applyBorder="0" applyAlignment="0" applyProtection="0"/>
    <xf numFmtId="0" fontId="33" fillId="21" borderId="0" applyNumberFormat="0" applyBorder="0" applyAlignment="0" applyProtection="0"/>
    <xf numFmtId="0" fontId="67" fillId="21" borderId="0" applyNumberFormat="0" applyBorder="0" applyAlignment="0" applyProtection="0"/>
    <xf numFmtId="0" fontId="67" fillId="21" borderId="0" applyNumberFormat="0" applyBorder="0" applyAlignment="0" applyProtection="0"/>
    <xf numFmtId="0" fontId="37" fillId="22" borderId="0" applyNumberFormat="0" applyBorder="0" applyAlignment="0" applyProtection="0"/>
    <xf numFmtId="0" fontId="33" fillId="22" borderId="0" applyNumberFormat="0" applyBorder="0" applyAlignment="0" applyProtection="0"/>
    <xf numFmtId="0" fontId="67" fillId="22" borderId="0" applyNumberFormat="0" applyBorder="0" applyAlignment="0" applyProtection="0"/>
    <xf numFmtId="0" fontId="67" fillId="22" borderId="0" applyNumberFormat="0" applyBorder="0" applyAlignment="0" applyProtection="0"/>
    <xf numFmtId="0" fontId="37" fillId="27" borderId="0" applyNumberFormat="0" applyBorder="0" applyAlignment="0" applyProtection="0"/>
    <xf numFmtId="0" fontId="33" fillId="27" borderId="0" applyNumberFormat="0" applyBorder="0" applyAlignment="0" applyProtection="0"/>
    <xf numFmtId="0" fontId="67" fillId="27" borderId="0" applyNumberFormat="0" applyBorder="0" applyAlignment="0" applyProtection="0"/>
    <xf numFmtId="0" fontId="67" fillId="27" borderId="0" applyNumberFormat="0" applyBorder="0" applyAlignment="0" applyProtection="0"/>
    <xf numFmtId="0" fontId="57" fillId="0" borderId="0" applyNumberFormat="0" applyFill="0" applyBorder="0" applyAlignment="0">
      <protection locked="0"/>
    </xf>
    <xf numFmtId="0" fontId="38" fillId="11" borderId="0" applyNumberFormat="0" applyBorder="0" applyAlignment="0" applyProtection="0"/>
    <xf numFmtId="0" fontId="69" fillId="11" borderId="0" applyNumberFormat="0" applyBorder="0" applyAlignment="0" applyProtection="0"/>
    <xf numFmtId="0" fontId="68" fillId="11" borderId="0" applyNumberFormat="0" applyBorder="0" applyAlignment="0" applyProtection="0"/>
    <xf numFmtId="0" fontId="68" fillId="11" borderId="0" applyNumberFormat="0" applyBorder="0" applyAlignment="0" applyProtection="0"/>
    <xf numFmtId="0" fontId="39" fillId="28" borderId="17" applyNumberFormat="0" applyAlignment="0" applyProtection="0"/>
    <xf numFmtId="0" fontId="71" fillId="28" borderId="17" applyNumberFormat="0" applyAlignment="0" applyProtection="0"/>
    <xf numFmtId="0" fontId="70" fillId="28" borderId="17" applyNumberFormat="0" applyAlignment="0" applyProtection="0"/>
    <xf numFmtId="0" fontId="70" fillId="28" borderId="17" applyNumberFormat="0" applyAlignment="0" applyProtection="0"/>
    <xf numFmtId="0" fontId="40" fillId="29" borderId="18" applyNumberFormat="0" applyAlignment="0" applyProtection="0"/>
    <xf numFmtId="0" fontId="60" fillId="29" borderId="18" applyNumberFormat="0" applyAlignment="0" applyProtection="0"/>
    <xf numFmtId="0" fontId="72" fillId="29" borderId="18" applyNumberFormat="0" applyAlignment="0" applyProtection="0"/>
    <xf numFmtId="0" fontId="72" fillId="29" borderId="18" applyNumberFormat="0" applyAlignment="0" applyProtection="0"/>
    <xf numFmtId="43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6" fontId="18" fillId="0" borderId="0" applyFont="0" applyFill="0" applyBorder="0" applyAlignment="0" applyProtection="0"/>
    <xf numFmtId="43" fontId="12" fillId="0" borderId="0" applyFont="0" applyFill="0" applyBorder="0" applyAlignment="0" applyProtection="0"/>
    <xf numFmtId="176" fontId="18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76" fontId="18" fillId="0" borderId="0" applyFont="0" applyFill="0" applyBorder="0" applyAlignment="0" applyProtection="0"/>
    <xf numFmtId="176" fontId="18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0" fontId="73" fillId="0" borderId="0" applyFont="0" applyFill="0" applyBorder="0" applyAlignment="0" applyProtection="0">
      <alignment horizontal="right"/>
    </xf>
    <xf numFmtId="44" fontId="12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14" fontId="34" fillId="0" borderId="0" applyFont="0" applyFill="0" applyBorder="0" applyAlignment="0" applyProtection="0"/>
    <xf numFmtId="14" fontId="34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3" fillId="0" borderId="19" applyNumberFormat="0" applyFont="0" applyFill="0" applyAlignment="0" applyProtection="0"/>
    <xf numFmtId="0" fontId="41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35" fillId="0" borderId="0" applyFill="0" applyBorder="0" applyProtection="0">
      <alignment horizontal="left"/>
    </xf>
    <xf numFmtId="0" fontId="42" fillId="12" borderId="0" applyNumberFormat="0" applyBorder="0" applyAlignment="0" applyProtection="0"/>
    <xf numFmtId="0" fontId="58" fillId="12" borderId="0" applyNumberFormat="0" applyBorder="0" applyAlignment="0" applyProtection="0"/>
    <xf numFmtId="0" fontId="76" fillId="12" borderId="0" applyNumberFormat="0" applyBorder="0" applyAlignment="0" applyProtection="0"/>
    <xf numFmtId="0" fontId="76" fillId="12" borderId="0" applyNumberFormat="0" applyBorder="0" applyAlignment="0" applyProtection="0"/>
    <xf numFmtId="0" fontId="73" fillId="0" borderId="0" applyFont="0" applyFill="0" applyBorder="0" applyAlignment="0" applyProtection="0">
      <alignment horizontal="right"/>
    </xf>
    <xf numFmtId="0" fontId="77" fillId="0" borderId="0" applyProtection="0">
      <alignment horizontal="right"/>
    </xf>
    <xf numFmtId="0" fontId="43" fillId="0" borderId="20" applyNumberFormat="0" applyFill="0" applyAlignment="0" applyProtection="0"/>
    <xf numFmtId="0" fontId="43" fillId="0" borderId="20" applyNumberFormat="0" applyFill="0" applyAlignment="0" applyProtection="0"/>
    <xf numFmtId="0" fontId="78" fillId="0" borderId="20" applyNumberFormat="0" applyFill="0" applyAlignment="0" applyProtection="0"/>
    <xf numFmtId="0" fontId="78" fillId="0" borderId="20" applyNumberFormat="0" applyFill="0" applyAlignment="0" applyProtection="0"/>
    <xf numFmtId="0" fontId="44" fillId="0" borderId="21" applyNumberFormat="0" applyFill="0" applyAlignment="0" applyProtection="0"/>
    <xf numFmtId="0" fontId="44" fillId="0" borderId="21" applyNumberFormat="0" applyFill="0" applyAlignment="0" applyProtection="0"/>
    <xf numFmtId="0" fontId="79" fillId="0" borderId="21" applyNumberFormat="0" applyFill="0" applyAlignment="0" applyProtection="0"/>
    <xf numFmtId="0" fontId="79" fillId="0" borderId="21" applyNumberFormat="0" applyFill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80" fillId="0" borderId="22" applyNumberFormat="0" applyFill="0" applyAlignment="0" applyProtection="0"/>
    <xf numFmtId="0" fontId="80" fillId="0" borderId="2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7" fillId="15" borderId="17" applyNumberFormat="0" applyAlignment="0" applyProtection="0"/>
    <xf numFmtId="0" fontId="82" fillId="15" borderId="17" applyNumberFormat="0" applyAlignment="0" applyProtection="0"/>
    <xf numFmtId="0" fontId="81" fillId="15" borderId="17" applyNumberFormat="0" applyAlignment="0" applyProtection="0"/>
    <xf numFmtId="0" fontId="81" fillId="15" borderId="17" applyNumberFormat="0" applyAlignment="0" applyProtection="0"/>
    <xf numFmtId="0" fontId="48" fillId="0" borderId="23" applyNumberFormat="0" applyFill="0" applyAlignment="0" applyProtection="0"/>
    <xf numFmtId="0" fontId="84" fillId="0" borderId="23" applyNumberFormat="0" applyFill="0" applyAlignment="0" applyProtection="0"/>
    <xf numFmtId="0" fontId="83" fillId="0" borderId="23" applyNumberFormat="0" applyFill="0" applyAlignment="0" applyProtection="0"/>
    <xf numFmtId="0" fontId="83" fillId="0" borderId="23" applyNumberFormat="0" applyFill="0" applyAlignment="0" applyProtection="0"/>
    <xf numFmtId="0" fontId="73" fillId="0" borderId="0" applyFont="0" applyFill="0" applyBorder="0" applyAlignment="0" applyProtection="0">
      <alignment horizontal="right"/>
    </xf>
    <xf numFmtId="0" fontId="49" fillId="9" borderId="0" applyNumberFormat="0" applyBorder="0" applyAlignment="0" applyProtection="0"/>
    <xf numFmtId="0" fontId="86" fillId="9" borderId="0" applyNumberFormat="0" applyBorder="0" applyAlignment="0" applyProtection="0"/>
    <xf numFmtId="0" fontId="85" fillId="9" borderId="0" applyNumberFormat="0" applyBorder="0" applyAlignment="0" applyProtection="0"/>
    <xf numFmtId="0" fontId="85" fillId="9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50" fillId="28" borderId="25" applyNumberFormat="0" applyAlignment="0" applyProtection="0"/>
    <xf numFmtId="0" fontId="88" fillId="28" borderId="25" applyNumberFormat="0" applyAlignment="0" applyProtection="0"/>
    <xf numFmtId="0" fontId="87" fillId="28" borderId="25" applyNumberFormat="0" applyAlignment="0" applyProtection="0"/>
    <xf numFmtId="0" fontId="87" fillId="28" borderId="25" applyNumberFormat="0" applyAlignment="0" applyProtection="0"/>
    <xf numFmtId="1" fontId="89" fillId="0" borderId="0" applyProtection="0">
      <alignment horizontal="right" vertical="center"/>
    </xf>
    <xf numFmtId="9" fontId="12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185" fontId="35" fillId="0" borderId="10" applyFont="0" applyFill="0" applyBorder="0" applyAlignment="0" applyProtection="0"/>
    <xf numFmtId="0" fontId="90" fillId="0" borderId="0" applyNumberFormat="0" applyFill="0" applyBorder="0" applyAlignment="0" applyProtection="0"/>
    <xf numFmtId="0" fontId="91" fillId="3" borderId="0" applyNumberFormat="0" applyFont="0" applyBorder="0" applyAlignment="0" applyProtection="0"/>
    <xf numFmtId="0" fontId="91" fillId="3" borderId="0" applyNumberFormat="0" applyFont="0" applyBorder="0" applyAlignment="0" applyProtection="0"/>
    <xf numFmtId="0" fontId="91" fillId="3" borderId="0" applyNumberFormat="0" applyFont="0" applyBorder="0" applyAlignment="0" applyProtection="0"/>
    <xf numFmtId="0" fontId="91" fillId="3" borderId="0" applyNumberFormat="0" applyFont="0" applyBorder="0" applyAlignment="0" applyProtection="0"/>
    <xf numFmtId="0" fontId="91" fillId="3" borderId="0" applyNumberFormat="0" applyFont="0" applyBorder="0" applyAlignment="0" applyProtection="0"/>
    <xf numFmtId="0" fontId="91" fillId="3" borderId="0" applyNumberFormat="0" applyFont="0" applyBorder="0" applyAlignment="0" applyProtection="0"/>
    <xf numFmtId="0" fontId="91" fillId="3" borderId="0" applyNumberFormat="0" applyFont="0" applyBorder="0" applyAlignment="0" applyProtection="0"/>
    <xf numFmtId="0" fontId="92" fillId="0" borderId="0" applyBorder="0" applyProtection="0">
      <alignment vertical="center"/>
    </xf>
    <xf numFmtId="0" fontId="92" fillId="0" borderId="1" applyBorder="0" applyProtection="0">
      <alignment horizontal="right" vertical="center"/>
    </xf>
    <xf numFmtId="0" fontId="93" fillId="31" borderId="0" applyBorder="0" applyProtection="0">
      <alignment horizontal="centerContinuous" vertical="center"/>
    </xf>
    <xf numFmtId="0" fontId="93" fillId="8" borderId="1" applyBorder="0" applyProtection="0">
      <alignment horizontal="centerContinuous" vertical="center"/>
    </xf>
    <xf numFmtId="0" fontId="94" fillId="0" borderId="0" applyBorder="0" applyProtection="0">
      <alignment horizontal="left"/>
    </xf>
    <xf numFmtId="0" fontId="94" fillId="0" borderId="0" applyBorder="0" applyProtection="0">
      <alignment horizontal="left"/>
    </xf>
    <xf numFmtId="0" fontId="61" fillId="0" borderId="0" applyFill="0" applyBorder="0" applyProtection="0">
      <alignment horizontal="left"/>
    </xf>
    <xf numFmtId="0" fontId="34" fillId="0" borderId="10" applyFill="0" applyBorder="0" applyProtection="0">
      <alignment horizontal="left" vertical="top"/>
    </xf>
    <xf numFmtId="0" fontId="34" fillId="0" borderId="10" applyFill="0" applyBorder="0" applyProtection="0">
      <alignment horizontal="left" vertical="top"/>
    </xf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2" fillId="0" borderId="26" applyNumberFormat="0" applyFill="0" applyAlignment="0" applyProtection="0"/>
    <xf numFmtId="0" fontId="55" fillId="0" borderId="26" applyNumberFormat="0" applyFill="0" applyAlignment="0" applyProtection="0"/>
    <xf numFmtId="0" fontId="95" fillId="0" borderId="26" applyNumberFormat="0" applyFill="0" applyAlignment="0" applyProtection="0"/>
    <xf numFmtId="0" fontId="95" fillId="0" borderId="26" applyNumberFormat="0" applyFill="0" applyAlignment="0" applyProtection="0"/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25" fillId="0" borderId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25" fillId="0" borderId="0"/>
    <xf numFmtId="43" fontId="12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30" fillId="0" borderId="0" applyNumberFormat="0" applyFont="0" applyFill="0" applyBorder="0" applyAlignment="0" applyProtection="0">
      <alignment horizontal="left"/>
    </xf>
    <xf numFmtId="15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0" fontId="31" fillId="0" borderId="14">
      <alignment horizontal="center"/>
    </xf>
    <xf numFmtId="3" fontId="30" fillId="0" borderId="0" applyFont="0" applyFill="0" applyBorder="0" applyAlignment="0" applyProtection="0"/>
    <xf numFmtId="0" fontId="30" fillId="6" borderId="0" applyNumberFormat="0" applyFont="0" applyBorder="0" applyAlignment="0" applyProtection="0"/>
    <xf numFmtId="0" fontId="36" fillId="10" borderId="0" applyNumberFormat="0" applyBorder="0" applyAlignment="0" applyProtection="0"/>
    <xf numFmtId="0" fontId="36" fillId="11" borderId="0" applyNumberFormat="0" applyBorder="0" applyAlignment="0" applyProtection="0"/>
    <xf numFmtId="0" fontId="36" fillId="12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5" borderId="0" applyNumberFormat="0" applyBorder="0" applyAlignment="0" applyProtection="0"/>
    <xf numFmtId="0" fontId="36" fillId="16" borderId="0" applyNumberFormat="0" applyBorder="0" applyAlignment="0" applyProtection="0"/>
    <xf numFmtId="0" fontId="36" fillId="17" borderId="0" applyNumberFormat="0" applyBorder="0" applyAlignment="0" applyProtection="0"/>
    <xf numFmtId="0" fontId="36" fillId="18" borderId="0" applyNumberFormat="0" applyBorder="0" applyAlignment="0" applyProtection="0"/>
    <xf numFmtId="0" fontId="36" fillId="13" borderId="0" applyNumberFormat="0" applyBorder="0" applyAlignment="0" applyProtection="0"/>
    <xf numFmtId="0" fontId="36" fillId="16" borderId="0" applyNumberFormat="0" applyBorder="0" applyAlignment="0" applyProtection="0"/>
    <xf numFmtId="0" fontId="36" fillId="19" borderId="0" applyNumberFormat="0" applyBorder="0" applyAlignment="0" applyProtection="0"/>
    <xf numFmtId="0" fontId="37" fillId="20" borderId="0" applyNumberFormat="0" applyBorder="0" applyAlignment="0" applyProtection="0"/>
    <xf numFmtId="0" fontId="37" fillId="17" borderId="0" applyNumberFormat="0" applyBorder="0" applyAlignment="0" applyProtection="0"/>
    <xf numFmtId="0" fontId="37" fillId="18" borderId="0" applyNumberFormat="0" applyBorder="0" applyAlignment="0" applyProtection="0"/>
    <xf numFmtId="0" fontId="37" fillId="21" borderId="0" applyNumberFormat="0" applyBorder="0" applyAlignment="0" applyProtection="0"/>
    <xf numFmtId="0" fontId="37" fillId="22" borderId="0" applyNumberFormat="0" applyBorder="0" applyAlignment="0" applyProtection="0"/>
    <xf numFmtId="0" fontId="37" fillId="23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6" borderId="0" applyNumberFormat="0" applyBorder="0" applyAlignment="0" applyProtection="0"/>
    <xf numFmtId="0" fontId="37" fillId="21" borderId="0" applyNumberFormat="0" applyBorder="0" applyAlignment="0" applyProtection="0"/>
    <xf numFmtId="0" fontId="37" fillId="22" borderId="0" applyNumberFormat="0" applyBorder="0" applyAlignment="0" applyProtection="0"/>
    <xf numFmtId="0" fontId="37" fillId="27" borderId="0" applyNumberFormat="0" applyBorder="0" applyAlignment="0" applyProtection="0"/>
    <xf numFmtId="186" fontId="16" fillId="32" borderId="27">
      <alignment horizontal="center" vertical="center"/>
    </xf>
    <xf numFmtId="0" fontId="38" fillId="11" borderId="0" applyNumberFormat="0" applyBorder="0" applyAlignment="0" applyProtection="0"/>
    <xf numFmtId="0" fontId="39" fillId="28" borderId="17" applyNumberFormat="0" applyAlignment="0" applyProtection="0"/>
    <xf numFmtId="0" fontId="40" fillId="29" borderId="18" applyNumberFormat="0" applyAlignment="0" applyProtection="0"/>
    <xf numFmtId="43" fontId="12" fillId="0" borderId="0" applyFont="0" applyFill="0" applyBorder="0" applyAlignment="0" applyProtection="0"/>
    <xf numFmtId="0" fontId="97" fillId="0" borderId="0"/>
    <xf numFmtId="44" fontId="12" fillId="0" borderId="0" applyFont="0" applyFill="0" applyBorder="0" applyAlignment="0" applyProtection="0"/>
    <xf numFmtId="6" fontId="98" fillId="0" borderId="0">
      <protection locked="0"/>
    </xf>
    <xf numFmtId="187" fontId="16" fillId="0" borderId="0" applyFont="0" applyFill="0" applyBorder="0" applyAlignment="0" applyProtection="0"/>
    <xf numFmtId="0" fontId="41" fillId="0" borderId="0" applyNumberFormat="0" applyFill="0" applyBorder="0" applyAlignment="0" applyProtection="0"/>
    <xf numFmtId="188" fontId="12" fillId="0" borderId="0">
      <protection locked="0"/>
    </xf>
    <xf numFmtId="188" fontId="12" fillId="0" borderId="0">
      <protection locked="0"/>
    </xf>
    <xf numFmtId="0" fontId="99" fillId="0" borderId="0"/>
    <xf numFmtId="0" fontId="42" fillId="12" borderId="0" applyNumberFormat="0" applyBorder="0" applyAlignment="0" applyProtection="0"/>
    <xf numFmtId="38" fontId="34" fillId="3" borderId="0" applyNumberFormat="0" applyBorder="0" applyAlignment="0" applyProtection="0"/>
    <xf numFmtId="0" fontId="100" fillId="0" borderId="0" applyNumberFormat="0" applyFill="0" applyBorder="0" applyAlignment="0" applyProtection="0"/>
    <xf numFmtId="189" fontId="12" fillId="0" borderId="0">
      <protection locked="0"/>
    </xf>
    <xf numFmtId="189" fontId="12" fillId="0" borderId="0">
      <protection locked="0"/>
    </xf>
    <xf numFmtId="189" fontId="12" fillId="0" borderId="0">
      <protection locked="0"/>
    </xf>
    <xf numFmtId="189" fontId="12" fillId="0" borderId="0">
      <protection locked="0"/>
    </xf>
    <xf numFmtId="0" fontId="57" fillId="0" borderId="28" applyNumberFormat="0" applyFill="0" applyAlignment="0" applyProtection="0"/>
    <xf numFmtId="10" fontId="34" fillId="33" borderId="11" applyNumberFormat="0" applyBorder="0" applyAlignment="0" applyProtection="0"/>
    <xf numFmtId="0" fontId="47" fillId="15" borderId="17" applyNumberFormat="0" applyAlignment="0" applyProtection="0"/>
    <xf numFmtId="0" fontId="48" fillId="0" borderId="23" applyNumberFormat="0" applyFill="0" applyAlignment="0" applyProtection="0"/>
    <xf numFmtId="0" fontId="49" fillId="9" borderId="0" applyNumberFormat="0" applyBorder="0" applyAlignment="0" applyProtection="0"/>
    <xf numFmtId="37" fontId="101" fillId="0" borderId="0"/>
    <xf numFmtId="190" fontId="16" fillId="0" borderId="0"/>
    <xf numFmtId="0" fontId="1" fillId="0" borderId="0"/>
    <xf numFmtId="0" fontId="1" fillId="0" borderId="0"/>
    <xf numFmtId="0" fontId="50" fillId="28" borderId="25" applyNumberFormat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 applyNumberFormat="0" applyFill="0" applyBorder="0" applyProtection="0">
      <alignment horizontal="right" wrapText="1"/>
    </xf>
    <xf numFmtId="0" fontId="12" fillId="0" borderId="0" applyNumberFormat="0" applyFill="0" applyBorder="0" applyProtection="0">
      <alignment horizontal="right" wrapText="1"/>
    </xf>
    <xf numFmtId="191" fontId="12" fillId="0" borderId="0" applyFill="0" applyBorder="0" applyAlignment="0" applyProtection="0">
      <alignment wrapText="1"/>
    </xf>
    <xf numFmtId="191" fontId="12" fillId="0" borderId="0" applyFill="0" applyBorder="0" applyAlignment="0" applyProtection="0">
      <alignment wrapText="1"/>
    </xf>
    <xf numFmtId="0" fontId="52" fillId="0" borderId="26" applyNumberFormat="0" applyFill="0" applyAlignment="0" applyProtection="0"/>
    <xf numFmtId="37" fontId="34" fillId="7" borderId="0" applyNumberFormat="0" applyBorder="0" applyAlignment="0" applyProtection="0"/>
    <xf numFmtId="37" fontId="34" fillId="0" borderId="0"/>
    <xf numFmtId="37" fontId="34" fillId="7" borderId="0" applyNumberFormat="0" applyBorder="0" applyAlignment="0" applyProtection="0"/>
    <xf numFmtId="3" fontId="102" fillId="0" borderId="28" applyProtection="0"/>
    <xf numFmtId="0" fontId="103" fillId="0" borderId="0">
      <alignment horizontal="center"/>
    </xf>
    <xf numFmtId="0" fontId="53" fillId="0" borderId="0" applyNumberFormat="0" applyFill="0" applyBorder="0" applyAlignment="0" applyProtection="0"/>
    <xf numFmtId="9" fontId="25" fillId="0" borderId="0" applyFont="0" applyFill="0" applyBorder="0" applyAlignment="0" applyProtection="0"/>
    <xf numFmtId="0" fontId="25" fillId="0" borderId="0"/>
    <xf numFmtId="0" fontId="25" fillId="0" borderId="0"/>
    <xf numFmtId="0" fontId="12" fillId="0" borderId="0"/>
    <xf numFmtId="0" fontId="56" fillId="10" borderId="0" applyNumberFormat="0" applyBorder="0" applyAlignment="0" applyProtection="0"/>
    <xf numFmtId="0" fontId="56" fillId="11" borderId="0" applyNumberFormat="0" applyBorder="0" applyAlignment="0" applyProtection="0"/>
    <xf numFmtId="0" fontId="56" fillId="12" borderId="0" applyNumberFormat="0" applyBorder="0" applyAlignment="0" applyProtection="0"/>
    <xf numFmtId="0" fontId="56" fillId="13" borderId="0" applyNumberFormat="0" applyBorder="0" applyAlignment="0" applyProtection="0"/>
    <xf numFmtId="0" fontId="56" fillId="14" borderId="0" applyNumberFormat="0" applyBorder="0" applyAlignment="0" applyProtection="0"/>
    <xf numFmtId="0" fontId="56" fillId="15" borderId="0" applyNumberFormat="0" applyBorder="0" applyAlignment="0" applyProtection="0"/>
    <xf numFmtId="0" fontId="56" fillId="16" borderId="0" applyNumberFormat="0" applyBorder="0" applyAlignment="0" applyProtection="0"/>
    <xf numFmtId="0" fontId="56" fillId="17" borderId="0" applyNumberFormat="0" applyBorder="0" applyAlignment="0" applyProtection="0"/>
    <xf numFmtId="0" fontId="56" fillId="18" borderId="0" applyNumberFormat="0" applyBorder="0" applyAlignment="0" applyProtection="0"/>
    <xf numFmtId="0" fontId="56" fillId="13" borderId="0" applyNumberFormat="0" applyBorder="0" applyAlignment="0" applyProtection="0"/>
    <xf numFmtId="0" fontId="56" fillId="16" borderId="0" applyNumberFormat="0" applyBorder="0" applyAlignment="0" applyProtection="0"/>
    <xf numFmtId="0" fontId="56" fillId="19" borderId="0" applyNumberFormat="0" applyBorder="0" applyAlignment="0" applyProtection="0"/>
    <xf numFmtId="0" fontId="33" fillId="20" borderId="0" applyNumberFormat="0" applyBorder="0" applyAlignment="0" applyProtection="0"/>
    <xf numFmtId="0" fontId="33" fillId="17" borderId="0" applyNumberFormat="0" applyBorder="0" applyAlignment="0" applyProtection="0"/>
    <xf numFmtId="0" fontId="33" fillId="18" borderId="0" applyNumberFormat="0" applyBorder="0" applyAlignment="0" applyProtection="0"/>
    <xf numFmtId="0" fontId="33" fillId="21" borderId="0" applyNumberFormat="0" applyBorder="0" applyAlignment="0" applyProtection="0"/>
    <xf numFmtId="0" fontId="33" fillId="22" borderId="0" applyNumberFormat="0" applyBorder="0" applyAlignment="0" applyProtection="0"/>
    <xf numFmtId="0" fontId="33" fillId="23" borderId="0" applyNumberFormat="0" applyBorder="0" applyAlignment="0" applyProtection="0"/>
    <xf numFmtId="0" fontId="33" fillId="24" borderId="0" applyNumberFormat="0" applyBorder="0" applyAlignment="0" applyProtection="0"/>
    <xf numFmtId="0" fontId="33" fillId="25" borderId="0" applyNumberFormat="0" applyBorder="0" applyAlignment="0" applyProtection="0"/>
    <xf numFmtId="0" fontId="33" fillId="26" borderId="0" applyNumberFormat="0" applyBorder="0" applyAlignment="0" applyProtection="0"/>
    <xf numFmtId="0" fontId="33" fillId="21" borderId="0" applyNumberFormat="0" applyBorder="0" applyAlignment="0" applyProtection="0"/>
    <xf numFmtId="0" fontId="33" fillId="22" borderId="0" applyNumberFormat="0" applyBorder="0" applyAlignment="0" applyProtection="0"/>
    <xf numFmtId="0" fontId="33" fillId="27" borderId="0" applyNumberFormat="0" applyBorder="0" applyAlignment="0" applyProtection="0"/>
    <xf numFmtId="0" fontId="69" fillId="11" borderId="0" applyNumberFormat="0" applyBorder="0" applyAlignment="0" applyProtection="0"/>
    <xf numFmtId="0" fontId="71" fillId="28" borderId="17" applyNumberFormat="0" applyAlignment="0" applyProtection="0"/>
    <xf numFmtId="0" fontId="60" fillId="29" borderId="18" applyNumberFormat="0" applyAlignment="0" applyProtection="0"/>
    <xf numFmtId="43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0" fontId="75" fillId="0" borderId="0" applyNumberFormat="0" applyFill="0" applyBorder="0" applyAlignment="0" applyProtection="0"/>
    <xf numFmtId="0" fontId="58" fillId="12" borderId="0" applyNumberFormat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82" fillId="15" borderId="17" applyNumberFormat="0" applyAlignment="0" applyProtection="0"/>
    <xf numFmtId="0" fontId="84" fillId="0" borderId="23" applyNumberFormat="0" applyFill="0" applyAlignment="0" applyProtection="0"/>
    <xf numFmtId="0" fontId="86" fillId="9" borderId="0" applyNumberFormat="0" applyBorder="0" applyAlignment="0" applyProtection="0"/>
    <xf numFmtId="0" fontId="12" fillId="30" borderId="24" applyNumberFormat="0" applyFont="0" applyAlignment="0" applyProtection="0"/>
    <xf numFmtId="0" fontId="88" fillId="28" borderId="25" applyNumberFormat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55" fillId="0" borderId="26" applyNumberFormat="0" applyFill="0" applyAlignment="0" applyProtection="0"/>
    <xf numFmtId="0" fontId="54" fillId="0" borderId="0" applyNumberFormat="0" applyFill="0" applyBorder="0" applyAlignment="0" applyProtection="0"/>
    <xf numFmtId="0" fontId="12" fillId="0" borderId="0"/>
    <xf numFmtId="0" fontId="66" fillId="10" borderId="0" applyNumberFormat="0" applyBorder="0" applyAlignment="0" applyProtection="0"/>
    <xf numFmtId="0" fontId="66" fillId="11" borderId="0" applyNumberFormat="0" applyBorder="0" applyAlignment="0" applyProtection="0"/>
    <xf numFmtId="0" fontId="66" fillId="12" borderId="0" applyNumberFormat="0" applyBorder="0" applyAlignment="0" applyProtection="0"/>
    <xf numFmtId="0" fontId="66" fillId="13" borderId="0" applyNumberFormat="0" applyBorder="0" applyAlignment="0" applyProtection="0"/>
    <xf numFmtId="0" fontId="66" fillId="14" borderId="0" applyNumberFormat="0" applyBorder="0" applyAlignment="0" applyProtection="0"/>
    <xf numFmtId="0" fontId="66" fillId="15" borderId="0" applyNumberFormat="0" applyBorder="0" applyAlignment="0" applyProtection="0"/>
    <xf numFmtId="0" fontId="66" fillId="16" borderId="0" applyNumberFormat="0" applyBorder="0" applyAlignment="0" applyProtection="0"/>
    <xf numFmtId="0" fontId="66" fillId="17" borderId="0" applyNumberFormat="0" applyBorder="0" applyAlignment="0" applyProtection="0"/>
    <xf numFmtId="0" fontId="66" fillId="18" borderId="0" applyNumberFormat="0" applyBorder="0" applyAlignment="0" applyProtection="0"/>
    <xf numFmtId="0" fontId="66" fillId="13" borderId="0" applyNumberFormat="0" applyBorder="0" applyAlignment="0" applyProtection="0"/>
    <xf numFmtId="0" fontId="66" fillId="16" borderId="0" applyNumberFormat="0" applyBorder="0" applyAlignment="0" applyProtection="0"/>
    <xf numFmtId="0" fontId="66" fillId="19" borderId="0" applyNumberFormat="0" applyBorder="0" applyAlignment="0" applyProtection="0"/>
    <xf numFmtId="0" fontId="67" fillId="20" borderId="0" applyNumberFormat="0" applyBorder="0" applyAlignment="0" applyProtection="0"/>
    <xf numFmtId="0" fontId="67" fillId="17" borderId="0" applyNumberFormat="0" applyBorder="0" applyAlignment="0" applyProtection="0"/>
    <xf numFmtId="0" fontId="67" fillId="18" borderId="0" applyNumberFormat="0" applyBorder="0" applyAlignment="0" applyProtection="0"/>
    <xf numFmtId="0" fontId="67" fillId="21" borderId="0" applyNumberFormat="0" applyBorder="0" applyAlignment="0" applyProtection="0"/>
    <xf numFmtId="0" fontId="67" fillId="22" borderId="0" applyNumberFormat="0" applyBorder="0" applyAlignment="0" applyProtection="0"/>
    <xf numFmtId="0" fontId="67" fillId="23" borderId="0" applyNumberFormat="0" applyBorder="0" applyAlignment="0" applyProtection="0"/>
    <xf numFmtId="0" fontId="67" fillId="24" borderId="0" applyNumberFormat="0" applyBorder="0" applyAlignment="0" applyProtection="0"/>
    <xf numFmtId="0" fontId="67" fillId="25" borderId="0" applyNumberFormat="0" applyBorder="0" applyAlignment="0" applyProtection="0"/>
    <xf numFmtId="0" fontId="67" fillId="26" borderId="0" applyNumberFormat="0" applyBorder="0" applyAlignment="0" applyProtection="0"/>
    <xf numFmtId="0" fontId="67" fillId="21" borderId="0" applyNumberFormat="0" applyBorder="0" applyAlignment="0" applyProtection="0"/>
    <xf numFmtId="0" fontId="67" fillId="22" borderId="0" applyNumberFormat="0" applyBorder="0" applyAlignment="0" applyProtection="0"/>
    <xf numFmtId="0" fontId="67" fillId="27" borderId="0" applyNumberFormat="0" applyBorder="0" applyAlignment="0" applyProtection="0"/>
    <xf numFmtId="186" fontId="16" fillId="32" borderId="27">
      <alignment horizontal="center" vertical="center"/>
    </xf>
    <xf numFmtId="0" fontId="57" fillId="0" borderId="0" applyNumberFormat="0" applyFill="0" applyBorder="0" applyAlignment="0">
      <protection locked="0"/>
    </xf>
    <xf numFmtId="0" fontId="68" fillId="11" borderId="0" applyNumberFormat="0" applyBorder="0" applyAlignment="0" applyProtection="0"/>
    <xf numFmtId="0" fontId="70" fillId="28" borderId="17" applyNumberFormat="0" applyAlignment="0" applyProtection="0"/>
    <xf numFmtId="0" fontId="70" fillId="28" borderId="17" applyNumberFormat="0" applyAlignment="0" applyProtection="0"/>
    <xf numFmtId="0" fontId="39" fillId="28" borderId="17" applyNumberFormat="0" applyAlignment="0" applyProtection="0"/>
    <xf numFmtId="0" fontId="70" fillId="28" borderId="17" applyNumberFormat="0" applyAlignment="0" applyProtection="0"/>
    <xf numFmtId="0" fontId="72" fillId="29" borderId="18" applyNumberFormat="0" applyAlignment="0" applyProtection="0"/>
    <xf numFmtId="43" fontId="12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04" fillId="0" borderId="0" applyFont="0" applyFill="0" applyBorder="0" applyAlignment="0" applyProtection="0"/>
    <xf numFmtId="43" fontId="6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6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3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73" fillId="0" borderId="0" applyFont="0" applyFill="0" applyBorder="0" applyAlignment="0" applyProtection="0">
      <alignment horizontal="right"/>
    </xf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66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4" fontId="34" fillId="0" borderId="0" applyFont="0" applyFill="0" applyBorder="0" applyAlignment="0" applyProtection="0"/>
    <xf numFmtId="0" fontId="74" fillId="0" borderId="0" applyNumberFormat="0" applyFill="0" applyBorder="0" applyAlignment="0" applyProtection="0"/>
    <xf numFmtId="0" fontId="105" fillId="0" borderId="0" applyProtection="0"/>
    <xf numFmtId="0" fontId="105" fillId="0" borderId="0" applyProtection="0"/>
    <xf numFmtId="0" fontId="105" fillId="0" borderId="0" applyProtection="0"/>
    <xf numFmtId="0" fontId="34" fillId="0" borderId="0" applyProtection="0"/>
    <xf numFmtId="0" fontId="34" fillId="0" borderId="0" applyProtection="0"/>
    <xf numFmtId="0" fontId="34" fillId="0" borderId="0" applyProtection="0"/>
    <xf numFmtId="0" fontId="34" fillId="0" borderId="0" applyProtection="0"/>
    <xf numFmtId="0" fontId="106" fillId="0" borderId="0" applyProtection="0"/>
    <xf numFmtId="0" fontId="106" fillId="0" borderId="0" applyProtection="0"/>
    <xf numFmtId="0" fontId="106" fillId="0" borderId="0" applyProtection="0"/>
    <xf numFmtId="0" fontId="25" fillId="0" borderId="0" applyProtection="0"/>
    <xf numFmtId="0" fontId="25" fillId="0" borderId="0" applyProtection="0"/>
    <xf numFmtId="0" fontId="25" fillId="0" borderId="0" applyProtection="0"/>
    <xf numFmtId="0" fontId="25" fillId="0" borderId="0" applyProtection="0"/>
    <xf numFmtId="0" fontId="107" fillId="0" borderId="0" applyProtection="0"/>
    <xf numFmtId="0" fontId="107" fillId="0" borderId="0" applyProtection="0"/>
    <xf numFmtId="0" fontId="107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35" fillId="0" borderId="0" applyProtection="0"/>
    <xf numFmtId="0" fontId="108" fillId="0" borderId="0" applyProtection="0"/>
    <xf numFmtId="0" fontId="108" fillId="0" borderId="0" applyProtection="0"/>
    <xf numFmtId="0" fontId="108" fillId="0" borderId="0" applyProtection="0"/>
    <xf numFmtId="188" fontId="12" fillId="0" borderId="0">
      <protection locked="0"/>
    </xf>
    <xf numFmtId="0" fontId="76" fillId="12" borderId="0" applyNumberFormat="0" applyBorder="0" applyAlignment="0" applyProtection="0"/>
    <xf numFmtId="38" fontId="34" fillId="3" borderId="0" applyNumberFormat="0" applyBorder="0" applyAlignment="0" applyProtection="0"/>
    <xf numFmtId="0" fontId="77" fillId="0" borderId="0" applyProtection="0">
      <alignment horizontal="right"/>
    </xf>
    <xf numFmtId="0" fontId="78" fillId="0" borderId="20" applyNumberFormat="0" applyFill="0" applyAlignment="0" applyProtection="0"/>
    <xf numFmtId="0" fontId="79" fillId="0" borderId="21" applyNumberFormat="0" applyFill="0" applyAlignment="0" applyProtection="0"/>
    <xf numFmtId="0" fontId="80" fillId="0" borderId="22" applyNumberFormat="0" applyFill="0" applyAlignment="0" applyProtection="0"/>
    <xf numFmtId="0" fontId="80" fillId="0" borderId="0" applyNumberFormat="0" applyFill="0" applyBorder="0" applyAlignment="0" applyProtection="0"/>
    <xf numFmtId="189" fontId="12" fillId="0" borderId="0">
      <protection locked="0"/>
    </xf>
    <xf numFmtId="189" fontId="12" fillId="0" borderId="0">
      <protection locked="0"/>
    </xf>
    <xf numFmtId="0" fontId="57" fillId="0" borderId="28" applyNumberFormat="0" applyFill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74" fontId="46" fillId="0" borderId="0" applyNumberFormat="0" applyFill="0" applyBorder="0" applyAlignment="0" applyProtection="0">
      <alignment vertical="top"/>
      <protection locked="0"/>
    </xf>
    <xf numFmtId="10" fontId="34" fillId="33" borderId="11" applyNumberFormat="0" applyBorder="0" applyAlignment="0" applyProtection="0"/>
    <xf numFmtId="10" fontId="34" fillId="33" borderId="11" applyNumberFormat="0" applyBorder="0" applyAlignment="0" applyProtection="0"/>
    <xf numFmtId="10" fontId="34" fillId="33" borderId="11" applyNumberFormat="0" applyBorder="0" applyAlignment="0" applyProtection="0"/>
    <xf numFmtId="0" fontId="81" fillId="15" borderId="17" applyNumberFormat="0" applyAlignment="0" applyProtection="0"/>
    <xf numFmtId="0" fontId="81" fillId="15" borderId="17" applyNumberFormat="0" applyAlignment="0" applyProtection="0"/>
    <xf numFmtId="0" fontId="47" fillId="15" borderId="17" applyNumberFormat="0" applyAlignment="0" applyProtection="0"/>
    <xf numFmtId="0" fontId="81" fillId="15" borderId="17" applyNumberFormat="0" applyAlignment="0" applyProtection="0"/>
    <xf numFmtId="0" fontId="81" fillId="15" borderId="17" applyNumberFormat="0" applyAlignment="0" applyProtection="0"/>
    <xf numFmtId="0" fontId="83" fillId="0" borderId="23" applyNumberFormat="0" applyFill="0" applyAlignment="0" applyProtection="0"/>
    <xf numFmtId="0" fontId="85" fillId="9" borderId="0" applyNumberFormat="0" applyBorder="0" applyAlignment="0" applyProtection="0"/>
    <xf numFmtId="37" fontId="101" fillId="0" borderId="0"/>
    <xf numFmtId="37" fontId="101" fillId="0" borderId="0"/>
    <xf numFmtId="190" fontId="16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2" fillId="0" borderId="0"/>
    <xf numFmtId="0" fontId="16" fillId="0" borderId="0"/>
    <xf numFmtId="0" fontId="16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25" fillId="0" borderId="0"/>
    <xf numFmtId="0" fontId="25" fillId="0" borderId="0"/>
    <xf numFmtId="0" fontId="1" fillId="0" borderId="0"/>
    <xf numFmtId="174" fontId="25" fillId="0" borderId="0"/>
    <xf numFmtId="174" fontId="25" fillId="0" borderId="0"/>
    <xf numFmtId="0" fontId="104" fillId="0" borderId="0"/>
    <xf numFmtId="0" fontId="25" fillId="30" borderId="24" applyNumberFormat="0" applyFont="0" applyAlignment="0" applyProtection="0"/>
    <xf numFmtId="0" fontId="25" fillId="30" borderId="24" applyNumberFormat="0" applyFont="0" applyAlignment="0" applyProtection="0"/>
    <xf numFmtId="0" fontId="25" fillId="30" borderId="24" applyNumberFormat="0" applyFont="0" applyAlignment="0" applyProtection="0"/>
    <xf numFmtId="0" fontId="25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25" fillId="30" borderId="24" applyNumberFormat="0" applyFont="0" applyAlignment="0" applyProtection="0"/>
    <xf numFmtId="0" fontId="25" fillId="30" borderId="24" applyNumberFormat="0" applyFont="0" applyAlignment="0" applyProtection="0"/>
    <xf numFmtId="0" fontId="88" fillId="28" borderId="25" applyNumberFormat="0" applyAlignment="0" applyProtection="0"/>
    <xf numFmtId="0" fontId="87" fillId="28" borderId="25" applyNumberFormat="0" applyAlignment="0" applyProtection="0"/>
    <xf numFmtId="0" fontId="87" fillId="28" borderId="25" applyNumberFormat="0" applyAlignment="0" applyProtection="0"/>
    <xf numFmtId="0" fontId="87" fillId="28" borderId="25" applyNumberFormat="0" applyAlignment="0" applyProtection="0"/>
    <xf numFmtId="0" fontId="87" fillId="28" borderId="25" applyNumberFormat="0" applyAlignment="0" applyProtection="0"/>
    <xf numFmtId="0" fontId="87" fillId="28" borderId="25" applyNumberFormat="0" applyAlignment="0" applyProtection="0"/>
    <xf numFmtId="0" fontId="87" fillId="28" borderId="25" applyNumberFormat="0" applyAlignment="0" applyProtection="0"/>
    <xf numFmtId="0" fontId="50" fillId="28" borderId="25" applyNumberFormat="0" applyAlignment="0" applyProtection="0"/>
    <xf numFmtId="0" fontId="50" fillId="28" borderId="25" applyNumberFormat="0" applyAlignment="0" applyProtection="0"/>
    <xf numFmtId="0" fontId="50" fillId="28" borderId="25" applyNumberFormat="0" applyAlignment="0" applyProtection="0"/>
    <xf numFmtId="0" fontId="87" fillId="28" borderId="25" applyNumberFormat="0" applyAlignment="0" applyProtection="0"/>
    <xf numFmtId="0" fontId="87" fillId="28" borderId="25" applyNumberFormat="0" applyAlignment="0" applyProtection="0"/>
    <xf numFmtId="10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 applyNumberFormat="0" applyFill="0" applyBorder="0" applyProtection="0">
      <alignment horizontal="right" wrapText="1"/>
    </xf>
    <xf numFmtId="191" fontId="12" fillId="0" borderId="0" applyFill="0" applyBorder="0" applyAlignment="0" applyProtection="0">
      <alignment wrapText="1"/>
    </xf>
    <xf numFmtId="0" fontId="51" fillId="0" borderId="0" applyNumberFormat="0" applyFill="0" applyBorder="0" applyAlignment="0" applyProtection="0"/>
    <xf numFmtId="0" fontId="12" fillId="0" borderId="0"/>
    <xf numFmtId="0" fontId="95" fillId="0" borderId="26" applyNumberFormat="0" applyFill="0" applyAlignment="0" applyProtection="0"/>
    <xf numFmtId="0" fontId="95" fillId="0" borderId="26" applyNumberFormat="0" applyFill="0" applyAlignment="0" applyProtection="0"/>
    <xf numFmtId="0" fontId="52" fillId="0" borderId="26" applyNumberFormat="0" applyFill="0" applyAlignment="0" applyProtection="0"/>
    <xf numFmtId="0" fontId="95" fillId="0" borderId="26" applyNumberFormat="0" applyFill="0" applyAlignment="0" applyProtection="0"/>
    <xf numFmtId="37" fontId="34" fillId="7" borderId="0" applyNumberFormat="0" applyBorder="0" applyAlignment="0" applyProtection="0"/>
    <xf numFmtId="37" fontId="34" fillId="0" borderId="0"/>
    <xf numFmtId="37" fontId="34" fillId="0" borderId="0"/>
    <xf numFmtId="0" fontId="96" fillId="0" borderId="0" applyNumberFormat="0" applyFill="0" applyBorder="0" applyAlignment="0" applyProtection="0"/>
    <xf numFmtId="0" fontId="25" fillId="0" borderId="0"/>
    <xf numFmtId="44" fontId="25" fillId="0" borderId="0" applyFont="0" applyFill="0" applyBorder="0" applyAlignment="0" applyProtection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0" fontId="1" fillId="0" borderId="0"/>
    <xf numFmtId="0" fontId="12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30" borderId="24" applyNumberFormat="0" applyFont="0" applyAlignment="0" applyProtection="0"/>
    <xf numFmtId="9" fontId="12" fillId="0" borderId="0" applyFont="0" applyFill="0" applyBorder="0" applyAlignment="0" applyProtection="0"/>
    <xf numFmtId="0" fontId="1" fillId="0" borderId="0"/>
    <xf numFmtId="43" fontId="12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25" fillId="0" borderId="0"/>
    <xf numFmtId="0" fontId="47" fillId="15" borderId="17" applyNumberFormat="0" applyAlignment="0" applyProtection="0"/>
    <xf numFmtId="0" fontId="25" fillId="0" borderId="0"/>
    <xf numFmtId="182" fontId="34" fillId="0" borderId="0" applyFont="0" applyFill="0" applyBorder="0" applyAlignment="0" applyProtection="0"/>
    <xf numFmtId="182" fontId="34" fillId="0" borderId="0" applyFont="0" applyFill="0" applyBorder="0" applyAlignment="0" applyProtection="0"/>
    <xf numFmtId="183" fontId="34" fillId="0" borderId="0" applyFont="0" applyFill="0" applyBorder="0" applyAlignment="0" applyProtection="0"/>
    <xf numFmtId="183" fontId="34" fillId="0" borderId="0" applyFont="0" applyFill="0" applyBorder="0" applyAlignment="0" applyProtection="0"/>
    <xf numFmtId="178" fontId="34" fillId="0" borderId="0" applyFont="0" applyFill="0" applyBorder="0" applyAlignment="0" applyProtection="0"/>
    <xf numFmtId="178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38" fontId="34" fillId="9" borderId="0" applyNumberFormat="0" applyFont="0" applyAlignment="0" applyProtection="0"/>
    <xf numFmtId="38" fontId="34" fillId="9" borderId="0" applyNumberFormat="0" applyFont="0" applyAlignment="0" applyProtection="0"/>
    <xf numFmtId="177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184" fontId="34" fillId="0" borderId="0" applyFont="0" applyFill="0" applyBorder="0" applyProtection="0">
      <alignment horizontal="right"/>
    </xf>
    <xf numFmtId="184" fontId="34" fillId="0" borderId="0" applyFont="0" applyFill="0" applyBorder="0" applyProtection="0">
      <alignment horizontal="right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14" fontId="34" fillId="0" borderId="0" applyFont="0" applyFill="0" applyBorder="0" applyAlignment="0" applyProtection="0"/>
    <xf numFmtId="6" fontId="98" fillId="0" borderId="0">
      <protection locked="0"/>
    </xf>
    <xf numFmtId="187" fontId="16" fillId="0" borderId="0" applyFont="0" applyFill="0" applyBorder="0" applyAlignment="0" applyProtection="0"/>
    <xf numFmtId="188" fontId="12" fillId="0" borderId="0">
      <protection locked="0"/>
    </xf>
    <xf numFmtId="189" fontId="12" fillId="0" borderId="0">
      <protection locked="0"/>
    </xf>
    <xf numFmtId="189" fontId="12" fillId="0" borderId="0">
      <protection locked="0"/>
    </xf>
    <xf numFmtId="0" fontId="46" fillId="0" borderId="0" applyNumberFormat="0" applyFill="0" applyBorder="0" applyAlignment="0" applyProtection="0">
      <alignment vertical="top"/>
      <protection locked="0"/>
    </xf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1" fillId="0" borderId="0"/>
    <xf numFmtId="0" fontId="12" fillId="30" borderId="24" applyNumberFormat="0" applyFont="0" applyAlignment="0" applyProtection="0"/>
    <xf numFmtId="10" fontId="12" fillId="0" borderId="0" applyFont="0" applyFill="0" applyBorder="0" applyAlignment="0" applyProtection="0"/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0" fontId="30" fillId="0" borderId="0" applyNumberFormat="0" applyFont="0" applyFill="0" applyBorder="0" applyAlignment="0" applyProtection="0">
      <alignment horizontal="left"/>
    </xf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15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4" fontId="30" fillId="0" borderId="0" applyFont="0" applyFill="0" applyBorder="0" applyAlignment="0" applyProtection="0"/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0" fontId="31" fillId="0" borderId="14">
      <alignment horizontal="center"/>
    </xf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0" fontId="30" fillId="6" borderId="0" applyNumberFormat="0" applyFont="0" applyBorder="0" applyAlignment="0" applyProtection="0"/>
    <xf numFmtId="0" fontId="12" fillId="0" borderId="0" applyNumberFormat="0" applyFill="0" applyBorder="0" applyProtection="0">
      <alignment horizontal="right" wrapText="1"/>
    </xf>
    <xf numFmtId="191" fontId="12" fillId="0" borderId="0" applyFill="0" applyBorder="0" applyAlignment="0" applyProtection="0">
      <alignment wrapText="1"/>
    </xf>
    <xf numFmtId="0" fontId="34" fillId="0" borderId="10" applyFill="0" applyBorder="0" applyProtection="0">
      <alignment horizontal="left" vertical="top"/>
    </xf>
    <xf numFmtId="0" fontId="34" fillId="0" borderId="10" applyFill="0" applyBorder="0" applyProtection="0">
      <alignment horizontal="left" vertical="top"/>
    </xf>
    <xf numFmtId="0" fontId="34" fillId="0" borderId="10" applyFill="0" applyBorder="0" applyProtection="0">
      <alignment horizontal="left" vertical="top"/>
    </xf>
    <xf numFmtId="0" fontId="53" fillId="0" borderId="0" applyNumberFormat="0" applyFill="0" applyBorder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25" fillId="0" borderId="0"/>
    <xf numFmtId="0" fontId="47" fillId="15" borderId="17" applyNumberFormat="0" applyAlignment="0" applyProtection="0"/>
    <xf numFmtId="0" fontId="25" fillId="0" borderId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0" fontId="25" fillId="0" borderId="0"/>
    <xf numFmtId="9" fontId="25" fillId="0" borderId="0" applyFont="0" applyFill="0" applyBorder="0" applyAlignment="0" applyProtection="0"/>
    <xf numFmtId="0" fontId="25" fillId="0" borderId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25" fillId="0" borderId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25" fillId="0" borderId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12" fillId="0" borderId="0"/>
    <xf numFmtId="43" fontId="1" fillId="0" borderId="0" applyFont="0" applyFill="0" applyBorder="0" applyAlignment="0" applyProtection="0"/>
    <xf numFmtId="0" fontId="1" fillId="0" borderId="0"/>
    <xf numFmtId="9" fontId="12" fillId="0" borderId="0" applyFont="0" applyFill="0" applyBorder="0" applyAlignment="0" applyProtection="0"/>
    <xf numFmtId="0" fontId="12" fillId="0" borderId="0"/>
    <xf numFmtId="44" fontId="25" fillId="0" borderId="0" applyFont="0" applyFill="0" applyBorder="0" applyAlignment="0" applyProtection="0"/>
    <xf numFmtId="0" fontId="12" fillId="30" borderId="24" applyNumberFormat="0" applyFont="0" applyAlignment="0" applyProtection="0"/>
    <xf numFmtId="14" fontId="34" fillId="0" borderId="0" applyFont="0" applyFill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2" fillId="30" borderId="24" applyNumberFormat="0" applyFont="0" applyAlignment="0" applyProtection="0"/>
    <xf numFmtId="0" fontId="25" fillId="0" borderId="0"/>
    <xf numFmtId="44" fontId="25" fillId="0" borderId="0" applyFont="0" applyFill="0" applyBorder="0" applyAlignment="0" applyProtection="0"/>
    <xf numFmtId="0" fontId="25" fillId="0" borderId="0"/>
    <xf numFmtId="0" fontId="25" fillId="0" borderId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25" fillId="0" borderId="0"/>
    <xf numFmtId="0" fontId="12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87" fontId="16" fillId="0" borderId="0" applyFont="0" applyFill="0" applyBorder="0" applyAlignment="0" applyProtection="0"/>
    <xf numFmtId="188" fontId="12" fillId="0" borderId="0">
      <protection locked="0"/>
    </xf>
    <xf numFmtId="189" fontId="12" fillId="0" borderId="0">
      <protection locked="0"/>
    </xf>
    <xf numFmtId="189" fontId="12" fillId="0" borderId="0"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0" fontId="12" fillId="30" borderId="24" applyNumberFormat="0" applyFont="0" applyAlignment="0" applyProtection="0"/>
    <xf numFmtId="10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 applyNumberFormat="0" applyFill="0" applyBorder="0" applyProtection="0">
      <alignment horizontal="right" wrapText="1"/>
    </xf>
    <xf numFmtId="191" fontId="12" fillId="0" borderId="0" applyFill="0" applyBorder="0" applyAlignment="0" applyProtection="0">
      <alignment wrapText="1"/>
    </xf>
    <xf numFmtId="0" fontId="12" fillId="0" borderId="0"/>
    <xf numFmtId="0" fontId="12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6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6" fontId="98" fillId="0" borderId="0">
      <protection locked="0"/>
    </xf>
    <xf numFmtId="0" fontId="9" fillId="0" borderId="0" applyNumberFormat="0" applyFill="0" applyBorder="0" applyAlignment="0" applyProtection="0">
      <alignment vertical="top"/>
      <protection locked="0"/>
    </xf>
    <xf numFmtId="0" fontId="25" fillId="0" borderId="0"/>
    <xf numFmtId="0" fontId="1" fillId="0" borderId="0"/>
    <xf numFmtId="0" fontId="25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6" fillId="0" borderId="0"/>
    <xf numFmtId="0" fontId="12" fillId="0" borderId="0"/>
    <xf numFmtId="0" fontId="16" fillId="0" borderId="0"/>
    <xf numFmtId="0" fontId="16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" fillId="0" borderId="0"/>
    <xf numFmtId="0" fontId="25" fillId="0" borderId="0"/>
    <xf numFmtId="174" fontId="25" fillId="0" borderId="0"/>
    <xf numFmtId="9" fontId="12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53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9" fontId="25" fillId="0" borderId="0" applyFont="0" applyFill="0" applyBorder="0" applyAlignment="0" applyProtection="0"/>
    <xf numFmtId="0" fontId="1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2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0" fontId="111" fillId="0" borderId="0"/>
    <xf numFmtId="9" fontId="25" fillId="0" borderId="0" applyFont="0" applyFill="0" applyBorder="0" applyAlignment="0" applyProtection="0"/>
    <xf numFmtId="0" fontId="111" fillId="0" borderId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111" fillId="0" borderId="0"/>
    <xf numFmtId="0" fontId="111" fillId="0" borderId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111" fillId="0" borderId="0"/>
    <xf numFmtId="9" fontId="25" fillId="0" borderId="0" applyFont="0" applyFill="0" applyBorder="0" applyAlignment="0" applyProtection="0"/>
    <xf numFmtId="0" fontId="111" fillId="0" borderId="0"/>
    <xf numFmtId="0" fontId="111" fillId="0" borderId="0"/>
    <xf numFmtId="0" fontId="47" fillId="15" borderId="17" applyNumberFormat="0" applyAlignment="0" applyProtection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0" fontId="111" fillId="0" borderId="0"/>
    <xf numFmtId="9" fontId="25" fillId="0" borderId="0" applyFont="0" applyFill="0" applyBorder="0" applyAlignment="0" applyProtection="0"/>
    <xf numFmtId="0" fontId="111" fillId="0" borderId="0"/>
    <xf numFmtId="0" fontId="25" fillId="0" borderId="0"/>
    <xf numFmtId="0" fontId="25" fillId="0" borderId="0"/>
    <xf numFmtId="0" fontId="25" fillId="0" borderId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111" fillId="0" borderId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0" fontId="25" fillId="0" borderId="0"/>
    <xf numFmtId="0" fontId="25" fillId="0" borderId="0"/>
    <xf numFmtId="0" fontId="25" fillId="0" borderId="0"/>
    <xf numFmtId="0" fontId="114" fillId="0" borderId="0" applyNumberFormat="0" applyFill="0" applyBorder="0" applyAlignment="0" applyProtection="0"/>
    <xf numFmtId="0" fontId="115" fillId="0" borderId="29" applyNumberFormat="0" applyFill="0" applyAlignment="0" applyProtection="0"/>
    <xf numFmtId="0" fontId="116" fillId="0" borderId="30" applyNumberFormat="0" applyFill="0" applyAlignment="0" applyProtection="0"/>
    <xf numFmtId="0" fontId="117" fillId="0" borderId="31" applyNumberFormat="0" applyFill="0" applyAlignment="0" applyProtection="0"/>
    <xf numFmtId="0" fontId="117" fillId="0" borderId="0" applyNumberFormat="0" applyFill="0" applyBorder="0" applyAlignment="0" applyProtection="0"/>
    <xf numFmtId="0" fontId="118" fillId="38" borderId="0" applyNumberFormat="0" applyBorder="0" applyAlignment="0" applyProtection="0"/>
    <xf numFmtId="0" fontId="119" fillId="39" borderId="0" applyNumberFormat="0" applyBorder="0" applyAlignment="0" applyProtection="0"/>
    <xf numFmtId="0" fontId="120" fillId="40" borderId="0" applyNumberFormat="0" applyBorder="0" applyAlignment="0" applyProtection="0"/>
    <xf numFmtId="0" fontId="121" fillId="41" borderId="32" applyNumberFormat="0" applyAlignment="0" applyProtection="0"/>
    <xf numFmtId="0" fontId="122" fillId="42" borderId="33" applyNumberFormat="0" applyAlignment="0" applyProtection="0"/>
    <xf numFmtId="0" fontId="123" fillId="42" borderId="32" applyNumberFormat="0" applyAlignment="0" applyProtection="0"/>
    <xf numFmtId="0" fontId="124" fillId="0" borderId="34" applyNumberFormat="0" applyFill="0" applyAlignment="0" applyProtection="0"/>
    <xf numFmtId="0" fontId="125" fillId="43" borderId="35" applyNumberFormat="0" applyAlignment="0" applyProtection="0"/>
    <xf numFmtId="0" fontId="2" fillId="0" borderId="0" applyNumberFormat="0" applyFill="0" applyBorder="0" applyAlignment="0" applyProtection="0"/>
    <xf numFmtId="0" fontId="1" fillId="44" borderId="36" applyNumberFormat="0" applyFont="0" applyAlignment="0" applyProtection="0"/>
    <xf numFmtId="0" fontId="126" fillId="0" borderId="0" applyNumberFormat="0" applyFill="0" applyBorder="0" applyAlignment="0" applyProtection="0"/>
    <xf numFmtId="0" fontId="3" fillId="0" borderId="37" applyNumberFormat="0" applyFill="0" applyAlignment="0" applyProtection="0"/>
    <xf numFmtId="0" fontId="4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4" fillId="48" borderId="0" applyNumberFormat="0" applyBorder="0" applyAlignment="0" applyProtection="0"/>
    <xf numFmtId="0" fontId="4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4" fillId="52" borderId="0" applyNumberFormat="0" applyBorder="0" applyAlignment="0" applyProtection="0"/>
    <xf numFmtId="0" fontId="4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4" fillId="56" borderId="0" applyNumberFormat="0" applyBorder="0" applyAlignment="0" applyProtection="0"/>
    <xf numFmtId="0" fontId="4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4" fillId="68" borderId="0" applyNumberFormat="0" applyBorder="0" applyAlignment="0" applyProtection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127" fillId="0" borderId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127" fillId="0" borderId="0"/>
    <xf numFmtId="0" fontId="127" fillId="0" borderId="0"/>
    <xf numFmtId="9" fontId="25" fillId="0" borderId="0" applyFont="0" applyFill="0" applyBorder="0" applyAlignment="0" applyProtection="0"/>
    <xf numFmtId="0" fontId="127" fillId="0" borderId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127" fillId="0" borderId="0"/>
    <xf numFmtId="0" fontId="127" fillId="0" borderId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127" fillId="0" borderId="0"/>
    <xf numFmtId="0" fontId="127" fillId="0" borderId="0"/>
    <xf numFmtId="0" fontId="47" fillId="15" borderId="17" applyNumberFormat="0" applyAlignment="0" applyProtection="0"/>
    <xf numFmtId="0" fontId="47" fillId="15" borderId="17" applyNumberFormat="0" applyAlignment="0" applyProtection="0"/>
    <xf numFmtId="0" fontId="127" fillId="0" borderId="0"/>
    <xf numFmtId="9" fontId="25" fillId="0" borderId="0" applyFont="0" applyFill="0" applyBorder="0" applyAlignment="0" applyProtection="0"/>
    <xf numFmtId="0" fontId="127" fillId="0" borderId="0"/>
    <xf numFmtId="0" fontId="47" fillId="15" borderId="17" applyNumberFormat="0" applyAlignment="0" applyProtection="0"/>
    <xf numFmtId="0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9" fontId="12" fillId="0" borderId="0" applyFont="0" applyFill="0" applyBorder="0" applyAlignment="0" applyProtection="0"/>
    <xf numFmtId="0" fontId="127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" fillId="0" borderId="0"/>
    <xf numFmtId="9" fontId="1" fillId="0" borderId="0" applyFont="0" applyFill="0" applyBorder="0" applyAlignment="0" applyProtection="0"/>
    <xf numFmtId="0" fontId="12" fillId="0" borderId="0"/>
    <xf numFmtId="43" fontId="1" fillId="0" borderId="0" applyFont="0" applyFill="0" applyBorder="0" applyAlignment="0" applyProtection="0"/>
    <xf numFmtId="0" fontId="16" fillId="0" borderId="0"/>
    <xf numFmtId="9" fontId="1" fillId="0" borderId="0" applyFont="0" applyFill="0" applyBorder="0" applyAlignment="0" applyProtection="0"/>
    <xf numFmtId="0" fontId="16" fillId="0" borderId="0"/>
    <xf numFmtId="0" fontId="1" fillId="0" borderId="0"/>
    <xf numFmtId="0" fontId="1" fillId="0" borderId="0"/>
    <xf numFmtId="0" fontId="114" fillId="0" borderId="0" applyNumberFormat="0" applyFill="0" applyBorder="0" applyAlignment="0" applyProtection="0"/>
    <xf numFmtId="0" fontId="115" fillId="0" borderId="29" applyNumberFormat="0" applyFill="0" applyAlignment="0" applyProtection="0"/>
    <xf numFmtId="0" fontId="116" fillId="0" borderId="30" applyNumberFormat="0" applyFill="0" applyAlignment="0" applyProtection="0"/>
    <xf numFmtId="0" fontId="117" fillId="0" borderId="31" applyNumberFormat="0" applyFill="0" applyAlignment="0" applyProtection="0"/>
    <xf numFmtId="0" fontId="117" fillId="0" borderId="0" applyNumberFormat="0" applyFill="0" applyBorder="0" applyAlignment="0" applyProtection="0"/>
    <xf numFmtId="0" fontId="118" fillId="38" borderId="0" applyNumberFormat="0" applyBorder="0" applyAlignment="0" applyProtection="0"/>
    <xf numFmtId="0" fontId="119" fillId="39" borderId="0" applyNumberFormat="0" applyBorder="0" applyAlignment="0" applyProtection="0"/>
    <xf numFmtId="0" fontId="120" fillId="40" borderId="0" applyNumberFormat="0" applyBorder="0" applyAlignment="0" applyProtection="0"/>
    <xf numFmtId="0" fontId="121" fillId="41" borderId="32" applyNumberFormat="0" applyAlignment="0" applyProtection="0"/>
    <xf numFmtId="0" fontId="122" fillId="42" borderId="33" applyNumberFormat="0" applyAlignment="0" applyProtection="0"/>
    <xf numFmtId="0" fontId="123" fillId="42" borderId="32" applyNumberFormat="0" applyAlignment="0" applyProtection="0"/>
    <xf numFmtId="0" fontId="124" fillId="0" borderId="34" applyNumberFormat="0" applyFill="0" applyAlignment="0" applyProtection="0"/>
    <xf numFmtId="0" fontId="125" fillId="43" borderId="35" applyNumberFormat="0" applyAlignment="0" applyProtection="0"/>
    <xf numFmtId="0" fontId="2" fillId="0" borderId="0" applyNumberFormat="0" applyFill="0" applyBorder="0" applyAlignment="0" applyProtection="0"/>
    <xf numFmtId="0" fontId="1" fillId="44" borderId="36" applyNumberFormat="0" applyFont="0" applyAlignment="0" applyProtection="0"/>
    <xf numFmtId="0" fontId="126" fillId="0" borderId="0" applyNumberFormat="0" applyFill="0" applyBorder="0" applyAlignment="0" applyProtection="0"/>
    <xf numFmtId="0" fontId="3" fillId="0" borderId="37" applyNumberFormat="0" applyFill="0" applyAlignment="0" applyProtection="0"/>
    <xf numFmtId="0" fontId="4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4" fillId="48" borderId="0" applyNumberFormat="0" applyBorder="0" applyAlignment="0" applyProtection="0"/>
    <xf numFmtId="0" fontId="4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4" fillId="52" borderId="0" applyNumberFormat="0" applyBorder="0" applyAlignment="0" applyProtection="0"/>
    <xf numFmtId="0" fontId="4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4" fillId="56" borderId="0" applyNumberFormat="0" applyBorder="0" applyAlignment="0" applyProtection="0"/>
    <xf numFmtId="0" fontId="4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4" fillId="60" borderId="0" applyNumberFormat="0" applyBorder="0" applyAlignment="0" applyProtection="0"/>
    <xf numFmtId="0" fontId="4" fillId="61" borderId="0" applyNumberFormat="0" applyBorder="0" applyAlignment="0" applyProtection="0"/>
    <xf numFmtId="0" fontId="1" fillId="62" borderId="0" applyNumberFormat="0" applyBorder="0" applyAlignment="0" applyProtection="0"/>
    <xf numFmtId="0" fontId="1" fillId="63" borderId="0" applyNumberFormat="0" applyBorder="0" applyAlignment="0" applyProtection="0"/>
    <xf numFmtId="0" fontId="4" fillId="64" borderId="0" applyNumberFormat="0" applyBorder="0" applyAlignment="0" applyProtection="0"/>
    <xf numFmtId="0" fontId="4" fillId="65" borderId="0" applyNumberFormat="0" applyBorder="0" applyAlignment="0" applyProtection="0"/>
    <xf numFmtId="0" fontId="1" fillId="66" borderId="0" applyNumberFormat="0" applyBorder="0" applyAlignment="0" applyProtection="0"/>
    <xf numFmtId="0" fontId="1" fillId="67" borderId="0" applyNumberFormat="0" applyBorder="0" applyAlignment="0" applyProtection="0"/>
    <xf numFmtId="0" fontId="4" fillId="68" borderId="0" applyNumberFormat="0" applyBorder="0" applyAlignment="0" applyProtection="0"/>
    <xf numFmtId="0" fontId="121" fillId="41" borderId="32" applyNumberFormat="0" applyAlignment="0" applyProtection="0"/>
    <xf numFmtId="0" fontId="1" fillId="0" borderId="0"/>
    <xf numFmtId="9" fontId="1" fillId="0" borderId="0" applyFont="0" applyFill="0" applyBorder="0" applyAlignment="0" applyProtection="0"/>
    <xf numFmtId="0" fontId="121" fillId="41" borderId="32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12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36" fillId="10" borderId="0" applyNumberFormat="0" applyBorder="0" applyAlignment="0" applyProtection="0"/>
    <xf numFmtId="0" fontId="36" fillId="11" borderId="0" applyNumberFormat="0" applyBorder="0" applyAlignment="0" applyProtection="0"/>
    <xf numFmtId="0" fontId="36" fillId="12" borderId="0" applyNumberFormat="0" applyBorder="0" applyAlignment="0" applyProtection="0"/>
    <xf numFmtId="0" fontId="36" fillId="13" borderId="0" applyNumberFormat="0" applyBorder="0" applyAlignment="0" applyProtection="0"/>
    <xf numFmtId="0" fontId="36" fillId="14" borderId="0" applyNumberFormat="0" applyBorder="0" applyAlignment="0" applyProtection="0"/>
    <xf numFmtId="0" fontId="36" fillId="15" borderId="0" applyNumberFormat="0" applyBorder="0" applyAlignment="0" applyProtection="0"/>
    <xf numFmtId="0" fontId="36" fillId="16" borderId="0" applyNumberFormat="0" applyBorder="0" applyAlignment="0" applyProtection="0"/>
    <xf numFmtId="0" fontId="36" fillId="17" borderId="0" applyNumberFormat="0" applyBorder="0" applyAlignment="0" applyProtection="0"/>
    <xf numFmtId="0" fontId="36" fillId="18" borderId="0" applyNumberFormat="0" applyBorder="0" applyAlignment="0" applyProtection="0"/>
    <xf numFmtId="0" fontId="36" fillId="13" borderId="0" applyNumberFormat="0" applyBorder="0" applyAlignment="0" applyProtection="0"/>
    <xf numFmtId="0" fontId="36" fillId="16" borderId="0" applyNumberFormat="0" applyBorder="0" applyAlignment="0" applyProtection="0"/>
    <xf numFmtId="0" fontId="36" fillId="19" borderId="0" applyNumberFormat="0" applyBorder="0" applyAlignment="0" applyProtection="0"/>
    <xf numFmtId="0" fontId="37" fillId="20" borderId="0" applyNumberFormat="0" applyBorder="0" applyAlignment="0" applyProtection="0"/>
    <xf numFmtId="0" fontId="37" fillId="17" borderId="0" applyNumberFormat="0" applyBorder="0" applyAlignment="0" applyProtection="0"/>
    <xf numFmtId="0" fontId="37" fillId="18" borderId="0" applyNumberFormat="0" applyBorder="0" applyAlignment="0" applyProtection="0"/>
    <xf numFmtId="0" fontId="37" fillId="21" borderId="0" applyNumberFormat="0" applyBorder="0" applyAlignment="0" applyProtection="0"/>
    <xf numFmtId="0" fontId="37" fillId="22" borderId="0" applyNumberFormat="0" applyBorder="0" applyAlignment="0" applyProtection="0"/>
    <xf numFmtId="0" fontId="37" fillId="23" borderId="0" applyNumberFormat="0" applyBorder="0" applyAlignment="0" applyProtection="0"/>
    <xf numFmtId="0" fontId="37" fillId="24" borderId="0" applyNumberFormat="0" applyBorder="0" applyAlignment="0" applyProtection="0"/>
    <xf numFmtId="0" fontId="37" fillId="25" borderId="0" applyNumberFormat="0" applyBorder="0" applyAlignment="0" applyProtection="0"/>
    <xf numFmtId="0" fontId="37" fillId="26" borderId="0" applyNumberFormat="0" applyBorder="0" applyAlignment="0" applyProtection="0"/>
    <xf numFmtId="0" fontId="37" fillId="21" borderId="0" applyNumberFormat="0" applyBorder="0" applyAlignment="0" applyProtection="0"/>
    <xf numFmtId="0" fontId="37" fillId="22" borderId="0" applyNumberFormat="0" applyBorder="0" applyAlignment="0" applyProtection="0"/>
    <xf numFmtId="0" fontId="37" fillId="27" borderId="0" applyNumberFormat="0" applyBorder="0" applyAlignment="0" applyProtection="0"/>
    <xf numFmtId="0" fontId="38" fillId="11" borderId="0" applyNumberFormat="0" applyBorder="0" applyAlignment="0" applyProtection="0"/>
    <xf numFmtId="0" fontId="39" fillId="28" borderId="17" applyNumberFormat="0" applyAlignment="0" applyProtection="0"/>
    <xf numFmtId="0" fontId="40" fillId="29" borderId="18" applyNumberFormat="0" applyAlignment="0" applyProtection="0"/>
    <xf numFmtId="0" fontId="41" fillId="0" borderId="0" applyNumberFormat="0" applyFill="0" applyBorder="0" applyAlignment="0" applyProtection="0"/>
    <xf numFmtId="0" fontId="42" fillId="12" borderId="0" applyNumberFormat="0" applyBorder="0" applyAlignment="0" applyProtection="0"/>
    <xf numFmtId="0" fontId="47" fillId="15" borderId="17" applyNumberFormat="0" applyAlignment="0" applyProtection="0"/>
    <xf numFmtId="0" fontId="48" fillId="0" borderId="23" applyNumberFormat="0" applyFill="0" applyAlignment="0" applyProtection="0"/>
    <xf numFmtId="0" fontId="49" fillId="9" borderId="0" applyNumberFormat="0" applyBorder="0" applyAlignment="0" applyProtection="0"/>
    <xf numFmtId="0" fontId="50" fillId="28" borderId="25" applyNumberFormat="0" applyAlignment="0" applyProtection="0"/>
    <xf numFmtId="0" fontId="52" fillId="0" borderId="26" applyNumberFormat="0" applyFill="0" applyAlignment="0" applyProtection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0" fontId="127" fillId="0" borderId="0"/>
    <xf numFmtId="0" fontId="47" fillId="15" borderId="17" applyNumberFormat="0" applyAlignment="0" applyProtection="0"/>
    <xf numFmtId="0" fontId="25" fillId="0" borderId="0"/>
    <xf numFmtId="44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127" fillId="0" borderId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136" fillId="0" borderId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0" fontId="47" fillId="15" borderId="17" applyNumberFormat="0" applyAlignment="0" applyProtection="0"/>
    <xf numFmtId="0" fontId="136" fillId="0" borderId="0"/>
    <xf numFmtId="0" fontId="136" fillId="0" borderId="0"/>
    <xf numFmtId="0" fontId="47" fillId="15" borderId="17" applyNumberFormat="0" applyAlignment="0" applyProtection="0"/>
    <xf numFmtId="9" fontId="25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93">
    <xf numFmtId="0" fontId="0" fillId="0" borderId="0" xfId="0"/>
    <xf numFmtId="0" fontId="0" fillId="2" borderId="0" xfId="0" applyFill="1"/>
    <xf numFmtId="1" fontId="6" fillId="0" borderId="0" xfId="0" applyNumberFormat="1" applyFont="1" applyAlignment="1">
      <alignment horizontal="center"/>
    </xf>
    <xf numFmtId="1" fontId="6" fillId="0" borderId="0" xfId="0" applyNumberFormat="1" applyFont="1" applyAlignment="1">
      <alignment horizontal="left"/>
    </xf>
    <xf numFmtId="1" fontId="7" fillId="0" borderId="0" xfId="0" applyNumberFormat="1" applyFont="1" applyAlignment="1">
      <alignment horizontal="center"/>
    </xf>
    <xf numFmtId="166" fontId="7" fillId="0" borderId="0" xfId="0" applyNumberFormat="1" applyFont="1"/>
    <xf numFmtId="164" fontId="7" fillId="0" borderId="0" xfId="0" applyNumberFormat="1" applyFont="1"/>
    <xf numFmtId="165" fontId="7" fillId="0" borderId="0" xfId="0" applyNumberFormat="1" applyFont="1"/>
    <xf numFmtId="164" fontId="8" fillId="0" borderId="0" xfId="0" applyNumberFormat="1" applyFont="1"/>
    <xf numFmtId="167" fontId="7" fillId="0" borderId="0" xfId="0" applyNumberFormat="1" applyFont="1" applyAlignment="1">
      <alignment horizontal="center"/>
    </xf>
    <xf numFmtId="9" fontId="7" fillId="0" borderId="0" xfId="3" applyFont="1" applyFill="1"/>
    <xf numFmtId="169" fontId="7" fillId="0" borderId="0" xfId="3" applyNumberFormat="1" applyFont="1" applyFill="1"/>
    <xf numFmtId="166" fontId="0" fillId="0" borderId="0" xfId="0" applyNumberFormat="1"/>
    <xf numFmtId="165" fontId="0" fillId="0" borderId="0" xfId="0" applyNumberFormat="1"/>
    <xf numFmtId="0" fontId="17" fillId="0" borderId="0" xfId="0" applyFont="1"/>
    <xf numFmtId="167" fontId="7" fillId="0" borderId="0" xfId="0" applyNumberFormat="1" applyFont="1"/>
    <xf numFmtId="49" fontId="7" fillId="0" borderId="0" xfId="0" applyNumberFormat="1" applyFont="1" applyAlignment="1">
      <alignment horizontal="center" vertical="center"/>
    </xf>
    <xf numFmtId="0" fontId="0" fillId="0" borderId="0" xfId="0" applyAlignment="1">
      <alignment horizontal="left"/>
    </xf>
    <xf numFmtId="164" fontId="0" fillId="0" borderId="0" xfId="0" applyNumberFormat="1"/>
    <xf numFmtId="0" fontId="16" fillId="0" borderId="0" xfId="0" applyFont="1"/>
    <xf numFmtId="37" fontId="6" fillId="0" borderId="0" xfId="0" applyNumberFormat="1" applyFont="1" applyAlignment="1">
      <alignment horizontal="right" wrapText="1"/>
    </xf>
    <xf numFmtId="37" fontId="6" fillId="0" borderId="7" xfId="0" applyNumberFormat="1" applyFont="1" applyBorder="1" applyAlignment="1">
      <alignment horizontal="right" wrapText="1"/>
    </xf>
    <xf numFmtId="0" fontId="22" fillId="2" borderId="8" xfId="0" applyFont="1" applyFill="1" applyBorder="1" applyAlignment="1">
      <alignment wrapText="1"/>
    </xf>
    <xf numFmtId="0" fontId="22" fillId="2" borderId="9" xfId="0" applyFont="1" applyFill="1" applyBorder="1" applyAlignment="1">
      <alignment wrapText="1"/>
    </xf>
    <xf numFmtId="0" fontId="16" fillId="0" borderId="10" xfId="0" applyFont="1" applyBorder="1" applyAlignment="1">
      <alignment horizontal="right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6" fillId="4" borderId="11" xfId="0" applyFont="1" applyFill="1" applyBorder="1" applyAlignment="1">
      <alignment horizontal="center"/>
    </xf>
    <xf numFmtId="0" fontId="22" fillId="2" borderId="12" xfId="0" applyFont="1" applyFill="1" applyBorder="1" applyAlignment="1">
      <alignment horizontal="center" wrapText="1"/>
    </xf>
    <xf numFmtId="0" fontId="19" fillId="0" borderId="0" xfId="0" applyFont="1"/>
    <xf numFmtId="0" fontId="19" fillId="0" borderId="0" xfId="0" applyFont="1" applyAlignment="1">
      <alignment horizontal="center"/>
    </xf>
    <xf numFmtId="0" fontId="23" fillId="0" borderId="0" xfId="0" applyFont="1"/>
    <xf numFmtId="0" fontId="20" fillId="0" borderId="0" xfId="0" applyFont="1" applyAlignment="1">
      <alignment horizontal="left"/>
    </xf>
    <xf numFmtId="0" fontId="21" fillId="0" borderId="0" xfId="0" applyFont="1"/>
    <xf numFmtId="0" fontId="21" fillId="0" borderId="0" xfId="0" applyFont="1" applyAlignment="1">
      <alignment horizontal="center"/>
    </xf>
    <xf numFmtId="0" fontId="24" fillId="0" borderId="10" xfId="0" applyFont="1" applyBorder="1" applyAlignment="1">
      <alignment horizontal="right"/>
    </xf>
    <xf numFmtId="168" fontId="0" fillId="0" borderId="0" xfId="0" applyNumberFormat="1"/>
    <xf numFmtId="168" fontId="0" fillId="0" borderId="0" xfId="1" applyNumberFormat="1" applyFont="1"/>
    <xf numFmtId="0" fontId="3" fillId="0" borderId="0" xfId="0" applyFont="1"/>
    <xf numFmtId="0" fontId="5" fillId="0" borderId="0" xfId="0" applyFont="1"/>
    <xf numFmtId="164" fontId="6" fillId="0" borderId="0" xfId="0" applyNumberFormat="1" applyFont="1"/>
    <xf numFmtId="0" fontId="10" fillId="0" borderId="0" xfId="4" applyFont="1" applyFill="1" applyAlignment="1" applyProtection="1"/>
    <xf numFmtId="0" fontId="11" fillId="0" borderId="0" xfId="0" applyFont="1"/>
    <xf numFmtId="0" fontId="15" fillId="0" borderId="0" xfId="0" applyFont="1" applyAlignment="1">
      <alignment horizontal="center"/>
    </xf>
    <xf numFmtId="0" fontId="26" fillId="0" borderId="0" xfId="0" applyFont="1"/>
    <xf numFmtId="0" fontId="27" fillId="0" borderId="0" xfId="0" applyFont="1"/>
    <xf numFmtId="0" fontId="29" fillId="4" borderId="11" xfId="0" applyFont="1" applyFill="1" applyBorder="1" applyAlignment="1">
      <alignment horizontal="center"/>
    </xf>
    <xf numFmtId="0" fontId="13" fillId="0" borderId="0" xfId="4" applyFont="1" applyFill="1" applyBorder="1" applyAlignment="1" applyProtection="1">
      <alignment horizontal="center"/>
    </xf>
    <xf numFmtId="0" fontId="1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2" fillId="0" borderId="0" xfId="0" applyFont="1"/>
    <xf numFmtId="43" fontId="32" fillId="0" borderId="0" xfId="1" applyFont="1"/>
    <xf numFmtId="43" fontId="0" fillId="0" borderId="0" xfId="1" applyFont="1"/>
    <xf numFmtId="43" fontId="3" fillId="0" borderId="0" xfId="1" applyFont="1" applyAlignment="1">
      <alignment wrapText="1"/>
    </xf>
    <xf numFmtId="9" fontId="0" fillId="5" borderId="0" xfId="3" applyFont="1" applyFill="1" applyBorder="1"/>
    <xf numFmtId="9" fontId="0" fillId="0" borderId="0" xfId="3" applyFont="1"/>
    <xf numFmtId="0" fontId="7" fillId="0" borderId="0" xfId="0" applyFont="1"/>
    <xf numFmtId="1" fontId="7" fillId="4" borderId="11" xfId="0" applyNumberFormat="1" applyFont="1" applyFill="1" applyBorder="1" applyAlignment="1">
      <alignment horizontal="left"/>
    </xf>
    <xf numFmtId="44" fontId="7" fillId="4" borderId="11" xfId="2" applyFont="1" applyFill="1" applyBorder="1" applyAlignment="1">
      <alignment horizontal="left"/>
    </xf>
    <xf numFmtId="9" fontId="0" fillId="0" borderId="0" xfId="0" applyNumberFormat="1"/>
    <xf numFmtId="4" fontId="0" fillId="4" borderId="11" xfId="0" applyNumberFormat="1" applyFill="1" applyBorder="1"/>
    <xf numFmtId="164" fontId="7" fillId="0" borderId="0" xfId="0" applyNumberFormat="1" applyFont="1" applyAlignment="1">
      <alignment horizontal="center" vertical="center"/>
    </xf>
    <xf numFmtId="170" fontId="7" fillId="0" borderId="0" xfId="1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5" fontId="0" fillId="0" borderId="7" xfId="3" applyNumberFormat="1" applyFont="1" applyBorder="1"/>
    <xf numFmtId="0" fontId="3" fillId="34" borderId="0" xfId="0" applyFont="1" applyFill="1" applyAlignment="1">
      <alignment horizontal="center"/>
    </xf>
    <xf numFmtId="37" fontId="0" fillId="34" borderId="0" xfId="0" applyNumberFormat="1" applyFill="1"/>
    <xf numFmtId="0" fontId="2" fillId="0" borderId="0" xfId="0" applyFont="1"/>
    <xf numFmtId="0" fontId="3" fillId="34" borderId="0" xfId="0" applyFont="1" applyFill="1"/>
    <xf numFmtId="43" fontId="0" fillId="0" borderId="7" xfId="0" applyNumberFormat="1" applyBorder="1"/>
    <xf numFmtId="0" fontId="112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0" xfId="0" applyAlignment="1">
      <alignment wrapText="1"/>
    </xf>
    <xf numFmtId="170" fontId="0" fillId="0" borderId="0" xfId="1" applyNumberFormat="1" applyFont="1"/>
    <xf numFmtId="167" fontId="0" fillId="0" borderId="0" xfId="1" applyNumberFormat="1" applyFont="1"/>
    <xf numFmtId="170" fontId="0" fillId="0" borderId="0" xfId="0" applyNumberFormat="1"/>
    <xf numFmtId="43" fontId="0" fillId="0" borderId="0" xfId="0" applyNumberFormat="1"/>
    <xf numFmtId="0" fontId="109" fillId="0" borderId="0" xfId="0" applyFont="1"/>
    <xf numFmtId="168" fontId="0" fillId="0" borderId="0" xfId="1" applyNumberFormat="1" applyFont="1" applyFill="1"/>
    <xf numFmtId="192" fontId="0" fillId="0" borderId="0" xfId="0" applyNumberFormat="1"/>
    <xf numFmtId="170" fontId="0" fillId="0" borderId="0" xfId="1" applyNumberFormat="1" applyFont="1" applyFill="1"/>
    <xf numFmtId="167" fontId="0" fillId="0" borderId="0" xfId="1" applyNumberFormat="1" applyFont="1" applyFill="1"/>
    <xf numFmtId="0" fontId="110" fillId="0" borderId="0" xfId="0" applyFont="1"/>
    <xf numFmtId="0" fontId="9" fillId="0" borderId="0" xfId="4" applyAlignment="1" applyProtection="1"/>
    <xf numFmtId="193" fontId="0" fillId="0" borderId="0" xfId="2" applyNumberFormat="1" applyFont="1" applyFill="1"/>
    <xf numFmtId="193" fontId="0" fillId="0" borderId="0" xfId="2" applyNumberFormat="1" applyFont="1"/>
    <xf numFmtId="174" fontId="3" fillId="0" borderId="2" xfId="0" applyNumberFormat="1" applyFont="1" applyBorder="1" applyAlignment="1">
      <alignment horizontal="center"/>
    </xf>
    <xf numFmtId="0" fontId="3" fillId="0" borderId="0" xfId="0" applyFont="1" applyAlignment="1">
      <alignment horizontal="right"/>
    </xf>
    <xf numFmtId="0" fontId="0" fillId="35" borderId="0" xfId="0" applyFill="1"/>
    <xf numFmtId="0" fontId="0" fillId="36" borderId="0" xfId="0" applyFill="1"/>
    <xf numFmtId="1" fontId="7" fillId="0" borderId="0" xfId="0" applyNumberFormat="1" applyFont="1"/>
    <xf numFmtId="1" fontId="8" fillId="0" borderId="0" xfId="0" applyNumberFormat="1" applyFont="1"/>
    <xf numFmtId="1" fontId="7" fillId="0" borderId="0" xfId="0" applyNumberFormat="1" applyFont="1" applyAlignment="1">
      <alignment horizontal="center" vertical="center"/>
    </xf>
    <xf numFmtId="1" fontId="7" fillId="0" borderId="0" xfId="1" applyNumberFormat="1" applyFont="1" applyFill="1" applyAlignment="1">
      <alignment horizontal="center" vertical="center"/>
    </xf>
    <xf numFmtId="1" fontId="0" fillId="0" borderId="0" xfId="0" applyNumberFormat="1"/>
    <xf numFmtId="0" fontId="3" fillId="0" borderId="0" xfId="0" applyFont="1" applyAlignment="1">
      <alignment horizontal="left"/>
    </xf>
    <xf numFmtId="0" fontId="14" fillId="0" borderId="0" xfId="0" applyFont="1" applyAlignment="1">
      <alignment horizontal="center" vertical="center"/>
    </xf>
    <xf numFmtId="0" fontId="0" fillId="35" borderId="0" xfId="0" applyFill="1" applyAlignment="1">
      <alignment horizontal="center" vertical="center"/>
    </xf>
    <xf numFmtId="0" fontId="0" fillId="35" borderId="0" xfId="0" applyFill="1" applyAlignment="1">
      <alignment horizontal="center" vertical="center" wrapText="1"/>
    </xf>
    <xf numFmtId="174" fontId="0" fillId="35" borderId="0" xfId="0" applyNumberFormat="1" applyFill="1" applyAlignment="1">
      <alignment horizontal="center" vertical="center" wrapText="1"/>
    </xf>
    <xf numFmtId="0" fontId="0" fillId="36" borderId="0" xfId="0" applyFill="1" applyAlignment="1">
      <alignment horizontal="center" vertical="center" wrapText="1"/>
    </xf>
    <xf numFmtId="3" fontId="0" fillId="0" borderId="0" xfId="2" applyNumberFormat="1" applyFont="1"/>
    <xf numFmtId="38" fontId="0" fillId="0" borderId="0" xfId="2" applyNumberFormat="1" applyFont="1"/>
    <xf numFmtId="194" fontId="0" fillId="0" borderId="0" xfId="2" applyNumberFormat="1" applyFont="1"/>
    <xf numFmtId="1" fontId="0" fillId="35" borderId="0" xfId="0" applyNumberFormat="1" applyFill="1" applyAlignment="1">
      <alignment horizontal="center" vertical="center" wrapText="1"/>
    </xf>
    <xf numFmtId="0" fontId="0" fillId="36" borderId="0" xfId="0" applyFill="1" applyAlignment="1">
      <alignment horizontal="center" vertical="center"/>
    </xf>
    <xf numFmtId="174" fontId="0" fillId="36" borderId="0" xfId="0" applyNumberFormat="1" applyFill="1" applyAlignment="1">
      <alignment horizontal="center" vertical="center" wrapText="1"/>
    </xf>
    <xf numFmtId="1" fontId="0" fillId="36" borderId="0" xfId="0" applyNumberFormat="1" applyFill="1" applyAlignment="1">
      <alignment horizontal="center" vertical="center" wrapText="1"/>
    </xf>
    <xf numFmtId="193" fontId="0" fillId="0" borderId="0" xfId="0" applyNumberFormat="1"/>
    <xf numFmtId="194" fontId="0" fillId="0" borderId="0" xfId="2" quotePrefix="1" applyNumberFormat="1" applyFont="1"/>
    <xf numFmtId="194" fontId="0" fillId="0" borderId="0" xfId="0" applyNumberFormat="1"/>
    <xf numFmtId="0" fontId="0" fillId="35" borderId="0" xfId="0" quotePrefix="1" applyFill="1"/>
    <xf numFmtId="0" fontId="0" fillId="36" borderId="0" xfId="0" quotePrefix="1" applyFill="1"/>
    <xf numFmtId="0" fontId="113" fillId="0" borderId="0" xfId="0" applyFont="1"/>
    <xf numFmtId="0" fontId="3" fillId="35" borderId="0" xfId="0" applyFont="1" applyFill="1" applyAlignment="1">
      <alignment horizontal="center"/>
    </xf>
    <xf numFmtId="37" fontId="0" fillId="0" borderId="0" xfId="1" applyNumberFormat="1" applyFont="1" applyFill="1" applyBorder="1"/>
    <xf numFmtId="37" fontId="0" fillId="0" borderId="0" xfId="2" applyNumberFormat="1" applyFont="1" applyFill="1" applyBorder="1"/>
    <xf numFmtId="37" fontId="0" fillId="0" borderId="0" xfId="1" quotePrefix="1" applyNumberFormat="1" applyFont="1" applyFill="1" applyBorder="1"/>
    <xf numFmtId="0" fontId="3" fillId="36" borderId="0" xfId="0" applyFont="1" applyFill="1" applyAlignment="1">
      <alignment horizontal="center"/>
    </xf>
    <xf numFmtId="37" fontId="0" fillId="0" borderId="0" xfId="0" applyNumberFormat="1"/>
    <xf numFmtId="0" fontId="28" fillId="0" borderId="1" xfId="0" applyFont="1" applyBorder="1" applyAlignment="1">
      <alignment horizontal="center"/>
    </xf>
    <xf numFmtId="195" fontId="0" fillId="4" borderId="11" xfId="0" applyNumberFormat="1" applyFill="1" applyBorder="1"/>
    <xf numFmtId="174" fontId="3" fillId="0" borderId="3" xfId="0" applyNumberFormat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39" fontId="0" fillId="0" borderId="0" xfId="1" applyNumberFormat="1" applyFont="1" applyFill="1" applyBorder="1"/>
    <xf numFmtId="4" fontId="0" fillId="0" borderId="0" xfId="0" applyNumberFormat="1"/>
    <xf numFmtId="4" fontId="128" fillId="0" borderId="0" xfId="1023" applyNumberFormat="1" applyFont="1"/>
    <xf numFmtId="4" fontId="128" fillId="0" borderId="0" xfId="1100" applyNumberFormat="1" applyFont="1"/>
    <xf numFmtId="4" fontId="128" fillId="0" borderId="0" xfId="148" applyNumberFormat="1" applyFont="1" applyFill="1" applyBorder="1"/>
    <xf numFmtId="172" fontId="128" fillId="0" borderId="0" xfId="1030" applyNumberFormat="1" applyFont="1"/>
    <xf numFmtId="171" fontId="131" fillId="0" borderId="0" xfId="5" applyNumberFormat="1" applyFont="1"/>
    <xf numFmtId="172" fontId="128" fillId="0" borderId="0" xfId="1018" applyNumberFormat="1" applyFont="1"/>
    <xf numFmtId="171" fontId="131" fillId="0" borderId="1" xfId="5" applyNumberFormat="1" applyFont="1" applyBorder="1"/>
    <xf numFmtId="172" fontId="128" fillId="0" borderId="1" xfId="1018" applyNumberFormat="1" applyFont="1" applyBorder="1"/>
    <xf numFmtId="172" fontId="128" fillId="0" borderId="0" xfId="1011" applyNumberFormat="1" applyFont="1"/>
    <xf numFmtId="171" fontId="130" fillId="0" borderId="0" xfId="5" applyNumberFormat="1" applyFont="1"/>
    <xf numFmtId="0" fontId="132" fillId="2" borderId="0" xfId="0" applyFont="1" applyFill="1"/>
    <xf numFmtId="0" fontId="133" fillId="2" borderId="0" xfId="4" applyFont="1" applyFill="1" applyAlignment="1" applyProtection="1"/>
    <xf numFmtId="0" fontId="134" fillId="2" borderId="0" xfId="4" applyFont="1" applyFill="1" applyAlignment="1" applyProtection="1"/>
    <xf numFmtId="0" fontId="29" fillId="0" borderId="13" xfId="0" applyFont="1" applyBorder="1" applyAlignment="1">
      <alignment horizontal="left" wrapText="1"/>
    </xf>
    <xf numFmtId="0" fontId="129" fillId="0" borderId="13" xfId="0" applyFont="1" applyBorder="1" applyAlignment="1">
      <alignment wrapText="1"/>
    </xf>
    <xf numFmtId="174" fontId="129" fillId="0" borderId="0" xfId="1096" applyNumberFormat="1" applyFont="1"/>
    <xf numFmtId="168" fontId="128" fillId="0" borderId="0" xfId="148" applyNumberFormat="1" applyFont="1"/>
    <xf numFmtId="8" fontId="128" fillId="0" borderId="0" xfId="803" applyNumberFormat="1" applyFont="1"/>
    <xf numFmtId="172" fontId="128" fillId="0" borderId="0" xfId="803" applyNumberFormat="1" applyFont="1"/>
    <xf numFmtId="172" fontId="128" fillId="0" borderId="0" xfId="1222" applyNumberFormat="1" applyFont="1"/>
    <xf numFmtId="168" fontId="128" fillId="0" borderId="1" xfId="148" applyNumberFormat="1" applyFont="1" applyBorder="1"/>
    <xf numFmtId="8" fontId="128" fillId="0" borderId="1" xfId="803" applyNumberFormat="1" applyFont="1" applyBorder="1"/>
    <xf numFmtId="172" fontId="128" fillId="0" borderId="1" xfId="803" applyNumberFormat="1" applyFont="1" applyBorder="1"/>
    <xf numFmtId="172" fontId="128" fillId="0" borderId="0" xfId="1107" applyNumberFormat="1" applyFont="1"/>
    <xf numFmtId="172" fontId="128" fillId="0" borderId="1" xfId="1107" applyNumberFormat="1" applyFont="1" applyBorder="1"/>
    <xf numFmtId="4" fontId="129" fillId="0" borderId="0" xfId="1006" applyNumberFormat="1" applyFont="1"/>
    <xf numFmtId="4" fontId="128" fillId="0" borderId="0" xfId="803" applyNumberFormat="1" applyFont="1" applyFill="1" applyBorder="1"/>
    <xf numFmtId="172" fontId="128" fillId="0" borderId="0" xfId="803" applyNumberFormat="1" applyFont="1" applyFill="1" applyBorder="1"/>
    <xf numFmtId="168" fontId="128" fillId="0" borderId="0" xfId="148" applyNumberFormat="1" applyFont="1" applyBorder="1"/>
    <xf numFmtId="44" fontId="135" fillId="0" borderId="0" xfId="803" applyFont="1" applyBorder="1"/>
    <xf numFmtId="172" fontId="128" fillId="0" borderId="0" xfId="1006" applyNumberFormat="1" applyFont="1"/>
    <xf numFmtId="174" fontId="129" fillId="0" borderId="0" xfId="1006" applyNumberFormat="1" applyFont="1"/>
    <xf numFmtId="44" fontId="128" fillId="0" borderId="0" xfId="803" applyFont="1" applyBorder="1"/>
    <xf numFmtId="172" fontId="128" fillId="0" borderId="0" xfId="803" applyNumberFormat="1" applyFont="1" applyBorder="1"/>
    <xf numFmtId="174" fontId="129" fillId="0" borderId="0" xfId="782" applyNumberFormat="1" applyFont="1"/>
    <xf numFmtId="172" fontId="128" fillId="0" borderId="0" xfId="782" applyNumberFormat="1" applyFont="1"/>
    <xf numFmtId="44" fontId="0" fillId="0" borderId="0" xfId="0" applyNumberFormat="1"/>
    <xf numFmtId="174" fontId="129" fillId="0" borderId="0" xfId="0" applyNumberFormat="1" applyFont="1"/>
    <xf numFmtId="174" fontId="129" fillId="0" borderId="1" xfId="0" applyNumberFormat="1" applyFont="1" applyBorder="1"/>
    <xf numFmtId="0" fontId="4" fillId="69" borderId="0" xfId="0" applyFont="1" applyFill="1" applyAlignment="1">
      <alignment horizontal="center"/>
    </xf>
    <xf numFmtId="8" fontId="128" fillId="0" borderId="0" xfId="1011" applyNumberFormat="1" applyFont="1"/>
    <xf numFmtId="0" fontId="125" fillId="69" borderId="0" xfId="0" applyFont="1" applyFill="1" applyAlignment="1">
      <alignment horizontal="left"/>
    </xf>
    <xf numFmtId="0" fontId="0" fillId="69" borderId="0" xfId="0" applyFill="1"/>
    <xf numFmtId="0" fontId="0" fillId="0" borderId="2" xfId="0" applyBorder="1"/>
    <xf numFmtId="174" fontId="0" fillId="0" borderId="4" xfId="0" applyNumberFormat="1" applyBorder="1"/>
    <xf numFmtId="0" fontId="0" fillId="0" borderId="4" xfId="0" applyBorder="1"/>
    <xf numFmtId="0" fontId="0" fillId="0" borderId="3" xfId="0" applyBorder="1"/>
    <xf numFmtId="0" fontId="0" fillId="0" borderId="10" xfId="0" applyBorder="1"/>
    <xf numFmtId="174" fontId="0" fillId="0" borderId="0" xfId="0" applyNumberFormat="1"/>
    <xf numFmtId="0" fontId="0" fillId="0" borderId="7" xfId="0" applyBorder="1"/>
    <xf numFmtId="173" fontId="0" fillId="0" borderId="0" xfId="0" applyNumberFormat="1"/>
    <xf numFmtId="173" fontId="0" fillId="0" borderId="7" xfId="0" applyNumberFormat="1" applyBorder="1"/>
    <xf numFmtId="0" fontId="0" fillId="0" borderId="5" xfId="0" applyBorder="1"/>
    <xf numFmtId="174" fontId="0" fillId="0" borderId="1" xfId="0" applyNumberFormat="1" applyBorder="1"/>
    <xf numFmtId="0" fontId="0" fillId="0" borderId="1" xfId="0" applyBorder="1"/>
    <xf numFmtId="0" fontId="0" fillId="0" borderId="6" xfId="0" applyBorder="1"/>
    <xf numFmtId="0" fontId="29" fillId="0" borderId="0" xfId="0" applyFont="1"/>
    <xf numFmtId="0" fontId="128" fillId="0" borderId="0" xfId="0" applyFont="1"/>
    <xf numFmtId="0" fontId="137" fillId="0" borderId="0" xfId="0" applyFont="1"/>
    <xf numFmtId="0" fontId="137" fillId="0" borderId="0" xfId="0" applyFont="1" applyAlignment="1">
      <alignment horizontal="center"/>
    </xf>
    <xf numFmtId="0" fontId="128" fillId="0" borderId="0" xfId="0" applyFont="1" applyAlignment="1">
      <alignment wrapText="1"/>
    </xf>
    <xf numFmtId="0" fontId="128" fillId="0" borderId="8" xfId="0" applyFont="1" applyBorder="1" applyAlignment="1">
      <alignment horizontal="center" wrapText="1"/>
    </xf>
    <xf numFmtId="0" fontId="128" fillId="0" borderId="9" xfId="0" applyFont="1" applyBorder="1" applyAlignment="1">
      <alignment horizontal="center" wrapText="1"/>
    </xf>
    <xf numFmtId="0" fontId="128" fillId="0" borderId="12" xfId="0" applyFont="1" applyBorder="1" applyAlignment="1">
      <alignment horizontal="center" wrapText="1"/>
    </xf>
    <xf numFmtId="0" fontId="128" fillId="0" borderId="2" xfId="0" applyFont="1" applyBorder="1" applyAlignment="1">
      <alignment horizontal="center"/>
    </xf>
    <xf numFmtId="0" fontId="128" fillId="0" borderId="4" xfId="0" applyFont="1" applyBorder="1" applyAlignment="1">
      <alignment horizontal="center"/>
    </xf>
    <xf numFmtId="0" fontId="128" fillId="0" borderId="3" xfId="0" applyFont="1" applyBorder="1" applyAlignment="1">
      <alignment horizontal="center"/>
    </xf>
    <xf numFmtId="0" fontId="128" fillId="0" borderId="10" xfId="0" applyFont="1" applyBorder="1" applyAlignment="1">
      <alignment horizontal="center"/>
    </xf>
    <xf numFmtId="0" fontId="128" fillId="0" borderId="0" xfId="0" applyFont="1" applyAlignment="1">
      <alignment horizontal="center"/>
    </xf>
    <xf numFmtId="0" fontId="128" fillId="0" borderId="7" xfId="0" applyFont="1" applyBorder="1" applyAlignment="1">
      <alignment horizontal="center"/>
    </xf>
    <xf numFmtId="0" fontId="128" fillId="0" borderId="5" xfId="0" applyFont="1" applyBorder="1" applyAlignment="1">
      <alignment horizontal="center"/>
    </xf>
    <xf numFmtId="0" fontId="128" fillId="0" borderId="1" xfId="0" applyFont="1" applyBorder="1" applyAlignment="1">
      <alignment horizontal="center"/>
    </xf>
    <xf numFmtId="0" fontId="128" fillId="0" borderId="6" xfId="0" applyFont="1" applyBorder="1" applyAlignment="1">
      <alignment horizontal="center"/>
    </xf>
    <xf numFmtId="0" fontId="24" fillId="37" borderId="10" xfId="0" applyFont="1" applyFill="1" applyBorder="1" applyAlignment="1">
      <alignment horizontal="right"/>
    </xf>
    <xf numFmtId="0" fontId="16" fillId="37" borderId="0" xfId="0" applyFont="1" applyFill="1"/>
    <xf numFmtId="0" fontId="16" fillId="37" borderId="11" xfId="0" applyFont="1" applyFill="1" applyBorder="1" applyAlignment="1">
      <alignment horizontal="center"/>
    </xf>
    <xf numFmtId="0" fontId="16" fillId="37" borderId="10" xfId="0" applyFont="1" applyFill="1" applyBorder="1" applyAlignment="1">
      <alignment horizontal="right"/>
    </xf>
    <xf numFmtId="168" fontId="128" fillId="0" borderId="0" xfId="1" applyNumberFormat="1" applyFont="1" applyFill="1"/>
    <xf numFmtId="44" fontId="128" fillId="0" borderId="0" xfId="2" applyFont="1" applyFill="1"/>
    <xf numFmtId="172" fontId="128" fillId="0" borderId="0" xfId="2" applyNumberFormat="1" applyFont="1" applyFill="1"/>
    <xf numFmtId="172" fontId="128" fillId="0" borderId="0" xfId="0" applyNumberFormat="1" applyFont="1"/>
    <xf numFmtId="3" fontId="128" fillId="0" borderId="0" xfId="0" applyNumberFormat="1" applyFont="1"/>
    <xf numFmtId="168" fontId="128" fillId="0" borderId="1" xfId="1" applyNumberFormat="1" applyFont="1" applyFill="1" applyBorder="1"/>
    <xf numFmtId="44" fontId="128" fillId="0" borderId="1" xfId="2" applyFont="1" applyFill="1" applyBorder="1"/>
    <xf numFmtId="172" fontId="128" fillId="0" borderId="1" xfId="2" applyNumberFormat="1" applyFont="1" applyFill="1" applyBorder="1"/>
    <xf numFmtId="172" fontId="128" fillId="0" borderId="1" xfId="0" applyNumberFormat="1" applyFont="1" applyBorder="1"/>
    <xf numFmtId="3" fontId="128" fillId="0" borderId="0" xfId="787" applyNumberFormat="1" applyFont="1"/>
    <xf numFmtId="171" fontId="128" fillId="0" borderId="0" xfId="5" applyNumberFormat="1" applyFont="1"/>
    <xf numFmtId="171" fontId="128" fillId="0" borderId="1" xfId="5" applyNumberFormat="1" applyFont="1" applyBorder="1"/>
    <xf numFmtId="171" fontId="29" fillId="0" borderId="0" xfId="5" applyNumberFormat="1" applyFont="1"/>
    <xf numFmtId="0" fontId="29" fillId="0" borderId="13" xfId="5" applyFont="1" applyBorder="1" applyAlignment="1">
      <alignment horizontal="left"/>
    </xf>
    <xf numFmtId="0" fontId="29" fillId="0" borderId="13" xfId="780" applyFont="1" applyBorder="1" applyAlignment="1">
      <alignment horizontal="center"/>
    </xf>
    <xf numFmtId="0" fontId="29" fillId="0" borderId="13" xfId="780" applyFont="1" applyBorder="1" applyAlignment="1">
      <alignment horizontal="left"/>
    </xf>
    <xf numFmtId="172" fontId="128" fillId="0" borderId="0" xfId="1025" applyNumberFormat="1" applyFont="1"/>
    <xf numFmtId="171" fontId="29" fillId="0" borderId="1" xfId="5" applyNumberFormat="1" applyFont="1" applyBorder="1"/>
    <xf numFmtId="172" fontId="128" fillId="0" borderId="1" xfId="1025" applyNumberFormat="1" applyFont="1" applyBorder="1"/>
    <xf numFmtId="0" fontId="29" fillId="0" borderId="0" xfId="1019" applyFont="1" applyAlignment="1">
      <alignment horizontal="right"/>
    </xf>
    <xf numFmtId="172" fontId="128" fillId="0" borderId="0" xfId="1019" applyNumberFormat="1" applyFont="1"/>
    <xf numFmtId="0" fontId="128" fillId="0" borderId="0" xfId="780" applyFont="1"/>
    <xf numFmtId="172" fontId="128" fillId="0" borderId="0" xfId="780" applyNumberFormat="1" applyFont="1"/>
    <xf numFmtId="0" fontId="128" fillId="0" borderId="13" xfId="780" applyFont="1" applyBorder="1" applyAlignment="1">
      <alignment horizontal="center"/>
    </xf>
    <xf numFmtId="172" fontId="128" fillId="0" borderId="13" xfId="780" applyNumberFormat="1" applyFont="1" applyBorder="1" applyAlignment="1">
      <alignment horizontal="center"/>
    </xf>
    <xf numFmtId="0" fontId="29" fillId="0" borderId="1" xfId="5" applyFont="1" applyBorder="1" applyAlignment="1">
      <alignment horizontal="left"/>
    </xf>
    <xf numFmtId="0" fontId="29" fillId="0" borderId="13" xfId="1030" applyFont="1" applyBorder="1" applyAlignment="1">
      <alignment horizontal="center"/>
    </xf>
    <xf numFmtId="0" fontId="29" fillId="0" borderId="13" xfId="1030" applyFont="1" applyBorder="1" applyAlignment="1">
      <alignment horizontal="left"/>
    </xf>
    <xf numFmtId="171" fontId="128" fillId="0" borderId="0" xfId="5" applyNumberFormat="1" applyFont="1" applyAlignment="1">
      <alignment horizontal="left" indent="1"/>
    </xf>
    <xf numFmtId="171" fontId="128" fillId="0" borderId="1" xfId="5" applyNumberFormat="1" applyFont="1" applyBorder="1" applyAlignment="1">
      <alignment horizontal="left" indent="1"/>
    </xf>
    <xf numFmtId="172" fontId="128" fillId="0" borderId="1" xfId="1030" applyNumberFormat="1" applyFont="1" applyBorder="1"/>
    <xf numFmtId="0" fontId="29" fillId="0" borderId="13" xfId="1018" applyFont="1" applyBorder="1" applyAlignment="1">
      <alignment horizontal="center"/>
    </xf>
    <xf numFmtId="0" fontId="29" fillId="0" borderId="13" xfId="1018" applyFont="1" applyBorder="1" applyAlignment="1">
      <alignment horizontal="left"/>
    </xf>
    <xf numFmtId="0" fontId="29" fillId="0" borderId="13" xfId="1023" applyFont="1" applyBorder="1" applyAlignment="1">
      <alignment horizontal="center"/>
    </xf>
    <xf numFmtId="0" fontId="29" fillId="0" borderId="13" xfId="1023" applyFont="1" applyBorder="1" applyAlignment="1">
      <alignment horizontal="left"/>
    </xf>
    <xf numFmtId="172" fontId="128" fillId="0" borderId="0" xfId="1023" applyNumberFormat="1" applyFont="1"/>
    <xf numFmtId="0" fontId="29" fillId="0" borderId="13" xfId="1011" applyFont="1" applyBorder="1" applyAlignment="1">
      <alignment horizontal="center"/>
    </xf>
    <xf numFmtId="0" fontId="29" fillId="0" borderId="13" xfId="1011" applyFont="1" applyBorder="1" applyAlignment="1">
      <alignment horizontal="left"/>
    </xf>
    <xf numFmtId="171" fontId="128" fillId="0" borderId="0" xfId="5" applyNumberFormat="1" applyFont="1" applyAlignment="1">
      <alignment horizontal="left"/>
    </xf>
    <xf numFmtId="172" fontId="128" fillId="0" borderId="1" xfId="1011" applyNumberFormat="1" applyFont="1" applyBorder="1"/>
    <xf numFmtId="0" fontId="128" fillId="0" borderId="0" xfId="1011" applyFont="1"/>
    <xf numFmtId="0" fontId="29" fillId="0" borderId="0" xfId="1011" applyFont="1" applyAlignment="1">
      <alignment horizontal="right"/>
    </xf>
    <xf numFmtId="173" fontId="128" fillId="0" borderId="0" xfId="1011" applyNumberFormat="1" applyFont="1"/>
    <xf numFmtId="168" fontId="128" fillId="0" borderId="0" xfId="1011" applyNumberFormat="1" applyFont="1"/>
    <xf numFmtId="44" fontId="128" fillId="0" borderId="0" xfId="1011" applyNumberFormat="1" applyFont="1"/>
    <xf numFmtId="0" fontId="132" fillId="0" borderId="0" xfId="0" applyFont="1"/>
    <xf numFmtId="0" fontId="130" fillId="0" borderId="13" xfId="5" applyFont="1" applyBorder="1" applyAlignment="1">
      <alignment horizontal="left"/>
    </xf>
    <xf numFmtId="171" fontId="130" fillId="0" borderId="1" xfId="5" applyNumberFormat="1" applyFont="1" applyBorder="1"/>
    <xf numFmtId="0" fontId="130" fillId="0" borderId="1" xfId="5" applyFont="1" applyBorder="1" applyAlignment="1">
      <alignment horizontal="left"/>
    </xf>
    <xf numFmtId="171" fontId="131" fillId="0" borderId="0" xfId="5" applyNumberFormat="1" applyFont="1" applyAlignment="1">
      <alignment horizontal="left" indent="1"/>
    </xf>
    <xf numFmtId="171" fontId="131" fillId="0" borderId="1" xfId="5" applyNumberFormat="1" applyFont="1" applyBorder="1" applyAlignment="1">
      <alignment horizontal="left" indent="1"/>
    </xf>
    <xf numFmtId="171" fontId="131" fillId="0" borderId="0" xfId="5" applyNumberFormat="1" applyFont="1" applyAlignment="1">
      <alignment horizontal="left"/>
    </xf>
    <xf numFmtId="196" fontId="128" fillId="0" borderId="0" xfId="1030" applyNumberFormat="1" applyFont="1"/>
    <xf numFmtId="196" fontId="128" fillId="0" borderId="1" xfId="1030" applyNumberFormat="1" applyFont="1" applyBorder="1"/>
    <xf numFmtId="44" fontId="128" fillId="0" borderId="0" xfId="1030" applyNumberFormat="1" applyFont="1"/>
    <xf numFmtId="4" fontId="128" fillId="0" borderId="0" xfId="1415" applyNumberFormat="1" applyFont="1"/>
    <xf numFmtId="195" fontId="0" fillId="0" borderId="0" xfId="2" quotePrefix="1" applyNumberFormat="1" applyFont="1"/>
    <xf numFmtId="195" fontId="0" fillId="0" borderId="0" xfId="2" applyNumberFormat="1" applyFont="1"/>
    <xf numFmtId="195" fontId="0" fillId="0" borderId="0" xfId="0" applyNumberFormat="1"/>
    <xf numFmtId="10" fontId="0" fillId="0" borderId="0" xfId="3" applyNumberFormat="1" applyFont="1"/>
    <xf numFmtId="175" fontId="0" fillId="0" borderId="0" xfId="0" applyNumberFormat="1"/>
    <xf numFmtId="3" fontId="0" fillId="0" borderId="0" xfId="0" applyNumberFormat="1"/>
    <xf numFmtId="2" fontId="0" fillId="0" borderId="0" xfId="0" applyNumberFormat="1"/>
    <xf numFmtId="43" fontId="0" fillId="0" borderId="0" xfId="1" applyFont="1" applyBorder="1"/>
    <xf numFmtId="43" fontId="0" fillId="5" borderId="0" xfId="1" applyFont="1" applyFill="1" applyBorder="1"/>
    <xf numFmtId="2" fontId="0" fillId="5" borderId="0" xfId="0" applyNumberFormat="1" applyFill="1"/>
    <xf numFmtId="0" fontId="29" fillId="0" borderId="0" xfId="1011" applyFont="1" applyAlignment="1">
      <alignment horizontal="center"/>
    </xf>
    <xf numFmtId="8" fontId="128" fillId="0" borderId="0" xfId="803" applyNumberFormat="1" applyFont="1" applyBorder="1"/>
    <xf numFmtId="0" fontId="0" fillId="70" borderId="0" xfId="0" applyFill="1"/>
    <xf numFmtId="174" fontId="3" fillId="0" borderId="4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71" borderId="11" xfId="0" applyFill="1" applyBorder="1"/>
    <xf numFmtId="172" fontId="0" fillId="0" borderId="0" xfId="0" applyNumberFormat="1"/>
    <xf numFmtId="39" fontId="0" fillId="0" borderId="0" xfId="0" applyNumberFormat="1"/>
    <xf numFmtId="175" fontId="0" fillId="0" borderId="0" xfId="3" applyNumberFormat="1" applyFont="1"/>
    <xf numFmtId="0" fontId="0" fillId="0" borderId="0" xfId="0" applyAlignment="1">
      <alignment horizontal="right"/>
    </xf>
    <xf numFmtId="168" fontId="128" fillId="72" borderId="0" xfId="1011" applyNumberFormat="1" applyFont="1" applyFill="1"/>
    <xf numFmtId="172" fontId="0" fillId="72" borderId="0" xfId="2" applyNumberFormat="1" applyFont="1" applyFill="1"/>
    <xf numFmtId="0" fontId="0" fillId="0" borderId="13" xfId="0" applyBorder="1"/>
    <xf numFmtId="172" fontId="0" fillId="0" borderId="13" xfId="0" applyNumberFormat="1" applyBorder="1"/>
    <xf numFmtId="175" fontId="0" fillId="0" borderId="0" xfId="0" applyNumberFormat="1" applyAlignment="1">
      <alignment horizontal="right"/>
    </xf>
    <xf numFmtId="37" fontId="4" fillId="0" borderId="0" xfId="0" applyNumberFormat="1" applyFont="1"/>
    <xf numFmtId="39" fontId="4" fillId="0" borderId="0" xfId="0" applyNumberFormat="1" applyFont="1"/>
    <xf numFmtId="0" fontId="4" fillId="0" borderId="0" xfId="0" applyFont="1"/>
    <xf numFmtId="197" fontId="4" fillId="0" borderId="0" xfId="0" applyNumberFormat="1" applyFont="1"/>
    <xf numFmtId="175" fontId="4" fillId="0" borderId="0" xfId="3" applyNumberFormat="1" applyFont="1"/>
    <xf numFmtId="198" fontId="4" fillId="0" borderId="0" xfId="0" applyNumberFormat="1" applyFont="1"/>
    <xf numFmtId="175" fontId="128" fillId="0" borderId="0" xfId="3" applyNumberFormat="1" applyFont="1"/>
    <xf numFmtId="0" fontId="3" fillId="0" borderId="0" xfId="0" applyFont="1" applyAlignment="1">
      <alignment horizontal="left" vertical="top"/>
    </xf>
  </cellXfs>
  <cellStyles count="1435">
    <cellStyle name="_%(SignOnly)" xfId="13" xr:uid="{00000000-0005-0000-0000-000000000000}"/>
    <cellStyle name="_%(SignOnly) 2" xfId="14" xr:uid="{00000000-0005-0000-0000-000001000000}"/>
    <cellStyle name="_%(SignOnly) 2 2" xfId="690" xr:uid="{00000000-0005-0000-0000-000002000000}"/>
    <cellStyle name="_%(SignOnly) 3" xfId="691" xr:uid="{00000000-0005-0000-0000-000003000000}"/>
    <cellStyle name="_%(SignSpaceOnly)" xfId="15" xr:uid="{00000000-0005-0000-0000-000004000000}"/>
    <cellStyle name="_%(SignSpaceOnly) 2" xfId="16" xr:uid="{00000000-0005-0000-0000-000005000000}"/>
    <cellStyle name="_%(SignSpaceOnly) 2 2" xfId="692" xr:uid="{00000000-0005-0000-0000-000006000000}"/>
    <cellStyle name="_%(SignSpaceOnly) 3" xfId="693" xr:uid="{00000000-0005-0000-0000-000007000000}"/>
    <cellStyle name="_Comma" xfId="17" xr:uid="{00000000-0005-0000-0000-000008000000}"/>
    <cellStyle name="_Comma 2" xfId="18" xr:uid="{00000000-0005-0000-0000-000009000000}"/>
    <cellStyle name="_Comma 2 2" xfId="694" xr:uid="{00000000-0005-0000-0000-00000A000000}"/>
    <cellStyle name="_Comma 3" xfId="695" xr:uid="{00000000-0005-0000-0000-00000B000000}"/>
    <cellStyle name="_Currency" xfId="19" xr:uid="{00000000-0005-0000-0000-00000C000000}"/>
    <cellStyle name="_Currency 2" xfId="20" xr:uid="{00000000-0005-0000-0000-00000D000000}"/>
    <cellStyle name="_Currency 2 2" xfId="696" xr:uid="{00000000-0005-0000-0000-00000E000000}"/>
    <cellStyle name="_Currency 3" xfId="697" xr:uid="{00000000-0005-0000-0000-00000F000000}"/>
    <cellStyle name="_CurrencySpace" xfId="21" xr:uid="{00000000-0005-0000-0000-000010000000}"/>
    <cellStyle name="_CurrencySpace 2" xfId="22" xr:uid="{00000000-0005-0000-0000-000011000000}"/>
    <cellStyle name="_CurrencySpace 2 2" xfId="698" xr:uid="{00000000-0005-0000-0000-000012000000}"/>
    <cellStyle name="_CurrencySpace 3" xfId="699" xr:uid="{00000000-0005-0000-0000-000013000000}"/>
    <cellStyle name="_Euro" xfId="23" xr:uid="{00000000-0005-0000-0000-000014000000}"/>
    <cellStyle name="_Euro 2" xfId="24" xr:uid="{00000000-0005-0000-0000-000015000000}"/>
    <cellStyle name="_Euro 2 2" xfId="700" xr:uid="{00000000-0005-0000-0000-000016000000}"/>
    <cellStyle name="_Euro 3" xfId="701" xr:uid="{00000000-0005-0000-0000-000017000000}"/>
    <cellStyle name="_Heading" xfId="25" xr:uid="{00000000-0005-0000-0000-000018000000}"/>
    <cellStyle name="_Highlight" xfId="26" xr:uid="{00000000-0005-0000-0000-000019000000}"/>
    <cellStyle name="_Highlight 2" xfId="27" xr:uid="{00000000-0005-0000-0000-00001A000000}"/>
    <cellStyle name="_Highlight 2 2" xfId="702" xr:uid="{00000000-0005-0000-0000-00001B000000}"/>
    <cellStyle name="_Highlight 3" xfId="703" xr:uid="{00000000-0005-0000-0000-00001C000000}"/>
    <cellStyle name="_Multiple" xfId="28" xr:uid="{00000000-0005-0000-0000-00001D000000}"/>
    <cellStyle name="_Multiple 2" xfId="29" xr:uid="{00000000-0005-0000-0000-00001E000000}"/>
    <cellStyle name="_Multiple 2 2" xfId="704" xr:uid="{00000000-0005-0000-0000-00001F000000}"/>
    <cellStyle name="_Multiple 3" xfId="705" xr:uid="{00000000-0005-0000-0000-000020000000}"/>
    <cellStyle name="_MultipleSpace" xfId="30" xr:uid="{00000000-0005-0000-0000-000021000000}"/>
    <cellStyle name="_MultipleSpace 2" xfId="31" xr:uid="{00000000-0005-0000-0000-000022000000}"/>
    <cellStyle name="_MultipleSpace 2 2" xfId="706" xr:uid="{00000000-0005-0000-0000-000023000000}"/>
    <cellStyle name="_MultipleSpace 3" xfId="707" xr:uid="{00000000-0005-0000-0000-000024000000}"/>
    <cellStyle name="_SubHeading" xfId="32" xr:uid="{00000000-0005-0000-0000-000025000000}"/>
    <cellStyle name="_Table" xfId="33" xr:uid="{00000000-0005-0000-0000-000026000000}"/>
    <cellStyle name="_TableHead" xfId="34" xr:uid="{00000000-0005-0000-0000-000027000000}"/>
    <cellStyle name="_TableRowHead" xfId="35" xr:uid="{00000000-0005-0000-0000-000028000000}"/>
    <cellStyle name="_TableSuperHead" xfId="36" xr:uid="{00000000-0005-0000-0000-000029000000}"/>
    <cellStyle name="20% - Accent1" xfId="1063" builtinId="30" customBuiltin="1"/>
    <cellStyle name="20% - Accent1 2" xfId="38" xr:uid="{00000000-0005-0000-0000-00002B000000}"/>
    <cellStyle name="20% - Accent1 2 2" xfId="340" xr:uid="{00000000-0005-0000-0000-00002C000000}"/>
    <cellStyle name="20% - Accent1 2 2 2" xfId="412" xr:uid="{00000000-0005-0000-0000-00002D000000}"/>
    <cellStyle name="20% - Accent1 2 2 3" xfId="1186" xr:uid="{00000000-0005-0000-0000-00002E000000}"/>
    <cellStyle name="20% - Accent1 3" xfId="39" xr:uid="{00000000-0005-0000-0000-00002F000000}"/>
    <cellStyle name="20% - Accent1 4" xfId="40" xr:uid="{00000000-0005-0000-0000-000030000000}"/>
    <cellStyle name="20% - Accent1 5" xfId="37" xr:uid="{00000000-0005-0000-0000-000031000000}"/>
    <cellStyle name="20% - Accent1 6" xfId="455" xr:uid="{00000000-0005-0000-0000-000032000000}"/>
    <cellStyle name="20% - Accent1 7" xfId="1156" xr:uid="{00000000-0005-0000-0000-000033000000}"/>
    <cellStyle name="20% - Accent2" xfId="1067" builtinId="34" customBuiltin="1"/>
    <cellStyle name="20% - Accent2 2" xfId="42" xr:uid="{00000000-0005-0000-0000-000035000000}"/>
    <cellStyle name="20% - Accent2 2 2" xfId="341" xr:uid="{00000000-0005-0000-0000-000036000000}"/>
    <cellStyle name="20% - Accent2 2 2 2" xfId="413" xr:uid="{00000000-0005-0000-0000-000037000000}"/>
    <cellStyle name="20% - Accent2 2 2 3" xfId="1187" xr:uid="{00000000-0005-0000-0000-000038000000}"/>
    <cellStyle name="20% - Accent2 3" xfId="43" xr:uid="{00000000-0005-0000-0000-000039000000}"/>
    <cellStyle name="20% - Accent2 4" xfId="44" xr:uid="{00000000-0005-0000-0000-00003A000000}"/>
    <cellStyle name="20% - Accent2 5" xfId="41" xr:uid="{00000000-0005-0000-0000-00003B000000}"/>
    <cellStyle name="20% - Accent2 6" xfId="456" xr:uid="{00000000-0005-0000-0000-00003C000000}"/>
    <cellStyle name="20% - Accent2 7" xfId="1160" xr:uid="{00000000-0005-0000-0000-00003D000000}"/>
    <cellStyle name="20% - Accent3" xfId="1071" builtinId="38" customBuiltin="1"/>
    <cellStyle name="20% - Accent3 2" xfId="46" xr:uid="{00000000-0005-0000-0000-00003F000000}"/>
    <cellStyle name="20% - Accent3 2 2" xfId="342" xr:uid="{00000000-0005-0000-0000-000040000000}"/>
    <cellStyle name="20% - Accent3 2 2 2" xfId="414" xr:uid="{00000000-0005-0000-0000-000041000000}"/>
    <cellStyle name="20% - Accent3 2 2 3" xfId="1188" xr:uid="{00000000-0005-0000-0000-000042000000}"/>
    <cellStyle name="20% - Accent3 3" xfId="47" xr:uid="{00000000-0005-0000-0000-000043000000}"/>
    <cellStyle name="20% - Accent3 4" xfId="48" xr:uid="{00000000-0005-0000-0000-000044000000}"/>
    <cellStyle name="20% - Accent3 5" xfId="45" xr:uid="{00000000-0005-0000-0000-000045000000}"/>
    <cellStyle name="20% - Accent3 6" xfId="457" xr:uid="{00000000-0005-0000-0000-000046000000}"/>
    <cellStyle name="20% - Accent3 7" xfId="1164" xr:uid="{00000000-0005-0000-0000-000047000000}"/>
    <cellStyle name="20% - Accent4" xfId="1075" builtinId="42" customBuiltin="1"/>
    <cellStyle name="20% - Accent4 2" xfId="50" xr:uid="{00000000-0005-0000-0000-000049000000}"/>
    <cellStyle name="20% - Accent4 2 2" xfId="343" xr:uid="{00000000-0005-0000-0000-00004A000000}"/>
    <cellStyle name="20% - Accent4 2 2 2" xfId="415" xr:uid="{00000000-0005-0000-0000-00004B000000}"/>
    <cellStyle name="20% - Accent4 2 2 3" xfId="1189" xr:uid="{00000000-0005-0000-0000-00004C000000}"/>
    <cellStyle name="20% - Accent4 3" xfId="51" xr:uid="{00000000-0005-0000-0000-00004D000000}"/>
    <cellStyle name="20% - Accent4 4" xfId="52" xr:uid="{00000000-0005-0000-0000-00004E000000}"/>
    <cellStyle name="20% - Accent4 5" xfId="49" xr:uid="{00000000-0005-0000-0000-00004F000000}"/>
    <cellStyle name="20% - Accent4 6" xfId="458" xr:uid="{00000000-0005-0000-0000-000050000000}"/>
    <cellStyle name="20% - Accent4 7" xfId="1168" xr:uid="{00000000-0005-0000-0000-000051000000}"/>
    <cellStyle name="20% - Accent5" xfId="1079" builtinId="46" customBuiltin="1"/>
    <cellStyle name="20% - Accent5 2" xfId="54" xr:uid="{00000000-0005-0000-0000-000053000000}"/>
    <cellStyle name="20% - Accent5 2 2" xfId="344" xr:uid="{00000000-0005-0000-0000-000054000000}"/>
    <cellStyle name="20% - Accent5 2 2 2" xfId="416" xr:uid="{00000000-0005-0000-0000-000055000000}"/>
    <cellStyle name="20% - Accent5 2 2 3" xfId="1190" xr:uid="{00000000-0005-0000-0000-000056000000}"/>
    <cellStyle name="20% - Accent5 3" xfId="55" xr:uid="{00000000-0005-0000-0000-000057000000}"/>
    <cellStyle name="20% - Accent5 4" xfId="56" xr:uid="{00000000-0005-0000-0000-000058000000}"/>
    <cellStyle name="20% - Accent5 5" xfId="53" xr:uid="{00000000-0005-0000-0000-000059000000}"/>
    <cellStyle name="20% - Accent5 6" xfId="459" xr:uid="{00000000-0005-0000-0000-00005A000000}"/>
    <cellStyle name="20% - Accent5 7" xfId="1172" xr:uid="{00000000-0005-0000-0000-00005B000000}"/>
    <cellStyle name="20% - Accent6" xfId="1083" builtinId="50" customBuiltin="1"/>
    <cellStyle name="20% - Accent6 2" xfId="58" xr:uid="{00000000-0005-0000-0000-00005D000000}"/>
    <cellStyle name="20% - Accent6 2 2" xfId="345" xr:uid="{00000000-0005-0000-0000-00005E000000}"/>
    <cellStyle name="20% - Accent6 2 2 2" xfId="417" xr:uid="{00000000-0005-0000-0000-00005F000000}"/>
    <cellStyle name="20% - Accent6 2 2 3" xfId="1191" xr:uid="{00000000-0005-0000-0000-000060000000}"/>
    <cellStyle name="20% - Accent6 3" xfId="59" xr:uid="{00000000-0005-0000-0000-000061000000}"/>
    <cellStyle name="20% - Accent6 4" xfId="60" xr:uid="{00000000-0005-0000-0000-000062000000}"/>
    <cellStyle name="20% - Accent6 5" xfId="57" xr:uid="{00000000-0005-0000-0000-000063000000}"/>
    <cellStyle name="20% - Accent6 6" xfId="460" xr:uid="{00000000-0005-0000-0000-000064000000}"/>
    <cellStyle name="20% - Accent6 7" xfId="1176" xr:uid="{00000000-0005-0000-0000-000065000000}"/>
    <cellStyle name="40% - Accent1" xfId="1064" builtinId="31" customBuiltin="1"/>
    <cellStyle name="40% - Accent1 2" xfId="62" xr:uid="{00000000-0005-0000-0000-000067000000}"/>
    <cellStyle name="40% - Accent1 2 2" xfId="346" xr:uid="{00000000-0005-0000-0000-000068000000}"/>
    <cellStyle name="40% - Accent1 2 2 2" xfId="418" xr:uid="{00000000-0005-0000-0000-000069000000}"/>
    <cellStyle name="40% - Accent1 2 2 3" xfId="1192" xr:uid="{00000000-0005-0000-0000-00006A000000}"/>
    <cellStyle name="40% - Accent1 3" xfId="63" xr:uid="{00000000-0005-0000-0000-00006B000000}"/>
    <cellStyle name="40% - Accent1 4" xfId="64" xr:uid="{00000000-0005-0000-0000-00006C000000}"/>
    <cellStyle name="40% - Accent1 5" xfId="61" xr:uid="{00000000-0005-0000-0000-00006D000000}"/>
    <cellStyle name="40% - Accent1 6" xfId="461" xr:uid="{00000000-0005-0000-0000-00006E000000}"/>
    <cellStyle name="40% - Accent1 7" xfId="1157" xr:uid="{00000000-0005-0000-0000-00006F000000}"/>
    <cellStyle name="40% - Accent2" xfId="1068" builtinId="35" customBuiltin="1"/>
    <cellStyle name="40% - Accent2 2" xfId="66" xr:uid="{00000000-0005-0000-0000-000071000000}"/>
    <cellStyle name="40% - Accent2 2 2" xfId="347" xr:uid="{00000000-0005-0000-0000-000072000000}"/>
    <cellStyle name="40% - Accent2 2 2 2" xfId="419" xr:uid="{00000000-0005-0000-0000-000073000000}"/>
    <cellStyle name="40% - Accent2 2 2 3" xfId="1193" xr:uid="{00000000-0005-0000-0000-000074000000}"/>
    <cellStyle name="40% - Accent2 3" xfId="67" xr:uid="{00000000-0005-0000-0000-000075000000}"/>
    <cellStyle name="40% - Accent2 4" xfId="68" xr:uid="{00000000-0005-0000-0000-000076000000}"/>
    <cellStyle name="40% - Accent2 5" xfId="65" xr:uid="{00000000-0005-0000-0000-000077000000}"/>
    <cellStyle name="40% - Accent2 6" xfId="462" xr:uid="{00000000-0005-0000-0000-000078000000}"/>
    <cellStyle name="40% - Accent2 7" xfId="1161" xr:uid="{00000000-0005-0000-0000-000079000000}"/>
    <cellStyle name="40% - Accent3" xfId="1072" builtinId="39" customBuiltin="1"/>
    <cellStyle name="40% - Accent3 2" xfId="70" xr:uid="{00000000-0005-0000-0000-00007B000000}"/>
    <cellStyle name="40% - Accent3 2 2" xfId="348" xr:uid="{00000000-0005-0000-0000-00007C000000}"/>
    <cellStyle name="40% - Accent3 2 2 2" xfId="420" xr:uid="{00000000-0005-0000-0000-00007D000000}"/>
    <cellStyle name="40% - Accent3 2 2 3" xfId="1194" xr:uid="{00000000-0005-0000-0000-00007E000000}"/>
    <cellStyle name="40% - Accent3 3" xfId="71" xr:uid="{00000000-0005-0000-0000-00007F000000}"/>
    <cellStyle name="40% - Accent3 4" xfId="72" xr:uid="{00000000-0005-0000-0000-000080000000}"/>
    <cellStyle name="40% - Accent3 5" xfId="69" xr:uid="{00000000-0005-0000-0000-000081000000}"/>
    <cellStyle name="40% - Accent3 6" xfId="463" xr:uid="{00000000-0005-0000-0000-000082000000}"/>
    <cellStyle name="40% - Accent3 7" xfId="1165" xr:uid="{00000000-0005-0000-0000-000083000000}"/>
    <cellStyle name="40% - Accent4" xfId="1076" builtinId="43" customBuiltin="1"/>
    <cellStyle name="40% - Accent4 2" xfId="74" xr:uid="{00000000-0005-0000-0000-000085000000}"/>
    <cellStyle name="40% - Accent4 2 2" xfId="349" xr:uid="{00000000-0005-0000-0000-000086000000}"/>
    <cellStyle name="40% - Accent4 2 2 2" xfId="421" xr:uid="{00000000-0005-0000-0000-000087000000}"/>
    <cellStyle name="40% - Accent4 2 2 3" xfId="1195" xr:uid="{00000000-0005-0000-0000-000088000000}"/>
    <cellStyle name="40% - Accent4 3" xfId="75" xr:uid="{00000000-0005-0000-0000-000089000000}"/>
    <cellStyle name="40% - Accent4 4" xfId="76" xr:uid="{00000000-0005-0000-0000-00008A000000}"/>
    <cellStyle name="40% - Accent4 5" xfId="73" xr:uid="{00000000-0005-0000-0000-00008B000000}"/>
    <cellStyle name="40% - Accent4 6" xfId="464" xr:uid="{00000000-0005-0000-0000-00008C000000}"/>
    <cellStyle name="40% - Accent4 7" xfId="1169" xr:uid="{00000000-0005-0000-0000-00008D000000}"/>
    <cellStyle name="40% - Accent5" xfId="1080" builtinId="47" customBuiltin="1"/>
    <cellStyle name="40% - Accent5 2" xfId="78" xr:uid="{00000000-0005-0000-0000-00008F000000}"/>
    <cellStyle name="40% - Accent5 2 2" xfId="350" xr:uid="{00000000-0005-0000-0000-000090000000}"/>
    <cellStyle name="40% - Accent5 2 2 2" xfId="422" xr:uid="{00000000-0005-0000-0000-000091000000}"/>
    <cellStyle name="40% - Accent5 2 2 3" xfId="1196" xr:uid="{00000000-0005-0000-0000-000092000000}"/>
    <cellStyle name="40% - Accent5 3" xfId="79" xr:uid="{00000000-0005-0000-0000-000093000000}"/>
    <cellStyle name="40% - Accent5 4" xfId="80" xr:uid="{00000000-0005-0000-0000-000094000000}"/>
    <cellStyle name="40% - Accent5 5" xfId="77" xr:uid="{00000000-0005-0000-0000-000095000000}"/>
    <cellStyle name="40% - Accent5 6" xfId="465" xr:uid="{00000000-0005-0000-0000-000096000000}"/>
    <cellStyle name="40% - Accent5 7" xfId="1173" xr:uid="{00000000-0005-0000-0000-000097000000}"/>
    <cellStyle name="40% - Accent6" xfId="1084" builtinId="51" customBuiltin="1"/>
    <cellStyle name="40% - Accent6 2" xfId="82" xr:uid="{00000000-0005-0000-0000-000099000000}"/>
    <cellStyle name="40% - Accent6 2 2" xfId="351" xr:uid="{00000000-0005-0000-0000-00009A000000}"/>
    <cellStyle name="40% - Accent6 2 2 2" xfId="423" xr:uid="{00000000-0005-0000-0000-00009B000000}"/>
    <cellStyle name="40% - Accent6 2 2 3" xfId="1197" xr:uid="{00000000-0005-0000-0000-00009C000000}"/>
    <cellStyle name="40% - Accent6 3" xfId="83" xr:uid="{00000000-0005-0000-0000-00009D000000}"/>
    <cellStyle name="40% - Accent6 4" xfId="84" xr:uid="{00000000-0005-0000-0000-00009E000000}"/>
    <cellStyle name="40% - Accent6 5" xfId="81" xr:uid="{00000000-0005-0000-0000-00009F000000}"/>
    <cellStyle name="40% - Accent6 6" xfId="466" xr:uid="{00000000-0005-0000-0000-0000A0000000}"/>
    <cellStyle name="40% - Accent6 7" xfId="1177" xr:uid="{00000000-0005-0000-0000-0000A1000000}"/>
    <cellStyle name="60% - Accent1" xfId="1065" builtinId="32" customBuiltin="1"/>
    <cellStyle name="60% - Accent1 2" xfId="86" xr:uid="{00000000-0005-0000-0000-0000A3000000}"/>
    <cellStyle name="60% - Accent1 2 2" xfId="352" xr:uid="{00000000-0005-0000-0000-0000A4000000}"/>
    <cellStyle name="60% - Accent1 2 2 2" xfId="424" xr:uid="{00000000-0005-0000-0000-0000A5000000}"/>
    <cellStyle name="60% - Accent1 2 2 3" xfId="1198" xr:uid="{00000000-0005-0000-0000-0000A6000000}"/>
    <cellStyle name="60% - Accent1 3" xfId="87" xr:uid="{00000000-0005-0000-0000-0000A7000000}"/>
    <cellStyle name="60% - Accent1 4" xfId="88" xr:uid="{00000000-0005-0000-0000-0000A8000000}"/>
    <cellStyle name="60% - Accent1 5" xfId="85" xr:uid="{00000000-0005-0000-0000-0000A9000000}"/>
    <cellStyle name="60% - Accent1 6" xfId="467" xr:uid="{00000000-0005-0000-0000-0000AA000000}"/>
    <cellStyle name="60% - Accent1 7" xfId="1158" xr:uid="{00000000-0005-0000-0000-0000AB000000}"/>
    <cellStyle name="60% - Accent2" xfId="1069" builtinId="36" customBuiltin="1"/>
    <cellStyle name="60% - Accent2 2" xfId="90" xr:uid="{00000000-0005-0000-0000-0000AD000000}"/>
    <cellStyle name="60% - Accent2 2 2" xfId="353" xr:uid="{00000000-0005-0000-0000-0000AE000000}"/>
    <cellStyle name="60% - Accent2 2 2 2" xfId="425" xr:uid="{00000000-0005-0000-0000-0000AF000000}"/>
    <cellStyle name="60% - Accent2 2 2 3" xfId="1199" xr:uid="{00000000-0005-0000-0000-0000B0000000}"/>
    <cellStyle name="60% - Accent2 3" xfId="91" xr:uid="{00000000-0005-0000-0000-0000B1000000}"/>
    <cellStyle name="60% - Accent2 4" xfId="92" xr:uid="{00000000-0005-0000-0000-0000B2000000}"/>
    <cellStyle name="60% - Accent2 5" xfId="89" xr:uid="{00000000-0005-0000-0000-0000B3000000}"/>
    <cellStyle name="60% - Accent2 6" xfId="468" xr:uid="{00000000-0005-0000-0000-0000B4000000}"/>
    <cellStyle name="60% - Accent2 7" xfId="1162" xr:uid="{00000000-0005-0000-0000-0000B5000000}"/>
    <cellStyle name="60% - Accent3" xfId="1073" builtinId="40" customBuiltin="1"/>
    <cellStyle name="60% - Accent3 2" xfId="94" xr:uid="{00000000-0005-0000-0000-0000B7000000}"/>
    <cellStyle name="60% - Accent3 2 2" xfId="354" xr:uid="{00000000-0005-0000-0000-0000B8000000}"/>
    <cellStyle name="60% - Accent3 2 2 2" xfId="426" xr:uid="{00000000-0005-0000-0000-0000B9000000}"/>
    <cellStyle name="60% - Accent3 2 2 3" xfId="1200" xr:uid="{00000000-0005-0000-0000-0000BA000000}"/>
    <cellStyle name="60% - Accent3 3" xfId="95" xr:uid="{00000000-0005-0000-0000-0000BB000000}"/>
    <cellStyle name="60% - Accent3 4" xfId="96" xr:uid="{00000000-0005-0000-0000-0000BC000000}"/>
    <cellStyle name="60% - Accent3 5" xfId="93" xr:uid="{00000000-0005-0000-0000-0000BD000000}"/>
    <cellStyle name="60% - Accent3 6" xfId="469" xr:uid="{00000000-0005-0000-0000-0000BE000000}"/>
    <cellStyle name="60% - Accent3 7" xfId="1166" xr:uid="{00000000-0005-0000-0000-0000BF000000}"/>
    <cellStyle name="60% - Accent4" xfId="1077" builtinId="44" customBuiltin="1"/>
    <cellStyle name="60% - Accent4 2" xfId="98" xr:uid="{00000000-0005-0000-0000-0000C1000000}"/>
    <cellStyle name="60% - Accent4 2 2" xfId="355" xr:uid="{00000000-0005-0000-0000-0000C2000000}"/>
    <cellStyle name="60% - Accent4 2 2 2" xfId="427" xr:uid="{00000000-0005-0000-0000-0000C3000000}"/>
    <cellStyle name="60% - Accent4 2 2 3" xfId="1201" xr:uid="{00000000-0005-0000-0000-0000C4000000}"/>
    <cellStyle name="60% - Accent4 3" xfId="99" xr:uid="{00000000-0005-0000-0000-0000C5000000}"/>
    <cellStyle name="60% - Accent4 4" xfId="100" xr:uid="{00000000-0005-0000-0000-0000C6000000}"/>
    <cellStyle name="60% - Accent4 5" xfId="97" xr:uid="{00000000-0005-0000-0000-0000C7000000}"/>
    <cellStyle name="60% - Accent4 6" xfId="470" xr:uid="{00000000-0005-0000-0000-0000C8000000}"/>
    <cellStyle name="60% - Accent4 7" xfId="1170" xr:uid="{00000000-0005-0000-0000-0000C9000000}"/>
    <cellStyle name="60% - Accent5" xfId="1081" builtinId="48" customBuiltin="1"/>
    <cellStyle name="60% - Accent5 2" xfId="102" xr:uid="{00000000-0005-0000-0000-0000CB000000}"/>
    <cellStyle name="60% - Accent5 2 2" xfId="356" xr:uid="{00000000-0005-0000-0000-0000CC000000}"/>
    <cellStyle name="60% - Accent5 2 2 2" xfId="428" xr:uid="{00000000-0005-0000-0000-0000CD000000}"/>
    <cellStyle name="60% - Accent5 2 2 3" xfId="1202" xr:uid="{00000000-0005-0000-0000-0000CE000000}"/>
    <cellStyle name="60% - Accent5 3" xfId="103" xr:uid="{00000000-0005-0000-0000-0000CF000000}"/>
    <cellStyle name="60% - Accent5 4" xfId="104" xr:uid="{00000000-0005-0000-0000-0000D0000000}"/>
    <cellStyle name="60% - Accent5 5" xfId="101" xr:uid="{00000000-0005-0000-0000-0000D1000000}"/>
    <cellStyle name="60% - Accent5 6" xfId="471" xr:uid="{00000000-0005-0000-0000-0000D2000000}"/>
    <cellStyle name="60% - Accent5 7" xfId="1174" xr:uid="{00000000-0005-0000-0000-0000D3000000}"/>
    <cellStyle name="60% - Accent6" xfId="1085" builtinId="52" customBuiltin="1"/>
    <cellStyle name="60% - Accent6 2" xfId="106" xr:uid="{00000000-0005-0000-0000-0000D5000000}"/>
    <cellStyle name="60% - Accent6 2 2" xfId="357" xr:uid="{00000000-0005-0000-0000-0000D6000000}"/>
    <cellStyle name="60% - Accent6 2 2 2" xfId="429" xr:uid="{00000000-0005-0000-0000-0000D7000000}"/>
    <cellStyle name="60% - Accent6 2 2 3" xfId="1203" xr:uid="{00000000-0005-0000-0000-0000D8000000}"/>
    <cellStyle name="60% - Accent6 3" xfId="107" xr:uid="{00000000-0005-0000-0000-0000D9000000}"/>
    <cellStyle name="60% - Accent6 4" xfId="108" xr:uid="{00000000-0005-0000-0000-0000DA000000}"/>
    <cellStyle name="60% - Accent6 5" xfId="105" xr:uid="{00000000-0005-0000-0000-0000DB000000}"/>
    <cellStyle name="60% - Accent6 6" xfId="472" xr:uid="{00000000-0005-0000-0000-0000DC000000}"/>
    <cellStyle name="60% - Accent6 7" xfId="1178" xr:uid="{00000000-0005-0000-0000-0000DD000000}"/>
    <cellStyle name="Accent1" xfId="1062" builtinId="29" customBuiltin="1"/>
    <cellStyle name="Accent1 2" xfId="110" xr:uid="{00000000-0005-0000-0000-0000DF000000}"/>
    <cellStyle name="Accent1 2 2" xfId="358" xr:uid="{00000000-0005-0000-0000-0000E0000000}"/>
    <cellStyle name="Accent1 2 2 2" xfId="430" xr:uid="{00000000-0005-0000-0000-0000E1000000}"/>
    <cellStyle name="Accent1 2 2 3" xfId="1204" xr:uid="{00000000-0005-0000-0000-0000E2000000}"/>
    <cellStyle name="Accent1 3" xfId="111" xr:uid="{00000000-0005-0000-0000-0000E3000000}"/>
    <cellStyle name="Accent1 4" xfId="112" xr:uid="{00000000-0005-0000-0000-0000E4000000}"/>
    <cellStyle name="Accent1 5" xfId="109" xr:uid="{00000000-0005-0000-0000-0000E5000000}"/>
    <cellStyle name="Accent1 6" xfId="473" xr:uid="{00000000-0005-0000-0000-0000E6000000}"/>
    <cellStyle name="Accent1 7" xfId="1155" xr:uid="{00000000-0005-0000-0000-0000E7000000}"/>
    <cellStyle name="Accent2" xfId="1066" builtinId="33" customBuiltin="1"/>
    <cellStyle name="Accent2 2" xfId="114" xr:uid="{00000000-0005-0000-0000-0000E9000000}"/>
    <cellStyle name="Accent2 2 2" xfId="359" xr:uid="{00000000-0005-0000-0000-0000EA000000}"/>
    <cellStyle name="Accent2 2 2 2" xfId="431" xr:uid="{00000000-0005-0000-0000-0000EB000000}"/>
    <cellStyle name="Accent2 2 2 3" xfId="1205" xr:uid="{00000000-0005-0000-0000-0000EC000000}"/>
    <cellStyle name="Accent2 3" xfId="115" xr:uid="{00000000-0005-0000-0000-0000ED000000}"/>
    <cellStyle name="Accent2 4" xfId="116" xr:uid="{00000000-0005-0000-0000-0000EE000000}"/>
    <cellStyle name="Accent2 5" xfId="113" xr:uid="{00000000-0005-0000-0000-0000EF000000}"/>
    <cellStyle name="Accent2 6" xfId="474" xr:uid="{00000000-0005-0000-0000-0000F0000000}"/>
    <cellStyle name="Accent2 7" xfId="1159" xr:uid="{00000000-0005-0000-0000-0000F1000000}"/>
    <cellStyle name="Accent3" xfId="1070" builtinId="37" customBuiltin="1"/>
    <cellStyle name="Accent3 2" xfId="118" xr:uid="{00000000-0005-0000-0000-0000F3000000}"/>
    <cellStyle name="Accent3 2 2" xfId="360" xr:uid="{00000000-0005-0000-0000-0000F4000000}"/>
    <cellStyle name="Accent3 2 2 2" xfId="432" xr:uid="{00000000-0005-0000-0000-0000F5000000}"/>
    <cellStyle name="Accent3 2 2 3" xfId="1206" xr:uid="{00000000-0005-0000-0000-0000F6000000}"/>
    <cellStyle name="Accent3 3" xfId="119" xr:uid="{00000000-0005-0000-0000-0000F7000000}"/>
    <cellStyle name="Accent3 4" xfId="120" xr:uid="{00000000-0005-0000-0000-0000F8000000}"/>
    <cellStyle name="Accent3 5" xfId="117" xr:uid="{00000000-0005-0000-0000-0000F9000000}"/>
    <cellStyle name="Accent3 6" xfId="475" xr:uid="{00000000-0005-0000-0000-0000FA000000}"/>
    <cellStyle name="Accent3 7" xfId="1163" xr:uid="{00000000-0005-0000-0000-0000FB000000}"/>
    <cellStyle name="Accent4" xfId="1074" builtinId="41" customBuiltin="1"/>
    <cellStyle name="Accent4 2" xfId="122" xr:uid="{00000000-0005-0000-0000-0000FD000000}"/>
    <cellStyle name="Accent4 2 2" xfId="361" xr:uid="{00000000-0005-0000-0000-0000FE000000}"/>
    <cellStyle name="Accent4 2 2 2" xfId="433" xr:uid="{00000000-0005-0000-0000-0000FF000000}"/>
    <cellStyle name="Accent4 2 2 3" xfId="1207" xr:uid="{00000000-0005-0000-0000-000000010000}"/>
    <cellStyle name="Accent4 3" xfId="123" xr:uid="{00000000-0005-0000-0000-000001010000}"/>
    <cellStyle name="Accent4 4" xfId="124" xr:uid="{00000000-0005-0000-0000-000002010000}"/>
    <cellStyle name="Accent4 5" xfId="121" xr:uid="{00000000-0005-0000-0000-000003010000}"/>
    <cellStyle name="Accent4 6" xfId="476" xr:uid="{00000000-0005-0000-0000-000004010000}"/>
    <cellStyle name="Accent4 7" xfId="1167" xr:uid="{00000000-0005-0000-0000-000005010000}"/>
    <cellStyle name="Accent5" xfId="1078" builtinId="45" customBuiltin="1"/>
    <cellStyle name="Accent5 2" xfId="126" xr:uid="{00000000-0005-0000-0000-000007010000}"/>
    <cellStyle name="Accent5 2 2" xfId="362" xr:uid="{00000000-0005-0000-0000-000008010000}"/>
    <cellStyle name="Accent5 2 2 2" xfId="434" xr:uid="{00000000-0005-0000-0000-000009010000}"/>
    <cellStyle name="Accent5 2 2 3" xfId="1208" xr:uid="{00000000-0005-0000-0000-00000A010000}"/>
    <cellStyle name="Accent5 3" xfId="127" xr:uid="{00000000-0005-0000-0000-00000B010000}"/>
    <cellStyle name="Accent5 4" xfId="128" xr:uid="{00000000-0005-0000-0000-00000C010000}"/>
    <cellStyle name="Accent5 5" xfId="125" xr:uid="{00000000-0005-0000-0000-00000D010000}"/>
    <cellStyle name="Accent5 6" xfId="477" xr:uid="{00000000-0005-0000-0000-00000E010000}"/>
    <cellStyle name="Accent5 7" xfId="1171" xr:uid="{00000000-0005-0000-0000-00000F010000}"/>
    <cellStyle name="Accent6" xfId="1082" builtinId="49" customBuiltin="1"/>
    <cellStyle name="Accent6 2" xfId="130" xr:uid="{00000000-0005-0000-0000-000011010000}"/>
    <cellStyle name="Accent6 2 2" xfId="363" xr:uid="{00000000-0005-0000-0000-000012010000}"/>
    <cellStyle name="Accent6 2 2 2" xfId="435" xr:uid="{00000000-0005-0000-0000-000013010000}"/>
    <cellStyle name="Accent6 2 2 3" xfId="1209" xr:uid="{00000000-0005-0000-0000-000014010000}"/>
    <cellStyle name="Accent6 3" xfId="131" xr:uid="{00000000-0005-0000-0000-000015010000}"/>
    <cellStyle name="Accent6 4" xfId="132" xr:uid="{00000000-0005-0000-0000-000016010000}"/>
    <cellStyle name="Accent6 5" xfId="129" xr:uid="{00000000-0005-0000-0000-000017010000}"/>
    <cellStyle name="Accent6 6" xfId="478" xr:uid="{00000000-0005-0000-0000-000018010000}"/>
    <cellStyle name="Accent6 7" xfId="1175" xr:uid="{00000000-0005-0000-0000-000019010000}"/>
    <cellStyle name="Actual Date" xfId="364" xr:uid="{00000000-0005-0000-0000-00001A010000}"/>
    <cellStyle name="Actual Date 2" xfId="479" xr:uid="{00000000-0005-0000-0000-00001B010000}"/>
    <cellStyle name="Adjustable" xfId="133" xr:uid="{00000000-0005-0000-0000-00001C010000}"/>
    <cellStyle name="Adjustable 2" xfId="480" xr:uid="{00000000-0005-0000-0000-00001D010000}"/>
    <cellStyle name="Bad" xfId="1051" builtinId="27" customBuiltin="1"/>
    <cellStyle name="Bad 2" xfId="135" xr:uid="{00000000-0005-0000-0000-00001F010000}"/>
    <cellStyle name="Bad 2 2" xfId="365" xr:uid="{00000000-0005-0000-0000-000020010000}"/>
    <cellStyle name="Bad 2 2 2" xfId="436" xr:uid="{00000000-0005-0000-0000-000021010000}"/>
    <cellStyle name="Bad 2 2 3" xfId="1210" xr:uid="{00000000-0005-0000-0000-000022010000}"/>
    <cellStyle name="Bad 3" xfId="136" xr:uid="{00000000-0005-0000-0000-000023010000}"/>
    <cellStyle name="Bad 4" xfId="137" xr:uid="{00000000-0005-0000-0000-000024010000}"/>
    <cellStyle name="Bad 5" xfId="134" xr:uid="{00000000-0005-0000-0000-000025010000}"/>
    <cellStyle name="Bad 6" xfId="481" xr:uid="{00000000-0005-0000-0000-000026010000}"/>
    <cellStyle name="Bad 7" xfId="1144" xr:uid="{00000000-0005-0000-0000-000027010000}"/>
    <cellStyle name="Calculation" xfId="1055" builtinId="22" customBuiltin="1"/>
    <cellStyle name="Calculation 2" xfId="139" xr:uid="{00000000-0005-0000-0000-000029010000}"/>
    <cellStyle name="Calculation 2 2" xfId="366" xr:uid="{00000000-0005-0000-0000-00002A010000}"/>
    <cellStyle name="Calculation 2 2 2" xfId="437" xr:uid="{00000000-0005-0000-0000-00002B010000}"/>
    <cellStyle name="Calculation 2 2 3" xfId="1211" xr:uid="{00000000-0005-0000-0000-00002C010000}"/>
    <cellStyle name="Calculation 3" xfId="140" xr:uid="{00000000-0005-0000-0000-00002D010000}"/>
    <cellStyle name="Calculation 3 2" xfId="482" xr:uid="{00000000-0005-0000-0000-00002E010000}"/>
    <cellStyle name="Calculation 4" xfId="141" xr:uid="{00000000-0005-0000-0000-00002F010000}"/>
    <cellStyle name="Calculation 4 2" xfId="483" xr:uid="{00000000-0005-0000-0000-000030010000}"/>
    <cellStyle name="Calculation 5" xfId="138" xr:uid="{00000000-0005-0000-0000-000031010000}"/>
    <cellStyle name="Calculation 5 2" xfId="484" xr:uid="{00000000-0005-0000-0000-000032010000}"/>
    <cellStyle name="Calculation 6" xfId="485" xr:uid="{00000000-0005-0000-0000-000033010000}"/>
    <cellStyle name="Calculation 7" xfId="1148" xr:uid="{00000000-0005-0000-0000-000034010000}"/>
    <cellStyle name="Check Cell" xfId="1057" builtinId="23" customBuiltin="1"/>
    <cellStyle name="Check Cell 2" xfId="143" xr:uid="{00000000-0005-0000-0000-000036010000}"/>
    <cellStyle name="Check Cell 2 2" xfId="367" xr:uid="{00000000-0005-0000-0000-000037010000}"/>
    <cellStyle name="Check Cell 2 2 2" xfId="438" xr:uid="{00000000-0005-0000-0000-000038010000}"/>
    <cellStyle name="Check Cell 2 2 3" xfId="1212" xr:uid="{00000000-0005-0000-0000-000039010000}"/>
    <cellStyle name="Check Cell 3" xfId="144" xr:uid="{00000000-0005-0000-0000-00003A010000}"/>
    <cellStyle name="Check Cell 4" xfId="145" xr:uid="{00000000-0005-0000-0000-00003B010000}"/>
    <cellStyle name="Check Cell 5" xfId="142" xr:uid="{00000000-0005-0000-0000-00003C010000}"/>
    <cellStyle name="Check Cell 6" xfId="486" xr:uid="{00000000-0005-0000-0000-00003D010000}"/>
    <cellStyle name="Check Cell 7" xfId="1150" xr:uid="{00000000-0005-0000-0000-00003E010000}"/>
    <cellStyle name="Comma" xfId="1" builtinId="3"/>
    <cellStyle name="Comma 0" xfId="147" xr:uid="{00000000-0005-0000-0000-000040010000}"/>
    <cellStyle name="Comma 10" xfId="148" xr:uid="{00000000-0005-0000-0000-000041010000}"/>
    <cellStyle name="Comma 11" xfId="149" xr:uid="{00000000-0005-0000-0000-000042010000}"/>
    <cellStyle name="Comma 12" xfId="146" xr:uid="{00000000-0005-0000-0000-000043010000}"/>
    <cellStyle name="Comma 12 2" xfId="487" xr:uid="{00000000-0005-0000-0000-000044010000}"/>
    <cellStyle name="Comma 12 2 2" xfId="1434" xr:uid="{00000000-0005-0000-0000-000045010000}"/>
    <cellStyle name="Comma 12 3" xfId="678" xr:uid="{00000000-0005-0000-0000-000046010000}"/>
    <cellStyle name="Comma 13" xfId="488" xr:uid="{00000000-0005-0000-0000-000047010000}"/>
    <cellStyle name="Comma 13 2" xfId="489" xr:uid="{00000000-0005-0000-0000-000048010000}"/>
    <cellStyle name="Comma 13 3" xfId="490" xr:uid="{00000000-0005-0000-0000-000049010000}"/>
    <cellStyle name="Comma 13 3 2" xfId="837" xr:uid="{00000000-0005-0000-0000-00004A010000}"/>
    <cellStyle name="Comma 13 3 2 2" xfId="898" xr:uid="{00000000-0005-0000-0000-00004B010000}"/>
    <cellStyle name="Comma 13 3 2 2 2" xfId="1228" xr:uid="{00000000-0005-0000-0000-00004C010000}"/>
    <cellStyle name="Comma 13 3 2 3" xfId="1227" xr:uid="{00000000-0005-0000-0000-00004D010000}"/>
    <cellStyle name="Comma 13 3 3" xfId="920" xr:uid="{00000000-0005-0000-0000-00004E010000}"/>
    <cellStyle name="Comma 13 3 3 2" xfId="1229" xr:uid="{00000000-0005-0000-0000-00004F010000}"/>
    <cellStyle name="Comma 13 3 4" xfId="883" xr:uid="{00000000-0005-0000-0000-000050010000}"/>
    <cellStyle name="Comma 13 3 4 2" xfId="1230" xr:uid="{00000000-0005-0000-0000-000051010000}"/>
    <cellStyle name="Comma 13 3 5" xfId="979" xr:uid="{00000000-0005-0000-0000-000052010000}"/>
    <cellStyle name="Comma 13 3 5 2" xfId="1231" xr:uid="{00000000-0005-0000-0000-000053010000}"/>
    <cellStyle name="Comma 13 3 6" xfId="822" xr:uid="{00000000-0005-0000-0000-000054010000}"/>
    <cellStyle name="Comma 13 3 6 2" xfId="1232" xr:uid="{00000000-0005-0000-0000-000055010000}"/>
    <cellStyle name="Comma 13 3 7" xfId="1226" xr:uid="{00000000-0005-0000-0000-000056010000}"/>
    <cellStyle name="Comma 14" xfId="491" xr:uid="{00000000-0005-0000-0000-000057010000}"/>
    <cellStyle name="Comma 14 2" xfId="492" xr:uid="{00000000-0005-0000-0000-000058010000}"/>
    <cellStyle name="Comma 14 2 2" xfId="493" xr:uid="{00000000-0005-0000-0000-000059010000}"/>
    <cellStyle name="Comma 14 3" xfId="494" xr:uid="{00000000-0005-0000-0000-00005A010000}"/>
    <cellStyle name="Comma 15" xfId="495" xr:uid="{00000000-0005-0000-0000-00005B010000}"/>
    <cellStyle name="Comma 15 2" xfId="496" xr:uid="{00000000-0005-0000-0000-00005C010000}"/>
    <cellStyle name="Comma 15 2 2" xfId="497" xr:uid="{00000000-0005-0000-0000-00005D010000}"/>
    <cellStyle name="Comma 15 2 2 2" xfId="840" xr:uid="{00000000-0005-0000-0000-00005E010000}"/>
    <cellStyle name="Comma 15 2 2 2 2" xfId="901" xr:uid="{00000000-0005-0000-0000-00005F010000}"/>
    <cellStyle name="Comma 15 2 2 2 2 2" xfId="1237" xr:uid="{00000000-0005-0000-0000-000060010000}"/>
    <cellStyle name="Comma 15 2 2 2 3" xfId="1236" xr:uid="{00000000-0005-0000-0000-000061010000}"/>
    <cellStyle name="Comma 15 2 2 3" xfId="923" xr:uid="{00000000-0005-0000-0000-000062010000}"/>
    <cellStyle name="Comma 15 2 2 3 2" xfId="1238" xr:uid="{00000000-0005-0000-0000-000063010000}"/>
    <cellStyle name="Comma 15 2 2 4" xfId="886" xr:uid="{00000000-0005-0000-0000-000064010000}"/>
    <cellStyle name="Comma 15 2 2 4 2" xfId="1239" xr:uid="{00000000-0005-0000-0000-000065010000}"/>
    <cellStyle name="Comma 15 2 2 5" xfId="982" xr:uid="{00000000-0005-0000-0000-000066010000}"/>
    <cellStyle name="Comma 15 2 2 5 2" xfId="1240" xr:uid="{00000000-0005-0000-0000-000067010000}"/>
    <cellStyle name="Comma 15 2 2 6" xfId="825" xr:uid="{00000000-0005-0000-0000-000068010000}"/>
    <cellStyle name="Comma 15 2 2 6 2" xfId="1241" xr:uid="{00000000-0005-0000-0000-000069010000}"/>
    <cellStyle name="Comma 15 2 2 7" xfId="1235" xr:uid="{00000000-0005-0000-0000-00006A010000}"/>
    <cellStyle name="Comma 15 2 3" xfId="839" xr:uid="{00000000-0005-0000-0000-00006B010000}"/>
    <cellStyle name="Comma 15 2 3 2" xfId="900" xr:uid="{00000000-0005-0000-0000-00006C010000}"/>
    <cellStyle name="Comma 15 2 3 2 2" xfId="1243" xr:uid="{00000000-0005-0000-0000-00006D010000}"/>
    <cellStyle name="Comma 15 2 3 3" xfId="1242" xr:uid="{00000000-0005-0000-0000-00006E010000}"/>
    <cellStyle name="Comma 15 2 4" xfId="922" xr:uid="{00000000-0005-0000-0000-00006F010000}"/>
    <cellStyle name="Comma 15 2 4 2" xfId="1244" xr:uid="{00000000-0005-0000-0000-000070010000}"/>
    <cellStyle name="Comma 15 2 5" xfId="885" xr:uid="{00000000-0005-0000-0000-000071010000}"/>
    <cellStyle name="Comma 15 2 5 2" xfId="1245" xr:uid="{00000000-0005-0000-0000-000072010000}"/>
    <cellStyle name="Comma 15 2 6" xfId="981" xr:uid="{00000000-0005-0000-0000-000073010000}"/>
    <cellStyle name="Comma 15 2 6 2" xfId="1246" xr:uid="{00000000-0005-0000-0000-000074010000}"/>
    <cellStyle name="Comma 15 2 7" xfId="824" xr:uid="{00000000-0005-0000-0000-000075010000}"/>
    <cellStyle name="Comma 15 2 7 2" xfId="1247" xr:uid="{00000000-0005-0000-0000-000076010000}"/>
    <cellStyle name="Comma 15 2 8" xfId="1234" xr:uid="{00000000-0005-0000-0000-000077010000}"/>
    <cellStyle name="Comma 15 3" xfId="498" xr:uid="{00000000-0005-0000-0000-000078010000}"/>
    <cellStyle name="Comma 15 3 2" xfId="841" xr:uid="{00000000-0005-0000-0000-000079010000}"/>
    <cellStyle name="Comma 15 3 2 2" xfId="902" xr:uid="{00000000-0005-0000-0000-00007A010000}"/>
    <cellStyle name="Comma 15 3 2 2 2" xfId="1250" xr:uid="{00000000-0005-0000-0000-00007B010000}"/>
    <cellStyle name="Comma 15 3 2 3" xfId="1249" xr:uid="{00000000-0005-0000-0000-00007C010000}"/>
    <cellStyle name="Comma 15 3 3" xfId="924" xr:uid="{00000000-0005-0000-0000-00007D010000}"/>
    <cellStyle name="Comma 15 3 3 2" xfId="1251" xr:uid="{00000000-0005-0000-0000-00007E010000}"/>
    <cellStyle name="Comma 15 3 4" xfId="887" xr:uid="{00000000-0005-0000-0000-00007F010000}"/>
    <cellStyle name="Comma 15 3 4 2" xfId="1252" xr:uid="{00000000-0005-0000-0000-000080010000}"/>
    <cellStyle name="Comma 15 3 5" xfId="983" xr:uid="{00000000-0005-0000-0000-000081010000}"/>
    <cellStyle name="Comma 15 3 5 2" xfId="1253" xr:uid="{00000000-0005-0000-0000-000082010000}"/>
    <cellStyle name="Comma 15 3 6" xfId="826" xr:uid="{00000000-0005-0000-0000-000083010000}"/>
    <cellStyle name="Comma 15 3 6 2" xfId="1254" xr:uid="{00000000-0005-0000-0000-000084010000}"/>
    <cellStyle name="Comma 15 3 7" xfId="1248" xr:uid="{00000000-0005-0000-0000-000085010000}"/>
    <cellStyle name="Comma 15 4" xfId="838" xr:uid="{00000000-0005-0000-0000-000086010000}"/>
    <cellStyle name="Comma 15 4 2" xfId="899" xr:uid="{00000000-0005-0000-0000-000087010000}"/>
    <cellStyle name="Comma 15 4 2 2" xfId="1256" xr:uid="{00000000-0005-0000-0000-000088010000}"/>
    <cellStyle name="Comma 15 4 3" xfId="1255" xr:uid="{00000000-0005-0000-0000-000089010000}"/>
    <cellStyle name="Comma 15 5" xfId="921" xr:uid="{00000000-0005-0000-0000-00008A010000}"/>
    <cellStyle name="Comma 15 5 2" xfId="1257" xr:uid="{00000000-0005-0000-0000-00008B010000}"/>
    <cellStyle name="Comma 15 6" xfId="884" xr:uid="{00000000-0005-0000-0000-00008C010000}"/>
    <cellStyle name="Comma 15 6 2" xfId="1258" xr:uid="{00000000-0005-0000-0000-00008D010000}"/>
    <cellStyle name="Comma 15 7" xfId="980" xr:uid="{00000000-0005-0000-0000-00008E010000}"/>
    <cellStyle name="Comma 15 7 2" xfId="1259" xr:uid="{00000000-0005-0000-0000-00008F010000}"/>
    <cellStyle name="Comma 15 8" xfId="823" xr:uid="{00000000-0005-0000-0000-000090010000}"/>
    <cellStyle name="Comma 15 8 2" xfId="1260" xr:uid="{00000000-0005-0000-0000-000091010000}"/>
    <cellStyle name="Comma 15 9" xfId="1233" xr:uid="{00000000-0005-0000-0000-000092010000}"/>
    <cellStyle name="Comma 16" xfId="499" xr:uid="{00000000-0005-0000-0000-000093010000}"/>
    <cellStyle name="Comma 17" xfId="500" xr:uid="{00000000-0005-0000-0000-000094010000}"/>
    <cellStyle name="Comma 18" xfId="676" xr:uid="{00000000-0005-0000-0000-000095010000}"/>
    <cellStyle name="Comma 18 2" xfId="973" xr:uid="{00000000-0005-0000-0000-000096010000}"/>
    <cellStyle name="Comma 18 2 2" xfId="1262" xr:uid="{00000000-0005-0000-0000-000097010000}"/>
    <cellStyle name="Comma 18 3" xfId="919" xr:uid="{00000000-0005-0000-0000-000098010000}"/>
    <cellStyle name="Comma 18 3 2" xfId="1263" xr:uid="{00000000-0005-0000-0000-000099010000}"/>
    <cellStyle name="Comma 18 4" xfId="1261" xr:uid="{00000000-0005-0000-0000-00009A010000}"/>
    <cellStyle name="Comma 19" xfId="1132" xr:uid="{00000000-0005-0000-0000-00009B010000}"/>
    <cellStyle name="Comma 2" xfId="150" xr:uid="{00000000-0005-0000-0000-00009C010000}"/>
    <cellStyle name="Comma 2 2" xfId="151" xr:uid="{00000000-0005-0000-0000-00009D010000}"/>
    <cellStyle name="Comma 2 2 2" xfId="368" xr:uid="{00000000-0005-0000-0000-00009E010000}"/>
    <cellStyle name="Comma 2 2 2 2" xfId="501" xr:uid="{00000000-0005-0000-0000-00009F010000}"/>
    <cellStyle name="Comma 2 2 2 3" xfId="925" xr:uid="{00000000-0005-0000-0000-0000A0010000}"/>
    <cellStyle name="Comma 2 2 3" xfId="502" xr:uid="{00000000-0005-0000-0000-0000A1010000}"/>
    <cellStyle name="Comma 2 2 4" xfId="708" xr:uid="{00000000-0005-0000-0000-0000A2010000}"/>
    <cellStyle name="Comma 2 2 4 2" xfId="842" xr:uid="{00000000-0005-0000-0000-0000A3010000}"/>
    <cellStyle name="Comma 2 2_Augmentation" xfId="503" xr:uid="{00000000-0005-0000-0000-0000A4010000}"/>
    <cellStyle name="Comma 2 3" xfId="152" xr:uid="{00000000-0005-0000-0000-0000A5010000}"/>
    <cellStyle name="Comma 2 3 2" xfId="504" xr:uid="{00000000-0005-0000-0000-0000A6010000}"/>
    <cellStyle name="Comma 2 3 3" xfId="843" xr:uid="{00000000-0005-0000-0000-0000A7010000}"/>
    <cellStyle name="Comma 2 3 3 2" xfId="903" xr:uid="{00000000-0005-0000-0000-0000A8010000}"/>
    <cellStyle name="Comma 2 3 3 2 2" xfId="1265" xr:uid="{00000000-0005-0000-0000-0000A9010000}"/>
    <cellStyle name="Comma 2 3 3 3" xfId="1264" xr:uid="{00000000-0005-0000-0000-0000AA010000}"/>
    <cellStyle name="Comma 2 3 4" xfId="878" xr:uid="{00000000-0005-0000-0000-0000AB010000}"/>
    <cellStyle name="Comma 2 3 4 2" xfId="1266" xr:uid="{00000000-0005-0000-0000-0000AC010000}"/>
    <cellStyle name="Comma 2 3 5" xfId="799" xr:uid="{00000000-0005-0000-0000-0000AD010000}"/>
    <cellStyle name="Comma 2 3 5 2" xfId="1267" xr:uid="{00000000-0005-0000-0000-0000AE010000}"/>
    <cellStyle name="Comma 2 4" xfId="331" xr:uid="{00000000-0005-0000-0000-0000AF010000}"/>
    <cellStyle name="Comma 2 4 2" xfId="505" xr:uid="{00000000-0005-0000-0000-0000B0010000}"/>
    <cellStyle name="Comma 2 4 3" xfId="683" xr:uid="{00000000-0005-0000-0000-0000B1010000}"/>
    <cellStyle name="Comma 2 5" xfId="506" xr:uid="{00000000-0005-0000-0000-0000B2010000}"/>
    <cellStyle name="Comma 3" xfId="153" xr:uid="{00000000-0005-0000-0000-0000B3010000}"/>
    <cellStyle name="Comma 3 2" xfId="439" xr:uid="{00000000-0005-0000-0000-0000B4010000}"/>
    <cellStyle name="Comma 4" xfId="154" xr:uid="{00000000-0005-0000-0000-0000B5010000}"/>
    <cellStyle name="Comma 4 2" xfId="507" xr:uid="{00000000-0005-0000-0000-0000B6010000}"/>
    <cellStyle name="Comma 5" xfId="155" xr:uid="{00000000-0005-0000-0000-0000B7010000}"/>
    <cellStyle name="Comma 5 2" xfId="156" xr:uid="{00000000-0005-0000-0000-0000B8010000}"/>
    <cellStyle name="Comma 5 2 2" xfId="508" xr:uid="{00000000-0005-0000-0000-0000B9010000}"/>
    <cellStyle name="Comma 5 3" xfId="157" xr:uid="{00000000-0005-0000-0000-0000BA010000}"/>
    <cellStyle name="Comma 6" xfId="158" xr:uid="{00000000-0005-0000-0000-0000BB010000}"/>
    <cellStyle name="Comma 6 2" xfId="159" xr:uid="{00000000-0005-0000-0000-0000BC010000}"/>
    <cellStyle name="Comma 6 2 2" xfId="509" xr:uid="{00000000-0005-0000-0000-0000BD010000}"/>
    <cellStyle name="Comma 6 3" xfId="510" xr:uid="{00000000-0005-0000-0000-0000BE010000}"/>
    <cellStyle name="Comma 7" xfId="160" xr:uid="{00000000-0005-0000-0000-0000BF010000}"/>
    <cellStyle name="Comma 7 2" xfId="161" xr:uid="{00000000-0005-0000-0000-0000C0010000}"/>
    <cellStyle name="Comma 7 2 2" xfId="511" xr:uid="{00000000-0005-0000-0000-0000C1010000}"/>
    <cellStyle name="Comma 7 3" xfId="512" xr:uid="{00000000-0005-0000-0000-0000C2010000}"/>
    <cellStyle name="Comma 8" xfId="162" xr:uid="{00000000-0005-0000-0000-0000C3010000}"/>
    <cellStyle name="Comma 8 2" xfId="163" xr:uid="{00000000-0005-0000-0000-0000C4010000}"/>
    <cellStyle name="Comma 9" xfId="164" xr:uid="{00000000-0005-0000-0000-0000C5010000}"/>
    <cellStyle name="Comma 9 2" xfId="513" xr:uid="{00000000-0005-0000-0000-0000C6010000}"/>
    <cellStyle name="Comma0 - Style1" xfId="369" xr:uid="{00000000-0005-0000-0000-0000C7010000}"/>
    <cellStyle name="Currency" xfId="2" builtinId="4"/>
    <cellStyle name="Currency 0" xfId="166" xr:uid="{00000000-0005-0000-0000-0000C9010000}"/>
    <cellStyle name="Currency 10" xfId="514" xr:uid="{00000000-0005-0000-0000-0000CA010000}"/>
    <cellStyle name="Currency 10 2" xfId="926" xr:uid="{00000000-0005-0000-0000-0000CB010000}"/>
    <cellStyle name="Currency 10 3" xfId="803" xr:uid="{00000000-0005-0000-0000-0000CC010000}"/>
    <cellStyle name="Currency 11" xfId="515" xr:uid="{00000000-0005-0000-0000-0000CD010000}"/>
    <cellStyle name="Currency 12" xfId="668" xr:uid="{00000000-0005-0000-0000-0000CE010000}"/>
    <cellStyle name="Currency 2" xfId="167" xr:uid="{00000000-0005-0000-0000-0000CF010000}"/>
    <cellStyle name="Currency 2 2" xfId="370" xr:uid="{00000000-0005-0000-0000-0000D0010000}"/>
    <cellStyle name="Currency 2 2 2" xfId="440" xr:uid="{00000000-0005-0000-0000-0000D1010000}"/>
    <cellStyle name="Currency 2 2 3" xfId="927" xr:uid="{00000000-0005-0000-0000-0000D2010000}"/>
    <cellStyle name="Currency 2 3" xfId="516" xr:uid="{00000000-0005-0000-0000-0000D3010000}"/>
    <cellStyle name="Currency 2 4" xfId="709" xr:uid="{00000000-0005-0000-0000-0000D4010000}"/>
    <cellStyle name="Currency 2 4 2" xfId="844" xr:uid="{00000000-0005-0000-0000-0000D5010000}"/>
    <cellStyle name="Currency 2 5" xfId="1225" xr:uid="{00000000-0005-0000-0000-0000D6010000}"/>
    <cellStyle name="Currency 2_Augmentation" xfId="517" xr:uid="{00000000-0005-0000-0000-0000D7010000}"/>
    <cellStyle name="Currency 3" xfId="168" xr:uid="{00000000-0005-0000-0000-0000D8010000}"/>
    <cellStyle name="Currency 3 2" xfId="518" xr:uid="{00000000-0005-0000-0000-0000D9010000}"/>
    <cellStyle name="Currency 4" xfId="169" xr:uid="{00000000-0005-0000-0000-0000DA010000}"/>
    <cellStyle name="Currency 5" xfId="170" xr:uid="{00000000-0005-0000-0000-0000DB010000}"/>
    <cellStyle name="Currency 6" xfId="165" xr:uid="{00000000-0005-0000-0000-0000DC010000}"/>
    <cellStyle name="Currency 6 2" xfId="519" xr:uid="{00000000-0005-0000-0000-0000DD010000}"/>
    <cellStyle name="Currency 6 3" xfId="679" xr:uid="{00000000-0005-0000-0000-0000DE010000}"/>
    <cellStyle name="Currency 7" xfId="520" xr:uid="{00000000-0005-0000-0000-0000DF010000}"/>
    <cellStyle name="Currency 7 2" xfId="521" xr:uid="{00000000-0005-0000-0000-0000E0010000}"/>
    <cellStyle name="Currency 7 3" xfId="522" xr:uid="{00000000-0005-0000-0000-0000E1010000}"/>
    <cellStyle name="Currency 7 3 2" xfId="845" xr:uid="{00000000-0005-0000-0000-0000E2010000}"/>
    <cellStyle name="Currency 7 3 2 2" xfId="904" xr:uid="{00000000-0005-0000-0000-0000E3010000}"/>
    <cellStyle name="Currency 7 3 2 2 2" xfId="1270" xr:uid="{00000000-0005-0000-0000-0000E4010000}"/>
    <cellStyle name="Currency 7 3 2 3" xfId="1269" xr:uid="{00000000-0005-0000-0000-0000E5010000}"/>
    <cellStyle name="Currency 7 3 3" xfId="928" xr:uid="{00000000-0005-0000-0000-0000E6010000}"/>
    <cellStyle name="Currency 7 3 3 2" xfId="1271" xr:uid="{00000000-0005-0000-0000-0000E7010000}"/>
    <cellStyle name="Currency 7 3 4" xfId="888" xr:uid="{00000000-0005-0000-0000-0000E8010000}"/>
    <cellStyle name="Currency 7 3 4 2" xfId="1272" xr:uid="{00000000-0005-0000-0000-0000E9010000}"/>
    <cellStyle name="Currency 7 3 5" xfId="984" xr:uid="{00000000-0005-0000-0000-0000EA010000}"/>
    <cellStyle name="Currency 7 3 5 2" xfId="1273" xr:uid="{00000000-0005-0000-0000-0000EB010000}"/>
    <cellStyle name="Currency 7 3 6" xfId="827" xr:uid="{00000000-0005-0000-0000-0000EC010000}"/>
    <cellStyle name="Currency 7 3 6 2" xfId="1274" xr:uid="{00000000-0005-0000-0000-0000ED010000}"/>
    <cellStyle name="Currency 7 3 7" xfId="1268" xr:uid="{00000000-0005-0000-0000-0000EE010000}"/>
    <cellStyle name="Currency 8" xfId="523" xr:uid="{00000000-0005-0000-0000-0000EF010000}"/>
    <cellStyle name="Currency 8 2" xfId="524" xr:uid="{00000000-0005-0000-0000-0000F0010000}"/>
    <cellStyle name="Currency 8 3" xfId="525" xr:uid="{00000000-0005-0000-0000-0000F1010000}"/>
    <cellStyle name="Currency 9" xfId="526" xr:uid="{00000000-0005-0000-0000-0000F2010000}"/>
    <cellStyle name="Currency 9 2" xfId="527" xr:uid="{00000000-0005-0000-0000-0000F3010000}"/>
    <cellStyle name="Currency 9 2 2" xfId="528" xr:uid="{00000000-0005-0000-0000-0000F4010000}"/>
    <cellStyle name="Currency 9 2 2 2" xfId="847" xr:uid="{00000000-0005-0000-0000-0000F5010000}"/>
    <cellStyle name="Currency 9 2 2 2 2" xfId="906" xr:uid="{00000000-0005-0000-0000-0000F6010000}"/>
    <cellStyle name="Currency 9 2 2 2 2 2" xfId="1279" xr:uid="{00000000-0005-0000-0000-0000F7010000}"/>
    <cellStyle name="Currency 9 2 2 2 3" xfId="1278" xr:uid="{00000000-0005-0000-0000-0000F8010000}"/>
    <cellStyle name="Currency 9 2 2 3" xfId="931" xr:uid="{00000000-0005-0000-0000-0000F9010000}"/>
    <cellStyle name="Currency 9 2 2 3 2" xfId="1280" xr:uid="{00000000-0005-0000-0000-0000FA010000}"/>
    <cellStyle name="Currency 9 2 2 4" xfId="890" xr:uid="{00000000-0005-0000-0000-0000FB010000}"/>
    <cellStyle name="Currency 9 2 2 4 2" xfId="1281" xr:uid="{00000000-0005-0000-0000-0000FC010000}"/>
    <cellStyle name="Currency 9 2 2 5" xfId="987" xr:uid="{00000000-0005-0000-0000-0000FD010000}"/>
    <cellStyle name="Currency 9 2 2 5 2" xfId="1282" xr:uid="{00000000-0005-0000-0000-0000FE010000}"/>
    <cellStyle name="Currency 9 2 2 6" xfId="829" xr:uid="{00000000-0005-0000-0000-0000FF010000}"/>
    <cellStyle name="Currency 9 2 2 6 2" xfId="1283" xr:uid="{00000000-0005-0000-0000-000000020000}"/>
    <cellStyle name="Currency 9 2 2 7" xfId="1277" xr:uid="{00000000-0005-0000-0000-000001020000}"/>
    <cellStyle name="Currency 9 2 3" xfId="846" xr:uid="{00000000-0005-0000-0000-000002020000}"/>
    <cellStyle name="Currency 9 2 3 2" xfId="905" xr:uid="{00000000-0005-0000-0000-000003020000}"/>
    <cellStyle name="Currency 9 2 3 2 2" xfId="1285" xr:uid="{00000000-0005-0000-0000-000004020000}"/>
    <cellStyle name="Currency 9 2 3 3" xfId="1284" xr:uid="{00000000-0005-0000-0000-000005020000}"/>
    <cellStyle name="Currency 9 2 4" xfId="930" xr:uid="{00000000-0005-0000-0000-000006020000}"/>
    <cellStyle name="Currency 9 2 4 2" xfId="1286" xr:uid="{00000000-0005-0000-0000-000007020000}"/>
    <cellStyle name="Currency 9 2 5" xfId="889" xr:uid="{00000000-0005-0000-0000-000008020000}"/>
    <cellStyle name="Currency 9 2 5 2" xfId="1287" xr:uid="{00000000-0005-0000-0000-000009020000}"/>
    <cellStyle name="Currency 9 2 6" xfId="986" xr:uid="{00000000-0005-0000-0000-00000A020000}"/>
    <cellStyle name="Currency 9 2 6 2" xfId="1288" xr:uid="{00000000-0005-0000-0000-00000B020000}"/>
    <cellStyle name="Currency 9 2 7" xfId="828" xr:uid="{00000000-0005-0000-0000-00000C020000}"/>
    <cellStyle name="Currency 9 2 7 2" xfId="1289" xr:uid="{00000000-0005-0000-0000-00000D020000}"/>
    <cellStyle name="Currency 9 2 8" xfId="1276" xr:uid="{00000000-0005-0000-0000-00000E020000}"/>
    <cellStyle name="Currency 9 3" xfId="529" xr:uid="{00000000-0005-0000-0000-00000F020000}"/>
    <cellStyle name="Currency 9 3 2" xfId="848" xr:uid="{00000000-0005-0000-0000-000010020000}"/>
    <cellStyle name="Currency 9 3 2 2" xfId="907" xr:uid="{00000000-0005-0000-0000-000011020000}"/>
    <cellStyle name="Currency 9 3 2 2 2" xfId="1292" xr:uid="{00000000-0005-0000-0000-000012020000}"/>
    <cellStyle name="Currency 9 3 2 3" xfId="1291" xr:uid="{00000000-0005-0000-0000-000013020000}"/>
    <cellStyle name="Currency 9 3 3" xfId="932" xr:uid="{00000000-0005-0000-0000-000014020000}"/>
    <cellStyle name="Currency 9 3 3 2" xfId="1293" xr:uid="{00000000-0005-0000-0000-000015020000}"/>
    <cellStyle name="Currency 9 3 4" xfId="891" xr:uid="{00000000-0005-0000-0000-000016020000}"/>
    <cellStyle name="Currency 9 3 4 2" xfId="1294" xr:uid="{00000000-0005-0000-0000-000017020000}"/>
    <cellStyle name="Currency 9 3 5" xfId="988" xr:uid="{00000000-0005-0000-0000-000018020000}"/>
    <cellStyle name="Currency 9 3 5 2" xfId="1295" xr:uid="{00000000-0005-0000-0000-000019020000}"/>
    <cellStyle name="Currency 9 3 6" xfId="830" xr:uid="{00000000-0005-0000-0000-00001A020000}"/>
    <cellStyle name="Currency 9 3 6 2" xfId="1296" xr:uid="{00000000-0005-0000-0000-00001B020000}"/>
    <cellStyle name="Currency 9 3 7" xfId="1290" xr:uid="{00000000-0005-0000-0000-00001C020000}"/>
    <cellStyle name="Currency 9 4" xfId="929" xr:uid="{00000000-0005-0000-0000-00001D020000}"/>
    <cellStyle name="Currency 9 4 2" xfId="1297" xr:uid="{00000000-0005-0000-0000-00001E020000}"/>
    <cellStyle name="Currency 9 5" xfId="985" xr:uid="{00000000-0005-0000-0000-00001F020000}"/>
    <cellStyle name="Currency 9 5 2" xfId="1298" xr:uid="{00000000-0005-0000-0000-000020020000}"/>
    <cellStyle name="Currency 9 6" xfId="810" xr:uid="{00000000-0005-0000-0000-000021020000}"/>
    <cellStyle name="Currency 9 7" xfId="1275" xr:uid="{00000000-0005-0000-0000-000022020000}"/>
    <cellStyle name="Date" xfId="171" xr:uid="{00000000-0005-0000-0000-000023020000}"/>
    <cellStyle name="Date 2" xfId="172" xr:uid="{00000000-0005-0000-0000-000024020000}"/>
    <cellStyle name="Date 2 2" xfId="710" xr:uid="{00000000-0005-0000-0000-000025020000}"/>
    <cellStyle name="Date 3" xfId="371" xr:uid="{00000000-0005-0000-0000-000026020000}"/>
    <cellStyle name="Date 3 2" xfId="933" xr:uid="{00000000-0005-0000-0000-000027020000}"/>
    <cellStyle name="Date 3 3" xfId="805" xr:uid="{00000000-0005-0000-0000-000028020000}"/>
    <cellStyle name="Date 4" xfId="711" xr:uid="{00000000-0005-0000-0000-000029020000}"/>
    <cellStyle name="Date Aligned" xfId="173" xr:uid="{00000000-0005-0000-0000-00002A020000}"/>
    <cellStyle name="Date_Augmentation" xfId="530" xr:uid="{00000000-0005-0000-0000-00002B020000}"/>
    <cellStyle name="Dotted Line" xfId="174" xr:uid="{00000000-0005-0000-0000-00002C020000}"/>
    <cellStyle name="Euro" xfId="372" xr:uid="{00000000-0005-0000-0000-00002D020000}"/>
    <cellStyle name="Euro 2" xfId="712" xr:uid="{00000000-0005-0000-0000-00002E020000}"/>
    <cellStyle name="Euro 2 2" xfId="849" xr:uid="{00000000-0005-0000-0000-00002F020000}"/>
    <cellStyle name="Explanatory Text" xfId="1060" builtinId="53" customBuiltin="1"/>
    <cellStyle name="Explanatory Text 2" xfId="176" xr:uid="{00000000-0005-0000-0000-000031020000}"/>
    <cellStyle name="Explanatory Text 2 2" xfId="373" xr:uid="{00000000-0005-0000-0000-000032020000}"/>
    <cellStyle name="Explanatory Text 2 2 2" xfId="441" xr:uid="{00000000-0005-0000-0000-000033020000}"/>
    <cellStyle name="Explanatory Text 2 2 3" xfId="1213" xr:uid="{00000000-0005-0000-0000-000034020000}"/>
    <cellStyle name="Explanatory Text 3" xfId="177" xr:uid="{00000000-0005-0000-0000-000035020000}"/>
    <cellStyle name="Explanatory Text 4" xfId="178" xr:uid="{00000000-0005-0000-0000-000036020000}"/>
    <cellStyle name="Explanatory Text 5" xfId="175" xr:uid="{00000000-0005-0000-0000-000037020000}"/>
    <cellStyle name="Explanatory Text 6" xfId="531" xr:uid="{00000000-0005-0000-0000-000038020000}"/>
    <cellStyle name="Explanatory Text 7" xfId="1153" xr:uid="{00000000-0005-0000-0000-000039020000}"/>
    <cellStyle name="F2" xfId="532" xr:uid="{00000000-0005-0000-0000-00003A020000}"/>
    <cellStyle name="F2 2" xfId="533" xr:uid="{00000000-0005-0000-0000-00003B020000}"/>
    <cellStyle name="F2 2 2" xfId="534" xr:uid="{00000000-0005-0000-0000-00003C020000}"/>
    <cellStyle name="F3" xfId="535" xr:uid="{00000000-0005-0000-0000-00003D020000}"/>
    <cellStyle name="F3 2" xfId="536" xr:uid="{00000000-0005-0000-0000-00003E020000}"/>
    <cellStyle name="F3 3" xfId="537" xr:uid="{00000000-0005-0000-0000-00003F020000}"/>
    <cellStyle name="F3 3 2" xfId="538" xr:uid="{00000000-0005-0000-0000-000040020000}"/>
    <cellStyle name="F4" xfId="539" xr:uid="{00000000-0005-0000-0000-000041020000}"/>
    <cellStyle name="F4 2" xfId="540" xr:uid="{00000000-0005-0000-0000-000042020000}"/>
    <cellStyle name="F4 2 2" xfId="541" xr:uid="{00000000-0005-0000-0000-000043020000}"/>
    <cellStyle name="F5" xfId="542" xr:uid="{00000000-0005-0000-0000-000044020000}"/>
    <cellStyle name="F5 2" xfId="543" xr:uid="{00000000-0005-0000-0000-000045020000}"/>
    <cellStyle name="F5 3" xfId="544" xr:uid="{00000000-0005-0000-0000-000046020000}"/>
    <cellStyle name="F5 3 2" xfId="545" xr:uid="{00000000-0005-0000-0000-000047020000}"/>
    <cellStyle name="F6" xfId="546" xr:uid="{00000000-0005-0000-0000-000048020000}"/>
    <cellStyle name="F6 2" xfId="547" xr:uid="{00000000-0005-0000-0000-000049020000}"/>
    <cellStyle name="F6 2 2" xfId="548" xr:uid="{00000000-0005-0000-0000-00004A020000}"/>
    <cellStyle name="F7" xfId="549" xr:uid="{00000000-0005-0000-0000-00004B020000}"/>
    <cellStyle name="F7 2" xfId="550" xr:uid="{00000000-0005-0000-0000-00004C020000}"/>
    <cellStyle name="F7 3" xfId="551" xr:uid="{00000000-0005-0000-0000-00004D020000}"/>
    <cellStyle name="F7 3 2" xfId="552" xr:uid="{00000000-0005-0000-0000-00004E020000}"/>
    <cellStyle name="F8" xfId="553" xr:uid="{00000000-0005-0000-0000-00004F020000}"/>
    <cellStyle name="F8 2" xfId="554" xr:uid="{00000000-0005-0000-0000-000050020000}"/>
    <cellStyle name="F8 2 2" xfId="555" xr:uid="{00000000-0005-0000-0000-000051020000}"/>
    <cellStyle name="Fixed" xfId="374" xr:uid="{00000000-0005-0000-0000-000052020000}"/>
    <cellStyle name="Fixed 2" xfId="375" xr:uid="{00000000-0005-0000-0000-000053020000}"/>
    <cellStyle name="Fixed 2 2" xfId="556" xr:uid="{00000000-0005-0000-0000-000054020000}"/>
    <cellStyle name="Fixed 3" xfId="713" xr:uid="{00000000-0005-0000-0000-000055020000}"/>
    <cellStyle name="Fixed 3 2" xfId="850" xr:uid="{00000000-0005-0000-0000-000056020000}"/>
    <cellStyle name="Fixed1 - Style1" xfId="376" xr:uid="{00000000-0005-0000-0000-000057020000}"/>
    <cellStyle name="Footnote" xfId="179" xr:uid="{00000000-0005-0000-0000-000058020000}"/>
    <cellStyle name="Good" xfId="1050" builtinId="26" customBuiltin="1"/>
    <cellStyle name="Good 2" xfId="181" xr:uid="{00000000-0005-0000-0000-00005A020000}"/>
    <cellStyle name="Good 2 2" xfId="377" xr:uid="{00000000-0005-0000-0000-00005B020000}"/>
    <cellStyle name="Good 2 2 2" xfId="442" xr:uid="{00000000-0005-0000-0000-00005C020000}"/>
    <cellStyle name="Good 2 2 3" xfId="1214" xr:uid="{00000000-0005-0000-0000-00005D020000}"/>
    <cellStyle name="Good 3" xfId="182" xr:uid="{00000000-0005-0000-0000-00005E020000}"/>
    <cellStyle name="Good 4" xfId="183" xr:uid="{00000000-0005-0000-0000-00005F020000}"/>
    <cellStyle name="Good 5" xfId="180" xr:uid="{00000000-0005-0000-0000-000060020000}"/>
    <cellStyle name="Good 6" xfId="557" xr:uid="{00000000-0005-0000-0000-000061020000}"/>
    <cellStyle name="Good 7" xfId="1143" xr:uid="{00000000-0005-0000-0000-000062020000}"/>
    <cellStyle name="Grey" xfId="378" xr:uid="{00000000-0005-0000-0000-000063020000}"/>
    <cellStyle name="Grey 2" xfId="558" xr:uid="{00000000-0005-0000-0000-000064020000}"/>
    <cellStyle name="Hard Percent" xfId="184" xr:uid="{00000000-0005-0000-0000-000065020000}"/>
    <cellStyle name="Header" xfId="185" xr:uid="{00000000-0005-0000-0000-000066020000}"/>
    <cellStyle name="HEADER 2" xfId="379" xr:uid="{00000000-0005-0000-0000-000067020000}"/>
    <cellStyle name="Header 2 2" xfId="559" xr:uid="{00000000-0005-0000-0000-000068020000}"/>
    <cellStyle name="Heading 1" xfId="1046" builtinId="16" customBuiltin="1"/>
    <cellStyle name="Heading 1 2" xfId="187" xr:uid="{00000000-0005-0000-0000-00006A020000}"/>
    <cellStyle name="Heading 1 3" xfId="188" xr:uid="{00000000-0005-0000-0000-00006B020000}"/>
    <cellStyle name="Heading 1 4" xfId="189" xr:uid="{00000000-0005-0000-0000-00006C020000}"/>
    <cellStyle name="Heading 1 5" xfId="186" xr:uid="{00000000-0005-0000-0000-00006D020000}"/>
    <cellStyle name="Heading 1 6" xfId="560" xr:uid="{00000000-0005-0000-0000-00006E020000}"/>
    <cellStyle name="Heading 1 7" xfId="1139" xr:uid="{00000000-0005-0000-0000-00006F020000}"/>
    <cellStyle name="Heading 2" xfId="1047" builtinId="17" customBuiltin="1"/>
    <cellStyle name="Heading 2 2" xfId="191" xr:uid="{00000000-0005-0000-0000-000071020000}"/>
    <cellStyle name="Heading 2 3" xfId="192" xr:uid="{00000000-0005-0000-0000-000072020000}"/>
    <cellStyle name="Heading 2 4" xfId="193" xr:uid="{00000000-0005-0000-0000-000073020000}"/>
    <cellStyle name="Heading 2 5" xfId="190" xr:uid="{00000000-0005-0000-0000-000074020000}"/>
    <cellStyle name="Heading 2 6" xfId="561" xr:uid="{00000000-0005-0000-0000-000075020000}"/>
    <cellStyle name="Heading 2 7" xfId="1140" xr:uid="{00000000-0005-0000-0000-000076020000}"/>
    <cellStyle name="Heading 3" xfId="1048" builtinId="18" customBuiltin="1"/>
    <cellStyle name="Heading 3 2" xfId="195" xr:uid="{00000000-0005-0000-0000-000078020000}"/>
    <cellStyle name="Heading 3 3" xfId="196" xr:uid="{00000000-0005-0000-0000-000079020000}"/>
    <cellStyle name="Heading 3 4" xfId="197" xr:uid="{00000000-0005-0000-0000-00007A020000}"/>
    <cellStyle name="Heading 3 5" xfId="194" xr:uid="{00000000-0005-0000-0000-00007B020000}"/>
    <cellStyle name="Heading 3 6" xfId="562" xr:uid="{00000000-0005-0000-0000-00007C020000}"/>
    <cellStyle name="Heading 3 7" xfId="1141" xr:uid="{00000000-0005-0000-0000-00007D020000}"/>
    <cellStyle name="Heading 4" xfId="1049" builtinId="19" customBuiltin="1"/>
    <cellStyle name="Heading 4 2" xfId="199" xr:uid="{00000000-0005-0000-0000-00007F020000}"/>
    <cellStyle name="Heading 4 3" xfId="200" xr:uid="{00000000-0005-0000-0000-000080020000}"/>
    <cellStyle name="Heading 4 4" xfId="201" xr:uid="{00000000-0005-0000-0000-000081020000}"/>
    <cellStyle name="Heading 4 5" xfId="198" xr:uid="{00000000-0005-0000-0000-000082020000}"/>
    <cellStyle name="Heading 4 6" xfId="563" xr:uid="{00000000-0005-0000-0000-000083020000}"/>
    <cellStyle name="Heading 4 7" xfId="1142" xr:uid="{00000000-0005-0000-0000-000084020000}"/>
    <cellStyle name="Heading1" xfId="380" xr:uid="{00000000-0005-0000-0000-000085020000}"/>
    <cellStyle name="Heading1 2" xfId="381" xr:uid="{00000000-0005-0000-0000-000086020000}"/>
    <cellStyle name="Heading1 2 2" xfId="564" xr:uid="{00000000-0005-0000-0000-000087020000}"/>
    <cellStyle name="Heading1 3" xfId="714" xr:uid="{00000000-0005-0000-0000-000088020000}"/>
    <cellStyle name="Heading1 3 2" xfId="851" xr:uid="{00000000-0005-0000-0000-000089020000}"/>
    <cellStyle name="Heading2" xfId="382" xr:uid="{00000000-0005-0000-0000-00008A020000}"/>
    <cellStyle name="Heading2 2" xfId="383" xr:uid="{00000000-0005-0000-0000-00008B020000}"/>
    <cellStyle name="Heading2 2 2" xfId="565" xr:uid="{00000000-0005-0000-0000-00008C020000}"/>
    <cellStyle name="Heading2 3" xfId="715" xr:uid="{00000000-0005-0000-0000-00008D020000}"/>
    <cellStyle name="Heading2 3 2" xfId="852" xr:uid="{00000000-0005-0000-0000-00008E020000}"/>
    <cellStyle name="HIGHLIGHT" xfId="384" xr:uid="{00000000-0005-0000-0000-00008F020000}"/>
    <cellStyle name="HIGHLIGHT 2" xfId="566" xr:uid="{00000000-0005-0000-0000-000090020000}"/>
    <cellStyle name="Hyperlink" xfId="4" builtinId="8"/>
    <cellStyle name="Hyperlink 2" xfId="202" xr:uid="{00000000-0005-0000-0000-000092020000}"/>
    <cellStyle name="Hyperlink 2 2" xfId="203" xr:uid="{00000000-0005-0000-0000-000093020000}"/>
    <cellStyle name="Hyperlink 2 2 2" xfId="716" xr:uid="{00000000-0005-0000-0000-000094020000}"/>
    <cellStyle name="Hyperlink 2 3" xfId="333" xr:uid="{00000000-0005-0000-0000-000095020000}"/>
    <cellStyle name="Hyperlink 2_Augmentation" xfId="567" xr:uid="{00000000-0005-0000-0000-000096020000}"/>
    <cellStyle name="Hyperlink 3" xfId="204" xr:uid="{00000000-0005-0000-0000-000097020000}"/>
    <cellStyle name="Hyperlink 3 2" xfId="443" xr:uid="{00000000-0005-0000-0000-000098020000}"/>
    <cellStyle name="Hyperlink 3 2 2" xfId="934" xr:uid="{00000000-0005-0000-0000-000099020000}"/>
    <cellStyle name="Hyperlink 3 2 3" xfId="806" xr:uid="{00000000-0005-0000-0000-00009A020000}"/>
    <cellStyle name="Hyperlink 3 3" xfId="1183" xr:uid="{00000000-0005-0000-0000-00009B020000}"/>
    <cellStyle name="Hyperlink 4" xfId="332" xr:uid="{00000000-0005-0000-0000-00009C020000}"/>
    <cellStyle name="Hyperlink 4 2" xfId="444" xr:uid="{00000000-0005-0000-0000-00009D020000}"/>
    <cellStyle name="Hyperlink 4 3" xfId="1185" xr:uid="{00000000-0005-0000-0000-00009E020000}"/>
    <cellStyle name="Hyperlink 5" xfId="568" xr:uid="{00000000-0005-0000-0000-00009F020000}"/>
    <cellStyle name="Input" xfId="1053" builtinId="20" customBuiltin="1"/>
    <cellStyle name="Input [yellow]" xfId="385" xr:uid="{00000000-0005-0000-0000-0000A1020000}"/>
    <cellStyle name="Input [yellow] 2" xfId="569" xr:uid="{00000000-0005-0000-0000-0000A2020000}"/>
    <cellStyle name="Input [yellow] 2 2" xfId="570" xr:uid="{00000000-0005-0000-0000-0000A3020000}"/>
    <cellStyle name="Input [yellow] 3" xfId="571" xr:uid="{00000000-0005-0000-0000-0000A4020000}"/>
    <cellStyle name="Input 10" xfId="717" xr:uid="{00000000-0005-0000-0000-0000A5020000}"/>
    <cellStyle name="Input 11" xfId="718" xr:uid="{00000000-0005-0000-0000-0000A6020000}"/>
    <cellStyle name="Input 12" xfId="719" xr:uid="{00000000-0005-0000-0000-0000A7020000}"/>
    <cellStyle name="Input 13" xfId="720" xr:uid="{00000000-0005-0000-0000-0000A8020000}"/>
    <cellStyle name="Input 14" xfId="721" xr:uid="{00000000-0005-0000-0000-0000A9020000}"/>
    <cellStyle name="Input 15" xfId="722" xr:uid="{00000000-0005-0000-0000-0000AA020000}"/>
    <cellStyle name="Input 16" xfId="723" xr:uid="{00000000-0005-0000-0000-0000AB020000}"/>
    <cellStyle name="Input 17" xfId="724" xr:uid="{00000000-0005-0000-0000-0000AC020000}"/>
    <cellStyle name="Input 18" xfId="725" xr:uid="{00000000-0005-0000-0000-0000AD020000}"/>
    <cellStyle name="Input 19" xfId="726" xr:uid="{00000000-0005-0000-0000-0000AE020000}"/>
    <cellStyle name="Input 2" xfId="206" xr:uid="{00000000-0005-0000-0000-0000AF020000}"/>
    <cellStyle name="Input 2 2" xfId="386" xr:uid="{00000000-0005-0000-0000-0000B0020000}"/>
    <cellStyle name="Input 2 2 2" xfId="445" xr:uid="{00000000-0005-0000-0000-0000B1020000}"/>
    <cellStyle name="Input 2 2 3" xfId="1215" xr:uid="{00000000-0005-0000-0000-0000B2020000}"/>
    <cellStyle name="Input 20" xfId="727" xr:uid="{00000000-0005-0000-0000-0000B3020000}"/>
    <cellStyle name="Input 21" xfId="728" xr:uid="{00000000-0005-0000-0000-0000B4020000}"/>
    <cellStyle name="Input 22" xfId="729" xr:uid="{00000000-0005-0000-0000-0000B5020000}"/>
    <cellStyle name="Input 23" xfId="730" xr:uid="{00000000-0005-0000-0000-0000B6020000}"/>
    <cellStyle name="Input 24" xfId="669" xr:uid="{00000000-0005-0000-0000-0000B7020000}"/>
    <cellStyle name="Input 25" xfId="672" xr:uid="{00000000-0005-0000-0000-0000B8020000}"/>
    <cellStyle name="Input 26" xfId="688" xr:uid="{00000000-0005-0000-0000-0000B9020000}"/>
    <cellStyle name="Input 27" xfId="781" xr:uid="{00000000-0005-0000-0000-0000BA020000}"/>
    <cellStyle name="Input 27 2" xfId="1146" xr:uid="{00000000-0005-0000-0000-0000BB020000}"/>
    <cellStyle name="Input 28" xfId="784" xr:uid="{00000000-0005-0000-0000-0000BC020000}"/>
    <cellStyle name="Input 28 2" xfId="1182" xr:uid="{00000000-0005-0000-0000-0000BD020000}"/>
    <cellStyle name="Input 29" xfId="797" xr:uid="{00000000-0005-0000-0000-0000BE020000}"/>
    <cellStyle name="Input 29 2" xfId="1179" xr:uid="{00000000-0005-0000-0000-0000BF020000}"/>
    <cellStyle name="Input 3" xfId="207" xr:uid="{00000000-0005-0000-0000-0000C0020000}"/>
    <cellStyle name="Input 3 2" xfId="572" xr:uid="{00000000-0005-0000-0000-0000C1020000}"/>
    <cellStyle name="Input 30" xfId="791" xr:uid="{00000000-0005-0000-0000-0000C2020000}"/>
    <cellStyle name="Input 31" xfId="779" xr:uid="{00000000-0005-0000-0000-0000C3020000}"/>
    <cellStyle name="Input 32" xfId="1007" xr:uid="{00000000-0005-0000-0000-0000C4020000}"/>
    <cellStyle name="Input 33" xfId="778" xr:uid="{00000000-0005-0000-0000-0000C5020000}"/>
    <cellStyle name="Input 34" xfId="785" xr:uid="{00000000-0005-0000-0000-0000C6020000}"/>
    <cellStyle name="Input 35" xfId="1017" xr:uid="{00000000-0005-0000-0000-0000C7020000}"/>
    <cellStyle name="Input 36" xfId="1012" xr:uid="{00000000-0005-0000-0000-0000C8020000}"/>
    <cellStyle name="Input 37" xfId="1040" xr:uid="{00000000-0005-0000-0000-0000C9020000}"/>
    <cellStyle name="Input 38" xfId="1028" xr:uid="{00000000-0005-0000-0000-0000CA020000}"/>
    <cellStyle name="Input 39" xfId="1036" xr:uid="{00000000-0005-0000-0000-0000CB020000}"/>
    <cellStyle name="Input 4" xfId="208" xr:uid="{00000000-0005-0000-0000-0000CC020000}"/>
    <cellStyle name="Input 4 2" xfId="573" xr:uid="{00000000-0005-0000-0000-0000CD020000}"/>
    <cellStyle name="Input 40" xfId="1015" xr:uid="{00000000-0005-0000-0000-0000CE020000}"/>
    <cellStyle name="Input 41" xfId="1027" xr:uid="{00000000-0005-0000-0000-0000CF020000}"/>
    <cellStyle name="Input 42" xfId="1013" xr:uid="{00000000-0005-0000-0000-0000D0020000}"/>
    <cellStyle name="Input 43" xfId="1014" xr:uid="{00000000-0005-0000-0000-0000D1020000}"/>
    <cellStyle name="Input 44" xfId="1016" xr:uid="{00000000-0005-0000-0000-0000D2020000}"/>
    <cellStyle name="Input 45" xfId="1098" xr:uid="{00000000-0005-0000-0000-0000D3020000}"/>
    <cellStyle name="Input 46" xfId="1105" xr:uid="{00000000-0005-0000-0000-0000D4020000}"/>
    <cellStyle name="Input 47" xfId="1223" xr:uid="{00000000-0005-0000-0000-0000D5020000}"/>
    <cellStyle name="Input 48" xfId="1113" xr:uid="{00000000-0005-0000-0000-0000D6020000}"/>
    <cellStyle name="Input 49" xfId="1092" xr:uid="{00000000-0005-0000-0000-0000D7020000}"/>
    <cellStyle name="Input 5" xfId="205" xr:uid="{00000000-0005-0000-0000-0000D8020000}"/>
    <cellStyle name="Input 5 2" xfId="574" xr:uid="{00000000-0005-0000-0000-0000D9020000}"/>
    <cellStyle name="Input 50" xfId="1087" xr:uid="{00000000-0005-0000-0000-0000DA020000}"/>
    <cellStyle name="Input 51" xfId="1108" xr:uid="{00000000-0005-0000-0000-0000DB020000}"/>
    <cellStyle name="Input 52" xfId="1109" xr:uid="{00000000-0005-0000-0000-0000DC020000}"/>
    <cellStyle name="Input 53" xfId="1089" xr:uid="{00000000-0005-0000-0000-0000DD020000}"/>
    <cellStyle name="Input 54" xfId="1102" xr:uid="{00000000-0005-0000-0000-0000DE020000}"/>
    <cellStyle name="Input 55" xfId="1399" xr:uid="{00000000-0005-0000-0000-0000DF020000}"/>
    <cellStyle name="Input 56" xfId="1220" xr:uid="{00000000-0005-0000-0000-0000E0020000}"/>
    <cellStyle name="Input 57" xfId="1394" xr:uid="{00000000-0005-0000-0000-0000E1020000}"/>
    <cellStyle name="Input 58" xfId="1424" xr:uid="{00000000-0005-0000-0000-0000E2020000}"/>
    <cellStyle name="Input 59" xfId="1427" xr:uid="{00000000-0005-0000-0000-0000E3020000}"/>
    <cellStyle name="Input 6" xfId="329" xr:uid="{00000000-0005-0000-0000-0000E4020000}"/>
    <cellStyle name="Input 6 2" xfId="575" xr:uid="{00000000-0005-0000-0000-0000E5020000}"/>
    <cellStyle name="Input 60" xfId="1430" xr:uid="{00000000-0005-0000-0000-0000E6020000}"/>
    <cellStyle name="Input 7" xfId="323" xr:uid="{00000000-0005-0000-0000-0000E7020000}"/>
    <cellStyle name="Input 7 2" xfId="576" xr:uid="{00000000-0005-0000-0000-0000E8020000}"/>
    <cellStyle name="Input 8" xfId="325" xr:uid="{00000000-0005-0000-0000-0000E9020000}"/>
    <cellStyle name="Input 9" xfId="328" xr:uid="{00000000-0005-0000-0000-0000EA020000}"/>
    <cellStyle name="Linked Cell" xfId="1056" builtinId="24" customBuiltin="1"/>
    <cellStyle name="Linked Cell 2" xfId="210" xr:uid="{00000000-0005-0000-0000-0000EC020000}"/>
    <cellStyle name="Linked Cell 2 2" xfId="387" xr:uid="{00000000-0005-0000-0000-0000ED020000}"/>
    <cellStyle name="Linked Cell 2 2 2" xfId="446" xr:uid="{00000000-0005-0000-0000-0000EE020000}"/>
    <cellStyle name="Linked Cell 2 2 3" xfId="1216" xr:uid="{00000000-0005-0000-0000-0000EF020000}"/>
    <cellStyle name="Linked Cell 3" xfId="211" xr:uid="{00000000-0005-0000-0000-0000F0020000}"/>
    <cellStyle name="Linked Cell 4" xfId="212" xr:uid="{00000000-0005-0000-0000-0000F1020000}"/>
    <cellStyle name="Linked Cell 5" xfId="209" xr:uid="{00000000-0005-0000-0000-0000F2020000}"/>
    <cellStyle name="Linked Cell 6" xfId="577" xr:uid="{00000000-0005-0000-0000-0000F3020000}"/>
    <cellStyle name="Linked Cell 7" xfId="1149" xr:uid="{00000000-0005-0000-0000-0000F4020000}"/>
    <cellStyle name="Multiple" xfId="213" xr:uid="{00000000-0005-0000-0000-0000F5020000}"/>
    <cellStyle name="Neutral" xfId="1052" builtinId="28" customBuiltin="1"/>
    <cellStyle name="Neutral 2" xfId="215" xr:uid="{00000000-0005-0000-0000-0000F7020000}"/>
    <cellStyle name="Neutral 2 2" xfId="388" xr:uid="{00000000-0005-0000-0000-0000F8020000}"/>
    <cellStyle name="Neutral 2 2 2" xfId="447" xr:uid="{00000000-0005-0000-0000-0000F9020000}"/>
    <cellStyle name="Neutral 2 2 3" xfId="1217" xr:uid="{00000000-0005-0000-0000-0000FA020000}"/>
    <cellStyle name="Neutral 3" xfId="216" xr:uid="{00000000-0005-0000-0000-0000FB020000}"/>
    <cellStyle name="Neutral 4" xfId="217" xr:uid="{00000000-0005-0000-0000-0000FC020000}"/>
    <cellStyle name="Neutral 5" xfId="214" xr:uid="{00000000-0005-0000-0000-0000FD020000}"/>
    <cellStyle name="Neutral 6" xfId="578" xr:uid="{00000000-0005-0000-0000-0000FE020000}"/>
    <cellStyle name="Neutral 7" xfId="1145" xr:uid="{00000000-0005-0000-0000-0000FF020000}"/>
    <cellStyle name="no dec" xfId="389" xr:uid="{00000000-0005-0000-0000-000000030000}"/>
    <cellStyle name="no dec 2" xfId="579" xr:uid="{00000000-0005-0000-0000-000001030000}"/>
    <cellStyle name="no dec 2 2" xfId="580" xr:uid="{00000000-0005-0000-0000-000002030000}"/>
    <cellStyle name="Normal" xfId="0" builtinId="0"/>
    <cellStyle name="Normal - Style1" xfId="390" xr:uid="{00000000-0005-0000-0000-000004030000}"/>
    <cellStyle name="Normal - Style1 2" xfId="581" xr:uid="{00000000-0005-0000-0000-000005030000}"/>
    <cellStyle name="Normal 10" xfId="322" xr:uid="{00000000-0005-0000-0000-000006030000}"/>
    <cellStyle name="Normal 10 2" xfId="583" xr:uid="{00000000-0005-0000-0000-000007030000}"/>
    <cellStyle name="Normal 10 2 2" xfId="853" xr:uid="{00000000-0005-0000-0000-000008030000}"/>
    <cellStyle name="Normal 10 2 2 2" xfId="908" xr:uid="{00000000-0005-0000-0000-000009030000}"/>
    <cellStyle name="Normal 10 2 2 2 2" xfId="1301" xr:uid="{00000000-0005-0000-0000-00000A030000}"/>
    <cellStyle name="Normal 10 2 2 3" xfId="1300" xr:uid="{00000000-0005-0000-0000-00000B030000}"/>
    <cellStyle name="Normal 10 2 3" xfId="936" xr:uid="{00000000-0005-0000-0000-00000C030000}"/>
    <cellStyle name="Normal 10 2 3 2" xfId="1302" xr:uid="{00000000-0005-0000-0000-00000D030000}"/>
    <cellStyle name="Normal 10 2 4" xfId="892" xr:uid="{00000000-0005-0000-0000-00000E030000}"/>
    <cellStyle name="Normal 10 2 4 2" xfId="1303" xr:uid="{00000000-0005-0000-0000-00000F030000}"/>
    <cellStyle name="Normal 10 2 5" xfId="989" xr:uid="{00000000-0005-0000-0000-000010030000}"/>
    <cellStyle name="Normal 10 2 5 2" xfId="1304" xr:uid="{00000000-0005-0000-0000-000011030000}"/>
    <cellStyle name="Normal 10 2 6" xfId="831" xr:uid="{00000000-0005-0000-0000-000012030000}"/>
    <cellStyle name="Normal 10 2 6 2" xfId="1305" xr:uid="{00000000-0005-0000-0000-000013030000}"/>
    <cellStyle name="Normal 10 2 7" xfId="1299" xr:uid="{00000000-0005-0000-0000-000014030000}"/>
    <cellStyle name="Normal 10 3" xfId="582" xr:uid="{00000000-0005-0000-0000-000015030000}"/>
    <cellStyle name="Normal 10 4" xfId="935" xr:uid="{00000000-0005-0000-0000-000016030000}"/>
    <cellStyle name="Normal 10 5" xfId="1000" xr:uid="{00000000-0005-0000-0000-000017030000}"/>
    <cellStyle name="Normal 10 5 2" xfId="1306" xr:uid="{00000000-0005-0000-0000-000018030000}"/>
    <cellStyle name="Normal 11" xfId="410" xr:uid="{00000000-0005-0000-0000-000019030000}"/>
    <cellStyle name="Normal 11 2" xfId="585" xr:uid="{00000000-0005-0000-0000-00001A030000}"/>
    <cellStyle name="Normal 11 2 2" xfId="854" xr:uid="{00000000-0005-0000-0000-00001B030000}"/>
    <cellStyle name="Normal 11 2 2 2" xfId="909" xr:uid="{00000000-0005-0000-0000-00001C030000}"/>
    <cellStyle name="Normal 11 2 2 2 2" xfId="1309" xr:uid="{00000000-0005-0000-0000-00001D030000}"/>
    <cellStyle name="Normal 11 2 2 3" xfId="1308" xr:uid="{00000000-0005-0000-0000-00001E030000}"/>
    <cellStyle name="Normal 11 2 3" xfId="938" xr:uid="{00000000-0005-0000-0000-00001F030000}"/>
    <cellStyle name="Normal 11 2 3 2" xfId="1310" xr:uid="{00000000-0005-0000-0000-000020030000}"/>
    <cellStyle name="Normal 11 2 4" xfId="893" xr:uid="{00000000-0005-0000-0000-000021030000}"/>
    <cellStyle name="Normal 11 2 4 2" xfId="1311" xr:uid="{00000000-0005-0000-0000-000022030000}"/>
    <cellStyle name="Normal 11 2 5" xfId="990" xr:uid="{00000000-0005-0000-0000-000023030000}"/>
    <cellStyle name="Normal 11 2 5 2" xfId="1312" xr:uid="{00000000-0005-0000-0000-000024030000}"/>
    <cellStyle name="Normal 11 2 6" xfId="832" xr:uid="{00000000-0005-0000-0000-000025030000}"/>
    <cellStyle name="Normal 11 2 6 2" xfId="1313" xr:uid="{00000000-0005-0000-0000-000026030000}"/>
    <cellStyle name="Normal 11 2 7" xfId="1307" xr:uid="{00000000-0005-0000-0000-000027030000}"/>
    <cellStyle name="Normal 11 3" xfId="584" xr:uid="{00000000-0005-0000-0000-000028030000}"/>
    <cellStyle name="Normal 11 4" xfId="937" xr:uid="{00000000-0005-0000-0000-000029030000}"/>
    <cellStyle name="Normal 11 5" xfId="1001" xr:uid="{00000000-0005-0000-0000-00002A030000}"/>
    <cellStyle name="Normal 11 5 2" xfId="1314" xr:uid="{00000000-0005-0000-0000-00002B030000}"/>
    <cellStyle name="Normal 12" xfId="409" xr:uid="{00000000-0005-0000-0000-00002C030000}"/>
    <cellStyle name="Normal 12 2" xfId="586" xr:uid="{00000000-0005-0000-0000-00002D030000}"/>
    <cellStyle name="Normal 12 3" xfId="1002" xr:uid="{00000000-0005-0000-0000-00002E030000}"/>
    <cellStyle name="Normal 12 3 2" xfId="1315" xr:uid="{00000000-0005-0000-0000-00002F030000}"/>
    <cellStyle name="Normal 13" xfId="411" xr:uid="{00000000-0005-0000-0000-000030030000}"/>
    <cellStyle name="Normal 13 2" xfId="587" xr:uid="{00000000-0005-0000-0000-000031030000}"/>
    <cellStyle name="Normal 13 3" xfId="939" xr:uid="{00000000-0005-0000-0000-000032030000}"/>
    <cellStyle name="Normal 13 4" xfId="811" xr:uid="{00000000-0005-0000-0000-000033030000}"/>
    <cellStyle name="Normal 13 5" xfId="1003" xr:uid="{00000000-0005-0000-0000-000034030000}"/>
    <cellStyle name="Normal 13 5 2" xfId="1316" xr:uid="{00000000-0005-0000-0000-000035030000}"/>
    <cellStyle name="Normal 14" xfId="588" xr:uid="{00000000-0005-0000-0000-000036030000}"/>
    <cellStyle name="Normal 14 2" xfId="589" xr:uid="{00000000-0005-0000-0000-000037030000}"/>
    <cellStyle name="Normal 14 2 2" xfId="590" xr:uid="{00000000-0005-0000-0000-000038030000}"/>
    <cellStyle name="Normal 14 2 2 2" xfId="856" xr:uid="{00000000-0005-0000-0000-000039030000}"/>
    <cellStyle name="Normal 14 2 2 2 2" xfId="911" xr:uid="{00000000-0005-0000-0000-00003A030000}"/>
    <cellStyle name="Normal 14 2 2 2 2 2" xfId="1321" xr:uid="{00000000-0005-0000-0000-00003B030000}"/>
    <cellStyle name="Normal 14 2 2 2 3" xfId="1320" xr:uid="{00000000-0005-0000-0000-00003C030000}"/>
    <cellStyle name="Normal 14 2 2 3" xfId="942" xr:uid="{00000000-0005-0000-0000-00003D030000}"/>
    <cellStyle name="Normal 14 2 2 3 2" xfId="1322" xr:uid="{00000000-0005-0000-0000-00003E030000}"/>
    <cellStyle name="Normal 14 2 2 4" xfId="895" xr:uid="{00000000-0005-0000-0000-00003F030000}"/>
    <cellStyle name="Normal 14 2 2 4 2" xfId="1323" xr:uid="{00000000-0005-0000-0000-000040030000}"/>
    <cellStyle name="Normal 14 2 2 5" xfId="993" xr:uid="{00000000-0005-0000-0000-000041030000}"/>
    <cellStyle name="Normal 14 2 2 5 2" xfId="1324" xr:uid="{00000000-0005-0000-0000-000042030000}"/>
    <cellStyle name="Normal 14 2 2 6" xfId="834" xr:uid="{00000000-0005-0000-0000-000043030000}"/>
    <cellStyle name="Normal 14 2 2 6 2" xfId="1325" xr:uid="{00000000-0005-0000-0000-000044030000}"/>
    <cellStyle name="Normal 14 2 2 7" xfId="1319" xr:uid="{00000000-0005-0000-0000-000045030000}"/>
    <cellStyle name="Normal 14 2 3" xfId="855" xr:uid="{00000000-0005-0000-0000-000046030000}"/>
    <cellStyle name="Normal 14 2 3 2" xfId="910" xr:uid="{00000000-0005-0000-0000-000047030000}"/>
    <cellStyle name="Normal 14 2 3 2 2" xfId="1327" xr:uid="{00000000-0005-0000-0000-000048030000}"/>
    <cellStyle name="Normal 14 2 3 3" xfId="1326" xr:uid="{00000000-0005-0000-0000-000049030000}"/>
    <cellStyle name="Normal 14 2 4" xfId="941" xr:uid="{00000000-0005-0000-0000-00004A030000}"/>
    <cellStyle name="Normal 14 2 4 2" xfId="1328" xr:uid="{00000000-0005-0000-0000-00004B030000}"/>
    <cellStyle name="Normal 14 2 5" xfId="894" xr:uid="{00000000-0005-0000-0000-00004C030000}"/>
    <cellStyle name="Normal 14 2 5 2" xfId="1329" xr:uid="{00000000-0005-0000-0000-00004D030000}"/>
    <cellStyle name="Normal 14 2 6" xfId="992" xr:uid="{00000000-0005-0000-0000-00004E030000}"/>
    <cellStyle name="Normal 14 2 6 2" xfId="1330" xr:uid="{00000000-0005-0000-0000-00004F030000}"/>
    <cellStyle name="Normal 14 2 7" xfId="833" xr:uid="{00000000-0005-0000-0000-000050030000}"/>
    <cellStyle name="Normal 14 2 7 2" xfId="1331" xr:uid="{00000000-0005-0000-0000-000051030000}"/>
    <cellStyle name="Normal 14 2 8" xfId="1318" xr:uid="{00000000-0005-0000-0000-000052030000}"/>
    <cellStyle name="Normal 14 3" xfId="591" xr:uid="{00000000-0005-0000-0000-000053030000}"/>
    <cellStyle name="Normal 14 3 2" xfId="857" xr:uid="{00000000-0005-0000-0000-000054030000}"/>
    <cellStyle name="Normal 14 3 2 2" xfId="912" xr:uid="{00000000-0005-0000-0000-000055030000}"/>
    <cellStyle name="Normal 14 3 2 2 2" xfId="1334" xr:uid="{00000000-0005-0000-0000-000056030000}"/>
    <cellStyle name="Normal 14 3 2 3" xfId="1333" xr:uid="{00000000-0005-0000-0000-000057030000}"/>
    <cellStyle name="Normal 14 3 3" xfId="943" xr:uid="{00000000-0005-0000-0000-000058030000}"/>
    <cellStyle name="Normal 14 3 3 2" xfId="1335" xr:uid="{00000000-0005-0000-0000-000059030000}"/>
    <cellStyle name="Normal 14 3 4" xfId="896" xr:uid="{00000000-0005-0000-0000-00005A030000}"/>
    <cellStyle name="Normal 14 3 4 2" xfId="1336" xr:uid="{00000000-0005-0000-0000-00005B030000}"/>
    <cellStyle name="Normal 14 3 5" xfId="994" xr:uid="{00000000-0005-0000-0000-00005C030000}"/>
    <cellStyle name="Normal 14 3 5 2" xfId="1337" xr:uid="{00000000-0005-0000-0000-00005D030000}"/>
    <cellStyle name="Normal 14 3 6" xfId="835" xr:uid="{00000000-0005-0000-0000-00005E030000}"/>
    <cellStyle name="Normal 14 3 6 2" xfId="1338" xr:uid="{00000000-0005-0000-0000-00005F030000}"/>
    <cellStyle name="Normal 14 3 7" xfId="1332" xr:uid="{00000000-0005-0000-0000-000060030000}"/>
    <cellStyle name="Normal 14 4" xfId="940" xr:uid="{00000000-0005-0000-0000-000061030000}"/>
    <cellStyle name="Normal 14 4 2" xfId="1339" xr:uid="{00000000-0005-0000-0000-000062030000}"/>
    <cellStyle name="Normal 14 5" xfId="991" xr:uid="{00000000-0005-0000-0000-000063030000}"/>
    <cellStyle name="Normal 14 5 2" xfId="1340" xr:uid="{00000000-0005-0000-0000-000064030000}"/>
    <cellStyle name="Normal 14 6" xfId="809" xr:uid="{00000000-0005-0000-0000-000065030000}"/>
    <cellStyle name="Normal 14 7" xfId="1317" xr:uid="{00000000-0005-0000-0000-000066030000}"/>
    <cellStyle name="Normal 15" xfId="592" xr:uid="{00000000-0005-0000-0000-000067030000}"/>
    <cellStyle name="Normal 15 2" xfId="944" xr:uid="{00000000-0005-0000-0000-000068030000}"/>
    <cellStyle name="Normal 15 3" xfId="812" xr:uid="{00000000-0005-0000-0000-000069030000}"/>
    <cellStyle name="Normal 16" xfId="593" xr:uid="{00000000-0005-0000-0000-00006A030000}"/>
    <cellStyle name="Normal 16 2" xfId="945" xr:uid="{00000000-0005-0000-0000-00006B030000}"/>
    <cellStyle name="Normal 16 3" xfId="815" xr:uid="{00000000-0005-0000-0000-00006C030000}"/>
    <cellStyle name="Normal 17" xfId="594" xr:uid="{00000000-0005-0000-0000-00006D030000}"/>
    <cellStyle name="Normal 17 2" xfId="858" xr:uid="{00000000-0005-0000-0000-00006E030000}"/>
    <cellStyle name="Normal 17 3" xfId="946" xr:uid="{00000000-0005-0000-0000-00006F030000}"/>
    <cellStyle name="Normal 17 4" xfId="816" xr:uid="{00000000-0005-0000-0000-000070030000}"/>
    <cellStyle name="Normal 18" xfId="595" xr:uid="{00000000-0005-0000-0000-000071030000}"/>
    <cellStyle name="Normal 18 2" xfId="859" xr:uid="{00000000-0005-0000-0000-000072030000}"/>
    <cellStyle name="Normal 18 3" xfId="947" xr:uid="{00000000-0005-0000-0000-000073030000}"/>
    <cellStyle name="Normal 18 4" xfId="819" xr:uid="{00000000-0005-0000-0000-000074030000}"/>
    <cellStyle name="Normal 19" xfId="596" xr:uid="{00000000-0005-0000-0000-000075030000}"/>
    <cellStyle name="Normal 19 2" xfId="860" xr:uid="{00000000-0005-0000-0000-000076030000}"/>
    <cellStyle name="Normal 19 3" xfId="948" xr:uid="{00000000-0005-0000-0000-000077030000}"/>
    <cellStyle name="Normal 19 3 2" xfId="1342" xr:uid="{00000000-0005-0000-0000-000078030000}"/>
    <cellStyle name="Normal 19 4" xfId="995" xr:uid="{00000000-0005-0000-0000-000079030000}"/>
    <cellStyle name="Normal 19 4 2" xfId="1343" xr:uid="{00000000-0005-0000-0000-00007A030000}"/>
    <cellStyle name="Normal 19 5" xfId="820" xr:uid="{00000000-0005-0000-0000-00007B030000}"/>
    <cellStyle name="Normal 19 6" xfId="1341" xr:uid="{00000000-0005-0000-0000-00007C030000}"/>
    <cellStyle name="Normal 2" xfId="218" xr:uid="{00000000-0005-0000-0000-00007D030000}"/>
    <cellStyle name="Normal 2 2" xfId="597" xr:uid="{00000000-0005-0000-0000-00007E030000}"/>
    <cellStyle name="Normal 2 3" xfId="1131" xr:uid="{00000000-0005-0000-0000-00007F030000}"/>
    <cellStyle name="Normal 2 3 2" xfId="1224" xr:uid="{00000000-0005-0000-0000-000080030000}"/>
    <cellStyle name="Normal 2 4" xfId="1129" xr:uid="{00000000-0005-0000-0000-000081030000}"/>
    <cellStyle name="Normal 20" xfId="598" xr:uid="{00000000-0005-0000-0000-000082030000}"/>
    <cellStyle name="Normal 20 2" xfId="861" xr:uid="{00000000-0005-0000-0000-000083030000}"/>
    <cellStyle name="Normal 20 3" xfId="949" xr:uid="{00000000-0005-0000-0000-000084030000}"/>
    <cellStyle name="Normal 20 3 2" xfId="1345" xr:uid="{00000000-0005-0000-0000-000085030000}"/>
    <cellStyle name="Normal 20 4" xfId="996" xr:uid="{00000000-0005-0000-0000-000086030000}"/>
    <cellStyle name="Normal 20 4 2" xfId="1346" xr:uid="{00000000-0005-0000-0000-000087030000}"/>
    <cellStyle name="Normal 20 5" xfId="821" xr:uid="{00000000-0005-0000-0000-000088030000}"/>
    <cellStyle name="Normal 20 6" xfId="1344" xr:uid="{00000000-0005-0000-0000-000089030000}"/>
    <cellStyle name="Normal 21" xfId="599" xr:uid="{00000000-0005-0000-0000-00008A030000}"/>
    <cellStyle name="Normal 22" xfId="600" xr:uid="{00000000-0005-0000-0000-00008B030000}"/>
    <cellStyle name="Normal 23" xfId="601" xr:uid="{00000000-0005-0000-0000-00008C030000}"/>
    <cellStyle name="Normal 24" xfId="454" xr:uid="{00000000-0005-0000-0000-00008D030000}"/>
    <cellStyle name="Normal 25" xfId="658" xr:uid="{00000000-0005-0000-0000-00008E030000}"/>
    <cellStyle name="Normal 26" xfId="674" xr:uid="{00000000-0005-0000-0000-00008F030000}"/>
    <cellStyle name="Normal 26 2" xfId="971" xr:uid="{00000000-0005-0000-0000-000090030000}"/>
    <cellStyle name="Normal 26 2 2" xfId="1348" xr:uid="{00000000-0005-0000-0000-000091030000}"/>
    <cellStyle name="Normal 26 3" xfId="918" xr:uid="{00000000-0005-0000-0000-000092030000}"/>
    <cellStyle name="Normal 26 3 2" xfId="1349" xr:uid="{00000000-0005-0000-0000-000093030000}"/>
    <cellStyle name="Normal 26 4" xfId="1347" xr:uid="{00000000-0005-0000-0000-000094030000}"/>
    <cellStyle name="Normal 27" xfId="682" xr:uid="{00000000-0005-0000-0000-000095030000}"/>
    <cellStyle name="Normal 27 2" xfId="975" xr:uid="{00000000-0005-0000-0000-000096030000}"/>
    <cellStyle name="Normal 27 2 2" xfId="1351" xr:uid="{00000000-0005-0000-0000-000097030000}"/>
    <cellStyle name="Normal 27 3" xfId="876" xr:uid="{00000000-0005-0000-0000-000098030000}"/>
    <cellStyle name="Normal 27 4" xfId="1350" xr:uid="{00000000-0005-0000-0000-000099030000}"/>
    <cellStyle name="Normal 28" xfId="667" xr:uid="{00000000-0005-0000-0000-00009A030000}"/>
    <cellStyle name="Normal 28 2" xfId="877" xr:uid="{00000000-0005-0000-0000-00009B030000}"/>
    <cellStyle name="Normal 28 2 2" xfId="1033" xr:uid="{00000000-0005-0000-0000-00009C030000}"/>
    <cellStyle name="Normal 28 3" xfId="1042" xr:uid="{00000000-0005-0000-0000-00009D030000}"/>
    <cellStyle name="Normal 29" xfId="689" xr:uid="{00000000-0005-0000-0000-00009E030000}"/>
    <cellStyle name="Normal 29 2" xfId="960" xr:uid="{00000000-0005-0000-0000-00009F030000}"/>
    <cellStyle name="Normal 29 2 2" xfId="1035" xr:uid="{00000000-0005-0000-0000-0000A0030000}"/>
    <cellStyle name="Normal 29 3" xfId="1044" xr:uid="{00000000-0005-0000-0000-0000A1030000}"/>
    <cellStyle name="Normal 3" xfId="219" xr:uid="{00000000-0005-0000-0000-0000A2030000}"/>
    <cellStyle name="Normal 3 2" xfId="602" xr:uid="{00000000-0005-0000-0000-0000A3030000}"/>
    <cellStyle name="Normal 3 2 2" xfId="862" xr:uid="{00000000-0005-0000-0000-0000A4030000}"/>
    <cellStyle name="Normal 30" xfId="687" xr:uid="{00000000-0005-0000-0000-0000A5030000}"/>
    <cellStyle name="Normal 30 2" xfId="961" xr:uid="{00000000-0005-0000-0000-0000A6030000}"/>
    <cellStyle name="Normal 30 2 2" xfId="1034" xr:uid="{00000000-0005-0000-0000-0000A7030000}"/>
    <cellStyle name="Normal 30 3" xfId="1043" xr:uid="{00000000-0005-0000-0000-0000A8030000}"/>
    <cellStyle name="Normal 31" xfId="789" xr:uid="{00000000-0005-0000-0000-0000A9030000}"/>
    <cellStyle name="Normal 31 2" xfId="962" xr:uid="{00000000-0005-0000-0000-0000AA030000}"/>
    <cellStyle name="Normal 31 3" xfId="1114" xr:uid="{00000000-0005-0000-0000-0000AB030000}"/>
    <cellStyle name="Normal 32" xfId="792" xr:uid="{00000000-0005-0000-0000-0000AC030000}"/>
    <cellStyle name="Normal 32 2" xfId="963" xr:uid="{00000000-0005-0000-0000-0000AD030000}"/>
    <cellStyle name="Normal 32 2 2" xfId="1126" xr:uid="{00000000-0005-0000-0000-0000AE030000}"/>
    <cellStyle name="Normal 32 3" xfId="1123" xr:uid="{00000000-0005-0000-0000-0000AF030000}"/>
    <cellStyle name="Normal 32 4" xfId="1118" xr:uid="{00000000-0005-0000-0000-0000B0030000}"/>
    <cellStyle name="Normal 33" xfId="964" xr:uid="{00000000-0005-0000-0000-0000B1030000}"/>
    <cellStyle name="Normal 33 2" xfId="1127" xr:uid="{00000000-0005-0000-0000-0000B2030000}"/>
    <cellStyle name="Normal 33 3" xfId="1124" xr:uid="{00000000-0005-0000-0000-0000B3030000}"/>
    <cellStyle name="Normal 33 4" xfId="1119" xr:uid="{00000000-0005-0000-0000-0000B4030000}"/>
    <cellStyle name="Normal 34" xfId="968" xr:uid="{00000000-0005-0000-0000-0000B5030000}"/>
    <cellStyle name="Normal 34 2" xfId="1128" xr:uid="{00000000-0005-0000-0000-0000B6030000}"/>
    <cellStyle name="Normal 34 3" xfId="1125" xr:uid="{00000000-0005-0000-0000-0000B7030000}"/>
    <cellStyle name="Normal 34 4" xfId="1120" xr:uid="{00000000-0005-0000-0000-0000B8030000}"/>
    <cellStyle name="Normal 35" xfId="798" xr:uid="{00000000-0005-0000-0000-0000B9030000}"/>
    <cellStyle name="Normal 35 2" xfId="1137" xr:uid="{00000000-0005-0000-0000-0000BA030000}"/>
    <cellStyle name="Normal 36" xfId="999" xr:uid="{00000000-0005-0000-0000-0000BB030000}"/>
    <cellStyle name="Normal 36 2" xfId="1136" xr:uid="{00000000-0005-0000-0000-0000BC030000}"/>
    <cellStyle name="Normal 37" xfId="780" xr:uid="{00000000-0005-0000-0000-0000BD030000}"/>
    <cellStyle name="Normal 37 2" xfId="1180" xr:uid="{00000000-0005-0000-0000-0000BE030000}"/>
    <cellStyle name="Normal 38" xfId="795" xr:uid="{00000000-0005-0000-0000-0000BF030000}"/>
    <cellStyle name="Normal 38 2" xfId="1135" xr:uid="{00000000-0005-0000-0000-0000C0030000}"/>
    <cellStyle name="Normal 39" xfId="782" xr:uid="{00000000-0005-0000-0000-0000C1030000}"/>
    <cellStyle name="Normal 39 2" xfId="1133" xr:uid="{00000000-0005-0000-0000-0000C2030000}"/>
    <cellStyle name="Normal 4" xfId="220" xr:uid="{00000000-0005-0000-0000-0000C3030000}"/>
    <cellStyle name="Normal 4 2" xfId="391" xr:uid="{00000000-0005-0000-0000-0000C4030000}"/>
    <cellStyle name="Normal 4 2 2" xfId="603" xr:uid="{00000000-0005-0000-0000-0000C5030000}"/>
    <cellStyle name="Normal 4 2 2 2" xfId="951" xr:uid="{00000000-0005-0000-0000-0000C6030000}"/>
    <cellStyle name="Normal 4 2 2 3" xfId="913" xr:uid="{00000000-0005-0000-0000-0000C7030000}"/>
    <cellStyle name="Normal 4 2 2 3 2" xfId="1353" xr:uid="{00000000-0005-0000-0000-0000C8030000}"/>
    <cellStyle name="Normal 4 2 2 4" xfId="863" xr:uid="{00000000-0005-0000-0000-0000C9030000}"/>
    <cellStyle name="Normal 4 2 2 4 2" xfId="1354" xr:uid="{00000000-0005-0000-0000-0000CA030000}"/>
    <cellStyle name="Normal 4 2 3" xfId="684" xr:uid="{00000000-0005-0000-0000-0000CB030000}"/>
    <cellStyle name="Normal 4 2 3 2" xfId="976" xr:uid="{00000000-0005-0000-0000-0000CC030000}"/>
    <cellStyle name="Normal 4 2 3 2 2" xfId="1356" xr:uid="{00000000-0005-0000-0000-0000CD030000}"/>
    <cellStyle name="Normal 4 2 3 3" xfId="950" xr:uid="{00000000-0005-0000-0000-0000CE030000}"/>
    <cellStyle name="Normal 4 2 3 3 2" xfId="1357" xr:uid="{00000000-0005-0000-0000-0000CF030000}"/>
    <cellStyle name="Normal 4 2 3 4" xfId="1355" xr:uid="{00000000-0005-0000-0000-0000D0030000}"/>
    <cellStyle name="Normal 4 2 4" xfId="881" xr:uid="{00000000-0005-0000-0000-0000D1030000}"/>
    <cellStyle name="Normal 4 2 4 2" xfId="1358" xr:uid="{00000000-0005-0000-0000-0000D2030000}"/>
    <cellStyle name="Normal 4 2 5" xfId="966" xr:uid="{00000000-0005-0000-0000-0000D3030000}"/>
    <cellStyle name="Normal 4 2 5 2" xfId="1359" xr:uid="{00000000-0005-0000-0000-0000D4030000}"/>
    <cellStyle name="Normal 4 2 6" xfId="969" xr:uid="{00000000-0005-0000-0000-0000D5030000}"/>
    <cellStyle name="Normal 4 2 6 2" xfId="1360" xr:uid="{00000000-0005-0000-0000-0000D6030000}"/>
    <cellStyle name="Normal 4 2 7" xfId="817" xr:uid="{00000000-0005-0000-0000-0000D7030000}"/>
    <cellStyle name="Normal 4 2 7 2" xfId="1361" xr:uid="{00000000-0005-0000-0000-0000D8030000}"/>
    <cellStyle name="Normal 4 2 8" xfId="1352" xr:uid="{00000000-0005-0000-0000-0000D9030000}"/>
    <cellStyle name="Normal 40" xfId="1006" xr:uid="{00000000-0005-0000-0000-0000DA030000}"/>
    <cellStyle name="Normal 41" xfId="787" xr:uid="{00000000-0005-0000-0000-0000DB030000}"/>
    <cellStyle name="Normal 42" xfId="1005" xr:uid="{00000000-0005-0000-0000-0000DC030000}"/>
    <cellStyle name="Normal 43" xfId="1025" xr:uid="{00000000-0005-0000-0000-0000DD030000}"/>
    <cellStyle name="Normal 43 2" xfId="1405" xr:uid="{00000000-0005-0000-0000-0000DE030000}"/>
    <cellStyle name="Normal 44" xfId="1019" xr:uid="{00000000-0005-0000-0000-0000DF030000}"/>
    <cellStyle name="Normal 44 2" xfId="1403" xr:uid="{00000000-0005-0000-0000-0000E0030000}"/>
    <cellStyle name="Normal 45" xfId="1030" xr:uid="{00000000-0005-0000-0000-0000E1030000}"/>
    <cellStyle name="Normal 45 2" xfId="1407" xr:uid="{00000000-0005-0000-0000-0000E2030000}"/>
    <cellStyle name="Normal 46" xfId="1018" xr:uid="{00000000-0005-0000-0000-0000E3030000}"/>
    <cellStyle name="Normal 46 2" xfId="1402" xr:uid="{00000000-0005-0000-0000-0000E4030000}"/>
    <cellStyle name="Normal 47" xfId="1039" xr:uid="{00000000-0005-0000-0000-0000E5030000}"/>
    <cellStyle name="Normal 47 2" xfId="1409" xr:uid="{00000000-0005-0000-0000-0000E6030000}"/>
    <cellStyle name="Normal 48" xfId="1032" xr:uid="{00000000-0005-0000-0000-0000E7030000}"/>
    <cellStyle name="Normal 48 2" xfId="1408" xr:uid="{00000000-0005-0000-0000-0000E8030000}"/>
    <cellStyle name="Normal 49" xfId="1026" xr:uid="{00000000-0005-0000-0000-0000E9030000}"/>
    <cellStyle name="Normal 49 2" xfId="1406" xr:uid="{00000000-0005-0000-0000-0000EA030000}"/>
    <cellStyle name="Normal 5" xfId="221" xr:uid="{00000000-0005-0000-0000-0000EB030000}"/>
    <cellStyle name="Normal 5 2" xfId="392" xr:uid="{00000000-0005-0000-0000-0000EC030000}"/>
    <cellStyle name="Normal 5 2 2" xfId="685" xr:uid="{00000000-0005-0000-0000-0000ED030000}"/>
    <cellStyle name="Normal 5 2 2 2" xfId="914" xr:uid="{00000000-0005-0000-0000-0000EE030000}"/>
    <cellStyle name="Normal 5 2 2 2 2" xfId="1364" xr:uid="{00000000-0005-0000-0000-0000EF030000}"/>
    <cellStyle name="Normal 5 2 2 3" xfId="977" xr:uid="{00000000-0005-0000-0000-0000F0030000}"/>
    <cellStyle name="Normal 5 2 2 3 2" xfId="1365" xr:uid="{00000000-0005-0000-0000-0000F1030000}"/>
    <cellStyle name="Normal 5 2 2 4" xfId="864" xr:uid="{00000000-0005-0000-0000-0000F2030000}"/>
    <cellStyle name="Normal 5 2 2 4 2" xfId="1366" xr:uid="{00000000-0005-0000-0000-0000F3030000}"/>
    <cellStyle name="Normal 5 2 2 5" xfId="1363" xr:uid="{00000000-0005-0000-0000-0000F4030000}"/>
    <cellStyle name="Normal 5 2 3" xfId="731" xr:uid="{00000000-0005-0000-0000-0000F5030000}"/>
    <cellStyle name="Normal 5 2 3 2" xfId="998" xr:uid="{00000000-0005-0000-0000-0000F6030000}"/>
    <cellStyle name="Normal 5 2 3 2 2" xfId="1368" xr:uid="{00000000-0005-0000-0000-0000F7030000}"/>
    <cellStyle name="Normal 5 2 3 3" xfId="952" xr:uid="{00000000-0005-0000-0000-0000F8030000}"/>
    <cellStyle name="Normal 5 2 3 3 2" xfId="1369" xr:uid="{00000000-0005-0000-0000-0000F9030000}"/>
    <cellStyle name="Normal 5 2 3 4" xfId="1367" xr:uid="{00000000-0005-0000-0000-0000FA030000}"/>
    <cellStyle name="Normal 5 2 4" xfId="882" xr:uid="{00000000-0005-0000-0000-0000FB030000}"/>
    <cellStyle name="Normal 5 2 4 2" xfId="1370" xr:uid="{00000000-0005-0000-0000-0000FC030000}"/>
    <cellStyle name="Normal 5 2 5" xfId="967" xr:uid="{00000000-0005-0000-0000-0000FD030000}"/>
    <cellStyle name="Normal 5 2 5 2" xfId="1371" xr:uid="{00000000-0005-0000-0000-0000FE030000}"/>
    <cellStyle name="Normal 5 2 6" xfId="970" xr:uid="{00000000-0005-0000-0000-0000FF030000}"/>
    <cellStyle name="Normal 5 2 6 2" xfId="1372" xr:uid="{00000000-0005-0000-0000-000000040000}"/>
    <cellStyle name="Normal 5 2 7" xfId="818" xr:uid="{00000000-0005-0000-0000-000001040000}"/>
    <cellStyle name="Normal 5 2 7 2" xfId="1373" xr:uid="{00000000-0005-0000-0000-000002040000}"/>
    <cellStyle name="Normal 5 2 8" xfId="1362" xr:uid="{00000000-0005-0000-0000-000003040000}"/>
    <cellStyle name="Normal 50" xfId="1023" xr:uid="{00000000-0005-0000-0000-000004040000}"/>
    <cellStyle name="Normal 50 2" xfId="1404" xr:uid="{00000000-0005-0000-0000-000005040000}"/>
    <cellStyle name="Normal 51" xfId="1009" xr:uid="{00000000-0005-0000-0000-000006040000}"/>
    <cellStyle name="Normal 51 2" xfId="1400" xr:uid="{00000000-0005-0000-0000-000007040000}"/>
    <cellStyle name="Normal 52" xfId="1011" xr:uid="{00000000-0005-0000-0000-000008040000}"/>
    <cellStyle name="Normal 52 2" xfId="1401" xr:uid="{00000000-0005-0000-0000-000009040000}"/>
    <cellStyle name="Normal 53" xfId="1112" xr:uid="{00000000-0005-0000-0000-00000A040000}"/>
    <cellStyle name="Normal 53 2" xfId="1419" xr:uid="{00000000-0005-0000-0000-00000B040000}"/>
    <cellStyle name="Normal 54" xfId="1122" xr:uid="{00000000-0005-0000-0000-00000C040000}"/>
    <cellStyle name="Normal 54 2" xfId="1420" xr:uid="{00000000-0005-0000-0000-00000D040000}"/>
    <cellStyle name="Normal 55" xfId="1090" xr:uid="{00000000-0005-0000-0000-00000E040000}"/>
    <cellStyle name="Normal 55 2" xfId="1410" xr:uid="{00000000-0005-0000-0000-00000F040000}"/>
    <cellStyle name="Normal 56" xfId="1099" xr:uid="{00000000-0005-0000-0000-000010040000}"/>
    <cellStyle name="Normal 56 2" xfId="1414" xr:uid="{00000000-0005-0000-0000-000011040000}"/>
    <cellStyle name="Normal 57" xfId="1110" xr:uid="{00000000-0005-0000-0000-000012040000}"/>
    <cellStyle name="Normal 57 2" xfId="1418" xr:uid="{00000000-0005-0000-0000-000013040000}"/>
    <cellStyle name="Normal 58" xfId="1093" xr:uid="{00000000-0005-0000-0000-000014040000}"/>
    <cellStyle name="Normal 58 2" xfId="1411" xr:uid="{00000000-0005-0000-0000-000015040000}"/>
    <cellStyle name="Normal 59" xfId="1397" xr:uid="{00000000-0005-0000-0000-000016040000}"/>
    <cellStyle name="Normal 59 2" xfId="1422" xr:uid="{00000000-0005-0000-0000-000017040000}"/>
    <cellStyle name="Normal 6" xfId="222" xr:uid="{00000000-0005-0000-0000-000018040000}"/>
    <cellStyle name="Normal 6 2" xfId="604" xr:uid="{00000000-0005-0000-0000-000019040000}"/>
    <cellStyle name="Normal 60" xfId="1096" xr:uid="{00000000-0005-0000-0000-00001A040000}"/>
    <cellStyle name="Normal 60 2" xfId="1413" xr:uid="{00000000-0005-0000-0000-00001B040000}"/>
    <cellStyle name="Normal 61" xfId="1106" xr:uid="{00000000-0005-0000-0000-00001C040000}"/>
    <cellStyle name="Normal 61 2" xfId="1416" xr:uid="{00000000-0005-0000-0000-00001D040000}"/>
    <cellStyle name="Normal 62" xfId="1222" xr:uid="{00000000-0005-0000-0000-00001E040000}"/>
    <cellStyle name="Normal 62 2" xfId="1421" xr:uid="{00000000-0005-0000-0000-00001F040000}"/>
    <cellStyle name="Normal 63" xfId="1107" xr:uid="{00000000-0005-0000-0000-000020040000}"/>
    <cellStyle name="Normal 63 2" xfId="1417" xr:uid="{00000000-0005-0000-0000-000021040000}"/>
    <cellStyle name="Normal 64" xfId="1094" xr:uid="{00000000-0005-0000-0000-000022040000}"/>
    <cellStyle name="Normal 64 2" xfId="1412" xr:uid="{00000000-0005-0000-0000-000023040000}"/>
    <cellStyle name="Normal 65" xfId="1100" xr:uid="{00000000-0005-0000-0000-000024040000}"/>
    <cellStyle name="Normal 65 2" xfId="1415" xr:uid="{00000000-0005-0000-0000-000025040000}"/>
    <cellStyle name="Normal 66" xfId="1423" xr:uid="{00000000-0005-0000-0000-000026040000}"/>
    <cellStyle name="Normal 67" xfId="1428" xr:uid="{00000000-0005-0000-0000-000027040000}"/>
    <cellStyle name="Normal 68" xfId="1429" xr:uid="{00000000-0005-0000-0000-000028040000}"/>
    <cellStyle name="Normal 7" xfId="12" xr:uid="{00000000-0005-0000-0000-000029040000}"/>
    <cellStyle name="Normal 7 2" xfId="605" xr:uid="{00000000-0005-0000-0000-00002A040000}"/>
    <cellStyle name="Normal 7 2 2" xfId="1432" xr:uid="{00000000-0005-0000-0000-00002B040000}"/>
    <cellStyle name="Normal 7 3" xfId="675" xr:uid="{00000000-0005-0000-0000-00002C040000}"/>
    <cellStyle name="Normal 7 3 2" xfId="866" xr:uid="{00000000-0005-0000-0000-00002D040000}"/>
    <cellStyle name="Normal 7 3 2 2" xfId="916" xr:uid="{00000000-0005-0000-0000-00002E040000}"/>
    <cellStyle name="Normal 7 3 2 2 2" xfId="1375" xr:uid="{00000000-0005-0000-0000-00002F040000}"/>
    <cellStyle name="Normal 7 3 2 3" xfId="1374" xr:uid="{00000000-0005-0000-0000-000030040000}"/>
    <cellStyle name="Normal 7 3 3" xfId="880" xr:uid="{00000000-0005-0000-0000-000031040000}"/>
    <cellStyle name="Normal 7 3 3 2" xfId="1376" xr:uid="{00000000-0005-0000-0000-000032040000}"/>
    <cellStyle name="Normal 7 3 4" xfId="972" xr:uid="{00000000-0005-0000-0000-000033040000}"/>
    <cellStyle name="Normal 7 3 5" xfId="807" xr:uid="{00000000-0005-0000-0000-000034040000}"/>
    <cellStyle name="Normal 7 3 5 2" xfId="1377" xr:uid="{00000000-0005-0000-0000-000035040000}"/>
    <cellStyle name="Normal 7 4" xfId="865" xr:uid="{00000000-0005-0000-0000-000036040000}"/>
    <cellStyle name="Normal 7 4 2" xfId="915" xr:uid="{00000000-0005-0000-0000-000037040000}"/>
    <cellStyle name="Normal 7 4 2 2" xfId="1379" xr:uid="{00000000-0005-0000-0000-000038040000}"/>
    <cellStyle name="Normal 7 4 3" xfId="1184" xr:uid="{00000000-0005-0000-0000-000039040000}"/>
    <cellStyle name="Normal 7 4 3 2" xfId="1378" xr:uid="{00000000-0005-0000-0000-00003A040000}"/>
    <cellStyle name="Normal 7 5" xfId="879" xr:uid="{00000000-0005-0000-0000-00003B040000}"/>
    <cellStyle name="Normal 7 5 2" xfId="1380" xr:uid="{00000000-0005-0000-0000-00003C040000}"/>
    <cellStyle name="Normal 7 6" xfId="800" xr:uid="{00000000-0005-0000-0000-00003D040000}"/>
    <cellStyle name="Normal 7 6 2" xfId="1381" xr:uid="{00000000-0005-0000-0000-00003E040000}"/>
    <cellStyle name="Normal 8" xfId="223" xr:uid="{00000000-0005-0000-0000-00003F040000}"/>
    <cellStyle name="Normal 8 2" xfId="607" xr:uid="{00000000-0005-0000-0000-000040040000}"/>
    <cellStyle name="Normal 8 3" xfId="608" xr:uid="{00000000-0005-0000-0000-000041040000}"/>
    <cellStyle name="Normal 8 3 2" xfId="867" xr:uid="{00000000-0005-0000-0000-000042040000}"/>
    <cellStyle name="Normal 8 3 2 2" xfId="917" xr:uid="{00000000-0005-0000-0000-000043040000}"/>
    <cellStyle name="Normal 8 3 2 2 2" xfId="1384" xr:uid="{00000000-0005-0000-0000-000044040000}"/>
    <cellStyle name="Normal 8 3 2 3" xfId="1383" xr:uid="{00000000-0005-0000-0000-000045040000}"/>
    <cellStyle name="Normal 8 3 3" xfId="954" xr:uid="{00000000-0005-0000-0000-000046040000}"/>
    <cellStyle name="Normal 8 3 3 2" xfId="1385" xr:uid="{00000000-0005-0000-0000-000047040000}"/>
    <cellStyle name="Normal 8 3 4" xfId="897" xr:uid="{00000000-0005-0000-0000-000048040000}"/>
    <cellStyle name="Normal 8 3 4 2" xfId="1386" xr:uid="{00000000-0005-0000-0000-000049040000}"/>
    <cellStyle name="Normal 8 3 5" xfId="997" xr:uid="{00000000-0005-0000-0000-00004A040000}"/>
    <cellStyle name="Normal 8 3 5 2" xfId="1387" xr:uid="{00000000-0005-0000-0000-00004B040000}"/>
    <cellStyle name="Normal 8 3 6" xfId="836" xr:uid="{00000000-0005-0000-0000-00004C040000}"/>
    <cellStyle name="Normal 8 3 6 2" xfId="1388" xr:uid="{00000000-0005-0000-0000-00004D040000}"/>
    <cellStyle name="Normal 8 3 7" xfId="1382" xr:uid="{00000000-0005-0000-0000-00004E040000}"/>
    <cellStyle name="Normal 8 4" xfId="606" xr:uid="{00000000-0005-0000-0000-00004F040000}"/>
    <cellStyle name="Normal 8 5" xfId="953" xr:uid="{00000000-0005-0000-0000-000050040000}"/>
    <cellStyle name="Normal 9" xfId="330" xr:uid="{00000000-0005-0000-0000-000051040000}"/>
    <cellStyle name="Normal 9 2" xfId="610" xr:uid="{00000000-0005-0000-0000-000052040000}"/>
    <cellStyle name="Normal 9 2 2" xfId="611" xr:uid="{00000000-0005-0000-0000-000053040000}"/>
    <cellStyle name="Normal 9 3" xfId="609" xr:uid="{00000000-0005-0000-0000-000054040000}"/>
    <cellStyle name="Normal 9 3 2" xfId="956" xr:uid="{00000000-0005-0000-0000-000055040000}"/>
    <cellStyle name="Normal 9 3 3" xfId="868" xr:uid="{00000000-0005-0000-0000-000056040000}"/>
    <cellStyle name="Normal 9 4" xfId="955" xr:uid="{00000000-0005-0000-0000-000057040000}"/>
    <cellStyle name="Normal 9 5" xfId="802" xr:uid="{00000000-0005-0000-0000-000058040000}"/>
    <cellStyle name="Normal 9 6" xfId="1004" xr:uid="{00000000-0005-0000-0000-000059040000}"/>
    <cellStyle name="Normal 9 6 2" xfId="1389" xr:uid="{00000000-0005-0000-0000-00005A040000}"/>
    <cellStyle name="Normal_RAM_Prog_07" xfId="5" xr:uid="{00000000-0005-0000-0000-00005B040000}"/>
    <cellStyle name="Note" xfId="1059" builtinId="10" customBuiltin="1"/>
    <cellStyle name="Note 10" xfId="612" xr:uid="{00000000-0005-0000-0000-00005D040000}"/>
    <cellStyle name="Note 10 2" xfId="613" xr:uid="{00000000-0005-0000-0000-00005E040000}"/>
    <cellStyle name="Note 10 3" xfId="869" xr:uid="{00000000-0005-0000-0000-00005F040000}"/>
    <cellStyle name="Note 10 4" xfId="804" xr:uid="{00000000-0005-0000-0000-000060040000}"/>
    <cellStyle name="Note 11" xfId="614" xr:uid="{00000000-0005-0000-0000-000061040000}"/>
    <cellStyle name="Note 11 2" xfId="615" xr:uid="{00000000-0005-0000-0000-000062040000}"/>
    <cellStyle name="Note 12" xfId="616" xr:uid="{00000000-0005-0000-0000-000063040000}"/>
    <cellStyle name="Note 13" xfId="1152" xr:uid="{00000000-0005-0000-0000-000064040000}"/>
    <cellStyle name="Note 2" xfId="225" xr:uid="{00000000-0005-0000-0000-000065040000}"/>
    <cellStyle name="Note 2 2" xfId="448" xr:uid="{00000000-0005-0000-0000-000066040000}"/>
    <cellStyle name="Note 2 2 2" xfId="617" xr:uid="{00000000-0005-0000-0000-000067040000}"/>
    <cellStyle name="Note 2 3" xfId="618" xr:uid="{00000000-0005-0000-0000-000068040000}"/>
    <cellStyle name="Note 2 3 2" xfId="870" xr:uid="{00000000-0005-0000-0000-000069040000}"/>
    <cellStyle name="Note 2_I_Secondary" xfId="732" xr:uid="{00000000-0005-0000-0000-00006A040000}"/>
    <cellStyle name="Note 3" xfId="226" xr:uid="{00000000-0005-0000-0000-00006B040000}"/>
    <cellStyle name="Note 3 2" xfId="619" xr:uid="{00000000-0005-0000-0000-00006C040000}"/>
    <cellStyle name="Note 4" xfId="227" xr:uid="{00000000-0005-0000-0000-00006D040000}"/>
    <cellStyle name="Note 4 2" xfId="620" xr:uid="{00000000-0005-0000-0000-00006E040000}"/>
    <cellStyle name="Note 5" xfId="228" xr:uid="{00000000-0005-0000-0000-00006F040000}"/>
    <cellStyle name="Note 5 2" xfId="621" xr:uid="{00000000-0005-0000-0000-000070040000}"/>
    <cellStyle name="Note 6" xfId="229" xr:uid="{00000000-0005-0000-0000-000071040000}"/>
    <cellStyle name="Note 6 2" xfId="622" xr:uid="{00000000-0005-0000-0000-000072040000}"/>
    <cellStyle name="Note 7" xfId="224" xr:uid="{00000000-0005-0000-0000-000073040000}"/>
    <cellStyle name="Note 7 2" xfId="623" xr:uid="{00000000-0005-0000-0000-000074040000}"/>
    <cellStyle name="Note 7 3" xfId="680" xr:uid="{00000000-0005-0000-0000-000075040000}"/>
    <cellStyle name="Note 8" xfId="624" xr:uid="{00000000-0005-0000-0000-000076040000}"/>
    <cellStyle name="Note 8 2" xfId="625" xr:uid="{00000000-0005-0000-0000-000077040000}"/>
    <cellStyle name="Note 9" xfId="626" xr:uid="{00000000-0005-0000-0000-000078040000}"/>
    <cellStyle name="Note 9 2" xfId="627" xr:uid="{00000000-0005-0000-0000-000079040000}"/>
    <cellStyle name="Note 9 3" xfId="871" xr:uid="{00000000-0005-0000-0000-00007A040000}"/>
    <cellStyle name="Note 9 4" xfId="808" xr:uid="{00000000-0005-0000-0000-00007B040000}"/>
    <cellStyle name="Output" xfId="1054" builtinId="21" customBuiltin="1"/>
    <cellStyle name="Output 2" xfId="231" xr:uid="{00000000-0005-0000-0000-00007D040000}"/>
    <cellStyle name="Output 2 2" xfId="393" xr:uid="{00000000-0005-0000-0000-00007E040000}"/>
    <cellStyle name="Output 2 2 2" xfId="449" xr:uid="{00000000-0005-0000-0000-00007F040000}"/>
    <cellStyle name="Output 2 2 3" xfId="1218" xr:uid="{00000000-0005-0000-0000-000080040000}"/>
    <cellStyle name="Output 2 3" xfId="628" xr:uid="{00000000-0005-0000-0000-000081040000}"/>
    <cellStyle name="Output 3" xfId="232" xr:uid="{00000000-0005-0000-0000-000082040000}"/>
    <cellStyle name="Output 3 2" xfId="629" xr:uid="{00000000-0005-0000-0000-000083040000}"/>
    <cellStyle name="Output 3 2 2" xfId="630" xr:uid="{00000000-0005-0000-0000-000084040000}"/>
    <cellStyle name="Output 3 3" xfId="631" xr:uid="{00000000-0005-0000-0000-000085040000}"/>
    <cellStyle name="Output 4" xfId="233" xr:uid="{00000000-0005-0000-0000-000086040000}"/>
    <cellStyle name="Output 4 2" xfId="632" xr:uid="{00000000-0005-0000-0000-000087040000}"/>
    <cellStyle name="Output 4 2 2" xfId="633" xr:uid="{00000000-0005-0000-0000-000088040000}"/>
    <cellStyle name="Output 4 3" xfId="634" xr:uid="{00000000-0005-0000-0000-000089040000}"/>
    <cellStyle name="Output 5" xfId="230" xr:uid="{00000000-0005-0000-0000-00008A040000}"/>
    <cellStyle name="Output 5 2" xfId="635" xr:uid="{00000000-0005-0000-0000-00008B040000}"/>
    <cellStyle name="Output 5 2 2" xfId="636" xr:uid="{00000000-0005-0000-0000-00008C040000}"/>
    <cellStyle name="Output 5 3" xfId="637" xr:uid="{00000000-0005-0000-0000-00008D040000}"/>
    <cellStyle name="Output 6" xfId="638" xr:uid="{00000000-0005-0000-0000-00008E040000}"/>
    <cellStyle name="Output 6 2" xfId="639" xr:uid="{00000000-0005-0000-0000-00008F040000}"/>
    <cellStyle name="Output 7" xfId="1147" xr:uid="{00000000-0005-0000-0000-000090040000}"/>
    <cellStyle name="Page Number" xfId="234" xr:uid="{00000000-0005-0000-0000-000091040000}"/>
    <cellStyle name="Percent" xfId="3" builtinId="5"/>
    <cellStyle name="Percent [2]" xfId="394" xr:uid="{00000000-0005-0000-0000-000093040000}"/>
    <cellStyle name="Percent [2] 2" xfId="395" xr:uid="{00000000-0005-0000-0000-000094040000}"/>
    <cellStyle name="Percent [2] 2 2" xfId="640" xr:uid="{00000000-0005-0000-0000-000095040000}"/>
    <cellStyle name="Percent [2] 3" xfId="733" xr:uid="{00000000-0005-0000-0000-000096040000}"/>
    <cellStyle name="Percent [2] 3 2" xfId="872" xr:uid="{00000000-0005-0000-0000-000097040000}"/>
    <cellStyle name="Percent 10" xfId="236" xr:uid="{00000000-0005-0000-0000-000098040000}"/>
    <cellStyle name="Percent 11" xfId="235" xr:uid="{00000000-0005-0000-0000-000099040000}"/>
    <cellStyle name="Percent 11 2" xfId="641" xr:uid="{00000000-0005-0000-0000-00009A040000}"/>
    <cellStyle name="Percent 11 2 2" xfId="1433" xr:uid="{00000000-0005-0000-0000-00009B040000}"/>
    <cellStyle name="Percent 11 3" xfId="681" xr:uid="{00000000-0005-0000-0000-00009C040000}"/>
    <cellStyle name="Percent 12" xfId="327" xr:uid="{00000000-0005-0000-0000-00009D040000}"/>
    <cellStyle name="Percent 13" xfId="408" xr:uid="{00000000-0005-0000-0000-00009E040000}"/>
    <cellStyle name="Percent 13 2" xfId="643" xr:uid="{00000000-0005-0000-0000-00009F040000}"/>
    <cellStyle name="Percent 13 3" xfId="642" xr:uid="{00000000-0005-0000-0000-0000A0040000}"/>
    <cellStyle name="Percent 14" xfId="324" xr:uid="{00000000-0005-0000-0000-0000A1040000}"/>
    <cellStyle name="Percent 14 2" xfId="645" xr:uid="{00000000-0005-0000-0000-0000A2040000}"/>
    <cellStyle name="Percent 14 3" xfId="644" xr:uid="{00000000-0005-0000-0000-0000A3040000}"/>
    <cellStyle name="Percent 15" xfId="326" xr:uid="{00000000-0005-0000-0000-0000A4040000}"/>
    <cellStyle name="Percent 15 2" xfId="646" xr:uid="{00000000-0005-0000-0000-0000A5040000}"/>
    <cellStyle name="Percent 16" xfId="450" xr:uid="{00000000-0005-0000-0000-0000A6040000}"/>
    <cellStyle name="Percent 16 2" xfId="957" xr:uid="{00000000-0005-0000-0000-0000A7040000}"/>
    <cellStyle name="Percent 16 3" xfId="813" xr:uid="{00000000-0005-0000-0000-0000A8040000}"/>
    <cellStyle name="Percent 17" xfId="647" xr:uid="{00000000-0005-0000-0000-0000A9040000}"/>
    <cellStyle name="Percent 17 2" xfId="958" xr:uid="{00000000-0005-0000-0000-0000AA040000}"/>
    <cellStyle name="Percent 17 3" xfId="814" xr:uid="{00000000-0005-0000-0000-0000AB040000}"/>
    <cellStyle name="Percent 18" xfId="648" xr:uid="{00000000-0005-0000-0000-0000AC040000}"/>
    <cellStyle name="Percent 19" xfId="677" xr:uid="{00000000-0005-0000-0000-0000AD040000}"/>
    <cellStyle name="Percent 19 2" xfId="974" xr:uid="{00000000-0005-0000-0000-0000AE040000}"/>
    <cellStyle name="Percent 19 2 2" xfId="1391" xr:uid="{00000000-0005-0000-0000-0000AF040000}"/>
    <cellStyle name="Percent 19 3" xfId="965" xr:uid="{00000000-0005-0000-0000-0000B0040000}"/>
    <cellStyle name="Percent 19 4" xfId="1390" xr:uid="{00000000-0005-0000-0000-0000B1040000}"/>
    <cellStyle name="Percent 2" xfId="237" xr:uid="{00000000-0005-0000-0000-0000B2040000}"/>
    <cellStyle name="Percent 2 2" xfId="396" xr:uid="{00000000-0005-0000-0000-0000B3040000}"/>
    <cellStyle name="Percent 2 2 2" xfId="873" xr:uid="{00000000-0005-0000-0000-0000B4040000}"/>
    <cellStyle name="Percent 20" xfId="686" xr:uid="{00000000-0005-0000-0000-0000B5040000}"/>
    <cellStyle name="Percent 20 2" xfId="978" xr:uid="{00000000-0005-0000-0000-0000B6040000}"/>
    <cellStyle name="Percent 20 2 2" xfId="1393" xr:uid="{00000000-0005-0000-0000-0000B7040000}"/>
    <cellStyle name="Percent 20 3" xfId="1392" xr:uid="{00000000-0005-0000-0000-0000B8040000}"/>
    <cellStyle name="Percent 21" xfId="670" xr:uid="{00000000-0005-0000-0000-0000B9040000}"/>
    <cellStyle name="Percent 22" xfId="671" xr:uid="{00000000-0005-0000-0000-0000BA040000}"/>
    <cellStyle name="Percent 22 2" xfId="801" xr:uid="{00000000-0005-0000-0000-0000BB040000}"/>
    <cellStyle name="Percent 23" xfId="673" xr:uid="{00000000-0005-0000-0000-0000BC040000}"/>
    <cellStyle name="Percent 24" xfId="793" xr:uid="{00000000-0005-0000-0000-0000BD040000}"/>
    <cellStyle name="Percent 24 2" xfId="1117" xr:uid="{00000000-0005-0000-0000-0000BE040000}"/>
    <cellStyle name="Percent 25" xfId="788" xr:uid="{00000000-0005-0000-0000-0000BF040000}"/>
    <cellStyle name="Percent 25 2" xfId="1115" xr:uid="{00000000-0005-0000-0000-0000C0040000}"/>
    <cellStyle name="Percent 26" xfId="796" xr:uid="{00000000-0005-0000-0000-0000C1040000}"/>
    <cellStyle name="Percent 26 2" xfId="1116" xr:uid="{00000000-0005-0000-0000-0000C2040000}"/>
    <cellStyle name="Percent 27" xfId="790" xr:uid="{00000000-0005-0000-0000-0000C3040000}"/>
    <cellStyle name="Percent 27 2" xfId="1121" xr:uid="{00000000-0005-0000-0000-0000C4040000}"/>
    <cellStyle name="Percent 28" xfId="794" xr:uid="{00000000-0005-0000-0000-0000C5040000}"/>
    <cellStyle name="Percent 28 2" xfId="1134" xr:uid="{00000000-0005-0000-0000-0000C6040000}"/>
    <cellStyle name="Percent 29" xfId="1008" xr:uid="{00000000-0005-0000-0000-0000C7040000}"/>
    <cellStyle name="Percent 29 2" xfId="1130" xr:uid="{00000000-0005-0000-0000-0000C8040000}"/>
    <cellStyle name="Percent 3" xfId="238" xr:uid="{00000000-0005-0000-0000-0000C9040000}"/>
    <cellStyle name="Percent 3 2" xfId="451" xr:uid="{00000000-0005-0000-0000-0000CA040000}"/>
    <cellStyle name="Percent 30" xfId="786" xr:uid="{00000000-0005-0000-0000-0000CB040000}"/>
    <cellStyle name="Percent 30 2" xfId="1181" xr:uid="{00000000-0005-0000-0000-0000CC040000}"/>
    <cellStyle name="Percent 31" xfId="783" xr:uid="{00000000-0005-0000-0000-0000CD040000}"/>
    <cellStyle name="Percent 32" xfId="1021" xr:uid="{00000000-0005-0000-0000-0000CE040000}"/>
    <cellStyle name="Percent 33" xfId="1024" xr:uid="{00000000-0005-0000-0000-0000CF040000}"/>
    <cellStyle name="Percent 34" xfId="1038" xr:uid="{00000000-0005-0000-0000-0000D0040000}"/>
    <cellStyle name="Percent 35" xfId="1041" xr:uid="{00000000-0005-0000-0000-0000D1040000}"/>
    <cellStyle name="Percent 36" xfId="1037" xr:uid="{00000000-0005-0000-0000-0000D2040000}"/>
    <cellStyle name="Percent 37" xfId="1031" xr:uid="{00000000-0005-0000-0000-0000D3040000}"/>
    <cellStyle name="Percent 38" xfId="1022" xr:uid="{00000000-0005-0000-0000-0000D4040000}"/>
    <cellStyle name="Percent 39" xfId="1029" xr:uid="{00000000-0005-0000-0000-0000D5040000}"/>
    <cellStyle name="Percent 4" xfId="239" xr:uid="{00000000-0005-0000-0000-0000D6040000}"/>
    <cellStyle name="Percent 4 2" xfId="240" xr:uid="{00000000-0005-0000-0000-0000D7040000}"/>
    <cellStyle name="Percent 4 2 2" xfId="649" xr:uid="{00000000-0005-0000-0000-0000D8040000}"/>
    <cellStyle name="Percent 4 3" xfId="241" xr:uid="{00000000-0005-0000-0000-0000D9040000}"/>
    <cellStyle name="Percent 40" xfId="1010" xr:uid="{00000000-0005-0000-0000-0000DA040000}"/>
    <cellStyle name="Percent 41" xfId="1020" xr:uid="{00000000-0005-0000-0000-0000DB040000}"/>
    <cellStyle name="Percent 42" xfId="1221" xr:uid="{00000000-0005-0000-0000-0000DC040000}"/>
    <cellStyle name="Percent 43" xfId="1111" xr:uid="{00000000-0005-0000-0000-0000DD040000}"/>
    <cellStyle name="Percent 44" xfId="1086" xr:uid="{00000000-0005-0000-0000-0000DE040000}"/>
    <cellStyle name="Percent 45" xfId="1091" xr:uid="{00000000-0005-0000-0000-0000DF040000}"/>
    <cellStyle name="Percent 46" xfId="1103" xr:uid="{00000000-0005-0000-0000-0000E0040000}"/>
    <cellStyle name="Percent 47" xfId="1097" xr:uid="{00000000-0005-0000-0000-0000E1040000}"/>
    <cellStyle name="Percent 48" xfId="1395" xr:uid="{00000000-0005-0000-0000-0000E2040000}"/>
    <cellStyle name="Percent 49" xfId="1101" xr:uid="{00000000-0005-0000-0000-0000E3040000}"/>
    <cellStyle name="Percent 5" xfId="242" xr:uid="{00000000-0005-0000-0000-0000E4040000}"/>
    <cellStyle name="Percent 5 2" xfId="243" xr:uid="{00000000-0005-0000-0000-0000E5040000}"/>
    <cellStyle name="Percent 5 2 2" xfId="650" xr:uid="{00000000-0005-0000-0000-0000E6040000}"/>
    <cellStyle name="Percent 5 3" xfId="651" xr:uid="{00000000-0005-0000-0000-0000E7040000}"/>
    <cellStyle name="Percent 50" xfId="1398" xr:uid="{00000000-0005-0000-0000-0000E8040000}"/>
    <cellStyle name="Percent 51" xfId="1088" xr:uid="{00000000-0005-0000-0000-0000E9040000}"/>
    <cellStyle name="Percent 52" xfId="1396" xr:uid="{00000000-0005-0000-0000-0000EA040000}"/>
    <cellStyle name="Percent 53" xfId="1104" xr:uid="{00000000-0005-0000-0000-0000EB040000}"/>
    <cellStyle name="Percent 54" xfId="1095" xr:uid="{00000000-0005-0000-0000-0000EC040000}"/>
    <cellStyle name="Percent 55" xfId="1425" xr:uid="{00000000-0005-0000-0000-0000ED040000}"/>
    <cellStyle name="Percent 56" xfId="1426" xr:uid="{00000000-0005-0000-0000-0000EE040000}"/>
    <cellStyle name="Percent 57" xfId="1431" xr:uid="{00000000-0005-0000-0000-0000EF040000}"/>
    <cellStyle name="Percent 6" xfId="244" xr:uid="{00000000-0005-0000-0000-0000F0040000}"/>
    <cellStyle name="Percent 6 2" xfId="245" xr:uid="{00000000-0005-0000-0000-0000F1040000}"/>
    <cellStyle name="Percent 6 2 2" xfId="652" xr:uid="{00000000-0005-0000-0000-0000F2040000}"/>
    <cellStyle name="Percent 6 3" xfId="653" xr:uid="{00000000-0005-0000-0000-0000F3040000}"/>
    <cellStyle name="Percent 7" xfId="246" xr:uid="{00000000-0005-0000-0000-0000F4040000}"/>
    <cellStyle name="Percent 7 2" xfId="247" xr:uid="{00000000-0005-0000-0000-0000F5040000}"/>
    <cellStyle name="Percent 8" xfId="248" xr:uid="{00000000-0005-0000-0000-0000F6040000}"/>
    <cellStyle name="Percent 8 2" xfId="654" xr:uid="{00000000-0005-0000-0000-0000F7040000}"/>
    <cellStyle name="Percent 9" xfId="249" xr:uid="{00000000-0005-0000-0000-0000F8040000}"/>
    <cellStyle name="PSChar" xfId="6" xr:uid="{00000000-0005-0000-0000-0000F9040000}"/>
    <cellStyle name="PSChar 2" xfId="250" xr:uid="{00000000-0005-0000-0000-0000FA040000}"/>
    <cellStyle name="PSChar 2 2" xfId="734" xr:uid="{00000000-0005-0000-0000-0000FB040000}"/>
    <cellStyle name="PSChar 3" xfId="251" xr:uid="{00000000-0005-0000-0000-0000FC040000}"/>
    <cellStyle name="PSChar 3 2" xfId="735" xr:uid="{00000000-0005-0000-0000-0000FD040000}"/>
    <cellStyle name="PSChar 4" xfId="252" xr:uid="{00000000-0005-0000-0000-0000FE040000}"/>
    <cellStyle name="PSChar 4 2" xfId="253" xr:uid="{00000000-0005-0000-0000-0000FF040000}"/>
    <cellStyle name="PSChar 4 2 2" xfId="736" xr:uid="{00000000-0005-0000-0000-000000050000}"/>
    <cellStyle name="PSChar 4 3" xfId="737" xr:uid="{00000000-0005-0000-0000-000001050000}"/>
    <cellStyle name="PSChar 5" xfId="254" xr:uid="{00000000-0005-0000-0000-000002050000}"/>
    <cellStyle name="PSChar 5 2" xfId="255" xr:uid="{00000000-0005-0000-0000-000003050000}"/>
    <cellStyle name="PSChar 5 2 2" xfId="738" xr:uid="{00000000-0005-0000-0000-000004050000}"/>
    <cellStyle name="PSChar 5 3" xfId="739" xr:uid="{00000000-0005-0000-0000-000005050000}"/>
    <cellStyle name="PSChar 6" xfId="334" xr:uid="{00000000-0005-0000-0000-000006050000}"/>
    <cellStyle name="PSDate" xfId="7" xr:uid="{00000000-0005-0000-0000-000007050000}"/>
    <cellStyle name="PSDate 2" xfId="256" xr:uid="{00000000-0005-0000-0000-000008050000}"/>
    <cellStyle name="PSDate 2 2" xfId="740" xr:uid="{00000000-0005-0000-0000-000009050000}"/>
    <cellStyle name="PSDate 3" xfId="257" xr:uid="{00000000-0005-0000-0000-00000A050000}"/>
    <cellStyle name="PSDate 3 2" xfId="741" xr:uid="{00000000-0005-0000-0000-00000B050000}"/>
    <cellStyle name="PSDate 4" xfId="258" xr:uid="{00000000-0005-0000-0000-00000C050000}"/>
    <cellStyle name="PSDate 4 2" xfId="259" xr:uid="{00000000-0005-0000-0000-00000D050000}"/>
    <cellStyle name="PSDate 4 2 2" xfId="742" xr:uid="{00000000-0005-0000-0000-00000E050000}"/>
    <cellStyle name="PSDate 4 3" xfId="743" xr:uid="{00000000-0005-0000-0000-00000F050000}"/>
    <cellStyle name="PSDate 5" xfId="260" xr:uid="{00000000-0005-0000-0000-000010050000}"/>
    <cellStyle name="PSDate 5 2" xfId="261" xr:uid="{00000000-0005-0000-0000-000011050000}"/>
    <cellStyle name="PSDate 5 2 2" xfId="744" xr:uid="{00000000-0005-0000-0000-000012050000}"/>
    <cellStyle name="PSDate 5 3" xfId="745" xr:uid="{00000000-0005-0000-0000-000013050000}"/>
    <cellStyle name="PSDate 6" xfId="335" xr:uid="{00000000-0005-0000-0000-000014050000}"/>
    <cellStyle name="PSDec" xfId="8" xr:uid="{00000000-0005-0000-0000-000015050000}"/>
    <cellStyle name="PSDec 2" xfId="262" xr:uid="{00000000-0005-0000-0000-000016050000}"/>
    <cellStyle name="PSDec 2 2" xfId="746" xr:uid="{00000000-0005-0000-0000-000017050000}"/>
    <cellStyle name="PSDec 3" xfId="263" xr:uid="{00000000-0005-0000-0000-000018050000}"/>
    <cellStyle name="PSDec 3 2" xfId="747" xr:uid="{00000000-0005-0000-0000-000019050000}"/>
    <cellStyle name="PSDec 4" xfId="264" xr:uid="{00000000-0005-0000-0000-00001A050000}"/>
    <cellStyle name="PSDec 4 2" xfId="265" xr:uid="{00000000-0005-0000-0000-00001B050000}"/>
    <cellStyle name="PSDec 4 2 2" xfId="748" xr:uid="{00000000-0005-0000-0000-00001C050000}"/>
    <cellStyle name="PSDec 4 3" xfId="749" xr:uid="{00000000-0005-0000-0000-00001D050000}"/>
    <cellStyle name="PSDec 5" xfId="266" xr:uid="{00000000-0005-0000-0000-00001E050000}"/>
    <cellStyle name="PSDec 5 2" xfId="267" xr:uid="{00000000-0005-0000-0000-00001F050000}"/>
    <cellStyle name="PSDec 5 2 2" xfId="750" xr:uid="{00000000-0005-0000-0000-000020050000}"/>
    <cellStyle name="PSDec 5 3" xfId="751" xr:uid="{00000000-0005-0000-0000-000021050000}"/>
    <cellStyle name="PSDec 6" xfId="336" xr:uid="{00000000-0005-0000-0000-000022050000}"/>
    <cellStyle name="PSHeading" xfId="9" xr:uid="{00000000-0005-0000-0000-000023050000}"/>
    <cellStyle name="PSHeading 2" xfId="268" xr:uid="{00000000-0005-0000-0000-000024050000}"/>
    <cellStyle name="PSHeading 2 2" xfId="752" xr:uid="{00000000-0005-0000-0000-000025050000}"/>
    <cellStyle name="PSHeading 3" xfId="269" xr:uid="{00000000-0005-0000-0000-000026050000}"/>
    <cellStyle name="PSHeading 3 2" xfId="753" xr:uid="{00000000-0005-0000-0000-000027050000}"/>
    <cellStyle name="PSHeading 4" xfId="270" xr:uid="{00000000-0005-0000-0000-000028050000}"/>
    <cellStyle name="PSHeading 4 2" xfId="271" xr:uid="{00000000-0005-0000-0000-000029050000}"/>
    <cellStyle name="PSHeading 4 2 2" xfId="754" xr:uid="{00000000-0005-0000-0000-00002A050000}"/>
    <cellStyle name="PSHeading 4 3" xfId="755" xr:uid="{00000000-0005-0000-0000-00002B050000}"/>
    <cellStyle name="PSHeading 4_I_Secondary" xfId="756" xr:uid="{00000000-0005-0000-0000-00002C050000}"/>
    <cellStyle name="PSHeading 5" xfId="272" xr:uid="{00000000-0005-0000-0000-00002D050000}"/>
    <cellStyle name="PSHeading 5 2" xfId="273" xr:uid="{00000000-0005-0000-0000-00002E050000}"/>
    <cellStyle name="PSHeading 5 2 2" xfId="757" xr:uid="{00000000-0005-0000-0000-00002F050000}"/>
    <cellStyle name="PSHeading 5 3" xfId="758" xr:uid="{00000000-0005-0000-0000-000030050000}"/>
    <cellStyle name="PSHeading 5_I_Secondary" xfId="759" xr:uid="{00000000-0005-0000-0000-000031050000}"/>
    <cellStyle name="PSHeading 6" xfId="337" xr:uid="{00000000-0005-0000-0000-000032050000}"/>
    <cellStyle name="PSHeading_358_CGS_Lewis_UT_70Conserv" xfId="274" xr:uid="{00000000-0005-0000-0000-000033050000}"/>
    <cellStyle name="PSInt" xfId="10" xr:uid="{00000000-0005-0000-0000-000034050000}"/>
    <cellStyle name="PSInt 2" xfId="275" xr:uid="{00000000-0005-0000-0000-000035050000}"/>
    <cellStyle name="PSInt 2 2" xfId="760" xr:uid="{00000000-0005-0000-0000-000036050000}"/>
    <cellStyle name="PSInt 3" xfId="276" xr:uid="{00000000-0005-0000-0000-000037050000}"/>
    <cellStyle name="PSInt 3 2" xfId="761" xr:uid="{00000000-0005-0000-0000-000038050000}"/>
    <cellStyle name="PSInt 4" xfId="277" xr:uid="{00000000-0005-0000-0000-000039050000}"/>
    <cellStyle name="PSInt 4 2" xfId="278" xr:uid="{00000000-0005-0000-0000-00003A050000}"/>
    <cellStyle name="PSInt 4 2 2" xfId="762" xr:uid="{00000000-0005-0000-0000-00003B050000}"/>
    <cellStyle name="PSInt 4 3" xfId="763" xr:uid="{00000000-0005-0000-0000-00003C050000}"/>
    <cellStyle name="PSInt 5" xfId="279" xr:uid="{00000000-0005-0000-0000-00003D050000}"/>
    <cellStyle name="PSInt 5 2" xfId="280" xr:uid="{00000000-0005-0000-0000-00003E050000}"/>
    <cellStyle name="PSInt 5 2 2" xfId="764" xr:uid="{00000000-0005-0000-0000-00003F050000}"/>
    <cellStyle name="PSInt 5 3" xfId="765" xr:uid="{00000000-0005-0000-0000-000040050000}"/>
    <cellStyle name="PSInt 6" xfId="338" xr:uid="{00000000-0005-0000-0000-000041050000}"/>
    <cellStyle name="PSSpacer" xfId="11" xr:uid="{00000000-0005-0000-0000-000042050000}"/>
    <cellStyle name="PSSpacer 2" xfId="281" xr:uid="{00000000-0005-0000-0000-000043050000}"/>
    <cellStyle name="PSSpacer 2 2" xfId="766" xr:uid="{00000000-0005-0000-0000-000044050000}"/>
    <cellStyle name="PSSpacer 3" xfId="282" xr:uid="{00000000-0005-0000-0000-000045050000}"/>
    <cellStyle name="PSSpacer 3 2" xfId="767" xr:uid="{00000000-0005-0000-0000-000046050000}"/>
    <cellStyle name="PSSpacer 4" xfId="283" xr:uid="{00000000-0005-0000-0000-000047050000}"/>
    <cellStyle name="PSSpacer 4 2" xfId="284" xr:uid="{00000000-0005-0000-0000-000048050000}"/>
    <cellStyle name="PSSpacer 4 2 2" xfId="768" xr:uid="{00000000-0005-0000-0000-000049050000}"/>
    <cellStyle name="PSSpacer 4 3" xfId="769" xr:uid="{00000000-0005-0000-0000-00004A050000}"/>
    <cellStyle name="PSSpacer 5" xfId="285" xr:uid="{00000000-0005-0000-0000-00004B050000}"/>
    <cellStyle name="PSSpacer 5 2" xfId="286" xr:uid="{00000000-0005-0000-0000-00004C050000}"/>
    <cellStyle name="PSSpacer 5 2 2" xfId="770" xr:uid="{00000000-0005-0000-0000-00004D050000}"/>
    <cellStyle name="PSSpacer 5 3" xfId="771" xr:uid="{00000000-0005-0000-0000-00004E050000}"/>
    <cellStyle name="PSSpacer 6" xfId="339" xr:uid="{00000000-0005-0000-0000-00004F050000}"/>
    <cellStyle name="Rate" xfId="287" xr:uid="{00000000-0005-0000-0000-000050050000}"/>
    <cellStyle name="Rate 2" xfId="288" xr:uid="{00000000-0005-0000-0000-000051050000}"/>
    <cellStyle name="Rate 3" xfId="289" xr:uid="{00000000-0005-0000-0000-000052050000}"/>
    <cellStyle name="Rate 4" xfId="290" xr:uid="{00000000-0005-0000-0000-000053050000}"/>
    <cellStyle name="Rate 4 2" xfId="291" xr:uid="{00000000-0005-0000-0000-000054050000}"/>
    <cellStyle name="Rate 5" xfId="292" xr:uid="{00000000-0005-0000-0000-000055050000}"/>
    <cellStyle name="Rate 5 2" xfId="293" xr:uid="{00000000-0005-0000-0000-000056050000}"/>
    <cellStyle name="Rate 6" xfId="294" xr:uid="{00000000-0005-0000-0000-000057050000}"/>
    <cellStyle name="Reference" xfId="295" xr:uid="{00000000-0005-0000-0000-000058050000}"/>
    <cellStyle name="SectionBreak" xfId="296" xr:uid="{00000000-0005-0000-0000-000059050000}"/>
    <cellStyle name="SectionBreak 2" xfId="297" xr:uid="{00000000-0005-0000-0000-00005A050000}"/>
    <cellStyle name="SectionBreak 3" xfId="298" xr:uid="{00000000-0005-0000-0000-00005B050000}"/>
    <cellStyle name="SectionBreak 4" xfId="299" xr:uid="{00000000-0005-0000-0000-00005C050000}"/>
    <cellStyle name="SectionBreak 4 2" xfId="300" xr:uid="{00000000-0005-0000-0000-00005D050000}"/>
    <cellStyle name="SectionBreak 5" xfId="301" xr:uid="{00000000-0005-0000-0000-00005E050000}"/>
    <cellStyle name="SectionBreak 5 2" xfId="302" xr:uid="{00000000-0005-0000-0000-00005F050000}"/>
    <cellStyle name="Style 27" xfId="397" xr:uid="{00000000-0005-0000-0000-000060050000}"/>
    <cellStyle name="Style 27 2" xfId="398" xr:uid="{00000000-0005-0000-0000-000061050000}"/>
    <cellStyle name="Style 27 2 2" xfId="655" xr:uid="{00000000-0005-0000-0000-000062050000}"/>
    <cellStyle name="Style 27 3" xfId="772" xr:uid="{00000000-0005-0000-0000-000063050000}"/>
    <cellStyle name="Style 27 3 2" xfId="874" xr:uid="{00000000-0005-0000-0000-000064050000}"/>
    <cellStyle name="Style 28" xfId="399" xr:uid="{00000000-0005-0000-0000-000065050000}"/>
    <cellStyle name="Style 28 2" xfId="400" xr:uid="{00000000-0005-0000-0000-000066050000}"/>
    <cellStyle name="Style 28 2 2" xfId="656" xr:uid="{00000000-0005-0000-0000-000067050000}"/>
    <cellStyle name="Style 28 3" xfId="773" xr:uid="{00000000-0005-0000-0000-000068050000}"/>
    <cellStyle name="Style 28 3 2" xfId="875" xr:uid="{00000000-0005-0000-0000-000069050000}"/>
    <cellStyle name="Table Head" xfId="303" xr:uid="{00000000-0005-0000-0000-00006A050000}"/>
    <cellStyle name="Table Head Aligned" xfId="304" xr:uid="{00000000-0005-0000-0000-00006B050000}"/>
    <cellStyle name="Table Head Blue" xfId="305" xr:uid="{00000000-0005-0000-0000-00006C050000}"/>
    <cellStyle name="Table Head Green" xfId="306" xr:uid="{00000000-0005-0000-0000-00006D050000}"/>
    <cellStyle name="Table Heading" xfId="307" xr:uid="{00000000-0005-0000-0000-00006E050000}"/>
    <cellStyle name="Table Heading 2" xfId="308" xr:uid="{00000000-0005-0000-0000-00006F050000}"/>
    <cellStyle name="Table Title" xfId="309" xr:uid="{00000000-0005-0000-0000-000070050000}"/>
    <cellStyle name="Table Units" xfId="310" xr:uid="{00000000-0005-0000-0000-000071050000}"/>
    <cellStyle name="Table Units 2" xfId="311" xr:uid="{00000000-0005-0000-0000-000072050000}"/>
    <cellStyle name="Table Units 2 2" xfId="774" xr:uid="{00000000-0005-0000-0000-000073050000}"/>
    <cellStyle name="Table Units 3" xfId="775" xr:uid="{00000000-0005-0000-0000-000074050000}"/>
    <cellStyle name="Table Units_I_Secondary" xfId="776" xr:uid="{00000000-0005-0000-0000-000075050000}"/>
    <cellStyle name="Title" xfId="1045" builtinId="15" customBuiltin="1"/>
    <cellStyle name="Title 2" xfId="313" xr:uid="{00000000-0005-0000-0000-000077050000}"/>
    <cellStyle name="Title 3" xfId="312" xr:uid="{00000000-0005-0000-0000-000078050000}"/>
    <cellStyle name="Title 4" xfId="657" xr:uid="{00000000-0005-0000-0000-000079050000}"/>
    <cellStyle name="Title 5" xfId="1138" xr:uid="{00000000-0005-0000-0000-00007A050000}"/>
    <cellStyle name="Total" xfId="1061" builtinId="25" customBuiltin="1"/>
    <cellStyle name="Total 2" xfId="315" xr:uid="{00000000-0005-0000-0000-00007C050000}"/>
    <cellStyle name="Total 2 2" xfId="401" xr:uid="{00000000-0005-0000-0000-00007D050000}"/>
    <cellStyle name="Total 2 2 2" xfId="452" xr:uid="{00000000-0005-0000-0000-00007E050000}"/>
    <cellStyle name="Total 2 2 3" xfId="1219" xr:uid="{00000000-0005-0000-0000-00007F050000}"/>
    <cellStyle name="Total 3" xfId="316" xr:uid="{00000000-0005-0000-0000-000080050000}"/>
    <cellStyle name="Total 3 2" xfId="659" xr:uid="{00000000-0005-0000-0000-000081050000}"/>
    <cellStyle name="Total 4" xfId="317" xr:uid="{00000000-0005-0000-0000-000082050000}"/>
    <cellStyle name="Total 4 2" xfId="660" xr:uid="{00000000-0005-0000-0000-000083050000}"/>
    <cellStyle name="Total 5" xfId="314" xr:uid="{00000000-0005-0000-0000-000084050000}"/>
    <cellStyle name="Total 5 2" xfId="661" xr:uid="{00000000-0005-0000-0000-000085050000}"/>
    <cellStyle name="Total 6" xfId="662" xr:uid="{00000000-0005-0000-0000-000086050000}"/>
    <cellStyle name="Total 7" xfId="1154" xr:uid="{00000000-0005-0000-0000-000087050000}"/>
    <cellStyle name="Unprot" xfId="402" xr:uid="{00000000-0005-0000-0000-000088050000}"/>
    <cellStyle name="Unprot 2" xfId="663" xr:uid="{00000000-0005-0000-0000-000089050000}"/>
    <cellStyle name="Unprot$" xfId="403" xr:uid="{00000000-0005-0000-0000-00008A050000}"/>
    <cellStyle name="Unprot$ 2" xfId="664" xr:uid="{00000000-0005-0000-0000-00008B050000}"/>
    <cellStyle name="Unprot$ 2 2" xfId="665" xr:uid="{00000000-0005-0000-0000-00008C050000}"/>
    <cellStyle name="Unprot_Current Summary" xfId="404" xr:uid="{00000000-0005-0000-0000-00008D050000}"/>
    <cellStyle name="Unprotect" xfId="405" xr:uid="{00000000-0005-0000-0000-00008E050000}"/>
    <cellStyle name="v" xfId="406" xr:uid="{00000000-0005-0000-0000-00008F050000}"/>
    <cellStyle name="Warning Text" xfId="1058" builtinId="11" customBuiltin="1"/>
    <cellStyle name="Warning Text 2" xfId="319" xr:uid="{00000000-0005-0000-0000-000091050000}"/>
    <cellStyle name="Warning Text 2 2" xfId="407" xr:uid="{00000000-0005-0000-0000-000092050000}"/>
    <cellStyle name="Warning Text 2 2 2" xfId="453" xr:uid="{00000000-0005-0000-0000-000093050000}"/>
    <cellStyle name="Warning Text 2 2 3" xfId="959" xr:uid="{00000000-0005-0000-0000-000094050000}"/>
    <cellStyle name="Warning Text 2 3" xfId="777" xr:uid="{00000000-0005-0000-0000-000095050000}"/>
    <cellStyle name="Warning Text 3" xfId="320" xr:uid="{00000000-0005-0000-0000-000096050000}"/>
    <cellStyle name="Warning Text 4" xfId="321" xr:uid="{00000000-0005-0000-0000-000097050000}"/>
    <cellStyle name="Warning Text 5" xfId="318" xr:uid="{00000000-0005-0000-0000-000098050000}"/>
    <cellStyle name="Warning Text 6" xfId="666" xr:uid="{00000000-0005-0000-0000-000099050000}"/>
    <cellStyle name="Warning Text 7" xfId="1151" xr:uid="{00000000-0005-0000-0000-00009A050000}"/>
  </cellStyles>
  <dxfs count="10"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  <dxf>
      <font>
        <b/>
        <i/>
        <condense val="0"/>
        <extend val="0"/>
        <color indexed="10"/>
      </font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hartsheet" Target="chart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hartsheet" Target="chartsheets/sheet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4"/>
    </mc:Choice>
    <mc:Fallback>
      <c:style val="3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Non-Slice Customer Rate Change BP-24 to BP-26 by Customer Type</a:t>
            </a:r>
            <a:endParaRPr lang="en-US">
              <a:effectLst/>
            </a:endParaRPr>
          </a:p>
        </c:rich>
      </c:tx>
      <c:layout>
        <c:manualLayout>
          <c:xMode val="edge"/>
          <c:yMode val="edge"/>
          <c:x val="0.1621211541286143"/>
          <c:y val="1.21268661170108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3.8441711481764652E-2"/>
          <c:y val="9.6422749555228879E-2"/>
          <c:w val="0.94679837233416042"/>
          <c:h val="0.73449689523680917"/>
        </c:manualLayout>
      </c:layout>
      <c:barChart>
        <c:barDir val="col"/>
        <c:grouping val="stacked"/>
        <c:varyColors val="0"/>
        <c:ser>
          <c:idx val="0"/>
          <c:order val="0"/>
          <c:tx>
            <c:v>Load Following</c:v>
          </c:tx>
          <c:spPr>
            <a:ln>
              <a:solidFill>
                <a:schemeClr val="tx1"/>
              </a:solidFill>
            </a:ln>
          </c:spPr>
          <c:invertIfNegative val="0"/>
          <c:dPt>
            <c:idx val="66"/>
            <c:invertIfNegative val="0"/>
            <c:bubble3D val="0"/>
            <c:spPr>
              <a:solidFill>
                <a:schemeClr val="accent3"/>
              </a:solidFill>
              <a:ln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9-6562-4492-9B58-D39A226E6722}"/>
              </c:ext>
            </c:extLst>
          </c:dPt>
          <c:dPt>
            <c:idx val="67"/>
            <c:invertIfNegative val="0"/>
            <c:bubble3D val="0"/>
            <c:spPr>
              <a:solidFill>
                <a:schemeClr val="accent1"/>
              </a:solidFill>
              <a:ln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5705-4162-86F7-2998EFB823DD}"/>
              </c:ext>
            </c:extLst>
          </c:dPt>
          <c:dPt>
            <c:idx val="6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05-4162-86F7-2998EFB823DD}"/>
              </c:ext>
            </c:extLst>
          </c:dPt>
          <c:dPt>
            <c:idx val="84"/>
            <c:invertIfNegative val="0"/>
            <c:bubble3D val="0"/>
            <c:spPr>
              <a:solidFill>
                <a:schemeClr val="accent3"/>
              </a:solidFill>
              <a:ln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8-6562-4492-9B58-D39A226E6722}"/>
              </c:ext>
            </c:extLst>
          </c:dPt>
          <c:dPt>
            <c:idx val="85"/>
            <c:invertIfNegative val="0"/>
            <c:bubble3D val="0"/>
            <c:spPr>
              <a:solidFill>
                <a:schemeClr val="accent1"/>
              </a:solidFill>
              <a:ln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4-5705-4162-86F7-2998EFB823DD}"/>
              </c:ext>
            </c:extLst>
          </c:dPt>
          <c:dPt>
            <c:idx val="113"/>
            <c:invertIfNegative val="0"/>
            <c:bubble3D val="0"/>
            <c:spPr>
              <a:solidFill>
                <a:schemeClr val="accent3"/>
              </a:solidFill>
              <a:ln>
                <a:solidFill>
                  <a:schemeClr val="tx1"/>
                </a:solidFill>
              </a:ln>
            </c:spPr>
            <c:extLst>
              <c:ext xmlns:c16="http://schemas.microsoft.com/office/drawing/2014/chart" uri="{C3380CC4-5D6E-409C-BE32-E72D297353CC}">
                <c16:uniqueId val="{00000007-6562-4492-9B58-D39A226E6722}"/>
              </c:ext>
            </c:extLst>
          </c:dPt>
          <c:dPt>
            <c:idx val="116"/>
            <c:invertIfNegative val="0"/>
            <c:bubble3D val="0"/>
            <c:spPr>
              <a:solidFill>
                <a:schemeClr val="accent3">
                  <a:lumMod val="75000"/>
                </a:schemeClr>
              </a:solidFill>
              <a:ln>
                <a:solidFill>
                  <a:schemeClr val="accent3">
                    <a:lumMod val="50000"/>
                  </a:schemeClr>
                </a:solidFill>
              </a:ln>
            </c:spPr>
            <c:extLst>
              <c:ext xmlns:c16="http://schemas.microsoft.com/office/drawing/2014/chart" uri="{C3380CC4-5D6E-409C-BE32-E72D297353CC}">
                <c16:uniqueId val="{00000006-5705-4162-86F7-2998EFB823DD}"/>
              </c:ext>
            </c:extLst>
          </c:dPt>
          <c:cat>
            <c:strRef>
              <c:f>Restatement!$B$4:$B$119</c:f>
              <c:strCache>
                <c:ptCount val="116"/>
                <c:pt idx="0">
                  <c:v>Minidoka, City of</c:v>
                </c:pt>
                <c:pt idx="1">
                  <c:v>Consolidated Irrigation District #19</c:v>
                </c:pt>
                <c:pt idx="2">
                  <c:v>Declo, City of</c:v>
                </c:pt>
                <c:pt idx="3">
                  <c:v>Albion, City of</c:v>
                </c:pt>
                <c:pt idx="4">
                  <c:v>U.S. DOE Albany Research Center</c:v>
                </c:pt>
                <c:pt idx="5">
                  <c:v>Farmers Elec Coop</c:v>
                </c:pt>
                <c:pt idx="6">
                  <c:v>Asotin County PUD #1</c:v>
                </c:pt>
                <c:pt idx="7">
                  <c:v>U.S. Naval Station, Everett (Jim Creek)</c:v>
                </c:pt>
                <c:pt idx="8">
                  <c:v>Drain, City of</c:v>
                </c:pt>
                <c:pt idx="9">
                  <c:v>Coulee Dam, City of</c:v>
                </c:pt>
                <c:pt idx="10">
                  <c:v>Troy, City of</c:v>
                </c:pt>
                <c:pt idx="11">
                  <c:v>Riverside Elec Coop</c:v>
                </c:pt>
                <c:pt idx="12">
                  <c:v>Cascade Locks, City of</c:v>
                </c:pt>
                <c:pt idx="13">
                  <c:v>Energy Northwest</c:v>
                </c:pt>
                <c:pt idx="14">
                  <c:v>Chewelah, City of</c:v>
                </c:pt>
                <c:pt idx="15">
                  <c:v>East End Mutual Electric</c:v>
                </c:pt>
                <c:pt idx="16">
                  <c:v>Umpqua Indian Utility Cooperative</c:v>
                </c:pt>
                <c:pt idx="17">
                  <c:v>Kalispel Tribe Utility</c:v>
                </c:pt>
                <c:pt idx="18">
                  <c:v>Soda Springs, City of</c:v>
                </c:pt>
                <c:pt idx="19">
                  <c:v>Columbia Power Coop</c:v>
                </c:pt>
                <c:pt idx="20">
                  <c:v>Eatonville, City of</c:v>
                </c:pt>
                <c:pt idx="21">
                  <c:v>Sumas, Town of</c:v>
                </c:pt>
                <c:pt idx="22">
                  <c:v>McCleary, City of</c:v>
                </c:pt>
                <c:pt idx="23">
                  <c:v>Plummer, City of</c:v>
                </c:pt>
                <c:pt idx="24">
                  <c:v>Steilacoom, Town of</c:v>
                </c:pt>
                <c:pt idx="25">
                  <c:v>Heyburn, City of</c:v>
                </c:pt>
                <c:pt idx="26">
                  <c:v>Wahkiakum County PUD #1</c:v>
                </c:pt>
                <c:pt idx="27">
                  <c:v>Bonners Ferry, City of</c:v>
                </c:pt>
                <c:pt idx="28">
                  <c:v>Grant County PUD #2</c:v>
                </c:pt>
                <c:pt idx="29">
                  <c:v>U.S. Airforce Base, Fairchild</c:v>
                </c:pt>
                <c:pt idx="30">
                  <c:v>Nespelem Valley Elec Coop</c:v>
                </c:pt>
                <c:pt idx="31">
                  <c:v>Idaho County L &amp; P</c:v>
                </c:pt>
                <c:pt idx="32">
                  <c:v>Weiser, City of</c:v>
                </c:pt>
                <c:pt idx="33">
                  <c:v>Southside Elec Lines</c:v>
                </c:pt>
                <c:pt idx="34">
                  <c:v>Milton, Town of</c:v>
                </c:pt>
                <c:pt idx="35">
                  <c:v>Bandon, City of</c:v>
                </c:pt>
                <c:pt idx="36">
                  <c:v>Monmouth, City of</c:v>
                </c:pt>
                <c:pt idx="37">
                  <c:v>Blaine, City of</c:v>
                </c:pt>
                <c:pt idx="38">
                  <c:v>Mason County PUD #1</c:v>
                </c:pt>
                <c:pt idx="39">
                  <c:v>Ferry County PUD #1</c:v>
                </c:pt>
                <c:pt idx="40">
                  <c:v>Rupert, City of</c:v>
                </c:pt>
                <c:pt idx="41">
                  <c:v>Lost River Elec Coop</c:v>
                </c:pt>
                <c:pt idx="42">
                  <c:v>Kittitas County PUD #1</c:v>
                </c:pt>
                <c:pt idx="43">
                  <c:v>Ohop Mutual Light Company</c:v>
                </c:pt>
                <c:pt idx="44">
                  <c:v>Milton-Freewater, City of</c:v>
                </c:pt>
                <c:pt idx="45">
                  <c:v>Tanner Elec Coop</c:v>
                </c:pt>
                <c:pt idx="46">
                  <c:v>Columbia Basin Elec Coop</c:v>
                </c:pt>
                <c:pt idx="47">
                  <c:v>Salmon River Elec Coop</c:v>
                </c:pt>
                <c:pt idx="48">
                  <c:v>Hermiston, City of</c:v>
                </c:pt>
                <c:pt idx="49">
                  <c:v>Wasco Elec Coop</c:v>
                </c:pt>
                <c:pt idx="50">
                  <c:v>Hood River Elec Coop</c:v>
                </c:pt>
                <c:pt idx="51">
                  <c:v>Parkland L &amp; W</c:v>
                </c:pt>
                <c:pt idx="52">
                  <c:v>Burley, City of</c:v>
                </c:pt>
                <c:pt idx="53">
                  <c:v>Skamania County PUD #1</c:v>
                </c:pt>
                <c:pt idx="54">
                  <c:v>Cheney, City of</c:v>
                </c:pt>
                <c:pt idx="55">
                  <c:v>Surprise Valley Elec Coop</c:v>
                </c:pt>
                <c:pt idx="56">
                  <c:v>Port of Seattle - SETAC In'tl. Airport</c:v>
                </c:pt>
                <c:pt idx="57">
                  <c:v>Glacier Elec  Coop</c:v>
                </c:pt>
                <c:pt idx="58">
                  <c:v>Yakama Power</c:v>
                </c:pt>
                <c:pt idx="59">
                  <c:v>Vigilante Elec Coop</c:v>
                </c:pt>
                <c:pt idx="60">
                  <c:v>U.S. Naval Submarine Base, Bangor</c:v>
                </c:pt>
                <c:pt idx="61">
                  <c:v>Ashland, City of</c:v>
                </c:pt>
                <c:pt idx="62">
                  <c:v>Canby, City of</c:v>
                </c:pt>
                <c:pt idx="63">
                  <c:v>Harney Elec Coop</c:v>
                </c:pt>
                <c:pt idx="64">
                  <c:v>Ellensburg, City of</c:v>
                </c:pt>
                <c:pt idx="65">
                  <c:v>Centralia, City of</c:v>
                </c:pt>
                <c:pt idx="66">
                  <c:v>Pend Oreille County PUD  #1</c:v>
                </c:pt>
                <c:pt idx="67">
                  <c:v>Modern Elec Coop</c:v>
                </c:pt>
                <c:pt idx="68">
                  <c:v>Whatcom County PUD #1</c:v>
                </c:pt>
                <c:pt idx="69">
                  <c:v>Forest Grove, City of</c:v>
                </c:pt>
                <c:pt idx="70">
                  <c:v>Missoula Elec Coop</c:v>
                </c:pt>
                <c:pt idx="71">
                  <c:v>Vera Irrigation District</c:v>
                </c:pt>
                <c:pt idx="72">
                  <c:v>U.S. Naval Base,  Bremerton</c:v>
                </c:pt>
                <c:pt idx="73">
                  <c:v>United Electric Coop</c:v>
                </c:pt>
                <c:pt idx="74">
                  <c:v>U.S. DOE Richland Operations Office</c:v>
                </c:pt>
                <c:pt idx="75">
                  <c:v>Port Angeles, City of</c:v>
                </c:pt>
                <c:pt idx="76">
                  <c:v>Lakeview L &amp; P (WA)</c:v>
                </c:pt>
                <c:pt idx="77">
                  <c:v>Elmhurst Mutual P &amp; L</c:v>
                </c:pt>
                <c:pt idx="78">
                  <c:v>Pacific County PUD #2</c:v>
                </c:pt>
                <c:pt idx="79">
                  <c:v>Klickitat County PUD #1</c:v>
                </c:pt>
                <c:pt idx="80">
                  <c:v>Columbia REA</c:v>
                </c:pt>
                <c:pt idx="81">
                  <c:v>Mission Valley</c:v>
                </c:pt>
                <c:pt idx="82">
                  <c:v>Salem Elec Coop</c:v>
                </c:pt>
                <c:pt idx="83">
                  <c:v>Jefferson County PUD #1</c:v>
                </c:pt>
                <c:pt idx="84">
                  <c:v>Okanogan County PUD #1</c:v>
                </c:pt>
                <c:pt idx="85">
                  <c:v>Midstate Elec Coop</c:v>
                </c:pt>
                <c:pt idx="86">
                  <c:v>Emerald PUD</c:v>
                </c:pt>
                <c:pt idx="87">
                  <c:v>Columbia River PUD</c:v>
                </c:pt>
                <c:pt idx="88">
                  <c:v>Tillamook PUD #1</c:v>
                </c:pt>
                <c:pt idx="89">
                  <c:v>Benton REA</c:v>
                </c:pt>
                <c:pt idx="90">
                  <c:v>Big Bend Elec Coop</c:v>
                </c:pt>
                <c:pt idx="91">
                  <c:v>Idaho Falls Power</c:v>
                </c:pt>
                <c:pt idx="92">
                  <c:v>Northern Wasco County PUD</c:v>
                </c:pt>
                <c:pt idx="93">
                  <c:v>Peninsula Light Company</c:v>
                </c:pt>
                <c:pt idx="94">
                  <c:v>Clallam County PUD #1</c:v>
                </c:pt>
                <c:pt idx="95">
                  <c:v>Oregon Trail Coop</c:v>
                </c:pt>
                <c:pt idx="96">
                  <c:v>Mason County PUD #3</c:v>
                </c:pt>
                <c:pt idx="97">
                  <c:v>Lower Valley Energy</c:v>
                </c:pt>
                <c:pt idx="98">
                  <c:v>McMinnville, City of</c:v>
                </c:pt>
                <c:pt idx="99">
                  <c:v>Clatskanie PUD</c:v>
                </c:pt>
                <c:pt idx="100">
                  <c:v>Wells Rural Elec Coop</c:v>
                </c:pt>
                <c:pt idx="101">
                  <c:v>Springfield Utility Board</c:v>
                </c:pt>
                <c:pt idx="102">
                  <c:v>Richland, City of</c:v>
                </c:pt>
                <c:pt idx="103">
                  <c:v>Umatilla Elec Coop</c:v>
                </c:pt>
                <c:pt idx="104">
                  <c:v>Lewis County PUD #1</c:v>
                </c:pt>
                <c:pt idx="105">
                  <c:v>Franklin County PUD #1</c:v>
                </c:pt>
                <c:pt idx="106">
                  <c:v>Grays Harbor PUD #1</c:v>
                </c:pt>
                <c:pt idx="107">
                  <c:v>Central Lincoln PUD</c:v>
                </c:pt>
                <c:pt idx="108">
                  <c:v>Benton County PUD #1</c:v>
                </c:pt>
                <c:pt idx="109">
                  <c:v>Eugene Water &amp; Electric Board</c:v>
                </c:pt>
                <c:pt idx="110">
                  <c:v>Clark County PUD #1</c:v>
                </c:pt>
                <c:pt idx="111">
                  <c:v>Tacoma Public Utilities</c:v>
                </c:pt>
                <c:pt idx="112">
                  <c:v>Cowlitz County PUD #1</c:v>
                </c:pt>
                <c:pt idx="113">
                  <c:v>Seattle City Light</c:v>
                </c:pt>
                <c:pt idx="114">
                  <c:v>PNGC Aggregate</c:v>
                </c:pt>
                <c:pt idx="115">
                  <c:v>Snohomish County PUD #1</c:v>
                </c:pt>
              </c:strCache>
            </c:strRef>
          </c:cat>
          <c:val>
            <c:numRef>
              <c:f>Restatement!$G$4:$G$119</c:f>
              <c:numCache>
                <c:formatCode>0%</c:formatCode>
                <c:ptCount val="116"/>
                <c:pt idx="0">
                  <c:v>7.0339501195407106E-2</c:v>
                </c:pt>
                <c:pt idx="1">
                  <c:v>0.1202649583486317</c:v>
                </c:pt>
                <c:pt idx="2">
                  <c:v>9.7423988211168377E-2</c:v>
                </c:pt>
                <c:pt idx="3">
                  <c:v>9.1184933952239478E-2</c:v>
                </c:pt>
                <c:pt idx="4">
                  <c:v>9.9439185513253064E-2</c:v>
                </c:pt>
                <c:pt idx="5">
                  <c:v>9.5420980085971191E-2</c:v>
                </c:pt>
                <c:pt idx="6">
                  <c:v>0.12596775009091263</c:v>
                </c:pt>
                <c:pt idx="7">
                  <c:v>0.12421495147149068</c:v>
                </c:pt>
                <c:pt idx="8">
                  <c:v>8.7871032765339599E-2</c:v>
                </c:pt>
                <c:pt idx="9">
                  <c:v>8.910685059052649E-2</c:v>
                </c:pt>
                <c:pt idx="10">
                  <c:v>0.10095040744626907</c:v>
                </c:pt>
                <c:pt idx="11">
                  <c:v>9.2478740748772187E-2</c:v>
                </c:pt>
                <c:pt idx="12">
                  <c:v>7.4741068605753469E-2</c:v>
                </c:pt>
                <c:pt idx="13">
                  <c:v>0.10189284990080696</c:v>
                </c:pt>
                <c:pt idx="14">
                  <c:v>9.3633049579522648E-2</c:v>
                </c:pt>
                <c:pt idx="15">
                  <c:v>9.3188447183366843E-2</c:v>
                </c:pt>
                <c:pt idx="16">
                  <c:v>0.12713551787716953</c:v>
                </c:pt>
                <c:pt idx="17">
                  <c:v>7.9868765901741995E-2</c:v>
                </c:pt>
                <c:pt idx="18">
                  <c:v>0.12277804558954049</c:v>
                </c:pt>
                <c:pt idx="19">
                  <c:v>0.10250329271469902</c:v>
                </c:pt>
                <c:pt idx="20">
                  <c:v>9.0194558469818956E-2</c:v>
                </c:pt>
                <c:pt idx="21">
                  <c:v>9.939946312268845E-2</c:v>
                </c:pt>
                <c:pt idx="22">
                  <c:v>8.6860640346949042E-2</c:v>
                </c:pt>
                <c:pt idx="23">
                  <c:v>0.25347377492439466</c:v>
                </c:pt>
                <c:pt idx="24">
                  <c:v>0.10123238890294192</c:v>
                </c:pt>
                <c:pt idx="25">
                  <c:v>0.11517767543718875</c:v>
                </c:pt>
                <c:pt idx="26">
                  <c:v>8.8028512386337937E-2</c:v>
                </c:pt>
                <c:pt idx="27">
                  <c:v>6.2846016795991611E-2</c:v>
                </c:pt>
                <c:pt idx="28">
                  <c:v>8.7272448686553053E-2</c:v>
                </c:pt>
                <c:pt idx="29">
                  <c:v>0.10599781721419649</c:v>
                </c:pt>
                <c:pt idx="30">
                  <c:v>0.10348094560744094</c:v>
                </c:pt>
                <c:pt idx="31">
                  <c:v>6.5539253139930698E-2</c:v>
                </c:pt>
                <c:pt idx="32">
                  <c:v>8.7503946841940697E-2</c:v>
                </c:pt>
                <c:pt idx="33">
                  <c:v>0.11414566989370026</c:v>
                </c:pt>
                <c:pt idx="34">
                  <c:v>9.8123849383263975E-2</c:v>
                </c:pt>
                <c:pt idx="35">
                  <c:v>9.6502864070811503E-2</c:v>
                </c:pt>
                <c:pt idx="36">
                  <c:v>9.1299792105447128E-2</c:v>
                </c:pt>
                <c:pt idx="37">
                  <c:v>9.6415043659450889E-2</c:v>
                </c:pt>
                <c:pt idx="38">
                  <c:v>9.7339404634109852E-2</c:v>
                </c:pt>
                <c:pt idx="39">
                  <c:v>8.074165896095381E-2</c:v>
                </c:pt>
                <c:pt idx="40">
                  <c:v>8.8252584892125202E-2</c:v>
                </c:pt>
                <c:pt idx="41">
                  <c:v>0.16444729354838758</c:v>
                </c:pt>
                <c:pt idx="42">
                  <c:v>7.1480416606374261E-2</c:v>
                </c:pt>
                <c:pt idx="43">
                  <c:v>9.6094809785940927E-2</c:v>
                </c:pt>
                <c:pt idx="44">
                  <c:v>7.5878315844448249E-2</c:v>
                </c:pt>
                <c:pt idx="45">
                  <c:v>9.2913655531364145E-2</c:v>
                </c:pt>
                <c:pt idx="46">
                  <c:v>2.2400005589592892E-3</c:v>
                </c:pt>
                <c:pt idx="47">
                  <c:v>0.11703376644123523</c:v>
                </c:pt>
                <c:pt idx="48">
                  <c:v>8.2626604011172972E-2</c:v>
                </c:pt>
                <c:pt idx="49">
                  <c:v>9.6326026430316944E-2</c:v>
                </c:pt>
                <c:pt idx="50">
                  <c:v>9.7191149086618495E-2</c:v>
                </c:pt>
                <c:pt idx="51">
                  <c:v>9.5948804578722111E-2</c:v>
                </c:pt>
                <c:pt idx="52">
                  <c:v>8.5842209100544672E-2</c:v>
                </c:pt>
                <c:pt idx="53">
                  <c:v>7.650009474931245E-2</c:v>
                </c:pt>
                <c:pt idx="54">
                  <c:v>0.10200487840679223</c:v>
                </c:pt>
                <c:pt idx="55">
                  <c:v>0.10320583706849898</c:v>
                </c:pt>
                <c:pt idx="56">
                  <c:v>0.12078216280681908</c:v>
                </c:pt>
                <c:pt idx="57">
                  <c:v>9.5218740682216987E-2</c:v>
                </c:pt>
                <c:pt idx="58">
                  <c:v>0.10277543375147484</c:v>
                </c:pt>
                <c:pt idx="59">
                  <c:v>0.10495317519366862</c:v>
                </c:pt>
                <c:pt idx="60">
                  <c:v>0.11301438876049558</c:v>
                </c:pt>
                <c:pt idx="61">
                  <c:v>9.8577776517647486E-2</c:v>
                </c:pt>
                <c:pt idx="62">
                  <c:v>9.8683332747480063E-2</c:v>
                </c:pt>
                <c:pt idx="63">
                  <c:v>0.16178203714245451</c:v>
                </c:pt>
                <c:pt idx="64">
                  <c:v>9.605225322506758E-2</c:v>
                </c:pt>
                <c:pt idx="65">
                  <c:v>7.576734560192476E-2</c:v>
                </c:pt>
                <c:pt idx="66">
                  <c:v>9.9457791250642177E-2</c:v>
                </c:pt>
                <c:pt idx="67">
                  <c:v>9.3117053654162452E-2</c:v>
                </c:pt>
                <c:pt idx="68">
                  <c:v>0.12184846521501415</c:v>
                </c:pt>
                <c:pt idx="69">
                  <c:v>8.5230146782314359E-2</c:v>
                </c:pt>
                <c:pt idx="70">
                  <c:v>0.10178302682090354</c:v>
                </c:pt>
                <c:pt idx="71">
                  <c:v>8.8584024110973505E-2</c:v>
                </c:pt>
                <c:pt idx="72">
                  <c:v>0.18009220819900792</c:v>
                </c:pt>
                <c:pt idx="73">
                  <c:v>9.5548243731438109E-2</c:v>
                </c:pt>
                <c:pt idx="74">
                  <c:v>7.6768451499403353E-2</c:v>
                </c:pt>
                <c:pt idx="75">
                  <c:v>0.10553050086867573</c:v>
                </c:pt>
                <c:pt idx="76">
                  <c:v>9.6277278985687789E-2</c:v>
                </c:pt>
                <c:pt idx="77">
                  <c:v>9.6825185271051273E-2</c:v>
                </c:pt>
                <c:pt idx="78">
                  <c:v>0.10042794256208432</c:v>
                </c:pt>
                <c:pt idx="79">
                  <c:v>0.14129800933565873</c:v>
                </c:pt>
                <c:pt idx="80">
                  <c:v>0.10685950143514218</c:v>
                </c:pt>
                <c:pt idx="81">
                  <c:v>7.2656616145785016E-2</c:v>
                </c:pt>
                <c:pt idx="82">
                  <c:v>8.4619128373881997E-2</c:v>
                </c:pt>
                <c:pt idx="83">
                  <c:v>9.7770543177834832E-2</c:v>
                </c:pt>
                <c:pt idx="84">
                  <c:v>0.10118461940108921</c:v>
                </c:pt>
                <c:pt idx="85">
                  <c:v>8.6641040017046145E-2</c:v>
                </c:pt>
                <c:pt idx="86">
                  <c:v>9.1807806949104134E-2</c:v>
                </c:pt>
                <c:pt idx="87">
                  <c:v>9.4670195037337868E-2</c:v>
                </c:pt>
                <c:pt idx="88">
                  <c:v>0.10575769447539486</c:v>
                </c:pt>
                <c:pt idx="89">
                  <c:v>9.6185289748060426E-2</c:v>
                </c:pt>
                <c:pt idx="90">
                  <c:v>0.12415688913065331</c:v>
                </c:pt>
                <c:pt idx="91">
                  <c:v>0</c:v>
                </c:pt>
                <c:pt idx="92">
                  <c:v>0.10395668792078112</c:v>
                </c:pt>
                <c:pt idx="93">
                  <c:v>9.0559465623877913E-2</c:v>
                </c:pt>
                <c:pt idx="94">
                  <c:v>9.0106894144635241E-2</c:v>
                </c:pt>
                <c:pt idx="95">
                  <c:v>8.9088121841283105E-2</c:v>
                </c:pt>
                <c:pt idx="96">
                  <c:v>9.6420541038425775E-2</c:v>
                </c:pt>
                <c:pt idx="97">
                  <c:v>9.2882389378221381E-2</c:v>
                </c:pt>
                <c:pt idx="98">
                  <c:v>8.965730084503816E-2</c:v>
                </c:pt>
                <c:pt idx="99">
                  <c:v>0</c:v>
                </c:pt>
                <c:pt idx="100">
                  <c:v>0.16212212035917969</c:v>
                </c:pt>
                <c:pt idx="101">
                  <c:v>9.7168840517922919E-2</c:v>
                </c:pt>
                <c:pt idx="102">
                  <c:v>9.29255561097104E-2</c:v>
                </c:pt>
                <c:pt idx="103">
                  <c:v>7.5263680385326923E-2</c:v>
                </c:pt>
                <c:pt idx="104">
                  <c:v>0</c:v>
                </c:pt>
                <c:pt idx="105">
                  <c:v>0</c:v>
                </c:pt>
                <c:pt idx="106">
                  <c:v>8.6439436566355499E-2</c:v>
                </c:pt>
                <c:pt idx="107">
                  <c:v>0.11457096959878153</c:v>
                </c:pt>
                <c:pt idx="108">
                  <c:v>0.10274141112338799</c:v>
                </c:pt>
                <c:pt idx="109">
                  <c:v>0</c:v>
                </c:pt>
                <c:pt idx="110">
                  <c:v>7.2138417885914366E-2</c:v>
                </c:pt>
                <c:pt idx="111">
                  <c:v>0</c:v>
                </c:pt>
                <c:pt idx="112">
                  <c:v>0</c:v>
                </c:pt>
                <c:pt idx="113">
                  <c:v>0.10221153254094849</c:v>
                </c:pt>
                <c:pt idx="114">
                  <c:v>8.8670139090368888E-2</c:v>
                </c:pt>
                <c:pt idx="115">
                  <c:v>8.0183465597279138E-2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705-4162-86F7-2998EFB823DD}"/>
            </c:ext>
          </c:extLst>
        </c:ser>
        <c:ser>
          <c:idx val="1"/>
          <c:order val="1"/>
          <c:tx>
            <c:v>Block of Slice Block</c:v>
          </c:tx>
          <c:invertIfNegative val="0"/>
          <c:cat>
            <c:strRef>
              <c:f>Restatement!$B$4:$B$119</c:f>
              <c:strCache>
                <c:ptCount val="116"/>
                <c:pt idx="0">
                  <c:v>Minidoka, City of</c:v>
                </c:pt>
                <c:pt idx="1">
                  <c:v>Consolidated Irrigation District #19</c:v>
                </c:pt>
                <c:pt idx="2">
                  <c:v>Declo, City of</c:v>
                </c:pt>
                <c:pt idx="3">
                  <c:v>Albion, City of</c:v>
                </c:pt>
                <c:pt idx="4">
                  <c:v>U.S. DOE Albany Research Center</c:v>
                </c:pt>
                <c:pt idx="5">
                  <c:v>Farmers Elec Coop</c:v>
                </c:pt>
                <c:pt idx="6">
                  <c:v>Asotin County PUD #1</c:v>
                </c:pt>
                <c:pt idx="7">
                  <c:v>U.S. Naval Station, Everett (Jim Creek)</c:v>
                </c:pt>
                <c:pt idx="8">
                  <c:v>Drain, City of</c:v>
                </c:pt>
                <c:pt idx="9">
                  <c:v>Coulee Dam, City of</c:v>
                </c:pt>
                <c:pt idx="10">
                  <c:v>Troy, City of</c:v>
                </c:pt>
                <c:pt idx="11">
                  <c:v>Riverside Elec Coop</c:v>
                </c:pt>
                <c:pt idx="12">
                  <c:v>Cascade Locks, City of</c:v>
                </c:pt>
                <c:pt idx="13">
                  <c:v>Energy Northwest</c:v>
                </c:pt>
                <c:pt idx="14">
                  <c:v>Chewelah, City of</c:v>
                </c:pt>
                <c:pt idx="15">
                  <c:v>East End Mutual Electric</c:v>
                </c:pt>
                <c:pt idx="16">
                  <c:v>Umpqua Indian Utility Cooperative</c:v>
                </c:pt>
                <c:pt idx="17">
                  <c:v>Kalispel Tribe Utility</c:v>
                </c:pt>
                <c:pt idx="18">
                  <c:v>Soda Springs, City of</c:v>
                </c:pt>
                <c:pt idx="19">
                  <c:v>Columbia Power Coop</c:v>
                </c:pt>
                <c:pt idx="20">
                  <c:v>Eatonville, City of</c:v>
                </c:pt>
                <c:pt idx="21">
                  <c:v>Sumas, Town of</c:v>
                </c:pt>
                <c:pt idx="22">
                  <c:v>McCleary, City of</c:v>
                </c:pt>
                <c:pt idx="23">
                  <c:v>Plummer, City of</c:v>
                </c:pt>
                <c:pt idx="24">
                  <c:v>Steilacoom, Town of</c:v>
                </c:pt>
                <c:pt idx="25">
                  <c:v>Heyburn, City of</c:v>
                </c:pt>
                <c:pt idx="26">
                  <c:v>Wahkiakum County PUD #1</c:v>
                </c:pt>
                <c:pt idx="27">
                  <c:v>Bonners Ferry, City of</c:v>
                </c:pt>
                <c:pt idx="28">
                  <c:v>Grant County PUD #2</c:v>
                </c:pt>
                <c:pt idx="29">
                  <c:v>U.S. Airforce Base, Fairchild</c:v>
                </c:pt>
                <c:pt idx="30">
                  <c:v>Nespelem Valley Elec Coop</c:v>
                </c:pt>
                <c:pt idx="31">
                  <c:v>Idaho County L &amp; P</c:v>
                </c:pt>
                <c:pt idx="32">
                  <c:v>Weiser, City of</c:v>
                </c:pt>
                <c:pt idx="33">
                  <c:v>Southside Elec Lines</c:v>
                </c:pt>
                <c:pt idx="34">
                  <c:v>Milton, Town of</c:v>
                </c:pt>
                <c:pt idx="35">
                  <c:v>Bandon, City of</c:v>
                </c:pt>
                <c:pt idx="36">
                  <c:v>Monmouth, City of</c:v>
                </c:pt>
                <c:pt idx="37">
                  <c:v>Blaine, City of</c:v>
                </c:pt>
                <c:pt idx="38">
                  <c:v>Mason County PUD #1</c:v>
                </c:pt>
                <c:pt idx="39">
                  <c:v>Ferry County PUD #1</c:v>
                </c:pt>
                <c:pt idx="40">
                  <c:v>Rupert, City of</c:v>
                </c:pt>
                <c:pt idx="41">
                  <c:v>Lost River Elec Coop</c:v>
                </c:pt>
                <c:pt idx="42">
                  <c:v>Kittitas County PUD #1</c:v>
                </c:pt>
                <c:pt idx="43">
                  <c:v>Ohop Mutual Light Company</c:v>
                </c:pt>
                <c:pt idx="44">
                  <c:v>Milton-Freewater, City of</c:v>
                </c:pt>
                <c:pt idx="45">
                  <c:v>Tanner Elec Coop</c:v>
                </c:pt>
                <c:pt idx="46">
                  <c:v>Columbia Basin Elec Coop</c:v>
                </c:pt>
                <c:pt idx="47">
                  <c:v>Salmon River Elec Coop</c:v>
                </c:pt>
                <c:pt idx="48">
                  <c:v>Hermiston, City of</c:v>
                </c:pt>
                <c:pt idx="49">
                  <c:v>Wasco Elec Coop</c:v>
                </c:pt>
                <c:pt idx="50">
                  <c:v>Hood River Elec Coop</c:v>
                </c:pt>
                <c:pt idx="51">
                  <c:v>Parkland L &amp; W</c:v>
                </c:pt>
                <c:pt idx="52">
                  <c:v>Burley, City of</c:v>
                </c:pt>
                <c:pt idx="53">
                  <c:v>Skamania County PUD #1</c:v>
                </c:pt>
                <c:pt idx="54">
                  <c:v>Cheney, City of</c:v>
                </c:pt>
                <c:pt idx="55">
                  <c:v>Surprise Valley Elec Coop</c:v>
                </c:pt>
                <c:pt idx="56">
                  <c:v>Port of Seattle - SETAC In'tl. Airport</c:v>
                </c:pt>
                <c:pt idx="57">
                  <c:v>Glacier Elec  Coop</c:v>
                </c:pt>
                <c:pt idx="58">
                  <c:v>Yakama Power</c:v>
                </c:pt>
                <c:pt idx="59">
                  <c:v>Vigilante Elec Coop</c:v>
                </c:pt>
                <c:pt idx="60">
                  <c:v>U.S. Naval Submarine Base, Bangor</c:v>
                </c:pt>
                <c:pt idx="61">
                  <c:v>Ashland, City of</c:v>
                </c:pt>
                <c:pt idx="62">
                  <c:v>Canby, City of</c:v>
                </c:pt>
                <c:pt idx="63">
                  <c:v>Harney Elec Coop</c:v>
                </c:pt>
                <c:pt idx="64">
                  <c:v>Ellensburg, City of</c:v>
                </c:pt>
                <c:pt idx="65">
                  <c:v>Centralia, City of</c:v>
                </c:pt>
                <c:pt idx="66">
                  <c:v>Pend Oreille County PUD  #1</c:v>
                </c:pt>
                <c:pt idx="67">
                  <c:v>Modern Elec Coop</c:v>
                </c:pt>
                <c:pt idx="68">
                  <c:v>Whatcom County PUD #1</c:v>
                </c:pt>
                <c:pt idx="69">
                  <c:v>Forest Grove, City of</c:v>
                </c:pt>
                <c:pt idx="70">
                  <c:v>Missoula Elec Coop</c:v>
                </c:pt>
                <c:pt idx="71">
                  <c:v>Vera Irrigation District</c:v>
                </c:pt>
                <c:pt idx="72">
                  <c:v>U.S. Naval Base,  Bremerton</c:v>
                </c:pt>
                <c:pt idx="73">
                  <c:v>United Electric Coop</c:v>
                </c:pt>
                <c:pt idx="74">
                  <c:v>U.S. DOE Richland Operations Office</c:v>
                </c:pt>
                <c:pt idx="75">
                  <c:v>Port Angeles, City of</c:v>
                </c:pt>
                <c:pt idx="76">
                  <c:v>Lakeview L &amp; P (WA)</c:v>
                </c:pt>
                <c:pt idx="77">
                  <c:v>Elmhurst Mutual P &amp; L</c:v>
                </c:pt>
                <c:pt idx="78">
                  <c:v>Pacific County PUD #2</c:v>
                </c:pt>
                <c:pt idx="79">
                  <c:v>Klickitat County PUD #1</c:v>
                </c:pt>
                <c:pt idx="80">
                  <c:v>Columbia REA</c:v>
                </c:pt>
                <c:pt idx="81">
                  <c:v>Mission Valley</c:v>
                </c:pt>
                <c:pt idx="82">
                  <c:v>Salem Elec Coop</c:v>
                </c:pt>
                <c:pt idx="83">
                  <c:v>Jefferson County PUD #1</c:v>
                </c:pt>
                <c:pt idx="84">
                  <c:v>Okanogan County PUD #1</c:v>
                </c:pt>
                <c:pt idx="85">
                  <c:v>Midstate Elec Coop</c:v>
                </c:pt>
                <c:pt idx="86">
                  <c:v>Emerald PUD</c:v>
                </c:pt>
                <c:pt idx="87">
                  <c:v>Columbia River PUD</c:v>
                </c:pt>
                <c:pt idx="88">
                  <c:v>Tillamook PUD #1</c:v>
                </c:pt>
                <c:pt idx="89">
                  <c:v>Benton REA</c:v>
                </c:pt>
                <c:pt idx="90">
                  <c:v>Big Bend Elec Coop</c:v>
                </c:pt>
                <c:pt idx="91">
                  <c:v>Idaho Falls Power</c:v>
                </c:pt>
                <c:pt idx="92">
                  <c:v>Northern Wasco County PUD</c:v>
                </c:pt>
                <c:pt idx="93">
                  <c:v>Peninsula Light Company</c:v>
                </c:pt>
                <c:pt idx="94">
                  <c:v>Clallam County PUD #1</c:v>
                </c:pt>
                <c:pt idx="95">
                  <c:v>Oregon Trail Coop</c:v>
                </c:pt>
                <c:pt idx="96">
                  <c:v>Mason County PUD #3</c:v>
                </c:pt>
                <c:pt idx="97">
                  <c:v>Lower Valley Energy</c:v>
                </c:pt>
                <c:pt idx="98">
                  <c:v>McMinnville, City of</c:v>
                </c:pt>
                <c:pt idx="99">
                  <c:v>Clatskanie PUD</c:v>
                </c:pt>
                <c:pt idx="100">
                  <c:v>Wells Rural Elec Coop</c:v>
                </c:pt>
                <c:pt idx="101">
                  <c:v>Springfield Utility Board</c:v>
                </c:pt>
                <c:pt idx="102">
                  <c:v>Richland, City of</c:v>
                </c:pt>
                <c:pt idx="103">
                  <c:v>Umatilla Elec Coop</c:v>
                </c:pt>
                <c:pt idx="104">
                  <c:v>Lewis County PUD #1</c:v>
                </c:pt>
                <c:pt idx="105">
                  <c:v>Franklin County PUD #1</c:v>
                </c:pt>
                <c:pt idx="106">
                  <c:v>Grays Harbor PUD #1</c:v>
                </c:pt>
                <c:pt idx="107">
                  <c:v>Central Lincoln PUD</c:v>
                </c:pt>
                <c:pt idx="108">
                  <c:v>Benton County PUD #1</c:v>
                </c:pt>
                <c:pt idx="109">
                  <c:v>Eugene Water &amp; Electric Board</c:v>
                </c:pt>
                <c:pt idx="110">
                  <c:v>Clark County PUD #1</c:v>
                </c:pt>
                <c:pt idx="111">
                  <c:v>Tacoma Public Utilities</c:v>
                </c:pt>
                <c:pt idx="112">
                  <c:v>Cowlitz County PUD #1</c:v>
                </c:pt>
                <c:pt idx="113">
                  <c:v>Seattle City Light</c:v>
                </c:pt>
                <c:pt idx="114">
                  <c:v>PNGC Aggregate</c:v>
                </c:pt>
                <c:pt idx="115">
                  <c:v>Snohomish County PUD #1</c:v>
                </c:pt>
              </c:strCache>
            </c:strRef>
          </c:cat>
          <c:val>
            <c:numRef>
              <c:f>Restatement!$F$4:$F$119</c:f>
              <c:numCache>
                <c:formatCode>0%</c:formatCode>
                <c:ptCount val="1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0.11942286934140607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0.13711162196783749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0.12842838043124188</c:v>
                </c:pt>
                <c:pt idx="105">
                  <c:v>0.13029149273073526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0.1255185404620405</c:v>
                </c:pt>
                <c:pt idx="110">
                  <c:v>0</c:v>
                </c:pt>
                <c:pt idx="111">
                  <c:v>0.12657675006353228</c:v>
                </c:pt>
                <c:pt idx="112">
                  <c:v>0.13571349562375223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705-4162-86F7-2998EFB823DD}"/>
            </c:ext>
          </c:extLst>
        </c:ser>
        <c:ser>
          <c:idx val="2"/>
          <c:order val="2"/>
          <c:tx>
            <c:v>Block</c:v>
          </c:tx>
          <c:invertIfNegative val="0"/>
          <c:cat>
            <c:strRef>
              <c:f>Restatement!$B$4:$B$119</c:f>
              <c:strCache>
                <c:ptCount val="116"/>
                <c:pt idx="0">
                  <c:v>Minidoka, City of</c:v>
                </c:pt>
                <c:pt idx="1">
                  <c:v>Consolidated Irrigation District #19</c:v>
                </c:pt>
                <c:pt idx="2">
                  <c:v>Declo, City of</c:v>
                </c:pt>
                <c:pt idx="3">
                  <c:v>Albion, City of</c:v>
                </c:pt>
                <c:pt idx="4">
                  <c:v>U.S. DOE Albany Research Center</c:v>
                </c:pt>
                <c:pt idx="5">
                  <c:v>Farmers Elec Coop</c:v>
                </c:pt>
                <c:pt idx="6">
                  <c:v>Asotin County PUD #1</c:v>
                </c:pt>
                <c:pt idx="7">
                  <c:v>U.S. Naval Station, Everett (Jim Creek)</c:v>
                </c:pt>
                <c:pt idx="8">
                  <c:v>Drain, City of</c:v>
                </c:pt>
                <c:pt idx="9">
                  <c:v>Coulee Dam, City of</c:v>
                </c:pt>
                <c:pt idx="10">
                  <c:v>Troy, City of</c:v>
                </c:pt>
                <c:pt idx="11">
                  <c:v>Riverside Elec Coop</c:v>
                </c:pt>
                <c:pt idx="12">
                  <c:v>Cascade Locks, City of</c:v>
                </c:pt>
                <c:pt idx="13">
                  <c:v>Energy Northwest</c:v>
                </c:pt>
                <c:pt idx="14">
                  <c:v>Chewelah, City of</c:v>
                </c:pt>
                <c:pt idx="15">
                  <c:v>East End Mutual Electric</c:v>
                </c:pt>
                <c:pt idx="16">
                  <c:v>Umpqua Indian Utility Cooperative</c:v>
                </c:pt>
                <c:pt idx="17">
                  <c:v>Kalispel Tribe Utility</c:v>
                </c:pt>
                <c:pt idx="18">
                  <c:v>Soda Springs, City of</c:v>
                </c:pt>
                <c:pt idx="19">
                  <c:v>Columbia Power Coop</c:v>
                </c:pt>
                <c:pt idx="20">
                  <c:v>Eatonville, City of</c:v>
                </c:pt>
                <c:pt idx="21">
                  <c:v>Sumas, Town of</c:v>
                </c:pt>
                <c:pt idx="22">
                  <c:v>McCleary, City of</c:v>
                </c:pt>
                <c:pt idx="23">
                  <c:v>Plummer, City of</c:v>
                </c:pt>
                <c:pt idx="24">
                  <c:v>Steilacoom, Town of</c:v>
                </c:pt>
                <c:pt idx="25">
                  <c:v>Heyburn, City of</c:v>
                </c:pt>
                <c:pt idx="26">
                  <c:v>Wahkiakum County PUD #1</c:v>
                </c:pt>
                <c:pt idx="27">
                  <c:v>Bonners Ferry, City of</c:v>
                </c:pt>
                <c:pt idx="28">
                  <c:v>Grant County PUD #2</c:v>
                </c:pt>
                <c:pt idx="29">
                  <c:v>U.S. Airforce Base, Fairchild</c:v>
                </c:pt>
                <c:pt idx="30">
                  <c:v>Nespelem Valley Elec Coop</c:v>
                </c:pt>
                <c:pt idx="31">
                  <c:v>Idaho County L &amp; P</c:v>
                </c:pt>
                <c:pt idx="32">
                  <c:v>Weiser, City of</c:v>
                </c:pt>
                <c:pt idx="33">
                  <c:v>Southside Elec Lines</c:v>
                </c:pt>
                <c:pt idx="34">
                  <c:v>Milton, Town of</c:v>
                </c:pt>
                <c:pt idx="35">
                  <c:v>Bandon, City of</c:v>
                </c:pt>
                <c:pt idx="36">
                  <c:v>Monmouth, City of</c:v>
                </c:pt>
                <c:pt idx="37">
                  <c:v>Blaine, City of</c:v>
                </c:pt>
                <c:pt idx="38">
                  <c:v>Mason County PUD #1</c:v>
                </c:pt>
                <c:pt idx="39">
                  <c:v>Ferry County PUD #1</c:v>
                </c:pt>
                <c:pt idx="40">
                  <c:v>Rupert, City of</c:v>
                </c:pt>
                <c:pt idx="41">
                  <c:v>Lost River Elec Coop</c:v>
                </c:pt>
                <c:pt idx="42">
                  <c:v>Kittitas County PUD #1</c:v>
                </c:pt>
                <c:pt idx="43">
                  <c:v>Ohop Mutual Light Company</c:v>
                </c:pt>
                <c:pt idx="44">
                  <c:v>Milton-Freewater, City of</c:v>
                </c:pt>
                <c:pt idx="45">
                  <c:v>Tanner Elec Coop</c:v>
                </c:pt>
                <c:pt idx="46">
                  <c:v>Columbia Basin Elec Coop</c:v>
                </c:pt>
                <c:pt idx="47">
                  <c:v>Salmon River Elec Coop</c:v>
                </c:pt>
                <c:pt idx="48">
                  <c:v>Hermiston, City of</c:v>
                </c:pt>
                <c:pt idx="49">
                  <c:v>Wasco Elec Coop</c:v>
                </c:pt>
                <c:pt idx="50">
                  <c:v>Hood River Elec Coop</c:v>
                </c:pt>
                <c:pt idx="51">
                  <c:v>Parkland L &amp; W</c:v>
                </c:pt>
                <c:pt idx="52">
                  <c:v>Burley, City of</c:v>
                </c:pt>
                <c:pt idx="53">
                  <c:v>Skamania County PUD #1</c:v>
                </c:pt>
                <c:pt idx="54">
                  <c:v>Cheney, City of</c:v>
                </c:pt>
                <c:pt idx="55">
                  <c:v>Surprise Valley Elec Coop</c:v>
                </c:pt>
                <c:pt idx="56">
                  <c:v>Port of Seattle - SETAC In'tl. Airport</c:v>
                </c:pt>
                <c:pt idx="57">
                  <c:v>Glacier Elec  Coop</c:v>
                </c:pt>
                <c:pt idx="58">
                  <c:v>Yakama Power</c:v>
                </c:pt>
                <c:pt idx="59">
                  <c:v>Vigilante Elec Coop</c:v>
                </c:pt>
                <c:pt idx="60">
                  <c:v>U.S. Naval Submarine Base, Bangor</c:v>
                </c:pt>
                <c:pt idx="61">
                  <c:v>Ashland, City of</c:v>
                </c:pt>
                <c:pt idx="62">
                  <c:v>Canby, City of</c:v>
                </c:pt>
                <c:pt idx="63">
                  <c:v>Harney Elec Coop</c:v>
                </c:pt>
                <c:pt idx="64">
                  <c:v>Ellensburg, City of</c:v>
                </c:pt>
                <c:pt idx="65">
                  <c:v>Centralia, City of</c:v>
                </c:pt>
                <c:pt idx="66">
                  <c:v>Pend Oreille County PUD  #1</c:v>
                </c:pt>
                <c:pt idx="67">
                  <c:v>Modern Elec Coop</c:v>
                </c:pt>
                <c:pt idx="68">
                  <c:v>Whatcom County PUD #1</c:v>
                </c:pt>
                <c:pt idx="69">
                  <c:v>Forest Grove, City of</c:v>
                </c:pt>
                <c:pt idx="70">
                  <c:v>Missoula Elec Coop</c:v>
                </c:pt>
                <c:pt idx="71">
                  <c:v>Vera Irrigation District</c:v>
                </c:pt>
                <c:pt idx="72">
                  <c:v>U.S. Naval Base,  Bremerton</c:v>
                </c:pt>
                <c:pt idx="73">
                  <c:v>United Electric Coop</c:v>
                </c:pt>
                <c:pt idx="74">
                  <c:v>U.S. DOE Richland Operations Office</c:v>
                </c:pt>
                <c:pt idx="75">
                  <c:v>Port Angeles, City of</c:v>
                </c:pt>
                <c:pt idx="76">
                  <c:v>Lakeview L &amp; P (WA)</c:v>
                </c:pt>
                <c:pt idx="77">
                  <c:v>Elmhurst Mutual P &amp; L</c:v>
                </c:pt>
                <c:pt idx="78">
                  <c:v>Pacific County PUD #2</c:v>
                </c:pt>
                <c:pt idx="79">
                  <c:v>Klickitat County PUD #1</c:v>
                </c:pt>
                <c:pt idx="80">
                  <c:v>Columbia REA</c:v>
                </c:pt>
                <c:pt idx="81">
                  <c:v>Mission Valley</c:v>
                </c:pt>
                <c:pt idx="82">
                  <c:v>Salem Elec Coop</c:v>
                </c:pt>
                <c:pt idx="83">
                  <c:v>Jefferson County PUD #1</c:v>
                </c:pt>
                <c:pt idx="84">
                  <c:v>Okanogan County PUD #1</c:v>
                </c:pt>
                <c:pt idx="85">
                  <c:v>Midstate Elec Coop</c:v>
                </c:pt>
                <c:pt idx="86">
                  <c:v>Emerald PUD</c:v>
                </c:pt>
                <c:pt idx="87">
                  <c:v>Columbia River PUD</c:v>
                </c:pt>
                <c:pt idx="88">
                  <c:v>Tillamook PUD #1</c:v>
                </c:pt>
                <c:pt idx="89">
                  <c:v>Benton REA</c:v>
                </c:pt>
                <c:pt idx="90">
                  <c:v>Big Bend Elec Coop</c:v>
                </c:pt>
                <c:pt idx="91">
                  <c:v>Idaho Falls Power</c:v>
                </c:pt>
                <c:pt idx="92">
                  <c:v>Northern Wasco County PUD</c:v>
                </c:pt>
                <c:pt idx="93">
                  <c:v>Peninsula Light Company</c:v>
                </c:pt>
                <c:pt idx="94">
                  <c:v>Clallam County PUD #1</c:v>
                </c:pt>
                <c:pt idx="95">
                  <c:v>Oregon Trail Coop</c:v>
                </c:pt>
                <c:pt idx="96">
                  <c:v>Mason County PUD #3</c:v>
                </c:pt>
                <c:pt idx="97">
                  <c:v>Lower Valley Energy</c:v>
                </c:pt>
                <c:pt idx="98">
                  <c:v>McMinnville, City of</c:v>
                </c:pt>
                <c:pt idx="99">
                  <c:v>Clatskanie PUD</c:v>
                </c:pt>
                <c:pt idx="100">
                  <c:v>Wells Rural Elec Coop</c:v>
                </c:pt>
                <c:pt idx="101">
                  <c:v>Springfield Utility Board</c:v>
                </c:pt>
                <c:pt idx="102">
                  <c:v>Richland, City of</c:v>
                </c:pt>
                <c:pt idx="103">
                  <c:v>Umatilla Elec Coop</c:v>
                </c:pt>
                <c:pt idx="104">
                  <c:v>Lewis County PUD #1</c:v>
                </c:pt>
                <c:pt idx="105">
                  <c:v>Franklin County PUD #1</c:v>
                </c:pt>
                <c:pt idx="106">
                  <c:v>Grays Harbor PUD #1</c:v>
                </c:pt>
                <c:pt idx="107">
                  <c:v>Central Lincoln PUD</c:v>
                </c:pt>
                <c:pt idx="108">
                  <c:v>Benton County PUD #1</c:v>
                </c:pt>
                <c:pt idx="109">
                  <c:v>Eugene Water &amp; Electric Board</c:v>
                </c:pt>
                <c:pt idx="110">
                  <c:v>Clark County PUD #1</c:v>
                </c:pt>
                <c:pt idx="111">
                  <c:v>Tacoma Public Utilities</c:v>
                </c:pt>
                <c:pt idx="112">
                  <c:v>Cowlitz County PUD #1</c:v>
                </c:pt>
                <c:pt idx="113">
                  <c:v>Seattle City Light</c:v>
                </c:pt>
                <c:pt idx="114">
                  <c:v>PNGC Aggregate</c:v>
                </c:pt>
                <c:pt idx="115">
                  <c:v>Snohomish County PUD #1</c:v>
                </c:pt>
              </c:strCache>
            </c:strRef>
          </c:cat>
          <c:val>
            <c:numRef>
              <c:f>Restatement!$E$4:$E$119</c:f>
              <c:numCache>
                <c:formatCode>0%</c:formatCode>
                <c:ptCount val="116"/>
              </c:numCache>
            </c:numRef>
          </c:val>
          <c:extLst>
            <c:ext xmlns:c16="http://schemas.microsoft.com/office/drawing/2014/chart" uri="{C3380CC4-5D6E-409C-BE32-E72D297353CC}">
              <c16:uniqueId val="{00000009-5705-4162-86F7-2998EFB823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0"/>
        <c:overlap val="100"/>
        <c:axId val="125750272"/>
        <c:axId val="125752448"/>
      </c:barChart>
      <c:lineChart>
        <c:grouping val="standard"/>
        <c:varyColors val="0"/>
        <c:ser>
          <c:idx val="3"/>
          <c:order val="3"/>
          <c:tx>
            <c:v>w/o Load Shaping Charges</c:v>
          </c:tx>
          <c:spPr>
            <a:ln w="44450">
              <a:noFill/>
            </a:ln>
          </c:spPr>
          <c:marker>
            <c:symbol val="dash"/>
            <c:size val="3"/>
            <c:spPr>
              <a:ln>
                <a:solidFill>
                  <a:schemeClr val="tx1"/>
                </a:solidFill>
              </a:ln>
            </c:spPr>
          </c:marker>
          <c:cat>
            <c:strRef>
              <c:f>Restatement!$B$4:$B$119</c:f>
              <c:strCache>
                <c:ptCount val="116"/>
                <c:pt idx="0">
                  <c:v>Minidoka, City of</c:v>
                </c:pt>
                <c:pt idx="1">
                  <c:v>Consolidated Irrigation District #19</c:v>
                </c:pt>
                <c:pt idx="2">
                  <c:v>Declo, City of</c:v>
                </c:pt>
                <c:pt idx="3">
                  <c:v>Albion, City of</c:v>
                </c:pt>
                <c:pt idx="4">
                  <c:v>U.S. DOE Albany Research Center</c:v>
                </c:pt>
                <c:pt idx="5">
                  <c:v>Farmers Elec Coop</c:v>
                </c:pt>
                <c:pt idx="6">
                  <c:v>Asotin County PUD #1</c:v>
                </c:pt>
                <c:pt idx="7">
                  <c:v>U.S. Naval Station, Everett (Jim Creek)</c:v>
                </c:pt>
                <c:pt idx="8">
                  <c:v>Drain, City of</c:v>
                </c:pt>
                <c:pt idx="9">
                  <c:v>Coulee Dam, City of</c:v>
                </c:pt>
                <c:pt idx="10">
                  <c:v>Troy, City of</c:v>
                </c:pt>
                <c:pt idx="11">
                  <c:v>Riverside Elec Coop</c:v>
                </c:pt>
                <c:pt idx="12">
                  <c:v>Cascade Locks, City of</c:v>
                </c:pt>
                <c:pt idx="13">
                  <c:v>Energy Northwest</c:v>
                </c:pt>
                <c:pt idx="14">
                  <c:v>Chewelah, City of</c:v>
                </c:pt>
                <c:pt idx="15">
                  <c:v>East End Mutual Electric</c:v>
                </c:pt>
                <c:pt idx="16">
                  <c:v>Umpqua Indian Utility Cooperative</c:v>
                </c:pt>
                <c:pt idx="17">
                  <c:v>Kalispel Tribe Utility</c:v>
                </c:pt>
                <c:pt idx="18">
                  <c:v>Soda Springs, City of</c:v>
                </c:pt>
                <c:pt idx="19">
                  <c:v>Columbia Power Coop</c:v>
                </c:pt>
                <c:pt idx="20">
                  <c:v>Eatonville, City of</c:v>
                </c:pt>
                <c:pt idx="21">
                  <c:v>Sumas, Town of</c:v>
                </c:pt>
                <c:pt idx="22">
                  <c:v>McCleary, City of</c:v>
                </c:pt>
                <c:pt idx="23">
                  <c:v>Plummer, City of</c:v>
                </c:pt>
                <c:pt idx="24">
                  <c:v>Steilacoom, Town of</c:v>
                </c:pt>
                <c:pt idx="25">
                  <c:v>Heyburn, City of</c:v>
                </c:pt>
                <c:pt idx="26">
                  <c:v>Wahkiakum County PUD #1</c:v>
                </c:pt>
                <c:pt idx="27">
                  <c:v>Bonners Ferry, City of</c:v>
                </c:pt>
                <c:pt idx="28">
                  <c:v>Grant County PUD #2</c:v>
                </c:pt>
                <c:pt idx="29">
                  <c:v>U.S. Airforce Base, Fairchild</c:v>
                </c:pt>
                <c:pt idx="30">
                  <c:v>Nespelem Valley Elec Coop</c:v>
                </c:pt>
                <c:pt idx="31">
                  <c:v>Idaho County L &amp; P</c:v>
                </c:pt>
                <c:pt idx="32">
                  <c:v>Weiser, City of</c:v>
                </c:pt>
                <c:pt idx="33">
                  <c:v>Southside Elec Lines</c:v>
                </c:pt>
                <c:pt idx="34">
                  <c:v>Milton, Town of</c:v>
                </c:pt>
                <c:pt idx="35">
                  <c:v>Bandon, City of</c:v>
                </c:pt>
                <c:pt idx="36">
                  <c:v>Monmouth, City of</c:v>
                </c:pt>
                <c:pt idx="37">
                  <c:v>Blaine, City of</c:v>
                </c:pt>
                <c:pt idx="38">
                  <c:v>Mason County PUD #1</c:v>
                </c:pt>
                <c:pt idx="39">
                  <c:v>Ferry County PUD #1</c:v>
                </c:pt>
                <c:pt idx="40">
                  <c:v>Rupert, City of</c:v>
                </c:pt>
                <c:pt idx="41">
                  <c:v>Lost River Elec Coop</c:v>
                </c:pt>
                <c:pt idx="42">
                  <c:v>Kittitas County PUD #1</c:v>
                </c:pt>
                <c:pt idx="43">
                  <c:v>Ohop Mutual Light Company</c:v>
                </c:pt>
                <c:pt idx="44">
                  <c:v>Milton-Freewater, City of</c:v>
                </c:pt>
                <c:pt idx="45">
                  <c:v>Tanner Elec Coop</c:v>
                </c:pt>
                <c:pt idx="46">
                  <c:v>Columbia Basin Elec Coop</c:v>
                </c:pt>
                <c:pt idx="47">
                  <c:v>Salmon River Elec Coop</c:v>
                </c:pt>
                <c:pt idx="48">
                  <c:v>Hermiston, City of</c:v>
                </c:pt>
                <c:pt idx="49">
                  <c:v>Wasco Elec Coop</c:v>
                </c:pt>
                <c:pt idx="50">
                  <c:v>Hood River Elec Coop</c:v>
                </c:pt>
                <c:pt idx="51">
                  <c:v>Parkland L &amp; W</c:v>
                </c:pt>
                <c:pt idx="52">
                  <c:v>Burley, City of</c:v>
                </c:pt>
                <c:pt idx="53">
                  <c:v>Skamania County PUD #1</c:v>
                </c:pt>
                <c:pt idx="54">
                  <c:v>Cheney, City of</c:v>
                </c:pt>
                <c:pt idx="55">
                  <c:v>Surprise Valley Elec Coop</c:v>
                </c:pt>
                <c:pt idx="56">
                  <c:v>Port of Seattle - SETAC In'tl. Airport</c:v>
                </c:pt>
                <c:pt idx="57">
                  <c:v>Glacier Elec  Coop</c:v>
                </c:pt>
                <c:pt idx="58">
                  <c:v>Yakama Power</c:v>
                </c:pt>
                <c:pt idx="59">
                  <c:v>Vigilante Elec Coop</c:v>
                </c:pt>
                <c:pt idx="60">
                  <c:v>U.S. Naval Submarine Base, Bangor</c:v>
                </c:pt>
                <c:pt idx="61">
                  <c:v>Ashland, City of</c:v>
                </c:pt>
                <c:pt idx="62">
                  <c:v>Canby, City of</c:v>
                </c:pt>
                <c:pt idx="63">
                  <c:v>Harney Elec Coop</c:v>
                </c:pt>
                <c:pt idx="64">
                  <c:v>Ellensburg, City of</c:v>
                </c:pt>
                <c:pt idx="65">
                  <c:v>Centralia, City of</c:v>
                </c:pt>
                <c:pt idx="66">
                  <c:v>Pend Oreille County PUD  #1</c:v>
                </c:pt>
                <c:pt idx="67">
                  <c:v>Modern Elec Coop</c:v>
                </c:pt>
                <c:pt idx="68">
                  <c:v>Whatcom County PUD #1</c:v>
                </c:pt>
                <c:pt idx="69">
                  <c:v>Forest Grove, City of</c:v>
                </c:pt>
                <c:pt idx="70">
                  <c:v>Missoula Elec Coop</c:v>
                </c:pt>
                <c:pt idx="71">
                  <c:v>Vera Irrigation District</c:v>
                </c:pt>
                <c:pt idx="72">
                  <c:v>U.S. Naval Base,  Bremerton</c:v>
                </c:pt>
                <c:pt idx="73">
                  <c:v>United Electric Coop</c:v>
                </c:pt>
                <c:pt idx="74">
                  <c:v>U.S. DOE Richland Operations Office</c:v>
                </c:pt>
                <c:pt idx="75">
                  <c:v>Port Angeles, City of</c:v>
                </c:pt>
                <c:pt idx="76">
                  <c:v>Lakeview L &amp; P (WA)</c:v>
                </c:pt>
                <c:pt idx="77">
                  <c:v>Elmhurst Mutual P &amp; L</c:v>
                </c:pt>
                <c:pt idx="78">
                  <c:v>Pacific County PUD #2</c:v>
                </c:pt>
                <c:pt idx="79">
                  <c:v>Klickitat County PUD #1</c:v>
                </c:pt>
                <c:pt idx="80">
                  <c:v>Columbia REA</c:v>
                </c:pt>
                <c:pt idx="81">
                  <c:v>Mission Valley</c:v>
                </c:pt>
                <c:pt idx="82">
                  <c:v>Salem Elec Coop</c:v>
                </c:pt>
                <c:pt idx="83">
                  <c:v>Jefferson County PUD #1</c:v>
                </c:pt>
                <c:pt idx="84">
                  <c:v>Okanogan County PUD #1</c:v>
                </c:pt>
                <c:pt idx="85">
                  <c:v>Midstate Elec Coop</c:v>
                </c:pt>
                <c:pt idx="86">
                  <c:v>Emerald PUD</c:v>
                </c:pt>
                <c:pt idx="87">
                  <c:v>Columbia River PUD</c:v>
                </c:pt>
                <c:pt idx="88">
                  <c:v>Tillamook PUD #1</c:v>
                </c:pt>
                <c:pt idx="89">
                  <c:v>Benton REA</c:v>
                </c:pt>
                <c:pt idx="90">
                  <c:v>Big Bend Elec Coop</c:v>
                </c:pt>
                <c:pt idx="91">
                  <c:v>Idaho Falls Power</c:v>
                </c:pt>
                <c:pt idx="92">
                  <c:v>Northern Wasco County PUD</c:v>
                </c:pt>
                <c:pt idx="93">
                  <c:v>Peninsula Light Company</c:v>
                </c:pt>
                <c:pt idx="94">
                  <c:v>Clallam County PUD #1</c:v>
                </c:pt>
                <c:pt idx="95">
                  <c:v>Oregon Trail Coop</c:v>
                </c:pt>
                <c:pt idx="96">
                  <c:v>Mason County PUD #3</c:v>
                </c:pt>
                <c:pt idx="97">
                  <c:v>Lower Valley Energy</c:v>
                </c:pt>
                <c:pt idx="98">
                  <c:v>McMinnville, City of</c:v>
                </c:pt>
                <c:pt idx="99">
                  <c:v>Clatskanie PUD</c:v>
                </c:pt>
                <c:pt idx="100">
                  <c:v>Wells Rural Elec Coop</c:v>
                </c:pt>
                <c:pt idx="101">
                  <c:v>Springfield Utility Board</c:v>
                </c:pt>
                <c:pt idx="102">
                  <c:v>Richland, City of</c:v>
                </c:pt>
                <c:pt idx="103">
                  <c:v>Umatilla Elec Coop</c:v>
                </c:pt>
                <c:pt idx="104">
                  <c:v>Lewis County PUD #1</c:v>
                </c:pt>
                <c:pt idx="105">
                  <c:v>Franklin County PUD #1</c:v>
                </c:pt>
                <c:pt idx="106">
                  <c:v>Grays Harbor PUD #1</c:v>
                </c:pt>
                <c:pt idx="107">
                  <c:v>Central Lincoln PUD</c:v>
                </c:pt>
                <c:pt idx="108">
                  <c:v>Benton County PUD #1</c:v>
                </c:pt>
                <c:pt idx="109">
                  <c:v>Eugene Water &amp; Electric Board</c:v>
                </c:pt>
                <c:pt idx="110">
                  <c:v>Clark County PUD #1</c:v>
                </c:pt>
                <c:pt idx="111">
                  <c:v>Tacoma Public Utilities</c:v>
                </c:pt>
                <c:pt idx="112">
                  <c:v>Cowlitz County PUD #1</c:v>
                </c:pt>
                <c:pt idx="113">
                  <c:v>Seattle City Light</c:v>
                </c:pt>
                <c:pt idx="114">
                  <c:v>PNGC Aggregate</c:v>
                </c:pt>
                <c:pt idx="115">
                  <c:v>Snohomish County PUD #1</c:v>
                </c:pt>
              </c:strCache>
            </c:strRef>
          </c:cat>
          <c:val>
            <c:numRef>
              <c:f>Restatement!$J$4:$J$119</c:f>
              <c:numCache>
                <c:formatCode>_(* #,##0.00_);_(* \(#,##0.00\);_(* "-"??_);_(@_)</c:formatCode>
                <c:ptCount val="116"/>
                <c:pt idx="0">
                  <c:v>8.3592307198642829E-2</c:v>
                </c:pt>
                <c:pt idx="1">
                  <c:v>0.11373080176724779</c:v>
                </c:pt>
                <c:pt idx="2">
                  <c:v>0.10137541926713091</c:v>
                </c:pt>
                <c:pt idx="3">
                  <c:v>9.3325045971420453E-2</c:v>
                </c:pt>
                <c:pt idx="4">
                  <c:v>9.2215210845252429E-2</c:v>
                </c:pt>
                <c:pt idx="5">
                  <c:v>9.5468242752947033E-2</c:v>
                </c:pt>
                <c:pt idx="6">
                  <c:v>0.10408330458717364</c:v>
                </c:pt>
                <c:pt idx="7">
                  <c:v>9.4415236204957662E-2</c:v>
                </c:pt>
                <c:pt idx="8">
                  <c:v>9.3092517577318443E-2</c:v>
                </c:pt>
                <c:pt idx="9">
                  <c:v>9.5419368575370311E-2</c:v>
                </c:pt>
                <c:pt idx="10">
                  <c:v>9.6679164335693887E-2</c:v>
                </c:pt>
                <c:pt idx="11">
                  <c:v>9.3535159140222812E-2</c:v>
                </c:pt>
                <c:pt idx="12">
                  <c:v>8.6523782167827357E-2</c:v>
                </c:pt>
                <c:pt idx="13">
                  <c:v>9.1934876656426592E-2</c:v>
                </c:pt>
                <c:pt idx="14">
                  <c:v>9.3814199838551965E-2</c:v>
                </c:pt>
                <c:pt idx="15">
                  <c:v>9.8703888727411732E-2</c:v>
                </c:pt>
                <c:pt idx="16">
                  <c:v>9.6770292227864541E-2</c:v>
                </c:pt>
                <c:pt idx="17">
                  <c:v>8.7610704610946638E-2</c:v>
                </c:pt>
                <c:pt idx="18">
                  <c:v>0.10299035007816018</c:v>
                </c:pt>
                <c:pt idx="19">
                  <c:v>9.9685638889257105E-2</c:v>
                </c:pt>
                <c:pt idx="20">
                  <c:v>9.310317240972224E-2</c:v>
                </c:pt>
                <c:pt idx="21">
                  <c:v>9.5233161761217086E-2</c:v>
                </c:pt>
                <c:pt idx="22">
                  <c:v>9.7606029295527877E-2</c:v>
                </c:pt>
                <c:pt idx="23">
                  <c:v>0.10677091055242588</c:v>
                </c:pt>
                <c:pt idx="24">
                  <c:v>9.5824423711973569E-2</c:v>
                </c:pt>
                <c:pt idx="25">
                  <c:v>9.638465357117787E-2</c:v>
                </c:pt>
                <c:pt idx="26">
                  <c:v>9.1208076373387029E-2</c:v>
                </c:pt>
                <c:pt idx="27">
                  <c:v>9.2005206168901704E-2</c:v>
                </c:pt>
                <c:pt idx="28">
                  <c:v>9.4777950907860578E-2</c:v>
                </c:pt>
                <c:pt idx="29">
                  <c:v>0.1012532597422794</c:v>
                </c:pt>
                <c:pt idx="30">
                  <c:v>0.10199797780875712</c:v>
                </c:pt>
                <c:pt idx="31">
                  <c:v>8.0498501713769821E-2</c:v>
                </c:pt>
                <c:pt idx="32">
                  <c:v>9.4644841562454604E-2</c:v>
                </c:pt>
                <c:pt idx="33">
                  <c:v>0.10266385212926489</c:v>
                </c:pt>
                <c:pt idx="34">
                  <c:v>9.2238752260006718E-2</c:v>
                </c:pt>
                <c:pt idx="35">
                  <c:v>9.3923807335085152E-2</c:v>
                </c:pt>
                <c:pt idx="36">
                  <c:v>9.3778509435918547E-2</c:v>
                </c:pt>
                <c:pt idx="37">
                  <c:v>9.5059708956708386E-2</c:v>
                </c:pt>
                <c:pt idx="38">
                  <c:v>9.553605131521517E-2</c:v>
                </c:pt>
                <c:pt idx="39">
                  <c:v>7.9100537599712792E-2</c:v>
                </c:pt>
                <c:pt idx="40">
                  <c:v>9.2487408818650058E-2</c:v>
                </c:pt>
                <c:pt idx="41">
                  <c:v>0.1176343399665323</c:v>
                </c:pt>
                <c:pt idx="42">
                  <c:v>8.6359947754734948E-2</c:v>
                </c:pt>
                <c:pt idx="43">
                  <c:v>9.2114789179611078E-2</c:v>
                </c:pt>
                <c:pt idx="44">
                  <c:v>9.1010244761151535E-2</c:v>
                </c:pt>
                <c:pt idx="45">
                  <c:v>9.3233195599851063E-2</c:v>
                </c:pt>
                <c:pt idx="46">
                  <c:v>8.6791920251136287E-3</c:v>
                </c:pt>
                <c:pt idx="47">
                  <c:v>9.3542623773863964E-2</c:v>
                </c:pt>
                <c:pt idx="48">
                  <c:v>9.120722892520472E-2</c:v>
                </c:pt>
                <c:pt idx="49">
                  <c:v>9.973197859740697E-2</c:v>
                </c:pt>
                <c:pt idx="50">
                  <c:v>9.888421723544831E-2</c:v>
                </c:pt>
                <c:pt idx="51">
                  <c:v>9.1025711065444687E-2</c:v>
                </c:pt>
                <c:pt idx="52">
                  <c:v>9.554086828265114E-2</c:v>
                </c:pt>
                <c:pt idx="53">
                  <c:v>8.5075329307377795E-2</c:v>
                </c:pt>
                <c:pt idx="54">
                  <c:v>9.9381616769868897E-2</c:v>
                </c:pt>
                <c:pt idx="55">
                  <c:v>9.9175183162631159E-2</c:v>
                </c:pt>
                <c:pt idx="56">
                  <c:v>9.4580124825579939E-2</c:v>
                </c:pt>
                <c:pt idx="57">
                  <c:v>9.3002907899127227E-2</c:v>
                </c:pt>
                <c:pt idx="58">
                  <c:v>0.10003208617423563</c:v>
                </c:pt>
                <c:pt idx="59">
                  <c:v>9.9997258283852808E-2</c:v>
                </c:pt>
                <c:pt idx="60">
                  <c:v>9.7494220491440228E-2</c:v>
                </c:pt>
                <c:pt idx="61">
                  <c:v>9.8116581318074367E-2</c:v>
                </c:pt>
                <c:pt idx="62">
                  <c:v>9.3610655272253332E-2</c:v>
                </c:pt>
                <c:pt idx="63">
                  <c:v>0.11298960277020723</c:v>
                </c:pt>
                <c:pt idx="64">
                  <c:v>9.6118954478325386E-2</c:v>
                </c:pt>
                <c:pt idx="65">
                  <c:v>8.8990638616033041E-2</c:v>
                </c:pt>
                <c:pt idx="66">
                  <c:v>9.2938359744164922E-2</c:v>
                </c:pt>
                <c:pt idx="67">
                  <c:v>9.4076572634557334E-2</c:v>
                </c:pt>
                <c:pt idx="68">
                  <c:v>9.6425025055238991E-2</c:v>
                </c:pt>
                <c:pt idx="69">
                  <c:v>9.1362590512804986E-2</c:v>
                </c:pt>
                <c:pt idx="70">
                  <c:v>9.9747257403790382E-2</c:v>
                </c:pt>
                <c:pt idx="71">
                  <c:v>9.4777067975478219E-2</c:v>
                </c:pt>
                <c:pt idx="72">
                  <c:v>9.5133642364090942E-2</c:v>
                </c:pt>
                <c:pt idx="73">
                  <c:v>9.1363959532992839E-2</c:v>
                </c:pt>
                <c:pt idx="74">
                  <c:v>9.3562687358333466E-2</c:v>
                </c:pt>
                <c:pt idx="75">
                  <c:v>9.5116395638114776E-2</c:v>
                </c:pt>
                <c:pt idx="76">
                  <c:v>9.4198267142703532E-2</c:v>
                </c:pt>
                <c:pt idx="77">
                  <c:v>9.3064200461346711E-2</c:v>
                </c:pt>
                <c:pt idx="78">
                  <c:v>9.6108048475793281E-2</c:v>
                </c:pt>
                <c:pt idx="79">
                  <c:v>0.10281735576691539</c:v>
                </c:pt>
                <c:pt idx="80">
                  <c:v>9.907727961758854E-2</c:v>
                </c:pt>
                <c:pt idx="81">
                  <c:v>8.319044412714359E-2</c:v>
                </c:pt>
                <c:pt idx="82">
                  <c:v>9.1858684612688896E-2</c:v>
                </c:pt>
                <c:pt idx="83">
                  <c:v>9.3504945611081455E-2</c:v>
                </c:pt>
                <c:pt idx="84">
                  <c:v>9.4936796663479414E-2</c:v>
                </c:pt>
                <c:pt idx="85">
                  <c:v>8.821005936554091E-2</c:v>
                </c:pt>
                <c:pt idx="86">
                  <c:v>9.5729670974934303E-2</c:v>
                </c:pt>
                <c:pt idx="87">
                  <c:v>9.4818810594667069E-2</c:v>
                </c:pt>
                <c:pt idx="88">
                  <c:v>9.7486770122171953E-2</c:v>
                </c:pt>
                <c:pt idx="89">
                  <c:v>8.6122869360128848E-2</c:v>
                </c:pt>
                <c:pt idx="90">
                  <c:v>9.3279330228271409E-2</c:v>
                </c:pt>
                <c:pt idx="91">
                  <c:v>9.2938359742173196E-2</c:v>
                </c:pt>
                <c:pt idx="92">
                  <c:v>0.10042345206387672</c:v>
                </c:pt>
                <c:pt idx="93">
                  <c:v>9.1901458466506228E-2</c:v>
                </c:pt>
                <c:pt idx="94">
                  <c:v>8.9584749260632895E-2</c:v>
                </c:pt>
                <c:pt idx="95">
                  <c:v>9.0752899166179193E-2</c:v>
                </c:pt>
                <c:pt idx="96">
                  <c:v>9.2352721964661696E-2</c:v>
                </c:pt>
                <c:pt idx="97">
                  <c:v>9.0568725845062384E-2</c:v>
                </c:pt>
                <c:pt idx="98">
                  <c:v>9.3864533877326281E-2</c:v>
                </c:pt>
                <c:pt idx="99">
                  <c:v>9.2938359747109678E-2</c:v>
                </c:pt>
                <c:pt idx="100">
                  <c:v>0.10350578871276149</c:v>
                </c:pt>
                <c:pt idx="101">
                  <c:v>9.4102111393876808E-2</c:v>
                </c:pt>
                <c:pt idx="102">
                  <c:v>9.5410217034752345E-2</c:v>
                </c:pt>
                <c:pt idx="103">
                  <c:v>9.4319013216081965E-2</c:v>
                </c:pt>
                <c:pt idx="104">
                  <c:v>9.2938359865514089E-2</c:v>
                </c:pt>
                <c:pt idx="105">
                  <c:v>9.4107042591637421E-2</c:v>
                </c:pt>
                <c:pt idx="106">
                  <c:v>8.8336541121628392E-2</c:v>
                </c:pt>
                <c:pt idx="107">
                  <c:v>9.5314701496508655E-2</c:v>
                </c:pt>
                <c:pt idx="108">
                  <c:v>9.7350379150712804E-2</c:v>
                </c:pt>
                <c:pt idx="109">
                  <c:v>9.2938359739746984E-2</c:v>
                </c:pt>
                <c:pt idx="110">
                  <c:v>9.4645900341041297E-2</c:v>
                </c:pt>
                <c:pt idx="111">
                  <c:v>9.2938359741609466E-2</c:v>
                </c:pt>
                <c:pt idx="112">
                  <c:v>9.2938359748621885E-2</c:v>
                </c:pt>
                <c:pt idx="113">
                  <c:v>9.2938359740481813E-2</c:v>
                </c:pt>
                <c:pt idx="114">
                  <c:v>7.312772521869601E-2</c:v>
                </c:pt>
                <c:pt idx="115">
                  <c:v>8.6988872775238799E-2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5705-4162-86F7-2998EFB823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780352"/>
        <c:axId val="125753984"/>
      </c:lineChart>
      <c:catAx>
        <c:axId val="12575027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low"/>
        <c:txPr>
          <a:bodyPr rot="-5400000"/>
          <a:lstStyle/>
          <a:p>
            <a:pPr>
              <a:defRPr sz="400"/>
            </a:pPr>
            <a:endParaRPr lang="en-US"/>
          </a:p>
        </c:txPr>
        <c:crossAx val="125752448"/>
        <c:crosses val="autoZero"/>
        <c:auto val="1"/>
        <c:lblAlgn val="ctr"/>
        <c:lblOffset val="100"/>
        <c:noMultiLvlLbl val="0"/>
      </c:catAx>
      <c:valAx>
        <c:axId val="125752448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5400000"/>
          <a:lstStyle/>
          <a:p>
            <a:pPr>
              <a:defRPr sz="700"/>
            </a:pPr>
            <a:endParaRPr lang="en-US"/>
          </a:p>
        </c:txPr>
        <c:crossAx val="125750272"/>
        <c:crossesAt val="1"/>
        <c:crossBetween val="between"/>
      </c:valAx>
      <c:valAx>
        <c:axId val="125753984"/>
        <c:scaling>
          <c:orientation val="minMax"/>
          <c:max val="0.16000000000000003"/>
          <c:min val="0"/>
        </c:scaling>
        <c:delete val="1"/>
        <c:axPos val="r"/>
        <c:numFmt formatCode="_(* #,##0.00_);_(* \(#,##0.00\);_(* &quot;-&quot;??_);_(@_)" sourceLinked="1"/>
        <c:majorTickMark val="out"/>
        <c:minorTickMark val="none"/>
        <c:tickLblPos val="nextTo"/>
        <c:crossAx val="125780352"/>
        <c:crosses val="max"/>
        <c:crossBetween val="between"/>
      </c:valAx>
      <c:catAx>
        <c:axId val="12578035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25753984"/>
        <c:crosses val="autoZero"/>
        <c:auto val="1"/>
        <c:lblAlgn val="ctr"/>
        <c:lblOffset val="100"/>
        <c:noMultiLvlLbl val="0"/>
      </c:catAx>
      <c:spPr>
        <a:effectLst/>
      </c:spPr>
    </c:plotArea>
    <c:legend>
      <c:legendPos val="b"/>
      <c:overlay val="0"/>
    </c:legend>
    <c:plotVisOnly val="1"/>
    <c:dispBlanksAs val="gap"/>
    <c:showDLblsOverMax val="0"/>
  </c:chart>
  <c:spPr>
    <a:noFill/>
  </c:sp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34"/>
    </mc:Choice>
    <mc:Fallback>
      <c:style val="34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1800" b="1" i="0" baseline="0">
                <a:effectLst/>
              </a:rPr>
              <a:t>Non-Slice Customer Estimated Rate Impacts - Ordered from Highest to Lowest</a:t>
            </a:r>
            <a:endParaRPr lang="en-US">
              <a:effectLst/>
            </a:endParaRP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Rate Increase</c:v>
          </c:tx>
          <c:spPr>
            <a:solidFill>
              <a:schemeClr val="accent1">
                <a:alpha val="68000"/>
              </a:schemeClr>
            </a:solidFill>
          </c:spPr>
          <c:invertIfNegative val="0"/>
          <c:cat>
            <c:strRef>
              <c:f>Outputs!$H$5:$H$120</c:f>
              <c:strCache>
                <c:ptCount val="116"/>
                <c:pt idx="0">
                  <c:v>Plummer, City of</c:v>
                </c:pt>
                <c:pt idx="1">
                  <c:v>U.S. Naval Base,  Bremerton</c:v>
                </c:pt>
                <c:pt idx="2">
                  <c:v>Lost River Elec Coop</c:v>
                </c:pt>
                <c:pt idx="3">
                  <c:v>Wells Rural Elec Coop</c:v>
                </c:pt>
                <c:pt idx="4">
                  <c:v>Harney Elec Coop</c:v>
                </c:pt>
                <c:pt idx="5">
                  <c:v>Klickitat County PUD #1</c:v>
                </c:pt>
                <c:pt idx="6">
                  <c:v>Clatskanie PUD</c:v>
                </c:pt>
                <c:pt idx="7">
                  <c:v>Cowlitz County PUD #1</c:v>
                </c:pt>
                <c:pt idx="8">
                  <c:v>Franklin County PUD #1</c:v>
                </c:pt>
                <c:pt idx="9">
                  <c:v>Lewis County PUD #1</c:v>
                </c:pt>
                <c:pt idx="10">
                  <c:v>Umpqua Indian Utility Cooperative</c:v>
                </c:pt>
                <c:pt idx="11">
                  <c:v>Tacoma Public Utilities</c:v>
                </c:pt>
                <c:pt idx="12">
                  <c:v>Asotin County PUD #1</c:v>
                </c:pt>
                <c:pt idx="13">
                  <c:v>Eugene Water &amp; Electric Board</c:v>
                </c:pt>
                <c:pt idx="14">
                  <c:v>U.S. Naval Station, Everett (Jim Creek)</c:v>
                </c:pt>
                <c:pt idx="15">
                  <c:v>Big Bend Elec Coop</c:v>
                </c:pt>
                <c:pt idx="16">
                  <c:v>Soda Springs, City of</c:v>
                </c:pt>
                <c:pt idx="17">
                  <c:v>Whatcom County PUD #1</c:v>
                </c:pt>
                <c:pt idx="18">
                  <c:v>Port of Seattle - SETAC In'tl. Airport</c:v>
                </c:pt>
                <c:pt idx="19">
                  <c:v>Consolidated Irrigation District #19</c:v>
                </c:pt>
                <c:pt idx="20">
                  <c:v>Idaho Falls Power</c:v>
                </c:pt>
                <c:pt idx="21">
                  <c:v>Salmon River Elec Coop</c:v>
                </c:pt>
                <c:pt idx="22">
                  <c:v>Heyburn, City of</c:v>
                </c:pt>
                <c:pt idx="23">
                  <c:v>Central Lincoln PUD</c:v>
                </c:pt>
                <c:pt idx="24">
                  <c:v>Southside Elec Lines</c:v>
                </c:pt>
                <c:pt idx="25">
                  <c:v>U.S. Naval Submarine Base, Bangor</c:v>
                </c:pt>
                <c:pt idx="26">
                  <c:v>Columbia REA</c:v>
                </c:pt>
                <c:pt idx="27">
                  <c:v>U.S. Airforce Base, Fairchild</c:v>
                </c:pt>
                <c:pt idx="28">
                  <c:v>Tillamook PUD #1</c:v>
                </c:pt>
                <c:pt idx="29">
                  <c:v>Port Angeles, City of</c:v>
                </c:pt>
                <c:pt idx="30">
                  <c:v>Vigilante Elec Coop</c:v>
                </c:pt>
                <c:pt idx="31">
                  <c:v>Northern Wasco County PUD</c:v>
                </c:pt>
                <c:pt idx="32">
                  <c:v>Nespelem Valley Elec Coop</c:v>
                </c:pt>
                <c:pt idx="33">
                  <c:v>Surprise Valley Elec Coop</c:v>
                </c:pt>
                <c:pt idx="34">
                  <c:v>Yakama Power</c:v>
                </c:pt>
                <c:pt idx="35">
                  <c:v>Benton County PUD #1</c:v>
                </c:pt>
                <c:pt idx="36">
                  <c:v>Columbia Power Coop</c:v>
                </c:pt>
                <c:pt idx="37">
                  <c:v>Seattle City Light</c:v>
                </c:pt>
                <c:pt idx="38">
                  <c:v>Cheney, City of</c:v>
                </c:pt>
                <c:pt idx="39">
                  <c:v>Energy Northwest</c:v>
                </c:pt>
                <c:pt idx="40">
                  <c:v>Missoula Elec Coop</c:v>
                </c:pt>
                <c:pt idx="41">
                  <c:v>Steilacoom, Town of</c:v>
                </c:pt>
                <c:pt idx="42">
                  <c:v>Okanogan County PUD #1</c:v>
                </c:pt>
                <c:pt idx="43">
                  <c:v>Troy, City of</c:v>
                </c:pt>
                <c:pt idx="44">
                  <c:v>Pacific County PUD #2</c:v>
                </c:pt>
                <c:pt idx="45">
                  <c:v>Pend Oreille County PUD  #1</c:v>
                </c:pt>
                <c:pt idx="46">
                  <c:v>U.S. DOE Albany Research Center</c:v>
                </c:pt>
                <c:pt idx="47">
                  <c:v>Sumas, Town of</c:v>
                </c:pt>
                <c:pt idx="48">
                  <c:v>Canby, City of</c:v>
                </c:pt>
                <c:pt idx="49">
                  <c:v>Ashland, City of</c:v>
                </c:pt>
                <c:pt idx="50">
                  <c:v>Milton, Town of</c:v>
                </c:pt>
                <c:pt idx="51">
                  <c:v>Jefferson County PUD #1</c:v>
                </c:pt>
                <c:pt idx="52">
                  <c:v>Declo, City of</c:v>
                </c:pt>
                <c:pt idx="53">
                  <c:v>Mason County PUD #1</c:v>
                </c:pt>
                <c:pt idx="54">
                  <c:v>Hood River Elec Coop</c:v>
                </c:pt>
                <c:pt idx="55">
                  <c:v>Springfield Utility Board</c:v>
                </c:pt>
                <c:pt idx="56">
                  <c:v>Elmhurst Mutual P &amp; L</c:v>
                </c:pt>
                <c:pt idx="57">
                  <c:v>Bandon, City of</c:v>
                </c:pt>
                <c:pt idx="58">
                  <c:v>Mason County PUD #3</c:v>
                </c:pt>
                <c:pt idx="59">
                  <c:v>Blaine, City of</c:v>
                </c:pt>
                <c:pt idx="60">
                  <c:v>Wasco Elec Coop</c:v>
                </c:pt>
                <c:pt idx="61">
                  <c:v>Lakeview L &amp; P (WA)</c:v>
                </c:pt>
                <c:pt idx="62">
                  <c:v>Benton REA</c:v>
                </c:pt>
                <c:pt idx="63">
                  <c:v>Ohop Mutual Light Company</c:v>
                </c:pt>
                <c:pt idx="64">
                  <c:v>Ellensburg, City of</c:v>
                </c:pt>
                <c:pt idx="65">
                  <c:v>Parkland L &amp; W</c:v>
                </c:pt>
                <c:pt idx="66">
                  <c:v>United Electric Coop</c:v>
                </c:pt>
                <c:pt idx="67">
                  <c:v>Farmers Elec Coop</c:v>
                </c:pt>
                <c:pt idx="68">
                  <c:v>Glacier Elec  Coop</c:v>
                </c:pt>
                <c:pt idx="69">
                  <c:v>Columbia River PUD</c:v>
                </c:pt>
                <c:pt idx="70">
                  <c:v>Chewelah, City of</c:v>
                </c:pt>
                <c:pt idx="71">
                  <c:v>East End Mutual Electric</c:v>
                </c:pt>
                <c:pt idx="72">
                  <c:v>Modern Elec Coop</c:v>
                </c:pt>
                <c:pt idx="73">
                  <c:v>Richland, City of</c:v>
                </c:pt>
                <c:pt idx="74">
                  <c:v>Tanner Elec Coop</c:v>
                </c:pt>
                <c:pt idx="75">
                  <c:v>Lower Valley Energy</c:v>
                </c:pt>
                <c:pt idx="76">
                  <c:v>Riverside Elec Coop</c:v>
                </c:pt>
                <c:pt idx="77">
                  <c:v>Emerald PUD</c:v>
                </c:pt>
                <c:pt idx="78">
                  <c:v>Monmouth, City of</c:v>
                </c:pt>
                <c:pt idx="79">
                  <c:v>Albion, City of</c:v>
                </c:pt>
                <c:pt idx="80">
                  <c:v>Peninsula Light Company</c:v>
                </c:pt>
                <c:pt idx="81">
                  <c:v>Eatonville, City of</c:v>
                </c:pt>
                <c:pt idx="82">
                  <c:v>Clallam County PUD #1</c:v>
                </c:pt>
                <c:pt idx="83">
                  <c:v>McMinnville, City of</c:v>
                </c:pt>
                <c:pt idx="84">
                  <c:v>Coulee Dam, City of</c:v>
                </c:pt>
                <c:pt idx="85">
                  <c:v>Oregon Trail Coop</c:v>
                </c:pt>
                <c:pt idx="86">
                  <c:v>PNGC Aggregate</c:v>
                </c:pt>
                <c:pt idx="87">
                  <c:v>Vera Irrigation District</c:v>
                </c:pt>
                <c:pt idx="88">
                  <c:v>Rupert, City of</c:v>
                </c:pt>
                <c:pt idx="89">
                  <c:v>Wahkiakum County PUD #1</c:v>
                </c:pt>
                <c:pt idx="90">
                  <c:v>Drain, City of</c:v>
                </c:pt>
                <c:pt idx="91">
                  <c:v>Weiser, City of</c:v>
                </c:pt>
                <c:pt idx="92">
                  <c:v>Grant County PUD #2</c:v>
                </c:pt>
                <c:pt idx="93">
                  <c:v>McCleary, City of</c:v>
                </c:pt>
                <c:pt idx="94">
                  <c:v>Midstate Elec Coop</c:v>
                </c:pt>
                <c:pt idx="95">
                  <c:v>Grays Harbor PUD #1</c:v>
                </c:pt>
                <c:pt idx="96">
                  <c:v>Burley, City of</c:v>
                </c:pt>
                <c:pt idx="97">
                  <c:v>Forest Grove, City of</c:v>
                </c:pt>
                <c:pt idx="98">
                  <c:v>Salem Elec Coop</c:v>
                </c:pt>
                <c:pt idx="99">
                  <c:v>Hermiston, City of</c:v>
                </c:pt>
                <c:pt idx="100">
                  <c:v>Ferry County PUD #1</c:v>
                </c:pt>
                <c:pt idx="101">
                  <c:v>Snohomish County PUD #1</c:v>
                </c:pt>
                <c:pt idx="102">
                  <c:v>Kalispel Tribe Utility</c:v>
                </c:pt>
                <c:pt idx="103">
                  <c:v>U.S. DOE Richland Operations Office</c:v>
                </c:pt>
                <c:pt idx="104">
                  <c:v>Skamania County PUD #1</c:v>
                </c:pt>
                <c:pt idx="105">
                  <c:v>Milton-Freewater, City of</c:v>
                </c:pt>
                <c:pt idx="106">
                  <c:v>Centralia, City of</c:v>
                </c:pt>
                <c:pt idx="107">
                  <c:v>Umatilla Elec Coop</c:v>
                </c:pt>
                <c:pt idx="108">
                  <c:v>Cascade Locks, City of</c:v>
                </c:pt>
                <c:pt idx="109">
                  <c:v>Mission Valley</c:v>
                </c:pt>
                <c:pt idx="110">
                  <c:v>Clark County PUD #1</c:v>
                </c:pt>
                <c:pt idx="111">
                  <c:v>Kittitas County PUD #1</c:v>
                </c:pt>
                <c:pt idx="112">
                  <c:v>Minidoka, City of</c:v>
                </c:pt>
                <c:pt idx="113">
                  <c:v>Idaho County L &amp; P</c:v>
                </c:pt>
                <c:pt idx="114">
                  <c:v>Bonners Ferry, City of</c:v>
                </c:pt>
                <c:pt idx="115">
                  <c:v>Columbia Basin Elec Coop</c:v>
                </c:pt>
              </c:strCache>
            </c:strRef>
          </c:cat>
          <c:val>
            <c:numRef>
              <c:f>Outputs!$I$5:$I$120</c:f>
              <c:numCache>
                <c:formatCode>0%</c:formatCode>
                <c:ptCount val="116"/>
                <c:pt idx="0">
                  <c:v>0.25347377492439466</c:v>
                </c:pt>
                <c:pt idx="1">
                  <c:v>0.18009220819900792</c:v>
                </c:pt>
                <c:pt idx="2">
                  <c:v>0.16444729354838758</c:v>
                </c:pt>
                <c:pt idx="3">
                  <c:v>0.16212212035917969</c:v>
                </c:pt>
                <c:pt idx="4">
                  <c:v>0.16178203714245451</c:v>
                </c:pt>
                <c:pt idx="5">
                  <c:v>0.14129800933565873</c:v>
                </c:pt>
                <c:pt idx="6">
                  <c:v>0.13711162196783749</c:v>
                </c:pt>
                <c:pt idx="7">
                  <c:v>0.13571349562375223</c:v>
                </c:pt>
                <c:pt idx="8">
                  <c:v>0.13029149273073526</c:v>
                </c:pt>
                <c:pt idx="9">
                  <c:v>0.12842838043124188</c:v>
                </c:pt>
                <c:pt idx="10">
                  <c:v>0.12713551787716953</c:v>
                </c:pt>
                <c:pt idx="11">
                  <c:v>0.12657675006353228</c:v>
                </c:pt>
                <c:pt idx="12">
                  <c:v>0.12596775009091263</c:v>
                </c:pt>
                <c:pt idx="13">
                  <c:v>0.1255185404620405</c:v>
                </c:pt>
                <c:pt idx="14">
                  <c:v>0.12421495147149068</c:v>
                </c:pt>
                <c:pt idx="15">
                  <c:v>0.12415688913065331</c:v>
                </c:pt>
                <c:pt idx="16">
                  <c:v>0.12277804558954049</c:v>
                </c:pt>
                <c:pt idx="17">
                  <c:v>0.12184846521501415</c:v>
                </c:pt>
                <c:pt idx="18">
                  <c:v>0.12078216280681908</c:v>
                </c:pt>
                <c:pt idx="19">
                  <c:v>0.1202649583486317</c:v>
                </c:pt>
                <c:pt idx="20">
                  <c:v>0.11942286934140607</c:v>
                </c:pt>
                <c:pt idx="21">
                  <c:v>0.11703376644123523</c:v>
                </c:pt>
                <c:pt idx="22">
                  <c:v>0.11517767543718875</c:v>
                </c:pt>
                <c:pt idx="23">
                  <c:v>0.11457096959878153</c:v>
                </c:pt>
                <c:pt idx="24">
                  <c:v>0.11414566989370026</c:v>
                </c:pt>
                <c:pt idx="25">
                  <c:v>0.11301438876049558</c:v>
                </c:pt>
                <c:pt idx="26">
                  <c:v>0.10685950143514218</c:v>
                </c:pt>
                <c:pt idx="27">
                  <c:v>0.10599781721419649</c:v>
                </c:pt>
                <c:pt idx="28">
                  <c:v>0.10575769447539486</c:v>
                </c:pt>
                <c:pt idx="29">
                  <c:v>0.10553050086867573</c:v>
                </c:pt>
                <c:pt idx="30">
                  <c:v>0.10495317519366862</c:v>
                </c:pt>
                <c:pt idx="31">
                  <c:v>0.10395668792078112</c:v>
                </c:pt>
                <c:pt idx="32">
                  <c:v>0.10348094560744094</c:v>
                </c:pt>
                <c:pt idx="33">
                  <c:v>0.10320583706849898</c:v>
                </c:pt>
                <c:pt idx="34">
                  <c:v>0.10277543375147484</c:v>
                </c:pt>
                <c:pt idx="35">
                  <c:v>0.10274141112338799</c:v>
                </c:pt>
                <c:pt idx="36">
                  <c:v>0.10250329271469902</c:v>
                </c:pt>
                <c:pt idx="37">
                  <c:v>0.10221153254094849</c:v>
                </c:pt>
                <c:pt idx="38">
                  <c:v>0.10200487840679223</c:v>
                </c:pt>
                <c:pt idx="39">
                  <c:v>0.10189284990080696</c:v>
                </c:pt>
                <c:pt idx="40">
                  <c:v>0.10178302682090354</c:v>
                </c:pt>
                <c:pt idx="41">
                  <c:v>0.10123238890294192</c:v>
                </c:pt>
                <c:pt idx="42">
                  <c:v>0.10118461940108921</c:v>
                </c:pt>
                <c:pt idx="43">
                  <c:v>0.10095040744626907</c:v>
                </c:pt>
                <c:pt idx="44">
                  <c:v>0.10042794256208432</c:v>
                </c:pt>
                <c:pt idx="45">
                  <c:v>9.9457791250642177E-2</c:v>
                </c:pt>
                <c:pt idx="46">
                  <c:v>9.9439185513253064E-2</c:v>
                </c:pt>
                <c:pt idx="47">
                  <c:v>9.939946312268845E-2</c:v>
                </c:pt>
                <c:pt idx="48">
                  <c:v>9.8683332747480063E-2</c:v>
                </c:pt>
                <c:pt idx="49">
                  <c:v>9.8577776517647486E-2</c:v>
                </c:pt>
                <c:pt idx="50">
                  <c:v>9.8123849383263975E-2</c:v>
                </c:pt>
                <c:pt idx="51">
                  <c:v>9.7770543177834832E-2</c:v>
                </c:pt>
                <c:pt idx="52">
                  <c:v>9.7423988211168377E-2</c:v>
                </c:pt>
                <c:pt idx="53">
                  <c:v>9.7339404634109852E-2</c:v>
                </c:pt>
                <c:pt idx="54">
                  <c:v>9.7191149086618495E-2</c:v>
                </c:pt>
                <c:pt idx="55">
                  <c:v>9.7168840517922919E-2</c:v>
                </c:pt>
                <c:pt idx="56">
                  <c:v>9.6825185271051273E-2</c:v>
                </c:pt>
                <c:pt idx="57">
                  <c:v>9.6502864070811503E-2</c:v>
                </c:pt>
                <c:pt idx="58">
                  <c:v>9.6420541038425775E-2</c:v>
                </c:pt>
                <c:pt idx="59">
                  <c:v>9.6415043659450889E-2</c:v>
                </c:pt>
                <c:pt idx="60">
                  <c:v>9.6326026430316944E-2</c:v>
                </c:pt>
                <c:pt idx="61">
                  <c:v>9.6277278985687789E-2</c:v>
                </c:pt>
                <c:pt idx="62">
                  <c:v>9.6185289748060426E-2</c:v>
                </c:pt>
                <c:pt idx="63">
                  <c:v>9.6094809785940927E-2</c:v>
                </c:pt>
                <c:pt idx="64">
                  <c:v>9.605225322506758E-2</c:v>
                </c:pt>
                <c:pt idx="65">
                  <c:v>9.5948804578722111E-2</c:v>
                </c:pt>
                <c:pt idx="66">
                  <c:v>9.5548243731438109E-2</c:v>
                </c:pt>
                <c:pt idx="67">
                  <c:v>9.5420980085971191E-2</c:v>
                </c:pt>
                <c:pt idx="68">
                  <c:v>9.5218740682216987E-2</c:v>
                </c:pt>
                <c:pt idx="69">
                  <c:v>9.4670195037337868E-2</c:v>
                </c:pt>
                <c:pt idx="70">
                  <c:v>9.3633049579522648E-2</c:v>
                </c:pt>
                <c:pt idx="71">
                  <c:v>9.3188447183366843E-2</c:v>
                </c:pt>
                <c:pt idx="72">
                  <c:v>9.3117053654162452E-2</c:v>
                </c:pt>
                <c:pt idx="73">
                  <c:v>9.29255561097104E-2</c:v>
                </c:pt>
                <c:pt idx="74">
                  <c:v>9.2913655531364145E-2</c:v>
                </c:pt>
                <c:pt idx="75">
                  <c:v>9.2882389378221381E-2</c:v>
                </c:pt>
                <c:pt idx="76">
                  <c:v>9.2478740748772187E-2</c:v>
                </c:pt>
                <c:pt idx="77">
                  <c:v>9.1807806949104134E-2</c:v>
                </c:pt>
                <c:pt idx="78">
                  <c:v>9.1299792105447128E-2</c:v>
                </c:pt>
                <c:pt idx="79">
                  <c:v>9.1184933952239478E-2</c:v>
                </c:pt>
                <c:pt idx="80">
                  <c:v>9.0559465623877913E-2</c:v>
                </c:pt>
                <c:pt idx="81">
                  <c:v>9.0194558469818956E-2</c:v>
                </c:pt>
                <c:pt idx="82">
                  <c:v>9.0106894144635241E-2</c:v>
                </c:pt>
                <c:pt idx="83">
                  <c:v>8.965730084503816E-2</c:v>
                </c:pt>
                <c:pt idx="84">
                  <c:v>8.910685059052649E-2</c:v>
                </c:pt>
                <c:pt idx="85">
                  <c:v>8.9088121841283105E-2</c:v>
                </c:pt>
                <c:pt idx="86">
                  <c:v>8.8670139090368888E-2</c:v>
                </c:pt>
                <c:pt idx="87">
                  <c:v>8.8584024110973505E-2</c:v>
                </c:pt>
                <c:pt idx="88">
                  <c:v>8.8252584892125202E-2</c:v>
                </c:pt>
                <c:pt idx="89">
                  <c:v>8.8028512386337937E-2</c:v>
                </c:pt>
                <c:pt idx="90">
                  <c:v>8.7871032765339599E-2</c:v>
                </c:pt>
                <c:pt idx="91">
                  <c:v>8.7503946841940697E-2</c:v>
                </c:pt>
                <c:pt idx="92">
                  <c:v>8.7272448686553053E-2</c:v>
                </c:pt>
                <c:pt idx="93">
                  <c:v>8.6860640346949042E-2</c:v>
                </c:pt>
                <c:pt idx="94">
                  <c:v>8.6641040017046145E-2</c:v>
                </c:pt>
                <c:pt idx="95">
                  <c:v>8.6439436566355499E-2</c:v>
                </c:pt>
                <c:pt idx="96">
                  <c:v>8.5842209100544672E-2</c:v>
                </c:pt>
                <c:pt idx="97">
                  <c:v>8.5230146782314359E-2</c:v>
                </c:pt>
                <c:pt idx="98">
                  <c:v>8.4619128373881997E-2</c:v>
                </c:pt>
                <c:pt idx="99">
                  <c:v>8.2626604011172972E-2</c:v>
                </c:pt>
                <c:pt idx="100">
                  <c:v>8.074165896095381E-2</c:v>
                </c:pt>
                <c:pt idx="101">
                  <c:v>8.0183465597279138E-2</c:v>
                </c:pt>
                <c:pt idx="102">
                  <c:v>7.9868765901741995E-2</c:v>
                </c:pt>
                <c:pt idx="103">
                  <c:v>7.6768451499403353E-2</c:v>
                </c:pt>
                <c:pt idx="104">
                  <c:v>7.650009474931245E-2</c:v>
                </c:pt>
                <c:pt idx="105">
                  <c:v>7.5878315844448249E-2</c:v>
                </c:pt>
                <c:pt idx="106">
                  <c:v>7.576734560192476E-2</c:v>
                </c:pt>
                <c:pt idx="107">
                  <c:v>7.5263680385326923E-2</c:v>
                </c:pt>
                <c:pt idx="108">
                  <c:v>7.4741068605753469E-2</c:v>
                </c:pt>
                <c:pt idx="109">
                  <c:v>7.2656616145785016E-2</c:v>
                </c:pt>
                <c:pt idx="110">
                  <c:v>7.2138417885914366E-2</c:v>
                </c:pt>
                <c:pt idx="111">
                  <c:v>7.1480416606374261E-2</c:v>
                </c:pt>
                <c:pt idx="112">
                  <c:v>7.0339501195407106E-2</c:v>
                </c:pt>
                <c:pt idx="113">
                  <c:v>6.5539253139930698E-2</c:v>
                </c:pt>
                <c:pt idx="114">
                  <c:v>6.2846016795991611E-2</c:v>
                </c:pt>
                <c:pt idx="115">
                  <c:v>2.2400005589592892E-3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32-488C-B506-2F57741546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25862656"/>
        <c:axId val="125864192"/>
      </c:barChart>
      <c:lineChart>
        <c:grouping val="standard"/>
        <c:varyColors val="0"/>
        <c:ser>
          <c:idx val="1"/>
          <c:order val="1"/>
          <c:tx>
            <c:v>Cumulative GWhs</c:v>
          </c:tx>
          <c:marker>
            <c:symbol val="square"/>
            <c:size val="3"/>
          </c:marker>
          <c:val>
            <c:numRef>
              <c:f>Outputs!$L$5:$L$120</c:f>
              <c:numCache>
                <c:formatCode>_(* #,##0_);_(* \(#,##0\);_(* "-"??_);_(@_)</c:formatCode>
                <c:ptCount val="116"/>
                <c:pt idx="0">
                  <c:v>22.348469319076177</c:v>
                </c:pt>
                <c:pt idx="1">
                  <c:v>276.30886931051668</c:v>
                </c:pt>
                <c:pt idx="2">
                  <c:v>360.23842931051666</c:v>
                </c:pt>
                <c:pt idx="3">
                  <c:v>1113.8182947940445</c:v>
                </c:pt>
                <c:pt idx="4">
                  <c:v>1314.276905627496</c:v>
                </c:pt>
                <c:pt idx="5">
                  <c:v>1637.258105627496</c:v>
                </c:pt>
                <c:pt idx="6">
                  <c:v>1945.3907602791319</c:v>
                </c:pt>
                <c:pt idx="7">
                  <c:v>3511.041803580878</c:v>
                </c:pt>
                <c:pt idx="8">
                  <c:v>4061.5383632105427</c:v>
                </c:pt>
                <c:pt idx="9">
                  <c:v>4467.4899035156914</c:v>
                </c:pt>
                <c:pt idx="10">
                  <c:v>4491.0484099060886</c:v>
                </c:pt>
                <c:pt idx="11">
                  <c:v>5589.1035357073706</c:v>
                </c:pt>
                <c:pt idx="12">
                  <c:v>5594.1580557073703</c:v>
                </c:pt>
                <c:pt idx="13">
                  <c:v>6660.2975700248226</c:v>
                </c:pt>
                <c:pt idx="14">
                  <c:v>6673.7529300248225</c:v>
                </c:pt>
                <c:pt idx="15">
                  <c:v>7212.9046500248223</c:v>
                </c:pt>
                <c:pt idx="16">
                  <c:v>7237.3251854663213</c:v>
                </c:pt>
                <c:pt idx="17">
                  <c:v>7473.7313054663209</c:v>
                </c:pt>
                <c:pt idx="18">
                  <c:v>7621.181638170091</c:v>
                </c:pt>
                <c:pt idx="19">
                  <c:v>7623.1876781700912</c:v>
                </c:pt>
                <c:pt idx="20">
                  <c:v>7983.4471635540458</c:v>
                </c:pt>
                <c:pt idx="21">
                  <c:v>8086.4830086362072</c:v>
                </c:pt>
                <c:pt idx="22">
                  <c:v>8128.9241561416429</c:v>
                </c:pt>
                <c:pt idx="23">
                  <c:v>9456.2371904928568</c:v>
                </c:pt>
                <c:pt idx="24">
                  <c:v>9515.8402304928568</c:v>
                </c:pt>
                <c:pt idx="25">
                  <c:v>9695.7579821134786</c:v>
                </c:pt>
                <c:pt idx="26">
                  <c:v>10027.847323716906</c:v>
                </c:pt>
                <c:pt idx="27">
                  <c:v>10073.538398414246</c:v>
                </c:pt>
                <c:pt idx="28">
                  <c:v>10557.516036983568</c:v>
                </c:pt>
                <c:pt idx="29">
                  <c:v>10985.68562025851</c:v>
                </c:pt>
                <c:pt idx="30">
                  <c:v>11154.428997219593</c:v>
                </c:pt>
                <c:pt idx="31">
                  <c:v>11725.027866902357</c:v>
                </c:pt>
                <c:pt idx="32">
                  <c:v>11776.843266902357</c:v>
                </c:pt>
                <c:pt idx="33">
                  <c:v>11921.616050448412</c:v>
                </c:pt>
                <c:pt idx="34">
                  <c:v>12086.402729175679</c:v>
                </c:pt>
                <c:pt idx="35">
                  <c:v>13856.630362672027</c:v>
                </c:pt>
                <c:pt idx="36">
                  <c:v>13884.807150335579</c:v>
                </c:pt>
                <c:pt idx="37">
                  <c:v>18264.991368896935</c:v>
                </c:pt>
                <c:pt idx="38">
                  <c:v>18404.345448896936</c:v>
                </c:pt>
                <c:pt idx="39">
                  <c:v>18424.213655069692</c:v>
                </c:pt>
                <c:pt idx="40">
                  <c:v>18661.968815069693</c:v>
                </c:pt>
                <c:pt idx="41">
                  <c:v>18702.3025884505</c:v>
                </c:pt>
                <c:pt idx="42">
                  <c:v>19106.804372328057</c:v>
                </c:pt>
                <c:pt idx="43">
                  <c:v>19124.354850363685</c:v>
                </c:pt>
                <c:pt idx="44">
                  <c:v>19444.410210363683</c:v>
                </c:pt>
                <c:pt idx="45">
                  <c:v>19578.184178260493</c:v>
                </c:pt>
                <c:pt idx="46">
                  <c:v>19582.222538260492</c:v>
                </c:pt>
                <c:pt idx="47">
                  <c:v>19614.319178260492</c:v>
                </c:pt>
                <c:pt idx="48">
                  <c:v>19793.250938260491</c:v>
                </c:pt>
                <c:pt idx="49">
                  <c:v>19961.600259198047</c:v>
                </c:pt>
                <c:pt idx="50">
                  <c:v>20019.986344644629</c:v>
                </c:pt>
                <c:pt idx="51">
                  <c:v>20417.976232138008</c:v>
                </c:pt>
                <c:pt idx="52">
                  <c:v>20421.138592138006</c:v>
                </c:pt>
                <c:pt idx="53">
                  <c:v>20500.320232138005</c:v>
                </c:pt>
                <c:pt idx="54">
                  <c:v>20615.72139295029</c:v>
                </c:pt>
                <c:pt idx="55">
                  <c:v>21402.805122411697</c:v>
                </c:pt>
                <c:pt idx="56">
                  <c:v>21686.839362411698</c:v>
                </c:pt>
                <c:pt idx="57">
                  <c:v>21754.142442411699</c:v>
                </c:pt>
                <c:pt idx="58">
                  <c:v>22458.3500824117</c:v>
                </c:pt>
                <c:pt idx="59">
                  <c:v>22535.411353960455</c:v>
                </c:pt>
                <c:pt idx="60">
                  <c:v>22650.329228743696</c:v>
                </c:pt>
                <c:pt idx="61">
                  <c:v>22917.451535511584</c:v>
                </c:pt>
                <c:pt idx="62">
                  <c:v>23443.077815511584</c:v>
                </c:pt>
                <c:pt idx="63">
                  <c:v>23537.401918079791</c:v>
                </c:pt>
                <c:pt idx="64">
                  <c:v>23748.691220552195</c:v>
                </c:pt>
                <c:pt idx="65">
                  <c:v>23867.514123566314</c:v>
                </c:pt>
                <c:pt idx="66">
                  <c:v>24131.628123566315</c:v>
                </c:pt>
                <c:pt idx="67">
                  <c:v>24136.095723566315</c:v>
                </c:pt>
                <c:pt idx="68">
                  <c:v>24298.075791128147</c:v>
                </c:pt>
                <c:pt idx="69">
                  <c:v>24811.287215423152</c:v>
                </c:pt>
                <c:pt idx="70">
                  <c:v>24833.365710726419</c:v>
                </c:pt>
                <c:pt idx="71">
                  <c:v>24857.035230726418</c:v>
                </c:pt>
                <c:pt idx="72">
                  <c:v>25088.614590726418</c:v>
                </c:pt>
                <c:pt idx="73">
                  <c:v>26006.785230726418</c:v>
                </c:pt>
                <c:pt idx="74">
                  <c:v>26103.982771464107</c:v>
                </c:pt>
                <c:pt idx="75">
                  <c:v>26862.011851464107</c:v>
                </c:pt>
                <c:pt idx="76">
                  <c:v>26882.913211464107</c:v>
                </c:pt>
                <c:pt idx="77">
                  <c:v>27323.068171464107</c:v>
                </c:pt>
                <c:pt idx="78">
                  <c:v>27396.748531464105</c:v>
                </c:pt>
                <c:pt idx="79">
                  <c:v>27400.252531464106</c:v>
                </c:pt>
                <c:pt idx="80">
                  <c:v>28010.452847484295</c:v>
                </c:pt>
                <c:pt idx="81">
                  <c:v>28039.546454201522</c:v>
                </c:pt>
                <c:pt idx="82">
                  <c:v>28709.38436774219</c:v>
                </c:pt>
                <c:pt idx="83">
                  <c:v>29448.264538358097</c:v>
                </c:pt>
                <c:pt idx="84">
                  <c:v>29466.073618358096</c:v>
                </c:pt>
                <c:pt idx="85">
                  <c:v>30163.702498358096</c:v>
                </c:pt>
                <c:pt idx="86">
                  <c:v>36834.033917104905</c:v>
                </c:pt>
                <c:pt idx="87">
                  <c:v>37073.295797104904</c:v>
                </c:pt>
                <c:pt idx="88">
                  <c:v>37156.151872995557</c:v>
                </c:pt>
                <c:pt idx="89">
                  <c:v>37200.249712995559</c:v>
                </c:pt>
                <c:pt idx="90">
                  <c:v>37216.887433977514</c:v>
                </c:pt>
                <c:pt idx="91">
                  <c:v>37272.644833977516</c:v>
                </c:pt>
                <c:pt idx="92">
                  <c:v>37318.378824677435</c:v>
                </c:pt>
                <c:pt idx="93">
                  <c:v>37350.9652496009</c:v>
                </c:pt>
                <c:pt idx="94">
                  <c:v>37762.814200912268</c:v>
                </c:pt>
                <c:pt idx="95">
                  <c:v>38879.100954806519</c:v>
                </c:pt>
                <c:pt idx="96">
                  <c:v>39003.009239120998</c:v>
                </c:pt>
                <c:pt idx="97">
                  <c:v>39238.092599120995</c:v>
                </c:pt>
                <c:pt idx="98">
                  <c:v>39578.979184243522</c:v>
                </c:pt>
                <c:pt idx="99">
                  <c:v>39692.655192953971</c:v>
                </c:pt>
                <c:pt idx="100">
                  <c:v>39777.304097950873</c:v>
                </c:pt>
                <c:pt idx="101">
                  <c:v>46538.249397047883</c:v>
                </c:pt>
                <c:pt idx="102">
                  <c:v>46574.139117047882</c:v>
                </c:pt>
                <c:pt idx="103">
                  <c:v>46916.090137233274</c:v>
                </c:pt>
                <c:pt idx="104">
                  <c:v>47056.232617233276</c:v>
                </c:pt>
                <c:pt idx="105">
                  <c:v>47138.090108065109</c:v>
                </c:pt>
                <c:pt idx="106">
                  <c:v>47352.808821740444</c:v>
                </c:pt>
                <c:pt idx="107">
                  <c:v>48350.362581740446</c:v>
                </c:pt>
                <c:pt idx="108">
                  <c:v>48371.306332976805</c:v>
                </c:pt>
                <c:pt idx="109">
                  <c:v>48705.681038715156</c:v>
                </c:pt>
                <c:pt idx="110">
                  <c:v>51511.763078715157</c:v>
                </c:pt>
                <c:pt idx="111">
                  <c:v>51597.240929760956</c:v>
                </c:pt>
                <c:pt idx="112">
                  <c:v>51598.25279182088</c:v>
                </c:pt>
                <c:pt idx="113">
                  <c:v>51652.992350052395</c:v>
                </c:pt>
                <c:pt idx="114">
                  <c:v>51699.854793818849</c:v>
                </c:pt>
                <c:pt idx="115">
                  <c:v>51806.620182121223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32-488C-B506-2F57741546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25875712"/>
        <c:axId val="125874176"/>
      </c:lineChart>
      <c:catAx>
        <c:axId val="1258626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high"/>
        <c:txPr>
          <a:bodyPr/>
          <a:lstStyle/>
          <a:p>
            <a:pPr>
              <a:defRPr sz="400" b="1" i="0" baseline="0"/>
            </a:pPr>
            <a:endParaRPr lang="en-US"/>
          </a:p>
        </c:txPr>
        <c:crossAx val="125864192"/>
        <c:crosses val="autoZero"/>
        <c:auto val="1"/>
        <c:lblAlgn val="ctr"/>
        <c:lblOffset val="100"/>
        <c:noMultiLvlLbl val="0"/>
      </c:catAx>
      <c:valAx>
        <c:axId val="125864192"/>
        <c:scaling>
          <c:orientation val="minMax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 rot="-5400000"/>
          <a:lstStyle/>
          <a:p>
            <a:pPr>
              <a:defRPr sz="800"/>
            </a:pPr>
            <a:endParaRPr lang="en-US"/>
          </a:p>
        </c:txPr>
        <c:crossAx val="125862656"/>
        <c:crosses val="autoZero"/>
        <c:crossBetween val="between"/>
      </c:valAx>
      <c:valAx>
        <c:axId val="125874176"/>
        <c:scaling>
          <c:orientation val="minMax"/>
        </c:scaling>
        <c:delete val="0"/>
        <c:axPos val="r"/>
        <c:numFmt formatCode="_(* #,##0_);_(* \(#,##0\);_(* &quot;-&quot;??_);_(@_)" sourceLinked="1"/>
        <c:majorTickMark val="out"/>
        <c:minorTickMark val="none"/>
        <c:tickLblPos val="nextTo"/>
        <c:txPr>
          <a:bodyPr rot="-5340000" vert="horz" anchor="t" anchorCtr="1"/>
          <a:lstStyle/>
          <a:p>
            <a:pPr>
              <a:defRPr sz="800"/>
            </a:pPr>
            <a:endParaRPr lang="en-US"/>
          </a:p>
        </c:txPr>
        <c:crossAx val="125875712"/>
        <c:crosses val="max"/>
        <c:crossBetween val="between"/>
      </c:valAx>
      <c:catAx>
        <c:axId val="125875712"/>
        <c:scaling>
          <c:orientation val="minMax"/>
        </c:scaling>
        <c:delete val="1"/>
        <c:axPos val="b"/>
        <c:majorTickMark val="out"/>
        <c:minorTickMark val="none"/>
        <c:tickLblPos val="nextTo"/>
        <c:crossAx val="125874176"/>
        <c:crosses val="autoZero"/>
        <c:auto val="1"/>
        <c:lblAlgn val="ctr"/>
        <c:lblOffset val="100"/>
        <c:noMultiLvlLbl val="0"/>
      </c:catAx>
    </c:plotArea>
    <c:legend>
      <c:legendPos val="b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9.bin"/></Relationships>
</file>

<file path=xl/chart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0.bin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1200-000000000000}">
  <sheetPr codeName="Chart21">
    <tabColor rgb="FFFFFF99"/>
  </sheetPr>
  <sheetViews>
    <sheetView zoomScale="115" workbookViewId="0"/>
  </sheetViews>
  <pageMargins left="0.25" right="0.25" top="0.75" bottom="0.75" header="0.3" footer="0.3"/>
  <pageSetup orientation="landscape" r:id="rId1"/>
  <drawing r:id="rId2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1300-000000000000}">
  <sheetPr codeName="Chart22">
    <tabColor rgb="FFFFFF99"/>
  </sheetPr>
  <sheetViews>
    <sheetView workbookViewId="0"/>
  </sheetViews>
  <pageMargins left="0.25" right="0.25" top="0.75" bottom="0.75" header="0.3" footer="0.3"/>
  <pageSetup orientation="landscape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467022" cy="627821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0.29175</cdr:x>
      <cdr:y>0.10926</cdr:y>
    </cdr:from>
    <cdr:to>
      <cdr:x>0.70624</cdr:x>
      <cdr:y>0.14264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762250" y="685800"/>
          <a:ext cx="3924300" cy="209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467850" cy="6276975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00B0F0"/>
  </sheetPr>
  <dimension ref="B1:AT400"/>
  <sheetViews>
    <sheetView tabSelected="1" workbookViewId="0">
      <selection activeCell="R6" sqref="R6"/>
    </sheetView>
  </sheetViews>
  <sheetFormatPr defaultColWidth="8.85546875" defaultRowHeight="15"/>
  <cols>
    <col min="1" max="1" width="14.7109375" bestFit="1" customWidth="1"/>
    <col min="2" max="2" width="14" customWidth="1"/>
    <col min="3" max="3" width="7.85546875" bestFit="1" customWidth="1"/>
    <col min="4" max="4" width="5" bestFit="1" customWidth="1"/>
    <col min="5" max="5" width="4" bestFit="1" customWidth="1"/>
    <col min="6" max="6" width="5.7109375" customWidth="1"/>
    <col min="7" max="7" width="6.5703125" customWidth="1"/>
    <col min="8" max="8" width="6.28515625" customWidth="1"/>
    <col min="9" max="9" width="5" customWidth="1"/>
    <col min="10" max="10" width="5" style="195" bestFit="1" customWidth="1"/>
    <col min="11" max="11" width="5.140625" style="195" bestFit="1" customWidth="1"/>
    <col min="12" max="12" width="5.5703125" style="195" bestFit="1" customWidth="1"/>
    <col min="13" max="13" width="6.28515625" style="184" customWidth="1"/>
    <col min="14" max="14" width="5" style="184" customWidth="1"/>
    <col min="16" max="16" width="15.28515625" customWidth="1"/>
    <col min="17" max="17" width="6.5703125" customWidth="1"/>
  </cols>
  <sheetData>
    <row r="1" spans="2:46">
      <c r="B1" s="50" t="s">
        <v>599</v>
      </c>
      <c r="D1" s="275">
        <v>2026</v>
      </c>
      <c r="J1" s="183"/>
      <c r="K1" s="184"/>
      <c r="L1" s="184"/>
    </row>
    <row r="2" spans="2:46">
      <c r="J2" s="183"/>
      <c r="K2" s="184"/>
      <c r="L2" s="184"/>
    </row>
    <row r="3" spans="2:46">
      <c r="B3" s="50" t="s">
        <v>271</v>
      </c>
      <c r="J3" s="185"/>
      <c r="K3" s="50" t="s">
        <v>151</v>
      </c>
      <c r="L3" s="186"/>
      <c r="M3" s="186"/>
      <c r="N3" s="185"/>
      <c r="P3" s="168" t="s">
        <v>220</v>
      </c>
      <c r="Q3" s="169"/>
      <c r="R3" s="166">
        <f>IF(R6=2026, 2024, IF(OR(R6=2027,R6=2028), 2025, "ERROR"))</f>
        <v>2024</v>
      </c>
      <c r="AS3">
        <v>2026</v>
      </c>
      <c r="AT3" t="s">
        <v>261</v>
      </c>
    </row>
    <row r="4" spans="2:46" ht="30">
      <c r="B4" s="72" t="s">
        <v>272</v>
      </c>
      <c r="C4" s="72" t="s">
        <v>273</v>
      </c>
      <c r="D4" s="72" t="s">
        <v>143</v>
      </c>
      <c r="E4" s="72" t="s">
        <v>144</v>
      </c>
      <c r="F4" s="72" t="s">
        <v>179</v>
      </c>
      <c r="G4" s="72" t="s">
        <v>154</v>
      </c>
      <c r="H4" s="72" t="s">
        <v>274</v>
      </c>
      <c r="J4" s="187"/>
      <c r="K4" s="188" t="s">
        <v>155</v>
      </c>
      <c r="L4" s="189" t="s">
        <v>152</v>
      </c>
      <c r="M4" s="190" t="s">
        <v>153</v>
      </c>
      <c r="N4" s="187"/>
      <c r="AS4">
        <v>2027</v>
      </c>
      <c r="AT4" t="s">
        <v>269</v>
      </c>
    </row>
    <row r="5" spans="2:46">
      <c r="B5" s="170" t="s">
        <v>275</v>
      </c>
      <c r="C5" s="171">
        <v>41913</v>
      </c>
      <c r="D5" s="172">
        <v>432</v>
      </c>
      <c r="E5" s="172">
        <v>312</v>
      </c>
      <c r="F5" s="172">
        <v>744</v>
      </c>
      <c r="G5" s="172">
        <v>0.58064516129032262</v>
      </c>
      <c r="H5" s="173">
        <v>0.41935483870967744</v>
      </c>
      <c r="J5" s="184"/>
      <c r="K5" s="191">
        <v>2009</v>
      </c>
      <c r="L5" s="192">
        <v>365</v>
      </c>
      <c r="M5" s="193">
        <v>8760</v>
      </c>
      <c r="P5" s="50" t="s">
        <v>270</v>
      </c>
      <c r="AS5">
        <v>2028</v>
      </c>
    </row>
    <row r="6" spans="2:46">
      <c r="B6" s="174" t="s">
        <v>276</v>
      </c>
      <c r="C6" s="175">
        <v>41944</v>
      </c>
      <c r="D6">
        <v>384</v>
      </c>
      <c r="E6">
        <v>337</v>
      </c>
      <c r="F6">
        <v>721</v>
      </c>
      <c r="G6">
        <v>0.53259361997226073</v>
      </c>
      <c r="H6" s="176">
        <v>0.46740638002773927</v>
      </c>
      <c r="J6" s="184"/>
      <c r="K6" s="194">
        <v>2010</v>
      </c>
      <c r="L6" s="195">
        <v>365</v>
      </c>
      <c r="M6" s="196">
        <v>8760</v>
      </c>
      <c r="R6" s="46">
        <v>2026</v>
      </c>
    </row>
    <row r="7" spans="2:46">
      <c r="B7" s="174" t="s">
        <v>277</v>
      </c>
      <c r="C7" s="175">
        <v>41974</v>
      </c>
      <c r="D7">
        <v>416</v>
      </c>
      <c r="E7">
        <v>328</v>
      </c>
      <c r="F7">
        <v>744</v>
      </c>
      <c r="G7">
        <v>0.55913978494623651</v>
      </c>
      <c r="H7" s="176">
        <v>0.44086021505376344</v>
      </c>
      <c r="J7" s="184"/>
      <c r="K7" s="194">
        <v>2011</v>
      </c>
      <c r="L7" s="195">
        <v>365</v>
      </c>
      <c r="M7" s="196">
        <v>8760</v>
      </c>
      <c r="P7" s="44"/>
    </row>
    <row r="8" spans="2:46">
      <c r="B8" s="174" t="s">
        <v>278</v>
      </c>
      <c r="C8" s="175">
        <v>42005</v>
      </c>
      <c r="D8">
        <v>416</v>
      </c>
      <c r="E8">
        <v>328</v>
      </c>
      <c r="F8">
        <v>744</v>
      </c>
      <c r="G8">
        <v>0.55913978494623651</v>
      </c>
      <c r="H8" s="176">
        <v>0.44086021505376344</v>
      </c>
      <c r="J8" s="184"/>
      <c r="K8" s="194">
        <v>2012</v>
      </c>
      <c r="L8" s="195">
        <v>366</v>
      </c>
      <c r="M8" s="196">
        <v>8784</v>
      </c>
      <c r="P8" s="50" t="s">
        <v>598</v>
      </c>
    </row>
    <row r="9" spans="2:46">
      <c r="B9" s="174" t="s">
        <v>279</v>
      </c>
      <c r="C9" s="175">
        <v>42036</v>
      </c>
      <c r="D9">
        <v>384</v>
      </c>
      <c r="E9">
        <v>288</v>
      </c>
      <c r="F9">
        <v>672</v>
      </c>
      <c r="G9">
        <v>0.5714285714285714</v>
      </c>
      <c r="H9" s="176">
        <v>0.42857142857142855</v>
      </c>
      <c r="J9" s="184"/>
      <c r="K9" s="194">
        <v>2013</v>
      </c>
      <c r="L9" s="195">
        <v>365</v>
      </c>
      <c r="M9" s="196">
        <v>8760</v>
      </c>
      <c r="R9" s="46" t="s">
        <v>261</v>
      </c>
    </row>
    <row r="10" spans="2:46">
      <c r="B10" s="174" t="s">
        <v>280</v>
      </c>
      <c r="C10" s="175">
        <v>42064</v>
      </c>
      <c r="D10">
        <v>416</v>
      </c>
      <c r="E10">
        <v>327</v>
      </c>
      <c r="F10">
        <v>743</v>
      </c>
      <c r="G10">
        <v>0.55989232839838488</v>
      </c>
      <c r="H10" s="176">
        <v>0.44010767160161507</v>
      </c>
      <c r="J10" s="184"/>
      <c r="K10" s="194">
        <v>2014</v>
      </c>
      <c r="L10" s="195">
        <v>365</v>
      </c>
      <c r="M10" s="196">
        <v>8760</v>
      </c>
    </row>
    <row r="11" spans="2:46">
      <c r="B11" s="174" t="s">
        <v>281</v>
      </c>
      <c r="C11" s="175">
        <v>42095</v>
      </c>
      <c r="D11">
        <v>416</v>
      </c>
      <c r="E11">
        <v>304</v>
      </c>
      <c r="F11">
        <v>720</v>
      </c>
      <c r="G11">
        <v>0.57777777777777772</v>
      </c>
      <c r="H11" s="176">
        <v>0.42222222222222222</v>
      </c>
      <c r="J11" s="184"/>
      <c r="K11" s="194">
        <v>2015</v>
      </c>
      <c r="L11" s="195">
        <v>365</v>
      </c>
      <c r="M11" s="196">
        <v>8760</v>
      </c>
      <c r="P11" s="50" t="s">
        <v>259</v>
      </c>
    </row>
    <row r="12" spans="2:46">
      <c r="B12" s="174" t="s">
        <v>282</v>
      </c>
      <c r="C12" s="175">
        <v>42125</v>
      </c>
      <c r="D12">
        <v>400</v>
      </c>
      <c r="E12">
        <v>344</v>
      </c>
      <c r="F12">
        <v>744</v>
      </c>
      <c r="G12">
        <v>0.5376344086021505</v>
      </c>
      <c r="H12" s="176">
        <v>0.46236559139784944</v>
      </c>
      <c r="J12" s="184"/>
      <c r="K12" s="194">
        <v>2016</v>
      </c>
      <c r="L12" s="195">
        <v>366</v>
      </c>
      <c r="M12" s="196">
        <v>8784</v>
      </c>
      <c r="R12" s="46" t="s">
        <v>269</v>
      </c>
    </row>
    <row r="13" spans="2:46">
      <c r="B13" s="174" t="s">
        <v>283</v>
      </c>
      <c r="C13" s="175">
        <v>42156</v>
      </c>
      <c r="D13">
        <v>416</v>
      </c>
      <c r="E13">
        <v>304</v>
      </c>
      <c r="F13">
        <v>720</v>
      </c>
      <c r="G13">
        <v>0.57777777777777772</v>
      </c>
      <c r="H13" s="176">
        <v>0.42222222222222222</v>
      </c>
      <c r="J13" s="184"/>
      <c r="K13" s="194">
        <v>2017</v>
      </c>
      <c r="L13" s="195">
        <v>365</v>
      </c>
      <c r="M13" s="196">
        <v>8760</v>
      </c>
    </row>
    <row r="14" spans="2:46">
      <c r="B14" s="174" t="s">
        <v>284</v>
      </c>
      <c r="C14" s="175">
        <v>42186</v>
      </c>
      <c r="D14">
        <v>416</v>
      </c>
      <c r="E14">
        <v>328</v>
      </c>
      <c r="F14">
        <v>744</v>
      </c>
      <c r="G14">
        <v>0.55913978494623651</v>
      </c>
      <c r="H14" s="176">
        <v>0.44086021505376344</v>
      </c>
      <c r="J14" s="184"/>
      <c r="K14" s="194">
        <v>2018</v>
      </c>
      <c r="L14" s="195">
        <v>365</v>
      </c>
      <c r="M14" s="196">
        <v>8760</v>
      </c>
    </row>
    <row r="15" spans="2:46">
      <c r="B15" s="174" t="s">
        <v>285</v>
      </c>
      <c r="C15" s="175">
        <v>42217</v>
      </c>
      <c r="D15">
        <v>416</v>
      </c>
      <c r="E15">
        <v>328</v>
      </c>
      <c r="F15">
        <v>744</v>
      </c>
      <c r="G15">
        <v>0.55913978494623651</v>
      </c>
      <c r="H15" s="176">
        <v>0.44086021505376344</v>
      </c>
      <c r="J15" s="184"/>
      <c r="K15" s="194">
        <v>2019</v>
      </c>
      <c r="L15" s="195">
        <v>365</v>
      </c>
      <c r="M15" s="196">
        <v>8760</v>
      </c>
    </row>
    <row r="16" spans="2:46">
      <c r="B16" s="174" t="s">
        <v>286</v>
      </c>
      <c r="C16" s="175">
        <v>42248</v>
      </c>
      <c r="D16">
        <v>400</v>
      </c>
      <c r="E16">
        <v>320</v>
      </c>
      <c r="F16">
        <v>720</v>
      </c>
      <c r="G16">
        <v>0.55555555555555558</v>
      </c>
      <c r="H16" s="176">
        <v>0.44444444444444442</v>
      </c>
      <c r="J16" s="184"/>
      <c r="K16" s="194">
        <v>2020</v>
      </c>
      <c r="L16" s="195">
        <v>366</v>
      </c>
      <c r="M16" s="196">
        <v>8784</v>
      </c>
    </row>
    <row r="17" spans="2:13">
      <c r="B17" s="174" t="s">
        <v>287</v>
      </c>
      <c r="C17" s="175">
        <v>42278</v>
      </c>
      <c r="D17">
        <v>432</v>
      </c>
      <c r="E17">
        <v>312</v>
      </c>
      <c r="F17">
        <v>744</v>
      </c>
      <c r="G17">
        <v>0.58064516129032262</v>
      </c>
      <c r="H17" s="176">
        <v>0.41935483870967744</v>
      </c>
      <c r="J17" s="184"/>
      <c r="K17" s="194">
        <v>2021</v>
      </c>
      <c r="L17" s="195">
        <v>365</v>
      </c>
      <c r="M17" s="196">
        <v>8760</v>
      </c>
    </row>
    <row r="18" spans="2:13">
      <c r="B18" s="174" t="s">
        <v>288</v>
      </c>
      <c r="C18" s="175">
        <v>42309</v>
      </c>
      <c r="D18">
        <v>384</v>
      </c>
      <c r="E18">
        <v>337</v>
      </c>
      <c r="F18">
        <v>721</v>
      </c>
      <c r="G18">
        <v>0.53259361997226073</v>
      </c>
      <c r="H18" s="176">
        <v>0.46740638002773927</v>
      </c>
      <c r="J18" s="184"/>
      <c r="K18" s="194">
        <v>2022</v>
      </c>
      <c r="L18" s="195">
        <v>365</v>
      </c>
      <c r="M18" s="196">
        <v>8760</v>
      </c>
    </row>
    <row r="19" spans="2:13">
      <c r="B19" s="174" t="s">
        <v>289</v>
      </c>
      <c r="C19" s="175">
        <v>42339</v>
      </c>
      <c r="D19">
        <v>416</v>
      </c>
      <c r="E19">
        <v>328</v>
      </c>
      <c r="F19">
        <v>744</v>
      </c>
      <c r="G19">
        <v>0.55913978494623651</v>
      </c>
      <c r="H19" s="176">
        <v>0.44086021505376344</v>
      </c>
      <c r="J19" s="184"/>
      <c r="K19" s="194">
        <v>2023</v>
      </c>
      <c r="L19" s="195">
        <v>365</v>
      </c>
      <c r="M19" s="196">
        <v>8760</v>
      </c>
    </row>
    <row r="20" spans="2:13">
      <c r="B20" s="174" t="s">
        <v>290</v>
      </c>
      <c r="C20" s="175">
        <v>42370</v>
      </c>
      <c r="D20">
        <v>400</v>
      </c>
      <c r="E20">
        <v>344</v>
      </c>
      <c r="F20">
        <v>744</v>
      </c>
      <c r="G20">
        <v>0.5376344086021505</v>
      </c>
      <c r="H20" s="176">
        <v>0.46236559139784944</v>
      </c>
      <c r="J20" s="184"/>
      <c r="K20" s="194">
        <v>2024</v>
      </c>
      <c r="L20" s="195">
        <v>366</v>
      </c>
      <c r="M20" s="196">
        <v>8784</v>
      </c>
    </row>
    <row r="21" spans="2:13">
      <c r="B21" s="174" t="s">
        <v>291</v>
      </c>
      <c r="C21" s="175">
        <v>42401</v>
      </c>
      <c r="D21">
        <v>400</v>
      </c>
      <c r="E21">
        <v>296</v>
      </c>
      <c r="F21">
        <v>696</v>
      </c>
      <c r="G21">
        <v>0.57471264367816088</v>
      </c>
      <c r="H21" s="176">
        <v>0.42528735632183906</v>
      </c>
      <c r="J21" s="184"/>
      <c r="K21" s="194">
        <v>2025</v>
      </c>
      <c r="L21" s="195">
        <v>365</v>
      </c>
      <c r="M21" s="196">
        <v>8760</v>
      </c>
    </row>
    <row r="22" spans="2:13">
      <c r="B22" s="174" t="s">
        <v>292</v>
      </c>
      <c r="C22" s="175">
        <v>42430</v>
      </c>
      <c r="D22">
        <v>432</v>
      </c>
      <c r="E22">
        <v>311</v>
      </c>
      <c r="F22">
        <v>743</v>
      </c>
      <c r="G22">
        <v>0.58142664872139971</v>
      </c>
      <c r="H22" s="176">
        <v>0.41857335127860029</v>
      </c>
      <c r="J22" s="184"/>
      <c r="K22" s="194">
        <v>2026</v>
      </c>
      <c r="L22" s="195">
        <v>365</v>
      </c>
      <c r="M22" s="196">
        <v>8760</v>
      </c>
    </row>
    <row r="23" spans="2:13">
      <c r="B23" s="174" t="s">
        <v>293</v>
      </c>
      <c r="C23" s="175">
        <v>42461</v>
      </c>
      <c r="D23">
        <v>416</v>
      </c>
      <c r="E23">
        <v>304</v>
      </c>
      <c r="F23">
        <v>720</v>
      </c>
      <c r="G23">
        <v>0.57777777777777772</v>
      </c>
      <c r="H23" s="176">
        <v>0.42222222222222222</v>
      </c>
      <c r="J23" s="184"/>
      <c r="K23" s="194">
        <v>2027</v>
      </c>
      <c r="L23" s="195">
        <v>365</v>
      </c>
      <c r="M23" s="196">
        <v>8760</v>
      </c>
    </row>
    <row r="24" spans="2:13">
      <c r="B24" s="174" t="s">
        <v>294</v>
      </c>
      <c r="C24" s="175">
        <v>42491</v>
      </c>
      <c r="D24">
        <v>400</v>
      </c>
      <c r="E24">
        <v>344</v>
      </c>
      <c r="F24">
        <v>744</v>
      </c>
      <c r="G24">
        <v>0.5376344086021505</v>
      </c>
      <c r="H24" s="176">
        <v>0.46236559139784944</v>
      </c>
      <c r="J24" s="184"/>
      <c r="K24" s="194">
        <v>2028</v>
      </c>
      <c r="L24" s="195">
        <v>366</v>
      </c>
      <c r="M24" s="196">
        <v>8784</v>
      </c>
    </row>
    <row r="25" spans="2:13">
      <c r="B25" s="174" t="s">
        <v>295</v>
      </c>
      <c r="C25" s="175">
        <v>42522</v>
      </c>
      <c r="D25">
        <v>416</v>
      </c>
      <c r="E25">
        <v>304</v>
      </c>
      <c r="F25">
        <v>720</v>
      </c>
      <c r="G25">
        <v>0.57777777777777772</v>
      </c>
      <c r="H25" s="176">
        <v>0.42222222222222222</v>
      </c>
      <c r="J25" s="184"/>
      <c r="K25" s="194">
        <v>2029</v>
      </c>
      <c r="L25" s="195">
        <v>365</v>
      </c>
      <c r="M25" s="196">
        <v>8760</v>
      </c>
    </row>
    <row r="26" spans="2:13">
      <c r="B26" s="174" t="s">
        <v>296</v>
      </c>
      <c r="C26" s="175">
        <v>42552</v>
      </c>
      <c r="D26">
        <v>400</v>
      </c>
      <c r="E26">
        <v>344</v>
      </c>
      <c r="F26">
        <v>744</v>
      </c>
      <c r="G26">
        <v>0.5376344086021505</v>
      </c>
      <c r="H26" s="176">
        <v>0.46236559139784944</v>
      </c>
      <c r="J26" s="184"/>
      <c r="K26" s="194">
        <v>2030</v>
      </c>
      <c r="L26" s="195">
        <v>365</v>
      </c>
      <c r="M26" s="196">
        <v>8760</v>
      </c>
    </row>
    <row r="27" spans="2:13">
      <c r="B27" s="174" t="s">
        <v>297</v>
      </c>
      <c r="C27" s="175">
        <v>42583</v>
      </c>
      <c r="D27">
        <v>432</v>
      </c>
      <c r="E27">
        <v>312</v>
      </c>
      <c r="F27">
        <v>744</v>
      </c>
      <c r="G27">
        <v>0.58064516129032262</v>
      </c>
      <c r="H27" s="176">
        <v>0.41935483870967744</v>
      </c>
      <c r="J27" s="184"/>
      <c r="K27" s="194">
        <v>2031</v>
      </c>
      <c r="L27" s="195">
        <v>365</v>
      </c>
      <c r="M27" s="196">
        <v>8760</v>
      </c>
    </row>
    <row r="28" spans="2:13">
      <c r="B28" s="174" t="s">
        <v>298</v>
      </c>
      <c r="C28" s="175">
        <v>42614</v>
      </c>
      <c r="D28">
        <v>400</v>
      </c>
      <c r="E28">
        <v>320</v>
      </c>
      <c r="F28">
        <v>720</v>
      </c>
      <c r="G28">
        <v>0.55555555555555558</v>
      </c>
      <c r="H28" s="176">
        <v>0.44444444444444442</v>
      </c>
      <c r="J28" s="184"/>
      <c r="K28" s="194">
        <v>2032</v>
      </c>
      <c r="L28" s="195">
        <v>366</v>
      </c>
      <c r="M28" s="196">
        <v>8784</v>
      </c>
    </row>
    <row r="29" spans="2:13">
      <c r="B29" s="174" t="s">
        <v>299</v>
      </c>
      <c r="C29" s="175">
        <v>42644</v>
      </c>
      <c r="D29">
        <v>416</v>
      </c>
      <c r="E29">
        <v>328</v>
      </c>
      <c r="F29">
        <v>744</v>
      </c>
      <c r="G29">
        <v>0.55913978494623651</v>
      </c>
      <c r="H29" s="176">
        <v>0.44086021505376344</v>
      </c>
      <c r="J29" s="184"/>
      <c r="K29" s="194">
        <v>2033</v>
      </c>
      <c r="L29" s="195">
        <v>365</v>
      </c>
      <c r="M29" s="196">
        <v>8760</v>
      </c>
    </row>
    <row r="30" spans="2:13">
      <c r="B30" s="174" t="s">
        <v>300</v>
      </c>
      <c r="C30" s="175">
        <v>42675</v>
      </c>
      <c r="D30">
        <v>400</v>
      </c>
      <c r="E30">
        <v>321</v>
      </c>
      <c r="F30">
        <v>721</v>
      </c>
      <c r="G30">
        <v>0.55478502080443826</v>
      </c>
      <c r="H30" s="176">
        <v>0.44521497919556174</v>
      </c>
      <c r="J30" s="184"/>
      <c r="K30" s="194">
        <v>2034</v>
      </c>
      <c r="L30" s="195">
        <v>365</v>
      </c>
      <c r="M30" s="196">
        <v>8760</v>
      </c>
    </row>
    <row r="31" spans="2:13">
      <c r="B31" s="174" t="s">
        <v>301</v>
      </c>
      <c r="C31" s="175">
        <v>42705</v>
      </c>
      <c r="D31">
        <v>416</v>
      </c>
      <c r="E31">
        <v>328</v>
      </c>
      <c r="F31">
        <v>744</v>
      </c>
      <c r="G31">
        <v>0.55913978494623651</v>
      </c>
      <c r="H31" s="176">
        <v>0.44086021505376344</v>
      </c>
      <c r="J31" s="184"/>
      <c r="K31" s="194">
        <v>2035</v>
      </c>
      <c r="L31" s="195">
        <v>365</v>
      </c>
      <c r="M31" s="196">
        <v>8760</v>
      </c>
    </row>
    <row r="32" spans="2:13">
      <c r="B32" s="174" t="s">
        <v>302</v>
      </c>
      <c r="C32" s="175">
        <v>42736</v>
      </c>
      <c r="D32">
        <v>400</v>
      </c>
      <c r="E32">
        <v>344</v>
      </c>
      <c r="F32">
        <v>744</v>
      </c>
      <c r="G32">
        <v>0.5376344086021505</v>
      </c>
      <c r="H32" s="176">
        <v>0.46236559139784944</v>
      </c>
      <c r="J32" s="184"/>
      <c r="K32" s="194">
        <v>2036</v>
      </c>
      <c r="L32" s="195">
        <v>366</v>
      </c>
      <c r="M32" s="196">
        <v>8784</v>
      </c>
    </row>
    <row r="33" spans="2:13">
      <c r="B33" s="174" t="s">
        <v>303</v>
      </c>
      <c r="C33" s="175">
        <v>42767</v>
      </c>
      <c r="D33">
        <v>384</v>
      </c>
      <c r="E33">
        <v>288</v>
      </c>
      <c r="F33">
        <v>672</v>
      </c>
      <c r="G33">
        <v>0.5714285714285714</v>
      </c>
      <c r="H33" s="176">
        <v>0.42857142857142855</v>
      </c>
      <c r="J33" s="184"/>
      <c r="K33" s="194">
        <v>2037</v>
      </c>
      <c r="L33" s="195">
        <v>365</v>
      </c>
      <c r="M33" s="196">
        <v>8760</v>
      </c>
    </row>
    <row r="34" spans="2:13">
      <c r="B34" s="174" t="s">
        <v>304</v>
      </c>
      <c r="C34" s="175">
        <v>42795</v>
      </c>
      <c r="D34">
        <v>432</v>
      </c>
      <c r="E34">
        <v>311</v>
      </c>
      <c r="F34">
        <v>743</v>
      </c>
      <c r="G34">
        <v>0.58142664872139971</v>
      </c>
      <c r="H34" s="176">
        <v>0.41857335127860029</v>
      </c>
      <c r="J34" s="184"/>
      <c r="K34" s="194">
        <v>2038</v>
      </c>
      <c r="L34" s="195">
        <v>365</v>
      </c>
      <c r="M34" s="196">
        <v>8760</v>
      </c>
    </row>
    <row r="35" spans="2:13">
      <c r="B35" s="174" t="s">
        <v>305</v>
      </c>
      <c r="C35" s="175">
        <v>42826</v>
      </c>
      <c r="D35">
        <v>400</v>
      </c>
      <c r="E35">
        <v>320</v>
      </c>
      <c r="F35">
        <v>720</v>
      </c>
      <c r="G35">
        <v>0.55555555555555558</v>
      </c>
      <c r="H35" s="176">
        <v>0.44444444444444442</v>
      </c>
      <c r="J35" s="184"/>
      <c r="K35" s="194">
        <v>2039</v>
      </c>
      <c r="L35" s="195">
        <v>365</v>
      </c>
      <c r="M35" s="196">
        <v>8760</v>
      </c>
    </row>
    <row r="36" spans="2:13">
      <c r="B36" s="174" t="s">
        <v>306</v>
      </c>
      <c r="C36" s="175">
        <v>42856</v>
      </c>
      <c r="D36">
        <v>416</v>
      </c>
      <c r="E36">
        <v>328</v>
      </c>
      <c r="F36">
        <v>744</v>
      </c>
      <c r="G36">
        <v>0.55913978494623651</v>
      </c>
      <c r="H36" s="176">
        <v>0.44086021505376344</v>
      </c>
      <c r="J36" s="184"/>
      <c r="K36" s="194">
        <v>2040</v>
      </c>
      <c r="L36" s="195">
        <v>366</v>
      </c>
      <c r="M36" s="196">
        <v>8784</v>
      </c>
    </row>
    <row r="37" spans="2:13">
      <c r="B37" s="174" t="s">
        <v>307</v>
      </c>
      <c r="C37" s="175">
        <v>42887</v>
      </c>
      <c r="D37">
        <v>416</v>
      </c>
      <c r="E37">
        <v>304</v>
      </c>
      <c r="F37">
        <v>720</v>
      </c>
      <c r="G37">
        <v>0.57777777777777772</v>
      </c>
      <c r="H37" s="176">
        <v>0.42222222222222222</v>
      </c>
      <c r="J37" s="184"/>
      <c r="K37" s="194">
        <v>2041</v>
      </c>
      <c r="L37" s="195">
        <v>365</v>
      </c>
      <c r="M37" s="196">
        <v>8760</v>
      </c>
    </row>
    <row r="38" spans="2:13">
      <c r="B38" s="174" t="s">
        <v>308</v>
      </c>
      <c r="C38" s="175">
        <v>42917</v>
      </c>
      <c r="D38">
        <v>400</v>
      </c>
      <c r="E38">
        <v>344</v>
      </c>
      <c r="F38">
        <v>744</v>
      </c>
      <c r="G38">
        <v>0.5376344086021505</v>
      </c>
      <c r="H38" s="176">
        <v>0.46236559139784944</v>
      </c>
      <c r="J38" s="184"/>
      <c r="K38" s="194">
        <v>2042</v>
      </c>
      <c r="L38" s="195">
        <v>365</v>
      </c>
      <c r="M38" s="196">
        <v>8760</v>
      </c>
    </row>
    <row r="39" spans="2:13">
      <c r="B39" s="174" t="s">
        <v>309</v>
      </c>
      <c r="C39" s="175">
        <v>42948</v>
      </c>
      <c r="D39">
        <v>432</v>
      </c>
      <c r="E39">
        <v>312</v>
      </c>
      <c r="F39">
        <v>744</v>
      </c>
      <c r="G39">
        <v>0.58064516129032262</v>
      </c>
      <c r="H39" s="176">
        <v>0.41935483870967744</v>
      </c>
      <c r="J39" s="184"/>
      <c r="K39" s="194">
        <v>2043</v>
      </c>
      <c r="L39" s="195">
        <v>365</v>
      </c>
      <c r="M39" s="196">
        <v>8760</v>
      </c>
    </row>
    <row r="40" spans="2:13">
      <c r="B40" s="174" t="s">
        <v>310</v>
      </c>
      <c r="C40" s="175">
        <v>42979</v>
      </c>
      <c r="D40">
        <v>400</v>
      </c>
      <c r="E40">
        <v>320</v>
      </c>
      <c r="F40">
        <v>720</v>
      </c>
      <c r="G40">
        <v>0.55555555555555558</v>
      </c>
      <c r="H40" s="176">
        <v>0.44444444444444442</v>
      </c>
      <c r="J40" s="184"/>
      <c r="K40" s="197">
        <v>2044</v>
      </c>
      <c r="L40" s="198">
        <v>366</v>
      </c>
      <c r="M40" s="199">
        <v>8784</v>
      </c>
    </row>
    <row r="41" spans="2:13">
      <c r="B41" s="174" t="s">
        <v>311</v>
      </c>
      <c r="C41" s="175">
        <v>43009</v>
      </c>
      <c r="D41">
        <v>416</v>
      </c>
      <c r="E41">
        <v>328</v>
      </c>
      <c r="F41">
        <v>744</v>
      </c>
      <c r="G41">
        <v>0.55913978494623651</v>
      </c>
      <c r="H41" s="176">
        <v>0.44086021505376344</v>
      </c>
      <c r="J41" s="184"/>
      <c r="M41" s="195"/>
    </row>
    <row r="42" spans="2:13">
      <c r="B42" s="174" t="s">
        <v>312</v>
      </c>
      <c r="C42" s="175">
        <v>43040</v>
      </c>
      <c r="D42">
        <v>400</v>
      </c>
      <c r="E42">
        <v>321</v>
      </c>
      <c r="F42">
        <v>721</v>
      </c>
      <c r="G42">
        <v>0.55478502080443826</v>
      </c>
      <c r="H42" s="176">
        <v>0.44521497919556174</v>
      </c>
      <c r="J42" s="184"/>
      <c r="M42" s="195"/>
    </row>
    <row r="43" spans="2:13">
      <c r="B43" s="174" t="s">
        <v>313</v>
      </c>
      <c r="C43" s="175">
        <v>43070</v>
      </c>
      <c r="D43">
        <v>400</v>
      </c>
      <c r="E43">
        <v>344</v>
      </c>
      <c r="F43">
        <v>744</v>
      </c>
      <c r="G43">
        <v>0.5376344086021505</v>
      </c>
      <c r="H43" s="176">
        <v>0.46236559139784944</v>
      </c>
      <c r="J43" s="184"/>
      <c r="M43" s="195"/>
    </row>
    <row r="44" spans="2:13">
      <c r="B44" s="174" t="s">
        <v>314</v>
      </c>
      <c r="C44" s="175">
        <v>43101</v>
      </c>
      <c r="D44">
        <v>416</v>
      </c>
      <c r="E44">
        <v>328</v>
      </c>
      <c r="F44">
        <v>744</v>
      </c>
      <c r="G44">
        <v>0.55913978494623651</v>
      </c>
      <c r="H44" s="176">
        <v>0.44086021505376344</v>
      </c>
      <c r="J44" s="184"/>
      <c r="M44" s="195"/>
    </row>
    <row r="45" spans="2:13">
      <c r="B45" s="174" t="s">
        <v>315</v>
      </c>
      <c r="C45" s="175">
        <v>43132</v>
      </c>
      <c r="D45">
        <v>384</v>
      </c>
      <c r="E45">
        <v>288</v>
      </c>
      <c r="F45">
        <v>672</v>
      </c>
      <c r="G45">
        <v>0.5714285714285714</v>
      </c>
      <c r="H45" s="176">
        <v>0.42857142857142855</v>
      </c>
      <c r="J45" s="184"/>
      <c r="M45" s="195"/>
    </row>
    <row r="46" spans="2:13">
      <c r="B46" s="174" t="s">
        <v>316</v>
      </c>
      <c r="C46" s="175">
        <v>43160</v>
      </c>
      <c r="D46">
        <v>432</v>
      </c>
      <c r="E46">
        <v>311</v>
      </c>
      <c r="F46">
        <v>743</v>
      </c>
      <c r="G46">
        <v>0.58142664872139971</v>
      </c>
      <c r="H46" s="176">
        <v>0.41857335127860029</v>
      </c>
      <c r="J46" s="184"/>
      <c r="M46" s="195"/>
    </row>
    <row r="47" spans="2:13">
      <c r="B47" s="174" t="s">
        <v>317</v>
      </c>
      <c r="C47" s="175">
        <v>43191</v>
      </c>
      <c r="D47">
        <v>400</v>
      </c>
      <c r="E47">
        <v>320</v>
      </c>
      <c r="F47">
        <v>720</v>
      </c>
      <c r="G47">
        <v>0.55555555555555558</v>
      </c>
      <c r="H47" s="176">
        <v>0.44444444444444442</v>
      </c>
      <c r="J47" s="184"/>
      <c r="M47" s="195"/>
    </row>
    <row r="48" spans="2:13">
      <c r="B48" s="174" t="s">
        <v>318</v>
      </c>
      <c r="C48" s="175">
        <v>43221</v>
      </c>
      <c r="D48">
        <v>416</v>
      </c>
      <c r="E48">
        <v>328</v>
      </c>
      <c r="F48">
        <v>744</v>
      </c>
      <c r="G48">
        <v>0.55913978494623651</v>
      </c>
      <c r="H48" s="176">
        <v>0.44086021505376344</v>
      </c>
      <c r="J48" s="184"/>
      <c r="M48" s="195"/>
    </row>
    <row r="49" spans="2:13">
      <c r="B49" s="174" t="s">
        <v>319</v>
      </c>
      <c r="C49" s="175">
        <v>43252</v>
      </c>
      <c r="D49">
        <v>416</v>
      </c>
      <c r="E49">
        <v>304</v>
      </c>
      <c r="F49">
        <v>720</v>
      </c>
      <c r="G49">
        <v>0.57777777777777772</v>
      </c>
      <c r="H49" s="176">
        <v>0.42222222222222222</v>
      </c>
      <c r="J49" s="184"/>
      <c r="M49" s="195"/>
    </row>
    <row r="50" spans="2:13">
      <c r="B50" s="174" t="s">
        <v>320</v>
      </c>
      <c r="C50" s="175">
        <v>43282</v>
      </c>
      <c r="D50">
        <v>400</v>
      </c>
      <c r="E50">
        <v>344</v>
      </c>
      <c r="F50">
        <v>744</v>
      </c>
      <c r="G50">
        <v>0.5376344086021505</v>
      </c>
      <c r="H50" s="176">
        <v>0.46236559139784944</v>
      </c>
      <c r="J50" s="184"/>
      <c r="M50" s="195"/>
    </row>
    <row r="51" spans="2:13">
      <c r="B51" s="174" t="s">
        <v>321</v>
      </c>
      <c r="C51" s="175">
        <v>43313</v>
      </c>
      <c r="D51">
        <v>432</v>
      </c>
      <c r="E51">
        <v>312</v>
      </c>
      <c r="F51">
        <v>744</v>
      </c>
      <c r="G51">
        <v>0.58064516129032262</v>
      </c>
      <c r="H51" s="176">
        <v>0.41935483870967744</v>
      </c>
      <c r="J51" s="184"/>
      <c r="M51" s="195"/>
    </row>
    <row r="52" spans="2:13">
      <c r="B52" s="174" t="s">
        <v>322</v>
      </c>
      <c r="C52" s="175">
        <v>43344</v>
      </c>
      <c r="D52">
        <v>384</v>
      </c>
      <c r="E52">
        <v>336</v>
      </c>
      <c r="F52">
        <v>720</v>
      </c>
      <c r="G52">
        <v>0.53333333333333333</v>
      </c>
      <c r="H52" s="176">
        <v>0.46666666666666667</v>
      </c>
      <c r="J52" s="184"/>
      <c r="M52" s="195"/>
    </row>
    <row r="53" spans="2:13">
      <c r="B53" s="174" t="s">
        <v>323</v>
      </c>
      <c r="C53" s="175">
        <v>43374</v>
      </c>
      <c r="D53">
        <v>432</v>
      </c>
      <c r="E53">
        <v>312</v>
      </c>
      <c r="F53">
        <v>744</v>
      </c>
      <c r="G53">
        <v>0.58064516129032262</v>
      </c>
      <c r="H53" s="176">
        <v>0.41935483870967744</v>
      </c>
      <c r="J53" s="184"/>
      <c r="M53" s="195"/>
    </row>
    <row r="54" spans="2:13">
      <c r="B54" s="174" t="s">
        <v>324</v>
      </c>
      <c r="C54" s="175">
        <v>43405</v>
      </c>
      <c r="D54">
        <v>400</v>
      </c>
      <c r="E54">
        <v>321</v>
      </c>
      <c r="F54">
        <v>721</v>
      </c>
      <c r="G54">
        <v>0.55478502080443826</v>
      </c>
      <c r="H54" s="176">
        <v>0.44521497919556174</v>
      </c>
      <c r="J54" s="184"/>
      <c r="M54" s="195"/>
    </row>
    <row r="55" spans="2:13">
      <c r="B55" s="174" t="s">
        <v>325</v>
      </c>
      <c r="C55" s="175">
        <v>43435</v>
      </c>
      <c r="D55">
        <v>400</v>
      </c>
      <c r="E55">
        <v>344</v>
      </c>
      <c r="F55">
        <v>744</v>
      </c>
      <c r="G55">
        <v>0.5376344086021505</v>
      </c>
      <c r="H55" s="176">
        <v>0.46236559139784944</v>
      </c>
      <c r="J55" s="184"/>
      <c r="M55" s="195"/>
    </row>
    <row r="56" spans="2:13">
      <c r="B56" s="174" t="s">
        <v>326</v>
      </c>
      <c r="C56" s="175">
        <v>43466</v>
      </c>
      <c r="D56">
        <v>416</v>
      </c>
      <c r="E56">
        <v>328</v>
      </c>
      <c r="F56">
        <v>744</v>
      </c>
      <c r="G56">
        <v>0.55913978494623651</v>
      </c>
      <c r="H56" s="176">
        <v>0.44086021505376344</v>
      </c>
      <c r="J56" s="184"/>
      <c r="M56" s="195"/>
    </row>
    <row r="57" spans="2:13">
      <c r="B57" s="174" t="s">
        <v>327</v>
      </c>
      <c r="C57" s="175">
        <v>43497</v>
      </c>
      <c r="D57">
        <v>384</v>
      </c>
      <c r="E57">
        <v>288</v>
      </c>
      <c r="F57">
        <v>672</v>
      </c>
      <c r="G57">
        <v>0.5714285714285714</v>
      </c>
      <c r="H57" s="176">
        <v>0.42857142857142855</v>
      </c>
      <c r="J57" s="184"/>
      <c r="M57" s="195"/>
    </row>
    <row r="58" spans="2:13">
      <c r="B58" s="174" t="s">
        <v>328</v>
      </c>
      <c r="C58" s="175">
        <v>43525</v>
      </c>
      <c r="D58">
        <v>416</v>
      </c>
      <c r="E58">
        <v>327</v>
      </c>
      <c r="F58">
        <v>743</v>
      </c>
      <c r="G58">
        <v>0.55989232839838488</v>
      </c>
      <c r="H58" s="176">
        <v>0.44010767160161507</v>
      </c>
      <c r="J58" s="184"/>
      <c r="M58" s="195"/>
    </row>
    <row r="59" spans="2:13">
      <c r="B59" s="174" t="s">
        <v>329</v>
      </c>
      <c r="C59" s="175">
        <v>43556</v>
      </c>
      <c r="D59">
        <v>416</v>
      </c>
      <c r="E59">
        <v>304</v>
      </c>
      <c r="F59">
        <v>720</v>
      </c>
      <c r="G59">
        <v>0.57777777777777772</v>
      </c>
      <c r="H59" s="176">
        <v>0.42222222222222222</v>
      </c>
      <c r="J59" s="184"/>
      <c r="M59" s="195"/>
    </row>
    <row r="60" spans="2:13">
      <c r="B60" s="174" t="s">
        <v>330</v>
      </c>
      <c r="C60" s="175">
        <v>43586</v>
      </c>
      <c r="D60">
        <v>416</v>
      </c>
      <c r="E60">
        <v>328</v>
      </c>
      <c r="F60">
        <v>744</v>
      </c>
      <c r="G60">
        <v>0.55913978494623651</v>
      </c>
      <c r="H60" s="176">
        <v>0.44086021505376344</v>
      </c>
      <c r="J60" s="184"/>
      <c r="M60" s="195"/>
    </row>
    <row r="61" spans="2:13">
      <c r="B61" s="174" t="s">
        <v>331</v>
      </c>
      <c r="C61" s="175">
        <v>43617</v>
      </c>
      <c r="D61">
        <v>400</v>
      </c>
      <c r="E61">
        <v>320</v>
      </c>
      <c r="F61">
        <v>720</v>
      </c>
      <c r="G61">
        <v>0.55555555555555558</v>
      </c>
      <c r="H61" s="176">
        <v>0.44444444444444442</v>
      </c>
      <c r="J61" s="184"/>
      <c r="M61" s="195"/>
    </row>
    <row r="62" spans="2:13">
      <c r="B62" s="174" t="s">
        <v>332</v>
      </c>
      <c r="C62" s="175">
        <v>43647</v>
      </c>
      <c r="D62">
        <v>416</v>
      </c>
      <c r="E62">
        <v>328</v>
      </c>
      <c r="F62">
        <v>744</v>
      </c>
      <c r="G62">
        <v>0.55913978494623651</v>
      </c>
      <c r="H62" s="176">
        <v>0.44086021505376344</v>
      </c>
      <c r="J62" s="184"/>
      <c r="M62" s="195"/>
    </row>
    <row r="63" spans="2:13">
      <c r="B63" s="174" t="s">
        <v>333</v>
      </c>
      <c r="C63" s="175">
        <v>43678</v>
      </c>
      <c r="D63">
        <v>432</v>
      </c>
      <c r="E63">
        <v>312</v>
      </c>
      <c r="F63">
        <v>744</v>
      </c>
      <c r="G63">
        <v>0.58064516129032262</v>
      </c>
      <c r="H63" s="176">
        <v>0.41935483870967744</v>
      </c>
      <c r="J63" s="184"/>
      <c r="M63" s="195"/>
    </row>
    <row r="64" spans="2:13">
      <c r="B64" s="174" t="s">
        <v>334</v>
      </c>
      <c r="C64" s="175">
        <v>43709</v>
      </c>
      <c r="D64">
        <v>384</v>
      </c>
      <c r="E64">
        <v>336</v>
      </c>
      <c r="F64">
        <v>720</v>
      </c>
      <c r="G64">
        <v>0.53333333333333333</v>
      </c>
      <c r="H64" s="176">
        <v>0.46666666666666667</v>
      </c>
      <c r="J64" s="184"/>
      <c r="M64" s="195"/>
    </row>
    <row r="65" spans="2:13">
      <c r="B65" s="174" t="s">
        <v>335</v>
      </c>
      <c r="C65" s="175">
        <v>43739</v>
      </c>
      <c r="D65">
        <v>432</v>
      </c>
      <c r="E65">
        <v>312</v>
      </c>
      <c r="F65">
        <v>744</v>
      </c>
      <c r="G65" s="177">
        <v>0.58064516129032262</v>
      </c>
      <c r="H65" s="178">
        <v>0.41935483870967744</v>
      </c>
      <c r="J65" s="184"/>
      <c r="M65" s="195"/>
    </row>
    <row r="66" spans="2:13">
      <c r="B66" s="174" t="s">
        <v>336</v>
      </c>
      <c r="C66" s="175">
        <v>43770</v>
      </c>
      <c r="D66">
        <v>400</v>
      </c>
      <c r="E66">
        <v>321</v>
      </c>
      <c r="F66">
        <v>721</v>
      </c>
      <c r="G66" s="177">
        <v>0.55478502080443826</v>
      </c>
      <c r="H66" s="178">
        <v>0.44521497919556174</v>
      </c>
      <c r="J66" s="184"/>
      <c r="M66" s="195"/>
    </row>
    <row r="67" spans="2:13">
      <c r="B67" s="174" t="s">
        <v>337</v>
      </c>
      <c r="C67" s="175">
        <v>43800</v>
      </c>
      <c r="D67">
        <v>400</v>
      </c>
      <c r="E67">
        <v>344</v>
      </c>
      <c r="F67">
        <v>744</v>
      </c>
      <c r="G67" s="177">
        <v>0.5376344086021505</v>
      </c>
      <c r="H67" s="178">
        <v>0.46236559139784944</v>
      </c>
      <c r="J67" s="184"/>
      <c r="M67" s="195"/>
    </row>
    <row r="68" spans="2:13">
      <c r="B68" s="174" t="s">
        <v>338</v>
      </c>
      <c r="C68" s="175">
        <v>43831</v>
      </c>
      <c r="D68">
        <v>416</v>
      </c>
      <c r="E68">
        <v>328</v>
      </c>
      <c r="F68">
        <v>744</v>
      </c>
      <c r="G68" s="177">
        <v>0.55913978494623651</v>
      </c>
      <c r="H68" s="178">
        <v>0.44086021505376344</v>
      </c>
      <c r="J68" s="184"/>
      <c r="M68" s="195"/>
    </row>
    <row r="69" spans="2:13">
      <c r="B69" s="174" t="s">
        <v>339</v>
      </c>
      <c r="C69" s="175">
        <v>43862</v>
      </c>
      <c r="D69">
        <v>400</v>
      </c>
      <c r="E69">
        <v>296</v>
      </c>
      <c r="F69">
        <v>696</v>
      </c>
      <c r="G69" s="177">
        <v>0.57471264367816088</v>
      </c>
      <c r="H69" s="178">
        <v>0.42528735632183906</v>
      </c>
      <c r="J69" s="184"/>
      <c r="M69" s="195"/>
    </row>
    <row r="70" spans="2:13">
      <c r="B70" s="174" t="s">
        <v>340</v>
      </c>
      <c r="C70" s="175">
        <v>43891</v>
      </c>
      <c r="D70">
        <v>416</v>
      </c>
      <c r="E70">
        <v>327</v>
      </c>
      <c r="F70">
        <v>743</v>
      </c>
      <c r="G70" s="177">
        <v>0.55989232839838488</v>
      </c>
      <c r="H70" s="178">
        <v>0.44010767160161507</v>
      </c>
      <c r="J70" s="184"/>
      <c r="M70" s="195"/>
    </row>
    <row r="71" spans="2:13">
      <c r="B71" s="174" t="s">
        <v>341</v>
      </c>
      <c r="C71" s="175">
        <v>43922</v>
      </c>
      <c r="D71">
        <v>416</v>
      </c>
      <c r="E71">
        <v>304</v>
      </c>
      <c r="F71">
        <v>720</v>
      </c>
      <c r="G71" s="177">
        <v>0.57777777777777772</v>
      </c>
      <c r="H71" s="178">
        <v>0.42222222222222222</v>
      </c>
      <c r="J71" s="184"/>
      <c r="M71" s="195"/>
    </row>
    <row r="72" spans="2:13">
      <c r="B72" s="174" t="s">
        <v>342</v>
      </c>
      <c r="C72" s="175">
        <v>43952</v>
      </c>
      <c r="D72">
        <v>400</v>
      </c>
      <c r="E72">
        <v>344</v>
      </c>
      <c r="F72">
        <v>744</v>
      </c>
      <c r="G72" s="177">
        <v>0.5376344086021505</v>
      </c>
      <c r="H72" s="178">
        <v>0.46236559139784944</v>
      </c>
      <c r="J72" s="184"/>
      <c r="M72" s="195"/>
    </row>
    <row r="73" spans="2:13">
      <c r="B73" s="174" t="s">
        <v>343</v>
      </c>
      <c r="C73" s="175">
        <v>43983</v>
      </c>
      <c r="D73">
        <v>416</v>
      </c>
      <c r="E73">
        <v>304</v>
      </c>
      <c r="F73">
        <v>720</v>
      </c>
      <c r="G73" s="177">
        <v>0.57777777777777772</v>
      </c>
      <c r="H73" s="178">
        <v>0.42222222222222222</v>
      </c>
      <c r="J73" s="184"/>
      <c r="M73" s="195"/>
    </row>
    <row r="74" spans="2:13">
      <c r="B74" s="174" t="s">
        <v>344</v>
      </c>
      <c r="C74" s="175">
        <v>44013</v>
      </c>
      <c r="D74">
        <v>416</v>
      </c>
      <c r="E74">
        <v>328</v>
      </c>
      <c r="F74">
        <v>744</v>
      </c>
      <c r="G74" s="177">
        <v>0.55913978494623651</v>
      </c>
      <c r="H74" s="178">
        <v>0.44086021505376344</v>
      </c>
      <c r="J74" s="184"/>
      <c r="M74" s="195"/>
    </row>
    <row r="75" spans="2:13">
      <c r="B75" s="174" t="s">
        <v>345</v>
      </c>
      <c r="C75" s="175">
        <v>44044</v>
      </c>
      <c r="D75">
        <v>416</v>
      </c>
      <c r="E75">
        <v>328</v>
      </c>
      <c r="F75">
        <v>744</v>
      </c>
      <c r="G75" s="177">
        <v>0.55913978494623651</v>
      </c>
      <c r="H75" s="178">
        <v>0.44086021505376344</v>
      </c>
      <c r="J75" s="184"/>
      <c r="M75" s="195"/>
    </row>
    <row r="76" spans="2:13">
      <c r="B76" s="174" t="s">
        <v>346</v>
      </c>
      <c r="C76" s="175">
        <v>44075</v>
      </c>
      <c r="D76">
        <v>400</v>
      </c>
      <c r="E76">
        <v>320</v>
      </c>
      <c r="F76">
        <v>720</v>
      </c>
      <c r="G76" s="177">
        <v>0.55555555555555558</v>
      </c>
      <c r="H76" s="178">
        <v>0.44444444444444442</v>
      </c>
      <c r="J76" s="184"/>
      <c r="M76" s="195"/>
    </row>
    <row r="77" spans="2:13">
      <c r="B77" s="174" t="s">
        <v>347</v>
      </c>
      <c r="C77" s="175">
        <v>44105</v>
      </c>
      <c r="D77">
        <v>432</v>
      </c>
      <c r="E77">
        <v>312</v>
      </c>
      <c r="F77">
        <v>744</v>
      </c>
      <c r="G77" s="177">
        <v>0.58064516129032262</v>
      </c>
      <c r="H77" s="178">
        <v>0.41935483870967744</v>
      </c>
      <c r="J77" s="184"/>
      <c r="M77" s="195"/>
    </row>
    <row r="78" spans="2:13">
      <c r="B78" s="174" t="s">
        <v>348</v>
      </c>
      <c r="C78" s="175">
        <v>44136</v>
      </c>
      <c r="D78">
        <v>384</v>
      </c>
      <c r="E78">
        <v>337</v>
      </c>
      <c r="F78">
        <v>721</v>
      </c>
      <c r="G78" s="177">
        <v>0.53259361997226073</v>
      </c>
      <c r="H78" s="178">
        <v>0.46740638002773927</v>
      </c>
      <c r="J78" s="184"/>
      <c r="M78" s="195"/>
    </row>
    <row r="79" spans="2:13">
      <c r="B79" s="174" t="s">
        <v>349</v>
      </c>
      <c r="C79" s="175">
        <v>44166</v>
      </c>
      <c r="D79">
        <v>416</v>
      </c>
      <c r="E79">
        <v>328</v>
      </c>
      <c r="F79">
        <v>744</v>
      </c>
      <c r="G79" s="177">
        <v>0.55913978494623651</v>
      </c>
      <c r="H79" s="178">
        <v>0.44086021505376344</v>
      </c>
      <c r="J79" s="184"/>
      <c r="M79" s="195"/>
    </row>
    <row r="80" spans="2:13">
      <c r="B80" s="174" t="s">
        <v>350</v>
      </c>
      <c r="C80" s="175">
        <v>44197</v>
      </c>
      <c r="D80">
        <v>400</v>
      </c>
      <c r="E80">
        <v>344</v>
      </c>
      <c r="F80">
        <v>744</v>
      </c>
      <c r="G80" s="177">
        <v>0.5376344086021505</v>
      </c>
      <c r="H80" s="178">
        <v>0.46236559139784944</v>
      </c>
      <c r="J80" s="184"/>
      <c r="M80" s="195"/>
    </row>
    <row r="81" spans="2:13">
      <c r="B81" s="174" t="s">
        <v>351</v>
      </c>
      <c r="C81" s="175">
        <v>44228</v>
      </c>
      <c r="D81">
        <v>384</v>
      </c>
      <c r="E81">
        <v>288</v>
      </c>
      <c r="F81">
        <v>672</v>
      </c>
      <c r="G81" s="177">
        <v>0.5714285714285714</v>
      </c>
      <c r="H81" s="178">
        <v>0.42857142857142855</v>
      </c>
      <c r="J81" s="184"/>
      <c r="M81" s="195"/>
    </row>
    <row r="82" spans="2:13">
      <c r="B82" s="174" t="s">
        <v>352</v>
      </c>
      <c r="C82" s="175">
        <v>44256</v>
      </c>
      <c r="D82">
        <v>432</v>
      </c>
      <c r="E82">
        <v>311</v>
      </c>
      <c r="F82">
        <v>743</v>
      </c>
      <c r="G82" s="177">
        <v>0.58142664872139971</v>
      </c>
      <c r="H82" s="178">
        <v>0.41857335127860029</v>
      </c>
      <c r="J82" s="184"/>
      <c r="M82" s="195"/>
    </row>
    <row r="83" spans="2:13">
      <c r="B83" s="174" t="s">
        <v>353</v>
      </c>
      <c r="C83" s="175">
        <v>44287</v>
      </c>
      <c r="D83">
        <v>416</v>
      </c>
      <c r="E83">
        <v>304</v>
      </c>
      <c r="F83">
        <v>720</v>
      </c>
      <c r="G83" s="177">
        <v>0.57777777777777772</v>
      </c>
      <c r="H83" s="178">
        <v>0.42222222222222222</v>
      </c>
      <c r="J83" s="184"/>
      <c r="M83" s="195"/>
    </row>
    <row r="84" spans="2:13">
      <c r="B84" s="174" t="s">
        <v>354</v>
      </c>
      <c r="C84" s="175">
        <v>44317</v>
      </c>
      <c r="D84">
        <v>400</v>
      </c>
      <c r="E84">
        <v>344</v>
      </c>
      <c r="F84">
        <v>744</v>
      </c>
      <c r="G84" s="177">
        <v>0.5376344086021505</v>
      </c>
      <c r="H84" s="178">
        <v>0.46236559139784944</v>
      </c>
      <c r="J84" s="184"/>
      <c r="M84" s="195"/>
    </row>
    <row r="85" spans="2:13">
      <c r="B85" s="174" t="s">
        <v>355</v>
      </c>
      <c r="C85" s="175">
        <v>44348</v>
      </c>
      <c r="D85">
        <v>416</v>
      </c>
      <c r="E85">
        <v>304</v>
      </c>
      <c r="F85">
        <v>720</v>
      </c>
      <c r="G85" s="177">
        <v>0.57777777777777772</v>
      </c>
      <c r="H85" s="178">
        <v>0.42222222222222222</v>
      </c>
      <c r="J85" s="184"/>
      <c r="M85" s="195"/>
    </row>
    <row r="86" spans="2:13">
      <c r="B86" s="174" t="s">
        <v>356</v>
      </c>
      <c r="C86" s="175">
        <v>44378</v>
      </c>
      <c r="D86">
        <v>416</v>
      </c>
      <c r="E86">
        <v>328</v>
      </c>
      <c r="F86">
        <v>744</v>
      </c>
      <c r="G86" s="177">
        <v>0.55913978494623651</v>
      </c>
      <c r="H86" s="178">
        <v>0.44086021505376344</v>
      </c>
      <c r="J86" s="184"/>
      <c r="M86" s="195"/>
    </row>
    <row r="87" spans="2:13">
      <c r="B87" s="174" t="s">
        <v>357</v>
      </c>
      <c r="C87" s="175">
        <v>44409</v>
      </c>
      <c r="D87">
        <v>416</v>
      </c>
      <c r="E87">
        <v>328</v>
      </c>
      <c r="F87">
        <v>744</v>
      </c>
      <c r="G87" s="177">
        <v>0.55913978494623651</v>
      </c>
      <c r="H87" s="178">
        <v>0.44086021505376344</v>
      </c>
      <c r="J87" s="184"/>
      <c r="M87" s="195"/>
    </row>
    <row r="88" spans="2:13">
      <c r="B88" s="174" t="s">
        <v>358</v>
      </c>
      <c r="C88" s="175">
        <v>44440</v>
      </c>
      <c r="D88">
        <v>400</v>
      </c>
      <c r="E88">
        <v>320</v>
      </c>
      <c r="F88">
        <v>720</v>
      </c>
      <c r="G88" s="177">
        <v>0.55555555555555558</v>
      </c>
      <c r="H88" s="178">
        <v>0.44444444444444442</v>
      </c>
      <c r="J88" s="184"/>
      <c r="M88" s="195"/>
    </row>
    <row r="89" spans="2:13">
      <c r="B89" s="174" t="s">
        <v>359</v>
      </c>
      <c r="C89" s="175">
        <v>44470</v>
      </c>
      <c r="D89">
        <v>416</v>
      </c>
      <c r="E89">
        <v>328</v>
      </c>
      <c r="F89">
        <v>744</v>
      </c>
      <c r="G89">
        <v>0.55913978494623651</v>
      </c>
      <c r="H89" s="176">
        <v>0.44086021505376344</v>
      </c>
      <c r="J89" s="184"/>
      <c r="M89" s="195"/>
    </row>
    <row r="90" spans="2:13">
      <c r="B90" s="174" t="s">
        <v>360</v>
      </c>
      <c r="C90" s="175">
        <v>44501</v>
      </c>
      <c r="D90">
        <v>400</v>
      </c>
      <c r="E90">
        <v>321</v>
      </c>
      <c r="F90">
        <v>721</v>
      </c>
      <c r="G90">
        <v>0.55478502080443826</v>
      </c>
      <c r="H90" s="176">
        <v>0.44521497919556174</v>
      </c>
      <c r="J90" s="184"/>
      <c r="M90" s="195"/>
    </row>
    <row r="91" spans="2:13">
      <c r="B91" s="174" t="s">
        <v>361</v>
      </c>
      <c r="C91" s="175">
        <v>44531</v>
      </c>
      <c r="D91">
        <v>416</v>
      </c>
      <c r="E91">
        <v>328</v>
      </c>
      <c r="F91">
        <v>744</v>
      </c>
      <c r="G91">
        <v>0.55913978494623651</v>
      </c>
      <c r="H91" s="176">
        <v>0.44086021505376344</v>
      </c>
      <c r="J91" s="184"/>
      <c r="M91" s="195"/>
    </row>
    <row r="92" spans="2:13">
      <c r="B92" s="174" t="s">
        <v>362</v>
      </c>
      <c r="C92" s="175">
        <v>44562</v>
      </c>
      <c r="D92">
        <v>400</v>
      </c>
      <c r="E92">
        <v>344</v>
      </c>
      <c r="F92">
        <v>744</v>
      </c>
      <c r="G92">
        <v>0.5376344086021505</v>
      </c>
      <c r="H92" s="176">
        <v>0.46236559139784944</v>
      </c>
      <c r="J92" s="184"/>
      <c r="M92" s="195"/>
    </row>
    <row r="93" spans="2:13">
      <c r="B93" s="174" t="s">
        <v>363</v>
      </c>
      <c r="C93" s="175">
        <v>44593</v>
      </c>
      <c r="D93">
        <v>384</v>
      </c>
      <c r="E93">
        <v>288</v>
      </c>
      <c r="F93">
        <v>672</v>
      </c>
      <c r="G93">
        <v>0.5714285714285714</v>
      </c>
      <c r="H93" s="176">
        <v>0.42857142857142855</v>
      </c>
      <c r="J93" s="184"/>
      <c r="M93" s="195"/>
    </row>
    <row r="94" spans="2:13">
      <c r="B94" s="174" t="s">
        <v>364</v>
      </c>
      <c r="C94" s="175">
        <v>44621</v>
      </c>
      <c r="D94">
        <v>432</v>
      </c>
      <c r="E94">
        <v>311</v>
      </c>
      <c r="F94">
        <v>743</v>
      </c>
      <c r="G94">
        <v>0.58142664872139971</v>
      </c>
      <c r="H94" s="176">
        <v>0.41857335127860029</v>
      </c>
      <c r="J94" s="184"/>
      <c r="M94" s="195"/>
    </row>
    <row r="95" spans="2:13">
      <c r="B95" s="174" t="s">
        <v>365</v>
      </c>
      <c r="C95" s="175">
        <v>44652</v>
      </c>
      <c r="D95">
        <v>416</v>
      </c>
      <c r="E95">
        <v>304</v>
      </c>
      <c r="F95">
        <v>720</v>
      </c>
      <c r="G95">
        <v>0.57777777777777772</v>
      </c>
      <c r="H95" s="176">
        <v>0.42222222222222222</v>
      </c>
      <c r="J95" s="184"/>
      <c r="M95" s="195"/>
    </row>
    <row r="96" spans="2:13">
      <c r="B96" s="174" t="s">
        <v>366</v>
      </c>
      <c r="C96" s="175">
        <v>44682</v>
      </c>
      <c r="D96">
        <v>400</v>
      </c>
      <c r="E96">
        <v>344</v>
      </c>
      <c r="F96">
        <v>744</v>
      </c>
      <c r="G96">
        <v>0.5376344086021505</v>
      </c>
      <c r="H96" s="176">
        <v>0.46236559139784944</v>
      </c>
      <c r="J96" s="184"/>
      <c r="M96" s="195"/>
    </row>
    <row r="97" spans="2:13">
      <c r="B97" s="174" t="s">
        <v>367</v>
      </c>
      <c r="C97" s="175">
        <v>44713</v>
      </c>
      <c r="D97">
        <v>416</v>
      </c>
      <c r="E97">
        <v>304</v>
      </c>
      <c r="F97">
        <v>720</v>
      </c>
      <c r="G97">
        <v>0.57777777777777772</v>
      </c>
      <c r="H97" s="176">
        <v>0.42222222222222222</v>
      </c>
      <c r="J97" s="184"/>
      <c r="M97" s="195"/>
    </row>
    <row r="98" spans="2:13">
      <c r="B98" s="174" t="s">
        <v>368</v>
      </c>
      <c r="C98" s="175">
        <v>44743</v>
      </c>
      <c r="D98">
        <v>400</v>
      </c>
      <c r="E98">
        <v>344</v>
      </c>
      <c r="F98">
        <v>744</v>
      </c>
      <c r="G98">
        <v>0.5376344086021505</v>
      </c>
      <c r="H98" s="176">
        <v>0.46236559139784944</v>
      </c>
      <c r="J98" s="184"/>
      <c r="M98" s="195"/>
    </row>
    <row r="99" spans="2:13">
      <c r="B99" s="174" t="s">
        <v>369</v>
      </c>
      <c r="C99" s="175">
        <v>44774</v>
      </c>
      <c r="D99">
        <v>432</v>
      </c>
      <c r="E99">
        <v>312</v>
      </c>
      <c r="F99">
        <v>744</v>
      </c>
      <c r="G99">
        <v>0.58064516129032262</v>
      </c>
      <c r="H99" s="176">
        <v>0.41935483870967744</v>
      </c>
      <c r="J99" s="184"/>
      <c r="M99" s="195"/>
    </row>
    <row r="100" spans="2:13">
      <c r="B100" s="174" t="s">
        <v>370</v>
      </c>
      <c r="C100" s="175">
        <v>44805</v>
      </c>
      <c r="D100">
        <v>400</v>
      </c>
      <c r="E100">
        <v>320</v>
      </c>
      <c r="F100">
        <v>720</v>
      </c>
      <c r="G100">
        <v>0.55555555555555558</v>
      </c>
      <c r="H100" s="176">
        <v>0.44444444444444442</v>
      </c>
      <c r="J100" s="184"/>
      <c r="M100" s="195"/>
    </row>
    <row r="101" spans="2:13">
      <c r="B101" s="174" t="s">
        <v>371</v>
      </c>
      <c r="C101" s="175">
        <v>44835</v>
      </c>
      <c r="D101">
        <v>416</v>
      </c>
      <c r="E101">
        <v>328</v>
      </c>
      <c r="F101">
        <v>744</v>
      </c>
      <c r="G101">
        <v>0.55913978494623651</v>
      </c>
      <c r="H101" s="176">
        <v>0.44086021505376344</v>
      </c>
      <c r="J101" s="184"/>
      <c r="M101" s="195"/>
    </row>
    <row r="102" spans="2:13">
      <c r="B102" s="174" t="s">
        <v>372</v>
      </c>
      <c r="C102" s="175">
        <v>44866</v>
      </c>
      <c r="D102">
        <v>400</v>
      </c>
      <c r="E102">
        <v>321</v>
      </c>
      <c r="F102">
        <v>721</v>
      </c>
      <c r="G102">
        <v>0.55478502080443826</v>
      </c>
      <c r="H102" s="176">
        <v>0.44521497919556174</v>
      </c>
      <c r="J102" s="184"/>
      <c r="M102" s="195"/>
    </row>
    <row r="103" spans="2:13">
      <c r="B103" s="174" t="s">
        <v>373</v>
      </c>
      <c r="C103" s="175">
        <v>44896</v>
      </c>
      <c r="D103">
        <v>416</v>
      </c>
      <c r="E103">
        <v>328</v>
      </c>
      <c r="F103">
        <v>744</v>
      </c>
      <c r="G103">
        <v>0.55913978494623651</v>
      </c>
      <c r="H103" s="176">
        <v>0.44086021505376344</v>
      </c>
      <c r="J103" s="184"/>
      <c r="M103" s="195"/>
    </row>
    <row r="104" spans="2:13">
      <c r="B104" s="174" t="s">
        <v>374</v>
      </c>
      <c r="C104" s="175">
        <v>44927</v>
      </c>
      <c r="D104">
        <v>400</v>
      </c>
      <c r="E104">
        <v>344</v>
      </c>
      <c r="F104">
        <v>744</v>
      </c>
      <c r="G104">
        <v>0.5376344086021505</v>
      </c>
      <c r="H104" s="176">
        <v>0.46236559139784944</v>
      </c>
      <c r="J104" s="184"/>
      <c r="M104" s="195"/>
    </row>
    <row r="105" spans="2:13">
      <c r="B105" s="174" t="s">
        <v>375</v>
      </c>
      <c r="C105" s="175">
        <v>44958</v>
      </c>
      <c r="D105">
        <v>384</v>
      </c>
      <c r="E105">
        <v>288</v>
      </c>
      <c r="F105">
        <v>672</v>
      </c>
      <c r="G105">
        <v>0.5714285714285714</v>
      </c>
      <c r="H105" s="176">
        <v>0.42857142857142855</v>
      </c>
      <c r="J105" s="184"/>
      <c r="M105" s="195"/>
    </row>
    <row r="106" spans="2:13">
      <c r="B106" s="174" t="s">
        <v>376</v>
      </c>
      <c r="C106" s="175">
        <v>44986</v>
      </c>
      <c r="D106">
        <v>432</v>
      </c>
      <c r="E106">
        <v>311</v>
      </c>
      <c r="F106">
        <v>743</v>
      </c>
      <c r="G106">
        <v>0.58142664872139971</v>
      </c>
      <c r="H106" s="176">
        <v>0.41857335127860029</v>
      </c>
      <c r="J106" s="184"/>
      <c r="M106" s="195"/>
    </row>
    <row r="107" spans="2:13">
      <c r="B107" s="174" t="s">
        <v>377</v>
      </c>
      <c r="C107" s="175">
        <v>45017</v>
      </c>
      <c r="D107">
        <v>400</v>
      </c>
      <c r="E107">
        <v>320</v>
      </c>
      <c r="F107">
        <v>720</v>
      </c>
      <c r="G107">
        <v>0.55555555555555558</v>
      </c>
      <c r="H107" s="176">
        <v>0.44444444444444442</v>
      </c>
      <c r="J107" s="184"/>
      <c r="M107" s="195"/>
    </row>
    <row r="108" spans="2:13">
      <c r="B108" s="174" t="s">
        <v>378</v>
      </c>
      <c r="C108" s="175">
        <v>45047</v>
      </c>
      <c r="D108">
        <v>416</v>
      </c>
      <c r="E108">
        <v>328</v>
      </c>
      <c r="F108">
        <v>744</v>
      </c>
      <c r="G108">
        <v>0.55913978494623651</v>
      </c>
      <c r="H108" s="176">
        <v>0.44086021505376344</v>
      </c>
      <c r="J108" s="184"/>
      <c r="M108" s="195"/>
    </row>
    <row r="109" spans="2:13">
      <c r="B109" s="174" t="s">
        <v>379</v>
      </c>
      <c r="C109" s="175">
        <v>45078</v>
      </c>
      <c r="D109">
        <v>416</v>
      </c>
      <c r="E109">
        <v>304</v>
      </c>
      <c r="F109">
        <v>720</v>
      </c>
      <c r="G109">
        <v>0.57777777777777772</v>
      </c>
      <c r="H109" s="176">
        <v>0.42222222222222222</v>
      </c>
      <c r="J109" s="184"/>
      <c r="M109" s="195"/>
    </row>
    <row r="110" spans="2:13">
      <c r="B110" s="174" t="s">
        <v>380</v>
      </c>
      <c r="C110" s="175">
        <v>45108</v>
      </c>
      <c r="D110">
        <v>400</v>
      </c>
      <c r="E110">
        <v>344</v>
      </c>
      <c r="F110">
        <v>744</v>
      </c>
      <c r="G110">
        <v>0.5376344086021505</v>
      </c>
      <c r="H110" s="176">
        <v>0.46236559139784944</v>
      </c>
      <c r="J110" s="184"/>
      <c r="M110" s="195"/>
    </row>
    <row r="111" spans="2:13">
      <c r="B111" s="174" t="s">
        <v>381</v>
      </c>
      <c r="C111" s="175">
        <v>45139</v>
      </c>
      <c r="D111">
        <v>432</v>
      </c>
      <c r="E111">
        <v>312</v>
      </c>
      <c r="F111">
        <v>744</v>
      </c>
      <c r="G111">
        <v>0.58064516129032262</v>
      </c>
      <c r="H111" s="176">
        <v>0.41935483870967744</v>
      </c>
      <c r="J111" s="184"/>
      <c r="M111" s="195"/>
    </row>
    <row r="112" spans="2:13">
      <c r="B112" s="174" t="s">
        <v>382</v>
      </c>
      <c r="C112" s="175">
        <v>45170</v>
      </c>
      <c r="D112">
        <v>400</v>
      </c>
      <c r="E112">
        <v>320</v>
      </c>
      <c r="F112">
        <v>720</v>
      </c>
      <c r="G112">
        <v>0.55555555555555558</v>
      </c>
      <c r="H112" s="176">
        <v>0.44444444444444442</v>
      </c>
      <c r="J112" s="184"/>
      <c r="M112" s="195"/>
    </row>
    <row r="113" spans="2:13">
      <c r="B113" s="174" t="s">
        <v>383</v>
      </c>
      <c r="C113" s="175">
        <v>45200</v>
      </c>
      <c r="D113">
        <v>416</v>
      </c>
      <c r="E113">
        <v>328</v>
      </c>
      <c r="F113">
        <v>744</v>
      </c>
      <c r="G113">
        <v>0.55913978494623651</v>
      </c>
      <c r="H113" s="176">
        <v>0.44086021505376344</v>
      </c>
      <c r="J113" s="184"/>
      <c r="M113" s="195"/>
    </row>
    <row r="114" spans="2:13">
      <c r="B114" s="174" t="s">
        <v>384</v>
      </c>
      <c r="C114" s="175">
        <v>45231</v>
      </c>
      <c r="D114">
        <v>400</v>
      </c>
      <c r="E114">
        <v>321</v>
      </c>
      <c r="F114">
        <v>721</v>
      </c>
      <c r="G114">
        <v>0.55478502080443826</v>
      </c>
      <c r="H114" s="176">
        <v>0.44521497919556174</v>
      </c>
      <c r="J114" s="184"/>
      <c r="M114" s="195"/>
    </row>
    <row r="115" spans="2:13">
      <c r="B115" s="174" t="s">
        <v>385</v>
      </c>
      <c r="C115" s="175">
        <v>45261</v>
      </c>
      <c r="D115">
        <v>400</v>
      </c>
      <c r="E115">
        <v>344</v>
      </c>
      <c r="F115">
        <v>744</v>
      </c>
      <c r="G115">
        <v>0.5376344086021505</v>
      </c>
      <c r="H115" s="176">
        <v>0.46236559139784944</v>
      </c>
      <c r="J115" s="184"/>
      <c r="M115" s="195"/>
    </row>
    <row r="116" spans="2:13">
      <c r="B116" s="174" t="s">
        <v>386</v>
      </c>
      <c r="C116" s="175">
        <v>45292</v>
      </c>
      <c r="D116">
        <v>416</v>
      </c>
      <c r="E116">
        <v>328</v>
      </c>
      <c r="F116">
        <v>744</v>
      </c>
      <c r="G116">
        <v>0.55913978494623651</v>
      </c>
      <c r="H116" s="176">
        <v>0.44086021505376344</v>
      </c>
      <c r="J116" s="184"/>
      <c r="M116" s="195"/>
    </row>
    <row r="117" spans="2:13">
      <c r="B117" s="174" t="s">
        <v>387</v>
      </c>
      <c r="C117" s="175">
        <v>45323</v>
      </c>
      <c r="D117">
        <v>400</v>
      </c>
      <c r="E117">
        <v>296</v>
      </c>
      <c r="F117">
        <v>696</v>
      </c>
      <c r="G117">
        <v>0.57471264367816088</v>
      </c>
      <c r="H117" s="176">
        <v>0.42528735632183906</v>
      </c>
      <c r="J117" s="184"/>
      <c r="M117" s="195"/>
    </row>
    <row r="118" spans="2:13">
      <c r="B118" s="174" t="s">
        <v>388</v>
      </c>
      <c r="C118" s="175">
        <v>45352</v>
      </c>
      <c r="D118">
        <v>416</v>
      </c>
      <c r="E118">
        <v>327</v>
      </c>
      <c r="F118">
        <v>743</v>
      </c>
      <c r="G118">
        <v>0.55989232839838488</v>
      </c>
      <c r="H118" s="176">
        <v>0.44010767160161507</v>
      </c>
      <c r="J118" s="184"/>
      <c r="M118" s="195"/>
    </row>
    <row r="119" spans="2:13">
      <c r="B119" s="174" t="s">
        <v>389</v>
      </c>
      <c r="C119" s="175">
        <v>45383</v>
      </c>
      <c r="D119">
        <v>416</v>
      </c>
      <c r="E119">
        <v>304</v>
      </c>
      <c r="F119">
        <v>720</v>
      </c>
      <c r="G119">
        <v>0.57777777777777772</v>
      </c>
      <c r="H119" s="176">
        <v>0.42222222222222222</v>
      </c>
      <c r="J119" s="184"/>
      <c r="M119" s="195"/>
    </row>
    <row r="120" spans="2:13">
      <c r="B120" s="174" t="s">
        <v>390</v>
      </c>
      <c r="C120" s="175">
        <v>45413</v>
      </c>
      <c r="D120">
        <v>416</v>
      </c>
      <c r="E120">
        <v>328</v>
      </c>
      <c r="F120">
        <v>744</v>
      </c>
      <c r="G120">
        <v>0.55913978494623651</v>
      </c>
      <c r="H120" s="176">
        <v>0.44086021505376344</v>
      </c>
      <c r="J120" s="184"/>
      <c r="M120" s="195"/>
    </row>
    <row r="121" spans="2:13">
      <c r="B121" s="174" t="s">
        <v>391</v>
      </c>
      <c r="C121" s="175">
        <v>45444</v>
      </c>
      <c r="D121">
        <v>400</v>
      </c>
      <c r="E121">
        <v>320</v>
      </c>
      <c r="F121">
        <v>720</v>
      </c>
      <c r="G121">
        <v>0.55555555555555558</v>
      </c>
      <c r="H121" s="176">
        <v>0.44444444444444442</v>
      </c>
      <c r="J121" s="184"/>
      <c r="M121" s="195"/>
    </row>
    <row r="122" spans="2:13">
      <c r="B122" s="174" t="s">
        <v>392</v>
      </c>
      <c r="C122" s="175">
        <v>45474</v>
      </c>
      <c r="D122">
        <v>416</v>
      </c>
      <c r="E122">
        <v>328</v>
      </c>
      <c r="F122">
        <v>744</v>
      </c>
      <c r="G122">
        <v>0.55913978494623651</v>
      </c>
      <c r="H122" s="176">
        <v>0.44086021505376344</v>
      </c>
      <c r="J122" s="184"/>
      <c r="M122" s="195"/>
    </row>
    <row r="123" spans="2:13">
      <c r="B123" s="174" t="s">
        <v>393</v>
      </c>
      <c r="C123" s="175">
        <v>45505</v>
      </c>
      <c r="D123">
        <v>432</v>
      </c>
      <c r="E123">
        <v>312</v>
      </c>
      <c r="F123">
        <v>744</v>
      </c>
      <c r="G123">
        <v>0.58064516129032262</v>
      </c>
      <c r="H123" s="176">
        <v>0.41935483870967744</v>
      </c>
      <c r="J123" s="184"/>
      <c r="M123" s="195"/>
    </row>
    <row r="124" spans="2:13">
      <c r="B124" s="174" t="s">
        <v>394</v>
      </c>
      <c r="C124" s="175">
        <v>45536</v>
      </c>
      <c r="D124">
        <v>384</v>
      </c>
      <c r="E124">
        <v>336</v>
      </c>
      <c r="F124">
        <v>720</v>
      </c>
      <c r="G124">
        <v>0.53333333333333333</v>
      </c>
      <c r="H124" s="176">
        <v>0.46666666666666667</v>
      </c>
      <c r="J124" s="184"/>
      <c r="M124" s="195"/>
    </row>
    <row r="125" spans="2:13">
      <c r="B125" s="174" t="s">
        <v>395</v>
      </c>
      <c r="C125" s="175">
        <v>45566</v>
      </c>
      <c r="D125">
        <v>432</v>
      </c>
      <c r="E125">
        <v>312</v>
      </c>
      <c r="F125">
        <v>744</v>
      </c>
      <c r="G125">
        <v>0.58064516129032262</v>
      </c>
      <c r="H125" s="176">
        <v>0.41935483870967744</v>
      </c>
      <c r="J125" s="184"/>
      <c r="M125" s="195"/>
    </row>
    <row r="126" spans="2:13">
      <c r="B126" s="174" t="s">
        <v>396</v>
      </c>
      <c r="C126" s="175">
        <v>45597</v>
      </c>
      <c r="D126">
        <v>400</v>
      </c>
      <c r="E126">
        <v>321</v>
      </c>
      <c r="F126">
        <v>721</v>
      </c>
      <c r="G126">
        <v>0.55478502080443826</v>
      </c>
      <c r="H126" s="176">
        <v>0.44521497919556174</v>
      </c>
      <c r="J126" s="184"/>
      <c r="M126" s="195"/>
    </row>
    <row r="127" spans="2:13">
      <c r="B127" s="174" t="s">
        <v>397</v>
      </c>
      <c r="C127" s="175">
        <v>45627</v>
      </c>
      <c r="D127">
        <v>400</v>
      </c>
      <c r="E127">
        <v>344</v>
      </c>
      <c r="F127">
        <v>744</v>
      </c>
      <c r="G127">
        <v>0.5376344086021505</v>
      </c>
      <c r="H127" s="176">
        <v>0.46236559139784944</v>
      </c>
      <c r="J127" s="184"/>
      <c r="M127" s="195"/>
    </row>
    <row r="128" spans="2:13">
      <c r="B128" s="174" t="s">
        <v>398</v>
      </c>
      <c r="C128" s="175">
        <v>45658</v>
      </c>
      <c r="D128">
        <v>416</v>
      </c>
      <c r="E128">
        <v>328</v>
      </c>
      <c r="F128">
        <v>744</v>
      </c>
      <c r="G128">
        <v>0.55913978494623651</v>
      </c>
      <c r="H128" s="176">
        <v>0.44086021505376344</v>
      </c>
      <c r="J128" s="184"/>
      <c r="M128" s="195"/>
    </row>
    <row r="129" spans="2:13">
      <c r="B129" s="174" t="s">
        <v>399</v>
      </c>
      <c r="C129" s="175">
        <v>45689</v>
      </c>
      <c r="D129">
        <v>384</v>
      </c>
      <c r="E129">
        <v>288</v>
      </c>
      <c r="F129">
        <v>672</v>
      </c>
      <c r="G129">
        <v>0.5714285714285714</v>
      </c>
      <c r="H129" s="176">
        <v>0.42857142857142855</v>
      </c>
      <c r="J129" s="184"/>
      <c r="M129" s="195"/>
    </row>
    <row r="130" spans="2:13">
      <c r="B130" s="174" t="s">
        <v>400</v>
      </c>
      <c r="C130" s="175">
        <v>45717</v>
      </c>
      <c r="D130">
        <v>416</v>
      </c>
      <c r="E130">
        <v>327</v>
      </c>
      <c r="F130">
        <v>743</v>
      </c>
      <c r="G130">
        <v>0.55989232839838488</v>
      </c>
      <c r="H130" s="176">
        <v>0.44010767160161507</v>
      </c>
      <c r="J130" s="184"/>
      <c r="M130" s="195"/>
    </row>
    <row r="131" spans="2:13">
      <c r="B131" s="174" t="s">
        <v>401</v>
      </c>
      <c r="C131" s="175">
        <v>45748</v>
      </c>
      <c r="D131">
        <v>416</v>
      </c>
      <c r="E131">
        <v>304</v>
      </c>
      <c r="F131">
        <v>720</v>
      </c>
      <c r="G131">
        <v>0.57777777777777772</v>
      </c>
      <c r="H131" s="176">
        <v>0.42222222222222222</v>
      </c>
      <c r="J131" s="184"/>
      <c r="M131" s="195"/>
    </row>
    <row r="132" spans="2:13">
      <c r="B132" s="174" t="s">
        <v>402</v>
      </c>
      <c r="C132" s="175">
        <v>45778</v>
      </c>
      <c r="D132">
        <v>416</v>
      </c>
      <c r="E132">
        <v>328</v>
      </c>
      <c r="F132">
        <v>744</v>
      </c>
      <c r="G132">
        <v>0.55913978494623651</v>
      </c>
      <c r="H132" s="176">
        <v>0.44086021505376344</v>
      </c>
      <c r="J132" s="184"/>
      <c r="M132" s="195"/>
    </row>
    <row r="133" spans="2:13">
      <c r="B133" s="174" t="s">
        <v>403</v>
      </c>
      <c r="C133" s="175">
        <v>45809</v>
      </c>
      <c r="D133">
        <v>400</v>
      </c>
      <c r="E133">
        <v>320</v>
      </c>
      <c r="F133">
        <v>720</v>
      </c>
      <c r="G133">
        <v>0.55555555555555558</v>
      </c>
      <c r="H133" s="176">
        <v>0.44444444444444442</v>
      </c>
      <c r="J133" s="184"/>
      <c r="M133" s="195"/>
    </row>
    <row r="134" spans="2:13">
      <c r="B134" s="174" t="s">
        <v>404</v>
      </c>
      <c r="C134" s="175">
        <v>45839</v>
      </c>
      <c r="D134">
        <v>416</v>
      </c>
      <c r="E134">
        <v>328</v>
      </c>
      <c r="F134">
        <v>744</v>
      </c>
      <c r="G134">
        <v>0.55913978494623651</v>
      </c>
      <c r="H134" s="176">
        <v>0.44086021505376344</v>
      </c>
      <c r="J134" s="184"/>
      <c r="M134" s="195"/>
    </row>
    <row r="135" spans="2:13">
      <c r="B135" s="174" t="s">
        <v>405</v>
      </c>
      <c r="C135" s="175">
        <v>45870</v>
      </c>
      <c r="D135">
        <v>416</v>
      </c>
      <c r="E135">
        <v>328</v>
      </c>
      <c r="F135">
        <v>744</v>
      </c>
      <c r="G135">
        <v>0.55913978494623651</v>
      </c>
      <c r="H135" s="176">
        <v>0.44086021505376344</v>
      </c>
      <c r="J135" s="184"/>
      <c r="M135" s="195"/>
    </row>
    <row r="136" spans="2:13">
      <c r="B136" s="174" t="s">
        <v>406</v>
      </c>
      <c r="C136" s="175">
        <v>45901</v>
      </c>
      <c r="D136">
        <v>400</v>
      </c>
      <c r="E136">
        <v>320</v>
      </c>
      <c r="F136">
        <v>720</v>
      </c>
      <c r="G136">
        <v>0.55555555555555558</v>
      </c>
      <c r="H136" s="176">
        <v>0.44444444444444442</v>
      </c>
      <c r="J136" s="184"/>
      <c r="M136" s="195"/>
    </row>
    <row r="137" spans="2:13">
      <c r="B137" s="174" t="s">
        <v>407</v>
      </c>
      <c r="C137" s="175">
        <v>45931</v>
      </c>
      <c r="D137">
        <v>432</v>
      </c>
      <c r="E137">
        <v>312</v>
      </c>
      <c r="F137">
        <v>744</v>
      </c>
      <c r="G137">
        <v>0.58064516129032262</v>
      </c>
      <c r="H137" s="176">
        <v>0.41935483870967744</v>
      </c>
      <c r="J137" s="184"/>
      <c r="M137" s="195"/>
    </row>
    <row r="138" spans="2:13">
      <c r="B138" s="174" t="s">
        <v>408</v>
      </c>
      <c r="C138" s="175">
        <v>45962</v>
      </c>
      <c r="D138">
        <v>384</v>
      </c>
      <c r="E138">
        <v>337</v>
      </c>
      <c r="F138">
        <v>721</v>
      </c>
      <c r="G138">
        <v>0.53259361997226073</v>
      </c>
      <c r="H138" s="176">
        <v>0.46740638002773927</v>
      </c>
      <c r="J138" s="184"/>
      <c r="M138" s="195"/>
    </row>
    <row r="139" spans="2:13">
      <c r="B139" s="174" t="s">
        <v>409</v>
      </c>
      <c r="C139" s="175">
        <v>45992</v>
      </c>
      <c r="D139">
        <v>416</v>
      </c>
      <c r="E139">
        <v>328</v>
      </c>
      <c r="F139">
        <v>744</v>
      </c>
      <c r="G139">
        <v>0.55913978494623651</v>
      </c>
      <c r="H139" s="176">
        <v>0.44086021505376344</v>
      </c>
      <c r="J139" s="184"/>
      <c r="M139" s="195"/>
    </row>
    <row r="140" spans="2:13">
      <c r="B140" s="174" t="s">
        <v>410</v>
      </c>
      <c r="C140" s="175">
        <v>46023</v>
      </c>
      <c r="D140">
        <v>416</v>
      </c>
      <c r="E140">
        <v>328</v>
      </c>
      <c r="F140">
        <v>744</v>
      </c>
      <c r="G140">
        <v>0.55913978494623651</v>
      </c>
      <c r="H140" s="176">
        <v>0.44086021505376344</v>
      </c>
      <c r="J140" s="184"/>
      <c r="M140" s="195"/>
    </row>
    <row r="141" spans="2:13">
      <c r="B141" s="174" t="s">
        <v>411</v>
      </c>
      <c r="C141" s="175">
        <v>46054</v>
      </c>
      <c r="D141">
        <v>384</v>
      </c>
      <c r="E141">
        <v>288</v>
      </c>
      <c r="F141">
        <v>672</v>
      </c>
      <c r="G141">
        <v>0.5714285714285714</v>
      </c>
      <c r="H141" s="176">
        <v>0.42857142857142855</v>
      </c>
      <c r="J141" s="184"/>
      <c r="M141" s="195"/>
    </row>
    <row r="142" spans="2:13">
      <c r="B142" s="174" t="s">
        <v>412</v>
      </c>
      <c r="C142" s="175">
        <v>46082</v>
      </c>
      <c r="D142">
        <v>416</v>
      </c>
      <c r="E142">
        <v>327</v>
      </c>
      <c r="F142">
        <v>743</v>
      </c>
      <c r="G142">
        <v>0.55989232839838488</v>
      </c>
      <c r="H142" s="176">
        <v>0.44010767160161507</v>
      </c>
      <c r="J142" s="184"/>
      <c r="M142" s="195"/>
    </row>
    <row r="143" spans="2:13">
      <c r="B143" s="174" t="s">
        <v>413</v>
      </c>
      <c r="C143" s="175">
        <v>46113</v>
      </c>
      <c r="D143">
        <v>416</v>
      </c>
      <c r="E143">
        <v>304</v>
      </c>
      <c r="F143">
        <v>720</v>
      </c>
      <c r="G143">
        <v>0.57777777777777772</v>
      </c>
      <c r="H143" s="176">
        <v>0.42222222222222222</v>
      </c>
      <c r="J143" s="184"/>
      <c r="M143" s="195"/>
    </row>
    <row r="144" spans="2:13">
      <c r="B144" s="174" t="s">
        <v>414</v>
      </c>
      <c r="C144" s="175">
        <v>46143</v>
      </c>
      <c r="D144">
        <v>400</v>
      </c>
      <c r="E144">
        <v>344</v>
      </c>
      <c r="F144">
        <v>744</v>
      </c>
      <c r="G144">
        <v>0.5376344086021505</v>
      </c>
      <c r="H144" s="176">
        <v>0.46236559139784944</v>
      </c>
      <c r="J144" s="184"/>
      <c r="M144" s="195"/>
    </row>
    <row r="145" spans="2:13">
      <c r="B145" s="174" t="s">
        <v>415</v>
      </c>
      <c r="C145" s="175">
        <v>46174</v>
      </c>
      <c r="D145">
        <v>416</v>
      </c>
      <c r="E145">
        <v>304</v>
      </c>
      <c r="F145">
        <v>720</v>
      </c>
      <c r="G145">
        <v>0.57777777777777772</v>
      </c>
      <c r="H145" s="176">
        <v>0.42222222222222222</v>
      </c>
      <c r="J145" s="184"/>
      <c r="M145" s="195"/>
    </row>
    <row r="146" spans="2:13">
      <c r="B146" s="174" t="s">
        <v>416</v>
      </c>
      <c r="C146" s="175">
        <v>46204</v>
      </c>
      <c r="D146">
        <v>416</v>
      </c>
      <c r="E146">
        <v>328</v>
      </c>
      <c r="F146">
        <v>744</v>
      </c>
      <c r="G146">
        <v>0.55913978494623651</v>
      </c>
      <c r="H146" s="176">
        <v>0.44086021505376344</v>
      </c>
      <c r="J146" s="184"/>
      <c r="M146" s="195"/>
    </row>
    <row r="147" spans="2:13">
      <c r="B147" s="174" t="s">
        <v>417</v>
      </c>
      <c r="C147" s="175">
        <v>46235</v>
      </c>
      <c r="D147">
        <v>416</v>
      </c>
      <c r="E147">
        <v>328</v>
      </c>
      <c r="F147">
        <v>744</v>
      </c>
      <c r="G147">
        <v>0.55913978494623651</v>
      </c>
      <c r="H147" s="176">
        <v>0.44086021505376344</v>
      </c>
      <c r="J147" s="184"/>
      <c r="M147" s="195"/>
    </row>
    <row r="148" spans="2:13">
      <c r="B148" s="174" t="s">
        <v>418</v>
      </c>
      <c r="C148" s="175">
        <v>46266</v>
      </c>
      <c r="D148">
        <v>400</v>
      </c>
      <c r="E148">
        <v>320</v>
      </c>
      <c r="F148">
        <v>720</v>
      </c>
      <c r="G148">
        <v>0.55555555555555558</v>
      </c>
      <c r="H148" s="176">
        <v>0.44444444444444442</v>
      </c>
      <c r="J148" s="184"/>
      <c r="M148" s="195"/>
    </row>
    <row r="149" spans="2:13">
      <c r="B149" s="174" t="s">
        <v>419</v>
      </c>
      <c r="C149" s="175">
        <v>46296</v>
      </c>
      <c r="D149">
        <v>432</v>
      </c>
      <c r="E149">
        <v>312</v>
      </c>
      <c r="F149">
        <v>744</v>
      </c>
      <c r="G149">
        <v>0.58064516129032262</v>
      </c>
      <c r="H149" s="176">
        <v>0.41935483870967744</v>
      </c>
      <c r="J149" s="184"/>
      <c r="M149" s="195"/>
    </row>
    <row r="150" spans="2:13">
      <c r="B150" s="174" t="s">
        <v>420</v>
      </c>
      <c r="C150" s="175">
        <v>46327</v>
      </c>
      <c r="D150">
        <v>384</v>
      </c>
      <c r="E150">
        <v>337</v>
      </c>
      <c r="F150">
        <v>721</v>
      </c>
      <c r="G150">
        <v>0.53259361997226073</v>
      </c>
      <c r="H150" s="176">
        <v>0.46740638002773927</v>
      </c>
      <c r="J150" s="184"/>
      <c r="M150" s="195"/>
    </row>
    <row r="151" spans="2:13">
      <c r="B151" s="174" t="s">
        <v>421</v>
      </c>
      <c r="C151" s="175">
        <v>46357</v>
      </c>
      <c r="D151">
        <v>416</v>
      </c>
      <c r="E151">
        <v>328</v>
      </c>
      <c r="F151">
        <v>744</v>
      </c>
      <c r="G151">
        <v>0.55913978494623651</v>
      </c>
      <c r="H151" s="176">
        <v>0.44086021505376344</v>
      </c>
      <c r="J151" s="184"/>
      <c r="M151" s="195"/>
    </row>
    <row r="152" spans="2:13">
      <c r="B152" s="174" t="s">
        <v>422</v>
      </c>
      <c r="C152" s="175">
        <v>46388</v>
      </c>
      <c r="D152">
        <v>400</v>
      </c>
      <c r="E152">
        <v>344</v>
      </c>
      <c r="F152">
        <v>744</v>
      </c>
      <c r="G152">
        <v>0.5376344086021505</v>
      </c>
      <c r="H152" s="176">
        <v>0.46236559139784944</v>
      </c>
      <c r="J152" s="184"/>
      <c r="M152" s="195"/>
    </row>
    <row r="153" spans="2:13">
      <c r="B153" s="174" t="s">
        <v>423</v>
      </c>
      <c r="C153" s="175">
        <v>46419</v>
      </c>
      <c r="D153">
        <v>384</v>
      </c>
      <c r="E153">
        <v>288</v>
      </c>
      <c r="F153">
        <v>672</v>
      </c>
      <c r="G153">
        <v>0.5714285714285714</v>
      </c>
      <c r="H153" s="176">
        <v>0.42857142857142855</v>
      </c>
      <c r="J153" s="184"/>
      <c r="M153" s="195"/>
    </row>
    <row r="154" spans="2:13">
      <c r="B154" s="174" t="s">
        <v>424</v>
      </c>
      <c r="C154" s="175">
        <v>46447</v>
      </c>
      <c r="D154">
        <v>432</v>
      </c>
      <c r="E154">
        <v>311</v>
      </c>
      <c r="F154">
        <v>743</v>
      </c>
      <c r="G154">
        <v>0.58142664872139971</v>
      </c>
      <c r="H154" s="176">
        <v>0.41857335127860029</v>
      </c>
      <c r="J154" s="184"/>
      <c r="M154" s="195"/>
    </row>
    <row r="155" spans="2:13">
      <c r="B155" s="174" t="s">
        <v>425</v>
      </c>
      <c r="C155" s="175">
        <v>46478</v>
      </c>
      <c r="D155">
        <v>416</v>
      </c>
      <c r="E155">
        <v>304</v>
      </c>
      <c r="F155">
        <v>720</v>
      </c>
      <c r="G155">
        <v>0.57777777777777772</v>
      </c>
      <c r="H155" s="176">
        <v>0.42222222222222222</v>
      </c>
      <c r="J155" s="184"/>
      <c r="M155" s="195"/>
    </row>
    <row r="156" spans="2:13">
      <c r="B156" s="174" t="s">
        <v>426</v>
      </c>
      <c r="C156" s="175">
        <v>46508</v>
      </c>
      <c r="D156">
        <v>400</v>
      </c>
      <c r="E156">
        <v>344</v>
      </c>
      <c r="F156">
        <v>744</v>
      </c>
      <c r="G156">
        <v>0.5376344086021505</v>
      </c>
      <c r="H156" s="176">
        <v>0.46236559139784944</v>
      </c>
      <c r="J156" s="184"/>
      <c r="M156" s="195"/>
    </row>
    <row r="157" spans="2:13">
      <c r="B157" s="174" t="s">
        <v>427</v>
      </c>
      <c r="C157" s="175">
        <v>46539</v>
      </c>
      <c r="D157">
        <v>416</v>
      </c>
      <c r="E157">
        <v>304</v>
      </c>
      <c r="F157">
        <v>720</v>
      </c>
      <c r="G157">
        <v>0.57777777777777772</v>
      </c>
      <c r="H157" s="176">
        <v>0.42222222222222222</v>
      </c>
      <c r="J157" s="184"/>
      <c r="M157" s="195"/>
    </row>
    <row r="158" spans="2:13">
      <c r="B158" s="174" t="s">
        <v>428</v>
      </c>
      <c r="C158" s="175">
        <v>46569</v>
      </c>
      <c r="D158">
        <v>416</v>
      </c>
      <c r="E158">
        <v>328</v>
      </c>
      <c r="F158">
        <v>744</v>
      </c>
      <c r="G158">
        <v>0.55913978494623651</v>
      </c>
      <c r="H158" s="176">
        <v>0.44086021505376344</v>
      </c>
      <c r="J158" s="184"/>
      <c r="M158" s="195"/>
    </row>
    <row r="159" spans="2:13">
      <c r="B159" s="174" t="s">
        <v>429</v>
      </c>
      <c r="C159" s="175">
        <v>46600</v>
      </c>
      <c r="D159">
        <v>416</v>
      </c>
      <c r="E159">
        <v>328</v>
      </c>
      <c r="F159">
        <v>744</v>
      </c>
      <c r="G159">
        <v>0.55913978494623651</v>
      </c>
      <c r="H159" s="176">
        <v>0.44086021505376344</v>
      </c>
      <c r="J159" s="184"/>
      <c r="M159" s="195"/>
    </row>
    <row r="160" spans="2:13">
      <c r="B160" s="174" t="s">
        <v>430</v>
      </c>
      <c r="C160" s="175">
        <v>46631</v>
      </c>
      <c r="D160">
        <v>400</v>
      </c>
      <c r="E160">
        <v>320</v>
      </c>
      <c r="F160">
        <v>720</v>
      </c>
      <c r="G160">
        <v>0.55555555555555558</v>
      </c>
      <c r="H160" s="176">
        <v>0.44444444444444442</v>
      </c>
      <c r="J160" s="184"/>
      <c r="M160" s="195"/>
    </row>
    <row r="161" spans="2:13">
      <c r="B161" s="174" t="s">
        <v>431</v>
      </c>
      <c r="C161" s="175">
        <v>46661</v>
      </c>
      <c r="D161">
        <v>416</v>
      </c>
      <c r="E161">
        <v>328</v>
      </c>
      <c r="F161">
        <v>744</v>
      </c>
      <c r="G161">
        <v>0.55913978494623651</v>
      </c>
      <c r="H161" s="176">
        <v>0.44086021505376344</v>
      </c>
      <c r="J161" s="184"/>
      <c r="M161" s="195"/>
    </row>
    <row r="162" spans="2:13">
      <c r="B162" s="174" t="s">
        <v>432</v>
      </c>
      <c r="C162" s="175">
        <v>46692</v>
      </c>
      <c r="D162">
        <v>400</v>
      </c>
      <c r="E162">
        <v>321</v>
      </c>
      <c r="F162">
        <v>721</v>
      </c>
      <c r="G162">
        <v>0.55478502080443826</v>
      </c>
      <c r="H162" s="176">
        <v>0.44521497919556174</v>
      </c>
      <c r="J162" s="184"/>
      <c r="M162" s="195"/>
    </row>
    <row r="163" spans="2:13">
      <c r="B163" s="174" t="s">
        <v>433</v>
      </c>
      <c r="C163" s="175">
        <v>46722</v>
      </c>
      <c r="D163">
        <v>416</v>
      </c>
      <c r="E163">
        <v>328</v>
      </c>
      <c r="F163">
        <v>744</v>
      </c>
      <c r="G163">
        <v>0.55913978494623651</v>
      </c>
      <c r="H163" s="176">
        <v>0.44086021505376344</v>
      </c>
      <c r="J163" s="184"/>
      <c r="M163" s="195"/>
    </row>
    <row r="164" spans="2:13">
      <c r="B164" s="174" t="s">
        <v>434</v>
      </c>
      <c r="C164" s="175">
        <v>46753</v>
      </c>
      <c r="D164">
        <v>400</v>
      </c>
      <c r="E164">
        <v>344</v>
      </c>
      <c r="F164">
        <v>744</v>
      </c>
      <c r="G164">
        <v>0.5376344086021505</v>
      </c>
      <c r="H164" s="176">
        <v>0.46236559139784944</v>
      </c>
      <c r="J164" s="184"/>
      <c r="M164" s="195"/>
    </row>
    <row r="165" spans="2:13">
      <c r="B165" s="174" t="s">
        <v>435</v>
      </c>
      <c r="C165" s="175">
        <v>46784</v>
      </c>
      <c r="D165">
        <v>400</v>
      </c>
      <c r="E165">
        <v>296</v>
      </c>
      <c r="F165">
        <v>696</v>
      </c>
      <c r="G165">
        <v>0.57471264367816088</v>
      </c>
      <c r="H165" s="176">
        <v>0.42528735632183906</v>
      </c>
      <c r="J165" s="184"/>
      <c r="M165" s="195"/>
    </row>
    <row r="166" spans="2:13">
      <c r="B166" s="174" t="s">
        <v>436</v>
      </c>
      <c r="C166" s="175">
        <v>46813</v>
      </c>
      <c r="D166">
        <v>432</v>
      </c>
      <c r="E166">
        <v>311</v>
      </c>
      <c r="F166">
        <v>743</v>
      </c>
      <c r="G166">
        <v>0.58142664872139971</v>
      </c>
      <c r="H166" s="176">
        <v>0.41857335127860029</v>
      </c>
      <c r="J166" s="184"/>
      <c r="M166" s="195"/>
    </row>
    <row r="167" spans="2:13">
      <c r="B167" s="174" t="s">
        <v>437</v>
      </c>
      <c r="C167" s="175">
        <v>46844</v>
      </c>
      <c r="D167">
        <v>400</v>
      </c>
      <c r="E167">
        <v>320</v>
      </c>
      <c r="F167">
        <v>720</v>
      </c>
      <c r="G167">
        <v>0.55555555555555558</v>
      </c>
      <c r="H167" s="176">
        <v>0.44444444444444442</v>
      </c>
      <c r="J167" s="184"/>
      <c r="M167" s="195"/>
    </row>
    <row r="168" spans="2:13">
      <c r="B168" s="174" t="s">
        <v>438</v>
      </c>
      <c r="C168" s="175">
        <v>46874</v>
      </c>
      <c r="D168">
        <v>416</v>
      </c>
      <c r="E168">
        <v>328</v>
      </c>
      <c r="F168">
        <v>744</v>
      </c>
      <c r="G168">
        <v>0.55913978494623651</v>
      </c>
      <c r="H168" s="176">
        <v>0.44086021505376344</v>
      </c>
      <c r="J168" s="184"/>
      <c r="M168" s="195"/>
    </row>
    <row r="169" spans="2:13">
      <c r="B169" s="174" t="s">
        <v>439</v>
      </c>
      <c r="C169" s="175">
        <v>46905</v>
      </c>
      <c r="D169">
        <v>416</v>
      </c>
      <c r="E169">
        <v>304</v>
      </c>
      <c r="F169">
        <v>720</v>
      </c>
      <c r="G169">
        <v>0.57777777777777772</v>
      </c>
      <c r="H169" s="176">
        <v>0.42222222222222222</v>
      </c>
      <c r="J169" s="184"/>
      <c r="M169" s="195"/>
    </row>
    <row r="170" spans="2:13">
      <c r="B170" s="174" t="s">
        <v>440</v>
      </c>
      <c r="C170" s="175">
        <v>46935</v>
      </c>
      <c r="D170">
        <v>400</v>
      </c>
      <c r="E170">
        <v>344</v>
      </c>
      <c r="F170">
        <v>744</v>
      </c>
      <c r="G170">
        <v>0.5376344086021505</v>
      </c>
      <c r="H170" s="176">
        <v>0.46236559139784944</v>
      </c>
      <c r="J170" s="184"/>
      <c r="M170" s="195"/>
    </row>
    <row r="171" spans="2:13">
      <c r="B171" s="174" t="s">
        <v>441</v>
      </c>
      <c r="C171" s="175">
        <v>46966</v>
      </c>
      <c r="D171">
        <v>432</v>
      </c>
      <c r="E171">
        <v>312</v>
      </c>
      <c r="F171">
        <v>744</v>
      </c>
      <c r="G171">
        <v>0.58064516129032262</v>
      </c>
      <c r="H171" s="176">
        <v>0.41935483870967744</v>
      </c>
      <c r="J171" s="184"/>
      <c r="M171" s="195"/>
    </row>
    <row r="172" spans="2:13">
      <c r="B172" s="174" t="s">
        <v>442</v>
      </c>
      <c r="C172" s="175">
        <v>46997</v>
      </c>
      <c r="D172">
        <v>400</v>
      </c>
      <c r="E172">
        <v>320</v>
      </c>
      <c r="F172">
        <v>720</v>
      </c>
      <c r="G172">
        <v>0.55555555555555558</v>
      </c>
      <c r="H172" s="176">
        <v>0.44444444444444442</v>
      </c>
      <c r="J172" s="184"/>
      <c r="M172" s="195"/>
    </row>
    <row r="173" spans="2:13">
      <c r="B173" s="174" t="s">
        <v>443</v>
      </c>
      <c r="C173" s="175">
        <v>47027</v>
      </c>
      <c r="D173">
        <v>416</v>
      </c>
      <c r="E173">
        <v>328</v>
      </c>
      <c r="F173">
        <v>744</v>
      </c>
      <c r="G173">
        <v>0.55913978494623651</v>
      </c>
      <c r="H173" s="176">
        <v>0.44086021505376344</v>
      </c>
      <c r="J173" s="184"/>
      <c r="M173" s="195"/>
    </row>
    <row r="174" spans="2:13">
      <c r="B174" s="174" t="s">
        <v>444</v>
      </c>
      <c r="C174" s="175">
        <v>47058</v>
      </c>
      <c r="D174">
        <v>400</v>
      </c>
      <c r="E174">
        <v>321</v>
      </c>
      <c r="F174">
        <v>721</v>
      </c>
      <c r="G174">
        <v>0.55478502080443826</v>
      </c>
      <c r="H174" s="176">
        <v>0.44521497919556174</v>
      </c>
      <c r="J174" s="184"/>
      <c r="M174" s="195"/>
    </row>
    <row r="175" spans="2:13">
      <c r="B175" s="174" t="s">
        <v>445</v>
      </c>
      <c r="C175" s="175">
        <v>47088</v>
      </c>
      <c r="D175">
        <v>400</v>
      </c>
      <c r="E175">
        <v>344</v>
      </c>
      <c r="F175">
        <v>744</v>
      </c>
      <c r="G175">
        <v>0.5376344086021505</v>
      </c>
      <c r="H175" s="176">
        <v>0.46236559139784944</v>
      </c>
      <c r="J175" s="184"/>
      <c r="M175" s="195"/>
    </row>
    <row r="176" spans="2:13">
      <c r="B176" s="174" t="s">
        <v>446</v>
      </c>
      <c r="C176" s="175">
        <v>47119</v>
      </c>
      <c r="D176">
        <v>416</v>
      </c>
      <c r="E176">
        <v>328</v>
      </c>
      <c r="F176">
        <v>744</v>
      </c>
      <c r="G176">
        <v>0.55913978494623651</v>
      </c>
      <c r="H176" s="176">
        <v>0.44086021505376344</v>
      </c>
      <c r="J176" s="184"/>
      <c r="M176" s="195"/>
    </row>
    <row r="177" spans="2:13">
      <c r="B177" s="174" t="s">
        <v>447</v>
      </c>
      <c r="C177" s="175">
        <v>47150</v>
      </c>
      <c r="D177">
        <v>384</v>
      </c>
      <c r="E177">
        <v>288</v>
      </c>
      <c r="F177">
        <v>672</v>
      </c>
      <c r="G177">
        <v>0.5714285714285714</v>
      </c>
      <c r="H177" s="176">
        <v>0.42857142857142855</v>
      </c>
      <c r="J177" s="184"/>
      <c r="M177" s="195"/>
    </row>
    <row r="178" spans="2:13">
      <c r="B178" s="174" t="s">
        <v>448</v>
      </c>
      <c r="C178" s="175">
        <v>47178</v>
      </c>
      <c r="D178">
        <v>432</v>
      </c>
      <c r="E178">
        <v>311</v>
      </c>
      <c r="F178">
        <v>743</v>
      </c>
      <c r="G178">
        <v>0.58142664872139971</v>
      </c>
      <c r="H178" s="176">
        <v>0.41857335127860029</v>
      </c>
      <c r="J178" s="184"/>
      <c r="M178" s="195"/>
    </row>
    <row r="179" spans="2:13">
      <c r="B179" s="174" t="s">
        <v>449</v>
      </c>
      <c r="C179" s="175">
        <v>47209</v>
      </c>
      <c r="D179">
        <v>400</v>
      </c>
      <c r="E179">
        <v>320</v>
      </c>
      <c r="F179">
        <v>720</v>
      </c>
      <c r="G179">
        <v>0.55555555555555558</v>
      </c>
      <c r="H179" s="176">
        <v>0.44444444444444442</v>
      </c>
      <c r="J179" s="184"/>
      <c r="M179" s="195"/>
    </row>
    <row r="180" spans="2:13">
      <c r="B180" s="174" t="s">
        <v>450</v>
      </c>
      <c r="C180" s="175">
        <v>47239</v>
      </c>
      <c r="D180">
        <v>416</v>
      </c>
      <c r="E180">
        <v>328</v>
      </c>
      <c r="F180">
        <v>744</v>
      </c>
      <c r="G180">
        <v>0.55913978494623651</v>
      </c>
      <c r="H180" s="176">
        <v>0.44086021505376344</v>
      </c>
      <c r="J180" s="184"/>
      <c r="M180" s="195"/>
    </row>
    <row r="181" spans="2:13">
      <c r="B181" s="174" t="s">
        <v>451</v>
      </c>
      <c r="C181" s="175">
        <v>47270</v>
      </c>
      <c r="D181">
        <v>416</v>
      </c>
      <c r="E181">
        <v>304</v>
      </c>
      <c r="F181">
        <v>720</v>
      </c>
      <c r="G181">
        <v>0.57777777777777772</v>
      </c>
      <c r="H181" s="176">
        <v>0.42222222222222222</v>
      </c>
      <c r="J181" s="184"/>
      <c r="M181" s="195"/>
    </row>
    <row r="182" spans="2:13">
      <c r="B182" s="174" t="s">
        <v>452</v>
      </c>
      <c r="C182" s="175">
        <v>47300</v>
      </c>
      <c r="D182">
        <v>400</v>
      </c>
      <c r="E182">
        <v>344</v>
      </c>
      <c r="F182">
        <v>744</v>
      </c>
      <c r="G182">
        <v>0.5376344086021505</v>
      </c>
      <c r="H182" s="176">
        <v>0.46236559139784944</v>
      </c>
      <c r="J182" s="184"/>
      <c r="M182" s="195"/>
    </row>
    <row r="183" spans="2:13">
      <c r="B183" s="174" t="s">
        <v>453</v>
      </c>
      <c r="C183" s="175">
        <v>47331</v>
      </c>
      <c r="D183">
        <v>432</v>
      </c>
      <c r="E183">
        <v>312</v>
      </c>
      <c r="F183">
        <v>744</v>
      </c>
      <c r="G183">
        <v>0.58064516129032262</v>
      </c>
      <c r="H183" s="176">
        <v>0.41935483870967744</v>
      </c>
      <c r="J183" s="184"/>
      <c r="M183" s="195"/>
    </row>
    <row r="184" spans="2:13">
      <c r="B184" s="174" t="s">
        <v>454</v>
      </c>
      <c r="C184" s="175">
        <v>47362</v>
      </c>
      <c r="D184">
        <v>384</v>
      </c>
      <c r="E184">
        <v>336</v>
      </c>
      <c r="F184">
        <v>720</v>
      </c>
      <c r="G184">
        <v>0.53333333333333333</v>
      </c>
      <c r="H184" s="176">
        <v>0.46666666666666667</v>
      </c>
      <c r="J184" s="184"/>
      <c r="M184" s="195"/>
    </row>
    <row r="185" spans="2:13">
      <c r="B185" s="174" t="s">
        <v>455</v>
      </c>
      <c r="C185" s="175">
        <v>47392</v>
      </c>
      <c r="D185">
        <v>432</v>
      </c>
      <c r="E185">
        <v>312</v>
      </c>
      <c r="F185">
        <v>744</v>
      </c>
      <c r="G185">
        <v>0.58064516129032262</v>
      </c>
      <c r="H185" s="176">
        <v>0.41935483870967744</v>
      </c>
      <c r="J185" s="184"/>
      <c r="M185" s="195"/>
    </row>
    <row r="186" spans="2:13">
      <c r="B186" s="174" t="s">
        <v>456</v>
      </c>
      <c r="C186" s="175">
        <v>47423</v>
      </c>
      <c r="D186">
        <v>400</v>
      </c>
      <c r="E186">
        <v>321</v>
      </c>
      <c r="F186">
        <v>721</v>
      </c>
      <c r="G186">
        <v>0.55478502080443826</v>
      </c>
      <c r="H186" s="176">
        <v>0.44521497919556174</v>
      </c>
      <c r="J186" s="184"/>
      <c r="M186" s="195"/>
    </row>
    <row r="187" spans="2:13">
      <c r="B187" s="174" t="s">
        <v>457</v>
      </c>
      <c r="C187" s="175">
        <v>47453</v>
      </c>
      <c r="D187">
        <v>400</v>
      </c>
      <c r="E187">
        <v>344</v>
      </c>
      <c r="F187">
        <v>744</v>
      </c>
      <c r="G187">
        <v>0.5376344086021505</v>
      </c>
      <c r="H187" s="176">
        <v>0.46236559139784944</v>
      </c>
      <c r="J187" s="184"/>
      <c r="M187" s="195"/>
    </row>
    <row r="188" spans="2:13">
      <c r="B188" s="174" t="s">
        <v>458</v>
      </c>
      <c r="C188" s="175">
        <v>47484</v>
      </c>
      <c r="D188">
        <v>416</v>
      </c>
      <c r="E188">
        <v>328</v>
      </c>
      <c r="F188">
        <v>744</v>
      </c>
      <c r="G188">
        <v>0.55913978494623651</v>
      </c>
      <c r="H188" s="176">
        <v>0.44086021505376344</v>
      </c>
      <c r="J188" s="184"/>
      <c r="M188" s="195"/>
    </row>
    <row r="189" spans="2:13">
      <c r="B189" s="174" t="s">
        <v>459</v>
      </c>
      <c r="C189" s="175">
        <v>47515</v>
      </c>
      <c r="D189">
        <v>384</v>
      </c>
      <c r="E189">
        <v>288</v>
      </c>
      <c r="F189">
        <v>672</v>
      </c>
      <c r="G189">
        <v>0.5714285714285714</v>
      </c>
      <c r="H189" s="176">
        <v>0.42857142857142855</v>
      </c>
      <c r="J189" s="184"/>
      <c r="M189" s="195"/>
    </row>
    <row r="190" spans="2:13">
      <c r="B190" s="174" t="s">
        <v>460</v>
      </c>
      <c r="C190" s="175">
        <v>47543</v>
      </c>
      <c r="D190">
        <v>416</v>
      </c>
      <c r="E190">
        <v>327</v>
      </c>
      <c r="F190">
        <v>743</v>
      </c>
      <c r="G190">
        <v>0.55989232839838488</v>
      </c>
      <c r="H190" s="176">
        <v>0.44010767160161507</v>
      </c>
      <c r="J190" s="184"/>
      <c r="M190" s="195"/>
    </row>
    <row r="191" spans="2:13">
      <c r="B191" s="174" t="s">
        <v>461</v>
      </c>
      <c r="C191" s="175">
        <v>47574</v>
      </c>
      <c r="D191">
        <v>416</v>
      </c>
      <c r="E191">
        <v>304</v>
      </c>
      <c r="F191">
        <v>720</v>
      </c>
      <c r="G191">
        <v>0.57777777777777772</v>
      </c>
      <c r="H191" s="176">
        <v>0.42222222222222222</v>
      </c>
      <c r="J191" s="184"/>
      <c r="M191" s="195"/>
    </row>
    <row r="192" spans="2:13">
      <c r="B192" s="174" t="s">
        <v>462</v>
      </c>
      <c r="C192" s="175">
        <v>47604</v>
      </c>
      <c r="D192">
        <v>416</v>
      </c>
      <c r="E192">
        <v>328</v>
      </c>
      <c r="F192">
        <v>744</v>
      </c>
      <c r="G192">
        <v>0.55913978494623651</v>
      </c>
      <c r="H192" s="176">
        <v>0.44086021505376344</v>
      </c>
      <c r="J192" s="184"/>
      <c r="M192" s="195"/>
    </row>
    <row r="193" spans="2:13">
      <c r="B193" s="174" t="s">
        <v>463</v>
      </c>
      <c r="C193" s="175">
        <v>47635</v>
      </c>
      <c r="D193">
        <v>400</v>
      </c>
      <c r="E193">
        <v>320</v>
      </c>
      <c r="F193">
        <v>720</v>
      </c>
      <c r="G193">
        <v>0.55555555555555558</v>
      </c>
      <c r="H193" s="176">
        <v>0.44444444444444442</v>
      </c>
      <c r="J193" s="184"/>
      <c r="M193" s="195"/>
    </row>
    <row r="194" spans="2:13">
      <c r="B194" s="174" t="s">
        <v>464</v>
      </c>
      <c r="C194" s="175">
        <v>47665</v>
      </c>
      <c r="D194">
        <v>416</v>
      </c>
      <c r="E194">
        <v>328</v>
      </c>
      <c r="F194">
        <v>744</v>
      </c>
      <c r="G194">
        <v>0.55913978494623651</v>
      </c>
      <c r="H194" s="176">
        <v>0.44086021505376344</v>
      </c>
      <c r="J194" s="184"/>
      <c r="M194" s="195"/>
    </row>
    <row r="195" spans="2:13">
      <c r="B195" s="174" t="s">
        <v>465</v>
      </c>
      <c r="C195" s="175">
        <v>47696</v>
      </c>
      <c r="D195">
        <v>432</v>
      </c>
      <c r="E195">
        <v>312</v>
      </c>
      <c r="F195">
        <v>744</v>
      </c>
      <c r="G195">
        <v>0.58064516129032262</v>
      </c>
      <c r="H195" s="176">
        <v>0.41935483870967744</v>
      </c>
      <c r="J195" s="184"/>
      <c r="M195" s="195"/>
    </row>
    <row r="196" spans="2:13">
      <c r="B196" s="174" t="s">
        <v>466</v>
      </c>
      <c r="C196" s="175">
        <v>47727</v>
      </c>
      <c r="D196">
        <v>384</v>
      </c>
      <c r="E196">
        <v>336</v>
      </c>
      <c r="F196">
        <v>720</v>
      </c>
      <c r="G196">
        <v>0.53333333333333333</v>
      </c>
      <c r="H196" s="176">
        <v>0.46666666666666667</v>
      </c>
      <c r="J196" s="184"/>
      <c r="M196" s="195"/>
    </row>
    <row r="197" spans="2:13">
      <c r="B197" s="174" t="s">
        <v>467</v>
      </c>
      <c r="C197" s="175">
        <v>47757</v>
      </c>
      <c r="D197">
        <v>432</v>
      </c>
      <c r="E197">
        <v>312</v>
      </c>
      <c r="F197">
        <v>744</v>
      </c>
      <c r="G197">
        <v>0.58064516129032262</v>
      </c>
      <c r="H197" s="176">
        <v>0.41935483870967744</v>
      </c>
      <c r="J197" s="184"/>
      <c r="M197" s="195"/>
    </row>
    <row r="198" spans="2:13">
      <c r="B198" s="174" t="s">
        <v>468</v>
      </c>
      <c r="C198" s="175">
        <v>47788</v>
      </c>
      <c r="D198">
        <v>400</v>
      </c>
      <c r="E198">
        <v>321</v>
      </c>
      <c r="F198">
        <v>721</v>
      </c>
      <c r="G198">
        <v>0.55478502080443826</v>
      </c>
      <c r="H198" s="176">
        <v>0.44521497919556174</v>
      </c>
      <c r="J198" s="184"/>
      <c r="M198" s="195"/>
    </row>
    <row r="199" spans="2:13">
      <c r="B199" s="174" t="s">
        <v>469</v>
      </c>
      <c r="C199" s="175">
        <v>47818</v>
      </c>
      <c r="D199">
        <v>400</v>
      </c>
      <c r="E199">
        <v>344</v>
      </c>
      <c r="F199">
        <v>744</v>
      </c>
      <c r="G199">
        <v>0.5376344086021505</v>
      </c>
      <c r="H199" s="176">
        <v>0.46236559139784944</v>
      </c>
      <c r="J199" s="184"/>
      <c r="M199" s="195"/>
    </row>
    <row r="200" spans="2:13">
      <c r="B200" s="174" t="s">
        <v>470</v>
      </c>
      <c r="C200" s="175">
        <v>47849</v>
      </c>
      <c r="D200">
        <v>416</v>
      </c>
      <c r="E200">
        <v>328</v>
      </c>
      <c r="F200">
        <v>744</v>
      </c>
      <c r="G200">
        <v>0.55913978494623651</v>
      </c>
      <c r="H200" s="176">
        <v>0.44086021505376344</v>
      </c>
      <c r="J200" s="184"/>
      <c r="M200" s="195"/>
    </row>
    <row r="201" spans="2:13">
      <c r="B201" s="174" t="s">
        <v>471</v>
      </c>
      <c r="C201" s="175">
        <v>47880</v>
      </c>
      <c r="D201">
        <v>384</v>
      </c>
      <c r="E201">
        <v>288</v>
      </c>
      <c r="F201">
        <v>672</v>
      </c>
      <c r="G201">
        <v>0.5714285714285714</v>
      </c>
      <c r="H201" s="176">
        <v>0.42857142857142855</v>
      </c>
      <c r="J201" s="184"/>
      <c r="M201" s="195"/>
    </row>
    <row r="202" spans="2:13">
      <c r="B202" s="174" t="s">
        <v>472</v>
      </c>
      <c r="C202" s="175">
        <v>47908</v>
      </c>
      <c r="D202">
        <v>416</v>
      </c>
      <c r="E202">
        <v>327</v>
      </c>
      <c r="F202">
        <v>743</v>
      </c>
      <c r="G202">
        <v>0.55989232839838488</v>
      </c>
      <c r="H202" s="176">
        <v>0.44010767160161507</v>
      </c>
      <c r="J202" s="184"/>
      <c r="M202" s="195"/>
    </row>
    <row r="203" spans="2:13">
      <c r="B203" s="174" t="s">
        <v>473</v>
      </c>
      <c r="C203" s="175">
        <v>47939</v>
      </c>
      <c r="D203">
        <v>416</v>
      </c>
      <c r="E203">
        <v>304</v>
      </c>
      <c r="F203">
        <v>720</v>
      </c>
      <c r="G203">
        <v>0.57777777777777772</v>
      </c>
      <c r="H203" s="176">
        <v>0.42222222222222222</v>
      </c>
      <c r="J203" s="184"/>
      <c r="M203" s="195"/>
    </row>
    <row r="204" spans="2:13">
      <c r="B204" s="174" t="s">
        <v>474</v>
      </c>
      <c r="C204" s="175">
        <v>47969</v>
      </c>
      <c r="D204">
        <v>416</v>
      </c>
      <c r="E204">
        <v>328</v>
      </c>
      <c r="F204">
        <v>744</v>
      </c>
      <c r="G204">
        <v>0.55913978494623651</v>
      </c>
      <c r="H204" s="176">
        <v>0.44086021505376344</v>
      </c>
      <c r="J204" s="184"/>
      <c r="M204" s="195"/>
    </row>
    <row r="205" spans="2:13">
      <c r="B205" s="174" t="s">
        <v>475</v>
      </c>
      <c r="C205" s="175">
        <v>48000</v>
      </c>
      <c r="D205">
        <v>400</v>
      </c>
      <c r="E205">
        <v>320</v>
      </c>
      <c r="F205">
        <v>720</v>
      </c>
      <c r="G205">
        <v>0.55555555555555558</v>
      </c>
      <c r="H205" s="176">
        <v>0.44444444444444442</v>
      </c>
      <c r="J205" s="184"/>
      <c r="M205" s="195"/>
    </row>
    <row r="206" spans="2:13">
      <c r="B206" s="174" t="s">
        <v>476</v>
      </c>
      <c r="C206" s="175">
        <v>48030</v>
      </c>
      <c r="D206">
        <v>416</v>
      </c>
      <c r="E206">
        <v>328</v>
      </c>
      <c r="F206">
        <v>744</v>
      </c>
      <c r="G206">
        <v>0.55913978494623651</v>
      </c>
      <c r="H206" s="176">
        <v>0.44086021505376344</v>
      </c>
      <c r="J206" s="184"/>
      <c r="M206" s="195"/>
    </row>
    <row r="207" spans="2:13">
      <c r="B207" s="174" t="s">
        <v>477</v>
      </c>
      <c r="C207" s="175">
        <v>48061</v>
      </c>
      <c r="D207">
        <v>416</v>
      </c>
      <c r="E207">
        <v>328</v>
      </c>
      <c r="F207">
        <v>744</v>
      </c>
      <c r="G207">
        <v>0.55913978494623651</v>
      </c>
      <c r="H207" s="176">
        <v>0.44086021505376344</v>
      </c>
      <c r="J207" s="184"/>
      <c r="M207" s="195"/>
    </row>
    <row r="208" spans="2:13">
      <c r="B208" s="174" t="s">
        <v>478</v>
      </c>
      <c r="C208" s="175">
        <v>48092</v>
      </c>
      <c r="D208">
        <v>400</v>
      </c>
      <c r="E208">
        <v>320</v>
      </c>
      <c r="F208">
        <v>720</v>
      </c>
      <c r="G208">
        <v>0.55555555555555558</v>
      </c>
      <c r="H208" s="176">
        <v>0.44444444444444442</v>
      </c>
      <c r="J208" s="184"/>
      <c r="M208" s="195"/>
    </row>
    <row r="209" spans="2:13">
      <c r="B209" s="174" t="s">
        <v>479</v>
      </c>
      <c r="C209" s="175">
        <v>48122</v>
      </c>
      <c r="D209">
        <v>432</v>
      </c>
      <c r="E209">
        <v>312</v>
      </c>
      <c r="F209">
        <v>744</v>
      </c>
      <c r="G209">
        <v>0.58064516129032262</v>
      </c>
      <c r="H209" s="176">
        <v>0.41935483870967744</v>
      </c>
      <c r="J209" s="184"/>
      <c r="M209" s="195"/>
    </row>
    <row r="210" spans="2:13">
      <c r="B210" s="174" t="s">
        <v>480</v>
      </c>
      <c r="C210" s="175">
        <v>48153</v>
      </c>
      <c r="D210">
        <v>384</v>
      </c>
      <c r="E210">
        <v>337</v>
      </c>
      <c r="F210">
        <v>721</v>
      </c>
      <c r="G210">
        <v>0.53259361997226073</v>
      </c>
      <c r="H210" s="176">
        <v>0.46740638002773927</v>
      </c>
      <c r="J210" s="184"/>
      <c r="M210" s="195"/>
    </row>
    <row r="211" spans="2:13">
      <c r="B211" s="174" t="s">
        <v>481</v>
      </c>
      <c r="C211" s="175">
        <v>48183</v>
      </c>
      <c r="D211">
        <v>416</v>
      </c>
      <c r="E211">
        <v>328</v>
      </c>
      <c r="F211">
        <v>744</v>
      </c>
      <c r="G211">
        <v>0.55913978494623651</v>
      </c>
      <c r="H211" s="176">
        <v>0.44086021505376344</v>
      </c>
      <c r="J211" s="184"/>
      <c r="M211" s="195"/>
    </row>
    <row r="212" spans="2:13">
      <c r="B212" s="174" t="s">
        <v>482</v>
      </c>
      <c r="C212" s="175">
        <v>48214</v>
      </c>
      <c r="D212">
        <v>416</v>
      </c>
      <c r="E212">
        <v>328</v>
      </c>
      <c r="F212">
        <v>744</v>
      </c>
      <c r="G212">
        <v>0.55913978494623651</v>
      </c>
      <c r="H212" s="176">
        <v>0.44086021505376344</v>
      </c>
      <c r="J212" s="184"/>
      <c r="M212" s="195"/>
    </row>
    <row r="213" spans="2:13">
      <c r="B213" s="174" t="s">
        <v>483</v>
      </c>
      <c r="C213" s="175">
        <v>48245</v>
      </c>
      <c r="D213">
        <v>384</v>
      </c>
      <c r="E213">
        <v>312</v>
      </c>
      <c r="F213">
        <v>696</v>
      </c>
      <c r="G213">
        <v>0.55172413793103448</v>
      </c>
      <c r="H213" s="176">
        <v>0.44827586206896552</v>
      </c>
      <c r="J213" s="184"/>
      <c r="M213" s="195"/>
    </row>
    <row r="214" spans="2:13">
      <c r="B214" s="174" t="s">
        <v>484</v>
      </c>
      <c r="C214" s="175">
        <v>48274</v>
      </c>
      <c r="D214">
        <v>432</v>
      </c>
      <c r="E214">
        <v>311</v>
      </c>
      <c r="F214">
        <v>743</v>
      </c>
      <c r="G214">
        <v>0.58142664872139971</v>
      </c>
      <c r="H214" s="176">
        <v>0.41857335127860029</v>
      </c>
      <c r="J214" s="184"/>
      <c r="M214" s="195"/>
    </row>
    <row r="215" spans="2:13">
      <c r="B215" s="174" t="s">
        <v>485</v>
      </c>
      <c r="C215" s="175">
        <v>48305</v>
      </c>
      <c r="D215">
        <v>416</v>
      </c>
      <c r="E215">
        <v>304</v>
      </c>
      <c r="F215">
        <v>720</v>
      </c>
      <c r="G215">
        <v>0.57777777777777772</v>
      </c>
      <c r="H215" s="176">
        <v>0.42222222222222222</v>
      </c>
      <c r="J215" s="184"/>
      <c r="M215" s="195"/>
    </row>
    <row r="216" spans="2:13">
      <c r="B216" s="174" t="s">
        <v>486</v>
      </c>
      <c r="C216" s="175">
        <v>48335</v>
      </c>
      <c r="D216">
        <v>400</v>
      </c>
      <c r="E216">
        <v>344</v>
      </c>
      <c r="F216">
        <v>744</v>
      </c>
      <c r="G216">
        <v>0.5376344086021505</v>
      </c>
      <c r="H216" s="176">
        <v>0.46236559139784944</v>
      </c>
      <c r="J216" s="184"/>
      <c r="M216" s="195"/>
    </row>
    <row r="217" spans="2:13">
      <c r="B217" s="174" t="s">
        <v>487</v>
      </c>
      <c r="C217" s="175">
        <v>48366</v>
      </c>
      <c r="D217">
        <v>416</v>
      </c>
      <c r="E217">
        <v>304</v>
      </c>
      <c r="F217">
        <v>720</v>
      </c>
      <c r="G217">
        <v>0.57777777777777772</v>
      </c>
      <c r="H217" s="176">
        <v>0.42222222222222222</v>
      </c>
      <c r="J217" s="184"/>
      <c r="M217" s="195"/>
    </row>
    <row r="218" spans="2:13">
      <c r="B218" s="174" t="s">
        <v>488</v>
      </c>
      <c r="C218" s="175">
        <v>48396</v>
      </c>
      <c r="D218">
        <v>416</v>
      </c>
      <c r="E218">
        <v>328</v>
      </c>
      <c r="F218">
        <v>744</v>
      </c>
      <c r="G218">
        <v>0.55913978494623651</v>
      </c>
      <c r="H218" s="176">
        <v>0.44086021505376344</v>
      </c>
      <c r="J218" s="184"/>
      <c r="M218" s="195"/>
    </row>
    <row r="219" spans="2:13">
      <c r="B219" s="174" t="s">
        <v>489</v>
      </c>
      <c r="C219" s="175">
        <v>48427</v>
      </c>
      <c r="D219">
        <v>416</v>
      </c>
      <c r="E219">
        <v>328</v>
      </c>
      <c r="F219">
        <v>744</v>
      </c>
      <c r="G219">
        <v>0.55913978494623651</v>
      </c>
      <c r="H219" s="176">
        <v>0.44086021505376344</v>
      </c>
      <c r="J219" s="184"/>
      <c r="M219" s="195"/>
    </row>
    <row r="220" spans="2:13">
      <c r="B220" s="174" t="s">
        <v>490</v>
      </c>
      <c r="C220" s="175">
        <v>48458</v>
      </c>
      <c r="D220">
        <v>400</v>
      </c>
      <c r="E220">
        <v>320</v>
      </c>
      <c r="F220">
        <v>720</v>
      </c>
      <c r="G220">
        <v>0.55555555555555558</v>
      </c>
      <c r="H220" s="176">
        <v>0.44444444444444442</v>
      </c>
      <c r="J220" s="184"/>
      <c r="M220" s="195"/>
    </row>
    <row r="221" spans="2:13">
      <c r="B221" s="174" t="s">
        <v>491</v>
      </c>
      <c r="C221" s="175">
        <v>48488</v>
      </c>
      <c r="D221">
        <v>416</v>
      </c>
      <c r="E221">
        <v>328</v>
      </c>
      <c r="F221">
        <v>744</v>
      </c>
      <c r="G221">
        <v>0.55913978494623651</v>
      </c>
      <c r="H221" s="176">
        <v>0.44086021505376344</v>
      </c>
      <c r="J221" s="184"/>
      <c r="M221" s="195"/>
    </row>
    <row r="222" spans="2:13">
      <c r="B222" s="174" t="s">
        <v>492</v>
      </c>
      <c r="C222" s="175">
        <v>48519</v>
      </c>
      <c r="D222">
        <v>400</v>
      </c>
      <c r="E222">
        <v>321</v>
      </c>
      <c r="F222">
        <v>721</v>
      </c>
      <c r="G222">
        <v>0.55478502080443826</v>
      </c>
      <c r="H222" s="176">
        <v>0.44521497919556174</v>
      </c>
      <c r="J222" s="184"/>
      <c r="M222" s="195"/>
    </row>
    <row r="223" spans="2:13">
      <c r="B223" s="174" t="s">
        <v>493</v>
      </c>
      <c r="C223" s="175">
        <v>48549</v>
      </c>
      <c r="D223">
        <v>416</v>
      </c>
      <c r="E223">
        <v>328</v>
      </c>
      <c r="F223">
        <v>744</v>
      </c>
      <c r="G223">
        <v>0.55913978494623651</v>
      </c>
      <c r="H223" s="176">
        <v>0.44086021505376344</v>
      </c>
      <c r="J223" s="184"/>
      <c r="M223" s="195"/>
    </row>
    <row r="224" spans="2:13">
      <c r="B224" s="174" t="s">
        <v>494</v>
      </c>
      <c r="C224" s="175">
        <v>48580</v>
      </c>
      <c r="D224">
        <v>400</v>
      </c>
      <c r="E224">
        <v>344</v>
      </c>
      <c r="F224">
        <v>744</v>
      </c>
      <c r="G224">
        <v>0.5376344086021505</v>
      </c>
      <c r="H224" s="176">
        <v>0.46236559139784944</v>
      </c>
      <c r="J224" s="184"/>
      <c r="M224" s="195"/>
    </row>
    <row r="225" spans="2:13">
      <c r="B225" s="174" t="s">
        <v>495</v>
      </c>
      <c r="C225" s="175">
        <v>48611</v>
      </c>
      <c r="D225">
        <v>384</v>
      </c>
      <c r="E225">
        <v>288</v>
      </c>
      <c r="F225">
        <v>672</v>
      </c>
      <c r="G225">
        <v>0.5714285714285714</v>
      </c>
      <c r="H225" s="176">
        <v>0.42857142857142855</v>
      </c>
      <c r="J225" s="184"/>
      <c r="M225" s="195"/>
    </row>
    <row r="226" spans="2:13">
      <c r="B226" s="174" t="s">
        <v>496</v>
      </c>
      <c r="C226" s="175">
        <v>48639</v>
      </c>
      <c r="D226">
        <v>432</v>
      </c>
      <c r="E226">
        <v>311</v>
      </c>
      <c r="F226">
        <v>743</v>
      </c>
      <c r="G226">
        <v>0.58142664872139971</v>
      </c>
      <c r="H226" s="176">
        <v>0.41857335127860029</v>
      </c>
      <c r="J226" s="184"/>
      <c r="M226" s="195"/>
    </row>
    <row r="227" spans="2:13">
      <c r="B227" s="174" t="s">
        <v>497</v>
      </c>
      <c r="C227" s="175">
        <v>48670</v>
      </c>
      <c r="D227">
        <v>416</v>
      </c>
      <c r="E227">
        <v>304</v>
      </c>
      <c r="F227">
        <v>720</v>
      </c>
      <c r="G227">
        <v>0.57777777777777772</v>
      </c>
      <c r="H227" s="176">
        <v>0.42222222222222222</v>
      </c>
      <c r="J227" s="184"/>
      <c r="M227" s="195"/>
    </row>
    <row r="228" spans="2:13">
      <c r="B228" s="174" t="s">
        <v>498</v>
      </c>
      <c r="C228" s="175">
        <v>48700</v>
      </c>
      <c r="D228">
        <v>400</v>
      </c>
      <c r="E228">
        <v>344</v>
      </c>
      <c r="F228">
        <v>744</v>
      </c>
      <c r="G228">
        <v>0.5376344086021505</v>
      </c>
      <c r="H228" s="176">
        <v>0.46236559139784944</v>
      </c>
      <c r="J228" s="184"/>
      <c r="M228" s="195"/>
    </row>
    <row r="229" spans="2:13">
      <c r="B229" s="174" t="s">
        <v>499</v>
      </c>
      <c r="C229" s="175">
        <v>48731</v>
      </c>
      <c r="D229">
        <v>416</v>
      </c>
      <c r="E229">
        <v>304</v>
      </c>
      <c r="F229">
        <v>720</v>
      </c>
      <c r="G229">
        <v>0.57777777777777772</v>
      </c>
      <c r="H229" s="176">
        <v>0.42222222222222222</v>
      </c>
      <c r="J229" s="184"/>
      <c r="M229" s="195"/>
    </row>
    <row r="230" spans="2:13">
      <c r="B230" s="174" t="s">
        <v>500</v>
      </c>
      <c r="C230" s="175">
        <v>48761</v>
      </c>
      <c r="D230">
        <v>400</v>
      </c>
      <c r="E230">
        <v>344</v>
      </c>
      <c r="F230">
        <v>744</v>
      </c>
      <c r="G230">
        <v>0.5376344086021505</v>
      </c>
      <c r="H230" s="176">
        <v>0.46236559139784944</v>
      </c>
      <c r="J230" s="184"/>
      <c r="M230" s="195"/>
    </row>
    <row r="231" spans="2:13">
      <c r="B231" s="174" t="s">
        <v>501</v>
      </c>
      <c r="C231" s="175">
        <v>48792</v>
      </c>
      <c r="D231">
        <v>432</v>
      </c>
      <c r="E231">
        <v>312</v>
      </c>
      <c r="F231">
        <v>744</v>
      </c>
      <c r="G231">
        <v>0.58064516129032262</v>
      </c>
      <c r="H231" s="176">
        <v>0.41935483870967744</v>
      </c>
      <c r="J231" s="184"/>
      <c r="M231" s="195"/>
    </row>
    <row r="232" spans="2:13">
      <c r="B232" s="179" t="s">
        <v>502</v>
      </c>
      <c r="C232" s="180">
        <v>48823</v>
      </c>
      <c r="D232" s="181">
        <v>400</v>
      </c>
      <c r="E232" s="181">
        <v>320</v>
      </c>
      <c r="F232" s="181">
        <v>720</v>
      </c>
      <c r="G232" s="181">
        <v>0.55555555555555558</v>
      </c>
      <c r="H232" s="182">
        <v>0.44444444444444442</v>
      </c>
      <c r="J232" s="184"/>
      <c r="M232" s="195"/>
    </row>
    <row r="233" spans="2:13">
      <c r="J233" s="184"/>
      <c r="M233" s="195"/>
    </row>
    <row r="234" spans="2:13">
      <c r="J234" s="184"/>
      <c r="M234" s="195"/>
    </row>
    <row r="235" spans="2:13">
      <c r="J235" s="184"/>
      <c r="M235" s="195"/>
    </row>
    <row r="236" spans="2:13">
      <c r="J236" s="184"/>
      <c r="M236" s="195"/>
    </row>
    <row r="237" spans="2:13">
      <c r="J237" s="184"/>
      <c r="M237" s="195"/>
    </row>
    <row r="238" spans="2:13">
      <c r="J238" s="184"/>
      <c r="M238" s="195"/>
    </row>
    <row r="239" spans="2:13">
      <c r="J239" s="184"/>
      <c r="M239" s="195"/>
    </row>
    <row r="240" spans="2:13">
      <c r="J240" s="184"/>
      <c r="M240" s="195"/>
    </row>
    <row r="241" spans="10:13">
      <c r="J241" s="184"/>
      <c r="M241" s="195"/>
    </row>
    <row r="242" spans="10:13">
      <c r="J242" s="184"/>
      <c r="M242" s="195"/>
    </row>
    <row r="243" spans="10:13">
      <c r="J243" s="184"/>
      <c r="M243" s="195"/>
    </row>
    <row r="244" spans="10:13">
      <c r="J244" s="184"/>
      <c r="M244" s="195"/>
    </row>
    <row r="245" spans="10:13">
      <c r="J245" s="184"/>
      <c r="M245" s="195"/>
    </row>
    <row r="246" spans="10:13">
      <c r="J246" s="184"/>
      <c r="M246" s="195"/>
    </row>
    <row r="247" spans="10:13">
      <c r="J247" s="184"/>
      <c r="M247" s="195"/>
    </row>
    <row r="248" spans="10:13">
      <c r="J248" s="184"/>
      <c r="M248" s="195"/>
    </row>
    <row r="249" spans="10:13">
      <c r="J249" s="184"/>
      <c r="M249" s="195"/>
    </row>
    <row r="250" spans="10:13">
      <c r="J250" s="184"/>
      <c r="M250" s="195"/>
    </row>
    <row r="251" spans="10:13">
      <c r="J251" s="184"/>
      <c r="M251" s="195"/>
    </row>
    <row r="252" spans="10:13">
      <c r="J252" s="184"/>
      <c r="M252" s="195"/>
    </row>
    <row r="253" spans="10:13">
      <c r="J253" s="184"/>
      <c r="M253" s="195"/>
    </row>
    <row r="254" spans="10:13">
      <c r="J254" s="184"/>
      <c r="M254" s="195"/>
    </row>
    <row r="255" spans="10:13">
      <c r="J255" s="184"/>
      <c r="M255" s="195"/>
    </row>
    <row r="256" spans="10:13">
      <c r="J256" s="184"/>
      <c r="M256" s="195"/>
    </row>
    <row r="257" spans="10:13">
      <c r="J257" s="184"/>
      <c r="M257" s="195"/>
    </row>
    <row r="258" spans="10:13">
      <c r="J258" s="184"/>
      <c r="M258" s="195"/>
    </row>
    <row r="259" spans="10:13">
      <c r="J259" s="184"/>
      <c r="M259" s="195"/>
    </row>
    <row r="260" spans="10:13">
      <c r="J260" s="184"/>
      <c r="M260" s="195"/>
    </row>
    <row r="261" spans="10:13">
      <c r="J261" s="184"/>
      <c r="M261" s="195"/>
    </row>
    <row r="262" spans="10:13">
      <c r="J262" s="184"/>
      <c r="M262" s="195"/>
    </row>
    <row r="263" spans="10:13">
      <c r="J263" s="184"/>
      <c r="M263" s="195"/>
    </row>
    <row r="264" spans="10:13">
      <c r="J264" s="184"/>
      <c r="M264" s="195"/>
    </row>
    <row r="265" spans="10:13">
      <c r="J265" s="184"/>
      <c r="M265" s="195"/>
    </row>
    <row r="266" spans="10:13">
      <c r="J266" s="184"/>
      <c r="M266" s="195"/>
    </row>
    <row r="267" spans="10:13">
      <c r="J267" s="184"/>
      <c r="M267" s="195"/>
    </row>
    <row r="268" spans="10:13">
      <c r="J268" s="184"/>
      <c r="M268" s="195"/>
    </row>
    <row r="269" spans="10:13">
      <c r="J269" s="184"/>
      <c r="M269" s="195"/>
    </row>
    <row r="270" spans="10:13">
      <c r="J270" s="184"/>
      <c r="M270" s="195"/>
    </row>
    <row r="271" spans="10:13">
      <c r="J271" s="184"/>
      <c r="M271" s="195"/>
    </row>
    <row r="272" spans="10:13">
      <c r="J272" s="184"/>
      <c r="M272" s="195"/>
    </row>
    <row r="273" spans="10:13">
      <c r="J273" s="184"/>
      <c r="M273" s="195"/>
    </row>
    <row r="274" spans="10:13">
      <c r="J274" s="184"/>
      <c r="M274" s="195"/>
    </row>
    <row r="275" spans="10:13">
      <c r="J275" s="184"/>
      <c r="M275" s="195"/>
    </row>
    <row r="276" spans="10:13">
      <c r="J276" s="184"/>
      <c r="M276" s="195"/>
    </row>
    <row r="277" spans="10:13">
      <c r="J277" s="184"/>
      <c r="M277" s="195"/>
    </row>
    <row r="278" spans="10:13">
      <c r="J278" s="184"/>
      <c r="M278" s="195"/>
    </row>
    <row r="279" spans="10:13">
      <c r="J279" s="184"/>
      <c r="M279" s="195"/>
    </row>
    <row r="280" spans="10:13">
      <c r="J280" s="184"/>
      <c r="M280" s="195"/>
    </row>
    <row r="281" spans="10:13">
      <c r="J281" s="184"/>
      <c r="M281" s="195"/>
    </row>
    <row r="282" spans="10:13">
      <c r="J282" s="184"/>
      <c r="M282" s="195"/>
    </row>
    <row r="283" spans="10:13">
      <c r="J283" s="184"/>
      <c r="M283" s="195"/>
    </row>
    <row r="284" spans="10:13">
      <c r="J284" s="184"/>
      <c r="M284" s="195"/>
    </row>
    <row r="285" spans="10:13">
      <c r="J285" s="184"/>
      <c r="M285" s="195"/>
    </row>
    <row r="286" spans="10:13">
      <c r="J286" s="184"/>
      <c r="M286" s="195"/>
    </row>
    <row r="287" spans="10:13">
      <c r="J287" s="184"/>
      <c r="M287" s="195"/>
    </row>
    <row r="288" spans="10:13">
      <c r="J288" s="184"/>
      <c r="M288" s="195"/>
    </row>
    <row r="289" spans="10:13">
      <c r="J289" s="184"/>
      <c r="M289" s="195"/>
    </row>
    <row r="290" spans="10:13">
      <c r="J290" s="184"/>
      <c r="M290" s="195"/>
    </row>
    <row r="291" spans="10:13">
      <c r="J291" s="184"/>
      <c r="M291" s="195"/>
    </row>
    <row r="292" spans="10:13">
      <c r="J292" s="184"/>
      <c r="M292" s="195"/>
    </row>
    <row r="293" spans="10:13">
      <c r="J293" s="184"/>
      <c r="M293" s="195"/>
    </row>
    <row r="294" spans="10:13">
      <c r="J294" s="184"/>
      <c r="M294" s="195"/>
    </row>
    <row r="295" spans="10:13">
      <c r="J295" s="184"/>
      <c r="M295" s="195"/>
    </row>
    <row r="296" spans="10:13">
      <c r="J296" s="184"/>
      <c r="M296" s="195"/>
    </row>
    <row r="297" spans="10:13">
      <c r="J297" s="184"/>
      <c r="M297" s="195"/>
    </row>
    <row r="298" spans="10:13">
      <c r="J298" s="184"/>
      <c r="M298" s="195"/>
    </row>
    <row r="299" spans="10:13">
      <c r="J299" s="184"/>
      <c r="M299" s="195"/>
    </row>
    <row r="300" spans="10:13">
      <c r="J300" s="184"/>
      <c r="M300" s="195"/>
    </row>
    <row r="301" spans="10:13">
      <c r="J301" s="184"/>
      <c r="M301" s="195"/>
    </row>
    <row r="302" spans="10:13">
      <c r="J302" s="184"/>
      <c r="M302" s="195"/>
    </row>
    <row r="303" spans="10:13">
      <c r="J303" s="184"/>
      <c r="M303" s="195"/>
    </row>
    <row r="304" spans="10:13">
      <c r="J304" s="184"/>
      <c r="M304" s="195"/>
    </row>
    <row r="305" spans="10:13">
      <c r="J305" s="184"/>
      <c r="M305" s="195"/>
    </row>
    <row r="306" spans="10:13">
      <c r="J306" s="184"/>
      <c r="M306" s="195"/>
    </row>
    <row r="307" spans="10:13">
      <c r="J307" s="184"/>
      <c r="M307" s="195"/>
    </row>
    <row r="308" spans="10:13">
      <c r="J308" s="184"/>
      <c r="M308" s="195"/>
    </row>
    <row r="309" spans="10:13">
      <c r="J309" s="184"/>
      <c r="M309" s="195"/>
    </row>
    <row r="310" spans="10:13">
      <c r="J310" s="184"/>
      <c r="M310" s="195"/>
    </row>
    <row r="311" spans="10:13">
      <c r="J311" s="184"/>
      <c r="M311" s="195"/>
    </row>
    <row r="312" spans="10:13">
      <c r="J312" s="184"/>
      <c r="M312" s="195"/>
    </row>
    <row r="313" spans="10:13">
      <c r="J313" s="184"/>
      <c r="M313" s="195"/>
    </row>
    <row r="314" spans="10:13">
      <c r="J314" s="184"/>
      <c r="M314" s="195"/>
    </row>
    <row r="315" spans="10:13">
      <c r="J315" s="184"/>
      <c r="M315" s="195"/>
    </row>
    <row r="316" spans="10:13">
      <c r="J316" s="184"/>
      <c r="M316" s="195"/>
    </row>
    <row r="317" spans="10:13">
      <c r="J317" s="184"/>
      <c r="M317" s="195"/>
    </row>
    <row r="318" spans="10:13">
      <c r="J318" s="184"/>
      <c r="M318" s="195"/>
    </row>
    <row r="319" spans="10:13">
      <c r="J319" s="184"/>
      <c r="M319" s="195"/>
    </row>
    <row r="320" spans="10:13">
      <c r="J320" s="184"/>
      <c r="M320" s="195"/>
    </row>
    <row r="321" spans="10:13">
      <c r="J321" s="184"/>
      <c r="M321" s="195"/>
    </row>
    <row r="322" spans="10:13">
      <c r="J322" s="184"/>
      <c r="M322" s="195"/>
    </row>
    <row r="323" spans="10:13">
      <c r="J323" s="184"/>
      <c r="M323" s="195"/>
    </row>
    <row r="324" spans="10:13">
      <c r="J324" s="184"/>
      <c r="M324" s="195"/>
    </row>
    <row r="325" spans="10:13">
      <c r="J325" s="184"/>
      <c r="M325" s="195"/>
    </row>
    <row r="326" spans="10:13">
      <c r="J326" s="184"/>
      <c r="M326" s="195"/>
    </row>
    <row r="327" spans="10:13">
      <c r="J327" s="184"/>
      <c r="M327" s="195"/>
    </row>
    <row r="328" spans="10:13">
      <c r="J328" s="184"/>
      <c r="M328" s="195"/>
    </row>
    <row r="329" spans="10:13">
      <c r="J329" s="184"/>
      <c r="M329" s="195"/>
    </row>
    <row r="330" spans="10:13">
      <c r="J330" s="184"/>
      <c r="M330" s="195"/>
    </row>
    <row r="331" spans="10:13">
      <c r="J331" s="184"/>
      <c r="M331" s="195"/>
    </row>
    <row r="332" spans="10:13">
      <c r="J332" s="184"/>
      <c r="M332" s="195"/>
    </row>
    <row r="333" spans="10:13">
      <c r="J333" s="184"/>
      <c r="M333" s="195"/>
    </row>
    <row r="334" spans="10:13">
      <c r="J334" s="184"/>
      <c r="M334" s="195"/>
    </row>
    <row r="335" spans="10:13">
      <c r="J335" s="184"/>
      <c r="M335" s="195"/>
    </row>
    <row r="336" spans="10:13">
      <c r="J336" s="184"/>
      <c r="M336" s="195"/>
    </row>
    <row r="337" spans="10:13">
      <c r="J337" s="184"/>
      <c r="M337" s="195"/>
    </row>
    <row r="338" spans="10:13">
      <c r="J338" s="184"/>
      <c r="M338" s="195"/>
    </row>
    <row r="339" spans="10:13">
      <c r="J339" s="184"/>
      <c r="M339" s="195"/>
    </row>
    <row r="340" spans="10:13">
      <c r="J340" s="184"/>
      <c r="M340" s="195"/>
    </row>
    <row r="341" spans="10:13">
      <c r="J341" s="184"/>
      <c r="M341" s="195"/>
    </row>
    <row r="342" spans="10:13">
      <c r="J342" s="184"/>
      <c r="M342" s="195"/>
    </row>
    <row r="343" spans="10:13">
      <c r="J343" s="184"/>
      <c r="M343" s="195"/>
    </row>
    <row r="344" spans="10:13">
      <c r="J344" s="184"/>
      <c r="M344" s="195"/>
    </row>
    <row r="345" spans="10:13">
      <c r="J345" s="184"/>
      <c r="M345" s="195"/>
    </row>
    <row r="346" spans="10:13">
      <c r="J346" s="184"/>
      <c r="M346" s="195"/>
    </row>
    <row r="347" spans="10:13">
      <c r="J347" s="184"/>
      <c r="M347" s="195"/>
    </row>
    <row r="348" spans="10:13">
      <c r="J348" s="184"/>
      <c r="M348" s="195"/>
    </row>
    <row r="349" spans="10:13">
      <c r="J349" s="184"/>
      <c r="M349" s="195"/>
    </row>
    <row r="350" spans="10:13">
      <c r="J350" s="184"/>
      <c r="M350" s="195"/>
    </row>
    <row r="351" spans="10:13">
      <c r="J351" s="184"/>
      <c r="M351" s="195"/>
    </row>
    <row r="352" spans="10:13">
      <c r="J352" s="184"/>
      <c r="M352" s="195"/>
    </row>
    <row r="353" spans="10:13">
      <c r="J353" s="184"/>
      <c r="M353" s="195"/>
    </row>
    <row r="354" spans="10:13">
      <c r="J354" s="184"/>
      <c r="M354" s="195"/>
    </row>
    <row r="355" spans="10:13">
      <c r="J355" s="184"/>
      <c r="M355" s="195"/>
    </row>
    <row r="356" spans="10:13">
      <c r="J356" s="184"/>
      <c r="M356" s="195"/>
    </row>
    <row r="357" spans="10:13">
      <c r="J357" s="184"/>
      <c r="M357" s="195"/>
    </row>
    <row r="358" spans="10:13">
      <c r="J358" s="184"/>
      <c r="M358" s="195"/>
    </row>
    <row r="359" spans="10:13">
      <c r="J359" s="184"/>
      <c r="M359" s="195"/>
    </row>
    <row r="360" spans="10:13">
      <c r="J360" s="184"/>
      <c r="M360" s="195"/>
    </row>
    <row r="361" spans="10:13">
      <c r="J361" s="184"/>
      <c r="M361" s="195"/>
    </row>
    <row r="362" spans="10:13">
      <c r="J362" s="184"/>
      <c r="M362" s="195"/>
    </row>
    <row r="363" spans="10:13">
      <c r="J363" s="184"/>
      <c r="M363" s="195"/>
    </row>
    <row r="364" spans="10:13">
      <c r="J364" s="184"/>
      <c r="M364" s="195"/>
    </row>
    <row r="365" spans="10:13">
      <c r="J365" s="184"/>
      <c r="M365" s="195"/>
    </row>
    <row r="366" spans="10:13">
      <c r="J366" s="184"/>
      <c r="M366" s="195"/>
    </row>
    <row r="367" spans="10:13">
      <c r="J367" s="184"/>
      <c r="M367" s="195"/>
    </row>
    <row r="368" spans="10:13">
      <c r="J368" s="184"/>
      <c r="M368" s="195"/>
    </row>
    <row r="369" spans="10:13">
      <c r="J369" s="184"/>
      <c r="M369" s="195"/>
    </row>
    <row r="370" spans="10:13">
      <c r="J370" s="184"/>
      <c r="M370" s="195"/>
    </row>
    <row r="371" spans="10:13">
      <c r="J371" s="184"/>
      <c r="M371" s="195"/>
    </row>
    <row r="372" spans="10:13">
      <c r="J372" s="184"/>
      <c r="M372" s="195"/>
    </row>
    <row r="373" spans="10:13">
      <c r="J373" s="184"/>
      <c r="M373" s="195"/>
    </row>
    <row r="374" spans="10:13">
      <c r="J374" s="184"/>
      <c r="M374" s="195"/>
    </row>
    <row r="375" spans="10:13">
      <c r="J375" s="184"/>
      <c r="M375" s="195"/>
    </row>
    <row r="376" spans="10:13">
      <c r="J376" s="184"/>
      <c r="M376" s="195"/>
    </row>
    <row r="377" spans="10:13">
      <c r="J377" s="184"/>
      <c r="M377" s="195"/>
    </row>
    <row r="378" spans="10:13">
      <c r="J378" s="184"/>
      <c r="M378" s="195"/>
    </row>
    <row r="379" spans="10:13">
      <c r="J379" s="184"/>
      <c r="M379" s="195"/>
    </row>
    <row r="380" spans="10:13">
      <c r="J380" s="184"/>
      <c r="M380" s="195"/>
    </row>
    <row r="381" spans="10:13">
      <c r="J381" s="184"/>
      <c r="M381" s="195"/>
    </row>
    <row r="382" spans="10:13">
      <c r="J382" s="184"/>
      <c r="M382" s="195"/>
    </row>
    <row r="383" spans="10:13">
      <c r="J383" s="184"/>
      <c r="M383" s="195"/>
    </row>
    <row r="384" spans="10:13">
      <c r="J384" s="184"/>
      <c r="M384" s="195"/>
    </row>
    <row r="385" spans="10:13">
      <c r="J385" s="184"/>
      <c r="M385" s="195"/>
    </row>
    <row r="386" spans="10:13">
      <c r="J386" s="184"/>
      <c r="M386" s="195"/>
    </row>
    <row r="387" spans="10:13">
      <c r="J387" s="184"/>
      <c r="M387" s="195"/>
    </row>
    <row r="388" spans="10:13">
      <c r="J388" s="184"/>
      <c r="M388" s="195"/>
    </row>
    <row r="389" spans="10:13">
      <c r="J389" s="184"/>
      <c r="M389" s="195"/>
    </row>
    <row r="390" spans="10:13">
      <c r="J390" s="184"/>
      <c r="M390" s="195"/>
    </row>
    <row r="391" spans="10:13">
      <c r="J391" s="184"/>
      <c r="M391" s="195"/>
    </row>
    <row r="392" spans="10:13">
      <c r="J392" s="184"/>
      <c r="M392" s="195"/>
    </row>
    <row r="393" spans="10:13">
      <c r="J393" s="184"/>
      <c r="M393" s="195"/>
    </row>
    <row r="394" spans="10:13">
      <c r="J394" s="184"/>
      <c r="M394" s="195"/>
    </row>
    <row r="395" spans="10:13">
      <c r="J395" s="184"/>
      <c r="M395" s="195"/>
    </row>
    <row r="396" spans="10:13">
      <c r="J396" s="184"/>
      <c r="M396" s="195"/>
    </row>
    <row r="397" spans="10:13">
      <c r="J397" s="184"/>
      <c r="M397" s="195"/>
    </row>
    <row r="398" spans="10:13">
      <c r="J398" s="184"/>
      <c r="M398" s="195"/>
    </row>
    <row r="399" spans="10:13">
      <c r="J399" s="184"/>
      <c r="M399" s="195"/>
    </row>
    <row r="400" spans="10:13">
      <c r="J400" s="184"/>
      <c r="M400" s="195"/>
    </row>
  </sheetData>
  <dataValidations count="2">
    <dataValidation type="list" allowBlank="1" showInputMessage="1" showErrorMessage="1" sqref="R6" xr:uid="{00000000-0002-0000-0000-000000000000}">
      <formula1>CurrentYear</formula1>
    </dataValidation>
    <dataValidation type="list" allowBlank="1" showInputMessage="1" showErrorMessage="1" sqref="R9 R12" xr:uid="{00000000-0002-0000-0000-000001000000}">
      <formula1>YesNo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00B0F0"/>
  </sheetPr>
  <dimension ref="A1:BR406"/>
  <sheetViews>
    <sheetView zoomScale="85" zoomScaleNormal="85" workbookViewId="0">
      <pane xSplit="4" ySplit="2" topLeftCell="W3" activePane="bottomRight" state="frozen"/>
      <selection pane="topRight" activeCell="E1" sqref="E1"/>
      <selection pane="bottomLeft" activeCell="A3" sqref="A3"/>
      <selection pane="bottomRight" activeCell="AI3" sqref="AI3:AJ136"/>
    </sheetView>
  </sheetViews>
  <sheetFormatPr defaultRowHeight="15"/>
  <cols>
    <col min="1" max="1" width="8.7109375" customWidth="1"/>
    <col min="2" max="2" width="35.28515625" bestFit="1" customWidth="1"/>
    <col min="3" max="3" width="8" bestFit="1" customWidth="1"/>
    <col min="4" max="4" width="4.140625" bestFit="1" customWidth="1"/>
    <col min="5" max="5" width="11.42578125" customWidth="1"/>
    <col min="6" max="7" width="10.5703125" bestFit="1" customWidth="1"/>
    <col min="8" max="9" width="9.5703125" bestFit="1" customWidth="1"/>
    <col min="10" max="10" width="18.7109375" customWidth="1"/>
    <col min="11" max="12" width="18.7109375" style="13" customWidth="1"/>
    <col min="13" max="13" width="18.7109375" customWidth="1"/>
    <col min="14" max="15" width="10.85546875" bestFit="1" customWidth="1"/>
    <col min="16" max="16" width="14.28515625" bestFit="1" customWidth="1"/>
    <col min="17" max="17" width="14.28515625" style="12" bestFit="1" customWidth="1"/>
    <col min="18" max="18" width="11.42578125" bestFit="1" customWidth="1"/>
    <col min="19" max="19" width="14.28515625" bestFit="1" customWidth="1"/>
    <col min="20" max="20" width="14.28515625" customWidth="1"/>
    <col min="21" max="21" width="16.5703125" style="14" customWidth="1" collapsed="1"/>
    <col min="22" max="22" width="16.5703125" style="14" customWidth="1"/>
    <col min="23" max="24" width="16.5703125" style="63" customWidth="1"/>
    <col min="25" max="26" width="13.28515625" style="63" customWidth="1"/>
    <col min="27" max="27" width="13.28515625" customWidth="1"/>
    <col min="28" max="28" width="11.7109375" bestFit="1" customWidth="1" collapsed="1"/>
    <col min="29" max="30" width="11.7109375" bestFit="1" customWidth="1"/>
    <col min="31" max="31" width="11" bestFit="1" customWidth="1"/>
    <col min="32" max="34" width="11" customWidth="1"/>
    <col min="35" max="36" width="14.28515625" bestFit="1" customWidth="1"/>
    <col min="37" max="42" width="11" customWidth="1"/>
    <col min="43" max="43" width="11" customWidth="1" collapsed="1"/>
    <col min="44" max="47" width="8.140625" bestFit="1" customWidth="1"/>
    <col min="48" max="49" width="9" bestFit="1" customWidth="1"/>
    <col min="50" max="50" width="10" bestFit="1" customWidth="1"/>
    <col min="52" max="60" width="13.7109375" customWidth="1"/>
    <col min="257" max="257" width="0" hidden="1" customWidth="1"/>
    <col min="259" max="259" width="28.140625" customWidth="1"/>
    <col min="260" max="261" width="0" hidden="1" customWidth="1"/>
    <col min="262" max="268" width="11" customWidth="1"/>
    <col min="269" max="270" width="0" hidden="1" customWidth="1"/>
    <col min="271" max="272" width="11" customWidth="1"/>
    <col min="273" max="274" width="0" hidden="1" customWidth="1"/>
    <col min="275" max="275" width="11" customWidth="1"/>
    <col min="276" max="276" width="16.5703125" customWidth="1"/>
    <col min="277" max="280" width="11" customWidth="1"/>
    <col min="281" max="282" width="11.140625" customWidth="1"/>
    <col min="283" max="306" width="11" customWidth="1"/>
    <col min="513" max="513" width="0" hidden="1" customWidth="1"/>
    <col min="515" max="515" width="28.140625" customWidth="1"/>
    <col min="516" max="517" width="0" hidden="1" customWidth="1"/>
    <col min="518" max="524" width="11" customWidth="1"/>
    <col min="525" max="526" width="0" hidden="1" customWidth="1"/>
    <col min="527" max="528" width="11" customWidth="1"/>
    <col min="529" max="530" width="0" hidden="1" customWidth="1"/>
    <col min="531" max="531" width="11" customWidth="1"/>
    <col min="532" max="532" width="16.5703125" customWidth="1"/>
    <col min="533" max="536" width="11" customWidth="1"/>
    <col min="537" max="538" width="11.140625" customWidth="1"/>
    <col min="539" max="562" width="11" customWidth="1"/>
    <col min="769" max="769" width="0" hidden="1" customWidth="1"/>
    <col min="771" max="771" width="28.140625" customWidth="1"/>
    <col min="772" max="773" width="0" hidden="1" customWidth="1"/>
    <col min="774" max="780" width="11" customWidth="1"/>
    <col min="781" max="782" width="0" hidden="1" customWidth="1"/>
    <col min="783" max="784" width="11" customWidth="1"/>
    <col min="785" max="786" width="0" hidden="1" customWidth="1"/>
    <col min="787" max="787" width="11" customWidth="1"/>
    <col min="788" max="788" width="16.5703125" customWidth="1"/>
    <col min="789" max="792" width="11" customWidth="1"/>
    <col min="793" max="794" width="11.140625" customWidth="1"/>
    <col min="795" max="818" width="11" customWidth="1"/>
    <col min="1025" max="1025" width="0" hidden="1" customWidth="1"/>
    <col min="1027" max="1027" width="28.140625" customWidth="1"/>
    <col min="1028" max="1029" width="0" hidden="1" customWidth="1"/>
    <col min="1030" max="1036" width="11" customWidth="1"/>
    <col min="1037" max="1038" width="0" hidden="1" customWidth="1"/>
    <col min="1039" max="1040" width="11" customWidth="1"/>
    <col min="1041" max="1042" width="0" hidden="1" customWidth="1"/>
    <col min="1043" max="1043" width="11" customWidth="1"/>
    <col min="1044" max="1044" width="16.5703125" customWidth="1"/>
    <col min="1045" max="1048" width="11" customWidth="1"/>
    <col min="1049" max="1050" width="11.140625" customWidth="1"/>
    <col min="1051" max="1074" width="11" customWidth="1"/>
    <col min="1281" max="1281" width="0" hidden="1" customWidth="1"/>
    <col min="1283" max="1283" width="28.140625" customWidth="1"/>
    <col min="1284" max="1285" width="0" hidden="1" customWidth="1"/>
    <col min="1286" max="1292" width="11" customWidth="1"/>
    <col min="1293" max="1294" width="0" hidden="1" customWidth="1"/>
    <col min="1295" max="1296" width="11" customWidth="1"/>
    <col min="1297" max="1298" width="0" hidden="1" customWidth="1"/>
    <col min="1299" max="1299" width="11" customWidth="1"/>
    <col min="1300" max="1300" width="16.5703125" customWidth="1"/>
    <col min="1301" max="1304" width="11" customWidth="1"/>
    <col min="1305" max="1306" width="11.140625" customWidth="1"/>
    <col min="1307" max="1330" width="11" customWidth="1"/>
    <col min="1537" max="1537" width="0" hidden="1" customWidth="1"/>
    <col min="1539" max="1539" width="28.140625" customWidth="1"/>
    <col min="1540" max="1541" width="0" hidden="1" customWidth="1"/>
    <col min="1542" max="1548" width="11" customWidth="1"/>
    <col min="1549" max="1550" width="0" hidden="1" customWidth="1"/>
    <col min="1551" max="1552" width="11" customWidth="1"/>
    <col min="1553" max="1554" width="0" hidden="1" customWidth="1"/>
    <col min="1555" max="1555" width="11" customWidth="1"/>
    <col min="1556" max="1556" width="16.5703125" customWidth="1"/>
    <col min="1557" max="1560" width="11" customWidth="1"/>
    <col min="1561" max="1562" width="11.140625" customWidth="1"/>
    <col min="1563" max="1586" width="11" customWidth="1"/>
    <col min="1793" max="1793" width="0" hidden="1" customWidth="1"/>
    <col min="1795" max="1795" width="28.140625" customWidth="1"/>
    <col min="1796" max="1797" width="0" hidden="1" customWidth="1"/>
    <col min="1798" max="1804" width="11" customWidth="1"/>
    <col min="1805" max="1806" width="0" hidden="1" customWidth="1"/>
    <col min="1807" max="1808" width="11" customWidth="1"/>
    <col min="1809" max="1810" width="0" hidden="1" customWidth="1"/>
    <col min="1811" max="1811" width="11" customWidth="1"/>
    <col min="1812" max="1812" width="16.5703125" customWidth="1"/>
    <col min="1813" max="1816" width="11" customWidth="1"/>
    <col min="1817" max="1818" width="11.140625" customWidth="1"/>
    <col min="1819" max="1842" width="11" customWidth="1"/>
    <col min="2049" max="2049" width="0" hidden="1" customWidth="1"/>
    <col min="2051" max="2051" width="28.140625" customWidth="1"/>
    <col min="2052" max="2053" width="0" hidden="1" customWidth="1"/>
    <col min="2054" max="2060" width="11" customWidth="1"/>
    <col min="2061" max="2062" width="0" hidden="1" customWidth="1"/>
    <col min="2063" max="2064" width="11" customWidth="1"/>
    <col min="2065" max="2066" width="0" hidden="1" customWidth="1"/>
    <col min="2067" max="2067" width="11" customWidth="1"/>
    <col min="2068" max="2068" width="16.5703125" customWidth="1"/>
    <col min="2069" max="2072" width="11" customWidth="1"/>
    <col min="2073" max="2074" width="11.140625" customWidth="1"/>
    <col min="2075" max="2098" width="11" customWidth="1"/>
    <col min="2305" max="2305" width="0" hidden="1" customWidth="1"/>
    <col min="2307" max="2307" width="28.140625" customWidth="1"/>
    <col min="2308" max="2309" width="0" hidden="1" customWidth="1"/>
    <col min="2310" max="2316" width="11" customWidth="1"/>
    <col min="2317" max="2318" width="0" hidden="1" customWidth="1"/>
    <col min="2319" max="2320" width="11" customWidth="1"/>
    <col min="2321" max="2322" width="0" hidden="1" customWidth="1"/>
    <col min="2323" max="2323" width="11" customWidth="1"/>
    <col min="2324" max="2324" width="16.5703125" customWidth="1"/>
    <col min="2325" max="2328" width="11" customWidth="1"/>
    <col min="2329" max="2330" width="11.140625" customWidth="1"/>
    <col min="2331" max="2354" width="11" customWidth="1"/>
    <col min="2561" max="2561" width="0" hidden="1" customWidth="1"/>
    <col min="2563" max="2563" width="28.140625" customWidth="1"/>
    <col min="2564" max="2565" width="0" hidden="1" customWidth="1"/>
    <col min="2566" max="2572" width="11" customWidth="1"/>
    <col min="2573" max="2574" width="0" hidden="1" customWidth="1"/>
    <col min="2575" max="2576" width="11" customWidth="1"/>
    <col min="2577" max="2578" width="0" hidden="1" customWidth="1"/>
    <col min="2579" max="2579" width="11" customWidth="1"/>
    <col min="2580" max="2580" width="16.5703125" customWidth="1"/>
    <col min="2581" max="2584" width="11" customWidth="1"/>
    <col min="2585" max="2586" width="11.140625" customWidth="1"/>
    <col min="2587" max="2610" width="11" customWidth="1"/>
    <col min="2817" max="2817" width="0" hidden="1" customWidth="1"/>
    <col min="2819" max="2819" width="28.140625" customWidth="1"/>
    <col min="2820" max="2821" width="0" hidden="1" customWidth="1"/>
    <col min="2822" max="2828" width="11" customWidth="1"/>
    <col min="2829" max="2830" width="0" hidden="1" customWidth="1"/>
    <col min="2831" max="2832" width="11" customWidth="1"/>
    <col min="2833" max="2834" width="0" hidden="1" customWidth="1"/>
    <col min="2835" max="2835" width="11" customWidth="1"/>
    <col min="2836" max="2836" width="16.5703125" customWidth="1"/>
    <col min="2837" max="2840" width="11" customWidth="1"/>
    <col min="2841" max="2842" width="11.140625" customWidth="1"/>
    <col min="2843" max="2866" width="11" customWidth="1"/>
    <col min="3073" max="3073" width="0" hidden="1" customWidth="1"/>
    <col min="3075" max="3075" width="28.140625" customWidth="1"/>
    <col min="3076" max="3077" width="0" hidden="1" customWidth="1"/>
    <col min="3078" max="3084" width="11" customWidth="1"/>
    <col min="3085" max="3086" width="0" hidden="1" customWidth="1"/>
    <col min="3087" max="3088" width="11" customWidth="1"/>
    <col min="3089" max="3090" width="0" hidden="1" customWidth="1"/>
    <col min="3091" max="3091" width="11" customWidth="1"/>
    <col min="3092" max="3092" width="16.5703125" customWidth="1"/>
    <col min="3093" max="3096" width="11" customWidth="1"/>
    <col min="3097" max="3098" width="11.140625" customWidth="1"/>
    <col min="3099" max="3122" width="11" customWidth="1"/>
    <col min="3329" max="3329" width="0" hidden="1" customWidth="1"/>
    <col min="3331" max="3331" width="28.140625" customWidth="1"/>
    <col min="3332" max="3333" width="0" hidden="1" customWidth="1"/>
    <col min="3334" max="3340" width="11" customWidth="1"/>
    <col min="3341" max="3342" width="0" hidden="1" customWidth="1"/>
    <col min="3343" max="3344" width="11" customWidth="1"/>
    <col min="3345" max="3346" width="0" hidden="1" customWidth="1"/>
    <col min="3347" max="3347" width="11" customWidth="1"/>
    <col min="3348" max="3348" width="16.5703125" customWidth="1"/>
    <col min="3349" max="3352" width="11" customWidth="1"/>
    <col min="3353" max="3354" width="11.140625" customWidth="1"/>
    <col min="3355" max="3378" width="11" customWidth="1"/>
    <col min="3585" max="3585" width="0" hidden="1" customWidth="1"/>
    <col min="3587" max="3587" width="28.140625" customWidth="1"/>
    <col min="3588" max="3589" width="0" hidden="1" customWidth="1"/>
    <col min="3590" max="3596" width="11" customWidth="1"/>
    <col min="3597" max="3598" width="0" hidden="1" customWidth="1"/>
    <col min="3599" max="3600" width="11" customWidth="1"/>
    <col min="3601" max="3602" width="0" hidden="1" customWidth="1"/>
    <col min="3603" max="3603" width="11" customWidth="1"/>
    <col min="3604" max="3604" width="16.5703125" customWidth="1"/>
    <col min="3605" max="3608" width="11" customWidth="1"/>
    <col min="3609" max="3610" width="11.140625" customWidth="1"/>
    <col min="3611" max="3634" width="11" customWidth="1"/>
    <col min="3841" max="3841" width="0" hidden="1" customWidth="1"/>
    <col min="3843" max="3843" width="28.140625" customWidth="1"/>
    <col min="3844" max="3845" width="0" hidden="1" customWidth="1"/>
    <col min="3846" max="3852" width="11" customWidth="1"/>
    <col min="3853" max="3854" width="0" hidden="1" customWidth="1"/>
    <col min="3855" max="3856" width="11" customWidth="1"/>
    <col min="3857" max="3858" width="0" hidden="1" customWidth="1"/>
    <col min="3859" max="3859" width="11" customWidth="1"/>
    <col min="3860" max="3860" width="16.5703125" customWidth="1"/>
    <col min="3861" max="3864" width="11" customWidth="1"/>
    <col min="3865" max="3866" width="11.140625" customWidth="1"/>
    <col min="3867" max="3890" width="11" customWidth="1"/>
    <col min="4097" max="4097" width="0" hidden="1" customWidth="1"/>
    <col min="4099" max="4099" width="28.140625" customWidth="1"/>
    <col min="4100" max="4101" width="0" hidden="1" customWidth="1"/>
    <col min="4102" max="4108" width="11" customWidth="1"/>
    <col min="4109" max="4110" width="0" hidden="1" customWidth="1"/>
    <col min="4111" max="4112" width="11" customWidth="1"/>
    <col min="4113" max="4114" width="0" hidden="1" customWidth="1"/>
    <col min="4115" max="4115" width="11" customWidth="1"/>
    <col min="4116" max="4116" width="16.5703125" customWidth="1"/>
    <col min="4117" max="4120" width="11" customWidth="1"/>
    <col min="4121" max="4122" width="11.140625" customWidth="1"/>
    <col min="4123" max="4146" width="11" customWidth="1"/>
    <col min="4353" max="4353" width="0" hidden="1" customWidth="1"/>
    <col min="4355" max="4355" width="28.140625" customWidth="1"/>
    <col min="4356" max="4357" width="0" hidden="1" customWidth="1"/>
    <col min="4358" max="4364" width="11" customWidth="1"/>
    <col min="4365" max="4366" width="0" hidden="1" customWidth="1"/>
    <col min="4367" max="4368" width="11" customWidth="1"/>
    <col min="4369" max="4370" width="0" hidden="1" customWidth="1"/>
    <col min="4371" max="4371" width="11" customWidth="1"/>
    <col min="4372" max="4372" width="16.5703125" customWidth="1"/>
    <col min="4373" max="4376" width="11" customWidth="1"/>
    <col min="4377" max="4378" width="11.140625" customWidth="1"/>
    <col min="4379" max="4402" width="11" customWidth="1"/>
    <col min="4609" max="4609" width="0" hidden="1" customWidth="1"/>
    <col min="4611" max="4611" width="28.140625" customWidth="1"/>
    <col min="4612" max="4613" width="0" hidden="1" customWidth="1"/>
    <col min="4614" max="4620" width="11" customWidth="1"/>
    <col min="4621" max="4622" width="0" hidden="1" customWidth="1"/>
    <col min="4623" max="4624" width="11" customWidth="1"/>
    <col min="4625" max="4626" width="0" hidden="1" customWidth="1"/>
    <col min="4627" max="4627" width="11" customWidth="1"/>
    <col min="4628" max="4628" width="16.5703125" customWidth="1"/>
    <col min="4629" max="4632" width="11" customWidth="1"/>
    <col min="4633" max="4634" width="11.140625" customWidth="1"/>
    <col min="4635" max="4658" width="11" customWidth="1"/>
    <col min="4865" max="4865" width="0" hidden="1" customWidth="1"/>
    <col min="4867" max="4867" width="28.140625" customWidth="1"/>
    <col min="4868" max="4869" width="0" hidden="1" customWidth="1"/>
    <col min="4870" max="4876" width="11" customWidth="1"/>
    <col min="4877" max="4878" width="0" hidden="1" customWidth="1"/>
    <col min="4879" max="4880" width="11" customWidth="1"/>
    <col min="4881" max="4882" width="0" hidden="1" customWidth="1"/>
    <col min="4883" max="4883" width="11" customWidth="1"/>
    <col min="4884" max="4884" width="16.5703125" customWidth="1"/>
    <col min="4885" max="4888" width="11" customWidth="1"/>
    <col min="4889" max="4890" width="11.140625" customWidth="1"/>
    <col min="4891" max="4914" width="11" customWidth="1"/>
    <col min="5121" max="5121" width="0" hidden="1" customWidth="1"/>
    <col min="5123" max="5123" width="28.140625" customWidth="1"/>
    <col min="5124" max="5125" width="0" hidden="1" customWidth="1"/>
    <col min="5126" max="5132" width="11" customWidth="1"/>
    <col min="5133" max="5134" width="0" hidden="1" customWidth="1"/>
    <col min="5135" max="5136" width="11" customWidth="1"/>
    <col min="5137" max="5138" width="0" hidden="1" customWidth="1"/>
    <col min="5139" max="5139" width="11" customWidth="1"/>
    <col min="5140" max="5140" width="16.5703125" customWidth="1"/>
    <col min="5141" max="5144" width="11" customWidth="1"/>
    <col min="5145" max="5146" width="11.140625" customWidth="1"/>
    <col min="5147" max="5170" width="11" customWidth="1"/>
    <col min="5377" max="5377" width="0" hidden="1" customWidth="1"/>
    <col min="5379" max="5379" width="28.140625" customWidth="1"/>
    <col min="5380" max="5381" width="0" hidden="1" customWidth="1"/>
    <col min="5382" max="5388" width="11" customWidth="1"/>
    <col min="5389" max="5390" width="0" hidden="1" customWidth="1"/>
    <col min="5391" max="5392" width="11" customWidth="1"/>
    <col min="5393" max="5394" width="0" hidden="1" customWidth="1"/>
    <col min="5395" max="5395" width="11" customWidth="1"/>
    <col min="5396" max="5396" width="16.5703125" customWidth="1"/>
    <col min="5397" max="5400" width="11" customWidth="1"/>
    <col min="5401" max="5402" width="11.140625" customWidth="1"/>
    <col min="5403" max="5426" width="11" customWidth="1"/>
    <col min="5633" max="5633" width="0" hidden="1" customWidth="1"/>
    <col min="5635" max="5635" width="28.140625" customWidth="1"/>
    <col min="5636" max="5637" width="0" hidden="1" customWidth="1"/>
    <col min="5638" max="5644" width="11" customWidth="1"/>
    <col min="5645" max="5646" width="0" hidden="1" customWidth="1"/>
    <col min="5647" max="5648" width="11" customWidth="1"/>
    <col min="5649" max="5650" width="0" hidden="1" customWidth="1"/>
    <col min="5651" max="5651" width="11" customWidth="1"/>
    <col min="5652" max="5652" width="16.5703125" customWidth="1"/>
    <col min="5653" max="5656" width="11" customWidth="1"/>
    <col min="5657" max="5658" width="11.140625" customWidth="1"/>
    <col min="5659" max="5682" width="11" customWidth="1"/>
    <col min="5889" max="5889" width="0" hidden="1" customWidth="1"/>
    <col min="5891" max="5891" width="28.140625" customWidth="1"/>
    <col min="5892" max="5893" width="0" hidden="1" customWidth="1"/>
    <col min="5894" max="5900" width="11" customWidth="1"/>
    <col min="5901" max="5902" width="0" hidden="1" customWidth="1"/>
    <col min="5903" max="5904" width="11" customWidth="1"/>
    <col min="5905" max="5906" width="0" hidden="1" customWidth="1"/>
    <col min="5907" max="5907" width="11" customWidth="1"/>
    <col min="5908" max="5908" width="16.5703125" customWidth="1"/>
    <col min="5909" max="5912" width="11" customWidth="1"/>
    <col min="5913" max="5914" width="11.140625" customWidth="1"/>
    <col min="5915" max="5938" width="11" customWidth="1"/>
    <col min="6145" max="6145" width="0" hidden="1" customWidth="1"/>
    <col min="6147" max="6147" width="28.140625" customWidth="1"/>
    <col min="6148" max="6149" width="0" hidden="1" customWidth="1"/>
    <col min="6150" max="6156" width="11" customWidth="1"/>
    <col min="6157" max="6158" width="0" hidden="1" customWidth="1"/>
    <col min="6159" max="6160" width="11" customWidth="1"/>
    <col min="6161" max="6162" width="0" hidden="1" customWidth="1"/>
    <col min="6163" max="6163" width="11" customWidth="1"/>
    <col min="6164" max="6164" width="16.5703125" customWidth="1"/>
    <col min="6165" max="6168" width="11" customWidth="1"/>
    <col min="6169" max="6170" width="11.140625" customWidth="1"/>
    <col min="6171" max="6194" width="11" customWidth="1"/>
    <col min="6401" max="6401" width="0" hidden="1" customWidth="1"/>
    <col min="6403" max="6403" width="28.140625" customWidth="1"/>
    <col min="6404" max="6405" width="0" hidden="1" customWidth="1"/>
    <col min="6406" max="6412" width="11" customWidth="1"/>
    <col min="6413" max="6414" width="0" hidden="1" customWidth="1"/>
    <col min="6415" max="6416" width="11" customWidth="1"/>
    <col min="6417" max="6418" width="0" hidden="1" customWidth="1"/>
    <col min="6419" max="6419" width="11" customWidth="1"/>
    <col min="6420" max="6420" width="16.5703125" customWidth="1"/>
    <col min="6421" max="6424" width="11" customWidth="1"/>
    <col min="6425" max="6426" width="11.140625" customWidth="1"/>
    <col min="6427" max="6450" width="11" customWidth="1"/>
    <col min="6657" max="6657" width="0" hidden="1" customWidth="1"/>
    <col min="6659" max="6659" width="28.140625" customWidth="1"/>
    <col min="6660" max="6661" width="0" hidden="1" customWidth="1"/>
    <col min="6662" max="6668" width="11" customWidth="1"/>
    <col min="6669" max="6670" width="0" hidden="1" customWidth="1"/>
    <col min="6671" max="6672" width="11" customWidth="1"/>
    <col min="6673" max="6674" width="0" hidden="1" customWidth="1"/>
    <col min="6675" max="6675" width="11" customWidth="1"/>
    <col min="6676" max="6676" width="16.5703125" customWidth="1"/>
    <col min="6677" max="6680" width="11" customWidth="1"/>
    <col min="6681" max="6682" width="11.140625" customWidth="1"/>
    <col min="6683" max="6706" width="11" customWidth="1"/>
    <col min="6913" max="6913" width="0" hidden="1" customWidth="1"/>
    <col min="6915" max="6915" width="28.140625" customWidth="1"/>
    <col min="6916" max="6917" width="0" hidden="1" customWidth="1"/>
    <col min="6918" max="6924" width="11" customWidth="1"/>
    <col min="6925" max="6926" width="0" hidden="1" customWidth="1"/>
    <col min="6927" max="6928" width="11" customWidth="1"/>
    <col min="6929" max="6930" width="0" hidden="1" customWidth="1"/>
    <col min="6931" max="6931" width="11" customWidth="1"/>
    <col min="6932" max="6932" width="16.5703125" customWidth="1"/>
    <col min="6933" max="6936" width="11" customWidth="1"/>
    <col min="6937" max="6938" width="11.140625" customWidth="1"/>
    <col min="6939" max="6962" width="11" customWidth="1"/>
    <col min="7169" max="7169" width="0" hidden="1" customWidth="1"/>
    <col min="7171" max="7171" width="28.140625" customWidth="1"/>
    <col min="7172" max="7173" width="0" hidden="1" customWidth="1"/>
    <col min="7174" max="7180" width="11" customWidth="1"/>
    <col min="7181" max="7182" width="0" hidden="1" customWidth="1"/>
    <col min="7183" max="7184" width="11" customWidth="1"/>
    <col min="7185" max="7186" width="0" hidden="1" customWidth="1"/>
    <col min="7187" max="7187" width="11" customWidth="1"/>
    <col min="7188" max="7188" width="16.5703125" customWidth="1"/>
    <col min="7189" max="7192" width="11" customWidth="1"/>
    <col min="7193" max="7194" width="11.140625" customWidth="1"/>
    <col min="7195" max="7218" width="11" customWidth="1"/>
    <col min="7425" max="7425" width="0" hidden="1" customWidth="1"/>
    <col min="7427" max="7427" width="28.140625" customWidth="1"/>
    <col min="7428" max="7429" width="0" hidden="1" customWidth="1"/>
    <col min="7430" max="7436" width="11" customWidth="1"/>
    <col min="7437" max="7438" width="0" hidden="1" customWidth="1"/>
    <col min="7439" max="7440" width="11" customWidth="1"/>
    <col min="7441" max="7442" width="0" hidden="1" customWidth="1"/>
    <col min="7443" max="7443" width="11" customWidth="1"/>
    <col min="7444" max="7444" width="16.5703125" customWidth="1"/>
    <col min="7445" max="7448" width="11" customWidth="1"/>
    <col min="7449" max="7450" width="11.140625" customWidth="1"/>
    <col min="7451" max="7474" width="11" customWidth="1"/>
    <col min="7681" max="7681" width="0" hidden="1" customWidth="1"/>
    <col min="7683" max="7683" width="28.140625" customWidth="1"/>
    <col min="7684" max="7685" width="0" hidden="1" customWidth="1"/>
    <col min="7686" max="7692" width="11" customWidth="1"/>
    <col min="7693" max="7694" width="0" hidden="1" customWidth="1"/>
    <col min="7695" max="7696" width="11" customWidth="1"/>
    <col min="7697" max="7698" width="0" hidden="1" customWidth="1"/>
    <col min="7699" max="7699" width="11" customWidth="1"/>
    <col min="7700" max="7700" width="16.5703125" customWidth="1"/>
    <col min="7701" max="7704" width="11" customWidth="1"/>
    <col min="7705" max="7706" width="11.140625" customWidth="1"/>
    <col min="7707" max="7730" width="11" customWidth="1"/>
    <col min="7937" max="7937" width="0" hidden="1" customWidth="1"/>
    <col min="7939" max="7939" width="28.140625" customWidth="1"/>
    <col min="7940" max="7941" width="0" hidden="1" customWidth="1"/>
    <col min="7942" max="7948" width="11" customWidth="1"/>
    <col min="7949" max="7950" width="0" hidden="1" customWidth="1"/>
    <col min="7951" max="7952" width="11" customWidth="1"/>
    <col min="7953" max="7954" width="0" hidden="1" customWidth="1"/>
    <col min="7955" max="7955" width="11" customWidth="1"/>
    <col min="7956" max="7956" width="16.5703125" customWidth="1"/>
    <col min="7957" max="7960" width="11" customWidth="1"/>
    <col min="7961" max="7962" width="11.140625" customWidth="1"/>
    <col min="7963" max="7986" width="11" customWidth="1"/>
    <col min="8193" max="8193" width="0" hidden="1" customWidth="1"/>
    <col min="8195" max="8195" width="28.140625" customWidth="1"/>
    <col min="8196" max="8197" width="0" hidden="1" customWidth="1"/>
    <col min="8198" max="8204" width="11" customWidth="1"/>
    <col min="8205" max="8206" width="0" hidden="1" customWidth="1"/>
    <col min="8207" max="8208" width="11" customWidth="1"/>
    <col min="8209" max="8210" width="0" hidden="1" customWidth="1"/>
    <col min="8211" max="8211" width="11" customWidth="1"/>
    <col min="8212" max="8212" width="16.5703125" customWidth="1"/>
    <col min="8213" max="8216" width="11" customWidth="1"/>
    <col min="8217" max="8218" width="11.140625" customWidth="1"/>
    <col min="8219" max="8242" width="11" customWidth="1"/>
    <col min="8449" max="8449" width="0" hidden="1" customWidth="1"/>
    <col min="8451" max="8451" width="28.140625" customWidth="1"/>
    <col min="8452" max="8453" width="0" hidden="1" customWidth="1"/>
    <col min="8454" max="8460" width="11" customWidth="1"/>
    <col min="8461" max="8462" width="0" hidden="1" customWidth="1"/>
    <col min="8463" max="8464" width="11" customWidth="1"/>
    <col min="8465" max="8466" width="0" hidden="1" customWidth="1"/>
    <col min="8467" max="8467" width="11" customWidth="1"/>
    <col min="8468" max="8468" width="16.5703125" customWidth="1"/>
    <col min="8469" max="8472" width="11" customWidth="1"/>
    <col min="8473" max="8474" width="11.140625" customWidth="1"/>
    <col min="8475" max="8498" width="11" customWidth="1"/>
    <col min="8705" max="8705" width="0" hidden="1" customWidth="1"/>
    <col min="8707" max="8707" width="28.140625" customWidth="1"/>
    <col min="8708" max="8709" width="0" hidden="1" customWidth="1"/>
    <col min="8710" max="8716" width="11" customWidth="1"/>
    <col min="8717" max="8718" width="0" hidden="1" customWidth="1"/>
    <col min="8719" max="8720" width="11" customWidth="1"/>
    <col min="8721" max="8722" width="0" hidden="1" customWidth="1"/>
    <col min="8723" max="8723" width="11" customWidth="1"/>
    <col min="8724" max="8724" width="16.5703125" customWidth="1"/>
    <col min="8725" max="8728" width="11" customWidth="1"/>
    <col min="8729" max="8730" width="11.140625" customWidth="1"/>
    <col min="8731" max="8754" width="11" customWidth="1"/>
    <col min="8961" max="8961" width="0" hidden="1" customWidth="1"/>
    <col min="8963" max="8963" width="28.140625" customWidth="1"/>
    <col min="8964" max="8965" width="0" hidden="1" customWidth="1"/>
    <col min="8966" max="8972" width="11" customWidth="1"/>
    <col min="8973" max="8974" width="0" hidden="1" customWidth="1"/>
    <col min="8975" max="8976" width="11" customWidth="1"/>
    <col min="8977" max="8978" width="0" hidden="1" customWidth="1"/>
    <col min="8979" max="8979" width="11" customWidth="1"/>
    <col min="8980" max="8980" width="16.5703125" customWidth="1"/>
    <col min="8981" max="8984" width="11" customWidth="1"/>
    <col min="8985" max="8986" width="11.140625" customWidth="1"/>
    <col min="8987" max="9010" width="11" customWidth="1"/>
    <col min="9217" max="9217" width="0" hidden="1" customWidth="1"/>
    <col min="9219" max="9219" width="28.140625" customWidth="1"/>
    <col min="9220" max="9221" width="0" hidden="1" customWidth="1"/>
    <col min="9222" max="9228" width="11" customWidth="1"/>
    <col min="9229" max="9230" width="0" hidden="1" customWidth="1"/>
    <col min="9231" max="9232" width="11" customWidth="1"/>
    <col min="9233" max="9234" width="0" hidden="1" customWidth="1"/>
    <col min="9235" max="9235" width="11" customWidth="1"/>
    <col min="9236" max="9236" width="16.5703125" customWidth="1"/>
    <col min="9237" max="9240" width="11" customWidth="1"/>
    <col min="9241" max="9242" width="11.140625" customWidth="1"/>
    <col min="9243" max="9266" width="11" customWidth="1"/>
    <col min="9473" max="9473" width="0" hidden="1" customWidth="1"/>
    <col min="9475" max="9475" width="28.140625" customWidth="1"/>
    <col min="9476" max="9477" width="0" hidden="1" customWidth="1"/>
    <col min="9478" max="9484" width="11" customWidth="1"/>
    <col min="9485" max="9486" width="0" hidden="1" customWidth="1"/>
    <col min="9487" max="9488" width="11" customWidth="1"/>
    <col min="9489" max="9490" width="0" hidden="1" customWidth="1"/>
    <col min="9491" max="9491" width="11" customWidth="1"/>
    <col min="9492" max="9492" width="16.5703125" customWidth="1"/>
    <col min="9493" max="9496" width="11" customWidth="1"/>
    <col min="9497" max="9498" width="11.140625" customWidth="1"/>
    <col min="9499" max="9522" width="11" customWidth="1"/>
    <col min="9729" max="9729" width="0" hidden="1" customWidth="1"/>
    <col min="9731" max="9731" width="28.140625" customWidth="1"/>
    <col min="9732" max="9733" width="0" hidden="1" customWidth="1"/>
    <col min="9734" max="9740" width="11" customWidth="1"/>
    <col min="9741" max="9742" width="0" hidden="1" customWidth="1"/>
    <col min="9743" max="9744" width="11" customWidth="1"/>
    <col min="9745" max="9746" width="0" hidden="1" customWidth="1"/>
    <col min="9747" max="9747" width="11" customWidth="1"/>
    <col min="9748" max="9748" width="16.5703125" customWidth="1"/>
    <col min="9749" max="9752" width="11" customWidth="1"/>
    <col min="9753" max="9754" width="11.140625" customWidth="1"/>
    <col min="9755" max="9778" width="11" customWidth="1"/>
    <col min="9985" max="9985" width="0" hidden="1" customWidth="1"/>
    <col min="9987" max="9987" width="28.140625" customWidth="1"/>
    <col min="9988" max="9989" width="0" hidden="1" customWidth="1"/>
    <col min="9990" max="9996" width="11" customWidth="1"/>
    <col min="9997" max="9998" width="0" hidden="1" customWidth="1"/>
    <col min="9999" max="10000" width="11" customWidth="1"/>
    <col min="10001" max="10002" width="0" hidden="1" customWidth="1"/>
    <col min="10003" max="10003" width="11" customWidth="1"/>
    <col min="10004" max="10004" width="16.5703125" customWidth="1"/>
    <col min="10005" max="10008" width="11" customWidth="1"/>
    <col min="10009" max="10010" width="11.140625" customWidth="1"/>
    <col min="10011" max="10034" width="11" customWidth="1"/>
    <col min="10241" max="10241" width="0" hidden="1" customWidth="1"/>
    <col min="10243" max="10243" width="28.140625" customWidth="1"/>
    <col min="10244" max="10245" width="0" hidden="1" customWidth="1"/>
    <col min="10246" max="10252" width="11" customWidth="1"/>
    <col min="10253" max="10254" width="0" hidden="1" customWidth="1"/>
    <col min="10255" max="10256" width="11" customWidth="1"/>
    <col min="10257" max="10258" width="0" hidden="1" customWidth="1"/>
    <col min="10259" max="10259" width="11" customWidth="1"/>
    <col min="10260" max="10260" width="16.5703125" customWidth="1"/>
    <col min="10261" max="10264" width="11" customWidth="1"/>
    <col min="10265" max="10266" width="11.140625" customWidth="1"/>
    <col min="10267" max="10290" width="11" customWidth="1"/>
    <col min="10497" max="10497" width="0" hidden="1" customWidth="1"/>
    <col min="10499" max="10499" width="28.140625" customWidth="1"/>
    <col min="10500" max="10501" width="0" hidden="1" customWidth="1"/>
    <col min="10502" max="10508" width="11" customWidth="1"/>
    <col min="10509" max="10510" width="0" hidden="1" customWidth="1"/>
    <col min="10511" max="10512" width="11" customWidth="1"/>
    <col min="10513" max="10514" width="0" hidden="1" customWidth="1"/>
    <col min="10515" max="10515" width="11" customWidth="1"/>
    <col min="10516" max="10516" width="16.5703125" customWidth="1"/>
    <col min="10517" max="10520" width="11" customWidth="1"/>
    <col min="10521" max="10522" width="11.140625" customWidth="1"/>
    <col min="10523" max="10546" width="11" customWidth="1"/>
    <col min="10753" max="10753" width="0" hidden="1" customWidth="1"/>
    <col min="10755" max="10755" width="28.140625" customWidth="1"/>
    <col min="10756" max="10757" width="0" hidden="1" customWidth="1"/>
    <col min="10758" max="10764" width="11" customWidth="1"/>
    <col min="10765" max="10766" width="0" hidden="1" customWidth="1"/>
    <col min="10767" max="10768" width="11" customWidth="1"/>
    <col min="10769" max="10770" width="0" hidden="1" customWidth="1"/>
    <col min="10771" max="10771" width="11" customWidth="1"/>
    <col min="10772" max="10772" width="16.5703125" customWidth="1"/>
    <col min="10773" max="10776" width="11" customWidth="1"/>
    <col min="10777" max="10778" width="11.140625" customWidth="1"/>
    <col min="10779" max="10802" width="11" customWidth="1"/>
    <col min="11009" max="11009" width="0" hidden="1" customWidth="1"/>
    <col min="11011" max="11011" width="28.140625" customWidth="1"/>
    <col min="11012" max="11013" width="0" hidden="1" customWidth="1"/>
    <col min="11014" max="11020" width="11" customWidth="1"/>
    <col min="11021" max="11022" width="0" hidden="1" customWidth="1"/>
    <col min="11023" max="11024" width="11" customWidth="1"/>
    <col min="11025" max="11026" width="0" hidden="1" customWidth="1"/>
    <col min="11027" max="11027" width="11" customWidth="1"/>
    <col min="11028" max="11028" width="16.5703125" customWidth="1"/>
    <col min="11029" max="11032" width="11" customWidth="1"/>
    <col min="11033" max="11034" width="11.140625" customWidth="1"/>
    <col min="11035" max="11058" width="11" customWidth="1"/>
    <col min="11265" max="11265" width="0" hidden="1" customWidth="1"/>
    <col min="11267" max="11267" width="28.140625" customWidth="1"/>
    <col min="11268" max="11269" width="0" hidden="1" customWidth="1"/>
    <col min="11270" max="11276" width="11" customWidth="1"/>
    <col min="11277" max="11278" width="0" hidden="1" customWidth="1"/>
    <col min="11279" max="11280" width="11" customWidth="1"/>
    <col min="11281" max="11282" width="0" hidden="1" customWidth="1"/>
    <col min="11283" max="11283" width="11" customWidth="1"/>
    <col min="11284" max="11284" width="16.5703125" customWidth="1"/>
    <col min="11285" max="11288" width="11" customWidth="1"/>
    <col min="11289" max="11290" width="11.140625" customWidth="1"/>
    <col min="11291" max="11314" width="11" customWidth="1"/>
    <col min="11521" max="11521" width="0" hidden="1" customWidth="1"/>
    <col min="11523" max="11523" width="28.140625" customWidth="1"/>
    <col min="11524" max="11525" width="0" hidden="1" customWidth="1"/>
    <col min="11526" max="11532" width="11" customWidth="1"/>
    <col min="11533" max="11534" width="0" hidden="1" customWidth="1"/>
    <col min="11535" max="11536" width="11" customWidth="1"/>
    <col min="11537" max="11538" width="0" hidden="1" customWidth="1"/>
    <col min="11539" max="11539" width="11" customWidth="1"/>
    <col min="11540" max="11540" width="16.5703125" customWidth="1"/>
    <col min="11541" max="11544" width="11" customWidth="1"/>
    <col min="11545" max="11546" width="11.140625" customWidth="1"/>
    <col min="11547" max="11570" width="11" customWidth="1"/>
    <col min="11777" max="11777" width="0" hidden="1" customWidth="1"/>
    <col min="11779" max="11779" width="28.140625" customWidth="1"/>
    <col min="11780" max="11781" width="0" hidden="1" customWidth="1"/>
    <col min="11782" max="11788" width="11" customWidth="1"/>
    <col min="11789" max="11790" width="0" hidden="1" customWidth="1"/>
    <col min="11791" max="11792" width="11" customWidth="1"/>
    <col min="11793" max="11794" width="0" hidden="1" customWidth="1"/>
    <col min="11795" max="11795" width="11" customWidth="1"/>
    <col min="11796" max="11796" width="16.5703125" customWidth="1"/>
    <col min="11797" max="11800" width="11" customWidth="1"/>
    <col min="11801" max="11802" width="11.140625" customWidth="1"/>
    <col min="11803" max="11826" width="11" customWidth="1"/>
    <col min="12033" max="12033" width="0" hidden="1" customWidth="1"/>
    <col min="12035" max="12035" width="28.140625" customWidth="1"/>
    <col min="12036" max="12037" width="0" hidden="1" customWidth="1"/>
    <col min="12038" max="12044" width="11" customWidth="1"/>
    <col min="12045" max="12046" width="0" hidden="1" customWidth="1"/>
    <col min="12047" max="12048" width="11" customWidth="1"/>
    <col min="12049" max="12050" width="0" hidden="1" customWidth="1"/>
    <col min="12051" max="12051" width="11" customWidth="1"/>
    <col min="12052" max="12052" width="16.5703125" customWidth="1"/>
    <col min="12053" max="12056" width="11" customWidth="1"/>
    <col min="12057" max="12058" width="11.140625" customWidth="1"/>
    <col min="12059" max="12082" width="11" customWidth="1"/>
    <col min="12289" max="12289" width="0" hidden="1" customWidth="1"/>
    <col min="12291" max="12291" width="28.140625" customWidth="1"/>
    <col min="12292" max="12293" width="0" hidden="1" customWidth="1"/>
    <col min="12294" max="12300" width="11" customWidth="1"/>
    <col min="12301" max="12302" width="0" hidden="1" customWidth="1"/>
    <col min="12303" max="12304" width="11" customWidth="1"/>
    <col min="12305" max="12306" width="0" hidden="1" customWidth="1"/>
    <col min="12307" max="12307" width="11" customWidth="1"/>
    <col min="12308" max="12308" width="16.5703125" customWidth="1"/>
    <col min="12309" max="12312" width="11" customWidth="1"/>
    <col min="12313" max="12314" width="11.140625" customWidth="1"/>
    <col min="12315" max="12338" width="11" customWidth="1"/>
    <col min="12545" max="12545" width="0" hidden="1" customWidth="1"/>
    <col min="12547" max="12547" width="28.140625" customWidth="1"/>
    <col min="12548" max="12549" width="0" hidden="1" customWidth="1"/>
    <col min="12550" max="12556" width="11" customWidth="1"/>
    <col min="12557" max="12558" width="0" hidden="1" customWidth="1"/>
    <col min="12559" max="12560" width="11" customWidth="1"/>
    <col min="12561" max="12562" width="0" hidden="1" customWidth="1"/>
    <col min="12563" max="12563" width="11" customWidth="1"/>
    <col min="12564" max="12564" width="16.5703125" customWidth="1"/>
    <col min="12565" max="12568" width="11" customWidth="1"/>
    <col min="12569" max="12570" width="11.140625" customWidth="1"/>
    <col min="12571" max="12594" width="11" customWidth="1"/>
    <col min="12801" max="12801" width="0" hidden="1" customWidth="1"/>
    <col min="12803" max="12803" width="28.140625" customWidth="1"/>
    <col min="12804" max="12805" width="0" hidden="1" customWidth="1"/>
    <col min="12806" max="12812" width="11" customWidth="1"/>
    <col min="12813" max="12814" width="0" hidden="1" customWidth="1"/>
    <col min="12815" max="12816" width="11" customWidth="1"/>
    <col min="12817" max="12818" width="0" hidden="1" customWidth="1"/>
    <col min="12819" max="12819" width="11" customWidth="1"/>
    <col min="12820" max="12820" width="16.5703125" customWidth="1"/>
    <col min="12821" max="12824" width="11" customWidth="1"/>
    <col min="12825" max="12826" width="11.140625" customWidth="1"/>
    <col min="12827" max="12850" width="11" customWidth="1"/>
    <col min="13057" max="13057" width="0" hidden="1" customWidth="1"/>
    <col min="13059" max="13059" width="28.140625" customWidth="1"/>
    <col min="13060" max="13061" width="0" hidden="1" customWidth="1"/>
    <col min="13062" max="13068" width="11" customWidth="1"/>
    <col min="13069" max="13070" width="0" hidden="1" customWidth="1"/>
    <col min="13071" max="13072" width="11" customWidth="1"/>
    <col min="13073" max="13074" width="0" hidden="1" customWidth="1"/>
    <col min="13075" max="13075" width="11" customWidth="1"/>
    <col min="13076" max="13076" width="16.5703125" customWidth="1"/>
    <col min="13077" max="13080" width="11" customWidth="1"/>
    <col min="13081" max="13082" width="11.140625" customWidth="1"/>
    <col min="13083" max="13106" width="11" customWidth="1"/>
    <col min="13313" max="13313" width="0" hidden="1" customWidth="1"/>
    <col min="13315" max="13315" width="28.140625" customWidth="1"/>
    <col min="13316" max="13317" width="0" hidden="1" customWidth="1"/>
    <col min="13318" max="13324" width="11" customWidth="1"/>
    <col min="13325" max="13326" width="0" hidden="1" customWidth="1"/>
    <col min="13327" max="13328" width="11" customWidth="1"/>
    <col min="13329" max="13330" width="0" hidden="1" customWidth="1"/>
    <col min="13331" max="13331" width="11" customWidth="1"/>
    <col min="13332" max="13332" width="16.5703125" customWidth="1"/>
    <col min="13333" max="13336" width="11" customWidth="1"/>
    <col min="13337" max="13338" width="11.140625" customWidth="1"/>
    <col min="13339" max="13362" width="11" customWidth="1"/>
    <col min="13569" max="13569" width="0" hidden="1" customWidth="1"/>
    <col min="13571" max="13571" width="28.140625" customWidth="1"/>
    <col min="13572" max="13573" width="0" hidden="1" customWidth="1"/>
    <col min="13574" max="13580" width="11" customWidth="1"/>
    <col min="13581" max="13582" width="0" hidden="1" customWidth="1"/>
    <col min="13583" max="13584" width="11" customWidth="1"/>
    <col min="13585" max="13586" width="0" hidden="1" customWidth="1"/>
    <col min="13587" max="13587" width="11" customWidth="1"/>
    <col min="13588" max="13588" width="16.5703125" customWidth="1"/>
    <col min="13589" max="13592" width="11" customWidth="1"/>
    <col min="13593" max="13594" width="11.140625" customWidth="1"/>
    <col min="13595" max="13618" width="11" customWidth="1"/>
    <col min="13825" max="13825" width="0" hidden="1" customWidth="1"/>
    <col min="13827" max="13827" width="28.140625" customWidth="1"/>
    <col min="13828" max="13829" width="0" hidden="1" customWidth="1"/>
    <col min="13830" max="13836" width="11" customWidth="1"/>
    <col min="13837" max="13838" width="0" hidden="1" customWidth="1"/>
    <col min="13839" max="13840" width="11" customWidth="1"/>
    <col min="13841" max="13842" width="0" hidden="1" customWidth="1"/>
    <col min="13843" max="13843" width="11" customWidth="1"/>
    <col min="13844" max="13844" width="16.5703125" customWidth="1"/>
    <col min="13845" max="13848" width="11" customWidth="1"/>
    <col min="13849" max="13850" width="11.140625" customWidth="1"/>
    <col min="13851" max="13874" width="11" customWidth="1"/>
    <col min="14081" max="14081" width="0" hidden="1" customWidth="1"/>
    <col min="14083" max="14083" width="28.140625" customWidth="1"/>
    <col min="14084" max="14085" width="0" hidden="1" customWidth="1"/>
    <col min="14086" max="14092" width="11" customWidth="1"/>
    <col min="14093" max="14094" width="0" hidden="1" customWidth="1"/>
    <col min="14095" max="14096" width="11" customWidth="1"/>
    <col min="14097" max="14098" width="0" hidden="1" customWidth="1"/>
    <col min="14099" max="14099" width="11" customWidth="1"/>
    <col min="14100" max="14100" width="16.5703125" customWidth="1"/>
    <col min="14101" max="14104" width="11" customWidth="1"/>
    <col min="14105" max="14106" width="11.140625" customWidth="1"/>
    <col min="14107" max="14130" width="11" customWidth="1"/>
    <col min="14337" max="14337" width="0" hidden="1" customWidth="1"/>
    <col min="14339" max="14339" width="28.140625" customWidth="1"/>
    <col min="14340" max="14341" width="0" hidden="1" customWidth="1"/>
    <col min="14342" max="14348" width="11" customWidth="1"/>
    <col min="14349" max="14350" width="0" hidden="1" customWidth="1"/>
    <col min="14351" max="14352" width="11" customWidth="1"/>
    <col min="14353" max="14354" width="0" hidden="1" customWidth="1"/>
    <col min="14355" max="14355" width="11" customWidth="1"/>
    <col min="14356" max="14356" width="16.5703125" customWidth="1"/>
    <col min="14357" max="14360" width="11" customWidth="1"/>
    <col min="14361" max="14362" width="11.140625" customWidth="1"/>
    <col min="14363" max="14386" width="11" customWidth="1"/>
    <col min="14593" max="14593" width="0" hidden="1" customWidth="1"/>
    <col min="14595" max="14595" width="28.140625" customWidth="1"/>
    <col min="14596" max="14597" width="0" hidden="1" customWidth="1"/>
    <col min="14598" max="14604" width="11" customWidth="1"/>
    <col min="14605" max="14606" width="0" hidden="1" customWidth="1"/>
    <col min="14607" max="14608" width="11" customWidth="1"/>
    <col min="14609" max="14610" width="0" hidden="1" customWidth="1"/>
    <col min="14611" max="14611" width="11" customWidth="1"/>
    <col min="14612" max="14612" width="16.5703125" customWidth="1"/>
    <col min="14613" max="14616" width="11" customWidth="1"/>
    <col min="14617" max="14618" width="11.140625" customWidth="1"/>
    <col min="14619" max="14642" width="11" customWidth="1"/>
    <col min="14849" max="14849" width="0" hidden="1" customWidth="1"/>
    <col min="14851" max="14851" width="28.140625" customWidth="1"/>
    <col min="14852" max="14853" width="0" hidden="1" customWidth="1"/>
    <col min="14854" max="14860" width="11" customWidth="1"/>
    <col min="14861" max="14862" width="0" hidden="1" customWidth="1"/>
    <col min="14863" max="14864" width="11" customWidth="1"/>
    <col min="14865" max="14866" width="0" hidden="1" customWidth="1"/>
    <col min="14867" max="14867" width="11" customWidth="1"/>
    <col min="14868" max="14868" width="16.5703125" customWidth="1"/>
    <col min="14869" max="14872" width="11" customWidth="1"/>
    <col min="14873" max="14874" width="11.140625" customWidth="1"/>
    <col min="14875" max="14898" width="11" customWidth="1"/>
    <col min="15105" max="15105" width="0" hidden="1" customWidth="1"/>
    <col min="15107" max="15107" width="28.140625" customWidth="1"/>
    <col min="15108" max="15109" width="0" hidden="1" customWidth="1"/>
    <col min="15110" max="15116" width="11" customWidth="1"/>
    <col min="15117" max="15118" width="0" hidden="1" customWidth="1"/>
    <col min="15119" max="15120" width="11" customWidth="1"/>
    <col min="15121" max="15122" width="0" hidden="1" customWidth="1"/>
    <col min="15123" max="15123" width="11" customWidth="1"/>
    <col min="15124" max="15124" width="16.5703125" customWidth="1"/>
    <col min="15125" max="15128" width="11" customWidth="1"/>
    <col min="15129" max="15130" width="11.140625" customWidth="1"/>
    <col min="15131" max="15154" width="11" customWidth="1"/>
    <col min="15361" max="15361" width="0" hidden="1" customWidth="1"/>
    <col min="15363" max="15363" width="28.140625" customWidth="1"/>
    <col min="15364" max="15365" width="0" hidden="1" customWidth="1"/>
    <col min="15366" max="15372" width="11" customWidth="1"/>
    <col min="15373" max="15374" width="0" hidden="1" customWidth="1"/>
    <col min="15375" max="15376" width="11" customWidth="1"/>
    <col min="15377" max="15378" width="0" hidden="1" customWidth="1"/>
    <col min="15379" max="15379" width="11" customWidth="1"/>
    <col min="15380" max="15380" width="16.5703125" customWidth="1"/>
    <col min="15381" max="15384" width="11" customWidth="1"/>
    <col min="15385" max="15386" width="11.140625" customWidth="1"/>
    <col min="15387" max="15410" width="11" customWidth="1"/>
    <col min="15617" max="15617" width="0" hidden="1" customWidth="1"/>
    <col min="15619" max="15619" width="28.140625" customWidth="1"/>
    <col min="15620" max="15621" width="0" hidden="1" customWidth="1"/>
    <col min="15622" max="15628" width="11" customWidth="1"/>
    <col min="15629" max="15630" width="0" hidden="1" customWidth="1"/>
    <col min="15631" max="15632" width="11" customWidth="1"/>
    <col min="15633" max="15634" width="0" hidden="1" customWidth="1"/>
    <col min="15635" max="15635" width="11" customWidth="1"/>
    <col min="15636" max="15636" width="16.5703125" customWidth="1"/>
    <col min="15637" max="15640" width="11" customWidth="1"/>
    <col min="15641" max="15642" width="11.140625" customWidth="1"/>
    <col min="15643" max="15666" width="11" customWidth="1"/>
    <col min="15873" max="15873" width="0" hidden="1" customWidth="1"/>
    <col min="15875" max="15875" width="28.140625" customWidth="1"/>
    <col min="15876" max="15877" width="0" hidden="1" customWidth="1"/>
    <col min="15878" max="15884" width="11" customWidth="1"/>
    <col min="15885" max="15886" width="0" hidden="1" customWidth="1"/>
    <col min="15887" max="15888" width="11" customWidth="1"/>
    <col min="15889" max="15890" width="0" hidden="1" customWidth="1"/>
    <col min="15891" max="15891" width="11" customWidth="1"/>
    <col min="15892" max="15892" width="16.5703125" customWidth="1"/>
    <col min="15893" max="15896" width="11" customWidth="1"/>
    <col min="15897" max="15898" width="11.140625" customWidth="1"/>
    <col min="15899" max="15922" width="11" customWidth="1"/>
    <col min="16129" max="16129" width="0" hidden="1" customWidth="1"/>
    <col min="16131" max="16131" width="28.140625" customWidth="1"/>
    <col min="16132" max="16133" width="0" hidden="1" customWidth="1"/>
    <col min="16134" max="16140" width="11" customWidth="1"/>
    <col min="16141" max="16142" width="0" hidden="1" customWidth="1"/>
    <col min="16143" max="16144" width="11" customWidth="1"/>
    <col min="16145" max="16146" width="0" hidden="1" customWidth="1"/>
    <col min="16147" max="16147" width="11" customWidth="1"/>
    <col min="16148" max="16148" width="16.5703125" customWidth="1"/>
    <col min="16149" max="16152" width="11" customWidth="1"/>
    <col min="16153" max="16154" width="11.140625" customWidth="1"/>
    <col min="16155" max="16178" width="11" customWidth="1"/>
  </cols>
  <sheetData>
    <row r="1" spans="1:70" s="1" customFormat="1" ht="15.75">
      <c r="A1" s="77" t="s">
        <v>142</v>
      </c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</row>
    <row r="2" spans="1:70" ht="60">
      <c r="A2" s="72" t="s">
        <v>2</v>
      </c>
      <c r="B2" s="72" t="s">
        <v>3</v>
      </c>
      <c r="C2" s="72" t="s">
        <v>4</v>
      </c>
      <c r="D2" s="72" t="s">
        <v>5</v>
      </c>
      <c r="E2" s="72" t="s">
        <v>508</v>
      </c>
      <c r="F2" s="72" t="s">
        <v>509</v>
      </c>
      <c r="G2" s="72" t="s">
        <v>510</v>
      </c>
      <c r="H2" s="72" t="s">
        <v>511</v>
      </c>
      <c r="I2" s="72" t="s">
        <v>512</v>
      </c>
      <c r="J2" s="72" t="s">
        <v>513</v>
      </c>
      <c r="K2" s="72" t="s">
        <v>514</v>
      </c>
      <c r="L2" s="72" t="s">
        <v>515</v>
      </c>
      <c r="M2" s="72" t="s">
        <v>516</v>
      </c>
      <c r="N2" s="72" t="s">
        <v>517</v>
      </c>
      <c r="O2" s="72" t="s">
        <v>518</v>
      </c>
      <c r="P2" s="72" t="s">
        <v>519</v>
      </c>
      <c r="Q2" s="72" t="s">
        <v>520</v>
      </c>
      <c r="R2" s="72" t="s">
        <v>521</v>
      </c>
      <c r="S2" s="72" t="s">
        <v>522</v>
      </c>
      <c r="T2" s="72" t="s">
        <v>619</v>
      </c>
      <c r="U2" s="72" t="s">
        <v>523</v>
      </c>
      <c r="V2" s="72" t="s">
        <v>524</v>
      </c>
      <c r="W2" s="72" t="s">
        <v>525</v>
      </c>
      <c r="X2" s="72" t="s">
        <v>526</v>
      </c>
      <c r="Y2" s="72" t="s">
        <v>527</v>
      </c>
      <c r="Z2" s="72" t="s">
        <v>528</v>
      </c>
      <c r="AA2" s="72" t="s">
        <v>529</v>
      </c>
      <c r="AB2" s="72" t="s">
        <v>530</v>
      </c>
      <c r="AC2" s="72" t="s">
        <v>531</v>
      </c>
      <c r="AD2" s="72" t="s">
        <v>6</v>
      </c>
      <c r="AE2" s="72" t="s">
        <v>532</v>
      </c>
      <c r="AF2" s="72" t="s">
        <v>533</v>
      </c>
      <c r="AG2" s="72" t="s">
        <v>534</v>
      </c>
      <c r="AH2" s="72" t="s">
        <v>535</v>
      </c>
      <c r="AI2" s="72" t="s">
        <v>536</v>
      </c>
      <c r="AJ2" s="72" t="s">
        <v>537</v>
      </c>
      <c r="AK2" s="72"/>
      <c r="AL2" s="72"/>
      <c r="AM2" s="72"/>
      <c r="AN2" s="72"/>
      <c r="AO2" s="72"/>
      <c r="AP2" s="72"/>
      <c r="AQ2" s="72"/>
      <c r="AR2" s="72"/>
      <c r="AS2" s="72"/>
      <c r="AT2" s="72"/>
      <c r="AU2" s="72"/>
      <c r="AV2" s="72"/>
      <c r="AW2" s="72"/>
      <c r="AX2" s="72"/>
      <c r="AY2" s="72"/>
      <c r="AZ2" s="72"/>
      <c r="BA2" s="72"/>
      <c r="BB2" s="72"/>
      <c r="BC2" s="72"/>
      <c r="BD2" s="72"/>
      <c r="BE2" s="72"/>
      <c r="BF2" s="72"/>
      <c r="BG2" s="72"/>
      <c r="BH2" s="72"/>
      <c r="BI2" s="72"/>
      <c r="BJ2" s="72"/>
      <c r="BK2" s="72"/>
      <c r="BL2" s="72"/>
      <c r="BM2" s="72"/>
      <c r="BN2" s="72"/>
      <c r="BO2" s="72"/>
    </row>
    <row r="3" spans="1:70">
      <c r="A3">
        <v>10015</v>
      </c>
      <c r="B3" t="s">
        <v>8</v>
      </c>
      <c r="C3">
        <v>1</v>
      </c>
      <c r="D3">
        <v>0</v>
      </c>
      <c r="E3">
        <v>0.58199999999999996</v>
      </c>
      <c r="F3">
        <v>0.75900000000000001</v>
      </c>
      <c r="G3">
        <v>0.76100000000000001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0.58199999999999996</v>
      </c>
      <c r="O3">
        <v>0.58299999999999996</v>
      </c>
      <c r="P3">
        <v>5112.2879999999996</v>
      </c>
      <c r="Q3">
        <v>5107.08</v>
      </c>
      <c r="R3">
        <v>0.57299999999999995</v>
      </c>
      <c r="S3">
        <v>5033.232</v>
      </c>
      <c r="T3">
        <v>5019.4799999999996</v>
      </c>
      <c r="U3">
        <v>8.9999999999999993E-3</v>
      </c>
      <c r="V3">
        <v>0.01</v>
      </c>
      <c r="W3">
        <v>0</v>
      </c>
      <c r="X3">
        <v>0</v>
      </c>
      <c r="Y3">
        <v>8.2999999999999998E-5</v>
      </c>
      <c r="Z3">
        <v>8.2999999999999998E-5</v>
      </c>
      <c r="AA3">
        <v>0</v>
      </c>
      <c r="AB3">
        <v>8.2999999999999998E-5</v>
      </c>
      <c r="AC3">
        <v>8.2999999999999998E-5</v>
      </c>
      <c r="AD3">
        <v>8.2999999999999998E-5</v>
      </c>
      <c r="AE3">
        <v>0.98425928092783521</v>
      </c>
      <c r="AF3">
        <v>0.98257101457976004</v>
      </c>
      <c r="AG3">
        <v>1.0157068062827226</v>
      </c>
      <c r="AH3">
        <v>1.0174520069808028</v>
      </c>
      <c r="AI3">
        <v>0</v>
      </c>
      <c r="AJ3">
        <v>0</v>
      </c>
      <c r="AK3" s="74"/>
      <c r="AL3" s="74"/>
      <c r="AM3" s="74"/>
      <c r="AN3" s="74"/>
      <c r="AO3" s="74"/>
      <c r="AP3" s="74"/>
      <c r="AQ3" s="74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</row>
    <row r="4" spans="1:70">
      <c r="A4">
        <v>10024</v>
      </c>
      <c r="B4" t="s">
        <v>9</v>
      </c>
      <c r="C4">
        <v>1</v>
      </c>
      <c r="D4">
        <v>0</v>
      </c>
      <c r="E4">
        <v>203.92</v>
      </c>
      <c r="F4">
        <v>213.08199999999999</v>
      </c>
      <c r="G4">
        <v>214.56399999999999</v>
      </c>
      <c r="H4">
        <v>0</v>
      </c>
      <c r="I4">
        <v>0</v>
      </c>
      <c r="J4">
        <v>0.91600000000000004</v>
      </c>
      <c r="K4">
        <v>0.91900000000000004</v>
      </c>
      <c r="L4">
        <v>8046.1440000000002</v>
      </c>
      <c r="M4">
        <v>8050.4400000000005</v>
      </c>
      <c r="N4">
        <v>211.167</v>
      </c>
      <c r="O4">
        <v>212.387</v>
      </c>
      <c r="P4">
        <v>1854890.9280000001</v>
      </c>
      <c r="Q4">
        <v>1860510.12</v>
      </c>
      <c r="R4">
        <v>200.923</v>
      </c>
      <c r="S4">
        <v>1764907.632</v>
      </c>
      <c r="T4">
        <v>1760085.48</v>
      </c>
      <c r="U4">
        <v>10.244</v>
      </c>
      <c r="V4">
        <v>11.464</v>
      </c>
      <c r="W4">
        <v>10.244</v>
      </c>
      <c r="X4">
        <v>11.464</v>
      </c>
      <c r="Y4">
        <v>2.90878E-2</v>
      </c>
      <c r="Z4">
        <v>2.90878E-2</v>
      </c>
      <c r="AA4">
        <v>0</v>
      </c>
      <c r="AB4">
        <v>2.90878E-2</v>
      </c>
      <c r="AC4">
        <v>2.90878E-2</v>
      </c>
      <c r="AD4">
        <v>2.90878E-2</v>
      </c>
      <c r="AE4">
        <v>0.95169893258363381</v>
      </c>
      <c r="AF4">
        <v>0.94625593333989666</v>
      </c>
      <c r="AG4">
        <v>1.0509847055837311</v>
      </c>
      <c r="AH4">
        <v>1.0570566834060808</v>
      </c>
      <c r="AI4">
        <v>0</v>
      </c>
      <c r="AJ4">
        <v>0</v>
      </c>
      <c r="AK4" s="74"/>
      <c r="AL4" s="74"/>
      <c r="AM4" s="74"/>
      <c r="AN4" s="74"/>
      <c r="AO4" s="74"/>
      <c r="AP4" s="74"/>
      <c r="AQ4" s="74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</row>
    <row r="5" spans="1:70">
      <c r="A5">
        <v>10025</v>
      </c>
      <c r="B5" t="s">
        <v>10</v>
      </c>
      <c r="C5">
        <v>1</v>
      </c>
      <c r="D5">
        <v>0</v>
      </c>
      <c r="E5">
        <v>60.548999999999999</v>
      </c>
      <c r="F5">
        <v>74.600999999999999</v>
      </c>
      <c r="G5">
        <v>75.47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64.823999999999998</v>
      </c>
      <c r="O5">
        <v>65.037000000000006</v>
      </c>
      <c r="P5">
        <v>569414.01599999995</v>
      </c>
      <c r="Q5">
        <v>569724.12000000011</v>
      </c>
      <c r="R5">
        <v>59.658999999999999</v>
      </c>
      <c r="S5">
        <v>524044.65600000002</v>
      </c>
      <c r="T5">
        <v>522612.83999999997</v>
      </c>
      <c r="U5">
        <v>5.165</v>
      </c>
      <c r="V5">
        <v>5.3780000000000001</v>
      </c>
      <c r="W5">
        <v>5.165</v>
      </c>
      <c r="X5">
        <v>5.3780000000000001</v>
      </c>
      <c r="Y5">
        <v>8.6368999999999994E-3</v>
      </c>
      <c r="Z5">
        <v>8.6368999999999994E-3</v>
      </c>
      <c r="AA5">
        <v>0</v>
      </c>
      <c r="AB5">
        <v>8.6368999999999994E-3</v>
      </c>
      <c r="AC5">
        <v>8.6368999999999994E-3</v>
      </c>
      <c r="AD5">
        <v>8.6368999999999994E-3</v>
      </c>
      <c r="AE5">
        <v>0.92032734480285083</v>
      </c>
      <c r="AF5">
        <v>0.91731321862170756</v>
      </c>
      <c r="AG5">
        <v>1.0865753700196115</v>
      </c>
      <c r="AH5">
        <v>1.090145661174341</v>
      </c>
      <c r="AI5">
        <v>5.9761645351078641E-2</v>
      </c>
      <c r="AJ5">
        <v>5.9958011364588761E-2</v>
      </c>
      <c r="AK5" s="74"/>
      <c r="AL5" s="74"/>
      <c r="AM5" s="74"/>
      <c r="AN5" s="74"/>
      <c r="AO5" s="74"/>
      <c r="AP5" s="74"/>
      <c r="AQ5" s="74"/>
      <c r="AT5" s="73"/>
      <c r="AU5" s="73"/>
      <c r="AV5" s="73"/>
      <c r="AW5" s="73"/>
      <c r="AX5" s="73"/>
      <c r="AY5" s="73"/>
      <c r="AZ5" s="73"/>
      <c r="BA5" s="73"/>
      <c r="BB5" s="73"/>
      <c r="BC5" s="73"/>
      <c r="BD5" s="73"/>
      <c r="BE5" s="73"/>
      <c r="BF5" s="73"/>
      <c r="BG5" s="73"/>
    </row>
    <row r="6" spans="1:70">
      <c r="A6">
        <v>10027</v>
      </c>
      <c r="B6" t="s">
        <v>11</v>
      </c>
      <c r="C6">
        <v>1</v>
      </c>
      <c r="D6">
        <v>0</v>
      </c>
      <c r="E6">
        <v>62.106999999999999</v>
      </c>
      <c r="F6">
        <v>72.36</v>
      </c>
      <c r="G6">
        <v>73.884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67.790999999999997</v>
      </c>
      <c r="O6">
        <v>68.215999999999994</v>
      </c>
      <c r="P6">
        <v>595476.14399999997</v>
      </c>
      <c r="Q6">
        <v>597572.15999999992</v>
      </c>
      <c r="R6">
        <v>61.194000000000003</v>
      </c>
      <c r="S6">
        <v>537528.09600000002</v>
      </c>
      <c r="T6">
        <v>536059.44000000006</v>
      </c>
      <c r="U6">
        <v>6.5970000000000004</v>
      </c>
      <c r="V6">
        <v>7.0220000000000002</v>
      </c>
      <c r="W6">
        <v>6.5970000000000004</v>
      </c>
      <c r="X6">
        <v>7.0220000000000002</v>
      </c>
      <c r="Y6">
        <v>8.8591E-3</v>
      </c>
      <c r="Z6">
        <v>8.8591E-3</v>
      </c>
      <c r="AA6">
        <v>0</v>
      </c>
      <c r="AB6">
        <v>8.8591E-3</v>
      </c>
      <c r="AC6">
        <v>8.8591E-3</v>
      </c>
      <c r="AD6">
        <v>8.8591E-3</v>
      </c>
      <c r="AE6">
        <v>0.90268869044563449</v>
      </c>
      <c r="AF6">
        <v>0.89706475041046096</v>
      </c>
      <c r="AG6">
        <v>1.1078046867339935</v>
      </c>
      <c r="AH6">
        <v>1.114749812073079</v>
      </c>
      <c r="AI6">
        <v>7.7546328071379553E-2</v>
      </c>
      <c r="AJ6">
        <v>7.8032486845115531E-2</v>
      </c>
      <c r="AK6" s="81"/>
      <c r="AL6" s="81"/>
      <c r="AM6" s="81"/>
      <c r="AN6" s="81"/>
      <c r="AO6" s="81"/>
      <c r="AP6" s="81"/>
      <c r="AQ6" s="81"/>
      <c r="AT6" s="80"/>
      <c r="AU6" s="80"/>
      <c r="AV6" s="73"/>
      <c r="AW6" s="73"/>
      <c r="AX6" s="73"/>
      <c r="AY6" s="73"/>
      <c r="AZ6" s="73"/>
      <c r="BA6" s="73"/>
      <c r="BB6" s="73"/>
      <c r="BC6" s="73"/>
      <c r="BD6" s="73"/>
      <c r="BE6" s="73"/>
      <c r="BF6" s="80"/>
      <c r="BG6" s="80"/>
    </row>
    <row r="7" spans="1:70">
      <c r="A7">
        <v>10029</v>
      </c>
      <c r="B7" t="s">
        <v>12</v>
      </c>
      <c r="C7">
        <v>0</v>
      </c>
      <c r="D7">
        <v>1</v>
      </c>
      <c r="E7">
        <v>17.879000000000001</v>
      </c>
      <c r="F7">
        <v>23.15</v>
      </c>
      <c r="G7">
        <v>24.408999999999999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21.678999999999998</v>
      </c>
      <c r="O7">
        <v>21.673999999999999</v>
      </c>
      <c r="P7">
        <v>190428.33599999998</v>
      </c>
      <c r="Q7">
        <v>189864.24</v>
      </c>
      <c r="R7">
        <v>17.616</v>
      </c>
      <c r="S7">
        <v>154738.94399999999</v>
      </c>
      <c r="T7">
        <v>154316.16</v>
      </c>
      <c r="U7">
        <v>4.0629999999999997</v>
      </c>
      <c r="V7">
        <v>4.0579999999999998</v>
      </c>
      <c r="W7">
        <v>4.0629999999999997</v>
      </c>
      <c r="X7">
        <v>4.0579999999999998</v>
      </c>
      <c r="Y7">
        <v>2.5503000000000001E-3</v>
      </c>
      <c r="Z7">
        <v>2.5503000000000001E-3</v>
      </c>
      <c r="AA7">
        <v>0</v>
      </c>
      <c r="AB7">
        <v>2.5503000000000001E-3</v>
      </c>
      <c r="AC7">
        <v>2.5503000000000001E-3</v>
      </c>
      <c r="AD7">
        <v>2.5503000000000001E-3</v>
      </c>
      <c r="AE7">
        <v>0.81258509663729894</v>
      </c>
      <c r="AF7">
        <v>0.81277255282827354</v>
      </c>
      <c r="AG7">
        <v>1.2306425976385105</v>
      </c>
      <c r="AH7">
        <v>1.2303587647593097</v>
      </c>
      <c r="AI7">
        <v>7.9991768846503178E-2</v>
      </c>
      <c r="AJ7">
        <v>7.9973319709355131E-2</v>
      </c>
      <c r="AK7" s="74"/>
      <c r="AL7" s="74"/>
      <c r="AM7" s="74"/>
      <c r="AN7" s="74"/>
      <c r="AO7" s="74"/>
      <c r="AP7" s="74"/>
      <c r="AQ7" s="74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</row>
    <row r="8" spans="1:70">
      <c r="A8">
        <v>10044</v>
      </c>
      <c r="B8" t="s">
        <v>13</v>
      </c>
      <c r="C8">
        <v>1</v>
      </c>
      <c r="D8">
        <v>0</v>
      </c>
      <c r="E8">
        <v>20.611999999999998</v>
      </c>
      <c r="F8">
        <v>22.277000000000001</v>
      </c>
      <c r="G8">
        <v>22.45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23.850999999999999</v>
      </c>
      <c r="O8">
        <v>24.05</v>
      </c>
      <c r="P8">
        <v>209507.18399999998</v>
      </c>
      <c r="Q8">
        <v>210678</v>
      </c>
      <c r="R8">
        <v>20.309000000000001</v>
      </c>
      <c r="S8">
        <v>178394.25600000002</v>
      </c>
      <c r="T8">
        <v>177906.84</v>
      </c>
      <c r="U8">
        <v>3.5419999999999998</v>
      </c>
      <c r="V8">
        <v>3.7410000000000001</v>
      </c>
      <c r="W8">
        <v>3.5419999999999998</v>
      </c>
      <c r="X8">
        <v>3.7410000000000001</v>
      </c>
      <c r="Y8">
        <v>2.9401000000000002E-3</v>
      </c>
      <c r="Z8">
        <v>2.9401000000000002E-3</v>
      </c>
      <c r="AA8">
        <v>0</v>
      </c>
      <c r="AB8">
        <v>2.9401000000000002E-3</v>
      </c>
      <c r="AC8">
        <v>2.9401000000000002E-3</v>
      </c>
      <c r="AD8">
        <v>2.9401000000000002E-3</v>
      </c>
      <c r="AE8">
        <v>0.85150699696029508</v>
      </c>
      <c r="AF8">
        <v>0.84446126338877325</v>
      </c>
      <c r="AG8">
        <v>1.1744054360135898</v>
      </c>
      <c r="AH8">
        <v>1.1842040474666404</v>
      </c>
      <c r="AI8">
        <v>0</v>
      </c>
      <c r="AJ8">
        <v>0</v>
      </c>
      <c r="AK8" s="74"/>
      <c r="AL8" s="74"/>
      <c r="AM8" s="74"/>
      <c r="AN8" s="74"/>
      <c r="AO8" s="74"/>
      <c r="AP8" s="74"/>
      <c r="AQ8" s="74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</row>
    <row r="9" spans="1:70">
      <c r="A9">
        <v>10046</v>
      </c>
      <c r="B9" t="s">
        <v>14</v>
      </c>
      <c r="C9">
        <v>0</v>
      </c>
      <c r="D9">
        <v>1</v>
      </c>
      <c r="E9">
        <v>83.072000000000003</v>
      </c>
      <c r="F9">
        <v>102.161</v>
      </c>
      <c r="G9">
        <v>103.89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98.879000000000005</v>
      </c>
      <c r="O9">
        <v>100.60599999999999</v>
      </c>
      <c r="P9">
        <v>868553.13600000006</v>
      </c>
      <c r="Q9">
        <v>881308.55999999994</v>
      </c>
      <c r="R9">
        <v>81.850999999999999</v>
      </c>
      <c r="S9">
        <v>718979.18400000001</v>
      </c>
      <c r="T9">
        <v>717014.76</v>
      </c>
      <c r="U9">
        <v>17.027999999999999</v>
      </c>
      <c r="V9">
        <v>18.754999999999999</v>
      </c>
      <c r="W9">
        <v>17.027999999999999</v>
      </c>
      <c r="X9">
        <v>18.754999999999999</v>
      </c>
      <c r="Y9">
        <v>1.18496E-2</v>
      </c>
      <c r="Z9">
        <v>1.18496E-2</v>
      </c>
      <c r="AA9">
        <v>0</v>
      </c>
      <c r="AB9">
        <v>1.18496E-2</v>
      </c>
      <c r="AC9">
        <v>1.18496E-2</v>
      </c>
      <c r="AD9">
        <v>1.18496E-2</v>
      </c>
      <c r="AE9">
        <v>0.82778931781773679</v>
      </c>
      <c r="AF9">
        <v>0.81357950774804688</v>
      </c>
      <c r="AG9">
        <v>1.2080365542265825</v>
      </c>
      <c r="AH9">
        <v>1.2291358688348339</v>
      </c>
      <c r="AI9">
        <v>7.8522376024727863E-2</v>
      </c>
      <c r="AJ9">
        <v>7.989383147426421E-2</v>
      </c>
      <c r="AK9" s="74"/>
      <c r="AL9" s="74"/>
      <c r="AM9" s="74"/>
      <c r="AN9" s="74"/>
      <c r="AO9" s="74"/>
      <c r="AP9" s="74"/>
      <c r="AQ9" s="74"/>
      <c r="AT9" s="73"/>
      <c r="AU9" s="73"/>
      <c r="AV9" s="73"/>
      <c r="AW9" s="73"/>
      <c r="AX9" s="73"/>
      <c r="AY9" s="73"/>
      <c r="AZ9" s="73"/>
      <c r="BA9" s="73"/>
      <c r="BB9" s="73"/>
      <c r="BC9" s="73"/>
      <c r="BD9" s="73"/>
      <c r="BE9" s="73"/>
      <c r="BF9" s="73"/>
      <c r="BG9" s="73"/>
    </row>
    <row r="10" spans="1:70">
      <c r="A10">
        <v>10047</v>
      </c>
      <c r="B10" t="s">
        <v>15</v>
      </c>
      <c r="C10">
        <v>1</v>
      </c>
      <c r="D10">
        <v>0</v>
      </c>
      <c r="E10">
        <v>159.01</v>
      </c>
      <c r="F10">
        <v>151.10599999999999</v>
      </c>
      <c r="G10">
        <v>151.672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152.31299999999999</v>
      </c>
      <c r="O10">
        <v>152.465</v>
      </c>
      <c r="P10">
        <v>1337917.392</v>
      </c>
      <c r="Q10">
        <v>1335593.4000000001</v>
      </c>
      <c r="R10">
        <v>156.673</v>
      </c>
      <c r="S10">
        <v>1376215.632</v>
      </c>
      <c r="T10">
        <v>1372455.48</v>
      </c>
      <c r="U10">
        <v>0</v>
      </c>
      <c r="V10">
        <v>0</v>
      </c>
      <c r="W10">
        <v>0</v>
      </c>
      <c r="X10">
        <v>0</v>
      </c>
      <c r="Y10">
        <v>2.2050500000000001E-2</v>
      </c>
      <c r="Z10">
        <v>2.2072499999999998E-2</v>
      </c>
      <c r="AA10">
        <v>0</v>
      </c>
      <c r="AB10">
        <v>2.2050500000000001E-2</v>
      </c>
      <c r="AC10">
        <v>2.2072499999999998E-2</v>
      </c>
      <c r="AD10">
        <v>2.2061499999999998E-2</v>
      </c>
      <c r="AE10">
        <v>0.99999993557345734</v>
      </c>
      <c r="AF10">
        <v>0.99999903279113245</v>
      </c>
      <c r="AG10">
        <v>1</v>
      </c>
      <c r="AH10">
        <v>1</v>
      </c>
      <c r="AI10">
        <v>0</v>
      </c>
      <c r="AJ10">
        <v>0</v>
      </c>
      <c r="AK10" s="74"/>
      <c r="AL10" s="74"/>
      <c r="AM10" s="74"/>
      <c r="AN10" s="74"/>
      <c r="AO10" s="74"/>
      <c r="AP10" s="74"/>
      <c r="AQ10" s="74"/>
      <c r="AT10" s="73"/>
      <c r="AU10" s="73"/>
      <c r="AV10" s="73"/>
      <c r="AW10" s="73"/>
      <c r="AX10" s="73"/>
      <c r="AY10" s="73"/>
      <c r="AZ10" s="73"/>
      <c r="BA10" s="73"/>
      <c r="BB10" s="73"/>
      <c r="BC10" s="73"/>
      <c r="BD10" s="73"/>
      <c r="BE10" s="73"/>
      <c r="BF10" s="73"/>
      <c r="BG10" s="73"/>
    </row>
    <row r="11" spans="1:70">
      <c r="A11">
        <v>10055</v>
      </c>
      <c r="B11" t="s">
        <v>16</v>
      </c>
      <c r="C11">
        <v>1</v>
      </c>
      <c r="D11">
        <v>0</v>
      </c>
      <c r="E11">
        <v>0.40400000000000003</v>
      </c>
      <c r="F11">
        <v>0.46400000000000002</v>
      </c>
      <c r="G11">
        <v>0.46899999999999997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0.39100000000000001</v>
      </c>
      <c r="O11">
        <v>0.39</v>
      </c>
      <c r="P11">
        <v>3434.5440000000003</v>
      </c>
      <c r="Q11">
        <v>3416.4</v>
      </c>
      <c r="R11">
        <v>0.39800000000000002</v>
      </c>
      <c r="S11">
        <v>3496.0320000000002</v>
      </c>
      <c r="T11">
        <v>3486.48</v>
      </c>
      <c r="U11">
        <v>0</v>
      </c>
      <c r="V11">
        <v>0</v>
      </c>
      <c r="W11">
        <v>0</v>
      </c>
      <c r="X11">
        <v>0</v>
      </c>
      <c r="Y11">
        <v>5.66E-5</v>
      </c>
      <c r="Z11">
        <v>5.6499999999999998E-5</v>
      </c>
      <c r="AA11">
        <v>0</v>
      </c>
      <c r="AB11">
        <v>5.66E-5</v>
      </c>
      <c r="AC11">
        <v>5.6499999999999998E-5</v>
      </c>
      <c r="AD11">
        <v>5.6549999999999999E-5</v>
      </c>
      <c r="AE11">
        <v>1</v>
      </c>
      <c r="AF11">
        <v>0.99973781538461537</v>
      </c>
      <c r="AG11">
        <v>1</v>
      </c>
      <c r="AH11">
        <v>1</v>
      </c>
      <c r="AI11">
        <v>0</v>
      </c>
      <c r="AJ11">
        <v>0</v>
      </c>
      <c r="AK11" s="74"/>
      <c r="AL11" s="74"/>
      <c r="AM11" s="74"/>
      <c r="AN11" s="74"/>
      <c r="AO11" s="74"/>
      <c r="AP11" s="74"/>
      <c r="AQ11" s="74"/>
      <c r="AT11" s="73"/>
      <c r="AU11" s="73"/>
      <c r="AV11" s="73"/>
      <c r="AW11" s="73"/>
      <c r="AX11" s="73"/>
      <c r="AY11" s="73"/>
      <c r="AZ11" s="73"/>
      <c r="BA11" s="73"/>
      <c r="BB11" s="73"/>
      <c r="BC11" s="73"/>
      <c r="BD11" s="73"/>
      <c r="BE11" s="73"/>
      <c r="BF11" s="73"/>
      <c r="BG11" s="73"/>
    </row>
    <row r="12" spans="1:70">
      <c r="A12">
        <v>10057</v>
      </c>
      <c r="B12" t="s">
        <v>17</v>
      </c>
      <c r="C12">
        <v>1</v>
      </c>
      <c r="D12">
        <v>0</v>
      </c>
      <c r="E12">
        <v>21.382999999999999</v>
      </c>
      <c r="F12">
        <v>19.323</v>
      </c>
      <c r="G12">
        <v>19.376000000000001</v>
      </c>
      <c r="H12">
        <v>0</v>
      </c>
      <c r="I12">
        <v>0</v>
      </c>
      <c r="J12">
        <v>0.158</v>
      </c>
      <c r="K12">
        <v>0.158</v>
      </c>
      <c r="L12">
        <v>1387.8720000000001</v>
      </c>
      <c r="M12">
        <v>1384.08</v>
      </c>
      <c r="N12">
        <v>19.994</v>
      </c>
      <c r="O12">
        <v>19.989999999999998</v>
      </c>
      <c r="P12">
        <v>175627.296</v>
      </c>
      <c r="Q12">
        <v>175112.4</v>
      </c>
      <c r="R12">
        <v>21.068999999999999</v>
      </c>
      <c r="S12">
        <v>185070.09599999999</v>
      </c>
      <c r="T12">
        <v>184564.44</v>
      </c>
      <c r="U12">
        <v>0</v>
      </c>
      <c r="V12">
        <v>0</v>
      </c>
      <c r="W12">
        <v>0</v>
      </c>
      <c r="X12">
        <v>0</v>
      </c>
      <c r="Y12">
        <v>2.8944999999999999E-3</v>
      </c>
      <c r="Z12">
        <v>2.8939999999999999E-3</v>
      </c>
      <c r="AA12">
        <v>0</v>
      </c>
      <c r="AB12">
        <v>2.8944999999999999E-3</v>
      </c>
      <c r="AC12">
        <v>2.8939999999999999E-3</v>
      </c>
      <c r="AD12">
        <v>2.8942500000000001E-3</v>
      </c>
      <c r="AE12">
        <v>1</v>
      </c>
      <c r="AF12">
        <v>1</v>
      </c>
      <c r="AG12">
        <v>1</v>
      </c>
      <c r="AH12">
        <v>1</v>
      </c>
      <c r="AI12">
        <v>0</v>
      </c>
      <c r="AJ12">
        <v>0</v>
      </c>
      <c r="AK12" s="74"/>
      <c r="AL12" s="74"/>
      <c r="AM12" s="74"/>
      <c r="AN12" s="74"/>
      <c r="AO12" s="74"/>
      <c r="AP12" s="74"/>
      <c r="AQ12" s="74"/>
      <c r="AT12" s="73"/>
      <c r="AU12" s="73"/>
      <c r="AV12" s="73"/>
      <c r="AW12" s="73"/>
      <c r="AX12" s="73"/>
      <c r="AY12" s="73"/>
      <c r="AZ12" s="73"/>
      <c r="BA12" s="73"/>
      <c r="BB12" s="73"/>
      <c r="BC12" s="73"/>
      <c r="BD12" s="73"/>
      <c r="BE12" s="73"/>
      <c r="BF12" s="73"/>
      <c r="BG12" s="73"/>
    </row>
    <row r="13" spans="1:70">
      <c r="A13">
        <v>10059</v>
      </c>
      <c r="B13" t="s">
        <v>18</v>
      </c>
      <c r="C13">
        <v>1</v>
      </c>
      <c r="D13">
        <v>0</v>
      </c>
      <c r="E13">
        <v>7.7530000000000001</v>
      </c>
      <c r="F13">
        <v>7.7140000000000004</v>
      </c>
      <c r="G13">
        <v>7.7350000000000003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7.6040000000000001</v>
      </c>
      <c r="O13">
        <v>7.5990000000000002</v>
      </c>
      <c r="P13">
        <v>66793.536000000007</v>
      </c>
      <c r="Q13">
        <v>66567.240000000005</v>
      </c>
      <c r="R13">
        <v>7.6390000000000002</v>
      </c>
      <c r="S13">
        <v>67100.975999999995</v>
      </c>
      <c r="T13">
        <v>66917.64</v>
      </c>
      <c r="U13">
        <v>0</v>
      </c>
      <c r="V13">
        <v>0</v>
      </c>
      <c r="W13">
        <v>0</v>
      </c>
      <c r="X13">
        <v>0</v>
      </c>
      <c r="Y13">
        <v>1.1008000000000001E-3</v>
      </c>
      <c r="Z13">
        <v>1.1000999999999999E-3</v>
      </c>
      <c r="AA13">
        <v>0</v>
      </c>
      <c r="AB13">
        <v>1.1008000000000001E-3</v>
      </c>
      <c r="AC13">
        <v>1.1000999999999999E-3</v>
      </c>
      <c r="AD13">
        <v>1.10045E-3</v>
      </c>
      <c r="AE13">
        <v>0.99996218076012611</v>
      </c>
      <c r="AF13">
        <v>0.99996947848401108</v>
      </c>
      <c r="AG13">
        <v>1</v>
      </c>
      <c r="AH13">
        <v>1</v>
      </c>
      <c r="AI13">
        <v>0</v>
      </c>
      <c r="AJ13">
        <v>0</v>
      </c>
      <c r="AK13" s="74"/>
      <c r="AL13" s="74"/>
      <c r="AM13" s="74"/>
      <c r="AN13" s="74"/>
      <c r="AO13" s="74"/>
      <c r="AP13" s="74"/>
      <c r="AQ13" s="74"/>
      <c r="AT13" s="73"/>
      <c r="AU13" s="73"/>
      <c r="AV13" s="73"/>
      <c r="AW13" s="73"/>
      <c r="AX13" s="73"/>
      <c r="AY13" s="73"/>
      <c r="AZ13" s="73"/>
      <c r="BA13" s="73"/>
      <c r="BB13" s="73"/>
      <c r="BC13" s="73"/>
      <c r="BD13" s="73"/>
      <c r="BE13" s="73"/>
      <c r="BF13" s="73"/>
      <c r="BG13" s="73"/>
    </row>
    <row r="14" spans="1:70">
      <c r="A14">
        <v>10061</v>
      </c>
      <c r="B14" t="s">
        <v>19</v>
      </c>
      <c r="C14">
        <v>1</v>
      </c>
      <c r="D14">
        <v>0</v>
      </c>
      <c r="E14">
        <v>8.8770000000000007</v>
      </c>
      <c r="F14">
        <v>11.791</v>
      </c>
      <c r="G14">
        <v>12.473000000000001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9.7140000000000004</v>
      </c>
      <c r="O14">
        <v>9.8019999999999996</v>
      </c>
      <c r="P14">
        <v>85327.775999999998</v>
      </c>
      <c r="Q14">
        <v>85865.51999999999</v>
      </c>
      <c r="R14">
        <v>8.7469999999999999</v>
      </c>
      <c r="S14">
        <v>76833.648000000001</v>
      </c>
      <c r="T14">
        <v>76623.72</v>
      </c>
      <c r="U14">
        <v>0.96699999999999997</v>
      </c>
      <c r="V14">
        <v>1.0549999999999999</v>
      </c>
      <c r="W14">
        <v>0</v>
      </c>
      <c r="X14">
        <v>1.0549999999999999</v>
      </c>
      <c r="Y14">
        <v>1.2662999999999999E-3</v>
      </c>
      <c r="Z14">
        <v>1.2662999999999999E-3</v>
      </c>
      <c r="AA14">
        <v>0</v>
      </c>
      <c r="AB14">
        <v>1.2662999999999999E-3</v>
      </c>
      <c r="AC14">
        <v>1.2662999999999999E-3</v>
      </c>
      <c r="AD14">
        <v>1.2662999999999999E-3</v>
      </c>
      <c r="AE14">
        <v>0.9004808746139592</v>
      </c>
      <c r="AF14">
        <v>0.892396573760457</v>
      </c>
      <c r="AG14">
        <v>1.1105521893220534</v>
      </c>
      <c r="AH14">
        <v>1.1206127815250944</v>
      </c>
      <c r="AI14">
        <v>0</v>
      </c>
      <c r="AJ14">
        <v>0</v>
      </c>
      <c r="AK14" s="74"/>
      <c r="AL14" s="74"/>
      <c r="AM14" s="74"/>
      <c r="AN14" s="74"/>
      <c r="AO14" s="74"/>
      <c r="AP14" s="74"/>
      <c r="AQ14" s="74"/>
      <c r="AT14" s="73"/>
      <c r="AU14" s="73"/>
      <c r="AV14" s="73"/>
      <c r="AW14" s="73"/>
      <c r="AX14" s="73"/>
      <c r="AY14" s="73"/>
      <c r="AZ14" s="73"/>
      <c r="BA14" s="73"/>
      <c r="BB14" s="73"/>
      <c r="BC14" s="73"/>
      <c r="BD14" s="73"/>
      <c r="BE14" s="73"/>
      <c r="BF14" s="73"/>
      <c r="BG14" s="73"/>
    </row>
    <row r="15" spans="1:70">
      <c r="A15">
        <v>10062</v>
      </c>
      <c r="B15" t="s">
        <v>20</v>
      </c>
      <c r="C15">
        <v>1</v>
      </c>
      <c r="D15">
        <v>0</v>
      </c>
      <c r="E15">
        <v>5.399</v>
      </c>
      <c r="F15">
        <v>9.1359999999999992</v>
      </c>
      <c r="G15">
        <v>9.2739999999999991</v>
      </c>
      <c r="H15">
        <v>0</v>
      </c>
      <c r="I15">
        <v>0</v>
      </c>
      <c r="J15">
        <v>1.8759999999999999</v>
      </c>
      <c r="K15">
        <v>1.881</v>
      </c>
      <c r="L15">
        <v>16478.784</v>
      </c>
      <c r="M15">
        <v>16477.560000000001</v>
      </c>
      <c r="N15">
        <v>7.1260000000000003</v>
      </c>
      <c r="O15">
        <v>7.2089999999999996</v>
      </c>
      <c r="P15">
        <v>62594.784</v>
      </c>
      <c r="Q15">
        <v>63150.84</v>
      </c>
      <c r="R15">
        <v>5.32</v>
      </c>
      <c r="S15">
        <v>46730.880000000005</v>
      </c>
      <c r="T15">
        <v>46603.200000000004</v>
      </c>
      <c r="U15">
        <v>1.806</v>
      </c>
      <c r="V15">
        <v>1.889</v>
      </c>
      <c r="W15">
        <v>1.806</v>
      </c>
      <c r="X15">
        <v>1.889</v>
      </c>
      <c r="Y15">
        <v>7.7019999999999996E-4</v>
      </c>
      <c r="Z15">
        <v>7.7019999999999996E-4</v>
      </c>
      <c r="AA15">
        <v>0</v>
      </c>
      <c r="AB15">
        <v>7.7019999999999996E-4</v>
      </c>
      <c r="AC15">
        <v>7.7019999999999996E-4</v>
      </c>
      <c r="AD15">
        <v>7.7019999999999996E-4</v>
      </c>
      <c r="AE15">
        <v>0.79943653020879613</v>
      </c>
      <c r="AF15">
        <v>0.79220313729372938</v>
      </c>
      <c r="AG15">
        <v>1.3394736842105264</v>
      </c>
      <c r="AH15">
        <v>1.3550751879699248</v>
      </c>
      <c r="AI15">
        <v>0</v>
      </c>
      <c r="AJ15">
        <v>0</v>
      </c>
      <c r="AK15" s="74"/>
      <c r="AL15" s="74"/>
      <c r="AM15" s="74"/>
      <c r="AN15" s="74"/>
      <c r="AO15" s="74"/>
      <c r="AP15" s="74"/>
      <c r="AQ15" s="74"/>
      <c r="AT15" s="73"/>
      <c r="AU15" s="73"/>
      <c r="AV15" s="73"/>
      <c r="AW15" s="73"/>
      <c r="AX15" s="73"/>
      <c r="AY15" s="73"/>
      <c r="AZ15" s="73"/>
      <c r="BA15" s="73"/>
      <c r="BB15" s="73"/>
      <c r="BC15" s="73"/>
      <c r="BD15" s="73"/>
      <c r="BE15" s="73"/>
      <c r="BF15" s="73"/>
      <c r="BG15" s="73"/>
    </row>
    <row r="16" spans="1:70">
      <c r="A16">
        <v>10064</v>
      </c>
      <c r="B16" t="s">
        <v>21</v>
      </c>
      <c r="C16">
        <v>1</v>
      </c>
      <c r="D16">
        <v>0</v>
      </c>
      <c r="E16">
        <v>14.273999999999999</v>
      </c>
      <c r="F16">
        <v>19.196000000000002</v>
      </c>
      <c r="G16">
        <v>19.276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16.594000000000001</v>
      </c>
      <c r="O16">
        <v>17.510999999999999</v>
      </c>
      <c r="P16">
        <v>145761.696</v>
      </c>
      <c r="Q16">
        <v>153396.35999999999</v>
      </c>
      <c r="R16">
        <v>14.064</v>
      </c>
      <c r="S16">
        <v>123538.17600000001</v>
      </c>
      <c r="T16">
        <v>123200.64</v>
      </c>
      <c r="U16">
        <v>2.5300000000000011</v>
      </c>
      <c r="V16">
        <v>3.4469999999999992</v>
      </c>
      <c r="W16">
        <v>2.5300000000000011</v>
      </c>
      <c r="X16">
        <v>3.4469999999999992</v>
      </c>
      <c r="Y16">
        <v>2.0360999999999999E-3</v>
      </c>
      <c r="Z16">
        <v>2.0360999999999999E-3</v>
      </c>
      <c r="AA16">
        <v>0</v>
      </c>
      <c r="AB16">
        <v>2.0360999999999999E-3</v>
      </c>
      <c r="AC16">
        <v>2.0360999999999999E-3</v>
      </c>
      <c r="AD16">
        <v>2.0360999999999999E-3</v>
      </c>
      <c r="AE16">
        <v>0.84752718160178375</v>
      </c>
      <c r="AF16">
        <v>0.80314465487407916</v>
      </c>
      <c r="AG16">
        <v>1.1798919226393629</v>
      </c>
      <c r="AH16">
        <v>1.24509385665529</v>
      </c>
      <c r="AI16">
        <v>0</v>
      </c>
      <c r="AJ16">
        <v>0</v>
      </c>
      <c r="AK16" s="74"/>
      <c r="AL16" s="74"/>
      <c r="AM16" s="74"/>
      <c r="AN16" s="74"/>
      <c r="AO16" s="74"/>
      <c r="AP16" s="74"/>
      <c r="AQ16" s="74"/>
      <c r="AT16" s="73"/>
      <c r="AU16" s="73"/>
      <c r="AV16" s="73"/>
      <c r="AW16" s="73"/>
      <c r="AX16" s="73"/>
      <c r="AY16" s="73"/>
      <c r="AZ16" s="73"/>
      <c r="BA16" s="73"/>
      <c r="BB16" s="73"/>
      <c r="BC16" s="73"/>
      <c r="BD16" s="73"/>
      <c r="BE16" s="73"/>
      <c r="BF16" s="73"/>
      <c r="BG16" s="73"/>
    </row>
    <row r="17" spans="1:59">
      <c r="A17">
        <v>10065</v>
      </c>
      <c r="B17" t="s">
        <v>22</v>
      </c>
      <c r="C17">
        <v>1</v>
      </c>
      <c r="D17">
        <v>0</v>
      </c>
      <c r="E17">
        <v>2.4129999999999998</v>
      </c>
      <c r="F17">
        <v>5.0640000000000001</v>
      </c>
      <c r="G17">
        <v>5.3129999999999997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4.508</v>
      </c>
      <c r="O17">
        <v>4.5270000000000001</v>
      </c>
      <c r="P17">
        <v>39598.271999999997</v>
      </c>
      <c r="Q17">
        <v>39656.520000000004</v>
      </c>
      <c r="R17">
        <v>2.3780000000000001</v>
      </c>
      <c r="S17">
        <v>20888.352000000003</v>
      </c>
      <c r="T17">
        <v>20831.280000000002</v>
      </c>
      <c r="U17">
        <v>2.13</v>
      </c>
      <c r="V17">
        <v>2.149</v>
      </c>
      <c r="W17">
        <v>2.13</v>
      </c>
      <c r="X17">
        <v>2.149</v>
      </c>
      <c r="Y17">
        <v>3.4430000000000002E-4</v>
      </c>
      <c r="Z17">
        <v>3.4430000000000002E-4</v>
      </c>
      <c r="AA17">
        <v>0</v>
      </c>
      <c r="AB17">
        <v>3.4430000000000002E-4</v>
      </c>
      <c r="AC17">
        <v>3.4430000000000002E-4</v>
      </c>
      <c r="AD17">
        <v>3.4430000000000002E-4</v>
      </c>
      <c r="AE17">
        <v>0.5275587833850931</v>
      </c>
      <c r="AF17">
        <v>0.52534459807819744</v>
      </c>
      <c r="AG17">
        <v>1.8957106812447433</v>
      </c>
      <c r="AH17">
        <v>1.9037005887300251</v>
      </c>
      <c r="AI17">
        <v>7.5828427249789748E-2</v>
      </c>
      <c r="AJ17">
        <v>7.6148023549201013E-2</v>
      </c>
      <c r="AK17" s="74"/>
      <c r="AL17" s="74"/>
      <c r="AM17" s="74"/>
      <c r="AN17" s="74"/>
      <c r="AO17" s="74"/>
      <c r="AP17" s="74"/>
      <c r="AQ17" s="74"/>
      <c r="AT17" s="73"/>
      <c r="AU17" s="73"/>
      <c r="AV17" s="73"/>
      <c r="AW17" s="73"/>
      <c r="AX17" s="73"/>
      <c r="AY17" s="73"/>
      <c r="AZ17" s="73"/>
      <c r="BA17" s="73"/>
      <c r="BB17" s="73"/>
      <c r="BC17" s="73"/>
      <c r="BD17" s="73"/>
      <c r="BE17" s="73"/>
      <c r="BF17" s="73"/>
      <c r="BG17" s="73"/>
    </row>
    <row r="18" spans="1:59">
      <c r="A18">
        <v>10066</v>
      </c>
      <c r="B18" t="s">
        <v>23</v>
      </c>
      <c r="C18">
        <v>1</v>
      </c>
      <c r="D18">
        <v>0</v>
      </c>
      <c r="E18">
        <v>24.734999999999999</v>
      </c>
      <c r="F18">
        <v>33.442999999999998</v>
      </c>
      <c r="G18">
        <v>33.613999999999997</v>
      </c>
      <c r="H18">
        <v>0</v>
      </c>
      <c r="I18">
        <v>0</v>
      </c>
      <c r="J18">
        <v>7.0949999999999998</v>
      </c>
      <c r="K18">
        <v>7.1139999999999999</v>
      </c>
      <c r="L18">
        <v>62322.479999999996</v>
      </c>
      <c r="M18">
        <v>62318.64</v>
      </c>
      <c r="N18">
        <v>25.175999999999998</v>
      </c>
      <c r="O18">
        <v>25.315999999999999</v>
      </c>
      <c r="P18">
        <v>221145.984</v>
      </c>
      <c r="Q18">
        <v>221768.16</v>
      </c>
      <c r="R18">
        <v>24.370999999999999</v>
      </c>
      <c r="S18">
        <v>214074.864</v>
      </c>
      <c r="T18">
        <v>213489.96</v>
      </c>
      <c r="U18">
        <v>0.80500000000000005</v>
      </c>
      <c r="V18">
        <v>0.94499999999999995</v>
      </c>
      <c r="W18">
        <v>0</v>
      </c>
      <c r="X18">
        <v>0</v>
      </c>
      <c r="Y18">
        <v>3.5282E-3</v>
      </c>
      <c r="Z18">
        <v>3.5282E-3</v>
      </c>
      <c r="AA18">
        <v>0</v>
      </c>
      <c r="AB18">
        <v>3.5282E-3</v>
      </c>
      <c r="AC18">
        <v>3.5282E-3</v>
      </c>
      <c r="AD18">
        <v>3.5282E-3</v>
      </c>
      <c r="AE18">
        <v>0.97505740311290079</v>
      </c>
      <c r="AF18">
        <v>0.97085193522972557</v>
      </c>
      <c r="AG18">
        <v>1.0330310615075293</v>
      </c>
      <c r="AH18">
        <v>1.0387755939436216</v>
      </c>
      <c r="AI18">
        <v>0</v>
      </c>
      <c r="AJ18">
        <v>0</v>
      </c>
      <c r="AK18" s="74"/>
      <c r="AL18" s="74"/>
      <c r="AM18" s="74"/>
      <c r="AN18" s="74"/>
      <c r="AO18" s="74"/>
      <c r="AP18" s="74"/>
      <c r="AQ18" s="74"/>
      <c r="AT18" s="73"/>
      <c r="AU18" s="73"/>
      <c r="AV18" s="73"/>
      <c r="AW18" s="73"/>
      <c r="AX18" s="73"/>
      <c r="AY18" s="73"/>
      <c r="AZ18" s="73"/>
      <c r="BA18" s="73"/>
      <c r="BB18" s="73"/>
      <c r="BC18" s="73"/>
      <c r="BD18" s="73"/>
      <c r="BE18" s="73"/>
      <c r="BF18" s="73"/>
      <c r="BG18" s="73"/>
    </row>
    <row r="19" spans="1:59">
      <c r="A19">
        <v>10067</v>
      </c>
      <c r="B19" t="s">
        <v>24</v>
      </c>
      <c r="C19">
        <v>1</v>
      </c>
      <c r="D19">
        <v>0</v>
      </c>
      <c r="E19">
        <v>16.053000000000001</v>
      </c>
      <c r="F19">
        <v>16.526</v>
      </c>
      <c r="G19">
        <v>16.702999999999999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17.448</v>
      </c>
      <c r="O19">
        <v>17.911000000000001</v>
      </c>
      <c r="P19">
        <v>153263.23199999999</v>
      </c>
      <c r="Q19">
        <v>156900.36000000002</v>
      </c>
      <c r="R19">
        <v>15.817</v>
      </c>
      <c r="S19">
        <v>138936.52799999999</v>
      </c>
      <c r="T19">
        <v>138556.92000000001</v>
      </c>
      <c r="U19">
        <v>1.6310000000000002</v>
      </c>
      <c r="V19">
        <v>2.0940000000000012</v>
      </c>
      <c r="W19">
        <v>1.6310000000000002</v>
      </c>
      <c r="X19">
        <v>2.0940000000000012</v>
      </c>
      <c r="Y19">
        <v>2.2897999999999998E-3</v>
      </c>
      <c r="Z19">
        <v>2.2897999999999998E-3</v>
      </c>
      <c r="AA19">
        <v>0</v>
      </c>
      <c r="AB19">
        <v>2.2897999999999998E-3</v>
      </c>
      <c r="AC19">
        <v>2.2897999999999998E-3</v>
      </c>
      <c r="AD19">
        <v>2.2897999999999998E-3</v>
      </c>
      <c r="AE19">
        <v>0.90652185032668509</v>
      </c>
      <c r="AF19">
        <v>0.88308822759756567</v>
      </c>
      <c r="AG19">
        <v>1.1031168995384713</v>
      </c>
      <c r="AH19">
        <v>1.1323892014920656</v>
      </c>
      <c r="AI19">
        <v>0</v>
      </c>
      <c r="AJ19">
        <v>0</v>
      </c>
      <c r="AK19" s="74"/>
      <c r="AL19" s="74"/>
      <c r="AM19" s="74"/>
      <c r="AN19" s="74"/>
      <c r="AO19" s="74"/>
      <c r="AP19" s="74"/>
      <c r="AQ19" s="74"/>
      <c r="AT19" s="73"/>
      <c r="AU19" s="73"/>
      <c r="AV19" s="73"/>
      <c r="AW19" s="73"/>
      <c r="AX19" s="73"/>
      <c r="AY19" s="73"/>
      <c r="AZ19" s="73"/>
      <c r="BA19" s="73"/>
      <c r="BB19" s="73"/>
      <c r="BC19" s="73"/>
      <c r="BD19" s="73"/>
      <c r="BE19" s="73"/>
      <c r="BF19" s="73"/>
      <c r="BG19" s="73"/>
    </row>
    <row r="20" spans="1:59">
      <c r="A20">
        <v>10068</v>
      </c>
      <c r="B20" t="s">
        <v>25</v>
      </c>
      <c r="C20">
        <v>1</v>
      </c>
      <c r="D20">
        <v>0</v>
      </c>
      <c r="E20">
        <v>2.8109999999999999</v>
      </c>
      <c r="F20">
        <v>2.5129999999999999</v>
      </c>
      <c r="G20">
        <v>2.52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2.5219999999999998</v>
      </c>
      <c r="O20">
        <v>2.52</v>
      </c>
      <c r="P20">
        <v>22153.248</v>
      </c>
      <c r="Q20">
        <v>22075.200000000001</v>
      </c>
      <c r="R20">
        <v>2.77</v>
      </c>
      <c r="S20">
        <v>24331.68</v>
      </c>
      <c r="T20">
        <v>24265.200000000001</v>
      </c>
      <c r="U20">
        <v>0</v>
      </c>
      <c r="V20">
        <v>0</v>
      </c>
      <c r="W20">
        <v>0</v>
      </c>
      <c r="X20">
        <v>0</v>
      </c>
      <c r="Y20">
        <v>3.6509999999999998E-4</v>
      </c>
      <c r="Z20">
        <v>3.6479999999999998E-4</v>
      </c>
      <c r="AA20">
        <v>0</v>
      </c>
      <c r="AB20">
        <v>3.6509999999999998E-4</v>
      </c>
      <c r="AC20">
        <v>3.6479999999999998E-4</v>
      </c>
      <c r="AD20">
        <v>3.6494999999999995E-4</v>
      </c>
      <c r="AE20">
        <v>1</v>
      </c>
      <c r="AF20">
        <v>1</v>
      </c>
      <c r="AG20">
        <v>1</v>
      </c>
      <c r="AH20">
        <v>1</v>
      </c>
      <c r="AI20">
        <v>0</v>
      </c>
      <c r="AJ20">
        <v>0</v>
      </c>
      <c r="AK20" s="74"/>
      <c r="AL20" s="74"/>
      <c r="AM20" s="74"/>
      <c r="AN20" s="74"/>
      <c r="AO20" s="74"/>
      <c r="AP20" s="74"/>
      <c r="AQ20" s="74"/>
      <c r="AT20" s="73"/>
      <c r="AU20" s="73"/>
      <c r="AV20" s="73"/>
      <c r="AW20" s="73"/>
      <c r="AX20" s="73"/>
      <c r="AY20" s="73"/>
      <c r="AZ20" s="73"/>
      <c r="BA20" s="73"/>
      <c r="BB20" s="73"/>
      <c r="BC20" s="73"/>
      <c r="BD20" s="73"/>
      <c r="BE20" s="73"/>
      <c r="BF20" s="73"/>
      <c r="BG20" s="73"/>
    </row>
    <row r="21" spans="1:59">
      <c r="A21">
        <v>10070</v>
      </c>
      <c r="B21" t="s">
        <v>26</v>
      </c>
      <c r="C21">
        <v>1</v>
      </c>
      <c r="D21">
        <v>0</v>
      </c>
      <c r="E21">
        <v>0.36399999999999999</v>
      </c>
      <c r="F21">
        <v>0.42099999999999999</v>
      </c>
      <c r="G21">
        <v>0.42299999999999999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0.38900000000000001</v>
      </c>
      <c r="O21">
        <v>0.38900000000000001</v>
      </c>
      <c r="P21">
        <v>3416.9760000000001</v>
      </c>
      <c r="Q21">
        <v>3407.6400000000003</v>
      </c>
      <c r="R21">
        <v>0.35899999999999999</v>
      </c>
      <c r="S21">
        <v>3153.4559999999997</v>
      </c>
      <c r="T21">
        <v>3144.8399999999997</v>
      </c>
      <c r="U21">
        <v>0.03</v>
      </c>
      <c r="V21">
        <v>0.03</v>
      </c>
      <c r="W21">
        <v>0</v>
      </c>
      <c r="X21">
        <v>0</v>
      </c>
      <c r="Y21">
        <v>5.1999999999999997E-5</v>
      </c>
      <c r="Z21">
        <v>5.1999999999999997E-5</v>
      </c>
      <c r="AA21">
        <v>0</v>
      </c>
      <c r="AB21">
        <v>5.1999999999999997E-5</v>
      </c>
      <c r="AC21">
        <v>5.1999999999999997E-5</v>
      </c>
      <c r="AD21">
        <v>5.1999999999999997E-5</v>
      </c>
      <c r="AE21">
        <v>0.92241373264781479</v>
      </c>
      <c r="AF21">
        <v>0.92241373264781479</v>
      </c>
      <c r="AG21">
        <v>1.0835654596100279</v>
      </c>
      <c r="AH21">
        <v>1.0835654596100279</v>
      </c>
      <c r="AI21">
        <v>0</v>
      </c>
      <c r="AJ21">
        <v>0</v>
      </c>
      <c r="AK21" s="74"/>
      <c r="AL21" s="74"/>
      <c r="AM21" s="74"/>
      <c r="AN21" s="74"/>
      <c r="AO21" s="74"/>
      <c r="AP21" s="74"/>
      <c r="AQ21" s="74"/>
      <c r="AT21" s="73"/>
      <c r="AU21" s="73"/>
      <c r="AV21" s="73"/>
      <c r="AW21" s="73"/>
      <c r="AX21" s="73"/>
      <c r="AY21" s="73"/>
      <c r="AZ21" s="73"/>
      <c r="BA21" s="73"/>
      <c r="BB21" s="73"/>
      <c r="BC21" s="73"/>
      <c r="BD21" s="73"/>
      <c r="BE21" s="73"/>
      <c r="BF21" s="73"/>
      <c r="BG21" s="73"/>
    </row>
    <row r="22" spans="1:59">
      <c r="A22">
        <v>10071</v>
      </c>
      <c r="B22" t="s">
        <v>27</v>
      </c>
      <c r="C22">
        <v>1</v>
      </c>
      <c r="D22">
        <v>0</v>
      </c>
      <c r="E22">
        <v>1.9430000000000001</v>
      </c>
      <c r="F22">
        <v>1.8939999999999999</v>
      </c>
      <c r="G22">
        <v>1.901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1.865</v>
      </c>
      <c r="O22">
        <v>1.8640000000000001</v>
      </c>
      <c r="P22">
        <v>16382.16</v>
      </c>
      <c r="Q22">
        <v>16328.640000000001</v>
      </c>
      <c r="R22">
        <v>1.9139999999999999</v>
      </c>
      <c r="S22">
        <v>16812.576000000001</v>
      </c>
      <c r="T22">
        <v>16766.64</v>
      </c>
      <c r="U22">
        <v>0</v>
      </c>
      <c r="V22">
        <v>0</v>
      </c>
      <c r="W22">
        <v>0</v>
      </c>
      <c r="X22">
        <v>0</v>
      </c>
      <c r="Y22">
        <v>2.7E-4</v>
      </c>
      <c r="Z22">
        <v>2.699E-4</v>
      </c>
      <c r="AA22">
        <v>0</v>
      </c>
      <c r="AB22">
        <v>2.7E-4</v>
      </c>
      <c r="AC22">
        <v>2.699E-4</v>
      </c>
      <c r="AD22">
        <v>2.6995000000000003E-4</v>
      </c>
      <c r="AE22">
        <v>0.99985434852546928</v>
      </c>
      <c r="AF22">
        <v>1</v>
      </c>
      <c r="AG22">
        <v>1</v>
      </c>
      <c r="AH22">
        <v>1</v>
      </c>
      <c r="AI22">
        <v>0</v>
      </c>
      <c r="AJ22">
        <v>0</v>
      </c>
      <c r="AK22" s="74"/>
      <c r="AL22" s="74"/>
      <c r="AM22" s="74"/>
      <c r="AN22" s="74"/>
      <c r="AO22" s="74"/>
      <c r="AP22" s="74"/>
      <c r="AQ22" s="74"/>
      <c r="AT22" s="73"/>
      <c r="AU22" s="73"/>
      <c r="AV22" s="73"/>
      <c r="AW22" s="73"/>
      <c r="AX22" s="73"/>
      <c r="AY22" s="73"/>
      <c r="AZ22" s="73"/>
      <c r="BA22" s="73"/>
      <c r="BB22" s="73"/>
      <c r="BC22" s="73"/>
      <c r="BD22" s="73"/>
      <c r="BE22" s="73"/>
      <c r="BF22" s="73"/>
      <c r="BG22" s="73"/>
    </row>
    <row r="23" spans="1:59">
      <c r="A23">
        <v>10072</v>
      </c>
      <c r="B23" t="s">
        <v>28</v>
      </c>
      <c r="C23">
        <v>1</v>
      </c>
      <c r="D23">
        <v>0</v>
      </c>
      <c r="E23">
        <v>24.34</v>
      </c>
      <c r="F23">
        <v>26.073</v>
      </c>
      <c r="G23">
        <v>27.155000000000001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25.509</v>
      </c>
      <c r="O23">
        <v>25.696999999999999</v>
      </c>
      <c r="P23">
        <v>224071.05600000001</v>
      </c>
      <c r="Q23">
        <v>225105.72</v>
      </c>
      <c r="R23">
        <v>23.981999999999999</v>
      </c>
      <c r="S23">
        <v>210657.88800000001</v>
      </c>
      <c r="T23">
        <v>210082.32</v>
      </c>
      <c r="U23">
        <v>1.5269999999999999</v>
      </c>
      <c r="V23">
        <v>1.7150000000000001</v>
      </c>
      <c r="W23">
        <v>1.5269999999999999</v>
      </c>
      <c r="X23">
        <v>1.7150000000000001</v>
      </c>
      <c r="Y23">
        <v>3.4719E-3</v>
      </c>
      <c r="Z23">
        <v>3.4719E-3</v>
      </c>
      <c r="AA23">
        <v>0</v>
      </c>
      <c r="AB23">
        <v>3.4719E-3</v>
      </c>
      <c r="AC23">
        <v>3.4719E-3</v>
      </c>
      <c r="AD23">
        <v>3.4719E-3</v>
      </c>
      <c r="AE23">
        <v>0.94014830783252967</v>
      </c>
      <c r="AF23">
        <v>0.9332701554461611</v>
      </c>
      <c r="AG23">
        <v>1.0636727545659246</v>
      </c>
      <c r="AH23">
        <v>1.0715119673088149</v>
      </c>
      <c r="AI23">
        <v>0</v>
      </c>
      <c r="AJ23">
        <v>0</v>
      </c>
      <c r="AK23" s="81"/>
      <c r="AL23" s="81"/>
      <c r="AM23" s="81"/>
      <c r="AN23" s="81"/>
      <c r="AO23" s="81"/>
      <c r="AP23" s="81"/>
      <c r="AQ23" s="81"/>
      <c r="AT23" s="80"/>
      <c r="AU23" s="80"/>
      <c r="AV23" s="73"/>
      <c r="AW23" s="73"/>
      <c r="AX23" s="73"/>
      <c r="AY23" s="73"/>
      <c r="AZ23" s="73"/>
      <c r="BA23" s="73"/>
      <c r="BB23" s="73"/>
      <c r="BC23" s="73"/>
      <c r="BD23" s="73"/>
      <c r="BE23" s="73"/>
      <c r="BF23" s="80"/>
      <c r="BG23" s="80"/>
    </row>
    <row r="24" spans="1:59">
      <c r="A24">
        <v>10074</v>
      </c>
      <c r="B24" t="s">
        <v>29</v>
      </c>
      <c r="C24">
        <v>1</v>
      </c>
      <c r="D24">
        <v>0</v>
      </c>
      <c r="E24">
        <v>27.08</v>
      </c>
      <c r="F24">
        <v>34.317999999999998</v>
      </c>
      <c r="G24">
        <v>34.944000000000003</v>
      </c>
      <c r="H24">
        <v>0</v>
      </c>
      <c r="I24">
        <v>0</v>
      </c>
      <c r="J24">
        <v>2.9249999999999998</v>
      </c>
      <c r="K24">
        <v>2.9329999999999998</v>
      </c>
      <c r="L24">
        <v>25693.199999999997</v>
      </c>
      <c r="M24">
        <v>25693.079999999998</v>
      </c>
      <c r="N24">
        <v>29.33</v>
      </c>
      <c r="O24">
        <v>29.579000000000001</v>
      </c>
      <c r="P24">
        <v>257634.71999999997</v>
      </c>
      <c r="Q24">
        <v>259112.04</v>
      </c>
      <c r="R24">
        <v>26.681999999999999</v>
      </c>
      <c r="S24">
        <v>234374.68799999999</v>
      </c>
      <c r="T24">
        <v>233734.31999999998</v>
      </c>
      <c r="U24">
        <v>2.6480000000000001</v>
      </c>
      <c r="V24">
        <v>2.8969999999999998</v>
      </c>
      <c r="W24">
        <v>2.6480000000000001</v>
      </c>
      <c r="X24">
        <v>2.8969999999999998</v>
      </c>
      <c r="Y24">
        <v>3.8628E-3</v>
      </c>
      <c r="Z24">
        <v>3.8628E-3</v>
      </c>
      <c r="AA24">
        <v>0</v>
      </c>
      <c r="AB24">
        <v>3.8628E-3</v>
      </c>
      <c r="AC24">
        <v>3.8628E-3</v>
      </c>
      <c r="AD24">
        <v>3.8628E-3</v>
      </c>
      <c r="AE24">
        <v>0.91794569105754031</v>
      </c>
      <c r="AF24">
        <v>0.91090935414680652</v>
      </c>
      <c r="AG24">
        <v>1.0992429353121955</v>
      </c>
      <c r="AH24">
        <v>1.1085750693351324</v>
      </c>
      <c r="AI24">
        <v>0</v>
      </c>
      <c r="AJ24">
        <v>0</v>
      </c>
      <c r="AK24" s="74"/>
      <c r="AL24" s="74"/>
      <c r="AM24" s="74"/>
      <c r="AN24" s="74"/>
      <c r="AO24" s="74"/>
      <c r="AP24" s="74"/>
      <c r="AQ24" s="74"/>
      <c r="AT24" s="73"/>
      <c r="AU24" s="73"/>
      <c r="AV24" s="73"/>
      <c r="AW24" s="73"/>
      <c r="AX24" s="73"/>
      <c r="AY24" s="73"/>
      <c r="AZ24" s="73"/>
      <c r="BA24" s="73"/>
      <c r="BB24" s="73"/>
      <c r="BC24" s="73"/>
      <c r="BD24" s="73"/>
      <c r="BE24" s="73"/>
      <c r="BF24" s="73"/>
      <c r="BG24" s="73"/>
    </row>
    <row r="25" spans="1:59">
      <c r="A25">
        <v>10076</v>
      </c>
      <c r="B25" t="s">
        <v>30</v>
      </c>
      <c r="C25">
        <v>1</v>
      </c>
      <c r="D25">
        <v>0</v>
      </c>
      <c r="E25">
        <v>4.8890000000000002</v>
      </c>
      <c r="F25">
        <v>7.6890000000000001</v>
      </c>
      <c r="G25">
        <v>7.758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8.0359999999999996</v>
      </c>
      <c r="O25">
        <v>8.1319999999999997</v>
      </c>
      <c r="P25">
        <v>70588.224000000002</v>
      </c>
      <c r="Q25">
        <v>71236.319999999992</v>
      </c>
      <c r="R25">
        <v>4.8170000000000002</v>
      </c>
      <c r="S25">
        <v>42312.527999999998</v>
      </c>
      <c r="T25">
        <v>42196.92</v>
      </c>
      <c r="U25">
        <v>3.2189999999999999</v>
      </c>
      <c r="V25">
        <v>3.3149999999999999</v>
      </c>
      <c r="W25">
        <v>3.2189999999999999</v>
      </c>
      <c r="X25">
        <v>3.3149999999999999</v>
      </c>
      <c r="Y25">
        <v>6.9740000000000004E-4</v>
      </c>
      <c r="Z25">
        <v>6.9740000000000004E-4</v>
      </c>
      <c r="AA25">
        <v>0</v>
      </c>
      <c r="AB25">
        <v>6.9740000000000004E-4</v>
      </c>
      <c r="AC25">
        <v>6.9740000000000004E-4</v>
      </c>
      <c r="AD25">
        <v>6.9740000000000004E-4</v>
      </c>
      <c r="AE25">
        <v>0.59945432180189151</v>
      </c>
      <c r="AF25">
        <v>0.59237763526807674</v>
      </c>
      <c r="AG25">
        <v>1.6682582520240812</v>
      </c>
      <c r="AH25">
        <v>1.688187668673448</v>
      </c>
      <c r="AI25">
        <v>0</v>
      </c>
      <c r="AJ25">
        <v>0</v>
      </c>
      <c r="AK25" s="74"/>
      <c r="AL25" s="74"/>
      <c r="AM25" s="74"/>
      <c r="AN25" s="74"/>
      <c r="AO25" s="74"/>
      <c r="AP25" s="74"/>
      <c r="AQ25" s="74"/>
      <c r="AT25" s="73"/>
      <c r="AU25" s="73"/>
      <c r="AV25" s="73"/>
      <c r="AW25" s="73"/>
      <c r="AX25" s="73"/>
      <c r="AY25" s="73"/>
      <c r="AZ25" s="73"/>
      <c r="BA25" s="73"/>
      <c r="BB25" s="73"/>
      <c r="BC25" s="73"/>
      <c r="BD25" s="73"/>
      <c r="BE25" s="73"/>
      <c r="BF25" s="73"/>
      <c r="BG25" s="73"/>
    </row>
    <row r="26" spans="1:59">
      <c r="A26">
        <v>10078</v>
      </c>
      <c r="B26" t="s">
        <v>31</v>
      </c>
      <c r="C26">
        <v>1</v>
      </c>
      <c r="D26">
        <v>0</v>
      </c>
      <c r="E26">
        <v>3.7729999999999997</v>
      </c>
      <c r="F26">
        <v>3.71</v>
      </c>
      <c r="G26">
        <v>3.73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4.3499999999999996</v>
      </c>
      <c r="O26">
        <v>4.8090000000000002</v>
      </c>
      <c r="P26">
        <v>38210.399999999994</v>
      </c>
      <c r="Q26">
        <v>42126.840000000004</v>
      </c>
      <c r="R26">
        <v>3.718</v>
      </c>
      <c r="S26">
        <v>32658.912</v>
      </c>
      <c r="T26">
        <v>32569.68</v>
      </c>
      <c r="U26">
        <v>0.63200000000000001</v>
      </c>
      <c r="V26">
        <v>1.091</v>
      </c>
      <c r="W26">
        <v>0</v>
      </c>
      <c r="X26">
        <v>1.091</v>
      </c>
      <c r="Y26">
        <v>5.3830000000000002E-4</v>
      </c>
      <c r="Z26">
        <v>5.3830000000000002E-4</v>
      </c>
      <c r="AA26">
        <v>0</v>
      </c>
      <c r="AB26">
        <v>5.3830000000000002E-4</v>
      </c>
      <c r="AC26">
        <v>5.3830000000000002E-4</v>
      </c>
      <c r="AD26">
        <v>5.3830000000000002E-4</v>
      </c>
      <c r="AE26">
        <v>0.85474835310344832</v>
      </c>
      <c r="AF26">
        <v>0.7731660087336244</v>
      </c>
      <c r="AG26">
        <v>1.1699838622915546</v>
      </c>
      <c r="AH26">
        <v>1.2934373318988703</v>
      </c>
      <c r="AI26">
        <v>0</v>
      </c>
      <c r="AJ26">
        <v>0</v>
      </c>
      <c r="AK26" s="74"/>
      <c r="AL26" s="74"/>
      <c r="AM26" s="74"/>
      <c r="AN26" s="74"/>
      <c r="AO26" s="74"/>
      <c r="AP26" s="74"/>
      <c r="AQ26" s="74"/>
      <c r="AT26" s="73"/>
      <c r="AU26" s="73"/>
      <c r="AV26" s="73"/>
      <c r="AW26" s="73"/>
      <c r="AX26" s="73"/>
      <c r="AY26" s="73"/>
      <c r="AZ26" s="73"/>
      <c r="BA26" s="73"/>
      <c r="BB26" s="73"/>
      <c r="BC26" s="73"/>
      <c r="BD26" s="73"/>
      <c r="BE26" s="73"/>
      <c r="BF26" s="73"/>
      <c r="BG26" s="73"/>
    </row>
    <row r="27" spans="1:59">
      <c r="A27">
        <v>10079</v>
      </c>
      <c r="B27" t="s">
        <v>32</v>
      </c>
      <c r="C27">
        <v>1</v>
      </c>
      <c r="D27">
        <v>0</v>
      </c>
      <c r="E27">
        <v>89.494</v>
      </c>
      <c r="F27">
        <v>87.042000000000002</v>
      </c>
      <c r="G27">
        <v>87.498000000000005</v>
      </c>
      <c r="H27">
        <v>0</v>
      </c>
      <c r="I27">
        <v>0</v>
      </c>
      <c r="J27">
        <v>2.9249999999999998</v>
      </c>
      <c r="K27">
        <v>2.9329999999999998</v>
      </c>
      <c r="L27">
        <v>25693.199999999997</v>
      </c>
      <c r="M27">
        <v>25693.079999999998</v>
      </c>
      <c r="N27">
        <v>81.772999999999996</v>
      </c>
      <c r="O27">
        <v>82.576999999999998</v>
      </c>
      <c r="P27">
        <v>718294.03200000001</v>
      </c>
      <c r="Q27">
        <v>723374.52</v>
      </c>
      <c r="R27">
        <v>88.179000000000002</v>
      </c>
      <c r="S27">
        <v>774564.33600000001</v>
      </c>
      <c r="T27">
        <v>772448.04</v>
      </c>
      <c r="U27">
        <v>0</v>
      </c>
      <c r="V27">
        <v>0</v>
      </c>
      <c r="W27">
        <v>0</v>
      </c>
      <c r="X27">
        <v>0</v>
      </c>
      <c r="Y27">
        <v>1.18383E-2</v>
      </c>
      <c r="Z27">
        <v>1.19547E-2</v>
      </c>
      <c r="AA27">
        <v>0</v>
      </c>
      <c r="AB27">
        <v>1.18383E-2</v>
      </c>
      <c r="AC27">
        <v>1.19547E-2</v>
      </c>
      <c r="AD27">
        <v>1.1896500000000001E-2</v>
      </c>
      <c r="AE27">
        <v>1</v>
      </c>
      <c r="AF27">
        <v>1</v>
      </c>
      <c r="AG27">
        <v>1</v>
      </c>
      <c r="AH27">
        <v>1</v>
      </c>
      <c r="AI27">
        <v>0</v>
      </c>
      <c r="AJ27">
        <v>0</v>
      </c>
      <c r="AK27" s="74"/>
      <c r="AL27" s="74"/>
      <c r="AM27" s="74"/>
      <c r="AN27" s="74"/>
      <c r="AO27" s="74"/>
      <c r="AP27" s="74"/>
      <c r="AQ27" s="74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</row>
    <row r="28" spans="1:59">
      <c r="A28">
        <v>10080</v>
      </c>
      <c r="B28" t="s">
        <v>33</v>
      </c>
      <c r="C28">
        <v>1</v>
      </c>
      <c r="D28">
        <v>0</v>
      </c>
      <c r="E28">
        <v>7.548</v>
      </c>
      <c r="F28">
        <v>6.6470000000000002</v>
      </c>
      <c r="G28">
        <v>6.6680000000000001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6.6079999999999997</v>
      </c>
      <c r="O28">
        <v>6.61</v>
      </c>
      <c r="P28">
        <v>58044.671999999999</v>
      </c>
      <c r="Q28">
        <v>57903.600000000006</v>
      </c>
      <c r="R28">
        <v>7.4370000000000003</v>
      </c>
      <c r="S28">
        <v>65326.608</v>
      </c>
      <c r="T28">
        <v>65148.12</v>
      </c>
      <c r="U28">
        <v>0</v>
      </c>
      <c r="V28">
        <v>0</v>
      </c>
      <c r="W28">
        <v>0</v>
      </c>
      <c r="X28">
        <v>0</v>
      </c>
      <c r="Y28">
        <v>9.5660000000000005E-4</v>
      </c>
      <c r="Z28">
        <v>9.569E-4</v>
      </c>
      <c r="AA28">
        <v>0</v>
      </c>
      <c r="AB28">
        <v>9.5660000000000005E-4</v>
      </c>
      <c r="AC28">
        <v>9.569E-4</v>
      </c>
      <c r="AD28">
        <v>9.5675000000000003E-4</v>
      </c>
      <c r="AE28">
        <v>0.99996639792675546</v>
      </c>
      <c r="AF28">
        <v>0.99998441255673221</v>
      </c>
      <c r="AG28">
        <v>1</v>
      </c>
      <c r="AH28">
        <v>1</v>
      </c>
      <c r="AI28">
        <v>0</v>
      </c>
      <c r="AJ28">
        <v>0</v>
      </c>
      <c r="AK28" s="74"/>
      <c r="AL28" s="74"/>
      <c r="AM28" s="74"/>
      <c r="AN28" s="74"/>
      <c r="AO28" s="74"/>
      <c r="AP28" s="74"/>
      <c r="AQ28" s="74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</row>
    <row r="29" spans="1:59">
      <c r="A29">
        <v>10081</v>
      </c>
      <c r="B29" t="s">
        <v>34</v>
      </c>
      <c r="C29">
        <v>1</v>
      </c>
      <c r="D29">
        <v>0</v>
      </c>
      <c r="E29">
        <v>10.611000000000001</v>
      </c>
      <c r="F29">
        <v>12.244</v>
      </c>
      <c r="G29">
        <v>12.276999999999999</v>
      </c>
      <c r="H29">
        <v>0</v>
      </c>
      <c r="I29">
        <v>0</v>
      </c>
      <c r="J29">
        <v>2.9249999999999998</v>
      </c>
      <c r="K29">
        <v>2.9329999999999998</v>
      </c>
      <c r="L29">
        <v>25693.199999999997</v>
      </c>
      <c r="M29">
        <v>25693.079999999998</v>
      </c>
      <c r="N29">
        <v>9.1129999999999995</v>
      </c>
      <c r="O29">
        <v>9.1110000000000007</v>
      </c>
      <c r="P29">
        <v>80048.59199999999</v>
      </c>
      <c r="Q29">
        <v>79812.36</v>
      </c>
      <c r="R29">
        <v>10.455</v>
      </c>
      <c r="S29">
        <v>91836.72</v>
      </c>
      <c r="T29">
        <v>91585.8</v>
      </c>
      <c r="U29">
        <v>0</v>
      </c>
      <c r="V29">
        <v>0</v>
      </c>
      <c r="W29">
        <v>0</v>
      </c>
      <c r="X29">
        <v>0</v>
      </c>
      <c r="Y29">
        <v>1.3193E-3</v>
      </c>
      <c r="Z29">
        <v>1.3190000000000001E-3</v>
      </c>
      <c r="AA29">
        <v>0</v>
      </c>
      <c r="AB29">
        <v>1.3193E-3</v>
      </c>
      <c r="AC29">
        <v>1.3190000000000001E-3</v>
      </c>
      <c r="AD29">
        <v>1.3191500000000001E-3</v>
      </c>
      <c r="AE29">
        <v>1</v>
      </c>
      <c r="AF29">
        <v>1</v>
      </c>
      <c r="AG29">
        <v>1</v>
      </c>
      <c r="AH29">
        <v>1</v>
      </c>
      <c r="AI29">
        <v>0</v>
      </c>
      <c r="AJ29">
        <v>0</v>
      </c>
      <c r="AK29" s="74"/>
      <c r="AL29" s="74"/>
      <c r="AM29" s="74"/>
      <c r="AN29" s="74"/>
      <c r="AO29" s="74"/>
      <c r="AP29" s="74"/>
      <c r="AQ29" s="74"/>
      <c r="AT29" s="73"/>
      <c r="AU29" s="73"/>
      <c r="AV29" s="73"/>
      <c r="AW29" s="73"/>
      <c r="AX29" s="73"/>
      <c r="AY29" s="73"/>
      <c r="AZ29" s="73"/>
      <c r="BA29" s="73"/>
      <c r="BB29" s="73"/>
      <c r="BC29" s="73"/>
      <c r="BD29" s="73"/>
      <c r="BE29" s="73"/>
      <c r="BF29" s="73"/>
      <c r="BG29" s="73"/>
    </row>
    <row r="30" spans="1:59">
      <c r="A30">
        <v>10082</v>
      </c>
      <c r="B30" t="s">
        <v>35</v>
      </c>
      <c r="C30">
        <v>1</v>
      </c>
      <c r="D30">
        <v>0</v>
      </c>
      <c r="E30">
        <v>0.12</v>
      </c>
      <c r="F30">
        <v>0.115</v>
      </c>
      <c r="G30">
        <v>0.11600000000000001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9.9000000000000005E-2</v>
      </c>
      <c r="O30">
        <v>9.9000000000000005E-2</v>
      </c>
      <c r="P30">
        <v>869.61599999999999</v>
      </c>
      <c r="Q30">
        <v>867.24</v>
      </c>
      <c r="R30">
        <v>0.11799999999999999</v>
      </c>
      <c r="S30">
        <v>1036.5119999999999</v>
      </c>
      <c r="T30">
        <v>1033.6799999999998</v>
      </c>
      <c r="U30">
        <v>0</v>
      </c>
      <c r="V30">
        <v>0</v>
      </c>
      <c r="W30">
        <v>0</v>
      </c>
      <c r="X30">
        <v>0</v>
      </c>
      <c r="Y30">
        <v>1.43E-5</v>
      </c>
      <c r="Z30">
        <v>1.43E-5</v>
      </c>
      <c r="AA30">
        <v>0</v>
      </c>
      <c r="AB30">
        <v>1.43E-5</v>
      </c>
      <c r="AC30">
        <v>1.43E-5</v>
      </c>
      <c r="AD30">
        <v>1.43E-5</v>
      </c>
      <c r="AE30">
        <v>0.9988596969696969</v>
      </c>
      <c r="AF30">
        <v>0.9988596969696969</v>
      </c>
      <c r="AG30">
        <v>1</v>
      </c>
      <c r="AH30">
        <v>1</v>
      </c>
      <c r="AI30">
        <v>0</v>
      </c>
      <c r="AJ30">
        <v>0</v>
      </c>
      <c r="AK30" s="74"/>
      <c r="AL30" s="74"/>
      <c r="AM30" s="74"/>
      <c r="AN30" s="74"/>
      <c r="AO30" s="74"/>
      <c r="AP30" s="74"/>
      <c r="AQ30" s="74"/>
      <c r="AT30" s="73"/>
      <c r="AU30" s="73"/>
      <c r="AV30" s="73"/>
      <c r="AW30" s="73"/>
      <c r="AX30" s="73"/>
      <c r="AY30" s="73"/>
      <c r="AZ30" s="73"/>
      <c r="BA30" s="73"/>
      <c r="BB30" s="73"/>
      <c r="BC30" s="73"/>
      <c r="BD30" s="73"/>
      <c r="BE30" s="73"/>
      <c r="BF30" s="73"/>
      <c r="BG30" s="73"/>
    </row>
    <row r="31" spans="1:59">
      <c r="A31">
        <v>10083</v>
      </c>
      <c r="B31" t="s">
        <v>36</v>
      </c>
      <c r="C31">
        <v>1</v>
      </c>
      <c r="D31">
        <v>0</v>
      </c>
      <c r="E31">
        <v>8.4879999999999995</v>
      </c>
      <c r="F31">
        <v>9.0730000000000004</v>
      </c>
      <c r="G31">
        <v>9.1329999999999991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8.6989999999999998</v>
      </c>
      <c r="O31">
        <v>8.7420000000000009</v>
      </c>
      <c r="P31">
        <v>76412.016000000003</v>
      </c>
      <c r="Q31">
        <v>76579.920000000013</v>
      </c>
      <c r="R31">
        <v>8.3629999999999995</v>
      </c>
      <c r="S31">
        <v>73460.59199999999</v>
      </c>
      <c r="T31">
        <v>73259.87999999999</v>
      </c>
      <c r="U31">
        <v>0.33600000000000002</v>
      </c>
      <c r="V31">
        <v>0.379</v>
      </c>
      <c r="W31">
        <v>0</v>
      </c>
      <c r="X31">
        <v>0</v>
      </c>
      <c r="Y31">
        <v>1.2107000000000001E-3</v>
      </c>
      <c r="Z31">
        <v>1.2107000000000001E-3</v>
      </c>
      <c r="AA31">
        <v>0</v>
      </c>
      <c r="AB31">
        <v>1.2107000000000001E-3</v>
      </c>
      <c r="AC31">
        <v>1.2107000000000001E-3</v>
      </c>
      <c r="AD31">
        <v>1.2107000000000001E-3</v>
      </c>
      <c r="AE31">
        <v>0.96137764800551795</v>
      </c>
      <c r="AF31">
        <v>0.95664884008236095</v>
      </c>
      <c r="AG31">
        <v>1.0401769699868468</v>
      </c>
      <c r="AH31">
        <v>1.0453186655506399</v>
      </c>
      <c r="AI31">
        <v>0</v>
      </c>
      <c r="AJ31">
        <v>0</v>
      </c>
      <c r="AK31" s="74"/>
      <c r="AL31" s="74"/>
      <c r="AM31" s="74"/>
      <c r="AN31" s="74"/>
      <c r="AO31" s="74"/>
      <c r="AP31" s="74"/>
      <c r="AQ31" s="74"/>
      <c r="AT31" s="73"/>
      <c r="AU31" s="73"/>
      <c r="AV31" s="73"/>
      <c r="AW31" s="73"/>
      <c r="AX31" s="73"/>
      <c r="AY31" s="73"/>
      <c r="AZ31" s="73"/>
      <c r="BA31" s="73"/>
      <c r="BB31" s="73"/>
      <c r="BC31" s="73"/>
      <c r="BD31" s="73"/>
      <c r="BE31" s="73"/>
      <c r="BF31" s="73"/>
      <c r="BG31" s="73"/>
    </row>
    <row r="32" spans="1:59">
      <c r="A32">
        <v>10086</v>
      </c>
      <c r="B32" t="s">
        <v>37</v>
      </c>
      <c r="C32">
        <v>1</v>
      </c>
      <c r="D32">
        <v>0</v>
      </c>
      <c r="E32">
        <v>4.0039999999999996</v>
      </c>
      <c r="F32">
        <v>2.544</v>
      </c>
      <c r="G32">
        <v>2.5590000000000002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3.8690000000000002</v>
      </c>
      <c r="O32">
        <v>3.8740000000000001</v>
      </c>
      <c r="P32">
        <v>33985.296000000002</v>
      </c>
      <c r="Q32">
        <v>33936.239999999998</v>
      </c>
      <c r="R32">
        <v>3.9449999999999998</v>
      </c>
      <c r="S32">
        <v>34652.879999999997</v>
      </c>
      <c r="T32">
        <v>34558.199999999997</v>
      </c>
      <c r="U32">
        <v>0</v>
      </c>
      <c r="V32">
        <v>0</v>
      </c>
      <c r="W32">
        <v>0</v>
      </c>
      <c r="X32">
        <v>0</v>
      </c>
      <c r="Y32">
        <v>5.6010000000000001E-4</v>
      </c>
      <c r="Z32">
        <v>5.6079999999999997E-4</v>
      </c>
      <c r="AA32">
        <v>0</v>
      </c>
      <c r="AB32">
        <v>5.6010000000000001E-4</v>
      </c>
      <c r="AC32">
        <v>5.6079999999999997E-4</v>
      </c>
      <c r="AD32">
        <v>5.6044999999999999E-4</v>
      </c>
      <c r="AE32">
        <v>1</v>
      </c>
      <c r="AF32">
        <v>1</v>
      </c>
      <c r="AG32">
        <v>1</v>
      </c>
      <c r="AH32">
        <v>1</v>
      </c>
      <c r="AI32">
        <v>0</v>
      </c>
      <c r="AJ32">
        <v>0</v>
      </c>
      <c r="AK32" s="74"/>
      <c r="AL32" s="74"/>
      <c r="AM32" s="74"/>
      <c r="AN32" s="74"/>
      <c r="AO32" s="74"/>
      <c r="AP32" s="74"/>
      <c r="AQ32" s="74"/>
      <c r="AT32" s="73"/>
      <c r="AU32" s="73"/>
      <c r="AV32" s="73"/>
      <c r="AW32" s="73"/>
      <c r="AX32" s="73"/>
      <c r="AY32" s="73"/>
      <c r="AZ32" s="73"/>
      <c r="BA32" s="73"/>
      <c r="BB32" s="73"/>
      <c r="BC32" s="73"/>
      <c r="BD32" s="73"/>
      <c r="BE32" s="73"/>
      <c r="BF32" s="73"/>
      <c r="BG32" s="73"/>
    </row>
    <row r="33" spans="1:59">
      <c r="A33">
        <v>10087</v>
      </c>
      <c r="B33" t="s">
        <v>38</v>
      </c>
      <c r="C33">
        <v>1</v>
      </c>
      <c r="D33">
        <v>0</v>
      </c>
      <c r="E33">
        <v>86.754999999999995</v>
      </c>
      <c r="F33">
        <v>48.744</v>
      </c>
      <c r="G33">
        <v>48.878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46.790999999999997</v>
      </c>
      <c r="O33">
        <v>46.761000000000003</v>
      </c>
      <c r="P33">
        <v>411012.14399999997</v>
      </c>
      <c r="Q33">
        <v>409626.36000000004</v>
      </c>
      <c r="R33">
        <v>85.48</v>
      </c>
      <c r="S33">
        <v>750856.32000000007</v>
      </c>
      <c r="T33">
        <v>748804.8</v>
      </c>
      <c r="U33">
        <v>0</v>
      </c>
      <c r="V33">
        <v>0</v>
      </c>
      <c r="W33">
        <v>0</v>
      </c>
      <c r="X33">
        <v>0</v>
      </c>
      <c r="Y33">
        <v>6.7739999999999996E-3</v>
      </c>
      <c r="Z33">
        <v>6.7695999999999997E-3</v>
      </c>
      <c r="AA33">
        <v>0</v>
      </c>
      <c r="AB33">
        <v>6.7739999999999996E-3</v>
      </c>
      <c r="AC33">
        <v>6.7695999999999997E-3</v>
      </c>
      <c r="AD33">
        <v>6.7717999999999997E-3</v>
      </c>
      <c r="AE33">
        <v>1</v>
      </c>
      <c r="AF33">
        <v>0.99999762564957961</v>
      </c>
      <c r="AG33">
        <v>1</v>
      </c>
      <c r="AH33">
        <v>1</v>
      </c>
      <c r="AI33">
        <v>0</v>
      </c>
      <c r="AJ33">
        <v>0</v>
      </c>
      <c r="AK33" s="74"/>
      <c r="AL33" s="74"/>
      <c r="AM33" s="74"/>
      <c r="AN33" s="74"/>
      <c r="AO33" s="74"/>
      <c r="AP33" s="74"/>
      <c r="AQ33" s="74"/>
      <c r="AT33" s="73"/>
      <c r="AU33" s="73"/>
      <c r="AV33" s="73"/>
      <c r="AW33" s="73"/>
      <c r="AX33" s="73"/>
      <c r="AY33" s="73"/>
      <c r="AZ33" s="73"/>
      <c r="BA33" s="73"/>
      <c r="BB33" s="73"/>
      <c r="BC33" s="73"/>
      <c r="BD33" s="73"/>
      <c r="BE33" s="73"/>
      <c r="BF33" s="73"/>
      <c r="BG33" s="73"/>
    </row>
    <row r="34" spans="1:59">
      <c r="A34">
        <v>10089</v>
      </c>
      <c r="B34" t="s">
        <v>39</v>
      </c>
      <c r="C34">
        <v>1</v>
      </c>
      <c r="D34">
        <v>0</v>
      </c>
      <c r="E34">
        <v>105.768</v>
      </c>
      <c r="F34">
        <v>112.348</v>
      </c>
      <c r="G34">
        <v>112.80800000000001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111.452</v>
      </c>
      <c r="O34">
        <v>112.295</v>
      </c>
      <c r="P34">
        <v>978994.36800000002</v>
      </c>
      <c r="Q34">
        <v>983704.20000000007</v>
      </c>
      <c r="R34">
        <v>104.21299999999999</v>
      </c>
      <c r="S34">
        <v>915406.99199999997</v>
      </c>
      <c r="T34">
        <v>912905.87999999989</v>
      </c>
      <c r="U34">
        <v>7.2389999999999999</v>
      </c>
      <c r="V34">
        <v>8.0820000000000007</v>
      </c>
      <c r="W34">
        <v>7.2389999999999999</v>
      </c>
      <c r="X34">
        <v>8.0820000000000007</v>
      </c>
      <c r="Y34">
        <v>1.5087E-2</v>
      </c>
      <c r="Z34">
        <v>1.5087E-2</v>
      </c>
      <c r="AA34">
        <v>0</v>
      </c>
      <c r="AB34">
        <v>1.5087E-2</v>
      </c>
      <c r="AC34">
        <v>1.5087E-2</v>
      </c>
      <c r="AD34">
        <v>1.5087E-2</v>
      </c>
      <c r="AE34">
        <v>0.93504725989663706</v>
      </c>
      <c r="AF34">
        <v>0.92802784816777228</v>
      </c>
      <c r="AG34">
        <v>1.0694635026340285</v>
      </c>
      <c r="AH34">
        <v>1.077552704557013</v>
      </c>
      <c r="AI34">
        <v>0</v>
      </c>
      <c r="AJ34">
        <v>0</v>
      </c>
      <c r="AK34" s="74"/>
      <c r="AL34" s="74"/>
      <c r="AM34" s="74"/>
      <c r="AN34" s="74"/>
      <c r="AO34" s="74"/>
      <c r="AP34" s="74"/>
      <c r="AQ34" s="74"/>
      <c r="AT34" s="73"/>
      <c r="AU34" s="73"/>
      <c r="AV34" s="73"/>
      <c r="AW34" s="73"/>
      <c r="AX34" s="73"/>
      <c r="AY34" s="73"/>
      <c r="AZ34" s="73"/>
      <c r="BA34" s="73"/>
      <c r="BB34" s="73"/>
      <c r="BC34" s="73"/>
      <c r="BD34" s="73"/>
      <c r="BE34" s="73"/>
      <c r="BF34" s="73"/>
      <c r="BG34" s="73"/>
    </row>
    <row r="35" spans="1:59">
      <c r="A35">
        <v>10091</v>
      </c>
      <c r="B35" t="s">
        <v>40</v>
      </c>
      <c r="C35">
        <v>1</v>
      </c>
      <c r="D35">
        <v>0</v>
      </c>
      <c r="E35">
        <v>9.5630000000000006</v>
      </c>
      <c r="F35">
        <v>9.4329999999999998</v>
      </c>
      <c r="G35">
        <v>9.4580000000000002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9.0350000000000001</v>
      </c>
      <c r="O35">
        <v>9.0289999999999999</v>
      </c>
      <c r="P35">
        <v>79363.44</v>
      </c>
      <c r="Q35">
        <v>79094.039999999994</v>
      </c>
      <c r="R35">
        <v>9.4220000000000006</v>
      </c>
      <c r="S35">
        <v>82762.847999999998</v>
      </c>
      <c r="T35">
        <v>82536.72</v>
      </c>
      <c r="U35">
        <v>0</v>
      </c>
      <c r="V35">
        <v>0</v>
      </c>
      <c r="W35">
        <v>0</v>
      </c>
      <c r="X35">
        <v>0</v>
      </c>
      <c r="Y35">
        <v>1.3079999999999999E-3</v>
      </c>
      <c r="Z35">
        <v>1.3071000000000001E-3</v>
      </c>
      <c r="AA35">
        <v>0</v>
      </c>
      <c r="AB35">
        <v>1.3079999999999999E-3</v>
      </c>
      <c r="AC35">
        <v>1.3071000000000001E-3</v>
      </c>
      <c r="AD35">
        <v>1.30755E-3</v>
      </c>
      <c r="AE35">
        <v>0.99997234881018271</v>
      </c>
      <c r="AF35">
        <v>1</v>
      </c>
      <c r="AG35">
        <v>1</v>
      </c>
      <c r="AH35">
        <v>1</v>
      </c>
      <c r="AI35">
        <v>0</v>
      </c>
      <c r="AJ35">
        <v>0</v>
      </c>
      <c r="AK35" s="74"/>
      <c r="AL35" s="74"/>
      <c r="AM35" s="74"/>
      <c r="AN35" s="74"/>
      <c r="AO35" s="74"/>
      <c r="AP35" s="74"/>
      <c r="AQ35" s="74"/>
      <c r="AT35" s="73"/>
      <c r="AU35" s="73"/>
      <c r="AV35" s="73"/>
      <c r="AW35" s="73"/>
      <c r="AX35" s="73"/>
      <c r="AY35" s="73"/>
      <c r="AZ35" s="73"/>
      <c r="BA35" s="73"/>
      <c r="BB35" s="73"/>
      <c r="BC35" s="73"/>
      <c r="BD35" s="73"/>
      <c r="BE35" s="73"/>
      <c r="BF35" s="73"/>
      <c r="BG35" s="73"/>
    </row>
    <row r="36" spans="1:59">
      <c r="A36">
        <v>10094</v>
      </c>
      <c r="B36" t="s">
        <v>41</v>
      </c>
      <c r="C36">
        <v>1</v>
      </c>
      <c r="D36">
        <v>0</v>
      </c>
      <c r="E36">
        <v>3.0820000000000003</v>
      </c>
      <c r="F36">
        <v>2.8919999999999999</v>
      </c>
      <c r="G36">
        <v>2.9089999999999998</v>
      </c>
      <c r="H36">
        <v>0</v>
      </c>
      <c r="I36">
        <v>0</v>
      </c>
      <c r="J36">
        <v>0.112</v>
      </c>
      <c r="K36">
        <v>0.113</v>
      </c>
      <c r="L36">
        <v>983.80799999999999</v>
      </c>
      <c r="M36">
        <v>989.88</v>
      </c>
      <c r="N36">
        <v>3.032</v>
      </c>
      <c r="O36">
        <v>3.0310000000000001</v>
      </c>
      <c r="P36">
        <v>26633.088</v>
      </c>
      <c r="Q36">
        <v>26551.56</v>
      </c>
      <c r="R36">
        <v>3.0369999999999999</v>
      </c>
      <c r="S36">
        <v>26677.007999999998</v>
      </c>
      <c r="T36">
        <v>26604.12</v>
      </c>
      <c r="U36">
        <v>0</v>
      </c>
      <c r="V36">
        <v>0</v>
      </c>
      <c r="W36">
        <v>0</v>
      </c>
      <c r="X36">
        <v>0</v>
      </c>
      <c r="Y36">
        <v>4.3889999999999999E-4</v>
      </c>
      <c r="Z36">
        <v>4.3879999999999999E-4</v>
      </c>
      <c r="AA36">
        <v>0</v>
      </c>
      <c r="AB36">
        <v>4.3889999999999999E-4</v>
      </c>
      <c r="AC36">
        <v>4.3879999999999999E-4</v>
      </c>
      <c r="AD36">
        <v>4.3884999999999996E-4</v>
      </c>
      <c r="AE36">
        <v>1</v>
      </c>
      <c r="AF36">
        <v>0.99996498775445286</v>
      </c>
      <c r="AG36">
        <v>1</v>
      </c>
      <c r="AH36">
        <v>1</v>
      </c>
      <c r="AI36">
        <v>0</v>
      </c>
      <c r="AJ36">
        <v>0</v>
      </c>
      <c r="AK36" s="74"/>
      <c r="AL36" s="74"/>
      <c r="AM36" s="74"/>
      <c r="AN36" s="74"/>
      <c r="AO36" s="74"/>
      <c r="AP36" s="74"/>
      <c r="AQ36" s="74"/>
      <c r="AT36" s="73"/>
      <c r="AU36" s="73"/>
      <c r="AV36" s="73"/>
      <c r="AW36" s="73"/>
      <c r="AX36" s="73"/>
      <c r="AY36" s="73"/>
      <c r="AZ36" s="73"/>
      <c r="BA36" s="73"/>
      <c r="BB36" s="73"/>
      <c r="BC36" s="73"/>
      <c r="BD36" s="73"/>
      <c r="BE36" s="73"/>
      <c r="BF36" s="73"/>
      <c r="BG36" s="73"/>
    </row>
    <row r="37" spans="1:59">
      <c r="A37">
        <v>10095</v>
      </c>
      <c r="B37" t="s">
        <v>42</v>
      </c>
      <c r="C37">
        <v>1</v>
      </c>
      <c r="D37">
        <v>0</v>
      </c>
      <c r="E37">
        <v>3.6970000000000001</v>
      </c>
      <c r="F37">
        <v>3.7109999999999999</v>
      </c>
      <c r="G37">
        <v>3.7109999999999999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3.8290000000000002</v>
      </c>
      <c r="O37">
        <v>3.8279999999999998</v>
      </c>
      <c r="P37">
        <v>33633.936000000002</v>
      </c>
      <c r="Q37">
        <v>33533.279999999999</v>
      </c>
      <c r="R37">
        <v>3.6429999999999998</v>
      </c>
      <c r="S37">
        <v>32000.111999999997</v>
      </c>
      <c r="T37">
        <v>31912.679999999997</v>
      </c>
      <c r="U37">
        <v>0.186</v>
      </c>
      <c r="V37">
        <v>0.185</v>
      </c>
      <c r="W37">
        <v>0</v>
      </c>
      <c r="X37">
        <v>0</v>
      </c>
      <c r="Y37">
        <v>5.2740000000000003E-4</v>
      </c>
      <c r="Z37">
        <v>5.2740000000000003E-4</v>
      </c>
      <c r="AA37">
        <v>0</v>
      </c>
      <c r="AB37">
        <v>5.2740000000000003E-4</v>
      </c>
      <c r="AC37">
        <v>5.2740000000000003E-4</v>
      </c>
      <c r="AD37">
        <v>5.2740000000000003E-4</v>
      </c>
      <c r="AE37">
        <v>0.95149743196657077</v>
      </c>
      <c r="AF37">
        <v>0.95174599451410646</v>
      </c>
      <c r="AG37">
        <v>1.0510568213011255</v>
      </c>
      <c r="AH37">
        <v>1.0507823222618722</v>
      </c>
      <c r="AI37">
        <v>0</v>
      </c>
      <c r="AJ37">
        <v>0</v>
      </c>
      <c r="AK37" s="74"/>
      <c r="AL37" s="74"/>
      <c r="AM37" s="74"/>
      <c r="AN37" s="74"/>
      <c r="AO37" s="74"/>
      <c r="AP37" s="74"/>
      <c r="AQ37" s="74"/>
      <c r="AT37" s="73"/>
      <c r="AU37" s="73"/>
      <c r="AV37" s="73"/>
      <c r="AW37" s="73"/>
      <c r="AX37" s="73"/>
      <c r="AY37" s="73"/>
      <c r="AZ37" s="73"/>
      <c r="BA37" s="73"/>
      <c r="BB37" s="73"/>
      <c r="BC37" s="73"/>
      <c r="BD37" s="73"/>
      <c r="BE37" s="73"/>
      <c r="BF37" s="73"/>
      <c r="BG37" s="73"/>
    </row>
    <row r="38" spans="1:59">
      <c r="A38">
        <v>10097</v>
      </c>
      <c r="B38" t="s">
        <v>43</v>
      </c>
      <c r="C38">
        <v>1</v>
      </c>
      <c r="D38">
        <v>0</v>
      </c>
      <c r="E38">
        <v>2.0680000000000001</v>
      </c>
      <c r="F38">
        <v>1.998</v>
      </c>
      <c r="G38">
        <v>2.0070000000000001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1.9970000000000001</v>
      </c>
      <c r="O38">
        <v>2</v>
      </c>
      <c r="P38">
        <v>17541.648000000001</v>
      </c>
      <c r="Q38">
        <v>17520</v>
      </c>
      <c r="R38">
        <v>2.0379999999999998</v>
      </c>
      <c r="S38">
        <v>17901.791999999998</v>
      </c>
      <c r="T38">
        <v>17852.879999999997</v>
      </c>
      <c r="U38">
        <v>0</v>
      </c>
      <c r="V38">
        <v>0</v>
      </c>
      <c r="W38">
        <v>0</v>
      </c>
      <c r="X38">
        <v>0</v>
      </c>
      <c r="Y38">
        <v>2.8909999999999998E-4</v>
      </c>
      <c r="Z38">
        <v>2.8949999999999999E-4</v>
      </c>
      <c r="AA38">
        <v>0</v>
      </c>
      <c r="AB38">
        <v>2.8909999999999998E-4</v>
      </c>
      <c r="AC38">
        <v>2.8949999999999999E-4</v>
      </c>
      <c r="AD38">
        <v>2.8929999999999998E-4</v>
      </c>
      <c r="AE38">
        <v>0.99990650250375546</v>
      </c>
      <c r="AF38">
        <v>1</v>
      </c>
      <c r="AG38">
        <v>1</v>
      </c>
      <c r="AH38">
        <v>1</v>
      </c>
      <c r="AI38">
        <v>0</v>
      </c>
      <c r="AJ38">
        <v>0</v>
      </c>
      <c r="AK38" s="74"/>
      <c r="AL38" s="74"/>
      <c r="AM38" s="74"/>
      <c r="AN38" s="74"/>
      <c r="AO38" s="74"/>
      <c r="AP38" s="74"/>
      <c r="AQ38" s="74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3"/>
      <c r="BF38" s="73"/>
      <c r="BG38" s="73"/>
    </row>
    <row r="39" spans="1:59">
      <c r="A39">
        <v>10101</v>
      </c>
      <c r="B39" t="s">
        <v>44</v>
      </c>
      <c r="C39">
        <v>1</v>
      </c>
      <c r="D39">
        <v>0</v>
      </c>
      <c r="E39">
        <v>77.162000000000006</v>
      </c>
      <c r="F39">
        <v>80.620999999999995</v>
      </c>
      <c r="G39">
        <v>80.832999999999998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77.477999999999994</v>
      </c>
      <c r="O39">
        <v>77.471999999999994</v>
      </c>
      <c r="P39">
        <v>680566.75199999998</v>
      </c>
      <c r="Q39">
        <v>678654.72</v>
      </c>
      <c r="R39">
        <v>76.028000000000006</v>
      </c>
      <c r="S39">
        <v>667829.95200000005</v>
      </c>
      <c r="T39">
        <v>666005.28</v>
      </c>
      <c r="U39">
        <v>1.45</v>
      </c>
      <c r="V39">
        <v>1.444</v>
      </c>
      <c r="W39">
        <v>1.45</v>
      </c>
      <c r="X39">
        <v>1.444</v>
      </c>
      <c r="Y39">
        <v>1.10066E-2</v>
      </c>
      <c r="Z39">
        <v>1.10066E-2</v>
      </c>
      <c r="AA39">
        <v>0</v>
      </c>
      <c r="AB39">
        <v>1.10066E-2</v>
      </c>
      <c r="AC39">
        <v>1.10066E-2</v>
      </c>
      <c r="AD39">
        <v>1.10066E-2</v>
      </c>
      <c r="AE39">
        <v>0.98128425940912267</v>
      </c>
      <c r="AF39">
        <v>0.98136025726068776</v>
      </c>
      <c r="AG39">
        <v>1.0190719208712578</v>
      </c>
      <c r="AH39">
        <v>1.0189930025779974</v>
      </c>
      <c r="AI39">
        <v>5.0953596043562893E-2</v>
      </c>
      <c r="AJ39">
        <v>5.0949650128899876E-2</v>
      </c>
      <c r="AK39" s="74"/>
      <c r="AL39" s="74"/>
      <c r="AM39" s="74"/>
      <c r="AN39" s="74"/>
      <c r="AO39" s="74"/>
      <c r="AP39" s="74"/>
      <c r="AQ39" s="74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</row>
    <row r="40" spans="1:59">
      <c r="A40">
        <v>10103</v>
      </c>
      <c r="B40" t="s">
        <v>45</v>
      </c>
      <c r="C40">
        <v>1</v>
      </c>
      <c r="D40">
        <v>0</v>
      </c>
      <c r="E40">
        <v>323.245</v>
      </c>
      <c r="F40">
        <v>567.73800000000006</v>
      </c>
      <c r="G40">
        <v>578.40899999999999</v>
      </c>
      <c r="H40">
        <v>0</v>
      </c>
      <c r="I40">
        <v>0</v>
      </c>
      <c r="J40">
        <v>225.33099999999999</v>
      </c>
      <c r="K40">
        <v>225.94900000000001</v>
      </c>
      <c r="L40">
        <v>1979307.504</v>
      </c>
      <c r="M40">
        <v>1979313.2400000002</v>
      </c>
      <c r="N40">
        <v>324.86500000000001</v>
      </c>
      <c r="O40">
        <v>327.75900000000001</v>
      </c>
      <c r="P40">
        <v>2853614.16</v>
      </c>
      <c r="Q40">
        <v>2871168.8400000003</v>
      </c>
      <c r="R40">
        <v>318.49400000000003</v>
      </c>
      <c r="S40">
        <v>2797651.2960000001</v>
      </c>
      <c r="T40">
        <v>2790007.4400000004</v>
      </c>
      <c r="U40">
        <v>6.3710000000000004</v>
      </c>
      <c r="V40">
        <v>9.2650000000000006</v>
      </c>
      <c r="W40">
        <v>6.3710000000000004</v>
      </c>
      <c r="X40">
        <v>9.2650000000000006</v>
      </c>
      <c r="Y40">
        <v>4.61086E-2</v>
      </c>
      <c r="Z40">
        <v>4.61086E-2</v>
      </c>
      <c r="AA40">
        <v>0</v>
      </c>
      <c r="AB40">
        <v>4.61086E-2</v>
      </c>
      <c r="AC40">
        <v>4.61086E-2</v>
      </c>
      <c r="AD40">
        <v>4.61086E-2</v>
      </c>
      <c r="AE40">
        <v>0.98843466910469924</v>
      </c>
      <c r="AF40">
        <v>0.98326769924761803</v>
      </c>
      <c r="AG40">
        <v>1.0200035165497623</v>
      </c>
      <c r="AH40">
        <v>1.0290900299534684</v>
      </c>
      <c r="AI40">
        <v>0</v>
      </c>
      <c r="AJ40">
        <v>0</v>
      </c>
      <c r="AK40" s="74"/>
      <c r="AL40" s="74"/>
      <c r="AM40" s="74"/>
      <c r="AN40" s="74"/>
      <c r="AO40" s="74"/>
      <c r="AP40" s="74"/>
      <c r="AQ40" s="74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</row>
    <row r="41" spans="1:59">
      <c r="A41">
        <v>10105</v>
      </c>
      <c r="B41" t="s">
        <v>46</v>
      </c>
      <c r="C41">
        <v>1</v>
      </c>
      <c r="D41">
        <v>0</v>
      </c>
      <c r="E41">
        <v>94.222999999999999</v>
      </c>
      <c r="F41">
        <v>86.335999999999999</v>
      </c>
      <c r="G41">
        <v>86.611999999999995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86.335999999999999</v>
      </c>
      <c r="O41">
        <v>86.611999999999995</v>
      </c>
      <c r="P41">
        <v>758375.424</v>
      </c>
      <c r="Q41">
        <v>758721.12</v>
      </c>
      <c r="R41">
        <v>92.837999999999994</v>
      </c>
      <c r="S41">
        <v>815488.99199999997</v>
      </c>
      <c r="T41">
        <v>813260.87999999989</v>
      </c>
      <c r="U41">
        <v>0</v>
      </c>
      <c r="V41">
        <v>0</v>
      </c>
      <c r="W41">
        <v>0</v>
      </c>
      <c r="X41">
        <v>0</v>
      </c>
      <c r="Y41">
        <v>1.24989E-2</v>
      </c>
      <c r="Z41">
        <v>1.25389E-2</v>
      </c>
      <c r="AA41">
        <v>7.2503000000000003E-3</v>
      </c>
      <c r="AB41">
        <v>5.2486E-3</v>
      </c>
      <c r="AC41">
        <v>5.2886000000000001E-3</v>
      </c>
      <c r="AD41">
        <v>5.2686E-3</v>
      </c>
      <c r="AE41">
        <v>0.99999989339063666</v>
      </c>
      <c r="AF41">
        <v>1</v>
      </c>
      <c r="AG41">
        <v>1</v>
      </c>
      <c r="AH41">
        <v>1</v>
      </c>
      <c r="AI41">
        <v>0</v>
      </c>
      <c r="AJ41">
        <v>0</v>
      </c>
      <c r="AK41" s="74"/>
      <c r="AL41" s="74"/>
      <c r="AM41" s="74"/>
      <c r="AN41" s="74"/>
      <c r="AO41" s="74"/>
      <c r="AP41" s="74"/>
      <c r="AQ41" s="74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</row>
    <row r="42" spans="1:59">
      <c r="A42">
        <v>10106</v>
      </c>
      <c r="B42" t="s">
        <v>47</v>
      </c>
      <c r="C42">
        <v>0</v>
      </c>
      <c r="D42">
        <v>1</v>
      </c>
      <c r="E42">
        <v>24.234999999999999</v>
      </c>
      <c r="F42">
        <v>27.341000000000001</v>
      </c>
      <c r="G42">
        <v>27.661000000000001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24.13</v>
      </c>
      <c r="O42">
        <v>24.234999999999999</v>
      </c>
      <c r="P42">
        <v>211957.91999999998</v>
      </c>
      <c r="Q42">
        <v>212298.6</v>
      </c>
      <c r="R42">
        <v>23.879000000000001</v>
      </c>
      <c r="S42">
        <v>209753.136</v>
      </c>
      <c r="T42">
        <v>209180.04</v>
      </c>
      <c r="U42">
        <v>0.251</v>
      </c>
      <c r="V42">
        <v>0.35599999999999998</v>
      </c>
      <c r="W42">
        <v>0.251</v>
      </c>
      <c r="X42">
        <v>0.35599999999999998</v>
      </c>
      <c r="Y42">
        <v>3.457E-3</v>
      </c>
      <c r="Z42">
        <v>3.457E-3</v>
      </c>
      <c r="AA42">
        <v>0</v>
      </c>
      <c r="AB42">
        <v>3.457E-3</v>
      </c>
      <c r="AC42">
        <v>3.457E-3</v>
      </c>
      <c r="AD42">
        <v>3.457E-3</v>
      </c>
      <c r="AE42">
        <v>0.98960290325321176</v>
      </c>
      <c r="AF42">
        <v>0.98531537262224045</v>
      </c>
      <c r="AG42">
        <v>1.0105113279450562</v>
      </c>
      <c r="AH42">
        <v>1.0149084970057372</v>
      </c>
      <c r="AI42">
        <v>7.0735792956153939E-2</v>
      </c>
      <c r="AJ42">
        <v>7.1043594790401607E-2</v>
      </c>
      <c r="AK42" s="74"/>
      <c r="AL42" s="74"/>
      <c r="AM42" s="74"/>
      <c r="AN42" s="74"/>
      <c r="AO42" s="74"/>
      <c r="AP42" s="74"/>
      <c r="AQ42" s="74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</row>
    <row r="43" spans="1:59">
      <c r="A43">
        <v>10109</v>
      </c>
      <c r="B43" t="s">
        <v>48</v>
      </c>
      <c r="C43">
        <v>1</v>
      </c>
      <c r="D43">
        <v>0</v>
      </c>
      <c r="E43">
        <v>12.298999999999999</v>
      </c>
      <c r="F43">
        <v>28.341000000000001</v>
      </c>
      <c r="G43">
        <v>31.606999999999999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14.834</v>
      </c>
      <c r="O43">
        <v>15.006</v>
      </c>
      <c r="P43">
        <v>130301.856</v>
      </c>
      <c r="Q43">
        <v>131452.56</v>
      </c>
      <c r="R43">
        <v>12.118</v>
      </c>
      <c r="S43">
        <v>106444.512</v>
      </c>
      <c r="T43">
        <v>106153.68000000001</v>
      </c>
      <c r="U43">
        <v>2.7160000000000002</v>
      </c>
      <c r="V43">
        <v>2.8879999999999999</v>
      </c>
      <c r="W43">
        <v>2.7160000000000002</v>
      </c>
      <c r="X43">
        <v>2.8879999999999999</v>
      </c>
      <c r="Y43">
        <v>1.7543000000000001E-3</v>
      </c>
      <c r="Z43">
        <v>1.7543000000000001E-3</v>
      </c>
      <c r="AA43">
        <v>0</v>
      </c>
      <c r="AB43">
        <v>1.7543000000000001E-3</v>
      </c>
      <c r="AC43">
        <v>1.7543000000000001E-3</v>
      </c>
      <c r="AD43">
        <v>1.7543000000000001E-3</v>
      </c>
      <c r="AE43">
        <v>0.8169009703384118</v>
      </c>
      <c r="AF43">
        <v>0.80753758456617353</v>
      </c>
      <c r="AG43">
        <v>1.2241293942894866</v>
      </c>
      <c r="AH43">
        <v>1.2383231556362435</v>
      </c>
      <c r="AI43">
        <v>8.5689057600264074E-2</v>
      </c>
      <c r="AJ43">
        <v>8.6682620894537057E-2</v>
      </c>
      <c r="AK43" s="74"/>
      <c r="AL43" s="74"/>
      <c r="AM43" s="74"/>
      <c r="AN43" s="74"/>
      <c r="AO43" s="74"/>
      <c r="AP43" s="74"/>
      <c r="AQ43" s="74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</row>
    <row r="44" spans="1:59">
      <c r="A44">
        <v>10111</v>
      </c>
      <c r="B44" t="s">
        <v>49</v>
      </c>
      <c r="C44">
        <v>1</v>
      </c>
      <c r="D44">
        <v>0</v>
      </c>
      <c r="E44">
        <v>3.2829999999999999</v>
      </c>
      <c r="F44">
        <v>3.2080000000000002</v>
      </c>
      <c r="G44">
        <v>3.2160000000000002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3.137</v>
      </c>
      <c r="O44">
        <v>3.14</v>
      </c>
      <c r="P44">
        <v>27555.407999999999</v>
      </c>
      <c r="Q44">
        <v>27506.400000000001</v>
      </c>
      <c r="R44">
        <v>3.2349999999999999</v>
      </c>
      <c r="S44">
        <v>28416.239999999998</v>
      </c>
      <c r="T44">
        <v>28338.6</v>
      </c>
      <c r="U44">
        <v>0</v>
      </c>
      <c r="V44">
        <v>0</v>
      </c>
      <c r="W44">
        <v>0</v>
      </c>
      <c r="X44">
        <v>0</v>
      </c>
      <c r="Y44">
        <v>4.5409999999999998E-4</v>
      </c>
      <c r="Z44">
        <v>4.5459999999999999E-4</v>
      </c>
      <c r="AA44">
        <v>0</v>
      </c>
      <c r="AB44">
        <v>4.5409999999999998E-4</v>
      </c>
      <c r="AC44">
        <v>4.5459999999999999E-4</v>
      </c>
      <c r="AD44">
        <v>4.5434999999999996E-4</v>
      </c>
      <c r="AE44">
        <v>0.99994912225055776</v>
      </c>
      <c r="AF44">
        <v>0.99989354856687895</v>
      </c>
      <c r="AG44">
        <v>1</v>
      </c>
      <c r="AH44">
        <v>1</v>
      </c>
      <c r="AI44">
        <v>7.0000000000000007E-2</v>
      </c>
      <c r="AJ44">
        <v>7.0000000000000007E-2</v>
      </c>
      <c r="AK44" s="74"/>
      <c r="AL44" s="74"/>
      <c r="AM44" s="74"/>
      <c r="AN44" s="74"/>
      <c r="AO44" s="74"/>
      <c r="AP44" s="74"/>
      <c r="AQ44" s="74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</row>
    <row r="45" spans="1:59">
      <c r="A45">
        <v>10112</v>
      </c>
      <c r="B45" t="s">
        <v>50</v>
      </c>
      <c r="C45">
        <v>1</v>
      </c>
      <c r="D45">
        <v>0</v>
      </c>
      <c r="E45">
        <v>59.119</v>
      </c>
      <c r="F45">
        <v>60.231000000000002</v>
      </c>
      <c r="G45">
        <v>60.753999999999998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58.862000000000002</v>
      </c>
      <c r="O45">
        <v>59.244999999999997</v>
      </c>
      <c r="P45">
        <v>517043.80800000002</v>
      </c>
      <c r="Q45">
        <v>518986.19999999995</v>
      </c>
      <c r="R45">
        <v>58.25</v>
      </c>
      <c r="S45">
        <v>511668</v>
      </c>
      <c r="T45">
        <v>510270</v>
      </c>
      <c r="U45">
        <v>0.61199999999999999</v>
      </c>
      <c r="V45">
        <v>0.995</v>
      </c>
      <c r="W45">
        <v>0</v>
      </c>
      <c r="X45">
        <v>0</v>
      </c>
      <c r="Y45">
        <v>8.4329000000000001E-3</v>
      </c>
      <c r="Z45">
        <v>8.4329000000000001E-3</v>
      </c>
      <c r="AA45">
        <v>0</v>
      </c>
      <c r="AB45">
        <v>8.4329000000000001E-3</v>
      </c>
      <c r="AC45">
        <v>8.4329000000000001E-3</v>
      </c>
      <c r="AD45">
        <v>8.4329000000000001E-3</v>
      </c>
      <c r="AE45">
        <v>0.98960549220209981</v>
      </c>
      <c r="AF45">
        <v>0.98320800881087023</v>
      </c>
      <c r="AG45">
        <v>1.0105064377682405</v>
      </c>
      <c r="AH45">
        <v>1.0170815450643775</v>
      </c>
      <c r="AI45">
        <v>0</v>
      </c>
      <c r="AJ45">
        <v>0</v>
      </c>
      <c r="AK45" s="74"/>
      <c r="AL45" s="74"/>
      <c r="AM45" s="74"/>
      <c r="AN45" s="74"/>
      <c r="AO45" s="74"/>
      <c r="AP45" s="74"/>
      <c r="AQ45" s="74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</row>
    <row r="46" spans="1:59">
      <c r="A46">
        <v>10113</v>
      </c>
      <c r="B46" t="s">
        <v>51</v>
      </c>
      <c r="C46">
        <v>1</v>
      </c>
      <c r="D46">
        <v>0</v>
      </c>
      <c r="E46">
        <v>38.255000000000003</v>
      </c>
      <c r="F46">
        <v>44.350999999999999</v>
      </c>
      <c r="G46">
        <v>44.923000000000002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43.527000000000001</v>
      </c>
      <c r="O46">
        <v>44.036999999999999</v>
      </c>
      <c r="P46">
        <v>382341.16800000001</v>
      </c>
      <c r="Q46">
        <v>385764.12</v>
      </c>
      <c r="R46">
        <v>37.692999999999998</v>
      </c>
      <c r="S46">
        <v>331095.31199999998</v>
      </c>
      <c r="T46">
        <v>330190.68</v>
      </c>
      <c r="U46">
        <v>5.8339999999999996</v>
      </c>
      <c r="V46">
        <v>6.3440000000000003</v>
      </c>
      <c r="W46">
        <v>5.8339999999999996</v>
      </c>
      <c r="X46">
        <v>6.3440000000000003</v>
      </c>
      <c r="Y46">
        <v>5.4568000000000004E-3</v>
      </c>
      <c r="Z46">
        <v>5.4568000000000004E-3</v>
      </c>
      <c r="AA46">
        <v>0</v>
      </c>
      <c r="AB46">
        <v>5.4568000000000004E-3</v>
      </c>
      <c r="AC46">
        <v>5.4568000000000004E-3</v>
      </c>
      <c r="AD46">
        <v>5.4568000000000004E-3</v>
      </c>
      <c r="AE46">
        <v>0.8659668937900612</v>
      </c>
      <c r="AF46">
        <v>0.85593798365011231</v>
      </c>
      <c r="AG46">
        <v>1.1547767489984879</v>
      </c>
      <c r="AH46">
        <v>1.168307112726501</v>
      </c>
      <c r="AI46">
        <v>8.0834372429894163E-2</v>
      </c>
      <c r="AJ46">
        <v>8.1781497890855079E-2</v>
      </c>
      <c r="AK46" s="74"/>
      <c r="AL46" s="74"/>
      <c r="AM46" s="74"/>
      <c r="AN46" s="74"/>
      <c r="AO46" s="74"/>
      <c r="AP46" s="74"/>
      <c r="AQ46" s="74"/>
      <c r="AT46" s="73"/>
      <c r="AU46" s="73"/>
      <c r="AV46" s="73"/>
      <c r="AW46" s="73"/>
      <c r="AX46" s="73"/>
      <c r="AY46" s="73"/>
      <c r="AZ46" s="73"/>
      <c r="BA46" s="73"/>
      <c r="BB46" s="73"/>
      <c r="BC46" s="73"/>
      <c r="BD46" s="73"/>
      <c r="BE46" s="73"/>
      <c r="BF46" s="73"/>
      <c r="BG46" s="73"/>
    </row>
    <row r="47" spans="1:59">
      <c r="A47">
        <v>10116</v>
      </c>
      <c r="B47" t="s">
        <v>52</v>
      </c>
      <c r="C47">
        <v>1</v>
      </c>
      <c r="D47">
        <v>0</v>
      </c>
      <c r="E47">
        <v>0.23100000000000001</v>
      </c>
      <c r="F47">
        <v>0.253</v>
      </c>
      <c r="G47">
        <v>0.253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0.23300000000000001</v>
      </c>
      <c r="O47">
        <v>0.23200000000000001</v>
      </c>
      <c r="P47">
        <v>2046.672</v>
      </c>
      <c r="Q47">
        <v>2032.3200000000002</v>
      </c>
      <c r="R47">
        <v>0.22800000000000001</v>
      </c>
      <c r="S47">
        <v>2002.7520000000002</v>
      </c>
      <c r="T47">
        <v>1997.28</v>
      </c>
      <c r="U47">
        <v>5.0000000000000001E-3</v>
      </c>
      <c r="V47">
        <v>4.0000000000000001E-3</v>
      </c>
      <c r="W47">
        <v>0</v>
      </c>
      <c r="X47">
        <v>0</v>
      </c>
      <c r="Y47">
        <v>3.3000000000000003E-5</v>
      </c>
      <c r="Z47">
        <v>3.3000000000000003E-5</v>
      </c>
      <c r="AA47">
        <v>0</v>
      </c>
      <c r="AB47">
        <v>3.3000000000000003E-5</v>
      </c>
      <c r="AC47">
        <v>3.3000000000000003E-5</v>
      </c>
      <c r="AD47">
        <v>3.3000000000000003E-5</v>
      </c>
      <c r="AE47">
        <v>0.97917034120171664</v>
      </c>
      <c r="AF47">
        <v>0.9833909030172413</v>
      </c>
      <c r="AG47">
        <v>1.0219298245614035</v>
      </c>
      <c r="AH47">
        <v>1.0175438596491229</v>
      </c>
      <c r="AI47">
        <v>0</v>
      </c>
      <c r="AJ47">
        <v>0</v>
      </c>
      <c r="AK47" s="74"/>
      <c r="AL47" s="74"/>
      <c r="AM47" s="74"/>
      <c r="AN47" s="74"/>
      <c r="AO47" s="74"/>
      <c r="AP47" s="74"/>
      <c r="AQ47" s="74"/>
      <c r="AT47" s="73"/>
      <c r="AU47" s="73"/>
      <c r="AV47" s="73"/>
      <c r="AW47" s="73"/>
      <c r="AX47" s="73"/>
      <c r="AY47" s="73"/>
      <c r="AZ47" s="73"/>
      <c r="BA47" s="73"/>
      <c r="BB47" s="73"/>
      <c r="BC47" s="73"/>
      <c r="BD47" s="73"/>
      <c r="BE47" s="73"/>
      <c r="BF47" s="73"/>
      <c r="BG47" s="73"/>
    </row>
    <row r="48" spans="1:59">
      <c r="A48">
        <v>10118</v>
      </c>
      <c r="B48" t="s">
        <v>53</v>
      </c>
      <c r="C48">
        <v>0</v>
      </c>
      <c r="D48">
        <v>1</v>
      </c>
      <c r="E48">
        <v>46.354999999999997</v>
      </c>
      <c r="F48">
        <v>51.686999999999998</v>
      </c>
      <c r="G48">
        <v>52.033999999999999</v>
      </c>
      <c r="H48">
        <v>0</v>
      </c>
      <c r="I48">
        <v>0</v>
      </c>
      <c r="J48">
        <v>2.3559999999999999</v>
      </c>
      <c r="K48">
        <v>2.363</v>
      </c>
      <c r="L48">
        <v>20695.103999999999</v>
      </c>
      <c r="M48">
        <v>20699.88</v>
      </c>
      <c r="N48">
        <v>49.216999999999999</v>
      </c>
      <c r="O48">
        <v>49.604999999999997</v>
      </c>
      <c r="P48">
        <v>432322.12799999997</v>
      </c>
      <c r="Q48">
        <v>434539.8</v>
      </c>
      <c r="R48">
        <v>45.673999999999999</v>
      </c>
      <c r="S48">
        <v>401200.41599999997</v>
      </c>
      <c r="T48">
        <v>400104.24</v>
      </c>
      <c r="U48">
        <v>3.5430000000000001</v>
      </c>
      <c r="V48">
        <v>3.931</v>
      </c>
      <c r="W48">
        <v>3.5430000000000001</v>
      </c>
      <c r="X48">
        <v>3.931</v>
      </c>
      <c r="Y48">
        <v>6.6122999999999998E-3</v>
      </c>
      <c r="Z48">
        <v>6.6122999999999998E-3</v>
      </c>
      <c r="AA48">
        <v>0</v>
      </c>
      <c r="AB48">
        <v>6.6122999999999998E-3</v>
      </c>
      <c r="AC48">
        <v>6.6122999999999998E-3</v>
      </c>
      <c r="AD48">
        <v>6.6122999999999998E-3</v>
      </c>
      <c r="AE48">
        <v>0.93130742728770843</v>
      </c>
      <c r="AF48">
        <v>0.92435416216710276</v>
      </c>
      <c r="AG48">
        <v>1.0775714848710425</v>
      </c>
      <c r="AH48">
        <v>1.0860664710776371</v>
      </c>
      <c r="AI48">
        <v>7.0042146516617762E-2</v>
      </c>
      <c r="AJ48">
        <v>7.0594320620046419E-2</v>
      </c>
      <c r="AK48" s="81"/>
      <c r="AL48" s="81"/>
      <c r="AM48" s="81"/>
      <c r="AN48" s="81"/>
      <c r="AO48" s="81"/>
      <c r="AP48" s="81"/>
      <c r="AQ48" s="81"/>
      <c r="AT48" s="80"/>
      <c r="AU48" s="80"/>
      <c r="AV48" s="73"/>
      <c r="AW48" s="73"/>
      <c r="AX48" s="73"/>
      <c r="AY48" s="73"/>
      <c r="AZ48" s="73"/>
      <c r="BA48" s="73"/>
      <c r="BB48" s="73"/>
      <c r="BC48" s="73"/>
      <c r="BD48" s="73"/>
      <c r="BE48" s="73"/>
      <c r="BF48" s="80"/>
      <c r="BG48" s="80"/>
    </row>
    <row r="49" spans="1:59">
      <c r="A49">
        <v>10121</v>
      </c>
      <c r="B49" t="s">
        <v>54</v>
      </c>
      <c r="C49">
        <v>0</v>
      </c>
      <c r="D49">
        <v>1</v>
      </c>
      <c r="E49">
        <v>41.484999999999999</v>
      </c>
      <c r="F49">
        <v>40.08</v>
      </c>
      <c r="G49">
        <v>40.189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39.494</v>
      </c>
      <c r="O49">
        <v>39.47</v>
      </c>
      <c r="P49">
        <v>346915.29599999997</v>
      </c>
      <c r="Q49">
        <v>345757.2</v>
      </c>
      <c r="R49">
        <v>40.875</v>
      </c>
      <c r="S49">
        <v>359046</v>
      </c>
      <c r="T49">
        <v>358065</v>
      </c>
      <c r="U49">
        <v>0</v>
      </c>
      <c r="V49">
        <v>0</v>
      </c>
      <c r="W49">
        <v>0</v>
      </c>
      <c r="X49">
        <v>0</v>
      </c>
      <c r="Y49">
        <v>5.7175999999999998E-3</v>
      </c>
      <c r="Z49">
        <v>5.7140999999999997E-3</v>
      </c>
      <c r="AA49">
        <v>0</v>
      </c>
      <c r="AB49">
        <v>5.7175999999999998E-3</v>
      </c>
      <c r="AC49">
        <v>5.7140999999999997E-3</v>
      </c>
      <c r="AD49">
        <v>5.7158499999999998E-3</v>
      </c>
      <c r="AE49">
        <v>1</v>
      </c>
      <c r="AF49">
        <v>1</v>
      </c>
      <c r="AG49">
        <v>1</v>
      </c>
      <c r="AH49">
        <v>1</v>
      </c>
      <c r="AI49">
        <v>0.06</v>
      </c>
      <c r="AJ49">
        <v>0.06</v>
      </c>
      <c r="AK49" s="74"/>
      <c r="AL49" s="74"/>
      <c r="AM49" s="74"/>
      <c r="AN49" s="74"/>
      <c r="AO49" s="74"/>
      <c r="AP49" s="74"/>
      <c r="AQ49" s="74"/>
      <c r="AT49" s="73"/>
      <c r="AU49" s="73"/>
      <c r="AV49" s="73"/>
      <c r="AW49" s="73"/>
      <c r="AX49" s="73"/>
      <c r="AY49" s="73"/>
      <c r="AZ49" s="73"/>
      <c r="BA49" s="73"/>
      <c r="BB49" s="73"/>
      <c r="BC49" s="73"/>
      <c r="BD49" s="73"/>
      <c r="BE49" s="73"/>
      <c r="BF49" s="73"/>
      <c r="BG49" s="73"/>
    </row>
    <row r="50" spans="1:59">
      <c r="A50">
        <v>10123</v>
      </c>
      <c r="B50" t="s">
        <v>55</v>
      </c>
      <c r="C50">
        <v>1</v>
      </c>
      <c r="D50">
        <v>0</v>
      </c>
      <c r="E50">
        <v>557.39200000000005</v>
      </c>
      <c r="F50">
        <v>502.44799999999998</v>
      </c>
      <c r="G50">
        <v>503.72300000000001</v>
      </c>
      <c r="H50">
        <v>26.768000000000001</v>
      </c>
      <c r="I50">
        <v>26.841000000000001</v>
      </c>
      <c r="J50">
        <v>15.678000000000001</v>
      </c>
      <c r="K50">
        <v>15.718</v>
      </c>
      <c r="L50">
        <v>137715.552</v>
      </c>
      <c r="M50">
        <v>137689.68</v>
      </c>
      <c r="N50">
        <v>460.00200000000001</v>
      </c>
      <c r="O50">
        <v>461.16399999999999</v>
      </c>
      <c r="P50">
        <v>4040657.568</v>
      </c>
      <c r="Q50">
        <v>4039796.6399999997</v>
      </c>
      <c r="R50">
        <v>549.19899999999996</v>
      </c>
      <c r="S50">
        <v>4824164.0159999998</v>
      </c>
      <c r="T50">
        <v>4810983.2399999993</v>
      </c>
      <c r="U50">
        <v>0</v>
      </c>
      <c r="V50">
        <v>0</v>
      </c>
      <c r="W50">
        <v>0</v>
      </c>
      <c r="X50">
        <v>0</v>
      </c>
      <c r="Y50">
        <v>6.6594799999999996E-2</v>
      </c>
      <c r="Z50">
        <v>6.6763000000000003E-2</v>
      </c>
      <c r="AA50">
        <v>3.9866600000000002E-2</v>
      </c>
      <c r="AB50">
        <v>2.6728199999999994E-2</v>
      </c>
      <c r="AC50">
        <v>2.6896400000000001E-2</v>
      </c>
      <c r="AD50">
        <v>2.6812299999999997E-2</v>
      </c>
      <c r="AE50">
        <v>0.99999948600786515</v>
      </c>
      <c r="AF50">
        <v>0.99999993295397716</v>
      </c>
      <c r="AG50">
        <v>1</v>
      </c>
      <c r="AH50">
        <v>1</v>
      </c>
      <c r="AI50">
        <v>0</v>
      </c>
      <c r="AJ50">
        <v>0</v>
      </c>
      <c r="AK50" s="74"/>
      <c r="AL50" s="74"/>
      <c r="AM50" s="74"/>
      <c r="AN50" s="74"/>
      <c r="AO50" s="74"/>
      <c r="AP50" s="74"/>
      <c r="AQ50" s="74"/>
      <c r="AT50" s="73"/>
      <c r="AU50" s="73"/>
      <c r="AV50" s="73"/>
      <c r="AW50" s="73"/>
      <c r="AX50" s="73"/>
      <c r="AY50" s="73"/>
      <c r="AZ50" s="73"/>
      <c r="BA50" s="73"/>
      <c r="BB50" s="73"/>
      <c r="BC50" s="73"/>
      <c r="BD50" s="73"/>
      <c r="BE50" s="73"/>
      <c r="BF50" s="73"/>
      <c r="BG50" s="73"/>
    </row>
    <row r="51" spans="1:59">
      <c r="A51">
        <v>10136</v>
      </c>
      <c r="B51" t="s">
        <v>56</v>
      </c>
      <c r="C51">
        <v>0</v>
      </c>
      <c r="D51">
        <v>1</v>
      </c>
      <c r="E51">
        <v>18.814</v>
      </c>
      <c r="F51">
        <v>18.428999999999998</v>
      </c>
      <c r="G51">
        <v>18.526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18.396000000000001</v>
      </c>
      <c r="O51">
        <v>18.434000000000001</v>
      </c>
      <c r="P51">
        <v>161590.46400000001</v>
      </c>
      <c r="Q51">
        <v>161481.84</v>
      </c>
      <c r="R51">
        <v>18.536999999999999</v>
      </c>
      <c r="S51">
        <v>162829.008</v>
      </c>
      <c r="T51">
        <v>162384.12</v>
      </c>
      <c r="U51">
        <v>0</v>
      </c>
      <c r="V51">
        <v>0</v>
      </c>
      <c r="W51">
        <v>0</v>
      </c>
      <c r="X51">
        <v>0</v>
      </c>
      <c r="Y51">
        <v>2.6632000000000001E-3</v>
      </c>
      <c r="Z51">
        <v>2.6687E-3</v>
      </c>
      <c r="AA51">
        <v>0</v>
      </c>
      <c r="AB51">
        <v>2.6632000000000001E-3</v>
      </c>
      <c r="AC51">
        <v>2.6687E-3</v>
      </c>
      <c r="AD51">
        <v>2.6659500000000003E-3</v>
      </c>
      <c r="AE51">
        <v>0.99999063959556422</v>
      </c>
      <c r="AF51">
        <v>0.9999983713247258</v>
      </c>
      <c r="AG51">
        <v>1</v>
      </c>
      <c r="AH51">
        <v>1</v>
      </c>
      <c r="AI51">
        <v>7.0000000000000007E-2</v>
      </c>
      <c r="AJ51">
        <v>7.0000000000000007E-2</v>
      </c>
      <c r="AK51" s="74"/>
      <c r="AL51" s="74"/>
      <c r="AM51" s="74"/>
      <c r="AN51" s="74"/>
      <c r="AO51" s="74"/>
      <c r="AP51" s="74"/>
      <c r="AQ51" s="74"/>
      <c r="AT51" s="73"/>
      <c r="AU51" s="73"/>
      <c r="AV51" s="73"/>
      <c r="AW51" s="73"/>
      <c r="AX51" s="73"/>
      <c r="AY51" s="73"/>
      <c r="AZ51" s="73"/>
      <c r="BA51" s="73"/>
      <c r="BB51" s="73"/>
      <c r="BC51" s="73"/>
      <c r="BD51" s="73"/>
      <c r="BE51" s="73"/>
      <c r="BF51" s="73"/>
      <c r="BG51" s="73"/>
    </row>
    <row r="52" spans="1:59">
      <c r="A52">
        <v>10142</v>
      </c>
      <c r="B52" t="s">
        <v>57</v>
      </c>
      <c r="C52">
        <v>1</v>
      </c>
      <c r="D52">
        <v>0</v>
      </c>
      <c r="E52">
        <v>2.7269999999999999</v>
      </c>
      <c r="F52">
        <v>3.5409999999999999</v>
      </c>
      <c r="G52">
        <v>3.617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3.3140000000000001</v>
      </c>
      <c r="O52">
        <v>3.347</v>
      </c>
      <c r="P52">
        <v>29110.175999999999</v>
      </c>
      <c r="Q52">
        <v>29319.72</v>
      </c>
      <c r="R52">
        <v>2.6869999999999998</v>
      </c>
      <c r="S52">
        <v>23602.608</v>
      </c>
      <c r="T52">
        <v>23538.12</v>
      </c>
      <c r="U52">
        <v>0.627</v>
      </c>
      <c r="V52">
        <v>0.66</v>
      </c>
      <c r="W52">
        <v>0</v>
      </c>
      <c r="X52">
        <v>0</v>
      </c>
      <c r="Y52">
        <v>3.8900000000000002E-4</v>
      </c>
      <c r="Z52">
        <v>3.8900000000000002E-4</v>
      </c>
      <c r="AA52">
        <v>0</v>
      </c>
      <c r="AB52">
        <v>3.8900000000000002E-4</v>
      </c>
      <c r="AC52">
        <v>3.8900000000000002E-4</v>
      </c>
      <c r="AD52">
        <v>3.8900000000000002E-4</v>
      </c>
      <c r="AE52">
        <v>0.81077370126735049</v>
      </c>
      <c r="AF52">
        <v>0.80277981655213615</v>
      </c>
      <c r="AG52">
        <v>1.2333457387420916</v>
      </c>
      <c r="AH52">
        <v>1.245627093412728</v>
      </c>
      <c r="AI52">
        <v>3.0833643468552292E-2</v>
      </c>
      <c r="AJ52">
        <v>3.1140677335318202E-2</v>
      </c>
      <c r="AK52" s="74"/>
      <c r="AL52" s="74"/>
      <c r="AM52" s="74"/>
      <c r="AN52" s="74"/>
      <c r="AO52" s="74"/>
      <c r="AP52" s="74"/>
      <c r="AQ52" s="74"/>
      <c r="AT52" s="73"/>
      <c r="AU52" s="73"/>
      <c r="AV52" s="73"/>
      <c r="AW52" s="73"/>
      <c r="AX52" s="73"/>
      <c r="AY52" s="73"/>
      <c r="AZ52" s="73"/>
      <c r="BA52" s="73"/>
      <c r="BB52" s="73"/>
      <c r="BC52" s="73"/>
      <c r="BD52" s="73"/>
      <c r="BE52" s="73"/>
      <c r="BF52" s="73"/>
      <c r="BG52" s="73"/>
    </row>
    <row r="53" spans="1:59">
      <c r="A53">
        <v>10144</v>
      </c>
      <c r="B53" t="s">
        <v>58</v>
      </c>
      <c r="C53">
        <v>1</v>
      </c>
      <c r="D53">
        <v>0</v>
      </c>
      <c r="E53">
        <v>3.4180000000000001</v>
      </c>
      <c r="F53">
        <v>3.3119999999999998</v>
      </c>
      <c r="G53">
        <v>3.3210000000000002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3.2570000000000001</v>
      </c>
      <c r="O53">
        <v>3.258</v>
      </c>
      <c r="P53">
        <v>28609.488000000001</v>
      </c>
      <c r="Q53">
        <v>28540.080000000002</v>
      </c>
      <c r="R53">
        <v>3.3679999999999999</v>
      </c>
      <c r="S53">
        <v>29584.511999999999</v>
      </c>
      <c r="T53">
        <v>29503.68</v>
      </c>
      <c r="U53">
        <v>0</v>
      </c>
      <c r="V53">
        <v>0</v>
      </c>
      <c r="W53">
        <v>0</v>
      </c>
      <c r="X53">
        <v>0</v>
      </c>
      <c r="Y53">
        <v>4.7150000000000002E-4</v>
      </c>
      <c r="Z53">
        <v>4.7169999999999997E-4</v>
      </c>
      <c r="AA53">
        <v>0</v>
      </c>
      <c r="AB53">
        <v>4.7150000000000002E-4</v>
      </c>
      <c r="AC53">
        <v>4.7169999999999997E-4</v>
      </c>
      <c r="AD53">
        <v>4.7159999999999997E-4</v>
      </c>
      <c r="AE53">
        <v>0.9999747011053115</v>
      </c>
      <c r="AF53">
        <v>1</v>
      </c>
      <c r="AG53">
        <v>1</v>
      </c>
      <c r="AH53">
        <v>1</v>
      </c>
      <c r="AI53">
        <v>0</v>
      </c>
      <c r="AJ53">
        <v>0</v>
      </c>
      <c r="AK53" s="74"/>
      <c r="AL53" s="74"/>
      <c r="AM53" s="74"/>
      <c r="AN53" s="74"/>
      <c r="AO53" s="74"/>
      <c r="AP53" s="74"/>
      <c r="AQ53" s="74"/>
      <c r="AT53" s="73"/>
      <c r="AU53" s="73"/>
      <c r="AV53" s="73"/>
      <c r="AW53" s="73"/>
      <c r="AX53" s="73"/>
      <c r="AY53" s="73"/>
      <c r="AZ53" s="73"/>
      <c r="BA53" s="73"/>
      <c r="BB53" s="73"/>
      <c r="BC53" s="73"/>
      <c r="BD53" s="73"/>
      <c r="BE53" s="73"/>
      <c r="BF53" s="73"/>
      <c r="BG53" s="73"/>
    </row>
    <row r="54" spans="1:59">
      <c r="A54">
        <v>10156</v>
      </c>
      <c r="B54" t="s">
        <v>59</v>
      </c>
      <c r="C54">
        <v>1</v>
      </c>
      <c r="D54">
        <v>0</v>
      </c>
      <c r="E54">
        <v>32.719000000000001</v>
      </c>
      <c r="F54">
        <v>33.116999999999997</v>
      </c>
      <c r="G54">
        <v>33.332000000000001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32.878999999999998</v>
      </c>
      <c r="O54">
        <v>33.006</v>
      </c>
      <c r="P54">
        <v>288809.136</v>
      </c>
      <c r="Q54">
        <v>289132.56</v>
      </c>
      <c r="R54">
        <v>32.238</v>
      </c>
      <c r="S54">
        <v>283178.592</v>
      </c>
      <c r="T54">
        <v>282404.88</v>
      </c>
      <c r="U54">
        <v>0.64100000000000001</v>
      </c>
      <c r="V54">
        <v>0.76800000000000002</v>
      </c>
      <c r="W54">
        <v>0</v>
      </c>
      <c r="X54">
        <v>0</v>
      </c>
      <c r="Y54">
        <v>4.6671000000000004E-3</v>
      </c>
      <c r="Z54">
        <v>4.6671000000000004E-3</v>
      </c>
      <c r="AA54">
        <v>0</v>
      </c>
      <c r="AB54">
        <v>4.6671000000000004E-3</v>
      </c>
      <c r="AC54">
        <v>4.6671000000000004E-3</v>
      </c>
      <c r="AD54">
        <v>4.6671000000000004E-3</v>
      </c>
      <c r="AE54">
        <v>0.98050135942394845</v>
      </c>
      <c r="AF54">
        <v>0.97672860075440815</v>
      </c>
      <c r="AG54">
        <v>1.0198833674545567</v>
      </c>
      <c r="AH54">
        <v>1.0238228177926672</v>
      </c>
      <c r="AI54">
        <v>0</v>
      </c>
      <c r="AJ54">
        <v>0</v>
      </c>
      <c r="AK54" s="74"/>
      <c r="AL54" s="74"/>
      <c r="AM54" s="74"/>
      <c r="AN54" s="74"/>
      <c r="AO54" s="74"/>
      <c r="AP54" s="74"/>
      <c r="AQ54" s="74"/>
      <c r="AT54" s="73"/>
      <c r="AU54" s="73"/>
      <c r="AV54" s="73"/>
      <c r="AW54" s="73"/>
      <c r="AX54" s="73"/>
      <c r="AY54" s="73"/>
      <c r="AZ54" s="73"/>
      <c r="BA54" s="73"/>
      <c r="BB54" s="73"/>
      <c r="BC54" s="73"/>
      <c r="BD54" s="73"/>
      <c r="BE54" s="73"/>
      <c r="BF54" s="73"/>
      <c r="BG54" s="73"/>
    </row>
    <row r="55" spans="1:59">
      <c r="A55">
        <v>10157</v>
      </c>
      <c r="B55" t="s">
        <v>60</v>
      </c>
      <c r="C55">
        <v>1</v>
      </c>
      <c r="D55">
        <v>0</v>
      </c>
      <c r="E55">
        <v>50.703000000000003</v>
      </c>
      <c r="F55">
        <v>95.278999999999996</v>
      </c>
      <c r="G55">
        <v>96.236999999999995</v>
      </c>
      <c r="H55">
        <v>34.104999999999997</v>
      </c>
      <c r="I55">
        <v>34.198999999999998</v>
      </c>
      <c r="J55">
        <v>2.5419999999999998</v>
      </c>
      <c r="K55">
        <v>2.5489999999999999</v>
      </c>
      <c r="L55">
        <v>22328.928</v>
      </c>
      <c r="M55">
        <v>22329.239999999998</v>
      </c>
      <c r="N55">
        <v>54.767000000000003</v>
      </c>
      <c r="O55">
        <v>55.835999999999999</v>
      </c>
      <c r="P55">
        <v>481073.32800000004</v>
      </c>
      <c r="Q55">
        <v>489123.36</v>
      </c>
      <c r="R55">
        <v>49.957999999999998</v>
      </c>
      <c r="S55">
        <v>438831.07199999999</v>
      </c>
      <c r="T55">
        <v>437632.07999999996</v>
      </c>
      <c r="U55">
        <v>4.8090000000000002</v>
      </c>
      <c r="V55">
        <v>5.8780000000000001</v>
      </c>
      <c r="W55">
        <v>4.8090000000000002</v>
      </c>
      <c r="X55">
        <v>5.8780000000000001</v>
      </c>
      <c r="Y55">
        <v>7.2325000000000002E-3</v>
      </c>
      <c r="Z55">
        <v>7.2325000000000002E-3</v>
      </c>
      <c r="AA55">
        <v>0</v>
      </c>
      <c r="AB55">
        <v>7.2325000000000002E-3</v>
      </c>
      <c r="AC55">
        <v>7.2325000000000002E-3</v>
      </c>
      <c r="AD55">
        <v>7.2325000000000002E-3</v>
      </c>
      <c r="AE55">
        <v>0.91609414261039479</v>
      </c>
      <c r="AF55">
        <v>0.89931948226428016</v>
      </c>
      <c r="AG55">
        <v>1.0962608591216623</v>
      </c>
      <c r="AH55">
        <v>1.1176588334200728</v>
      </c>
      <c r="AI55">
        <v>6.0294347251691416E-2</v>
      </c>
      <c r="AJ55">
        <v>6.1471235838103995E-2</v>
      </c>
      <c r="AK55" s="74"/>
      <c r="AL55" s="74"/>
      <c r="AM55" s="74"/>
      <c r="AN55" s="74"/>
      <c r="AO55" s="74"/>
      <c r="AP55" s="74"/>
      <c r="AQ55" s="74"/>
      <c r="AT55" s="73"/>
      <c r="AU55" s="73"/>
      <c r="AV55" s="73"/>
      <c r="AW55" s="73"/>
      <c r="AX55" s="73"/>
      <c r="AY55" s="73"/>
      <c r="AZ55" s="73"/>
      <c r="BA55" s="73"/>
      <c r="BB55" s="73"/>
      <c r="BC55" s="73"/>
      <c r="BD55" s="73"/>
      <c r="BE55" s="73"/>
      <c r="BF55" s="73"/>
      <c r="BG55" s="73"/>
    </row>
    <row r="56" spans="1:59">
      <c r="A56">
        <v>10158</v>
      </c>
      <c r="B56" t="s">
        <v>61</v>
      </c>
      <c r="C56">
        <v>1</v>
      </c>
      <c r="D56">
        <v>0</v>
      </c>
      <c r="E56">
        <v>2.8330000000000002</v>
      </c>
      <c r="F56">
        <v>2.262</v>
      </c>
      <c r="G56">
        <v>2.2679999999999998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2.2690000000000001</v>
      </c>
      <c r="O56">
        <v>2.2679999999999998</v>
      </c>
      <c r="P56">
        <v>19930.896000000001</v>
      </c>
      <c r="Q56">
        <v>19867.679999999997</v>
      </c>
      <c r="R56">
        <v>2.7909999999999999</v>
      </c>
      <c r="S56">
        <v>24516.144</v>
      </c>
      <c r="T56">
        <v>24449.16</v>
      </c>
      <c r="U56">
        <v>0</v>
      </c>
      <c r="V56">
        <v>0</v>
      </c>
      <c r="W56">
        <v>0</v>
      </c>
      <c r="X56">
        <v>0</v>
      </c>
      <c r="Y56">
        <v>3.2850000000000002E-4</v>
      </c>
      <c r="Z56">
        <v>3.2830000000000001E-4</v>
      </c>
      <c r="AA56">
        <v>0</v>
      </c>
      <c r="AB56">
        <v>3.2850000000000002E-4</v>
      </c>
      <c r="AC56">
        <v>3.2830000000000001E-4</v>
      </c>
      <c r="AD56">
        <v>3.2840000000000001E-4</v>
      </c>
      <c r="AE56">
        <v>0.99989107007492273</v>
      </c>
      <c r="AF56">
        <v>1</v>
      </c>
      <c r="AG56">
        <v>1</v>
      </c>
      <c r="AH56">
        <v>1</v>
      </c>
      <c r="AI56">
        <v>0</v>
      </c>
      <c r="AJ56">
        <v>0</v>
      </c>
      <c r="AK56" s="74"/>
      <c r="AL56" s="74"/>
      <c r="AM56" s="74"/>
      <c r="AN56" s="74"/>
      <c r="AO56" s="74"/>
      <c r="AP56" s="74"/>
      <c r="AQ56" s="74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</row>
    <row r="57" spans="1:59">
      <c r="A57">
        <v>10170</v>
      </c>
      <c r="B57" t="s">
        <v>62</v>
      </c>
      <c r="C57">
        <v>1</v>
      </c>
      <c r="D57">
        <v>0</v>
      </c>
      <c r="E57">
        <v>254.84299999999999</v>
      </c>
      <c r="F57">
        <v>283.34199999999998</v>
      </c>
      <c r="G57">
        <v>288.18700000000001</v>
      </c>
      <c r="H57">
        <v>0.997</v>
      </c>
      <c r="I57">
        <v>1</v>
      </c>
      <c r="J57">
        <v>34.267000000000003</v>
      </c>
      <c r="K57">
        <v>34.357999999999997</v>
      </c>
      <c r="L57">
        <v>301001.32800000004</v>
      </c>
      <c r="M57">
        <v>300976.07999999996</v>
      </c>
      <c r="N57">
        <v>248.078</v>
      </c>
      <c r="O57">
        <v>252.82900000000001</v>
      </c>
      <c r="P57">
        <v>2179117.1520000002</v>
      </c>
      <c r="Q57">
        <v>2214782.04</v>
      </c>
      <c r="R57">
        <v>251.09700000000001</v>
      </c>
      <c r="S57">
        <v>2205636.048</v>
      </c>
      <c r="T57">
        <v>2199609.7200000002</v>
      </c>
      <c r="U57">
        <v>0</v>
      </c>
      <c r="V57">
        <v>0</v>
      </c>
      <c r="W57">
        <v>0</v>
      </c>
      <c r="X57">
        <v>0</v>
      </c>
      <c r="Y57">
        <v>3.5914399999999999E-2</v>
      </c>
      <c r="Z57">
        <v>3.6351500000000002E-2</v>
      </c>
      <c r="AA57">
        <v>1.7925799999999999E-2</v>
      </c>
      <c r="AB57">
        <v>1.79886E-2</v>
      </c>
      <c r="AC57">
        <v>1.8425700000000003E-2</v>
      </c>
      <c r="AD57">
        <v>1.8207150000000002E-2</v>
      </c>
      <c r="AE57">
        <v>1</v>
      </c>
      <c r="AF57">
        <v>0.99999998078121999</v>
      </c>
      <c r="AG57">
        <v>1</v>
      </c>
      <c r="AH57">
        <v>1.0068977327486988</v>
      </c>
      <c r="AI57">
        <v>0</v>
      </c>
      <c r="AJ57">
        <v>0</v>
      </c>
      <c r="AK57" s="74"/>
      <c r="AL57" s="74"/>
      <c r="AM57" s="74"/>
      <c r="AN57" s="74"/>
      <c r="AO57" s="74"/>
      <c r="AP57" s="74"/>
      <c r="AQ57" s="74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</row>
    <row r="58" spans="1:59">
      <c r="A58">
        <v>10172</v>
      </c>
      <c r="B58" t="s">
        <v>63</v>
      </c>
      <c r="C58">
        <v>1</v>
      </c>
      <c r="D58">
        <v>0</v>
      </c>
      <c r="E58">
        <v>6.1929999999999996</v>
      </c>
      <c r="F58">
        <v>5.202</v>
      </c>
      <c r="G58">
        <v>5.2629999999999999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5.2729999999999997</v>
      </c>
      <c r="O58">
        <v>5.3019999999999996</v>
      </c>
      <c r="P58">
        <v>46318.031999999999</v>
      </c>
      <c r="Q58">
        <v>46445.52</v>
      </c>
      <c r="R58">
        <v>6.1020000000000003</v>
      </c>
      <c r="S58">
        <v>53599.968000000001</v>
      </c>
      <c r="T58">
        <v>53453.520000000004</v>
      </c>
      <c r="U58">
        <v>0</v>
      </c>
      <c r="V58">
        <v>0</v>
      </c>
      <c r="W58">
        <v>0</v>
      </c>
      <c r="X58">
        <v>0</v>
      </c>
      <c r="Y58">
        <v>7.6340000000000002E-4</v>
      </c>
      <c r="Z58">
        <v>7.6760000000000001E-4</v>
      </c>
      <c r="AA58">
        <v>0</v>
      </c>
      <c r="AB58">
        <v>7.6340000000000002E-4</v>
      </c>
      <c r="AC58">
        <v>7.6760000000000001E-4</v>
      </c>
      <c r="AD58">
        <v>7.6550000000000001E-4</v>
      </c>
      <c r="AE58">
        <v>0.9999624450028447</v>
      </c>
      <c r="AF58">
        <v>0.99995506771029796</v>
      </c>
      <c r="AG58">
        <v>1</v>
      </c>
      <c r="AH58">
        <v>1</v>
      </c>
      <c r="AI58">
        <v>0</v>
      </c>
      <c r="AJ58">
        <v>0</v>
      </c>
      <c r="AK58" s="74"/>
      <c r="AL58" s="74"/>
      <c r="AM58" s="74"/>
      <c r="AN58" s="74"/>
      <c r="AO58" s="74"/>
      <c r="AP58" s="74"/>
      <c r="AQ58" s="74"/>
      <c r="AT58" s="73"/>
      <c r="AU58" s="73"/>
      <c r="AV58" s="73"/>
      <c r="AW58" s="73"/>
      <c r="AX58" s="73"/>
      <c r="AY58" s="73"/>
      <c r="AZ58" s="73"/>
      <c r="BA58" s="73"/>
      <c r="BB58" s="73"/>
      <c r="BC58" s="73"/>
      <c r="BD58" s="73"/>
      <c r="BE58" s="73"/>
      <c r="BF58" s="73"/>
      <c r="BG58" s="73"/>
    </row>
    <row r="59" spans="1:59">
      <c r="A59">
        <v>10173</v>
      </c>
      <c r="B59" t="s">
        <v>64</v>
      </c>
      <c r="C59">
        <v>0</v>
      </c>
      <c r="D59">
        <v>1</v>
      </c>
      <c r="E59">
        <v>33.624000000000002</v>
      </c>
      <c r="F59">
        <v>48.81</v>
      </c>
      <c r="G59">
        <v>49.859000000000002</v>
      </c>
      <c r="H59">
        <v>0</v>
      </c>
      <c r="I59">
        <v>0</v>
      </c>
      <c r="J59">
        <v>2.0880000000000001</v>
      </c>
      <c r="K59">
        <v>2.0939999999999999</v>
      </c>
      <c r="L59">
        <v>18340.992000000002</v>
      </c>
      <c r="M59">
        <v>18343.439999999999</v>
      </c>
      <c r="N59">
        <v>40.122999999999998</v>
      </c>
      <c r="O59">
        <v>40.762999999999998</v>
      </c>
      <c r="P59">
        <v>352440.43199999997</v>
      </c>
      <c r="Q59">
        <v>357083.88</v>
      </c>
      <c r="R59">
        <v>33.130000000000003</v>
      </c>
      <c r="S59">
        <v>291013.92000000004</v>
      </c>
      <c r="T59">
        <v>290218.80000000005</v>
      </c>
      <c r="U59">
        <v>6.9930000000000003</v>
      </c>
      <c r="V59">
        <v>7.633</v>
      </c>
      <c r="W59">
        <v>6.9930000000000003</v>
      </c>
      <c r="X59">
        <v>7.633</v>
      </c>
      <c r="Y59">
        <v>4.7962999999999999E-3</v>
      </c>
      <c r="Z59">
        <v>4.7962999999999999E-3</v>
      </c>
      <c r="AA59">
        <v>0</v>
      </c>
      <c r="AB59">
        <v>4.7962999999999999E-3</v>
      </c>
      <c r="AC59">
        <v>4.7962999999999999E-3</v>
      </c>
      <c r="AD59">
        <v>4.7962999999999999E-3</v>
      </c>
      <c r="AE59">
        <v>0.8343403026555799</v>
      </c>
      <c r="AF59">
        <v>0.82189624089413638</v>
      </c>
      <c r="AG59">
        <v>1.2110775731964984</v>
      </c>
      <c r="AH59">
        <v>1.230395412013281</v>
      </c>
      <c r="AI59">
        <v>8.4775430123754894E-2</v>
      </c>
      <c r="AJ59">
        <v>8.6127678840929672E-2</v>
      </c>
      <c r="AK59" s="74"/>
      <c r="AL59" s="74"/>
      <c r="AM59" s="74"/>
      <c r="AN59" s="74"/>
      <c r="AO59" s="74"/>
      <c r="AP59" s="74"/>
      <c r="AQ59" s="74"/>
      <c r="AT59" s="73"/>
      <c r="AU59" s="73"/>
      <c r="AV59" s="73"/>
      <c r="AW59" s="73"/>
      <c r="AX59" s="73"/>
      <c r="AY59" s="73"/>
      <c r="AZ59" s="73"/>
      <c r="BA59" s="73"/>
      <c r="BB59" s="73"/>
      <c r="BC59" s="73"/>
      <c r="BD59" s="73"/>
      <c r="BE59" s="73"/>
      <c r="BF59" s="73"/>
      <c r="BG59" s="73"/>
    </row>
    <row r="60" spans="1:59">
      <c r="A60">
        <v>10174</v>
      </c>
      <c r="B60" t="s">
        <v>65</v>
      </c>
      <c r="C60">
        <v>1</v>
      </c>
      <c r="D60">
        <v>0</v>
      </c>
      <c r="E60">
        <v>0.51500000000000001</v>
      </c>
      <c r="F60">
        <v>0.61699999999999999</v>
      </c>
      <c r="G60">
        <v>0.621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0.496</v>
      </c>
      <c r="O60">
        <v>0.496</v>
      </c>
      <c r="P60">
        <v>4356.8639999999996</v>
      </c>
      <c r="Q60">
        <v>4344.96</v>
      </c>
      <c r="R60">
        <v>0.50700000000000001</v>
      </c>
      <c r="S60">
        <v>4453.4880000000003</v>
      </c>
      <c r="T60">
        <v>4441.32</v>
      </c>
      <c r="U60">
        <v>0</v>
      </c>
      <c r="V60">
        <v>0</v>
      </c>
      <c r="W60">
        <v>0</v>
      </c>
      <c r="X60">
        <v>0</v>
      </c>
      <c r="Y60">
        <v>7.1799999999999997E-5</v>
      </c>
      <c r="Z60">
        <v>7.1799999999999997E-5</v>
      </c>
      <c r="AA60">
        <v>0</v>
      </c>
      <c r="AB60">
        <v>7.1799999999999997E-5</v>
      </c>
      <c r="AC60">
        <v>7.1799999999999997E-5</v>
      </c>
      <c r="AD60">
        <v>7.1799999999999997E-5</v>
      </c>
      <c r="AE60">
        <v>0.99969399798387093</v>
      </c>
      <c r="AF60">
        <v>0.99969399798387093</v>
      </c>
      <c r="AG60">
        <v>1</v>
      </c>
      <c r="AH60">
        <v>1</v>
      </c>
      <c r="AI60">
        <v>0</v>
      </c>
      <c r="AJ60">
        <v>0</v>
      </c>
      <c r="AK60" s="74"/>
      <c r="AL60" s="74"/>
      <c r="AM60" s="74"/>
      <c r="AN60" s="74"/>
      <c r="AO60" s="74"/>
      <c r="AP60" s="74"/>
      <c r="AQ60" s="74"/>
      <c r="AT60" s="73"/>
      <c r="AU60" s="73"/>
      <c r="AV60" s="73"/>
      <c r="AW60" s="73"/>
      <c r="AX60" s="73"/>
      <c r="AY60" s="73"/>
      <c r="AZ60" s="73"/>
      <c r="BA60" s="73"/>
      <c r="BB60" s="73"/>
      <c r="BC60" s="73"/>
      <c r="BD60" s="73"/>
      <c r="BE60" s="73"/>
      <c r="BF60" s="73"/>
      <c r="BG60" s="73"/>
    </row>
    <row r="61" spans="1:59">
      <c r="A61">
        <v>10177</v>
      </c>
      <c r="B61" t="s">
        <v>66</v>
      </c>
      <c r="C61">
        <v>1</v>
      </c>
      <c r="D61">
        <v>0</v>
      </c>
      <c r="E61">
        <v>11.839</v>
      </c>
      <c r="F61">
        <v>9.6370000000000005</v>
      </c>
      <c r="G61">
        <v>9.7059999999999995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8.657</v>
      </c>
      <c r="O61">
        <v>10.083</v>
      </c>
      <c r="P61">
        <v>76043.088000000003</v>
      </c>
      <c r="Q61">
        <v>88327.08</v>
      </c>
      <c r="R61">
        <v>11.664999999999999</v>
      </c>
      <c r="S61">
        <v>102465.35999999999</v>
      </c>
      <c r="T61">
        <v>102185.4</v>
      </c>
      <c r="U61">
        <v>0</v>
      </c>
      <c r="V61">
        <v>0</v>
      </c>
      <c r="W61">
        <v>0</v>
      </c>
      <c r="X61">
        <v>0</v>
      </c>
      <c r="Y61">
        <v>1.2532999999999999E-3</v>
      </c>
      <c r="Z61">
        <v>1.4597E-3</v>
      </c>
      <c r="AA61">
        <v>0</v>
      </c>
      <c r="AB61">
        <v>1.2532999999999999E-3</v>
      </c>
      <c r="AC61">
        <v>1.4597E-3</v>
      </c>
      <c r="AD61">
        <v>1.3565000000000001E-3</v>
      </c>
      <c r="AE61">
        <v>0.99998384474991331</v>
      </c>
      <c r="AF61">
        <v>0.99999539199642962</v>
      </c>
      <c r="AG61">
        <v>1</v>
      </c>
      <c r="AH61">
        <v>1</v>
      </c>
      <c r="AI61">
        <v>7.0000000000000007E-2</v>
      </c>
      <c r="AJ61">
        <v>7.0000000000000007E-2</v>
      </c>
      <c r="AK61" s="74"/>
      <c r="AL61" s="74"/>
      <c r="AM61" s="74"/>
      <c r="AN61" s="74"/>
      <c r="AO61" s="74"/>
      <c r="AP61" s="74"/>
      <c r="AQ61" s="74"/>
      <c r="AT61" s="73"/>
      <c r="AU61" s="73"/>
      <c r="AV61" s="73"/>
      <c r="AW61" s="73"/>
      <c r="AX61" s="73"/>
      <c r="AY61" s="73"/>
      <c r="AZ61" s="73"/>
      <c r="BA61" s="73"/>
      <c r="BB61" s="73"/>
      <c r="BC61" s="73"/>
      <c r="BD61" s="73"/>
      <c r="BE61" s="73"/>
      <c r="BF61" s="73"/>
      <c r="BG61" s="73"/>
    </row>
    <row r="62" spans="1:59">
      <c r="A62">
        <v>10179</v>
      </c>
      <c r="B62" t="s">
        <v>67</v>
      </c>
      <c r="C62">
        <v>0</v>
      </c>
      <c r="D62">
        <v>1</v>
      </c>
      <c r="E62">
        <v>169.31100000000001</v>
      </c>
      <c r="F62">
        <v>200.41300000000001</v>
      </c>
      <c r="G62">
        <v>203.79400000000001</v>
      </c>
      <c r="H62">
        <v>0</v>
      </c>
      <c r="I62">
        <v>0</v>
      </c>
      <c r="J62">
        <v>12.548</v>
      </c>
      <c r="K62">
        <v>5.8609999999999998</v>
      </c>
      <c r="L62">
        <v>110221.632</v>
      </c>
      <c r="M62">
        <v>51342.36</v>
      </c>
      <c r="N62">
        <v>192.80600000000001</v>
      </c>
      <c r="O62">
        <v>195.66399999999999</v>
      </c>
      <c r="P62">
        <v>1693607.9040000001</v>
      </c>
      <c r="Q62">
        <v>1714016.64</v>
      </c>
      <c r="R62">
        <v>166.822</v>
      </c>
      <c r="S62">
        <v>1465364.4480000001</v>
      </c>
      <c r="T62">
        <v>1461360.72</v>
      </c>
      <c r="U62">
        <v>25.984000000000009</v>
      </c>
      <c r="V62">
        <v>28.841999999999985</v>
      </c>
      <c r="W62">
        <v>25.984000000000009</v>
      </c>
      <c r="X62">
        <v>28.841999999999985</v>
      </c>
      <c r="Y62">
        <v>2.4150899999999999E-2</v>
      </c>
      <c r="Z62">
        <v>2.4150899999999999E-2</v>
      </c>
      <c r="AA62">
        <v>0</v>
      </c>
      <c r="AB62">
        <v>2.4150899999999999E-2</v>
      </c>
      <c r="AC62">
        <v>2.4150899999999999E-2</v>
      </c>
      <c r="AD62">
        <v>2.4150899999999999E-2</v>
      </c>
      <c r="AE62">
        <v>0.8699530956703001</v>
      </c>
      <c r="AF62">
        <v>0.85768487858475118</v>
      </c>
      <c r="AG62">
        <v>1.1557588327678605</v>
      </c>
      <c r="AH62">
        <v>1.1728908657131552</v>
      </c>
      <c r="AI62">
        <v>0</v>
      </c>
      <c r="AJ62">
        <v>0</v>
      </c>
      <c r="AK62" s="74"/>
      <c r="AL62" s="74"/>
      <c r="AM62" s="74"/>
      <c r="AN62" s="74"/>
      <c r="AO62" s="74"/>
      <c r="AP62" s="74"/>
      <c r="AQ62" s="74"/>
      <c r="AT62" s="73"/>
      <c r="AU62" s="73"/>
      <c r="AV62" s="73"/>
      <c r="AW62" s="73"/>
      <c r="AX62" s="73"/>
      <c r="AY62" s="73"/>
      <c r="AZ62" s="73"/>
      <c r="BA62" s="73"/>
      <c r="BB62" s="73"/>
      <c r="BC62" s="73"/>
      <c r="BD62" s="73"/>
      <c r="BE62" s="73"/>
      <c r="BF62" s="73"/>
      <c r="BG62" s="73"/>
    </row>
    <row r="63" spans="1:59">
      <c r="A63">
        <v>10183</v>
      </c>
      <c r="B63" t="s">
        <v>68</v>
      </c>
      <c r="C63">
        <v>1</v>
      </c>
      <c r="D63">
        <v>0</v>
      </c>
      <c r="E63">
        <v>119.102</v>
      </c>
      <c r="F63">
        <v>144.56399999999999</v>
      </c>
      <c r="G63">
        <v>146.18899999999999</v>
      </c>
      <c r="H63">
        <v>0</v>
      </c>
      <c r="I63">
        <v>0</v>
      </c>
      <c r="J63">
        <v>0.68700000000000006</v>
      </c>
      <c r="K63">
        <v>0.68899999999999995</v>
      </c>
      <c r="L63">
        <v>6034.6080000000002</v>
      </c>
      <c r="M63">
        <v>6035.6399999999994</v>
      </c>
      <c r="N63">
        <v>143.87700000000001</v>
      </c>
      <c r="O63">
        <v>145.5</v>
      </c>
      <c r="P63">
        <v>1263815.568</v>
      </c>
      <c r="Q63">
        <v>1274580</v>
      </c>
      <c r="R63">
        <v>117.351</v>
      </c>
      <c r="S63">
        <v>1030811.184</v>
      </c>
      <c r="T63">
        <v>1027994.76</v>
      </c>
      <c r="U63">
        <v>17.257999999999999</v>
      </c>
      <c r="V63">
        <v>19.145</v>
      </c>
      <c r="W63">
        <v>17.257999999999999</v>
      </c>
      <c r="X63">
        <v>19.145</v>
      </c>
      <c r="Y63">
        <v>1.6989000000000001E-2</v>
      </c>
      <c r="Z63">
        <v>1.6989000000000001E-2</v>
      </c>
      <c r="AA63">
        <v>7.7860999999999998E-3</v>
      </c>
      <c r="AB63">
        <v>9.2029E-3</v>
      </c>
      <c r="AC63">
        <v>9.2029E-3</v>
      </c>
      <c r="AD63">
        <v>9.2029E-3</v>
      </c>
      <c r="AE63">
        <v>0.87244265332820881</v>
      </c>
      <c r="AF63">
        <v>0.86044207537267192</v>
      </c>
      <c r="AG63">
        <v>1.2260398292302581</v>
      </c>
      <c r="AH63">
        <v>1.2398701331901731</v>
      </c>
      <c r="AI63">
        <v>0</v>
      </c>
      <c r="AJ63">
        <v>0</v>
      </c>
      <c r="AK63" s="74"/>
      <c r="AL63" s="74"/>
      <c r="AM63" s="74"/>
      <c r="AN63" s="74"/>
      <c r="AO63" s="74"/>
      <c r="AP63" s="74"/>
      <c r="AQ63" s="74"/>
      <c r="AT63" s="73"/>
      <c r="AU63" s="73"/>
      <c r="AV63" s="73"/>
      <c r="AW63" s="73"/>
      <c r="AX63" s="73"/>
      <c r="AY63" s="73"/>
      <c r="AZ63" s="73"/>
      <c r="BA63" s="73"/>
      <c r="BB63" s="73"/>
      <c r="BC63" s="73"/>
      <c r="BD63" s="73"/>
      <c r="BE63" s="73"/>
      <c r="BF63" s="73"/>
      <c r="BG63" s="73"/>
    </row>
    <row r="64" spans="1:59">
      <c r="A64">
        <v>10186</v>
      </c>
      <c r="B64" t="s">
        <v>69</v>
      </c>
      <c r="C64">
        <v>1</v>
      </c>
      <c r="D64">
        <v>0</v>
      </c>
      <c r="E64">
        <v>21.635000000000002</v>
      </c>
      <c r="F64">
        <v>21.748000000000001</v>
      </c>
      <c r="G64">
        <v>21.806999999999999</v>
      </c>
      <c r="H64">
        <v>0</v>
      </c>
      <c r="I64">
        <v>0</v>
      </c>
      <c r="J64">
        <v>3.3069999999999999</v>
      </c>
      <c r="K64">
        <v>3.3159999999999998</v>
      </c>
      <c r="L64">
        <v>29048.687999999998</v>
      </c>
      <c r="M64">
        <v>29048.16</v>
      </c>
      <c r="N64">
        <v>17.646999999999998</v>
      </c>
      <c r="O64">
        <v>17.693999999999999</v>
      </c>
      <c r="P64">
        <v>155011.24799999999</v>
      </c>
      <c r="Q64">
        <v>154999.44</v>
      </c>
      <c r="R64">
        <v>21.317</v>
      </c>
      <c r="S64">
        <v>187248.52799999999</v>
      </c>
      <c r="T64">
        <v>186736.92</v>
      </c>
      <c r="U64">
        <v>0</v>
      </c>
      <c r="V64">
        <v>0</v>
      </c>
      <c r="W64">
        <v>0</v>
      </c>
      <c r="X64">
        <v>0</v>
      </c>
      <c r="Y64">
        <v>2.5547999999999999E-3</v>
      </c>
      <c r="Z64">
        <v>2.5615999999999998E-3</v>
      </c>
      <c r="AA64">
        <v>0</v>
      </c>
      <c r="AB64">
        <v>2.5547999999999999E-3</v>
      </c>
      <c r="AC64">
        <v>2.5615999999999998E-3</v>
      </c>
      <c r="AD64">
        <v>2.5582000000000001E-3</v>
      </c>
      <c r="AE64">
        <v>1</v>
      </c>
      <c r="AF64">
        <v>0.99998711684911934</v>
      </c>
      <c r="AG64">
        <v>1</v>
      </c>
      <c r="AH64">
        <v>1</v>
      </c>
      <c r="AI64">
        <v>7.0000000000000007E-2</v>
      </c>
      <c r="AJ64">
        <v>7.0000000000000007E-2</v>
      </c>
      <c r="AK64" s="74"/>
      <c r="AL64" s="74"/>
      <c r="AM64" s="74"/>
      <c r="AN64" s="74"/>
      <c r="AO64" s="74"/>
      <c r="AP64" s="74"/>
      <c r="AQ64" s="74"/>
      <c r="AT64" s="73"/>
      <c r="AU64" s="73"/>
      <c r="AV64" s="73"/>
      <c r="AW64" s="73"/>
      <c r="AX64" s="73"/>
      <c r="AY64" s="73"/>
      <c r="AZ64" s="73"/>
      <c r="BA64" s="73"/>
      <c r="BB64" s="73"/>
      <c r="BC64" s="73"/>
      <c r="BD64" s="73"/>
      <c r="BE64" s="73"/>
      <c r="BF64" s="73"/>
      <c r="BG64" s="73"/>
    </row>
    <row r="65" spans="1:59">
      <c r="A65">
        <v>10190</v>
      </c>
      <c r="B65" t="s">
        <v>70</v>
      </c>
      <c r="C65">
        <v>1</v>
      </c>
      <c r="D65">
        <v>0</v>
      </c>
      <c r="E65">
        <v>5.2690000000000001</v>
      </c>
      <c r="F65">
        <v>8.1449999999999996</v>
      </c>
      <c r="G65">
        <v>8.1679999999999993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7.4210000000000003</v>
      </c>
      <c r="O65">
        <v>7.415</v>
      </c>
      <c r="P65">
        <v>65186.064000000006</v>
      </c>
      <c r="Q65">
        <v>64955.4</v>
      </c>
      <c r="R65">
        <v>5.1920000000000002</v>
      </c>
      <c r="S65">
        <v>45606.527999999998</v>
      </c>
      <c r="T65">
        <v>45481.919999999998</v>
      </c>
      <c r="U65">
        <v>2.2290000000000001</v>
      </c>
      <c r="V65">
        <v>2.2229999999999999</v>
      </c>
      <c r="W65">
        <v>2.2290000000000001</v>
      </c>
      <c r="X65">
        <v>2.2229999999999999</v>
      </c>
      <c r="Y65">
        <v>7.5159999999999995E-4</v>
      </c>
      <c r="Z65">
        <v>7.5159999999999995E-4</v>
      </c>
      <c r="AA65">
        <v>0</v>
      </c>
      <c r="AB65">
        <v>7.5159999999999995E-4</v>
      </c>
      <c r="AC65">
        <v>7.5159999999999995E-4</v>
      </c>
      <c r="AD65">
        <v>7.5159999999999995E-4</v>
      </c>
      <c r="AE65">
        <v>0.69967384604500737</v>
      </c>
      <c r="AF65">
        <v>0.70024000155091037</v>
      </c>
      <c r="AG65">
        <v>1.4293143297380586</v>
      </c>
      <c r="AH65">
        <v>1.4281587057010785</v>
      </c>
      <c r="AI65">
        <v>0</v>
      </c>
      <c r="AJ65">
        <v>0</v>
      </c>
      <c r="AK65" s="74"/>
      <c r="AL65" s="74"/>
      <c r="AM65" s="74"/>
      <c r="AN65" s="74"/>
      <c r="AO65" s="74"/>
      <c r="AP65" s="74"/>
      <c r="AQ65" s="74"/>
      <c r="AT65" s="73"/>
      <c r="AU65" s="73"/>
      <c r="AV65" s="73"/>
      <c r="AW65" s="73"/>
      <c r="AX65" s="73"/>
      <c r="AY65" s="73"/>
      <c r="AZ65" s="73"/>
      <c r="BA65" s="73"/>
      <c r="BB65" s="73"/>
      <c r="BC65" s="73"/>
      <c r="BD65" s="73"/>
      <c r="BE65" s="73"/>
      <c r="BF65" s="73"/>
      <c r="BG65" s="73"/>
    </row>
    <row r="66" spans="1:59">
      <c r="A66">
        <v>10191</v>
      </c>
      <c r="B66" t="s">
        <v>71</v>
      </c>
      <c r="C66">
        <v>1</v>
      </c>
      <c r="D66">
        <v>0</v>
      </c>
      <c r="E66">
        <v>133.17400000000001</v>
      </c>
      <c r="F66">
        <v>127.08199999999999</v>
      </c>
      <c r="G66">
        <v>127.43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120.467</v>
      </c>
      <c r="O66">
        <v>120.36499999999999</v>
      </c>
      <c r="P66">
        <v>1058182.128</v>
      </c>
      <c r="Q66">
        <v>1054397.3999999999</v>
      </c>
      <c r="R66">
        <v>131.21700000000001</v>
      </c>
      <c r="S66">
        <v>1152610.128</v>
      </c>
      <c r="T66">
        <v>1149460.9200000002</v>
      </c>
      <c r="U66">
        <v>0</v>
      </c>
      <c r="V66">
        <v>0</v>
      </c>
      <c r="W66">
        <v>0</v>
      </c>
      <c r="X66">
        <v>0</v>
      </c>
      <c r="Y66">
        <v>1.74401E-2</v>
      </c>
      <c r="Z66">
        <v>1.7425300000000001E-2</v>
      </c>
      <c r="AA66">
        <v>0</v>
      </c>
      <c r="AB66">
        <v>1.74401E-2</v>
      </c>
      <c r="AC66">
        <v>1.7425300000000001E-2</v>
      </c>
      <c r="AD66">
        <v>1.7432700000000002E-2</v>
      </c>
      <c r="AE66">
        <v>1</v>
      </c>
      <c r="AF66">
        <v>0.99999737428239099</v>
      </c>
      <c r="AG66">
        <v>1</v>
      </c>
      <c r="AH66">
        <v>1</v>
      </c>
      <c r="AI66">
        <v>0</v>
      </c>
      <c r="AJ66">
        <v>0</v>
      </c>
      <c r="AK66" s="74"/>
      <c r="AL66" s="74"/>
      <c r="AM66" s="74"/>
      <c r="AN66" s="74"/>
      <c r="AO66" s="74"/>
      <c r="AP66" s="74"/>
      <c r="AQ66" s="74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</row>
    <row r="67" spans="1:59">
      <c r="A67">
        <v>10197</v>
      </c>
      <c r="B67" t="s">
        <v>72</v>
      </c>
      <c r="C67">
        <v>1</v>
      </c>
      <c r="D67">
        <v>0</v>
      </c>
      <c r="E67">
        <v>23.091999999999999</v>
      </c>
      <c r="F67">
        <v>33.395000000000003</v>
      </c>
      <c r="G67">
        <v>47.591999999999999</v>
      </c>
      <c r="H67">
        <v>6.79</v>
      </c>
      <c r="I67">
        <v>20.831</v>
      </c>
      <c r="J67">
        <v>0</v>
      </c>
      <c r="K67">
        <v>0</v>
      </c>
      <c r="L67">
        <v>0</v>
      </c>
      <c r="M67">
        <v>0</v>
      </c>
      <c r="N67">
        <v>28.231999999999999</v>
      </c>
      <c r="O67">
        <v>28.477</v>
      </c>
      <c r="P67">
        <v>247989.88800000001</v>
      </c>
      <c r="Q67">
        <v>249458.52</v>
      </c>
      <c r="R67">
        <v>22.753</v>
      </c>
      <c r="S67">
        <v>199862.35200000001</v>
      </c>
      <c r="T67">
        <v>199316.28</v>
      </c>
      <c r="U67">
        <v>5.4790000000000001</v>
      </c>
      <c r="V67">
        <v>5.7240000000000002</v>
      </c>
      <c r="W67">
        <v>5.4790000000000001</v>
      </c>
      <c r="X67">
        <v>5.7240000000000002</v>
      </c>
      <c r="Y67">
        <v>3.2940000000000001E-3</v>
      </c>
      <c r="Z67">
        <v>3.2940000000000001E-3</v>
      </c>
      <c r="AA67">
        <v>0</v>
      </c>
      <c r="AB67">
        <v>3.2940000000000001E-3</v>
      </c>
      <c r="AC67">
        <v>3.2940000000000001E-3</v>
      </c>
      <c r="AD67">
        <v>3.2940000000000001E-3</v>
      </c>
      <c r="AE67">
        <v>0.80593715197293836</v>
      </c>
      <c r="AF67">
        <v>0.79900332459528722</v>
      </c>
      <c r="AG67">
        <v>1.2408034105392696</v>
      </c>
      <c r="AH67">
        <v>1.2515712213774008</v>
      </c>
      <c r="AI67">
        <v>8.6856238737748878E-2</v>
      </c>
      <c r="AJ67">
        <v>8.7609985496418061E-2</v>
      </c>
      <c r="AK67" s="74"/>
      <c r="AL67" s="74"/>
      <c r="AM67" s="74"/>
      <c r="AN67" s="74"/>
      <c r="AO67" s="74"/>
      <c r="AP67" s="74"/>
      <c r="AQ67" s="74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</row>
    <row r="68" spans="1:59">
      <c r="A68">
        <v>10202</v>
      </c>
      <c r="B68" t="s">
        <v>73</v>
      </c>
      <c r="C68">
        <v>1</v>
      </c>
      <c r="D68">
        <v>0</v>
      </c>
      <c r="E68">
        <v>13.294</v>
      </c>
      <c r="F68">
        <v>15.488</v>
      </c>
      <c r="G68">
        <v>15.608000000000001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15.488</v>
      </c>
      <c r="O68">
        <v>15.606999999999999</v>
      </c>
      <c r="P68">
        <v>136046.592</v>
      </c>
      <c r="Q68">
        <v>136717.32</v>
      </c>
      <c r="R68">
        <v>13.099</v>
      </c>
      <c r="S68">
        <v>115061.61599999999</v>
      </c>
      <c r="T68">
        <v>114747.24</v>
      </c>
      <c r="U68">
        <v>2.3889999999999998</v>
      </c>
      <c r="V68">
        <v>2.508</v>
      </c>
      <c r="W68">
        <v>2.3889999999999998</v>
      </c>
      <c r="X68">
        <v>2.508</v>
      </c>
      <c r="Y68">
        <v>1.8963999999999999E-3</v>
      </c>
      <c r="Z68">
        <v>1.8963999999999999E-3</v>
      </c>
      <c r="AA68">
        <v>0</v>
      </c>
      <c r="AB68">
        <v>1.8963999999999999E-3</v>
      </c>
      <c r="AC68">
        <v>1.8963999999999999E-3</v>
      </c>
      <c r="AD68">
        <v>1.8963999999999999E-3</v>
      </c>
      <c r="AE68">
        <v>0.84575222059013433</v>
      </c>
      <c r="AF68">
        <v>0.83930354280130715</v>
      </c>
      <c r="AG68">
        <v>1.1823803343766699</v>
      </c>
      <c r="AH68">
        <v>1.1914649973280402</v>
      </c>
      <c r="AI68">
        <v>0</v>
      </c>
      <c r="AJ68">
        <v>0</v>
      </c>
      <c r="AK68" s="74"/>
      <c r="AL68" s="74"/>
      <c r="AM68" s="74"/>
      <c r="AN68" s="74"/>
      <c r="AO68" s="74"/>
      <c r="AP68" s="74"/>
      <c r="AQ68" s="74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</row>
    <row r="69" spans="1:59">
      <c r="A69">
        <v>10203</v>
      </c>
      <c r="B69" t="s">
        <v>74</v>
      </c>
      <c r="C69">
        <v>1</v>
      </c>
      <c r="D69">
        <v>0</v>
      </c>
      <c r="E69">
        <v>6.306</v>
      </c>
      <c r="F69">
        <v>8.3149999999999995</v>
      </c>
      <c r="G69">
        <v>8.4689999999999994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6.7290000000000001</v>
      </c>
      <c r="O69">
        <v>6.7750000000000004</v>
      </c>
      <c r="P69">
        <v>59107.536</v>
      </c>
      <c r="Q69">
        <v>59349</v>
      </c>
      <c r="R69">
        <v>6.2130000000000001</v>
      </c>
      <c r="S69">
        <v>54574.991999999998</v>
      </c>
      <c r="T69">
        <v>54425.88</v>
      </c>
      <c r="U69">
        <v>0.51600000000000001</v>
      </c>
      <c r="V69">
        <v>0.56200000000000006</v>
      </c>
      <c r="W69">
        <v>0</v>
      </c>
      <c r="X69">
        <v>0</v>
      </c>
      <c r="Y69">
        <v>8.9950000000000002E-4</v>
      </c>
      <c r="Z69">
        <v>8.9950000000000002E-4</v>
      </c>
      <c r="AA69">
        <v>0</v>
      </c>
      <c r="AB69">
        <v>8.9950000000000002E-4</v>
      </c>
      <c r="AC69">
        <v>8.9950000000000002E-4</v>
      </c>
      <c r="AD69">
        <v>8.9950000000000002E-4</v>
      </c>
      <c r="AE69">
        <v>0.92330745341061082</v>
      </c>
      <c r="AF69">
        <v>0.9170385024354244</v>
      </c>
      <c r="AG69">
        <v>1.0830516658619025</v>
      </c>
      <c r="AH69">
        <v>1.0904554965395139</v>
      </c>
      <c r="AI69">
        <v>7.5813616610333187E-2</v>
      </c>
      <c r="AJ69">
        <v>7.6331884757765978E-2</v>
      </c>
      <c r="AK69" s="74"/>
      <c r="AL69" s="74"/>
      <c r="AM69" s="74"/>
      <c r="AN69" s="74"/>
      <c r="AO69" s="74"/>
      <c r="AP69" s="74"/>
      <c r="AQ69" s="74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</row>
    <row r="70" spans="1:59">
      <c r="A70">
        <v>10204</v>
      </c>
      <c r="B70" t="s">
        <v>75</v>
      </c>
      <c r="C70">
        <v>1</v>
      </c>
      <c r="D70">
        <v>0</v>
      </c>
      <c r="E70">
        <v>80.742999999999995</v>
      </c>
      <c r="F70">
        <v>101.58199999999999</v>
      </c>
      <c r="G70">
        <v>102.70099999999999</v>
      </c>
      <c r="H70">
        <v>0</v>
      </c>
      <c r="I70">
        <v>0</v>
      </c>
      <c r="J70">
        <v>17.274999999999999</v>
      </c>
      <c r="K70">
        <v>17.321999999999999</v>
      </c>
      <c r="L70">
        <v>151743.59999999998</v>
      </c>
      <c r="M70">
        <v>151740.72</v>
      </c>
      <c r="N70">
        <v>84.307000000000002</v>
      </c>
      <c r="O70">
        <v>85.379000000000005</v>
      </c>
      <c r="P70">
        <v>740552.68799999997</v>
      </c>
      <c r="Q70">
        <v>747920.04</v>
      </c>
      <c r="R70">
        <v>79.555999999999997</v>
      </c>
      <c r="S70">
        <v>698819.90399999998</v>
      </c>
      <c r="T70">
        <v>696910.55999999994</v>
      </c>
      <c r="U70">
        <v>5.899</v>
      </c>
      <c r="V70">
        <v>7.6180000000000003</v>
      </c>
      <c r="W70">
        <v>5.899</v>
      </c>
      <c r="X70">
        <v>7.6180000000000003</v>
      </c>
      <c r="Y70">
        <v>1.1517400000000001E-2</v>
      </c>
      <c r="Z70">
        <v>1.1517400000000001E-2</v>
      </c>
      <c r="AA70">
        <v>5.4869000000000003E-3</v>
      </c>
      <c r="AB70">
        <v>6.0305000000000003E-3</v>
      </c>
      <c r="AC70">
        <v>6.0305000000000003E-3</v>
      </c>
      <c r="AD70">
        <v>6.0305000000000003E-3</v>
      </c>
      <c r="AE70">
        <v>0.9426204237926169</v>
      </c>
      <c r="AF70">
        <v>0.92709857475884239</v>
      </c>
      <c r="AG70">
        <v>1.059718940117653</v>
      </c>
      <c r="AH70">
        <v>1.0731937251747199</v>
      </c>
      <c r="AI70">
        <v>0</v>
      </c>
      <c r="AJ70">
        <v>0</v>
      </c>
      <c r="AK70" s="74"/>
      <c r="AL70" s="74"/>
      <c r="AM70" s="74"/>
      <c r="AN70" s="74"/>
      <c r="AO70" s="74"/>
      <c r="AP70" s="74"/>
      <c r="AQ70" s="74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</row>
    <row r="71" spans="1:59">
      <c r="A71">
        <v>10209</v>
      </c>
      <c r="B71" t="s">
        <v>76</v>
      </c>
      <c r="C71">
        <v>0</v>
      </c>
      <c r="D71">
        <v>1</v>
      </c>
      <c r="E71">
        <v>106.455</v>
      </c>
      <c r="F71">
        <v>140.59</v>
      </c>
      <c r="G71">
        <v>143.58699999999999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127.892</v>
      </c>
      <c r="O71">
        <v>128.88300000000001</v>
      </c>
      <c r="P71">
        <v>1123403.328</v>
      </c>
      <c r="Q71">
        <v>1129015.08</v>
      </c>
      <c r="R71">
        <v>104.89</v>
      </c>
      <c r="S71">
        <v>921353.76</v>
      </c>
      <c r="T71">
        <v>918836.4</v>
      </c>
      <c r="U71">
        <v>23.001999999999999</v>
      </c>
      <c r="V71">
        <v>23.992999999999999</v>
      </c>
      <c r="W71">
        <v>23.001999999999999</v>
      </c>
      <c r="X71">
        <v>23.992999999999999</v>
      </c>
      <c r="Y71">
        <v>1.5185000000000001E-2</v>
      </c>
      <c r="Z71">
        <v>1.5185000000000001E-2</v>
      </c>
      <c r="AA71">
        <v>0</v>
      </c>
      <c r="AB71">
        <v>1.5185000000000001E-2</v>
      </c>
      <c r="AC71">
        <v>1.5185000000000001E-2</v>
      </c>
      <c r="AD71">
        <v>1.5185000000000001E-2</v>
      </c>
      <c r="AE71">
        <v>0.82014718601241665</v>
      </c>
      <c r="AF71">
        <v>0.81384095585531047</v>
      </c>
      <c r="AG71">
        <v>1.2192964057584135</v>
      </c>
      <c r="AH71">
        <v>1.2287443988940796</v>
      </c>
      <c r="AI71">
        <v>8.5350748403088955E-2</v>
      </c>
      <c r="AJ71">
        <v>8.6012107922585582E-2</v>
      </c>
      <c r="AK71" s="74"/>
      <c r="AL71" s="74"/>
      <c r="AM71" s="74"/>
      <c r="AN71" s="74"/>
      <c r="AO71" s="74"/>
      <c r="AP71" s="74"/>
      <c r="AQ71" s="74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</row>
    <row r="72" spans="1:59">
      <c r="A72">
        <v>10230</v>
      </c>
      <c r="B72" t="s">
        <v>77</v>
      </c>
      <c r="C72">
        <v>1</v>
      </c>
      <c r="D72">
        <v>0</v>
      </c>
      <c r="E72">
        <v>9.8469999999999995</v>
      </c>
      <c r="F72">
        <v>14.558999999999999</v>
      </c>
      <c r="G72">
        <v>14.936</v>
      </c>
      <c r="H72">
        <v>0</v>
      </c>
      <c r="I72">
        <v>0</v>
      </c>
      <c r="J72">
        <v>0.97499999999999998</v>
      </c>
      <c r="K72">
        <v>0.97799999999999998</v>
      </c>
      <c r="L72">
        <v>8564.4</v>
      </c>
      <c r="M72">
        <v>8567.2800000000007</v>
      </c>
      <c r="N72">
        <v>12.337999999999999</v>
      </c>
      <c r="O72">
        <v>12.471</v>
      </c>
      <c r="P72">
        <v>108376.992</v>
      </c>
      <c r="Q72">
        <v>109245.96</v>
      </c>
      <c r="R72">
        <v>9.702</v>
      </c>
      <c r="S72">
        <v>85222.368000000002</v>
      </c>
      <c r="T72">
        <v>84989.52</v>
      </c>
      <c r="U72">
        <v>2.6360000000000001</v>
      </c>
      <c r="V72">
        <v>2.7690000000000001</v>
      </c>
      <c r="W72">
        <v>2.6360000000000001</v>
      </c>
      <c r="X72">
        <v>2.7690000000000001</v>
      </c>
      <c r="Y72">
        <v>1.4046E-3</v>
      </c>
      <c r="Z72">
        <v>1.4046E-3</v>
      </c>
      <c r="AA72">
        <v>0</v>
      </c>
      <c r="AB72">
        <v>1.4046E-3</v>
      </c>
      <c r="AC72">
        <v>1.4046E-3</v>
      </c>
      <c r="AD72">
        <v>1.4046E-3</v>
      </c>
      <c r="AE72">
        <v>0.80210512530970779</v>
      </c>
      <c r="AF72">
        <v>0.79415940554605602</v>
      </c>
      <c r="AG72">
        <v>1.271696557410843</v>
      </c>
      <c r="AH72">
        <v>1.2854050711193568</v>
      </c>
      <c r="AI72">
        <v>8.9018759018759011E-2</v>
      </c>
      <c r="AJ72">
        <v>8.9978354978354977E-2</v>
      </c>
      <c r="AK72" s="74"/>
      <c r="AL72" s="74"/>
      <c r="AM72" s="74"/>
      <c r="AN72" s="74"/>
      <c r="AO72" s="74"/>
      <c r="AP72" s="74"/>
      <c r="AQ72" s="74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</row>
    <row r="73" spans="1:59">
      <c r="A73">
        <v>10231</v>
      </c>
      <c r="B73" t="s">
        <v>78</v>
      </c>
      <c r="C73">
        <v>1</v>
      </c>
      <c r="D73">
        <v>0</v>
      </c>
      <c r="E73">
        <v>37.206000000000003</v>
      </c>
      <c r="F73">
        <v>54.738999999999997</v>
      </c>
      <c r="G73">
        <v>55.667999999999999</v>
      </c>
      <c r="H73">
        <v>0</v>
      </c>
      <c r="I73">
        <v>0</v>
      </c>
      <c r="J73">
        <v>4.407</v>
      </c>
      <c r="K73">
        <v>4.4189999999999996</v>
      </c>
      <c r="L73">
        <v>38711.088000000003</v>
      </c>
      <c r="M73">
        <v>38710.439999999995</v>
      </c>
      <c r="N73">
        <v>56.88</v>
      </c>
      <c r="O73">
        <v>57.802</v>
      </c>
      <c r="P73">
        <v>499633.92000000004</v>
      </c>
      <c r="Q73">
        <v>506345.52</v>
      </c>
      <c r="R73">
        <v>36.658999999999999</v>
      </c>
      <c r="S73">
        <v>322012.65600000002</v>
      </c>
      <c r="T73">
        <v>321132.83999999997</v>
      </c>
      <c r="U73">
        <v>20.221000000000004</v>
      </c>
      <c r="V73">
        <v>21.143000000000001</v>
      </c>
      <c r="W73">
        <v>20.221000000000004</v>
      </c>
      <c r="X73">
        <v>21.143000000000001</v>
      </c>
      <c r="Y73">
        <v>5.3071000000000004E-3</v>
      </c>
      <c r="Z73">
        <v>5.3071000000000004E-3</v>
      </c>
      <c r="AA73">
        <v>0</v>
      </c>
      <c r="AB73">
        <v>5.3071000000000004E-3</v>
      </c>
      <c r="AC73">
        <v>5.3071000000000004E-3</v>
      </c>
      <c r="AD73">
        <v>5.3071000000000004E-3</v>
      </c>
      <c r="AE73">
        <v>0.67012291146674496</v>
      </c>
      <c r="AF73">
        <v>0.66019293084328445</v>
      </c>
      <c r="AG73">
        <v>1.5515971521318095</v>
      </c>
      <c r="AH73">
        <v>1.5767478654627787</v>
      </c>
      <c r="AI73">
        <v>0.10861180064922668</v>
      </c>
      <c r="AJ73">
        <v>0.11037235058239452</v>
      </c>
      <c r="AK73" s="74"/>
      <c r="AL73" s="74"/>
      <c r="AM73" s="74"/>
      <c r="AN73" s="74"/>
      <c r="AO73" s="74"/>
      <c r="AP73" s="74"/>
      <c r="AQ73" s="74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</row>
    <row r="74" spans="1:59">
      <c r="A74">
        <v>10234</v>
      </c>
      <c r="B74" t="s">
        <v>79</v>
      </c>
      <c r="C74">
        <v>0</v>
      </c>
      <c r="D74">
        <v>1</v>
      </c>
      <c r="E74">
        <v>51.76</v>
      </c>
      <c r="F74">
        <v>73.313999999999993</v>
      </c>
      <c r="G74">
        <v>75.66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70.899000000000001</v>
      </c>
      <c r="O74">
        <v>73.045000000000002</v>
      </c>
      <c r="P74">
        <v>622776.81599999999</v>
      </c>
      <c r="Q74">
        <v>639874.20000000007</v>
      </c>
      <c r="R74">
        <v>50.999000000000002</v>
      </c>
      <c r="S74">
        <v>447975.21600000001</v>
      </c>
      <c r="T74">
        <v>446751.24000000005</v>
      </c>
      <c r="U74">
        <v>19.899999999999999</v>
      </c>
      <c r="V74">
        <v>22.045999999999999</v>
      </c>
      <c r="W74">
        <v>19.899999999999999</v>
      </c>
      <c r="X74">
        <v>22.045999999999999</v>
      </c>
      <c r="Y74">
        <v>7.3832000000000004E-3</v>
      </c>
      <c r="Z74">
        <v>7.3832000000000004E-3</v>
      </c>
      <c r="AA74">
        <v>0</v>
      </c>
      <c r="AB74">
        <v>7.3832000000000004E-3</v>
      </c>
      <c r="AC74">
        <v>7.3832000000000004E-3</v>
      </c>
      <c r="AD74">
        <v>7.3832000000000004E-3</v>
      </c>
      <c r="AE74">
        <v>0.71931773329666149</v>
      </c>
      <c r="AF74">
        <v>0.6981847898281881</v>
      </c>
      <c r="AG74">
        <v>1.3902037294848919</v>
      </c>
      <c r="AH74">
        <v>1.4322829859409008</v>
      </c>
      <c r="AI74">
        <v>0</v>
      </c>
      <c r="AJ74">
        <v>0</v>
      </c>
      <c r="AK74" s="74"/>
      <c r="AL74" s="74"/>
      <c r="AM74" s="74"/>
      <c r="AN74" s="74"/>
      <c r="AO74" s="74"/>
      <c r="AP74" s="74"/>
      <c r="AQ74" s="74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</row>
    <row r="75" spans="1:59">
      <c r="A75">
        <v>10235</v>
      </c>
      <c r="B75" t="s">
        <v>80</v>
      </c>
      <c r="C75">
        <v>1</v>
      </c>
      <c r="D75">
        <v>0</v>
      </c>
      <c r="E75">
        <v>33.606999999999999</v>
      </c>
      <c r="F75">
        <v>30.41</v>
      </c>
      <c r="G75">
        <v>30.553999999999998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30.236000000000001</v>
      </c>
      <c r="O75">
        <v>30.274999999999999</v>
      </c>
      <c r="P75">
        <v>265593.02400000003</v>
      </c>
      <c r="Q75">
        <v>265209</v>
      </c>
      <c r="R75">
        <v>33.113</v>
      </c>
      <c r="S75">
        <v>290864.592</v>
      </c>
      <c r="T75">
        <v>290069.88</v>
      </c>
      <c r="U75">
        <v>0</v>
      </c>
      <c r="V75">
        <v>0</v>
      </c>
      <c r="W75">
        <v>0</v>
      </c>
      <c r="X75">
        <v>0</v>
      </c>
      <c r="Y75">
        <v>4.3772999999999998E-3</v>
      </c>
      <c r="Z75">
        <v>4.3829000000000003E-3</v>
      </c>
      <c r="AA75">
        <v>0</v>
      </c>
      <c r="AB75">
        <v>4.3772999999999998E-3</v>
      </c>
      <c r="AC75">
        <v>4.3829000000000003E-3</v>
      </c>
      <c r="AD75">
        <v>4.3800999999999996E-3</v>
      </c>
      <c r="AE75">
        <v>1</v>
      </c>
      <c r="AF75">
        <v>0.99999983692815864</v>
      </c>
      <c r="AG75">
        <v>1</v>
      </c>
      <c r="AH75">
        <v>1</v>
      </c>
      <c r="AI75">
        <v>0</v>
      </c>
      <c r="AJ75">
        <v>0</v>
      </c>
      <c r="AK75" s="74"/>
      <c r="AL75" s="74"/>
      <c r="AM75" s="74"/>
      <c r="AN75" s="74"/>
      <c r="AO75" s="74"/>
      <c r="AP75" s="74"/>
      <c r="AQ75" s="74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</row>
    <row r="76" spans="1:59">
      <c r="A76">
        <v>10236</v>
      </c>
      <c r="B76" t="s">
        <v>81</v>
      </c>
      <c r="C76">
        <v>0</v>
      </c>
      <c r="D76">
        <v>1</v>
      </c>
      <c r="E76">
        <v>29.536999999999999</v>
      </c>
      <c r="F76">
        <v>29.663</v>
      </c>
      <c r="G76">
        <v>29.744</v>
      </c>
      <c r="H76">
        <v>0</v>
      </c>
      <c r="I76">
        <v>0</v>
      </c>
      <c r="J76">
        <v>0.13200000000000001</v>
      </c>
      <c r="K76">
        <v>0.13200000000000001</v>
      </c>
      <c r="L76">
        <v>1159.4880000000001</v>
      </c>
      <c r="M76">
        <v>1156.3200000000002</v>
      </c>
      <c r="N76">
        <v>28.073</v>
      </c>
      <c r="O76">
        <v>28.056000000000001</v>
      </c>
      <c r="P76">
        <v>246593.23199999999</v>
      </c>
      <c r="Q76">
        <v>245770.56</v>
      </c>
      <c r="R76">
        <v>29.103000000000002</v>
      </c>
      <c r="S76">
        <v>255640.75200000001</v>
      </c>
      <c r="T76">
        <v>254942.28000000003</v>
      </c>
      <c r="U76">
        <v>0</v>
      </c>
      <c r="V76">
        <v>0</v>
      </c>
      <c r="W76">
        <v>0</v>
      </c>
      <c r="X76">
        <v>0</v>
      </c>
      <c r="Y76">
        <v>4.0641000000000002E-3</v>
      </c>
      <c r="Z76">
        <v>4.0616999999999997E-3</v>
      </c>
      <c r="AA76">
        <v>0</v>
      </c>
      <c r="AB76">
        <v>4.0641000000000002E-3</v>
      </c>
      <c r="AC76">
        <v>4.0616999999999997E-3</v>
      </c>
      <c r="AD76">
        <v>4.0628999999999995E-3</v>
      </c>
      <c r="AE76">
        <v>1</v>
      </c>
      <c r="AF76">
        <v>0.99998885270327798</v>
      </c>
      <c r="AG76">
        <v>1</v>
      </c>
      <c r="AH76">
        <v>1</v>
      </c>
      <c r="AI76">
        <v>6.5000000000000002E-2</v>
      </c>
      <c r="AJ76">
        <v>6.5000000000000002E-2</v>
      </c>
      <c r="AK76" s="74"/>
      <c r="AL76" s="74"/>
      <c r="AM76" s="74"/>
      <c r="AN76" s="74"/>
      <c r="AO76" s="74"/>
      <c r="AP76" s="74"/>
      <c r="AQ76" s="74"/>
      <c r="AT76" s="73"/>
      <c r="AU76" s="73"/>
      <c r="AV76" s="73"/>
      <c r="AW76" s="73"/>
      <c r="AX76" s="73"/>
      <c r="AY76" s="73"/>
      <c r="AZ76" s="73"/>
      <c r="BA76" s="73"/>
      <c r="BB76" s="73"/>
      <c r="BC76" s="73"/>
      <c r="BD76" s="73"/>
      <c r="BE76" s="73"/>
      <c r="BF76" s="73"/>
      <c r="BG76" s="73"/>
    </row>
    <row r="77" spans="1:59">
      <c r="A77">
        <v>10237</v>
      </c>
      <c r="B77" t="s">
        <v>82</v>
      </c>
      <c r="C77">
        <v>1</v>
      </c>
      <c r="D77">
        <v>0</v>
      </c>
      <c r="E77">
        <v>115.429</v>
      </c>
      <c r="F77">
        <v>117.625</v>
      </c>
      <c r="G77">
        <v>118.762</v>
      </c>
      <c r="H77">
        <v>0</v>
      </c>
      <c r="I77">
        <v>0</v>
      </c>
      <c r="J77">
        <v>1.1859999999999999</v>
      </c>
      <c r="K77">
        <v>1.19</v>
      </c>
      <c r="L77">
        <v>10417.823999999999</v>
      </c>
      <c r="M77">
        <v>10424.4</v>
      </c>
      <c r="N77">
        <v>116.43899999999999</v>
      </c>
      <c r="O77">
        <v>117.572</v>
      </c>
      <c r="P77">
        <v>1022800.176</v>
      </c>
      <c r="Q77">
        <v>1029930.72</v>
      </c>
      <c r="R77">
        <v>113.732</v>
      </c>
      <c r="S77">
        <v>999021.88800000004</v>
      </c>
      <c r="T77">
        <v>996292.32</v>
      </c>
      <c r="U77">
        <v>2.7259999999999991</v>
      </c>
      <c r="V77">
        <v>3.7259999999999991</v>
      </c>
      <c r="W77">
        <v>2.7259999999999991</v>
      </c>
      <c r="X77">
        <v>3.7259999999999991</v>
      </c>
      <c r="Y77">
        <v>1.64651E-2</v>
      </c>
      <c r="Z77">
        <v>1.64651E-2</v>
      </c>
      <c r="AA77">
        <v>9.6006000000000008E-3</v>
      </c>
      <c r="AB77">
        <v>6.8644999999999991E-3</v>
      </c>
      <c r="AC77">
        <v>6.8644999999999991E-3</v>
      </c>
      <c r="AD77">
        <v>6.8644999999999991E-3</v>
      </c>
      <c r="AE77">
        <v>0.97683055428952714</v>
      </c>
      <c r="AF77">
        <v>0.96859773633352442</v>
      </c>
      <c r="AG77">
        <v>1.0238015685998663</v>
      </c>
      <c r="AH77">
        <v>1.0337635845672282</v>
      </c>
      <c r="AI77">
        <v>5.1190078429993319E-2</v>
      </c>
      <c r="AJ77">
        <v>5.1688179228361414E-2</v>
      </c>
      <c r="AK77" s="74"/>
      <c r="AL77" s="74"/>
      <c r="AM77" s="74"/>
      <c r="AN77" s="74"/>
      <c r="AO77" s="74"/>
      <c r="AP77" s="74"/>
      <c r="AQ77" s="74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</row>
    <row r="78" spans="1:59">
      <c r="A78">
        <v>10239</v>
      </c>
      <c r="B78" t="s">
        <v>83</v>
      </c>
      <c r="C78">
        <v>0</v>
      </c>
      <c r="D78">
        <v>1</v>
      </c>
      <c r="E78">
        <v>14.209</v>
      </c>
      <c r="F78">
        <v>15.747999999999999</v>
      </c>
      <c r="G78">
        <v>15.949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15.089</v>
      </c>
      <c r="O78">
        <v>15.164999999999999</v>
      </c>
      <c r="P78">
        <v>132541.77600000001</v>
      </c>
      <c r="Q78">
        <v>132845.4</v>
      </c>
      <c r="R78">
        <v>14</v>
      </c>
      <c r="S78">
        <v>122976</v>
      </c>
      <c r="T78">
        <v>122640</v>
      </c>
      <c r="U78">
        <v>1.089</v>
      </c>
      <c r="V78">
        <v>1.165</v>
      </c>
      <c r="W78">
        <v>1.089</v>
      </c>
      <c r="X78">
        <v>1.165</v>
      </c>
      <c r="Y78">
        <v>2.0268E-3</v>
      </c>
      <c r="Z78">
        <v>2.0268E-3</v>
      </c>
      <c r="AA78">
        <v>0</v>
      </c>
      <c r="AB78">
        <v>2.0268E-3</v>
      </c>
      <c r="AC78">
        <v>2.0268E-3</v>
      </c>
      <c r="AD78">
        <v>2.0268E-3</v>
      </c>
      <c r="AE78">
        <v>0.92784782069719662</v>
      </c>
      <c r="AF78">
        <v>0.92319787448071222</v>
      </c>
      <c r="AG78">
        <v>1.0777857142857143</v>
      </c>
      <c r="AH78">
        <v>1.0832142857142857</v>
      </c>
      <c r="AI78">
        <v>7.5445000000000012E-2</v>
      </c>
      <c r="AJ78">
        <v>7.5825000000000004E-2</v>
      </c>
      <c r="AK78" s="74"/>
      <c r="AL78" s="74"/>
      <c r="AM78" s="74"/>
      <c r="AN78" s="74"/>
      <c r="AO78" s="74"/>
      <c r="AP78" s="74"/>
      <c r="AQ78" s="74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</row>
    <row r="79" spans="1:59">
      <c r="A79">
        <v>10242</v>
      </c>
      <c r="B79" t="s">
        <v>84</v>
      </c>
      <c r="C79">
        <v>1</v>
      </c>
      <c r="D79">
        <v>0</v>
      </c>
      <c r="E79">
        <v>9.6679999999999993</v>
      </c>
      <c r="F79">
        <v>10.497</v>
      </c>
      <c r="G79">
        <v>10.6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11.303000000000001</v>
      </c>
      <c r="O79">
        <v>11.468</v>
      </c>
      <c r="P79">
        <v>99285.552000000011</v>
      </c>
      <c r="Q79">
        <v>100459.68</v>
      </c>
      <c r="R79">
        <v>9.5259999999999998</v>
      </c>
      <c r="S79">
        <v>83676.384000000005</v>
      </c>
      <c r="T79">
        <v>83447.759999999995</v>
      </c>
      <c r="U79">
        <v>1.7769999999999999</v>
      </c>
      <c r="V79">
        <v>1.9419999999999999</v>
      </c>
      <c r="W79">
        <v>1.7769999999999999</v>
      </c>
      <c r="X79">
        <v>1.9419999999999999</v>
      </c>
      <c r="Y79">
        <v>1.3791000000000001E-3</v>
      </c>
      <c r="Z79">
        <v>1.3791000000000001E-3</v>
      </c>
      <c r="AA79">
        <v>0</v>
      </c>
      <c r="AB79">
        <v>1.3791000000000001E-3</v>
      </c>
      <c r="AC79">
        <v>1.3791000000000001E-3</v>
      </c>
      <c r="AD79">
        <v>1.3791000000000001E-3</v>
      </c>
      <c r="AE79">
        <v>0.84275449340882935</v>
      </c>
      <c r="AF79">
        <v>0.83062905816184152</v>
      </c>
      <c r="AG79">
        <v>1.186542095318077</v>
      </c>
      <c r="AH79">
        <v>1.2038631114843585</v>
      </c>
      <c r="AI79">
        <v>8.305794667226539E-2</v>
      </c>
      <c r="AJ79">
        <v>8.4270417803905109E-2</v>
      </c>
      <c r="AK79" s="74"/>
      <c r="AL79" s="74"/>
      <c r="AM79" s="74"/>
      <c r="AN79" s="74"/>
      <c r="AO79" s="74"/>
      <c r="AP79" s="74"/>
      <c r="AQ79" s="74"/>
      <c r="AT79" s="73"/>
      <c r="AU79" s="73"/>
      <c r="AV79" s="73"/>
      <c r="AW79" s="73"/>
      <c r="AX79" s="73"/>
      <c r="AY79" s="73"/>
      <c r="AZ79" s="73"/>
      <c r="BA79" s="73"/>
      <c r="BB79" s="73"/>
      <c r="BC79" s="73"/>
      <c r="BD79" s="73"/>
      <c r="BE79" s="73"/>
      <c r="BF79" s="73"/>
      <c r="BG79" s="73"/>
    </row>
    <row r="80" spans="1:59">
      <c r="A80">
        <v>10244</v>
      </c>
      <c r="B80" t="s">
        <v>85</v>
      </c>
      <c r="C80">
        <v>1</v>
      </c>
      <c r="D80">
        <v>0</v>
      </c>
      <c r="E80">
        <v>87.320999999999998</v>
      </c>
      <c r="F80">
        <v>113.613</v>
      </c>
      <c r="G80">
        <v>115.801</v>
      </c>
      <c r="H80">
        <v>0</v>
      </c>
      <c r="I80">
        <v>0</v>
      </c>
      <c r="J80">
        <v>1.7729999999999999</v>
      </c>
      <c r="K80">
        <v>1.778</v>
      </c>
      <c r="L80">
        <v>15574.031999999999</v>
      </c>
      <c r="M80">
        <v>15575.28</v>
      </c>
      <c r="N80">
        <v>99.963999999999999</v>
      </c>
      <c r="O80">
        <v>101.351</v>
      </c>
      <c r="P80">
        <v>878083.77599999995</v>
      </c>
      <c r="Q80">
        <v>887834.76</v>
      </c>
      <c r="R80">
        <v>86.037999999999997</v>
      </c>
      <c r="S80">
        <v>755757.79200000002</v>
      </c>
      <c r="T80">
        <v>753692.88</v>
      </c>
      <c r="U80">
        <v>13.926</v>
      </c>
      <c r="V80">
        <v>15.313000000000001</v>
      </c>
      <c r="W80">
        <v>13.926</v>
      </c>
      <c r="X80">
        <v>15.313000000000001</v>
      </c>
      <c r="Y80">
        <v>1.24558E-2</v>
      </c>
      <c r="Z80">
        <v>1.24558E-2</v>
      </c>
      <c r="AA80">
        <v>0</v>
      </c>
      <c r="AB80">
        <v>1.24558E-2</v>
      </c>
      <c r="AC80">
        <v>1.24558E-2</v>
      </c>
      <c r="AD80">
        <v>1.24558E-2</v>
      </c>
      <c r="AE80">
        <v>0.86312308559563589</v>
      </c>
      <c r="AF80">
        <v>0.85151744638753402</v>
      </c>
      <c r="AG80">
        <v>1.1618587135916689</v>
      </c>
      <c r="AH80">
        <v>1.1779794974313675</v>
      </c>
      <c r="AI80">
        <v>6.9711522815500138E-2</v>
      </c>
      <c r="AJ80">
        <v>7.0678769845882047E-2</v>
      </c>
      <c r="AK80" s="74"/>
      <c r="AL80" s="74"/>
      <c r="AM80" s="74"/>
      <c r="AN80" s="74"/>
      <c r="AO80" s="74"/>
      <c r="AP80" s="74"/>
      <c r="AQ80" s="74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</row>
    <row r="81" spans="1:59">
      <c r="A81">
        <v>10246</v>
      </c>
      <c r="B81" t="s">
        <v>86</v>
      </c>
      <c r="C81">
        <v>1</v>
      </c>
      <c r="D81">
        <v>0</v>
      </c>
      <c r="E81">
        <v>9.1210000000000004</v>
      </c>
      <c r="F81">
        <v>10.317</v>
      </c>
      <c r="G81">
        <v>10.382999999999999</v>
      </c>
      <c r="H81">
        <v>0</v>
      </c>
      <c r="I81">
        <v>0</v>
      </c>
      <c r="J81">
        <v>0.54</v>
      </c>
      <c r="K81">
        <v>0.54200000000000004</v>
      </c>
      <c r="L81">
        <v>4743.3600000000006</v>
      </c>
      <c r="M81">
        <v>4747.92</v>
      </c>
      <c r="N81">
        <v>9.8290000000000006</v>
      </c>
      <c r="O81">
        <v>9.8620000000000001</v>
      </c>
      <c r="P81">
        <v>86337.936000000002</v>
      </c>
      <c r="Q81">
        <v>86391.12</v>
      </c>
      <c r="R81">
        <v>8.9870000000000001</v>
      </c>
      <c r="S81">
        <v>78941.808000000005</v>
      </c>
      <c r="T81">
        <v>78726.12</v>
      </c>
      <c r="U81">
        <v>0.84199999999999997</v>
      </c>
      <c r="V81">
        <v>0.875</v>
      </c>
      <c r="W81">
        <v>0</v>
      </c>
      <c r="X81">
        <v>0</v>
      </c>
      <c r="Y81">
        <v>1.3010999999999999E-3</v>
      </c>
      <c r="Z81">
        <v>1.3010999999999999E-3</v>
      </c>
      <c r="AA81">
        <v>0</v>
      </c>
      <c r="AB81">
        <v>1.3010999999999999E-3</v>
      </c>
      <c r="AC81">
        <v>1.3010999999999999E-3</v>
      </c>
      <c r="AD81">
        <v>1.3010999999999999E-3</v>
      </c>
      <c r="AE81">
        <v>0.91876934029318169</v>
      </c>
      <c r="AF81">
        <v>0.91587075062475964</v>
      </c>
      <c r="AG81">
        <v>1.0936908868365418</v>
      </c>
      <c r="AH81">
        <v>1.0973628574607768</v>
      </c>
      <c r="AI81">
        <v>0</v>
      </c>
      <c r="AJ81">
        <v>0</v>
      </c>
      <c r="AK81" s="74"/>
      <c r="AL81" s="74"/>
      <c r="AM81" s="74"/>
      <c r="AN81" s="74"/>
      <c r="AO81" s="74"/>
      <c r="AP81" s="74"/>
      <c r="AQ81" s="74"/>
      <c r="AT81" s="73"/>
      <c r="AU81" s="73"/>
      <c r="AV81" s="73"/>
      <c r="AW81" s="73"/>
      <c r="AX81" s="73"/>
      <c r="AY81" s="73"/>
      <c r="AZ81" s="73"/>
      <c r="BA81" s="73"/>
      <c r="BB81" s="73"/>
      <c r="BC81" s="73"/>
      <c r="BD81" s="73"/>
      <c r="BE81" s="73"/>
      <c r="BF81" s="73"/>
      <c r="BG81" s="73"/>
    </row>
    <row r="82" spans="1:59">
      <c r="A82">
        <v>10247</v>
      </c>
      <c r="B82" t="s">
        <v>87</v>
      </c>
      <c r="C82">
        <v>1</v>
      </c>
      <c r="D82">
        <v>0</v>
      </c>
      <c r="E82">
        <v>81.120999999999995</v>
      </c>
      <c r="F82">
        <v>83.819000000000003</v>
      </c>
      <c r="G82">
        <v>84.972999999999999</v>
      </c>
      <c r="H82">
        <v>0</v>
      </c>
      <c r="I82">
        <v>0</v>
      </c>
      <c r="J82">
        <v>0.65400000000000003</v>
      </c>
      <c r="K82">
        <v>0.65600000000000003</v>
      </c>
      <c r="L82">
        <v>5744.7359999999999</v>
      </c>
      <c r="M82">
        <v>5746.56</v>
      </c>
      <c r="N82">
        <v>79.953999999999994</v>
      </c>
      <c r="O82">
        <v>80.438999999999993</v>
      </c>
      <c r="P82">
        <v>702315.93599999999</v>
      </c>
      <c r="Q82">
        <v>704645.6399999999</v>
      </c>
      <c r="R82">
        <v>79.929000000000002</v>
      </c>
      <c r="S82">
        <v>702096.33600000001</v>
      </c>
      <c r="T82">
        <v>700178.04</v>
      </c>
      <c r="U82">
        <v>2.5000000000000001E-2</v>
      </c>
      <c r="V82">
        <v>0.51</v>
      </c>
      <c r="W82">
        <v>2.5000000000000001E-2</v>
      </c>
      <c r="X82">
        <v>0.51</v>
      </c>
      <c r="Y82">
        <v>1.1571400000000001E-2</v>
      </c>
      <c r="Z82">
        <v>1.1571400000000001E-2</v>
      </c>
      <c r="AA82">
        <v>0</v>
      </c>
      <c r="AB82">
        <v>1.1571400000000001E-2</v>
      </c>
      <c r="AC82">
        <v>1.1571400000000001E-2</v>
      </c>
      <c r="AD82">
        <v>1.1571400000000001E-2</v>
      </c>
      <c r="AE82">
        <v>0.99969034040441629</v>
      </c>
      <c r="AF82">
        <v>0.99371155237684194</v>
      </c>
      <c r="AG82">
        <v>1.0003127775901111</v>
      </c>
      <c r="AH82">
        <v>1.0063806628382688</v>
      </c>
      <c r="AI82">
        <v>0</v>
      </c>
      <c r="AJ82">
        <v>0</v>
      </c>
      <c r="AK82" s="74"/>
      <c r="AL82" s="74"/>
      <c r="AM82" s="74"/>
      <c r="AN82" s="74"/>
      <c r="AO82" s="74"/>
      <c r="AP82" s="74"/>
      <c r="AQ82" s="74"/>
      <c r="AT82" s="73"/>
      <c r="AU82" s="73"/>
      <c r="AV82" s="73"/>
      <c r="AW82" s="73"/>
      <c r="AX82" s="73"/>
      <c r="AY82" s="73"/>
      <c r="AZ82" s="73"/>
      <c r="BA82" s="73"/>
      <c r="BB82" s="73"/>
      <c r="BC82" s="73"/>
      <c r="BD82" s="73"/>
      <c r="BE82" s="73"/>
      <c r="BF82" s="73"/>
      <c r="BG82" s="73"/>
    </row>
    <row r="83" spans="1:59">
      <c r="A83">
        <v>10256</v>
      </c>
      <c r="B83" t="s">
        <v>88</v>
      </c>
      <c r="C83">
        <v>1</v>
      </c>
      <c r="D83">
        <v>0</v>
      </c>
      <c r="E83">
        <v>47.442999999999998</v>
      </c>
      <c r="F83">
        <v>65.13</v>
      </c>
      <c r="G83">
        <v>66.921999999999997</v>
      </c>
      <c r="H83">
        <v>0</v>
      </c>
      <c r="I83">
        <v>0</v>
      </c>
      <c r="J83">
        <v>0.52</v>
      </c>
      <c r="K83">
        <v>0.52200000000000002</v>
      </c>
      <c r="L83">
        <v>4567.68</v>
      </c>
      <c r="M83">
        <v>4572.72</v>
      </c>
      <c r="N83">
        <v>57.595999999999997</v>
      </c>
      <c r="O83">
        <v>59.05</v>
      </c>
      <c r="P83">
        <v>505923.26399999997</v>
      </c>
      <c r="Q83">
        <v>517278</v>
      </c>
      <c r="R83">
        <v>46.746000000000002</v>
      </c>
      <c r="S83">
        <v>410616.864</v>
      </c>
      <c r="T83">
        <v>409494.96</v>
      </c>
      <c r="U83">
        <v>10.85</v>
      </c>
      <c r="V83">
        <v>12.304</v>
      </c>
      <c r="W83">
        <v>10.85</v>
      </c>
      <c r="X83">
        <v>12.304</v>
      </c>
      <c r="Y83">
        <v>6.7673999999999998E-3</v>
      </c>
      <c r="Z83">
        <v>6.7673999999999998E-3</v>
      </c>
      <c r="AA83">
        <v>0</v>
      </c>
      <c r="AB83">
        <v>6.7673999999999998E-3</v>
      </c>
      <c r="AC83">
        <v>6.7673999999999998E-3</v>
      </c>
      <c r="AD83">
        <v>6.7673999999999998E-3</v>
      </c>
      <c r="AE83">
        <v>0.81331181228707106</v>
      </c>
      <c r="AF83">
        <v>0.7934609532414556</v>
      </c>
      <c r="AG83">
        <v>1.232105420784666</v>
      </c>
      <c r="AH83">
        <v>1.2632096863902793</v>
      </c>
      <c r="AI83">
        <v>8.0086852351003296E-2</v>
      </c>
      <c r="AJ83">
        <v>8.2108629615368162E-2</v>
      </c>
      <c r="AK83" s="74"/>
      <c r="AL83" s="74"/>
      <c r="AM83" s="74"/>
      <c r="AN83" s="74"/>
      <c r="AO83" s="74"/>
      <c r="AP83" s="74"/>
      <c r="AQ83" s="74"/>
      <c r="AT83" s="73"/>
      <c r="AU83" s="73"/>
      <c r="AV83" s="73"/>
      <c r="AW83" s="73"/>
      <c r="AX83" s="73"/>
      <c r="AY83" s="73"/>
      <c r="AZ83" s="73"/>
      <c r="BA83" s="73"/>
      <c r="BB83" s="73"/>
      <c r="BC83" s="73"/>
      <c r="BD83" s="73"/>
      <c r="BE83" s="73"/>
      <c r="BF83" s="73"/>
      <c r="BG83" s="73"/>
    </row>
    <row r="84" spans="1:59">
      <c r="A84">
        <v>10258</v>
      </c>
      <c r="B84" t="s">
        <v>89</v>
      </c>
      <c r="C84">
        <v>1</v>
      </c>
      <c r="D84">
        <v>0</v>
      </c>
      <c r="E84">
        <v>38.518000000000001</v>
      </c>
      <c r="F84">
        <v>54.829000000000001</v>
      </c>
      <c r="G84">
        <v>56.313000000000002</v>
      </c>
      <c r="H84">
        <v>0</v>
      </c>
      <c r="I84">
        <v>0</v>
      </c>
      <c r="J84">
        <v>2.2770000000000001</v>
      </c>
      <c r="K84">
        <v>2.2829999999999999</v>
      </c>
      <c r="L84">
        <v>20001.168000000001</v>
      </c>
      <c r="M84">
        <v>19999.079999999998</v>
      </c>
      <c r="N84">
        <v>41.210999999999999</v>
      </c>
      <c r="O84">
        <v>41.46</v>
      </c>
      <c r="P84">
        <v>361997.424</v>
      </c>
      <c r="Q84">
        <v>363189.60000000003</v>
      </c>
      <c r="R84">
        <v>37.951999999999998</v>
      </c>
      <c r="S84">
        <v>333370.36799999996</v>
      </c>
      <c r="T84">
        <v>332459.51999999996</v>
      </c>
      <c r="U84">
        <v>3.2589999999999999</v>
      </c>
      <c r="V84">
        <v>3.508</v>
      </c>
      <c r="W84">
        <v>3.2589999999999999</v>
      </c>
      <c r="X84">
        <v>3.508</v>
      </c>
      <c r="Y84">
        <v>5.4942999999999997E-3</v>
      </c>
      <c r="Z84">
        <v>5.4942999999999997E-3</v>
      </c>
      <c r="AA84">
        <v>0</v>
      </c>
      <c r="AB84">
        <v>5.4942999999999997E-3</v>
      </c>
      <c r="AC84">
        <v>5.4942999999999997E-3</v>
      </c>
      <c r="AD84">
        <v>5.4942999999999997E-3</v>
      </c>
      <c r="AE84">
        <v>0.93604612766896911</v>
      </c>
      <c r="AF84">
        <v>0.93150234288531741</v>
      </c>
      <c r="AG84">
        <v>1.0858716273187183</v>
      </c>
      <c r="AH84">
        <v>1.0924325463743676</v>
      </c>
      <c r="AI84">
        <v>5.4293581365935928E-2</v>
      </c>
      <c r="AJ84">
        <v>5.4621627318718391E-2</v>
      </c>
      <c r="AK84" s="74"/>
      <c r="AL84" s="74"/>
      <c r="AM84" s="74"/>
      <c r="AN84" s="74"/>
      <c r="AO84" s="74"/>
      <c r="AP84" s="74"/>
      <c r="AQ84" s="74"/>
      <c r="AT84" s="73"/>
      <c r="AU84" s="73"/>
      <c r="AV84" s="73"/>
      <c r="AW84" s="73"/>
      <c r="AX84" s="73"/>
      <c r="AY84" s="73"/>
      <c r="AZ84" s="73"/>
      <c r="BA84" s="73"/>
      <c r="BB84" s="73"/>
      <c r="BC84" s="73"/>
      <c r="BD84" s="73"/>
      <c r="BE84" s="73"/>
      <c r="BF84" s="73"/>
      <c r="BG84" s="73"/>
    </row>
    <row r="85" spans="1:59">
      <c r="A85">
        <v>10259</v>
      </c>
      <c r="B85" t="s">
        <v>90</v>
      </c>
      <c r="C85">
        <v>1</v>
      </c>
      <c r="D85">
        <v>0</v>
      </c>
      <c r="E85">
        <v>27.388000000000002</v>
      </c>
      <c r="F85">
        <v>32.255000000000003</v>
      </c>
      <c r="G85">
        <v>33.000999999999998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33.47</v>
      </c>
      <c r="O85">
        <v>33.872</v>
      </c>
      <c r="P85">
        <v>294000.48</v>
      </c>
      <c r="Q85">
        <v>296718.71999999997</v>
      </c>
      <c r="R85">
        <v>26.984999999999999</v>
      </c>
      <c r="S85">
        <v>237036.24</v>
      </c>
      <c r="T85">
        <v>236388.6</v>
      </c>
      <c r="U85">
        <v>6.4850000000000003</v>
      </c>
      <c r="V85">
        <v>6.8869999999999996</v>
      </c>
      <c r="W85">
        <v>6.4850000000000003</v>
      </c>
      <c r="X85">
        <v>6.8869999999999996</v>
      </c>
      <c r="Y85">
        <v>3.9065999999999997E-3</v>
      </c>
      <c r="Z85">
        <v>3.9065999999999997E-3</v>
      </c>
      <c r="AA85">
        <v>0</v>
      </c>
      <c r="AB85">
        <v>3.9065999999999997E-3</v>
      </c>
      <c r="AC85">
        <v>3.9065999999999997E-3</v>
      </c>
      <c r="AD85">
        <v>3.9065999999999997E-3</v>
      </c>
      <c r="AE85">
        <v>0.80624080209142512</v>
      </c>
      <c r="AF85">
        <v>0.79667216715871514</v>
      </c>
      <c r="AG85">
        <v>1.2403186955716139</v>
      </c>
      <c r="AH85">
        <v>1.2552158606633315</v>
      </c>
      <c r="AI85">
        <v>8.06207152121549E-2</v>
      </c>
      <c r="AJ85">
        <v>8.158903094311655E-2</v>
      </c>
      <c r="AK85" s="74"/>
      <c r="AL85" s="74"/>
      <c r="AM85" s="74"/>
      <c r="AN85" s="74"/>
      <c r="AO85" s="74"/>
      <c r="AP85" s="74"/>
      <c r="AQ85" s="74"/>
      <c r="AT85" s="73"/>
      <c r="AU85" s="73"/>
      <c r="AV85" s="73"/>
      <c r="AW85" s="73"/>
      <c r="AX85" s="73"/>
      <c r="AY85" s="73"/>
      <c r="AZ85" s="73"/>
      <c r="BA85" s="73"/>
      <c r="BB85" s="73"/>
      <c r="BC85" s="73"/>
      <c r="BD85" s="73"/>
      <c r="BE85" s="73"/>
      <c r="BF85" s="73"/>
      <c r="BG85" s="73"/>
    </row>
    <row r="86" spans="1:59">
      <c r="A86">
        <v>10260</v>
      </c>
      <c r="B86" t="s">
        <v>91</v>
      </c>
      <c r="C86">
        <v>1</v>
      </c>
      <c r="D86">
        <v>0</v>
      </c>
      <c r="E86">
        <v>26.677</v>
      </c>
      <c r="F86">
        <v>27.222000000000001</v>
      </c>
      <c r="G86">
        <v>27.423999999999999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27.045999999999999</v>
      </c>
      <c r="O86">
        <v>27.175999999999998</v>
      </c>
      <c r="P86">
        <v>237572.06399999998</v>
      </c>
      <c r="Q86">
        <v>238061.75999999998</v>
      </c>
      <c r="R86">
        <v>26.285</v>
      </c>
      <c r="S86">
        <v>230887.44</v>
      </c>
      <c r="T86">
        <v>230256.6</v>
      </c>
      <c r="U86">
        <v>0.76100000000000001</v>
      </c>
      <c r="V86">
        <v>0.89100000000000001</v>
      </c>
      <c r="W86">
        <v>0</v>
      </c>
      <c r="X86">
        <v>0</v>
      </c>
      <c r="Y86">
        <v>3.8053000000000002E-3</v>
      </c>
      <c r="Z86">
        <v>3.8053000000000002E-3</v>
      </c>
      <c r="AA86">
        <v>0</v>
      </c>
      <c r="AB86">
        <v>3.8053000000000002E-3</v>
      </c>
      <c r="AC86">
        <v>3.8053000000000002E-3</v>
      </c>
      <c r="AD86">
        <v>3.8053000000000002E-3</v>
      </c>
      <c r="AE86">
        <v>0.97185906139540046</v>
      </c>
      <c r="AF86">
        <v>0.9672100446901678</v>
      </c>
      <c r="AG86">
        <v>1.0289518736922199</v>
      </c>
      <c r="AH86">
        <v>1.033897660262507</v>
      </c>
      <c r="AI86">
        <v>0</v>
      </c>
      <c r="AJ86">
        <v>0</v>
      </c>
      <c r="AK86" s="74"/>
      <c r="AL86" s="74"/>
      <c r="AM86" s="74"/>
      <c r="AN86" s="74"/>
      <c r="AO86" s="74"/>
      <c r="AP86" s="74"/>
      <c r="AQ86" s="74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</row>
    <row r="87" spans="1:59">
      <c r="A87">
        <v>10273</v>
      </c>
      <c r="B87" t="s">
        <v>92</v>
      </c>
      <c r="C87">
        <v>1</v>
      </c>
      <c r="D87">
        <v>0</v>
      </c>
      <c r="E87">
        <v>5.9690000000000003</v>
      </c>
      <c r="F87">
        <v>8.1750000000000007</v>
      </c>
      <c r="G87">
        <v>8.2279999999999998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8.0850000000000009</v>
      </c>
      <c r="O87">
        <v>8.1820000000000004</v>
      </c>
      <c r="P87">
        <v>71018.640000000014</v>
      </c>
      <c r="Q87">
        <v>71674.320000000007</v>
      </c>
      <c r="R87">
        <v>5.8810000000000002</v>
      </c>
      <c r="S87">
        <v>51658.704000000005</v>
      </c>
      <c r="T87">
        <v>51517.560000000005</v>
      </c>
      <c r="U87">
        <v>2.2040000000000002</v>
      </c>
      <c r="V87">
        <v>2.3010000000000002</v>
      </c>
      <c r="W87">
        <v>2.2040000000000002</v>
      </c>
      <c r="X87">
        <v>2.3010000000000002</v>
      </c>
      <c r="Y87">
        <v>8.5139999999999999E-4</v>
      </c>
      <c r="Z87">
        <v>8.5139999999999999E-4</v>
      </c>
      <c r="AA87">
        <v>0</v>
      </c>
      <c r="AB87">
        <v>8.5139999999999999E-4</v>
      </c>
      <c r="AC87">
        <v>8.5139999999999999E-4</v>
      </c>
      <c r="AD87">
        <v>8.5139999999999999E-4</v>
      </c>
      <c r="AE87">
        <v>0.72739118107606671</v>
      </c>
      <c r="AF87">
        <v>0.71876774615008543</v>
      </c>
      <c r="AG87">
        <v>1.3747661962251319</v>
      </c>
      <c r="AH87">
        <v>1.3912599897976534</v>
      </c>
      <c r="AI87">
        <v>9.6233633735759244E-2</v>
      </c>
      <c r="AJ87">
        <v>9.7388199285835753E-2</v>
      </c>
      <c r="AK87" s="74"/>
      <c r="AL87" s="74"/>
      <c r="AM87" s="74"/>
      <c r="AN87" s="74"/>
      <c r="AO87" s="74"/>
      <c r="AP87" s="74"/>
      <c r="AQ87" s="74"/>
      <c r="AT87" s="73"/>
      <c r="AU87" s="73"/>
      <c r="AV87" s="73"/>
      <c r="AW87" s="73"/>
      <c r="AX87" s="73"/>
      <c r="AY87" s="73"/>
      <c r="AZ87" s="73"/>
      <c r="BA87" s="73"/>
      <c r="BB87" s="73"/>
      <c r="BC87" s="73"/>
      <c r="BD87" s="73"/>
      <c r="BE87" s="73"/>
      <c r="BF87" s="73"/>
      <c r="BG87" s="73"/>
    </row>
    <row r="88" spans="1:59">
      <c r="A88">
        <v>10278</v>
      </c>
      <c r="B88" t="s">
        <v>93</v>
      </c>
      <c r="C88">
        <v>0</v>
      </c>
      <c r="D88">
        <v>1</v>
      </c>
      <c r="E88">
        <v>36.463999999999999</v>
      </c>
      <c r="F88">
        <v>47.131</v>
      </c>
      <c r="G88">
        <v>48.015000000000001</v>
      </c>
      <c r="H88">
        <v>0</v>
      </c>
      <c r="I88">
        <v>0</v>
      </c>
      <c r="J88">
        <v>1.526</v>
      </c>
      <c r="K88">
        <v>1.53</v>
      </c>
      <c r="L88">
        <v>13404.384</v>
      </c>
      <c r="M88">
        <v>13402.800000000001</v>
      </c>
      <c r="N88">
        <v>39.533999999999999</v>
      </c>
      <c r="O88">
        <v>40.107999999999997</v>
      </c>
      <c r="P88">
        <v>347266.65600000002</v>
      </c>
      <c r="Q88">
        <v>351346.07999999996</v>
      </c>
      <c r="R88">
        <v>35.927999999999997</v>
      </c>
      <c r="S88">
        <v>315591.55199999997</v>
      </c>
      <c r="T88">
        <v>314729.27999999997</v>
      </c>
      <c r="U88">
        <v>3.6059999999999999</v>
      </c>
      <c r="V88">
        <v>4.18</v>
      </c>
      <c r="W88">
        <v>3.6059999999999999</v>
      </c>
      <c r="X88">
        <v>4.18</v>
      </c>
      <c r="Y88">
        <v>5.2012999999999998E-3</v>
      </c>
      <c r="Z88">
        <v>5.2012999999999998E-3</v>
      </c>
      <c r="AA88">
        <v>0</v>
      </c>
      <c r="AB88">
        <v>5.2012999999999998E-3</v>
      </c>
      <c r="AC88">
        <v>5.2012999999999998E-3</v>
      </c>
      <c r="AD88">
        <v>5.2012999999999998E-3</v>
      </c>
      <c r="AE88">
        <v>0.91217471743260026</v>
      </c>
      <c r="AF88">
        <v>0.89960627485710165</v>
      </c>
      <c r="AG88">
        <v>1.1003674014696059</v>
      </c>
      <c r="AH88">
        <v>1.1163437987085281</v>
      </c>
      <c r="AI88">
        <v>7.1523881095524378E-2</v>
      </c>
      <c r="AJ88">
        <v>7.2562346916054329E-2</v>
      </c>
      <c r="AK88" s="74"/>
      <c r="AL88" s="74"/>
      <c r="AM88" s="74"/>
      <c r="AN88" s="74"/>
      <c r="AO88" s="74"/>
      <c r="AP88" s="74"/>
      <c r="AQ88" s="74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</row>
    <row r="89" spans="1:59">
      <c r="A89">
        <v>10279</v>
      </c>
      <c r="B89" t="s">
        <v>94</v>
      </c>
      <c r="C89">
        <v>1</v>
      </c>
      <c r="D89">
        <v>0</v>
      </c>
      <c r="E89">
        <v>65.730999999999995</v>
      </c>
      <c r="F89">
        <v>283.72300000000001</v>
      </c>
      <c r="G89">
        <v>305.92700000000002</v>
      </c>
      <c r="H89">
        <v>198.30799999999999</v>
      </c>
      <c r="I89">
        <v>219.93700000000001</v>
      </c>
      <c r="J89">
        <v>4.3920000000000003</v>
      </c>
      <c r="K89">
        <v>4.4039999999999999</v>
      </c>
      <c r="L89">
        <v>38579.328000000001</v>
      </c>
      <c r="M89">
        <v>38579.040000000001</v>
      </c>
      <c r="N89">
        <v>77.626999999999995</v>
      </c>
      <c r="O89">
        <v>77.593000000000004</v>
      </c>
      <c r="P89">
        <v>681875.56799999997</v>
      </c>
      <c r="Q89">
        <v>679714.68</v>
      </c>
      <c r="R89">
        <v>64.765000000000001</v>
      </c>
      <c r="S89">
        <v>568895.76</v>
      </c>
      <c r="T89">
        <v>567341.4</v>
      </c>
      <c r="U89">
        <v>12.861999999999995</v>
      </c>
      <c r="V89">
        <v>12.828000000000003</v>
      </c>
      <c r="W89">
        <v>12.861999999999995</v>
      </c>
      <c r="X89">
        <v>12.828000000000003</v>
      </c>
      <c r="Y89">
        <v>9.3761000000000001E-3</v>
      </c>
      <c r="Z89">
        <v>9.3761000000000001E-3</v>
      </c>
      <c r="AA89">
        <v>0</v>
      </c>
      <c r="AB89">
        <v>9.3761000000000001E-3</v>
      </c>
      <c r="AC89">
        <v>9.3761000000000001E-3</v>
      </c>
      <c r="AD89">
        <v>9.3761000000000001E-3</v>
      </c>
      <c r="AE89">
        <v>0.8432038719219328</v>
      </c>
      <c r="AF89">
        <v>0.84355159361318077</v>
      </c>
      <c r="AG89">
        <v>1.1985949200957307</v>
      </c>
      <c r="AH89">
        <v>1.1980699451864434</v>
      </c>
      <c r="AI89">
        <v>0</v>
      </c>
      <c r="AJ89">
        <v>0</v>
      </c>
      <c r="AK89" s="74"/>
      <c r="AL89" s="74"/>
      <c r="AM89" s="74"/>
      <c r="AN89" s="74"/>
      <c r="AO89" s="74"/>
      <c r="AP89" s="74"/>
      <c r="AQ89" s="74"/>
      <c r="AT89" s="73"/>
      <c r="AU89" s="73"/>
      <c r="AV89" s="73"/>
      <c r="AW89" s="73"/>
      <c r="AX89" s="73"/>
      <c r="AY89" s="73"/>
      <c r="AZ89" s="73"/>
      <c r="BA89" s="73"/>
      <c r="BB89" s="73"/>
      <c r="BC89" s="73"/>
      <c r="BD89" s="73"/>
      <c r="BE89" s="73"/>
      <c r="BF89" s="73"/>
      <c r="BG89" s="73"/>
    </row>
    <row r="90" spans="1:59">
      <c r="A90">
        <v>10284</v>
      </c>
      <c r="B90" t="s">
        <v>95</v>
      </c>
      <c r="C90">
        <v>1</v>
      </c>
      <c r="D90">
        <v>0</v>
      </c>
      <c r="E90">
        <v>10.866</v>
      </c>
      <c r="F90">
        <v>12.036</v>
      </c>
      <c r="G90">
        <v>12.193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11.529</v>
      </c>
      <c r="O90">
        <v>11.686</v>
      </c>
      <c r="P90">
        <v>101270.736</v>
      </c>
      <c r="Q90">
        <v>102369.36</v>
      </c>
      <c r="R90">
        <v>10.706</v>
      </c>
      <c r="S90">
        <v>94041.504000000001</v>
      </c>
      <c r="T90">
        <v>93784.56</v>
      </c>
      <c r="U90">
        <v>0.82299999999999995</v>
      </c>
      <c r="V90">
        <v>0.98</v>
      </c>
      <c r="W90">
        <v>0</v>
      </c>
      <c r="X90">
        <v>0</v>
      </c>
      <c r="Y90">
        <v>1.5499000000000001E-3</v>
      </c>
      <c r="Z90">
        <v>1.5499000000000001E-3</v>
      </c>
      <c r="AA90">
        <v>0</v>
      </c>
      <c r="AB90">
        <v>1.5499000000000001E-3</v>
      </c>
      <c r="AC90">
        <v>1.5499000000000001E-3</v>
      </c>
      <c r="AD90">
        <v>1.5499000000000001E-3</v>
      </c>
      <c r="AE90">
        <v>0.93629138229329889</v>
      </c>
      <c r="AF90">
        <v>0.92369057074656724</v>
      </c>
      <c r="AG90">
        <v>1.0768727816177845</v>
      </c>
      <c r="AH90">
        <v>1.0915374556323558</v>
      </c>
      <c r="AI90">
        <v>5.3843639080889232E-2</v>
      </c>
      <c r="AJ90">
        <v>5.4576872781617797E-2</v>
      </c>
      <c r="AK90" s="74"/>
      <c r="AL90" s="74"/>
      <c r="AM90" s="74"/>
      <c r="AN90" s="74"/>
      <c r="AO90" s="74"/>
      <c r="AP90" s="74"/>
      <c r="AQ90" s="74"/>
      <c r="AT90" s="73"/>
      <c r="AU90" s="73"/>
      <c r="AV90" s="73"/>
      <c r="AW90" s="73"/>
      <c r="AX90" s="73"/>
      <c r="AY90" s="73"/>
      <c r="AZ90" s="73"/>
      <c r="BA90" s="73"/>
      <c r="BB90" s="73"/>
      <c r="BC90" s="73"/>
      <c r="BD90" s="73"/>
      <c r="BE90" s="73"/>
      <c r="BF90" s="73"/>
      <c r="BG90" s="73"/>
    </row>
    <row r="91" spans="1:59">
      <c r="A91">
        <v>10285</v>
      </c>
      <c r="B91" t="s">
        <v>96</v>
      </c>
      <c r="C91">
        <v>0</v>
      </c>
      <c r="D91">
        <v>1</v>
      </c>
      <c r="E91">
        <v>6.6260000000000003</v>
      </c>
      <c r="F91">
        <v>8.1170000000000009</v>
      </c>
      <c r="G91">
        <v>8.1999999999999993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7.7830000000000004</v>
      </c>
      <c r="O91">
        <v>7.82</v>
      </c>
      <c r="P91">
        <v>68365.872000000003</v>
      </c>
      <c r="Q91">
        <v>68503.199999999997</v>
      </c>
      <c r="R91">
        <v>6.5289999999999999</v>
      </c>
      <c r="S91">
        <v>57350.735999999997</v>
      </c>
      <c r="T91">
        <v>57194.04</v>
      </c>
      <c r="U91">
        <v>1.2540000000000004</v>
      </c>
      <c r="V91">
        <v>1.2910000000000004</v>
      </c>
      <c r="W91">
        <v>1.2540000000000004</v>
      </c>
      <c r="X91">
        <v>1.2910000000000004</v>
      </c>
      <c r="Y91">
        <v>9.4519999999999999E-4</v>
      </c>
      <c r="Z91">
        <v>9.4519999999999999E-4</v>
      </c>
      <c r="AA91">
        <v>0</v>
      </c>
      <c r="AB91">
        <v>9.4519999999999999E-4</v>
      </c>
      <c r="AC91">
        <v>9.4519999999999999E-4</v>
      </c>
      <c r="AD91">
        <v>9.4519999999999999E-4</v>
      </c>
      <c r="AE91">
        <v>0.83883698695875619</v>
      </c>
      <c r="AF91">
        <v>0.83486806515345258</v>
      </c>
      <c r="AG91">
        <v>1.192066166334814</v>
      </c>
      <c r="AH91">
        <v>1.1977331903813755</v>
      </c>
      <c r="AI91">
        <v>7.7484300811762913E-2</v>
      </c>
      <c r="AJ91">
        <v>7.7852657374789414E-2</v>
      </c>
      <c r="AK91" s="74"/>
      <c r="AL91" s="74"/>
      <c r="AM91" s="74"/>
      <c r="AN91" s="74"/>
      <c r="AO91" s="74"/>
      <c r="AP91" s="74"/>
      <c r="AQ91" s="74"/>
      <c r="AT91" s="73"/>
      <c r="AU91" s="73"/>
      <c r="AV91" s="73"/>
      <c r="AW91" s="73"/>
      <c r="AX91" s="73"/>
      <c r="AY91" s="73"/>
      <c r="AZ91" s="73"/>
      <c r="BA91" s="73"/>
      <c r="BB91" s="73"/>
      <c r="BC91" s="73"/>
      <c r="BD91" s="73"/>
      <c r="BE91" s="73"/>
      <c r="BF91" s="73"/>
      <c r="BG91" s="73"/>
    </row>
    <row r="92" spans="1:59">
      <c r="A92">
        <v>10286</v>
      </c>
      <c r="B92" t="s">
        <v>97</v>
      </c>
      <c r="C92">
        <v>1</v>
      </c>
      <c r="D92">
        <v>0</v>
      </c>
      <c r="E92">
        <v>46.595999999999997</v>
      </c>
      <c r="F92">
        <v>76.233999999999995</v>
      </c>
      <c r="G92">
        <v>76.602999999999994</v>
      </c>
      <c r="H92">
        <v>0</v>
      </c>
      <c r="I92">
        <v>0</v>
      </c>
      <c r="J92">
        <v>24.076000000000001</v>
      </c>
      <c r="K92">
        <v>24.103000000000002</v>
      </c>
      <c r="L92">
        <v>211483.584</v>
      </c>
      <c r="M92">
        <v>211142.28000000003</v>
      </c>
      <c r="N92">
        <v>52.158000000000001</v>
      </c>
      <c r="O92">
        <v>52.5</v>
      </c>
      <c r="P92">
        <v>458155.87200000003</v>
      </c>
      <c r="Q92">
        <v>459900</v>
      </c>
      <c r="R92">
        <v>45.911000000000001</v>
      </c>
      <c r="S92">
        <v>403282.22399999999</v>
      </c>
      <c r="T92">
        <v>402180.36</v>
      </c>
      <c r="U92">
        <v>4.218</v>
      </c>
      <c r="V92">
        <v>3.9820000000000002</v>
      </c>
      <c r="W92">
        <v>4.218</v>
      </c>
      <c r="X92">
        <v>3.9820000000000002</v>
      </c>
      <c r="Y92">
        <v>6.6465999999999999E-3</v>
      </c>
      <c r="Z92">
        <v>6.6465999999999999E-3</v>
      </c>
      <c r="AA92">
        <v>0</v>
      </c>
      <c r="AB92">
        <v>6.6465999999999999E-3</v>
      </c>
      <c r="AC92">
        <v>6.6465999999999999E-3</v>
      </c>
      <c r="AD92">
        <v>6.6465999999999999E-3</v>
      </c>
      <c r="AE92">
        <v>0.94321021884046252</v>
      </c>
      <c r="AF92">
        <v>0.94625389632994084</v>
      </c>
      <c r="AG92">
        <v>1.1360676090697219</v>
      </c>
      <c r="AH92">
        <v>1.1435168042517043</v>
      </c>
      <c r="AI92">
        <v>0</v>
      </c>
      <c r="AJ92">
        <v>0</v>
      </c>
      <c r="AK92" s="74"/>
      <c r="AL92" s="74"/>
      <c r="AM92" s="74"/>
      <c r="AN92" s="74"/>
      <c r="AO92" s="74"/>
      <c r="AP92" s="74"/>
      <c r="AQ92" s="74"/>
      <c r="AT92" s="73"/>
      <c r="AU92" s="73"/>
      <c r="AV92" s="73"/>
      <c r="AW92" s="73"/>
      <c r="AX92" s="73"/>
      <c r="AY92" s="73"/>
      <c r="AZ92" s="73"/>
      <c r="BA92" s="73"/>
      <c r="BB92" s="73"/>
      <c r="BC92" s="73"/>
      <c r="BD92" s="73"/>
      <c r="BE92" s="73"/>
      <c r="BF92" s="73"/>
      <c r="BG92" s="73"/>
    </row>
    <row r="93" spans="1:59">
      <c r="A93">
        <v>10288</v>
      </c>
      <c r="B93" t="s">
        <v>98</v>
      </c>
      <c r="C93">
        <v>0</v>
      </c>
      <c r="D93">
        <v>1</v>
      </c>
      <c r="E93">
        <v>25.103000000000002</v>
      </c>
      <c r="F93">
        <v>25.875</v>
      </c>
      <c r="G93">
        <v>26.01</v>
      </c>
      <c r="H93">
        <v>0</v>
      </c>
      <c r="I93">
        <v>0</v>
      </c>
      <c r="J93">
        <v>6.6000000000000003E-2</v>
      </c>
      <c r="K93">
        <v>6.6000000000000003E-2</v>
      </c>
      <c r="L93">
        <v>579.74400000000003</v>
      </c>
      <c r="M93">
        <v>578.16000000000008</v>
      </c>
      <c r="N93">
        <v>24.611999999999998</v>
      </c>
      <c r="O93">
        <v>24.655000000000001</v>
      </c>
      <c r="P93">
        <v>216191.80799999999</v>
      </c>
      <c r="Q93">
        <v>215977.80000000002</v>
      </c>
      <c r="R93">
        <v>24.734000000000002</v>
      </c>
      <c r="S93">
        <v>217263.45600000001</v>
      </c>
      <c r="T93">
        <v>216669.84000000003</v>
      </c>
      <c r="U93">
        <v>0</v>
      </c>
      <c r="V93">
        <v>0</v>
      </c>
      <c r="W93">
        <v>0</v>
      </c>
      <c r="X93">
        <v>0</v>
      </c>
      <c r="Y93">
        <v>3.5631E-3</v>
      </c>
      <c r="Z93">
        <v>3.5693000000000001E-3</v>
      </c>
      <c r="AA93">
        <v>0</v>
      </c>
      <c r="AB93">
        <v>3.5631E-3</v>
      </c>
      <c r="AC93">
        <v>3.5693000000000001E-3</v>
      </c>
      <c r="AD93">
        <v>3.5662000000000003E-3</v>
      </c>
      <c r="AE93">
        <v>1</v>
      </c>
      <c r="AF93">
        <v>0.99998687482302495</v>
      </c>
      <c r="AG93">
        <v>1</v>
      </c>
      <c r="AH93">
        <v>1</v>
      </c>
      <c r="AI93">
        <v>0.06</v>
      </c>
      <c r="AJ93">
        <v>0.06</v>
      </c>
      <c r="AK93" s="74"/>
      <c r="AL93" s="74"/>
      <c r="AM93" s="74"/>
      <c r="AN93" s="74"/>
      <c r="AO93" s="74"/>
      <c r="AP93" s="74"/>
      <c r="AQ93" s="74"/>
      <c r="AT93" s="73"/>
      <c r="AU93" s="73"/>
      <c r="AV93" s="73"/>
      <c r="AW93" s="73"/>
      <c r="AX93" s="73"/>
      <c r="AY93" s="73"/>
      <c r="AZ93" s="73"/>
      <c r="BA93" s="73"/>
      <c r="BB93" s="73"/>
      <c r="BC93" s="73"/>
      <c r="BD93" s="73"/>
      <c r="BE93" s="73"/>
      <c r="BF93" s="73"/>
      <c r="BG93" s="73"/>
    </row>
    <row r="94" spans="1:59">
      <c r="A94">
        <v>10291</v>
      </c>
      <c r="B94" t="s">
        <v>99</v>
      </c>
      <c r="C94">
        <v>1</v>
      </c>
      <c r="D94">
        <v>0</v>
      </c>
      <c r="E94">
        <v>80.363</v>
      </c>
      <c r="F94">
        <v>86.352000000000004</v>
      </c>
      <c r="G94">
        <v>87.277000000000001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78.183999999999997</v>
      </c>
      <c r="O94">
        <v>78.385999999999996</v>
      </c>
      <c r="P94">
        <v>686768.25599999994</v>
      </c>
      <c r="Q94">
        <v>686661.36</v>
      </c>
      <c r="R94">
        <v>79.182000000000002</v>
      </c>
      <c r="S94">
        <v>695534.68799999997</v>
      </c>
      <c r="T94">
        <v>693634.32000000007</v>
      </c>
      <c r="U94">
        <v>0</v>
      </c>
      <c r="V94">
        <v>0</v>
      </c>
      <c r="W94">
        <v>0</v>
      </c>
      <c r="X94">
        <v>0</v>
      </c>
      <c r="Y94">
        <v>1.1318699999999999E-2</v>
      </c>
      <c r="Z94">
        <v>1.1348E-2</v>
      </c>
      <c r="AA94">
        <v>0</v>
      </c>
      <c r="AB94">
        <v>1.1318699999999999E-2</v>
      </c>
      <c r="AC94">
        <v>1.1348E-2</v>
      </c>
      <c r="AD94">
        <v>1.1333349999999999E-2</v>
      </c>
      <c r="AE94">
        <v>0.9999959179435689</v>
      </c>
      <c r="AF94">
        <v>0.99999608460056655</v>
      </c>
      <c r="AG94">
        <v>1</v>
      </c>
      <c r="AH94">
        <v>1</v>
      </c>
      <c r="AI94">
        <v>0.05</v>
      </c>
      <c r="AJ94">
        <v>0.05</v>
      </c>
      <c r="AK94" s="74"/>
      <c r="AL94" s="74"/>
      <c r="AM94" s="74"/>
      <c r="AN94" s="74"/>
      <c r="AO94" s="74"/>
      <c r="AP94" s="74"/>
      <c r="AQ94" s="74"/>
      <c r="AT94" s="73"/>
      <c r="AU94" s="73"/>
      <c r="AV94" s="73"/>
      <c r="AW94" s="73"/>
      <c r="AX94" s="73"/>
      <c r="AY94" s="73"/>
      <c r="AZ94" s="73"/>
      <c r="BA94" s="73"/>
      <c r="BB94" s="73"/>
      <c r="BC94" s="73"/>
      <c r="BD94" s="73"/>
      <c r="BE94" s="73"/>
      <c r="BF94" s="73"/>
      <c r="BG94" s="73"/>
    </row>
    <row r="95" spans="1:59">
      <c r="A95">
        <v>10294</v>
      </c>
      <c r="B95" t="s">
        <v>100</v>
      </c>
      <c r="C95">
        <v>1</v>
      </c>
      <c r="D95">
        <v>0</v>
      </c>
      <c r="E95">
        <v>36.869</v>
      </c>
      <c r="F95">
        <v>37.664999999999999</v>
      </c>
      <c r="G95">
        <v>38.04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36.786999999999999</v>
      </c>
      <c r="O95">
        <v>36.972000000000001</v>
      </c>
      <c r="P95">
        <v>323137.00799999997</v>
      </c>
      <c r="Q95">
        <v>323874.72000000003</v>
      </c>
      <c r="R95">
        <v>36.326999999999998</v>
      </c>
      <c r="S95">
        <v>319096.36799999996</v>
      </c>
      <c r="T95">
        <v>318224.51999999996</v>
      </c>
      <c r="U95">
        <v>0.46000000000000085</v>
      </c>
      <c r="V95">
        <v>0.64500000000000313</v>
      </c>
      <c r="W95">
        <v>0</v>
      </c>
      <c r="X95">
        <v>0</v>
      </c>
      <c r="Y95">
        <v>5.2591000000000001E-3</v>
      </c>
      <c r="Z95">
        <v>5.2591000000000001E-3</v>
      </c>
      <c r="AA95">
        <v>0</v>
      </c>
      <c r="AB95">
        <v>5.2591000000000001E-3</v>
      </c>
      <c r="AC95">
        <v>5.2591000000000001E-3</v>
      </c>
      <c r="AD95">
        <v>5.2591000000000001E-3</v>
      </c>
      <c r="AE95">
        <v>0.98749248905863485</v>
      </c>
      <c r="AF95">
        <v>0.98255128732554364</v>
      </c>
      <c r="AG95">
        <v>1.0126627577284113</v>
      </c>
      <c r="AH95">
        <v>1.0177553885539683</v>
      </c>
      <c r="AI95">
        <v>0</v>
      </c>
      <c r="AJ95">
        <v>0</v>
      </c>
      <c r="AK95" s="74"/>
      <c r="AL95" s="74"/>
      <c r="AM95" s="74"/>
      <c r="AN95" s="74"/>
      <c r="AO95" s="74"/>
      <c r="AP95" s="74"/>
      <c r="AQ95" s="74"/>
      <c r="AT95" s="73"/>
      <c r="AU95" s="73"/>
      <c r="AV95" s="73"/>
      <c r="AW95" s="73"/>
      <c r="AX95" s="73"/>
      <c r="AY95" s="73"/>
      <c r="AZ95" s="73"/>
      <c r="BA95" s="73"/>
      <c r="BB95" s="73"/>
      <c r="BC95" s="73"/>
      <c r="BD95" s="73"/>
      <c r="BE95" s="73"/>
      <c r="BF95" s="73"/>
      <c r="BG95" s="73"/>
    </row>
    <row r="96" spans="1:59">
      <c r="A96">
        <v>10304</v>
      </c>
      <c r="B96" t="s">
        <v>101</v>
      </c>
      <c r="C96">
        <v>1</v>
      </c>
      <c r="D96">
        <v>0</v>
      </c>
      <c r="E96">
        <v>14.278</v>
      </c>
      <c r="F96">
        <v>13.526999999999999</v>
      </c>
      <c r="G96">
        <v>13.593999999999999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13.414</v>
      </c>
      <c r="O96">
        <v>13.445</v>
      </c>
      <c r="P96">
        <v>117828.576</v>
      </c>
      <c r="Q96">
        <v>117778.2</v>
      </c>
      <c r="R96">
        <v>14.068</v>
      </c>
      <c r="S96">
        <v>123573.31199999999</v>
      </c>
      <c r="T96">
        <v>123235.68</v>
      </c>
      <c r="U96">
        <v>0</v>
      </c>
      <c r="V96">
        <v>0</v>
      </c>
      <c r="W96">
        <v>0</v>
      </c>
      <c r="X96">
        <v>0</v>
      </c>
      <c r="Y96">
        <v>1.9419999999999999E-3</v>
      </c>
      <c r="Z96">
        <v>1.9464E-3</v>
      </c>
      <c r="AA96">
        <v>0</v>
      </c>
      <c r="AB96">
        <v>1.9419999999999999E-3</v>
      </c>
      <c r="AC96">
        <v>1.9464E-3</v>
      </c>
      <c r="AD96">
        <v>1.9442000000000001E-3</v>
      </c>
      <c r="AE96">
        <v>1</v>
      </c>
      <c r="AF96">
        <v>1</v>
      </c>
      <c r="AG96">
        <v>1</v>
      </c>
      <c r="AH96">
        <v>1</v>
      </c>
      <c r="AI96">
        <v>0</v>
      </c>
      <c r="AJ96">
        <v>0</v>
      </c>
      <c r="AK96" s="74"/>
      <c r="AL96" s="74"/>
      <c r="AM96" s="74"/>
      <c r="AN96" s="74"/>
      <c r="AO96" s="74"/>
      <c r="AP96" s="74"/>
      <c r="AQ96" s="74"/>
      <c r="AT96" s="73"/>
      <c r="AU96" s="73"/>
      <c r="AV96" s="73"/>
      <c r="AW96" s="73"/>
      <c r="AX96" s="73"/>
      <c r="AY96" s="73"/>
      <c r="AZ96" s="73"/>
      <c r="BA96" s="73"/>
      <c r="BB96" s="73"/>
      <c r="BC96" s="73"/>
      <c r="BD96" s="73"/>
      <c r="BE96" s="73"/>
      <c r="BF96" s="73"/>
      <c r="BG96" s="73"/>
    </row>
    <row r="97" spans="1:59">
      <c r="A97">
        <v>10306</v>
      </c>
      <c r="B97" t="s">
        <v>102</v>
      </c>
      <c r="C97">
        <v>1</v>
      </c>
      <c r="D97">
        <v>0</v>
      </c>
      <c r="E97">
        <v>26.152999999999999</v>
      </c>
      <c r="F97">
        <v>114.196</v>
      </c>
      <c r="G97">
        <v>114.509</v>
      </c>
      <c r="H97">
        <v>73.328000000000003</v>
      </c>
      <c r="I97">
        <v>73.528999999999996</v>
      </c>
      <c r="J97">
        <v>25.638999999999999</v>
      </c>
      <c r="K97">
        <v>25.709</v>
      </c>
      <c r="L97">
        <v>225212.976</v>
      </c>
      <c r="M97">
        <v>225210.84</v>
      </c>
      <c r="N97">
        <v>15.228999999999999</v>
      </c>
      <c r="O97">
        <v>15.271000000000001</v>
      </c>
      <c r="P97">
        <v>133771.53599999999</v>
      </c>
      <c r="Q97">
        <v>133773.96000000002</v>
      </c>
      <c r="R97">
        <v>25.768999999999998</v>
      </c>
      <c r="S97">
        <v>226354.89599999998</v>
      </c>
      <c r="T97">
        <v>225736.43999999997</v>
      </c>
      <c r="U97">
        <v>0</v>
      </c>
      <c r="V97">
        <v>0</v>
      </c>
      <c r="W97">
        <v>0</v>
      </c>
      <c r="X97">
        <v>0</v>
      </c>
      <c r="Y97">
        <v>2.2047E-3</v>
      </c>
      <c r="Z97">
        <v>2.2108000000000002E-3</v>
      </c>
      <c r="AA97">
        <v>0</v>
      </c>
      <c r="AB97">
        <v>2.2047E-3</v>
      </c>
      <c r="AC97">
        <v>2.2108000000000002E-3</v>
      </c>
      <c r="AD97">
        <v>2.2077500000000001E-3</v>
      </c>
      <c r="AE97">
        <v>1</v>
      </c>
      <c r="AF97">
        <v>1</v>
      </c>
      <c r="AG97">
        <v>1</v>
      </c>
      <c r="AH97">
        <v>1</v>
      </c>
      <c r="AI97">
        <v>0</v>
      </c>
      <c r="AJ97">
        <v>0</v>
      </c>
      <c r="AK97" s="74"/>
      <c r="AL97" s="74"/>
      <c r="AM97" s="74"/>
      <c r="AN97" s="74"/>
      <c r="AO97" s="74"/>
      <c r="AP97" s="74"/>
      <c r="AQ97" s="74"/>
      <c r="AT97" s="73"/>
      <c r="AU97" s="73"/>
      <c r="AV97" s="73"/>
      <c r="AW97" s="73"/>
      <c r="AX97" s="73"/>
      <c r="AY97" s="73"/>
      <c r="AZ97" s="73"/>
      <c r="BA97" s="73"/>
      <c r="BB97" s="73"/>
      <c r="BC97" s="73"/>
      <c r="BD97" s="73"/>
      <c r="BE97" s="73"/>
      <c r="BF97" s="73"/>
      <c r="BG97" s="73"/>
    </row>
    <row r="98" spans="1:59">
      <c r="A98">
        <v>10307</v>
      </c>
      <c r="B98" t="s">
        <v>103</v>
      </c>
      <c r="C98">
        <v>1</v>
      </c>
      <c r="D98">
        <v>0</v>
      </c>
      <c r="E98">
        <v>73.058999999999997</v>
      </c>
      <c r="F98">
        <v>69.466999999999999</v>
      </c>
      <c r="G98">
        <v>69.742999999999995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68.665000000000006</v>
      </c>
      <c r="O98">
        <v>68.700999999999993</v>
      </c>
      <c r="P98">
        <v>603153.3600000001</v>
      </c>
      <c r="Q98">
        <v>601820.75999999989</v>
      </c>
      <c r="R98">
        <v>71.984999999999999</v>
      </c>
      <c r="S98">
        <v>632316.24</v>
      </c>
      <c r="T98">
        <v>630588.6</v>
      </c>
      <c r="U98">
        <v>0</v>
      </c>
      <c r="V98">
        <v>0</v>
      </c>
      <c r="W98">
        <v>0</v>
      </c>
      <c r="X98">
        <v>0</v>
      </c>
      <c r="Y98">
        <v>9.9407000000000002E-3</v>
      </c>
      <c r="Z98">
        <v>9.9459000000000006E-3</v>
      </c>
      <c r="AA98">
        <v>0</v>
      </c>
      <c r="AB98">
        <v>9.9407000000000002E-3</v>
      </c>
      <c r="AC98">
        <v>9.9459000000000006E-3</v>
      </c>
      <c r="AD98">
        <v>9.9433000000000004E-3</v>
      </c>
      <c r="AE98">
        <v>1</v>
      </c>
      <c r="AF98">
        <v>1</v>
      </c>
      <c r="AG98">
        <v>1</v>
      </c>
      <c r="AH98">
        <v>1</v>
      </c>
      <c r="AI98">
        <v>0</v>
      </c>
      <c r="AJ98">
        <v>0</v>
      </c>
      <c r="AK98" s="74"/>
      <c r="AL98" s="74"/>
      <c r="AM98" s="74"/>
      <c r="AN98" s="74"/>
      <c r="AO98" s="74"/>
      <c r="AP98" s="74"/>
      <c r="AQ98" s="74"/>
      <c r="AT98" s="73"/>
      <c r="AU98" s="73"/>
      <c r="AV98" s="73"/>
      <c r="AW98" s="73"/>
      <c r="AX98" s="73"/>
      <c r="AY98" s="73"/>
      <c r="AZ98" s="73"/>
      <c r="BA98" s="73"/>
      <c r="BB98" s="73"/>
      <c r="BC98" s="73"/>
      <c r="BD98" s="73"/>
      <c r="BE98" s="73"/>
      <c r="BF98" s="73"/>
      <c r="BG98" s="73"/>
    </row>
    <row r="99" spans="1:59">
      <c r="A99">
        <v>10326</v>
      </c>
      <c r="B99" t="s">
        <v>104</v>
      </c>
      <c r="C99">
        <v>1</v>
      </c>
      <c r="D99">
        <v>0</v>
      </c>
      <c r="E99">
        <v>30.914000000000001</v>
      </c>
      <c r="F99">
        <v>28.911999999999999</v>
      </c>
      <c r="G99">
        <v>29.052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34.292000000000002</v>
      </c>
      <c r="O99">
        <v>35.805</v>
      </c>
      <c r="P99">
        <v>301220.92800000001</v>
      </c>
      <c r="Q99">
        <v>313651.8</v>
      </c>
      <c r="R99">
        <v>30.46</v>
      </c>
      <c r="S99">
        <v>267560.64</v>
      </c>
      <c r="T99">
        <v>266829.60000000003</v>
      </c>
      <c r="U99">
        <v>3.8319999999999999</v>
      </c>
      <c r="V99">
        <v>5.3449999999999998</v>
      </c>
      <c r="W99">
        <v>3.8319999999999999</v>
      </c>
      <c r="X99">
        <v>5.3449999999999998</v>
      </c>
      <c r="Y99">
        <v>4.4096999999999999E-3</v>
      </c>
      <c r="Z99">
        <v>4.4096999999999999E-3</v>
      </c>
      <c r="AA99">
        <v>0</v>
      </c>
      <c r="AB99">
        <v>4.4096999999999999E-3</v>
      </c>
      <c r="AC99">
        <v>4.4096999999999999E-3</v>
      </c>
      <c r="AD99">
        <v>4.4096999999999999E-3</v>
      </c>
      <c r="AE99">
        <v>0.88825543059605727</v>
      </c>
      <c r="AF99">
        <v>0.85072071571009633</v>
      </c>
      <c r="AG99">
        <v>1.1258043335521997</v>
      </c>
      <c r="AH99">
        <v>1.1754760341431385</v>
      </c>
      <c r="AI99">
        <v>0</v>
      </c>
      <c r="AJ99">
        <v>0</v>
      </c>
      <c r="AK99" s="74"/>
      <c r="AL99" s="74"/>
      <c r="AM99" s="74"/>
      <c r="AN99" s="74"/>
      <c r="AO99" s="74"/>
      <c r="AP99" s="74"/>
      <c r="AQ99" s="74"/>
      <c r="AT99" s="73"/>
      <c r="AU99" s="73"/>
      <c r="AV99" s="73"/>
      <c r="AW99" s="73"/>
      <c r="AX99" s="73"/>
      <c r="AY99" s="73"/>
      <c r="AZ99" s="73"/>
      <c r="BA99" s="73"/>
      <c r="BB99" s="73"/>
      <c r="BC99" s="73"/>
      <c r="BD99" s="73"/>
      <c r="BE99" s="73"/>
      <c r="BF99" s="73"/>
      <c r="BG99" s="73"/>
    </row>
    <row r="100" spans="1:59">
      <c r="A100">
        <v>10331</v>
      </c>
      <c r="B100" t="s">
        <v>105</v>
      </c>
      <c r="C100">
        <v>0</v>
      </c>
      <c r="D100">
        <v>1</v>
      </c>
      <c r="E100">
        <v>37.148000000000003</v>
      </c>
      <c r="F100">
        <v>38.841000000000001</v>
      </c>
      <c r="G100">
        <v>38.948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35.36</v>
      </c>
      <c r="O100">
        <v>35.408000000000001</v>
      </c>
      <c r="P100">
        <v>310602.23999999999</v>
      </c>
      <c r="Q100">
        <v>310174.08000000002</v>
      </c>
      <c r="R100">
        <v>36.601999999999997</v>
      </c>
      <c r="S100">
        <v>321511.96799999999</v>
      </c>
      <c r="T100">
        <v>320633.51999999996</v>
      </c>
      <c r="U100">
        <v>0</v>
      </c>
      <c r="V100">
        <v>0</v>
      </c>
      <c r="W100">
        <v>0</v>
      </c>
      <c r="X100">
        <v>0</v>
      </c>
      <c r="Y100">
        <v>5.1190999999999997E-3</v>
      </c>
      <c r="Z100">
        <v>5.1260000000000003E-3</v>
      </c>
      <c r="AA100">
        <v>0</v>
      </c>
      <c r="AB100">
        <v>5.1190999999999997E-3</v>
      </c>
      <c r="AC100">
        <v>5.1260000000000003E-3</v>
      </c>
      <c r="AD100">
        <v>5.12255E-3</v>
      </c>
      <c r="AE100">
        <v>0.99999749792138004</v>
      </c>
      <c r="AF100">
        <v>0.99999837348904197</v>
      </c>
      <c r="AG100">
        <v>1</v>
      </c>
      <c r="AH100">
        <v>1</v>
      </c>
      <c r="AI100">
        <v>7.0000000000000007E-2</v>
      </c>
      <c r="AJ100">
        <v>7.0000000000000007E-2</v>
      </c>
      <c r="AK100" s="74"/>
      <c r="AL100" s="74"/>
      <c r="AM100" s="74"/>
      <c r="AN100" s="74"/>
      <c r="AO100" s="74"/>
      <c r="AP100" s="74"/>
      <c r="AQ100" s="74"/>
      <c r="AT100" s="73"/>
      <c r="AU100" s="73"/>
      <c r="AV100" s="73"/>
      <c r="AW100" s="73"/>
      <c r="AX100" s="73"/>
      <c r="AY100" s="73"/>
      <c r="AZ100" s="73"/>
      <c r="BA100" s="73"/>
      <c r="BB100" s="73"/>
      <c r="BC100" s="73"/>
      <c r="BD100" s="73"/>
      <c r="BE100" s="73"/>
      <c r="BF100" s="73"/>
      <c r="BG100" s="73"/>
    </row>
    <row r="101" spans="1:59">
      <c r="A101">
        <v>10333</v>
      </c>
      <c r="B101" t="s">
        <v>106</v>
      </c>
      <c r="C101">
        <v>0</v>
      </c>
      <c r="D101">
        <v>1</v>
      </c>
      <c r="E101">
        <v>18.791</v>
      </c>
      <c r="F101">
        <v>23.420999999999999</v>
      </c>
      <c r="G101">
        <v>23.814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21.8</v>
      </c>
      <c r="O101">
        <v>21.994</v>
      </c>
      <c r="P101">
        <v>191491.20000000001</v>
      </c>
      <c r="Q101">
        <v>192667.44</v>
      </c>
      <c r="R101">
        <v>18.515000000000001</v>
      </c>
      <c r="S101">
        <v>162635.76</v>
      </c>
      <c r="T101">
        <v>162191.4</v>
      </c>
      <c r="U101">
        <v>3.2850000000000001</v>
      </c>
      <c r="V101">
        <v>3.4790000000000001</v>
      </c>
      <c r="W101">
        <v>3.2850000000000001</v>
      </c>
      <c r="X101">
        <v>3.4790000000000001</v>
      </c>
      <c r="Y101">
        <v>2.6803999999999999E-3</v>
      </c>
      <c r="Z101">
        <v>2.6803999999999999E-3</v>
      </c>
      <c r="AA101">
        <v>0</v>
      </c>
      <c r="AB101">
        <v>2.6803999999999999E-3</v>
      </c>
      <c r="AC101">
        <v>2.6803999999999999E-3</v>
      </c>
      <c r="AD101">
        <v>2.6803999999999999E-3</v>
      </c>
      <c r="AE101">
        <v>0.84932104011467879</v>
      </c>
      <c r="AF101">
        <v>0.84182952962171498</v>
      </c>
      <c r="AG101">
        <v>1.1774237105049961</v>
      </c>
      <c r="AH101">
        <v>1.1879017013232513</v>
      </c>
      <c r="AI101">
        <v>7.064542263029977E-2</v>
      </c>
      <c r="AJ101">
        <v>7.127410207939508E-2</v>
      </c>
      <c r="AK101" s="74"/>
      <c r="AL101" s="74"/>
      <c r="AM101" s="74"/>
      <c r="AN101" s="74"/>
      <c r="AO101" s="74"/>
      <c r="AP101" s="74"/>
      <c r="AQ101" s="74"/>
      <c r="AT101" s="73"/>
      <c r="AU101" s="73"/>
      <c r="AV101" s="73"/>
      <c r="AW101" s="73"/>
      <c r="AX101" s="73"/>
      <c r="AY101" s="73"/>
      <c r="AZ101" s="73"/>
      <c r="BA101" s="73"/>
      <c r="BB101" s="73"/>
      <c r="BC101" s="73"/>
      <c r="BD101" s="73"/>
      <c r="BE101" s="73"/>
      <c r="BF101" s="73"/>
      <c r="BG101" s="73"/>
    </row>
    <row r="102" spans="1:59">
      <c r="A102">
        <v>10338</v>
      </c>
      <c r="B102" t="s">
        <v>107</v>
      </c>
      <c r="C102">
        <v>1</v>
      </c>
      <c r="D102">
        <v>0</v>
      </c>
      <c r="E102">
        <v>2.4079999999999999</v>
      </c>
      <c r="F102">
        <v>2.8410000000000002</v>
      </c>
      <c r="G102">
        <v>2.8780000000000001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2.7549999999999999</v>
      </c>
      <c r="O102">
        <v>2.7869999999999999</v>
      </c>
      <c r="P102">
        <v>24199.919999999998</v>
      </c>
      <c r="Q102">
        <v>24414.12</v>
      </c>
      <c r="R102">
        <v>2.3730000000000002</v>
      </c>
      <c r="S102">
        <v>20844.432000000001</v>
      </c>
      <c r="T102">
        <v>20787.480000000003</v>
      </c>
      <c r="U102">
        <v>0.38200000000000001</v>
      </c>
      <c r="V102">
        <v>0.41399999999999998</v>
      </c>
      <c r="W102">
        <v>0</v>
      </c>
      <c r="X102">
        <v>0</v>
      </c>
      <c r="Y102">
        <v>3.435E-4</v>
      </c>
      <c r="Z102">
        <v>3.435E-4</v>
      </c>
      <c r="AA102">
        <v>0</v>
      </c>
      <c r="AB102">
        <v>3.435E-4</v>
      </c>
      <c r="AC102">
        <v>3.435E-4</v>
      </c>
      <c r="AD102">
        <v>3.435E-4</v>
      </c>
      <c r="AE102">
        <v>0.86144850816696916</v>
      </c>
      <c r="AF102">
        <v>0.85155745963401508</v>
      </c>
      <c r="AG102">
        <v>1.160977665402444</v>
      </c>
      <c r="AH102">
        <v>1.1744627054361567</v>
      </c>
      <c r="AI102">
        <v>3.4829329962073323E-2</v>
      </c>
      <c r="AJ102">
        <v>3.5233881163084707E-2</v>
      </c>
      <c r="AK102" s="74"/>
      <c r="AL102" s="74"/>
      <c r="AM102" s="74"/>
      <c r="AN102" s="74"/>
      <c r="AO102" s="74"/>
      <c r="AP102" s="74"/>
      <c r="AQ102" s="74"/>
      <c r="AT102" s="73"/>
      <c r="AU102" s="73"/>
      <c r="AV102" s="73"/>
      <c r="AW102" s="73"/>
      <c r="AX102" s="73"/>
      <c r="AY102" s="73"/>
      <c r="AZ102" s="73"/>
      <c r="BA102" s="73"/>
      <c r="BB102" s="73"/>
      <c r="BC102" s="73"/>
      <c r="BD102" s="73"/>
      <c r="BE102" s="73"/>
      <c r="BF102" s="73"/>
      <c r="BG102" s="73"/>
    </row>
    <row r="103" spans="1:59">
      <c r="A103">
        <v>10342</v>
      </c>
      <c r="B103" t="s">
        <v>108</v>
      </c>
      <c r="C103">
        <v>1</v>
      </c>
      <c r="D103">
        <v>0</v>
      </c>
      <c r="E103">
        <v>39.268000000000001</v>
      </c>
      <c r="F103">
        <v>39.976999999999997</v>
      </c>
      <c r="G103">
        <v>40.283000000000001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38.216999999999999</v>
      </c>
      <c r="O103">
        <v>38.332000000000001</v>
      </c>
      <c r="P103">
        <v>335698.12799999997</v>
      </c>
      <c r="Q103">
        <v>335788.32</v>
      </c>
      <c r="R103">
        <v>38.691000000000003</v>
      </c>
      <c r="S103">
        <v>339861.74400000001</v>
      </c>
      <c r="T103">
        <v>338933.16000000003</v>
      </c>
      <c r="U103">
        <v>0</v>
      </c>
      <c r="V103">
        <v>0</v>
      </c>
      <c r="W103">
        <v>0</v>
      </c>
      <c r="X103">
        <v>0</v>
      </c>
      <c r="Y103">
        <v>5.5326999999999998E-3</v>
      </c>
      <c r="Z103">
        <v>5.5493000000000001E-3</v>
      </c>
      <c r="AA103">
        <v>0</v>
      </c>
      <c r="AB103">
        <v>5.5326999999999998E-3</v>
      </c>
      <c r="AC103">
        <v>5.5493000000000001E-3</v>
      </c>
      <c r="AD103">
        <v>5.5409999999999999E-3</v>
      </c>
      <c r="AE103">
        <v>1</v>
      </c>
      <c r="AF103">
        <v>1</v>
      </c>
      <c r="AG103">
        <v>1</v>
      </c>
      <c r="AH103">
        <v>1</v>
      </c>
      <c r="AI103">
        <v>0</v>
      </c>
      <c r="AJ103">
        <v>0</v>
      </c>
      <c r="AK103" s="74"/>
      <c r="AL103" s="74"/>
      <c r="AM103" s="74"/>
      <c r="AN103" s="74"/>
      <c r="AO103" s="74"/>
      <c r="AP103" s="74"/>
      <c r="AQ103" s="74"/>
      <c r="AT103" s="73"/>
      <c r="AU103" s="73"/>
      <c r="AV103" s="73"/>
      <c r="AW103" s="73"/>
      <c r="AX103" s="73"/>
      <c r="AY103" s="73"/>
      <c r="AZ103" s="73"/>
      <c r="BA103" s="73"/>
      <c r="BB103" s="73"/>
      <c r="BC103" s="73"/>
      <c r="BD103" s="73"/>
      <c r="BE103" s="73"/>
      <c r="BF103" s="73"/>
      <c r="BG103" s="73"/>
    </row>
    <row r="104" spans="1:59">
      <c r="A104">
        <v>10343</v>
      </c>
      <c r="B104" t="s">
        <v>109</v>
      </c>
      <c r="C104">
        <v>1</v>
      </c>
      <c r="D104">
        <v>0</v>
      </c>
      <c r="E104">
        <v>31.856999999999999</v>
      </c>
      <c r="F104">
        <v>11.869</v>
      </c>
      <c r="G104">
        <v>11.901</v>
      </c>
      <c r="H104">
        <v>0</v>
      </c>
      <c r="I104">
        <v>0</v>
      </c>
      <c r="J104">
        <v>0.13900000000000001</v>
      </c>
      <c r="K104">
        <v>0.13900000000000001</v>
      </c>
      <c r="L104">
        <v>1220.9760000000001</v>
      </c>
      <c r="M104">
        <v>1217.6400000000001</v>
      </c>
      <c r="N104">
        <v>11.959</v>
      </c>
      <c r="O104">
        <v>15.132</v>
      </c>
      <c r="P104">
        <v>105047.856</v>
      </c>
      <c r="Q104">
        <v>132556.32</v>
      </c>
      <c r="R104">
        <v>31.388999999999999</v>
      </c>
      <c r="S104">
        <v>275720.97599999997</v>
      </c>
      <c r="T104">
        <v>274967.64</v>
      </c>
      <c r="U104">
        <v>0</v>
      </c>
      <c r="V104">
        <v>0</v>
      </c>
      <c r="W104">
        <v>0</v>
      </c>
      <c r="X104">
        <v>0</v>
      </c>
      <c r="Y104">
        <v>1.7313000000000001E-3</v>
      </c>
      <c r="Z104">
        <v>2.1906999999999999E-3</v>
      </c>
      <c r="AA104">
        <v>0</v>
      </c>
      <c r="AB104">
        <v>1.7313000000000001E-3</v>
      </c>
      <c r="AC104">
        <v>2.1906999999999999E-3</v>
      </c>
      <c r="AD104">
        <v>1.9610000000000001E-3</v>
      </c>
      <c r="AE104">
        <v>0.9999986180773679</v>
      </c>
      <c r="AF104">
        <v>0.99998997049963989</v>
      </c>
      <c r="AG104">
        <v>1</v>
      </c>
      <c r="AH104">
        <v>1</v>
      </c>
      <c r="AI104">
        <v>7.0000000000000007E-2</v>
      </c>
      <c r="AJ104">
        <v>7.0000000000000007E-2</v>
      </c>
      <c r="AK104" s="74"/>
      <c r="AL104" s="74"/>
      <c r="AM104" s="74"/>
      <c r="AN104" s="74"/>
      <c r="AO104" s="74"/>
      <c r="AP104" s="74"/>
      <c r="AQ104" s="74"/>
      <c r="AT104" s="73"/>
      <c r="AU104" s="73"/>
      <c r="AV104" s="73"/>
      <c r="AW104" s="73"/>
      <c r="AX104" s="73"/>
      <c r="AY104" s="73"/>
      <c r="AZ104" s="73"/>
      <c r="BA104" s="73"/>
      <c r="BB104" s="73"/>
      <c r="BC104" s="73"/>
      <c r="BD104" s="73"/>
      <c r="BE104" s="73"/>
      <c r="BF104" s="73"/>
      <c r="BG104" s="73"/>
    </row>
    <row r="105" spans="1:59">
      <c r="A105">
        <v>10349</v>
      </c>
      <c r="B105" t="s">
        <v>110</v>
      </c>
      <c r="C105">
        <v>1</v>
      </c>
      <c r="D105">
        <v>0</v>
      </c>
      <c r="E105">
        <v>531.72699999999998</v>
      </c>
      <c r="F105">
        <v>1090.9780000000001</v>
      </c>
      <c r="G105">
        <v>1102.8030000000001</v>
      </c>
      <c r="H105">
        <v>0</v>
      </c>
      <c r="I105">
        <v>0</v>
      </c>
      <c r="J105">
        <v>592.32299999999998</v>
      </c>
      <c r="K105">
        <v>588.95899999999995</v>
      </c>
      <c r="L105">
        <v>5202965.2319999998</v>
      </c>
      <c r="M105">
        <v>5159280.84</v>
      </c>
      <c r="N105">
        <v>498.65499999999997</v>
      </c>
      <c r="O105">
        <v>513.84400000000005</v>
      </c>
      <c r="P105">
        <v>4380185.5199999996</v>
      </c>
      <c r="Q105">
        <v>4501273.4400000004</v>
      </c>
      <c r="R105">
        <v>523.91099999999994</v>
      </c>
      <c r="S105">
        <v>4602034.2239999995</v>
      </c>
      <c r="T105">
        <v>4589460.3599999994</v>
      </c>
      <c r="U105">
        <v>0</v>
      </c>
      <c r="V105">
        <v>0</v>
      </c>
      <c r="W105">
        <v>0</v>
      </c>
      <c r="X105">
        <v>0</v>
      </c>
      <c r="Y105">
        <v>7.2190599999999994E-2</v>
      </c>
      <c r="Z105">
        <v>7.4389499999999997E-2</v>
      </c>
      <c r="AA105">
        <v>0</v>
      </c>
      <c r="AB105">
        <v>7.2190599999999994E-2</v>
      </c>
      <c r="AC105">
        <v>7.4389499999999997E-2</v>
      </c>
      <c r="AD105">
        <v>7.3290049999999995E-2</v>
      </c>
      <c r="AE105">
        <v>1</v>
      </c>
      <c r="AF105">
        <v>0.99999986074969893</v>
      </c>
      <c r="AG105">
        <v>1</v>
      </c>
      <c r="AH105">
        <v>1</v>
      </c>
      <c r="AI105">
        <v>0</v>
      </c>
      <c r="AJ105">
        <v>0</v>
      </c>
      <c r="AK105" s="74"/>
      <c r="AL105" s="74"/>
      <c r="AM105" s="74"/>
      <c r="AN105" s="74"/>
      <c r="AO105" s="74"/>
      <c r="AP105" s="74"/>
      <c r="AQ105" s="74"/>
      <c r="AT105" s="73"/>
      <c r="AU105" s="73"/>
      <c r="AV105" s="73"/>
      <c r="AW105" s="73"/>
      <c r="AX105" s="73"/>
      <c r="AY105" s="73"/>
      <c r="AZ105" s="73"/>
      <c r="BA105" s="73"/>
      <c r="BB105" s="73"/>
      <c r="BC105" s="73"/>
      <c r="BD105" s="73"/>
      <c r="BE105" s="73"/>
      <c r="BF105" s="73"/>
      <c r="BG105" s="73"/>
    </row>
    <row r="106" spans="1:59">
      <c r="A106">
        <v>10352</v>
      </c>
      <c r="B106" t="s">
        <v>111</v>
      </c>
      <c r="C106">
        <v>1</v>
      </c>
      <c r="D106">
        <v>0</v>
      </c>
      <c r="E106">
        <v>16.143999999999998</v>
      </c>
      <c r="F106">
        <v>17.427</v>
      </c>
      <c r="G106">
        <v>17.646000000000001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15.885</v>
      </c>
      <c r="O106">
        <v>15.917</v>
      </c>
      <c r="P106">
        <v>139533.84</v>
      </c>
      <c r="Q106">
        <v>139432.92000000001</v>
      </c>
      <c r="R106">
        <v>15.907</v>
      </c>
      <c r="S106">
        <v>139727.08799999999</v>
      </c>
      <c r="T106">
        <v>139345.32</v>
      </c>
      <c r="U106">
        <v>0</v>
      </c>
      <c r="V106">
        <v>9.9999999999997868E-3</v>
      </c>
      <c r="W106">
        <v>0</v>
      </c>
      <c r="X106">
        <v>0</v>
      </c>
      <c r="Y106">
        <v>2.2997E-3</v>
      </c>
      <c r="Z106">
        <v>2.3029000000000001E-3</v>
      </c>
      <c r="AA106">
        <v>0</v>
      </c>
      <c r="AB106">
        <v>2.2997E-3</v>
      </c>
      <c r="AC106">
        <v>2.3029000000000001E-3</v>
      </c>
      <c r="AD106">
        <v>2.3013E-3</v>
      </c>
      <c r="AE106">
        <v>0.99998750698772421</v>
      </c>
      <c r="AF106">
        <v>0.99935276622479119</v>
      </c>
      <c r="AG106">
        <v>1</v>
      </c>
      <c r="AH106">
        <v>1.0006286540516753</v>
      </c>
      <c r="AI106">
        <v>4.9999999999999996E-2</v>
      </c>
      <c r="AJ106">
        <v>5.0031432702583763E-2</v>
      </c>
      <c r="AK106" s="74"/>
      <c r="AL106" s="74"/>
      <c r="AM106" s="74"/>
      <c r="AN106" s="74"/>
      <c r="AO106" s="74"/>
      <c r="AP106" s="74"/>
      <c r="AQ106" s="74"/>
      <c r="AT106" s="73"/>
      <c r="AU106" s="73"/>
      <c r="AV106" s="73"/>
      <c r="AW106" s="73"/>
      <c r="AX106" s="73"/>
      <c r="AY106" s="73"/>
      <c r="AZ106" s="73"/>
      <c r="BA106" s="73"/>
      <c r="BB106" s="73"/>
      <c r="BC106" s="73"/>
      <c r="BD106" s="73"/>
      <c r="BE106" s="73"/>
      <c r="BF106" s="73"/>
      <c r="BG106" s="73"/>
    </row>
    <row r="107" spans="1:59">
      <c r="A107">
        <v>10354</v>
      </c>
      <c r="B107" t="s">
        <v>112</v>
      </c>
      <c r="C107">
        <v>1</v>
      </c>
      <c r="D107">
        <v>0</v>
      </c>
      <c r="E107">
        <v>810.99</v>
      </c>
      <c r="F107">
        <v>800.43200000000002</v>
      </c>
      <c r="G107">
        <v>812.28099999999995</v>
      </c>
      <c r="H107">
        <v>0</v>
      </c>
      <c r="I107">
        <v>0</v>
      </c>
      <c r="J107">
        <v>30.742999999999999</v>
      </c>
      <c r="K107">
        <v>30.827999999999999</v>
      </c>
      <c r="L107">
        <v>270046.51199999999</v>
      </c>
      <c r="M107">
        <v>270053.27999999997</v>
      </c>
      <c r="N107">
        <v>715.23699999999997</v>
      </c>
      <c r="O107">
        <v>715.03599999999994</v>
      </c>
      <c r="P107">
        <v>6282641.8079999993</v>
      </c>
      <c r="Q107">
        <v>6263715.3599999994</v>
      </c>
      <c r="R107">
        <v>799.07</v>
      </c>
      <c r="S107">
        <v>7019030.8800000008</v>
      </c>
      <c r="T107">
        <v>6999853.2000000002</v>
      </c>
      <c r="U107">
        <v>0</v>
      </c>
      <c r="V107">
        <v>0</v>
      </c>
      <c r="W107">
        <v>0</v>
      </c>
      <c r="X107">
        <v>0</v>
      </c>
      <c r="Y107">
        <v>0.10354530000000001</v>
      </c>
      <c r="Z107">
        <v>0.1035162</v>
      </c>
      <c r="AA107">
        <v>0</v>
      </c>
      <c r="AB107">
        <v>0.10354530000000001</v>
      </c>
      <c r="AC107">
        <v>0.1035162</v>
      </c>
      <c r="AD107">
        <v>0.10353075</v>
      </c>
      <c r="AE107">
        <v>1</v>
      </c>
      <c r="AF107">
        <v>0.99999965185878381</v>
      </c>
      <c r="AG107">
        <v>1</v>
      </c>
      <c r="AH107">
        <v>1</v>
      </c>
      <c r="AI107">
        <v>0</v>
      </c>
      <c r="AJ107">
        <v>0</v>
      </c>
      <c r="AK107" s="74"/>
      <c r="AL107" s="74"/>
      <c r="AM107" s="74"/>
      <c r="AN107" s="74"/>
      <c r="AO107" s="74"/>
      <c r="AP107" s="74"/>
      <c r="AQ107" s="74"/>
      <c r="AT107" s="73"/>
      <c r="AU107" s="73"/>
      <c r="AV107" s="73"/>
      <c r="AW107" s="73"/>
      <c r="AX107" s="73"/>
      <c r="AY107" s="73"/>
      <c r="AZ107" s="73"/>
      <c r="BA107" s="73"/>
      <c r="BB107" s="73"/>
      <c r="BC107" s="73"/>
      <c r="BD107" s="73"/>
      <c r="BE107" s="73"/>
      <c r="BF107" s="73"/>
      <c r="BG107" s="73"/>
    </row>
    <row r="108" spans="1:59">
      <c r="A108">
        <v>10360</v>
      </c>
      <c r="B108" t="s">
        <v>113</v>
      </c>
      <c r="C108">
        <v>1</v>
      </c>
      <c r="D108">
        <v>0</v>
      </c>
      <c r="E108">
        <v>6.8659999999999997</v>
      </c>
      <c r="F108">
        <v>7.3849999999999998</v>
      </c>
      <c r="G108">
        <v>7.4379999999999997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7.6630000000000003</v>
      </c>
      <c r="O108">
        <v>7.7610000000000001</v>
      </c>
      <c r="P108">
        <v>67311.792000000001</v>
      </c>
      <c r="Q108">
        <v>67986.36</v>
      </c>
      <c r="R108">
        <v>6.7649999999999997</v>
      </c>
      <c r="S108">
        <v>59423.759999999995</v>
      </c>
      <c r="T108">
        <v>59261.399999999994</v>
      </c>
      <c r="U108">
        <v>0.89800000000000002</v>
      </c>
      <c r="V108">
        <v>0.996</v>
      </c>
      <c r="W108">
        <v>0</v>
      </c>
      <c r="X108">
        <v>0</v>
      </c>
      <c r="Y108">
        <v>9.7940000000000006E-4</v>
      </c>
      <c r="Z108">
        <v>9.7940000000000006E-4</v>
      </c>
      <c r="AA108">
        <v>0</v>
      </c>
      <c r="AB108">
        <v>9.7940000000000006E-4</v>
      </c>
      <c r="AC108">
        <v>9.7940000000000006E-4</v>
      </c>
      <c r="AD108">
        <v>9.7940000000000006E-4</v>
      </c>
      <c r="AE108">
        <v>0.88285149380138317</v>
      </c>
      <c r="AF108">
        <v>0.8717035172013915</v>
      </c>
      <c r="AG108">
        <v>1.1327420546932743</v>
      </c>
      <c r="AH108">
        <v>1.1472283813747228</v>
      </c>
      <c r="AI108">
        <v>5.0973392461197344E-2</v>
      </c>
      <c r="AJ108">
        <v>5.1625277161862528E-2</v>
      </c>
      <c r="AK108" s="74"/>
      <c r="AL108" s="74"/>
      <c r="AM108" s="74"/>
      <c r="AN108" s="74"/>
      <c r="AO108" s="74"/>
      <c r="AP108" s="74"/>
      <c r="AQ108" s="74"/>
      <c r="AT108" s="73"/>
      <c r="AU108" s="73"/>
      <c r="AV108" s="73"/>
      <c r="AW108" s="73"/>
      <c r="AX108" s="73"/>
      <c r="AY108" s="73"/>
      <c r="AZ108" s="73"/>
      <c r="BA108" s="73"/>
      <c r="BB108" s="73"/>
      <c r="BC108" s="73"/>
      <c r="BD108" s="73"/>
      <c r="BE108" s="73"/>
      <c r="BF108" s="73"/>
      <c r="BG108" s="73"/>
    </row>
    <row r="109" spans="1:59">
      <c r="A109">
        <v>10363</v>
      </c>
      <c r="B109" t="s">
        <v>114</v>
      </c>
      <c r="C109">
        <v>1</v>
      </c>
      <c r="D109">
        <v>0</v>
      </c>
      <c r="E109">
        <v>102.208</v>
      </c>
      <c r="F109">
        <v>89.603999999999999</v>
      </c>
      <c r="G109">
        <v>90.04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91.05</v>
      </c>
      <c r="O109">
        <v>91.234999999999999</v>
      </c>
      <c r="P109">
        <v>799783.2</v>
      </c>
      <c r="Q109">
        <v>799218.6</v>
      </c>
      <c r="R109">
        <v>100.706</v>
      </c>
      <c r="S109">
        <v>884601.50400000007</v>
      </c>
      <c r="T109">
        <v>882184.56</v>
      </c>
      <c r="U109">
        <v>0</v>
      </c>
      <c r="V109">
        <v>0</v>
      </c>
      <c r="W109">
        <v>0</v>
      </c>
      <c r="X109">
        <v>0</v>
      </c>
      <c r="Y109">
        <v>1.3181399999999999E-2</v>
      </c>
      <c r="Z109">
        <v>1.32081E-2</v>
      </c>
      <c r="AA109">
        <v>0</v>
      </c>
      <c r="AB109">
        <v>1.3181399999999999E-2</v>
      </c>
      <c r="AC109">
        <v>1.32081E-2</v>
      </c>
      <c r="AD109">
        <v>1.319475E-2</v>
      </c>
      <c r="AE109">
        <v>1</v>
      </c>
      <c r="AF109">
        <v>0.99999627729489782</v>
      </c>
      <c r="AG109">
        <v>1</v>
      </c>
      <c r="AH109">
        <v>1</v>
      </c>
      <c r="AI109">
        <v>0</v>
      </c>
      <c r="AJ109">
        <v>0</v>
      </c>
      <c r="AK109" s="74"/>
      <c r="AL109" s="74"/>
      <c r="AM109" s="74"/>
      <c r="AN109" s="74"/>
      <c r="AO109" s="74"/>
      <c r="AP109" s="74"/>
      <c r="AQ109" s="74"/>
      <c r="AT109" s="73"/>
      <c r="AU109" s="73"/>
      <c r="AV109" s="73"/>
      <c r="AW109" s="73"/>
      <c r="AX109" s="73"/>
      <c r="AY109" s="73"/>
      <c r="AZ109" s="73"/>
      <c r="BA109" s="73"/>
      <c r="BB109" s="73"/>
      <c r="BC109" s="73"/>
      <c r="BD109" s="73"/>
      <c r="BE109" s="73"/>
      <c r="BF109" s="73"/>
      <c r="BG109" s="73"/>
    </row>
    <row r="110" spans="1:59">
      <c r="A110">
        <v>10369</v>
      </c>
      <c r="B110" t="s">
        <v>115</v>
      </c>
      <c r="C110">
        <v>1</v>
      </c>
      <c r="D110">
        <v>0</v>
      </c>
      <c r="E110">
        <v>16.677</v>
      </c>
      <c r="F110">
        <v>18.553999999999998</v>
      </c>
      <c r="G110">
        <v>18.605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18.376999999999999</v>
      </c>
      <c r="O110">
        <v>18.393999999999998</v>
      </c>
      <c r="P110">
        <v>161423.568</v>
      </c>
      <c r="Q110">
        <v>161131.43999999997</v>
      </c>
      <c r="R110">
        <v>16.431999999999999</v>
      </c>
      <c r="S110">
        <v>144338.68799999999</v>
      </c>
      <c r="T110">
        <v>143944.31999999998</v>
      </c>
      <c r="U110">
        <v>1.9450000000000001</v>
      </c>
      <c r="V110">
        <v>1.962</v>
      </c>
      <c r="W110">
        <v>1.9450000000000001</v>
      </c>
      <c r="X110">
        <v>1.962</v>
      </c>
      <c r="Y110">
        <v>2.3789000000000002E-3</v>
      </c>
      <c r="Z110">
        <v>2.3789000000000002E-3</v>
      </c>
      <c r="AA110">
        <v>0</v>
      </c>
      <c r="AB110">
        <v>2.3789000000000002E-3</v>
      </c>
      <c r="AC110">
        <v>2.3789000000000002E-3</v>
      </c>
      <c r="AD110">
        <v>2.3789000000000002E-3</v>
      </c>
      <c r="AE110">
        <v>0.89417273417859278</v>
      </c>
      <c r="AF110">
        <v>0.89334632684571058</v>
      </c>
      <c r="AG110">
        <v>1.1183666017526777</v>
      </c>
      <c r="AH110">
        <v>1.1194011684518013</v>
      </c>
      <c r="AI110">
        <v>7.8285662122687449E-2</v>
      </c>
      <c r="AJ110">
        <v>7.8358081791626094E-2</v>
      </c>
      <c r="AK110" s="74"/>
      <c r="AL110" s="74"/>
      <c r="AM110" s="74"/>
      <c r="AN110" s="74"/>
      <c r="AO110" s="74"/>
      <c r="AP110" s="74"/>
      <c r="AQ110" s="74"/>
      <c r="AT110" s="73"/>
      <c r="AU110" s="73"/>
      <c r="AV110" s="73"/>
      <c r="AW110" s="73"/>
      <c r="AX110" s="73"/>
      <c r="AY110" s="73"/>
      <c r="AZ110" s="73"/>
      <c r="BA110" s="73"/>
      <c r="BB110" s="73"/>
      <c r="BC110" s="73"/>
      <c r="BD110" s="73"/>
      <c r="BE110" s="73"/>
      <c r="BF110" s="73"/>
      <c r="BG110" s="73"/>
    </row>
    <row r="111" spans="1:59">
      <c r="A111">
        <v>10370</v>
      </c>
      <c r="B111" t="s">
        <v>116</v>
      </c>
      <c r="C111">
        <v>1</v>
      </c>
      <c r="D111">
        <v>0</v>
      </c>
      <c r="E111">
        <v>408.39299999999997</v>
      </c>
      <c r="F111">
        <v>512.08600000000001</v>
      </c>
      <c r="G111">
        <v>506.697</v>
      </c>
      <c r="H111">
        <v>0</v>
      </c>
      <c r="I111">
        <v>0</v>
      </c>
      <c r="J111">
        <v>177.93899999999999</v>
      </c>
      <c r="K111">
        <v>178.41900000000001</v>
      </c>
      <c r="L111">
        <v>1563016.176</v>
      </c>
      <c r="M111">
        <v>1562950.4400000002</v>
      </c>
      <c r="N111">
        <v>334.14699999999999</v>
      </c>
      <c r="O111">
        <v>328.27800000000002</v>
      </c>
      <c r="P111">
        <v>2935147.2480000001</v>
      </c>
      <c r="Q111">
        <v>2875715.2800000003</v>
      </c>
      <c r="R111">
        <v>402.39</v>
      </c>
      <c r="S111">
        <v>3534593.76</v>
      </c>
      <c r="T111">
        <v>3524936.4</v>
      </c>
      <c r="U111">
        <v>0</v>
      </c>
      <c r="V111">
        <v>0</v>
      </c>
      <c r="W111">
        <v>0</v>
      </c>
      <c r="X111">
        <v>0</v>
      </c>
      <c r="Y111">
        <v>4.83747E-2</v>
      </c>
      <c r="Z111">
        <v>4.7524999999999998E-2</v>
      </c>
      <c r="AA111">
        <v>2.9598200000000002E-2</v>
      </c>
      <c r="AB111">
        <v>1.8776499999999998E-2</v>
      </c>
      <c r="AC111">
        <v>1.7926799999999996E-2</v>
      </c>
      <c r="AD111">
        <v>1.8351649999999997E-2</v>
      </c>
      <c r="AE111">
        <v>0.99999950704997376</v>
      </c>
      <c r="AF111">
        <v>1</v>
      </c>
      <c r="AG111">
        <v>1</v>
      </c>
      <c r="AH111">
        <v>1</v>
      </c>
      <c r="AI111">
        <v>0</v>
      </c>
      <c r="AJ111">
        <v>0</v>
      </c>
      <c r="AK111" s="74"/>
      <c r="AL111" s="74"/>
      <c r="AM111" s="74"/>
      <c r="AN111" s="74"/>
      <c r="AO111" s="74"/>
      <c r="AP111" s="74"/>
      <c r="AQ111" s="74"/>
      <c r="AT111" s="73"/>
      <c r="AU111" s="73"/>
      <c r="AV111" s="73"/>
      <c r="AW111" s="73"/>
      <c r="AX111" s="73"/>
      <c r="AY111" s="73"/>
      <c r="AZ111" s="73"/>
      <c r="BA111" s="73"/>
      <c r="BB111" s="73"/>
      <c r="BC111" s="73"/>
      <c r="BD111" s="73"/>
      <c r="BE111" s="73"/>
      <c r="BF111" s="73"/>
      <c r="BG111" s="73"/>
    </row>
    <row r="112" spans="1:59">
      <c r="A112">
        <v>10371</v>
      </c>
      <c r="B112" t="s">
        <v>117</v>
      </c>
      <c r="C112">
        <v>1</v>
      </c>
      <c r="D112">
        <v>0</v>
      </c>
      <c r="E112">
        <v>11.196999999999999</v>
      </c>
      <c r="F112">
        <v>14.045</v>
      </c>
      <c r="G112">
        <v>14.137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11.535</v>
      </c>
      <c r="O112">
        <v>11.568</v>
      </c>
      <c r="P112">
        <v>101323.44</v>
      </c>
      <c r="Q112">
        <v>101335.67999999999</v>
      </c>
      <c r="R112">
        <v>11.032</v>
      </c>
      <c r="S112">
        <v>96905.088000000003</v>
      </c>
      <c r="T112">
        <v>96640.320000000007</v>
      </c>
      <c r="U112">
        <v>0.503</v>
      </c>
      <c r="V112">
        <v>0.53600000000000003</v>
      </c>
      <c r="W112">
        <v>0</v>
      </c>
      <c r="X112">
        <v>0</v>
      </c>
      <c r="Y112">
        <v>1.5971E-3</v>
      </c>
      <c r="Z112">
        <v>1.5971E-3</v>
      </c>
      <c r="AA112">
        <v>0</v>
      </c>
      <c r="AB112">
        <v>1.5971E-3</v>
      </c>
      <c r="AC112">
        <v>1.5971E-3</v>
      </c>
      <c r="AD112">
        <v>1.5971E-3</v>
      </c>
      <c r="AE112">
        <v>0.95641697386215863</v>
      </c>
      <c r="AF112">
        <v>0.95368860593879667</v>
      </c>
      <c r="AG112">
        <v>1.0455946337926034</v>
      </c>
      <c r="AH112">
        <v>1.0485859318346629</v>
      </c>
      <c r="AI112">
        <v>0</v>
      </c>
      <c r="AJ112">
        <v>0</v>
      </c>
      <c r="AK112" s="74"/>
      <c r="AL112" s="74"/>
      <c r="AM112" s="74"/>
      <c r="AN112" s="74"/>
      <c r="AO112" s="74"/>
      <c r="AP112" s="74"/>
      <c r="AQ112" s="74"/>
      <c r="AT112" s="73"/>
      <c r="AU112" s="73"/>
      <c r="AV112" s="73"/>
      <c r="AW112" s="73"/>
      <c r="AX112" s="73"/>
      <c r="AY112" s="73"/>
      <c r="AZ112" s="73"/>
      <c r="BA112" s="73"/>
      <c r="BB112" s="73"/>
      <c r="BC112" s="73"/>
      <c r="BD112" s="73"/>
      <c r="BE112" s="73"/>
      <c r="BF112" s="73"/>
      <c r="BG112" s="73"/>
    </row>
    <row r="113" spans="1:59">
      <c r="A113">
        <v>10376</v>
      </c>
      <c r="B113" t="s">
        <v>118</v>
      </c>
      <c r="C113">
        <v>1</v>
      </c>
      <c r="D113">
        <v>0</v>
      </c>
      <c r="E113">
        <v>56.865000000000002</v>
      </c>
      <c r="F113">
        <v>55.792999999999999</v>
      </c>
      <c r="G113">
        <v>56.228999999999999</v>
      </c>
      <c r="H113">
        <v>0</v>
      </c>
      <c r="I113">
        <v>0</v>
      </c>
      <c r="J113">
        <v>0.69499999999999995</v>
      </c>
      <c r="K113">
        <v>0.69699999999999995</v>
      </c>
      <c r="L113">
        <v>6104.8799999999992</v>
      </c>
      <c r="M113">
        <v>6105.7199999999993</v>
      </c>
      <c r="N113">
        <v>56.11</v>
      </c>
      <c r="O113">
        <v>56.128</v>
      </c>
      <c r="P113">
        <v>492870.24</v>
      </c>
      <c r="Q113">
        <v>491681.28000000003</v>
      </c>
      <c r="R113">
        <v>56.029000000000003</v>
      </c>
      <c r="S113">
        <v>492158.73600000003</v>
      </c>
      <c r="T113">
        <v>490814.04000000004</v>
      </c>
      <c r="U113">
        <v>8.1000000000000003E-2</v>
      </c>
      <c r="V113">
        <v>9.9000000000000005E-2</v>
      </c>
      <c r="W113">
        <v>0</v>
      </c>
      <c r="X113">
        <v>0</v>
      </c>
      <c r="Y113">
        <v>8.1113999999999995E-3</v>
      </c>
      <c r="Z113">
        <v>8.1113999999999995E-3</v>
      </c>
      <c r="AA113">
        <v>0</v>
      </c>
      <c r="AB113">
        <v>8.1113999999999995E-3</v>
      </c>
      <c r="AC113">
        <v>8.1113999999999995E-3</v>
      </c>
      <c r="AD113">
        <v>8.1113999999999995E-3</v>
      </c>
      <c r="AE113">
        <v>0.99856936978717403</v>
      </c>
      <c r="AF113">
        <v>0.9982530609678838</v>
      </c>
      <c r="AG113">
        <v>1.0014456799157578</v>
      </c>
      <c r="AH113">
        <v>1.0017669421192597</v>
      </c>
      <c r="AI113">
        <v>0</v>
      </c>
      <c r="AJ113">
        <v>0</v>
      </c>
      <c r="AK113" s="74"/>
      <c r="AL113" s="74"/>
      <c r="AM113" s="74"/>
      <c r="AN113" s="74"/>
      <c r="AO113" s="74"/>
      <c r="AP113" s="74"/>
      <c r="AQ113" s="74"/>
      <c r="AT113" s="73"/>
      <c r="AU113" s="73"/>
      <c r="AV113" s="73"/>
      <c r="AW113" s="73"/>
      <c r="AX113" s="73"/>
      <c r="AY113" s="73"/>
      <c r="AZ113" s="73"/>
      <c r="BA113" s="73"/>
      <c r="BB113" s="73"/>
      <c r="BC113" s="73"/>
      <c r="BD113" s="73"/>
      <c r="BE113" s="73"/>
      <c r="BF113" s="73"/>
      <c r="BG113" s="73"/>
    </row>
    <row r="114" spans="1:59">
      <c r="A114">
        <v>10378</v>
      </c>
      <c r="B114" t="s">
        <v>119</v>
      </c>
      <c r="C114">
        <v>1</v>
      </c>
      <c r="D114">
        <v>0</v>
      </c>
      <c r="E114">
        <v>2.0510000000000002</v>
      </c>
      <c r="F114">
        <v>2.0470000000000002</v>
      </c>
      <c r="G114">
        <v>2.0630000000000002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2.0350000000000001</v>
      </c>
      <c r="O114">
        <v>2.0430000000000001</v>
      </c>
      <c r="P114">
        <v>17875.440000000002</v>
      </c>
      <c r="Q114">
        <v>17896.68</v>
      </c>
      <c r="R114">
        <v>2.0209999999999999</v>
      </c>
      <c r="S114">
        <v>17752.464</v>
      </c>
      <c r="T114">
        <v>17703.96</v>
      </c>
      <c r="U114">
        <v>1.4E-2</v>
      </c>
      <c r="V114">
        <v>2.1999999999999999E-2</v>
      </c>
      <c r="W114">
        <v>0</v>
      </c>
      <c r="X114">
        <v>0</v>
      </c>
      <c r="Y114">
        <v>2.9260000000000001E-4</v>
      </c>
      <c r="Z114">
        <v>2.9260000000000001E-4</v>
      </c>
      <c r="AA114">
        <v>0</v>
      </c>
      <c r="AB114">
        <v>2.9260000000000001E-4</v>
      </c>
      <c r="AC114">
        <v>2.9260000000000001E-4</v>
      </c>
      <c r="AD114">
        <v>2.9260000000000001E-4</v>
      </c>
      <c r="AE114">
        <v>0.99303622923832913</v>
      </c>
      <c r="AF114">
        <v>0.98914768795888397</v>
      </c>
      <c r="AG114">
        <v>1.0069272637308264</v>
      </c>
      <c r="AH114">
        <v>1.0108857001484415</v>
      </c>
      <c r="AI114">
        <v>0</v>
      </c>
      <c r="AJ114">
        <v>0</v>
      </c>
      <c r="AK114" s="74"/>
      <c r="AL114" s="74"/>
      <c r="AM114" s="74"/>
      <c r="AN114" s="74"/>
      <c r="AO114" s="74"/>
      <c r="AP114" s="74"/>
      <c r="AQ114" s="74"/>
      <c r="AT114" s="73"/>
      <c r="AU114" s="73"/>
      <c r="AV114" s="73"/>
      <c r="AW114" s="73"/>
      <c r="AX114" s="73"/>
      <c r="AY114" s="73"/>
      <c r="AZ114" s="73"/>
      <c r="BA114" s="73"/>
      <c r="BB114" s="73"/>
      <c r="BC114" s="73"/>
      <c r="BD114" s="73"/>
      <c r="BE114" s="73"/>
      <c r="BF114" s="73"/>
      <c r="BG114" s="73"/>
    </row>
    <row r="115" spans="1:59">
      <c r="A115">
        <v>10379</v>
      </c>
      <c r="B115" t="s">
        <v>120</v>
      </c>
      <c r="C115">
        <v>1</v>
      </c>
      <c r="D115">
        <v>0</v>
      </c>
      <c r="E115">
        <v>4.88</v>
      </c>
      <c r="F115">
        <v>4.5919999999999996</v>
      </c>
      <c r="G115">
        <v>4.6230000000000002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4.59</v>
      </c>
      <c r="O115">
        <v>4.6109999999999998</v>
      </c>
      <c r="P115">
        <v>40318.559999999998</v>
      </c>
      <c r="Q115">
        <v>40392.36</v>
      </c>
      <c r="R115">
        <v>4.8079999999999998</v>
      </c>
      <c r="S115">
        <v>42233.472000000002</v>
      </c>
      <c r="T115">
        <v>42118.080000000002</v>
      </c>
      <c r="U115">
        <v>0</v>
      </c>
      <c r="V115">
        <v>0</v>
      </c>
      <c r="W115">
        <v>0</v>
      </c>
      <c r="X115">
        <v>0</v>
      </c>
      <c r="Y115">
        <v>6.6450000000000005E-4</v>
      </c>
      <c r="Z115">
        <v>6.6750000000000002E-4</v>
      </c>
      <c r="AA115">
        <v>0</v>
      </c>
      <c r="AB115">
        <v>6.6450000000000005E-4</v>
      </c>
      <c r="AC115">
        <v>6.6750000000000002E-4</v>
      </c>
      <c r="AD115">
        <v>6.6600000000000003E-4</v>
      </c>
      <c r="AE115">
        <v>0.9999508882352941</v>
      </c>
      <c r="AF115">
        <v>0.99999233832140533</v>
      </c>
      <c r="AG115">
        <v>1</v>
      </c>
      <c r="AH115">
        <v>1</v>
      </c>
      <c r="AI115">
        <v>0</v>
      </c>
      <c r="AJ115">
        <v>0</v>
      </c>
      <c r="AK115" s="74"/>
      <c r="AL115" s="74"/>
      <c r="AM115" s="74"/>
      <c r="AN115" s="74"/>
      <c r="AO115" s="74"/>
      <c r="AP115" s="74"/>
      <c r="AQ115" s="74"/>
      <c r="AT115" s="73"/>
      <c r="AU115" s="73"/>
      <c r="AV115" s="73"/>
      <c r="AW115" s="73"/>
      <c r="AX115" s="73"/>
      <c r="AY115" s="73"/>
      <c r="AZ115" s="73"/>
      <c r="BA115" s="73"/>
      <c r="BB115" s="73"/>
      <c r="BC115" s="73"/>
      <c r="BD115" s="73"/>
      <c r="BE115" s="73"/>
      <c r="BF115" s="73"/>
      <c r="BG115" s="73"/>
    </row>
    <row r="116" spans="1:59">
      <c r="A116">
        <v>10388</v>
      </c>
      <c r="B116" t="s">
        <v>121</v>
      </c>
      <c r="C116">
        <v>1</v>
      </c>
      <c r="D116">
        <v>0</v>
      </c>
      <c r="E116">
        <v>114.91200000000001</v>
      </c>
      <c r="F116">
        <v>1676.096</v>
      </c>
      <c r="G116">
        <v>1960.538</v>
      </c>
      <c r="H116">
        <v>1453.2439999999999</v>
      </c>
      <c r="I116">
        <v>1737.075</v>
      </c>
      <c r="J116">
        <v>0.23200000000000001</v>
      </c>
      <c r="K116">
        <v>0.23200000000000001</v>
      </c>
      <c r="L116">
        <v>2037.8880000000001</v>
      </c>
      <c r="M116">
        <v>2032.3200000000002</v>
      </c>
      <c r="N116">
        <v>221.82499999999999</v>
      </c>
      <c r="O116">
        <v>221.953</v>
      </c>
      <c r="P116">
        <v>1948510.7999999998</v>
      </c>
      <c r="Q116">
        <v>1944308.28</v>
      </c>
      <c r="R116">
        <v>113.223</v>
      </c>
      <c r="S116">
        <v>994550.83199999994</v>
      </c>
      <c r="T116">
        <v>991833.48</v>
      </c>
      <c r="U116">
        <v>108.602</v>
      </c>
      <c r="V116">
        <v>108.73</v>
      </c>
      <c r="W116">
        <v>108.602</v>
      </c>
      <c r="X116">
        <v>108.73</v>
      </c>
      <c r="Y116">
        <v>1.63914E-2</v>
      </c>
      <c r="Z116">
        <v>1.63914E-2</v>
      </c>
      <c r="AA116">
        <v>0</v>
      </c>
      <c r="AB116">
        <v>1.63914E-2</v>
      </c>
      <c r="AC116">
        <v>1.63914E-2</v>
      </c>
      <c r="AD116">
        <v>1.63914E-2</v>
      </c>
      <c r="AE116">
        <v>0.51092699443836487</v>
      </c>
      <c r="AF116">
        <v>0.51063265118707368</v>
      </c>
      <c r="AG116">
        <v>1.9591867376769736</v>
      </c>
      <c r="AH116">
        <v>1.9603172500287045</v>
      </c>
      <c r="AI116">
        <v>7.8367469507078957E-2</v>
      </c>
      <c r="AJ116">
        <v>7.84126900011482E-2</v>
      </c>
      <c r="AK116" s="74"/>
      <c r="AL116" s="74"/>
      <c r="AM116" s="74"/>
      <c r="AN116" s="74"/>
      <c r="AO116" s="74"/>
      <c r="AP116" s="74"/>
      <c r="AQ116" s="74"/>
      <c r="AT116" s="73"/>
      <c r="AU116" s="73"/>
      <c r="AV116" s="73"/>
      <c r="AW116" s="73"/>
      <c r="AX116" s="73"/>
      <c r="AY116" s="73"/>
      <c r="AZ116" s="73"/>
      <c r="BA116" s="73"/>
      <c r="BB116" s="73"/>
      <c r="BC116" s="73"/>
      <c r="BD116" s="73"/>
      <c r="BE116" s="73"/>
      <c r="BF116" s="73"/>
      <c r="BG116" s="73"/>
    </row>
    <row r="117" spans="1:59">
      <c r="A117">
        <v>10391</v>
      </c>
      <c r="B117" t="s">
        <v>122</v>
      </c>
      <c r="C117">
        <v>1</v>
      </c>
      <c r="D117">
        <v>0</v>
      </c>
      <c r="E117">
        <v>30.423999999999999</v>
      </c>
      <c r="F117">
        <v>43.231999999999999</v>
      </c>
      <c r="G117">
        <v>43.853000000000002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38.054000000000002</v>
      </c>
      <c r="O117">
        <v>38.607999999999997</v>
      </c>
      <c r="P117">
        <v>334266.33600000001</v>
      </c>
      <c r="Q117">
        <v>338206.07999999996</v>
      </c>
      <c r="R117">
        <v>29.977</v>
      </c>
      <c r="S117">
        <v>263317.96799999999</v>
      </c>
      <c r="T117">
        <v>262598.52</v>
      </c>
      <c r="U117">
        <v>8.077</v>
      </c>
      <c r="V117">
        <v>8.6310000000000002</v>
      </c>
      <c r="W117">
        <v>8.077</v>
      </c>
      <c r="X117">
        <v>8.6310000000000002</v>
      </c>
      <c r="Y117">
        <v>4.3398000000000004E-3</v>
      </c>
      <c r="Z117">
        <v>4.3398000000000004E-3</v>
      </c>
      <c r="AA117">
        <v>0</v>
      </c>
      <c r="AB117">
        <v>4.3398000000000004E-3</v>
      </c>
      <c r="AC117">
        <v>4.3398000000000004E-3</v>
      </c>
      <c r="AD117">
        <v>4.3398000000000004E-3</v>
      </c>
      <c r="AE117">
        <v>0.78774691385925266</v>
      </c>
      <c r="AF117">
        <v>0.77644325165768768</v>
      </c>
      <c r="AG117">
        <v>1.2694399039263435</v>
      </c>
      <c r="AH117">
        <v>1.2879207392334122</v>
      </c>
      <c r="AI117">
        <v>3.8083197117790311E-2</v>
      </c>
      <c r="AJ117">
        <v>3.8637622177002368E-2</v>
      </c>
      <c r="AK117" s="74"/>
      <c r="AL117" s="74"/>
      <c r="AM117" s="74"/>
      <c r="AN117" s="74"/>
      <c r="AO117" s="74"/>
      <c r="AP117" s="74"/>
      <c r="AQ117" s="74"/>
      <c r="AT117" s="73"/>
      <c r="AU117" s="73"/>
      <c r="AV117" s="73"/>
      <c r="AW117" s="73"/>
      <c r="AX117" s="73"/>
      <c r="AY117" s="73"/>
      <c r="AZ117" s="73"/>
      <c r="BA117" s="73"/>
      <c r="BB117" s="73"/>
      <c r="BC117" s="73"/>
      <c r="BD117" s="73"/>
      <c r="BE117" s="73"/>
      <c r="BF117" s="73"/>
      <c r="BG117" s="73"/>
    </row>
    <row r="118" spans="1:59">
      <c r="A118">
        <v>10406</v>
      </c>
      <c r="B118" t="s">
        <v>123</v>
      </c>
      <c r="C118">
        <v>1</v>
      </c>
      <c r="D118">
        <v>0</v>
      </c>
      <c r="E118">
        <v>0.46500000000000002</v>
      </c>
      <c r="F118">
        <v>0.77700000000000002</v>
      </c>
      <c r="G118">
        <v>0.79600000000000004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0.66300000000000003</v>
      </c>
      <c r="O118">
        <v>0.66800000000000004</v>
      </c>
      <c r="P118">
        <v>5823.7920000000004</v>
      </c>
      <c r="Q118">
        <v>5851.68</v>
      </c>
      <c r="R118">
        <v>0.45800000000000002</v>
      </c>
      <c r="S118">
        <v>4023.0720000000001</v>
      </c>
      <c r="T118">
        <v>4012.0800000000004</v>
      </c>
      <c r="U118">
        <v>0.20499999999999999</v>
      </c>
      <c r="V118">
        <v>0.21</v>
      </c>
      <c r="W118">
        <v>0</v>
      </c>
      <c r="X118">
        <v>0</v>
      </c>
      <c r="Y118">
        <v>6.6299999999999999E-5</v>
      </c>
      <c r="Z118">
        <v>6.6299999999999999E-5</v>
      </c>
      <c r="AA118">
        <v>0</v>
      </c>
      <c r="AB118">
        <v>6.6299999999999999E-5</v>
      </c>
      <c r="AC118">
        <v>6.6299999999999999E-5</v>
      </c>
      <c r="AD118">
        <v>6.6299999999999999E-5</v>
      </c>
      <c r="AE118">
        <v>0.69035603619909502</v>
      </c>
      <c r="AF118">
        <v>0.68518870059880244</v>
      </c>
      <c r="AG118">
        <v>1.4475982532751093</v>
      </c>
      <c r="AH118">
        <v>1.4585152838427948</v>
      </c>
      <c r="AI118">
        <v>0</v>
      </c>
      <c r="AJ118">
        <v>0</v>
      </c>
      <c r="AK118" s="74"/>
      <c r="AL118" s="74"/>
      <c r="AM118" s="74"/>
      <c r="AN118" s="74"/>
      <c r="AO118" s="74"/>
      <c r="AP118" s="74"/>
      <c r="AQ118" s="74"/>
      <c r="AT118" s="73"/>
      <c r="AU118" s="73"/>
      <c r="AV118" s="73"/>
      <c r="AW118" s="73"/>
      <c r="AX118" s="73"/>
      <c r="AY118" s="73"/>
      <c r="AZ118" s="73"/>
      <c r="BA118" s="73"/>
      <c r="BB118" s="73"/>
      <c r="BC118" s="73"/>
      <c r="BD118" s="73"/>
      <c r="BE118" s="73"/>
      <c r="BF118" s="73"/>
      <c r="BG118" s="73"/>
    </row>
    <row r="119" spans="1:59">
      <c r="A119">
        <v>10408</v>
      </c>
      <c r="B119" t="s">
        <v>124</v>
      </c>
      <c r="C119">
        <v>1</v>
      </c>
      <c r="D119">
        <v>0</v>
      </c>
      <c r="E119">
        <v>1.55</v>
      </c>
      <c r="F119">
        <v>1.7909999999999999</v>
      </c>
      <c r="G119">
        <v>1.796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1.639</v>
      </c>
      <c r="O119">
        <v>1.6379999999999999</v>
      </c>
      <c r="P119">
        <v>14396.976000000001</v>
      </c>
      <c r="Q119">
        <v>14348.88</v>
      </c>
      <c r="R119">
        <v>1.5269999999999999</v>
      </c>
      <c r="S119">
        <v>13413.168</v>
      </c>
      <c r="T119">
        <v>13376.519999999999</v>
      </c>
      <c r="U119">
        <v>0.112</v>
      </c>
      <c r="V119">
        <v>0.111</v>
      </c>
      <c r="W119">
        <v>0</v>
      </c>
      <c r="X119">
        <v>0</v>
      </c>
      <c r="Y119">
        <v>2.2110000000000001E-4</v>
      </c>
      <c r="Z119">
        <v>2.2110000000000001E-4</v>
      </c>
      <c r="AA119">
        <v>0</v>
      </c>
      <c r="AB119">
        <v>2.2110000000000001E-4</v>
      </c>
      <c r="AC119">
        <v>2.2110000000000001E-4</v>
      </c>
      <c r="AD119">
        <v>2.2110000000000001E-4</v>
      </c>
      <c r="AE119">
        <v>0.93172636546674803</v>
      </c>
      <c r="AF119">
        <v>0.93229518498168507</v>
      </c>
      <c r="AG119">
        <v>1.0733464309102816</v>
      </c>
      <c r="AH119">
        <v>1.0726915520628684</v>
      </c>
      <c r="AI119">
        <v>0</v>
      </c>
      <c r="AJ119">
        <v>0</v>
      </c>
      <c r="AK119" s="74"/>
      <c r="AL119" s="74"/>
      <c r="AM119" s="74"/>
      <c r="AN119" s="74"/>
      <c r="AO119" s="74"/>
      <c r="AP119" s="74"/>
      <c r="AQ119" s="74"/>
      <c r="AT119" s="73"/>
      <c r="AU119" s="73"/>
      <c r="AV119" s="73"/>
      <c r="AW119" s="73"/>
      <c r="AX119" s="73"/>
      <c r="AY119" s="73"/>
      <c r="AZ119" s="73"/>
      <c r="BA119" s="73"/>
      <c r="BB119" s="73"/>
      <c r="BC119" s="73"/>
      <c r="BD119" s="73"/>
      <c r="BE119" s="73"/>
      <c r="BF119" s="73"/>
      <c r="BG119" s="73"/>
    </row>
    <row r="120" spans="1:59">
      <c r="A120">
        <v>10409</v>
      </c>
      <c r="B120" t="s">
        <v>125</v>
      </c>
      <c r="C120">
        <v>1</v>
      </c>
      <c r="D120">
        <v>0</v>
      </c>
      <c r="E120">
        <v>20.725999999999999</v>
      </c>
      <c r="F120">
        <v>26.707999999999998</v>
      </c>
      <c r="G120">
        <v>26.782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26.706</v>
      </c>
      <c r="O120">
        <v>26.702000000000002</v>
      </c>
      <c r="P120">
        <v>234585.50399999999</v>
      </c>
      <c r="Q120">
        <v>233909.52000000002</v>
      </c>
      <c r="R120">
        <v>20.420999999999999</v>
      </c>
      <c r="S120">
        <v>179378.06399999998</v>
      </c>
      <c r="T120">
        <v>178887.96</v>
      </c>
      <c r="U120">
        <v>6.2850000000000001</v>
      </c>
      <c r="V120">
        <v>6.2809999999999997</v>
      </c>
      <c r="W120">
        <v>6.2850000000000001</v>
      </c>
      <c r="X120">
        <v>6.2809999999999997</v>
      </c>
      <c r="Y120">
        <v>2.9564000000000001E-3</v>
      </c>
      <c r="Z120">
        <v>2.9564000000000001E-3</v>
      </c>
      <c r="AA120">
        <v>0</v>
      </c>
      <c r="AB120">
        <v>2.9564000000000001E-3</v>
      </c>
      <c r="AC120">
        <v>2.9564000000000001E-3</v>
      </c>
      <c r="AD120">
        <v>2.9564000000000001E-3</v>
      </c>
      <c r="AE120">
        <v>0.76465567855538086</v>
      </c>
      <c r="AF120">
        <v>0.7647702251329489</v>
      </c>
      <c r="AG120">
        <v>1.3077714117819892</v>
      </c>
      <c r="AH120">
        <v>1.3075755349884923</v>
      </c>
      <c r="AI120">
        <v>0</v>
      </c>
      <c r="AJ120">
        <v>0</v>
      </c>
      <c r="AK120" s="74"/>
      <c r="AL120" s="74"/>
      <c r="AM120" s="74"/>
      <c r="AN120" s="74"/>
      <c r="AO120" s="74"/>
      <c r="AP120" s="74"/>
      <c r="AQ120" s="74"/>
      <c r="AT120" s="73"/>
      <c r="AU120" s="73"/>
      <c r="AV120" s="73"/>
      <c r="AW120" s="73"/>
      <c r="AX120" s="73"/>
      <c r="AY120" s="73"/>
      <c r="AZ120" s="73"/>
      <c r="BA120" s="73"/>
      <c r="BB120" s="73"/>
      <c r="BC120" s="73"/>
      <c r="BD120" s="73"/>
      <c r="BE120" s="73"/>
      <c r="BF120" s="73"/>
      <c r="BG120" s="73"/>
    </row>
    <row r="121" spans="1:59">
      <c r="A121">
        <v>10426</v>
      </c>
      <c r="B121" t="s">
        <v>126</v>
      </c>
      <c r="C121">
        <v>1</v>
      </c>
      <c r="D121">
        <v>0</v>
      </c>
      <c r="E121">
        <v>37.084000000000003</v>
      </c>
      <c r="F121">
        <v>38.929000000000002</v>
      </c>
      <c r="G121">
        <v>41.387999999999998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31.696000000000002</v>
      </c>
      <c r="O121">
        <v>37.084000000000003</v>
      </c>
      <c r="P121">
        <v>278417.66399999999</v>
      </c>
      <c r="Q121">
        <v>324855.84000000003</v>
      </c>
      <c r="R121">
        <v>36.539000000000001</v>
      </c>
      <c r="S121">
        <v>320958.576</v>
      </c>
      <c r="T121">
        <v>320081.64</v>
      </c>
      <c r="U121">
        <v>0</v>
      </c>
      <c r="V121">
        <v>0.54500000000000004</v>
      </c>
      <c r="W121">
        <v>0</v>
      </c>
      <c r="X121">
        <v>0</v>
      </c>
      <c r="Y121">
        <v>4.5887000000000002E-3</v>
      </c>
      <c r="Z121">
        <v>5.2897999999999999E-3</v>
      </c>
      <c r="AA121">
        <v>0</v>
      </c>
      <c r="AB121">
        <v>4.5887000000000002E-3</v>
      </c>
      <c r="AC121">
        <v>5.2897999999999999E-3</v>
      </c>
      <c r="AD121">
        <v>4.9392500000000001E-3</v>
      </c>
      <c r="AE121">
        <v>1</v>
      </c>
      <c r="AF121">
        <v>0.98529789518390654</v>
      </c>
      <c r="AG121">
        <v>1</v>
      </c>
      <c r="AH121">
        <v>1.0149155696652892</v>
      </c>
      <c r="AI121">
        <v>0</v>
      </c>
      <c r="AJ121">
        <v>0</v>
      </c>
      <c r="AK121" s="74"/>
      <c r="AL121" s="74"/>
      <c r="AM121" s="74"/>
      <c r="AN121" s="74"/>
      <c r="AO121" s="74"/>
      <c r="AP121" s="74"/>
      <c r="AQ121" s="74"/>
      <c r="AT121" s="73"/>
      <c r="AU121" s="73"/>
      <c r="AV121" s="73"/>
      <c r="AW121" s="73"/>
      <c r="AX121" s="73"/>
      <c r="AY121" s="73"/>
      <c r="AZ121" s="73"/>
      <c r="BA121" s="73"/>
      <c r="BB121" s="73"/>
      <c r="BC121" s="73"/>
      <c r="BD121" s="73"/>
      <c r="BE121" s="73"/>
      <c r="BF121" s="73"/>
      <c r="BG121" s="73"/>
    </row>
    <row r="122" spans="1:59">
      <c r="A122">
        <v>10434</v>
      </c>
      <c r="B122" t="s">
        <v>127</v>
      </c>
      <c r="C122">
        <v>1</v>
      </c>
      <c r="D122">
        <v>0</v>
      </c>
      <c r="E122">
        <v>27.562000000000001</v>
      </c>
      <c r="F122">
        <v>29.347999999999999</v>
      </c>
      <c r="G122">
        <v>29.643000000000001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27.193000000000001</v>
      </c>
      <c r="O122">
        <v>27.382999999999999</v>
      </c>
      <c r="P122">
        <v>238863.31200000001</v>
      </c>
      <c r="Q122">
        <v>239875.08</v>
      </c>
      <c r="R122">
        <v>27.157</v>
      </c>
      <c r="S122">
        <v>238547.08799999999</v>
      </c>
      <c r="T122">
        <v>237895.32</v>
      </c>
      <c r="U122">
        <v>3.5999999999999997E-2</v>
      </c>
      <c r="V122">
        <v>0.22600000000000001</v>
      </c>
      <c r="W122">
        <v>0</v>
      </c>
      <c r="X122">
        <v>0</v>
      </c>
      <c r="Y122">
        <v>3.9315000000000001E-3</v>
      </c>
      <c r="Z122">
        <v>3.9315000000000001E-3</v>
      </c>
      <c r="AA122">
        <v>0</v>
      </c>
      <c r="AB122">
        <v>3.9315000000000001E-3</v>
      </c>
      <c r="AC122">
        <v>3.9315000000000001E-3</v>
      </c>
      <c r="AD122">
        <v>3.9315000000000001E-3</v>
      </c>
      <c r="AE122">
        <v>0.99868443172875376</v>
      </c>
      <c r="AF122">
        <v>0.99175494839864164</v>
      </c>
      <c r="AG122">
        <v>1.001325625069043</v>
      </c>
      <c r="AH122">
        <v>1.0083219796001031</v>
      </c>
      <c r="AI122">
        <v>0</v>
      </c>
      <c r="AJ122">
        <v>0</v>
      </c>
      <c r="AK122" s="74"/>
      <c r="AL122" s="74"/>
      <c r="AM122" s="74"/>
      <c r="AN122" s="74"/>
      <c r="AO122" s="74"/>
      <c r="AP122" s="74"/>
      <c r="AQ122" s="74"/>
      <c r="AT122" s="73"/>
      <c r="AU122" s="73"/>
      <c r="AV122" s="73"/>
      <c r="AW122" s="73"/>
      <c r="AX122" s="73"/>
      <c r="AY122" s="73"/>
      <c r="AZ122" s="73"/>
      <c r="BA122" s="73"/>
      <c r="BB122" s="73"/>
      <c r="BC122" s="73"/>
      <c r="BD122" s="73"/>
      <c r="BE122" s="73"/>
      <c r="BF122" s="73"/>
      <c r="BG122" s="73"/>
    </row>
    <row r="123" spans="1:59">
      <c r="A123">
        <v>10436</v>
      </c>
      <c r="B123" t="s">
        <v>128</v>
      </c>
      <c r="C123">
        <v>1</v>
      </c>
      <c r="D123">
        <v>0</v>
      </c>
      <c r="E123">
        <v>19.437999999999999</v>
      </c>
      <c r="F123">
        <v>25.687999999999999</v>
      </c>
      <c r="G123">
        <v>26.239000000000001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24.898</v>
      </c>
      <c r="O123">
        <v>25.148</v>
      </c>
      <c r="P123">
        <v>218704.03200000001</v>
      </c>
      <c r="Q123">
        <v>220296.48</v>
      </c>
      <c r="R123">
        <v>19.152000000000001</v>
      </c>
      <c r="S123">
        <v>168231.16800000001</v>
      </c>
      <c r="T123">
        <v>167771.52000000002</v>
      </c>
      <c r="U123">
        <v>5.7460000000000004</v>
      </c>
      <c r="V123">
        <v>5.9960000000000004</v>
      </c>
      <c r="W123">
        <v>5.7460000000000004</v>
      </c>
      <c r="X123">
        <v>5.9960000000000004</v>
      </c>
      <c r="Y123">
        <v>2.7726000000000001E-3</v>
      </c>
      <c r="Z123">
        <v>2.7726000000000001E-3</v>
      </c>
      <c r="AA123">
        <v>0</v>
      </c>
      <c r="AB123">
        <v>2.7726000000000001E-3</v>
      </c>
      <c r="AC123">
        <v>2.7726000000000001E-3</v>
      </c>
      <c r="AD123">
        <v>2.7726000000000001E-3</v>
      </c>
      <c r="AE123">
        <v>0.76923103050445807</v>
      </c>
      <c r="AF123">
        <v>0.76158399067520266</v>
      </c>
      <c r="AG123">
        <v>1.3000208855472013</v>
      </c>
      <c r="AH123">
        <v>1.3130743525480366</v>
      </c>
      <c r="AI123">
        <v>9.1001461988304097E-2</v>
      </c>
      <c r="AJ123">
        <v>9.1915204678362575E-2</v>
      </c>
      <c r="AK123" s="74"/>
      <c r="AL123" s="74"/>
      <c r="AM123" s="74"/>
      <c r="AN123" s="74"/>
      <c r="AO123" s="74"/>
      <c r="AP123" s="74"/>
      <c r="AQ123" s="74"/>
      <c r="AT123" s="73"/>
      <c r="AU123" s="73"/>
      <c r="AV123" s="73"/>
      <c r="AW123" s="73"/>
      <c r="AX123" s="73"/>
      <c r="AY123" s="73"/>
      <c r="AZ123" s="73"/>
      <c r="BA123" s="73"/>
      <c r="BB123" s="73"/>
      <c r="BC123" s="73"/>
      <c r="BD123" s="73"/>
      <c r="BE123" s="73"/>
      <c r="BF123" s="73"/>
      <c r="BG123" s="73"/>
    </row>
    <row r="124" spans="1:59">
      <c r="A124">
        <v>10440</v>
      </c>
      <c r="B124" t="s">
        <v>129</v>
      </c>
      <c r="C124">
        <v>1</v>
      </c>
      <c r="D124">
        <v>0</v>
      </c>
      <c r="E124">
        <v>5.08</v>
      </c>
      <c r="F124">
        <v>5.4829999999999997</v>
      </c>
      <c r="G124">
        <v>5.508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5.2519999999999998</v>
      </c>
      <c r="O124">
        <v>5.2679999999999998</v>
      </c>
      <c r="P124">
        <v>46133.567999999999</v>
      </c>
      <c r="Q124">
        <v>46147.68</v>
      </c>
      <c r="R124">
        <v>5.0049999999999999</v>
      </c>
      <c r="S124">
        <v>43963.92</v>
      </c>
      <c r="T124">
        <v>43843.799999999996</v>
      </c>
      <c r="U124">
        <v>0.247</v>
      </c>
      <c r="V124">
        <v>0.26300000000000001</v>
      </c>
      <c r="W124">
        <v>0</v>
      </c>
      <c r="X124">
        <v>0</v>
      </c>
      <c r="Y124">
        <v>7.2460000000000005E-4</v>
      </c>
      <c r="Z124">
        <v>7.2460000000000005E-4</v>
      </c>
      <c r="AA124">
        <v>0</v>
      </c>
      <c r="AB124">
        <v>7.2460000000000005E-4</v>
      </c>
      <c r="AC124">
        <v>7.2460000000000005E-4</v>
      </c>
      <c r="AD124">
        <v>7.2460000000000005E-4</v>
      </c>
      <c r="AE124">
        <v>0.95298942098248285</v>
      </c>
      <c r="AF124">
        <v>0.95009499601366743</v>
      </c>
      <c r="AG124">
        <v>1.0493506493506493</v>
      </c>
      <c r="AH124">
        <v>1.0525474525474525</v>
      </c>
      <c r="AI124">
        <v>5.7714285714285711E-2</v>
      </c>
      <c r="AJ124">
        <v>5.7890109890109891E-2</v>
      </c>
      <c r="AK124" s="74"/>
      <c r="AL124" s="74"/>
      <c r="AM124" s="74"/>
      <c r="AN124" s="74"/>
      <c r="AO124" s="74"/>
      <c r="AP124" s="74"/>
      <c r="AQ124" s="74"/>
      <c r="AT124" s="73"/>
      <c r="AU124" s="73"/>
      <c r="AV124" s="73"/>
      <c r="AW124" s="73"/>
      <c r="AX124" s="73"/>
      <c r="AY124" s="73"/>
      <c r="AZ124" s="73"/>
      <c r="BA124" s="73"/>
      <c r="BB124" s="73"/>
      <c r="BC124" s="73"/>
      <c r="BD124" s="73"/>
      <c r="BE124" s="73"/>
      <c r="BF124" s="73"/>
      <c r="BG124" s="73"/>
    </row>
    <row r="125" spans="1:59">
      <c r="A125">
        <v>10442</v>
      </c>
      <c r="B125" t="s">
        <v>130</v>
      </c>
      <c r="C125">
        <v>1</v>
      </c>
      <c r="D125">
        <v>0</v>
      </c>
      <c r="E125">
        <v>13.596</v>
      </c>
      <c r="F125">
        <v>13.083</v>
      </c>
      <c r="G125">
        <v>13.132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12.585000000000001</v>
      </c>
      <c r="O125">
        <v>12.635</v>
      </c>
      <c r="P125">
        <v>110546.64000000001</v>
      </c>
      <c r="Q125">
        <v>110682.59999999999</v>
      </c>
      <c r="R125">
        <v>13.396000000000001</v>
      </c>
      <c r="S125">
        <v>117670.46400000001</v>
      </c>
      <c r="T125">
        <v>117348.96</v>
      </c>
      <c r="U125">
        <v>0</v>
      </c>
      <c r="V125">
        <v>0</v>
      </c>
      <c r="W125">
        <v>0</v>
      </c>
      <c r="X125">
        <v>0</v>
      </c>
      <c r="Y125">
        <v>1.8219E-3</v>
      </c>
      <c r="Z125">
        <v>1.8292E-3</v>
      </c>
      <c r="AA125">
        <v>0</v>
      </c>
      <c r="AB125">
        <v>1.8219E-3</v>
      </c>
      <c r="AC125">
        <v>1.8292E-3</v>
      </c>
      <c r="AD125">
        <v>1.82555E-3</v>
      </c>
      <c r="AE125">
        <v>0.99998390309892715</v>
      </c>
      <c r="AF125">
        <v>0.99999582999604275</v>
      </c>
      <c r="AG125">
        <v>1</v>
      </c>
      <c r="AH125">
        <v>1</v>
      </c>
      <c r="AI125">
        <v>7.0000000000000007E-2</v>
      </c>
      <c r="AJ125">
        <v>7.0000000000000007E-2</v>
      </c>
      <c r="AK125" s="74"/>
      <c r="AL125" s="74"/>
      <c r="AM125" s="74"/>
      <c r="AN125" s="74"/>
      <c r="AO125" s="74"/>
      <c r="AP125" s="74"/>
      <c r="AQ125" s="74"/>
      <c r="AT125" s="73"/>
      <c r="AU125" s="73"/>
      <c r="AV125" s="73"/>
      <c r="AW125" s="73"/>
      <c r="AX125" s="73"/>
      <c r="AY125" s="73"/>
      <c r="AZ125" s="73"/>
      <c r="BA125" s="73"/>
      <c r="BB125" s="73"/>
      <c r="BC125" s="73"/>
      <c r="BD125" s="73"/>
      <c r="BE125" s="73"/>
      <c r="BF125" s="73"/>
      <c r="BG125" s="73"/>
    </row>
    <row r="126" spans="1:59">
      <c r="A126">
        <v>10446</v>
      </c>
      <c r="B126" t="s">
        <v>131</v>
      </c>
      <c r="C126">
        <v>1</v>
      </c>
      <c r="D126">
        <v>0</v>
      </c>
      <c r="E126">
        <v>97.2</v>
      </c>
      <c r="F126">
        <v>85.79</v>
      </c>
      <c r="G126">
        <v>90.8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97.009</v>
      </c>
      <c r="O126">
        <v>99.700999999999993</v>
      </c>
      <c r="P126">
        <v>852127.05599999998</v>
      </c>
      <c r="Q126">
        <v>873380.75999999989</v>
      </c>
      <c r="R126">
        <v>95.771000000000001</v>
      </c>
      <c r="S126">
        <v>841252.46400000004</v>
      </c>
      <c r="T126">
        <v>838953.96</v>
      </c>
      <c r="U126">
        <v>1.2379999999999995</v>
      </c>
      <c r="V126">
        <v>3.9299999999999926</v>
      </c>
      <c r="W126">
        <v>1.2379999999999995</v>
      </c>
      <c r="X126">
        <v>3.9299999999999926</v>
      </c>
      <c r="Y126">
        <v>1.38648E-2</v>
      </c>
      <c r="Z126">
        <v>1.38648E-2</v>
      </c>
      <c r="AA126">
        <v>0</v>
      </c>
      <c r="AB126">
        <v>1.38648E-2</v>
      </c>
      <c r="AC126">
        <v>1.38648E-2</v>
      </c>
      <c r="AD126">
        <v>1.38648E-2</v>
      </c>
      <c r="AE126">
        <v>0.9872357550536548</v>
      </c>
      <c r="AF126">
        <v>0.96057966682380314</v>
      </c>
      <c r="AG126">
        <v>1.0129266688245919</v>
      </c>
      <c r="AH126">
        <v>1.0410353864948678</v>
      </c>
      <c r="AI126">
        <v>6.5840233473598478E-2</v>
      </c>
      <c r="AJ126">
        <v>6.7667300122166416E-2</v>
      </c>
      <c r="AK126" s="74"/>
      <c r="AL126" s="74"/>
      <c r="AM126" s="74"/>
      <c r="AN126" s="74"/>
      <c r="AO126" s="74"/>
      <c r="AP126" s="74"/>
      <c r="AQ126" s="74"/>
      <c r="AT126" s="73"/>
      <c r="AU126" s="73"/>
      <c r="AV126" s="73"/>
      <c r="AW126" s="73"/>
      <c r="AX126" s="73"/>
      <c r="AY126" s="73"/>
      <c r="AZ126" s="73"/>
      <c r="BA126" s="73"/>
      <c r="BB126" s="73"/>
      <c r="BC126" s="73"/>
      <c r="BD126" s="73"/>
      <c r="BE126" s="73"/>
      <c r="BF126" s="73"/>
      <c r="BG126" s="73"/>
    </row>
    <row r="127" spans="1:59">
      <c r="A127">
        <v>10448</v>
      </c>
      <c r="B127" t="s">
        <v>132</v>
      </c>
      <c r="C127">
        <v>0</v>
      </c>
      <c r="D127">
        <v>1</v>
      </c>
      <c r="E127">
        <v>8.6079999999999988</v>
      </c>
      <c r="F127">
        <v>9.0760000000000005</v>
      </c>
      <c r="G127">
        <v>9.1539999999999999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8.2409999999999997</v>
      </c>
      <c r="O127">
        <v>8.2360000000000007</v>
      </c>
      <c r="P127">
        <v>72388.944000000003</v>
      </c>
      <c r="Q127">
        <v>72147.360000000001</v>
      </c>
      <c r="R127">
        <v>8.4809999999999999</v>
      </c>
      <c r="S127">
        <v>74497.103999999992</v>
      </c>
      <c r="T127">
        <v>74293.56</v>
      </c>
      <c r="U127">
        <v>0</v>
      </c>
      <c r="V127">
        <v>0</v>
      </c>
      <c r="W127">
        <v>0</v>
      </c>
      <c r="X127">
        <v>0</v>
      </c>
      <c r="Y127">
        <v>1.1931000000000001E-3</v>
      </c>
      <c r="Z127">
        <v>1.1923000000000001E-3</v>
      </c>
      <c r="AA127">
        <v>0</v>
      </c>
      <c r="AB127">
        <v>1.1931000000000001E-3</v>
      </c>
      <c r="AC127">
        <v>1.1923000000000001E-3</v>
      </c>
      <c r="AD127">
        <v>1.1927000000000001E-3</v>
      </c>
      <c r="AE127">
        <v>0.99997912213323625</v>
      </c>
      <c r="AF127">
        <v>0.99998586571151016</v>
      </c>
      <c r="AG127">
        <v>1</v>
      </c>
      <c r="AH127">
        <v>1</v>
      </c>
      <c r="AI127">
        <v>7.0000000000000007E-2</v>
      </c>
      <c r="AJ127">
        <v>7.0000000000000007E-2</v>
      </c>
      <c r="AK127" s="74"/>
      <c r="AL127" s="74"/>
      <c r="AM127" s="74"/>
      <c r="AN127" s="74"/>
      <c r="AO127" s="74"/>
      <c r="AP127" s="74"/>
      <c r="AQ127" s="74"/>
      <c r="AT127" s="73"/>
      <c r="AU127" s="73"/>
      <c r="AV127" s="73"/>
      <c r="AW127" s="73"/>
      <c r="AX127" s="73"/>
      <c r="AY127" s="73"/>
      <c r="AZ127" s="73"/>
      <c r="BA127" s="73"/>
      <c r="BB127" s="73"/>
      <c r="BC127" s="73"/>
      <c r="BD127" s="73"/>
      <c r="BE127" s="73"/>
      <c r="BF127" s="73"/>
      <c r="BG127" s="73"/>
    </row>
    <row r="128" spans="1:59">
      <c r="A128">
        <v>10451</v>
      </c>
      <c r="B128" t="s">
        <v>133</v>
      </c>
      <c r="C128">
        <v>1</v>
      </c>
      <c r="D128">
        <v>0</v>
      </c>
      <c r="E128">
        <v>27.233000000000001</v>
      </c>
      <c r="F128">
        <v>31.989000000000001</v>
      </c>
      <c r="G128">
        <v>31.957000000000001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26.242000000000001</v>
      </c>
      <c r="O128">
        <v>26.806000000000001</v>
      </c>
      <c r="P128">
        <v>230509.728</v>
      </c>
      <c r="Q128">
        <v>234820.56</v>
      </c>
      <c r="R128">
        <v>26.832999999999998</v>
      </c>
      <c r="S128">
        <v>235701.07199999999</v>
      </c>
      <c r="T128">
        <v>235057.08</v>
      </c>
      <c r="U128">
        <v>0</v>
      </c>
      <c r="V128">
        <v>0</v>
      </c>
      <c r="W128">
        <v>0</v>
      </c>
      <c r="X128">
        <v>0</v>
      </c>
      <c r="Y128">
        <v>3.7991000000000001E-3</v>
      </c>
      <c r="Z128">
        <v>3.8806999999999999E-3</v>
      </c>
      <c r="AA128">
        <v>0</v>
      </c>
      <c r="AB128">
        <v>3.7991000000000001E-3</v>
      </c>
      <c r="AC128">
        <v>3.8806999999999999E-3</v>
      </c>
      <c r="AD128">
        <v>3.8399000000000003E-3</v>
      </c>
      <c r="AE128">
        <v>0.99999289871198838</v>
      </c>
      <c r="AF128">
        <v>1</v>
      </c>
      <c r="AG128">
        <v>1</v>
      </c>
      <c r="AH128">
        <v>1</v>
      </c>
      <c r="AI128">
        <v>0</v>
      </c>
      <c r="AJ128">
        <v>0</v>
      </c>
      <c r="AK128" s="74"/>
      <c r="AL128" s="74"/>
      <c r="AM128" s="74"/>
      <c r="AN128" s="74"/>
      <c r="AO128" s="74"/>
      <c r="AP128" s="74"/>
      <c r="AQ128" s="74"/>
      <c r="AT128" s="73"/>
      <c r="AU128" s="73"/>
      <c r="AV128" s="73"/>
      <c r="AW128" s="73"/>
      <c r="AX128" s="73"/>
      <c r="AY128" s="73"/>
      <c r="AZ128" s="73"/>
      <c r="BA128" s="73"/>
      <c r="BB128" s="73"/>
      <c r="BC128" s="73"/>
      <c r="BD128" s="73"/>
      <c r="BE128" s="73"/>
      <c r="BF128" s="73"/>
      <c r="BG128" s="73"/>
    </row>
    <row r="129" spans="1:67">
      <c r="A129">
        <v>10482</v>
      </c>
      <c r="B129" t="s">
        <v>134</v>
      </c>
      <c r="C129">
        <v>1</v>
      </c>
      <c r="D129">
        <v>0</v>
      </c>
      <c r="E129">
        <v>4.1749999999999998</v>
      </c>
      <c r="F129">
        <v>2.6819999999999999</v>
      </c>
      <c r="G129">
        <v>2.6890000000000001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2.7749999999999999</v>
      </c>
      <c r="O129">
        <v>2.8090000000000002</v>
      </c>
      <c r="P129">
        <v>24375.599999999999</v>
      </c>
      <c r="Q129">
        <v>24606.84</v>
      </c>
      <c r="R129">
        <v>4.1139999999999999</v>
      </c>
      <c r="S129">
        <v>36137.375999999997</v>
      </c>
      <c r="T129">
        <v>36038.639999999999</v>
      </c>
      <c r="U129">
        <v>0</v>
      </c>
      <c r="V129">
        <v>0</v>
      </c>
      <c r="W129">
        <v>0</v>
      </c>
      <c r="X129">
        <v>0</v>
      </c>
      <c r="Y129">
        <v>4.0170000000000001E-4</v>
      </c>
      <c r="Z129">
        <v>4.0670000000000002E-4</v>
      </c>
      <c r="AA129">
        <v>0</v>
      </c>
      <c r="AB129">
        <v>4.0170000000000001E-4</v>
      </c>
      <c r="AC129">
        <v>4.0670000000000002E-4</v>
      </c>
      <c r="AD129">
        <v>4.0420000000000001E-4</v>
      </c>
      <c r="AE129">
        <v>1</v>
      </c>
      <c r="AF129">
        <v>1</v>
      </c>
      <c r="AG129">
        <v>1</v>
      </c>
      <c r="AH129">
        <v>1</v>
      </c>
      <c r="AI129">
        <v>0</v>
      </c>
      <c r="AJ129">
        <v>0</v>
      </c>
      <c r="AK129" s="74"/>
      <c r="AL129" s="74"/>
      <c r="AM129" s="74"/>
      <c r="AN129" s="74"/>
      <c r="AO129" s="74"/>
      <c r="AP129" s="74"/>
      <c r="AQ129" s="74"/>
      <c r="AT129" s="73"/>
      <c r="AU129" s="73"/>
      <c r="AV129" s="73"/>
      <c r="AW129" s="73"/>
      <c r="AX129" s="73"/>
      <c r="AY129" s="73"/>
      <c r="AZ129" s="73"/>
      <c r="BA129" s="73"/>
      <c r="BB129" s="73"/>
      <c r="BC129" s="73"/>
      <c r="BD129" s="73"/>
      <c r="BE129" s="73"/>
      <c r="BF129" s="73"/>
      <c r="BG129" s="73"/>
    </row>
    <row r="130" spans="1:67">
      <c r="A130">
        <v>10502</v>
      </c>
      <c r="B130" t="s">
        <v>135</v>
      </c>
      <c r="C130">
        <v>1</v>
      </c>
      <c r="D130">
        <v>0</v>
      </c>
      <c r="E130">
        <v>18.986000000000001</v>
      </c>
      <c r="F130">
        <v>18.760000000000002</v>
      </c>
      <c r="G130">
        <v>18.855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18.614999999999998</v>
      </c>
      <c r="O130">
        <v>18.718</v>
      </c>
      <c r="P130">
        <v>163514.15999999997</v>
      </c>
      <c r="Q130">
        <v>163969.68</v>
      </c>
      <c r="R130">
        <v>18.707000000000001</v>
      </c>
      <c r="S130">
        <v>164322.288</v>
      </c>
      <c r="T130">
        <v>163873.32</v>
      </c>
      <c r="U130">
        <v>0</v>
      </c>
      <c r="V130">
        <v>1.0999999999999999E-2</v>
      </c>
      <c r="W130">
        <v>0</v>
      </c>
      <c r="X130">
        <v>0</v>
      </c>
      <c r="Y130">
        <v>2.6949000000000001E-3</v>
      </c>
      <c r="Z130">
        <v>2.7082E-3</v>
      </c>
      <c r="AA130">
        <v>0</v>
      </c>
      <c r="AB130">
        <v>2.6949000000000001E-3</v>
      </c>
      <c r="AC130">
        <v>2.7082E-3</v>
      </c>
      <c r="AD130">
        <v>2.70155E-3</v>
      </c>
      <c r="AE130">
        <v>0.99998883271555206</v>
      </c>
      <c r="AF130">
        <v>0.99942954388823579</v>
      </c>
      <c r="AG130">
        <v>1</v>
      </c>
      <c r="AH130">
        <v>1.0005880151814828</v>
      </c>
      <c r="AI130">
        <v>7.0000000000000007E-2</v>
      </c>
      <c r="AJ130">
        <v>7.0041161062703805E-2</v>
      </c>
      <c r="AK130" s="74"/>
      <c r="AL130" s="74"/>
      <c r="AM130" s="74"/>
      <c r="AN130" s="74"/>
      <c r="AO130" s="74"/>
      <c r="AP130" s="74"/>
      <c r="AQ130" s="74"/>
      <c r="AT130" s="73"/>
      <c r="AU130" s="73"/>
      <c r="AV130" s="73"/>
      <c r="AW130" s="73"/>
      <c r="AX130" s="73"/>
      <c r="AY130" s="73"/>
      <c r="AZ130" s="73"/>
      <c r="BA130" s="73"/>
      <c r="BB130" s="73"/>
      <c r="BC130" s="73"/>
      <c r="BD130" s="73"/>
      <c r="BE130" s="73"/>
      <c r="BF130" s="73"/>
      <c r="BG130" s="73"/>
    </row>
    <row r="131" spans="1:67">
      <c r="A131">
        <v>13927</v>
      </c>
      <c r="B131" t="s">
        <v>238</v>
      </c>
      <c r="C131">
        <v>1</v>
      </c>
      <c r="D131">
        <v>0</v>
      </c>
      <c r="E131">
        <v>4.1340000000000003</v>
      </c>
      <c r="F131">
        <v>4.4729999999999999</v>
      </c>
      <c r="G131">
        <v>4.5350000000000001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3.5659999999999998</v>
      </c>
      <c r="O131">
        <v>4.0679999999999996</v>
      </c>
      <c r="P131">
        <v>31323.743999999999</v>
      </c>
      <c r="Q131">
        <v>35635.679999999993</v>
      </c>
      <c r="R131">
        <v>4.0730000000000004</v>
      </c>
      <c r="S131">
        <v>35777.232000000004</v>
      </c>
      <c r="T131">
        <v>35679.480000000003</v>
      </c>
      <c r="U131">
        <v>0</v>
      </c>
      <c r="V131">
        <v>0</v>
      </c>
      <c r="W131">
        <v>0</v>
      </c>
      <c r="X131">
        <v>0</v>
      </c>
      <c r="Y131">
        <v>5.1630000000000003E-4</v>
      </c>
      <c r="Z131">
        <v>5.8889999999999995E-4</v>
      </c>
      <c r="AA131">
        <v>0</v>
      </c>
      <c r="AB131">
        <v>5.1630000000000003E-4</v>
      </c>
      <c r="AC131">
        <v>5.8889999999999995E-4</v>
      </c>
      <c r="AD131">
        <v>5.5259999999999999E-4</v>
      </c>
      <c r="AE131">
        <v>1</v>
      </c>
      <c r="AF131">
        <v>0.999948845501475</v>
      </c>
      <c r="AG131">
        <v>1</v>
      </c>
      <c r="AH131">
        <v>1</v>
      </c>
      <c r="AI131">
        <v>0</v>
      </c>
      <c r="AJ131">
        <v>0</v>
      </c>
      <c r="AK131" s="74"/>
      <c r="AL131" s="74"/>
      <c r="AM131" s="74"/>
      <c r="AN131" s="74"/>
      <c r="AO131" s="74"/>
      <c r="AP131" s="74"/>
      <c r="AQ131" s="74"/>
      <c r="AT131" s="73"/>
      <c r="AU131" s="73"/>
      <c r="AV131" s="73"/>
      <c r="AW131" s="73"/>
      <c r="AX131" s="73"/>
      <c r="AY131" s="73"/>
      <c r="AZ131" s="73"/>
      <c r="BA131" s="73"/>
      <c r="BB131" s="73"/>
      <c r="BC131" s="73"/>
      <c r="BD131" s="73"/>
      <c r="BE131" s="73"/>
      <c r="BF131" s="73"/>
      <c r="BG131" s="73"/>
    </row>
    <row r="132" spans="1:67">
      <c r="A132">
        <v>10597</v>
      </c>
      <c r="B132" t="s">
        <v>136</v>
      </c>
      <c r="C132">
        <v>1</v>
      </c>
      <c r="D132">
        <v>0</v>
      </c>
      <c r="E132">
        <v>13.13</v>
      </c>
      <c r="F132">
        <v>12.941000000000001</v>
      </c>
      <c r="G132">
        <v>13.032999999999999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12.315</v>
      </c>
      <c r="O132">
        <v>12.32</v>
      </c>
      <c r="P132">
        <v>108174.95999999999</v>
      </c>
      <c r="Q132">
        <v>107923.2</v>
      </c>
      <c r="R132">
        <v>12.936999999999999</v>
      </c>
      <c r="S132">
        <v>113638.60799999999</v>
      </c>
      <c r="T132">
        <v>113328.12</v>
      </c>
      <c r="U132">
        <v>0</v>
      </c>
      <c r="V132">
        <v>0</v>
      </c>
      <c r="W132">
        <v>0</v>
      </c>
      <c r="X132">
        <v>0</v>
      </c>
      <c r="Y132">
        <v>1.7829E-3</v>
      </c>
      <c r="Z132">
        <v>1.7836E-3</v>
      </c>
      <c r="AA132">
        <v>0</v>
      </c>
      <c r="AB132">
        <v>1.7829E-3</v>
      </c>
      <c r="AC132">
        <v>1.7836E-3</v>
      </c>
      <c r="AD132">
        <v>1.7832500000000001E-3</v>
      </c>
      <c r="AE132">
        <v>0.99999812241169306</v>
      </c>
      <c r="AF132">
        <v>0.9999936065746754</v>
      </c>
      <c r="AG132">
        <v>1</v>
      </c>
      <c r="AH132">
        <v>1</v>
      </c>
      <c r="AI132">
        <v>0</v>
      </c>
      <c r="AJ132">
        <v>0</v>
      </c>
      <c r="AK132" s="74"/>
      <c r="AL132" s="74"/>
      <c r="AM132" s="74"/>
      <c r="AN132" s="74"/>
      <c r="AO132" s="74"/>
      <c r="AP132" s="74"/>
      <c r="AQ132" s="74"/>
      <c r="AT132" s="73"/>
      <c r="AU132" s="73"/>
      <c r="AV132" s="73"/>
      <c r="AW132" s="73"/>
      <c r="AX132" s="73"/>
      <c r="AY132" s="73"/>
      <c r="AZ132" s="73"/>
      <c r="BA132" s="73"/>
      <c r="BB132" s="73"/>
      <c r="BC132" s="73"/>
      <c r="BD132" s="73"/>
      <c r="BE132" s="73"/>
      <c r="BF132" s="73"/>
      <c r="BG132" s="73"/>
    </row>
    <row r="133" spans="1:67">
      <c r="A133">
        <v>10706</v>
      </c>
      <c r="B133" t="s">
        <v>137</v>
      </c>
      <c r="C133">
        <v>1</v>
      </c>
      <c r="D133">
        <v>0</v>
      </c>
      <c r="E133">
        <v>17.536000000000001</v>
      </c>
      <c r="F133">
        <v>16.786000000000001</v>
      </c>
      <c r="G133">
        <v>16.832000000000001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16.753</v>
      </c>
      <c r="O133">
        <v>16.887</v>
      </c>
      <c r="P133">
        <v>147158.35200000001</v>
      </c>
      <c r="Q133">
        <v>147930.12</v>
      </c>
      <c r="R133">
        <v>17.277999999999999</v>
      </c>
      <c r="S133">
        <v>151769.95199999999</v>
      </c>
      <c r="T133">
        <v>151355.28</v>
      </c>
      <c r="U133">
        <v>0</v>
      </c>
      <c r="V133">
        <v>0</v>
      </c>
      <c r="W133">
        <v>0</v>
      </c>
      <c r="X133">
        <v>0</v>
      </c>
      <c r="Y133">
        <v>2.4253E-3</v>
      </c>
      <c r="Z133">
        <v>2.4447000000000002E-3</v>
      </c>
      <c r="AA133">
        <v>0</v>
      </c>
      <c r="AB133">
        <v>2.4253E-3</v>
      </c>
      <c r="AC133">
        <v>2.4447000000000002E-3</v>
      </c>
      <c r="AD133">
        <v>2.4350000000000001E-3</v>
      </c>
      <c r="AE133">
        <v>0.99999338070793276</v>
      </c>
      <c r="AF133">
        <v>1</v>
      </c>
      <c r="AG133">
        <v>1</v>
      </c>
      <c r="AH133">
        <v>1</v>
      </c>
      <c r="AI133">
        <v>0</v>
      </c>
      <c r="AJ133">
        <v>0</v>
      </c>
      <c r="AK133" s="74"/>
      <c r="AL133" s="74"/>
      <c r="AM133" s="74"/>
      <c r="AN133" s="74"/>
      <c r="AO133" s="74"/>
      <c r="AP133" s="74"/>
      <c r="AQ133" s="74"/>
      <c r="AT133" s="73"/>
      <c r="AU133" s="73"/>
      <c r="AV133" s="73"/>
      <c r="AW133" s="73"/>
      <c r="AX133" s="73"/>
      <c r="AY133" s="73"/>
      <c r="AZ133" s="73"/>
      <c r="BA133" s="73"/>
      <c r="BB133" s="73"/>
      <c r="BC133" s="73"/>
      <c r="BD133" s="73"/>
      <c r="BE133" s="73"/>
      <c r="BF133" s="73"/>
      <c r="BG133" s="73"/>
    </row>
    <row r="134" spans="1:67">
      <c r="A134">
        <v>11680</v>
      </c>
      <c r="B134" t="s">
        <v>138</v>
      </c>
      <c r="C134">
        <v>1</v>
      </c>
      <c r="D134">
        <v>0</v>
      </c>
      <c r="E134">
        <v>6.423</v>
      </c>
      <c r="F134">
        <v>6.46</v>
      </c>
      <c r="G134">
        <v>6.51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6.5350000000000001</v>
      </c>
      <c r="O134">
        <v>6.5460000000000003</v>
      </c>
      <c r="P134">
        <v>57403.44</v>
      </c>
      <c r="Q134">
        <v>57342.96</v>
      </c>
      <c r="R134">
        <v>6.3289999999999997</v>
      </c>
      <c r="S134">
        <v>55593.935999999994</v>
      </c>
      <c r="T134">
        <v>55442.04</v>
      </c>
      <c r="U134">
        <v>0.20599999999999999</v>
      </c>
      <c r="V134">
        <v>0.217</v>
      </c>
      <c r="W134">
        <v>0</v>
      </c>
      <c r="X134">
        <v>0</v>
      </c>
      <c r="Y134">
        <v>9.1629999999999999E-4</v>
      </c>
      <c r="Z134">
        <v>9.1629999999999999E-4</v>
      </c>
      <c r="AA134">
        <v>0</v>
      </c>
      <c r="AB134">
        <v>9.1629999999999999E-4</v>
      </c>
      <c r="AC134">
        <v>9.1629999999999999E-4</v>
      </c>
      <c r="AD134">
        <v>9.1629999999999999E-4</v>
      </c>
      <c r="AE134">
        <v>0.96844300535577654</v>
      </c>
      <c r="AF134">
        <v>0.96681561869844179</v>
      </c>
      <c r="AG134">
        <v>1.0325485858745458</v>
      </c>
      <c r="AH134">
        <v>1.034286617159109</v>
      </c>
      <c r="AI134">
        <v>0</v>
      </c>
      <c r="AJ134">
        <v>0</v>
      </c>
      <c r="AK134" s="74"/>
      <c r="AL134" s="74"/>
      <c r="AM134" s="74"/>
      <c r="AN134" s="74"/>
      <c r="AO134" s="74"/>
      <c r="AP134" s="74"/>
      <c r="AQ134" s="74"/>
      <c r="AT134" s="73"/>
      <c r="AU134" s="73"/>
      <c r="AV134" s="73"/>
      <c r="AW134" s="73"/>
      <c r="AX134" s="73"/>
      <c r="AY134" s="73"/>
      <c r="AZ134" s="73"/>
      <c r="BA134" s="73"/>
      <c r="BB134" s="73"/>
      <c r="BC134" s="73"/>
      <c r="BD134" s="73"/>
      <c r="BE134" s="73"/>
      <c r="BF134" s="73"/>
      <c r="BG134" s="73"/>
    </row>
    <row r="135" spans="1:67">
      <c r="A135">
        <v>12026</v>
      </c>
      <c r="B135" t="s">
        <v>139</v>
      </c>
      <c r="C135">
        <v>1</v>
      </c>
      <c r="D135">
        <v>0</v>
      </c>
      <c r="E135">
        <v>45.847000000000001</v>
      </c>
      <c r="F135">
        <v>46.999000000000002</v>
      </c>
      <c r="G135">
        <v>47.238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45.774999999999999</v>
      </c>
      <c r="O135">
        <v>46.112000000000002</v>
      </c>
      <c r="P135">
        <v>402087.6</v>
      </c>
      <c r="Q135">
        <v>403941.12</v>
      </c>
      <c r="R135">
        <v>45.173000000000002</v>
      </c>
      <c r="S135">
        <v>396799.63200000004</v>
      </c>
      <c r="T135">
        <v>395715.48000000004</v>
      </c>
      <c r="U135">
        <v>0.60199999999999998</v>
      </c>
      <c r="V135">
        <v>0.93899999999999995</v>
      </c>
      <c r="W135">
        <v>0</v>
      </c>
      <c r="X135">
        <v>0</v>
      </c>
      <c r="Y135">
        <v>6.5396999999999999E-3</v>
      </c>
      <c r="Z135">
        <v>6.5396999999999999E-3</v>
      </c>
      <c r="AA135">
        <v>0</v>
      </c>
      <c r="AB135">
        <v>6.5396999999999999E-3</v>
      </c>
      <c r="AC135">
        <v>6.5396999999999999E-3</v>
      </c>
      <c r="AD135">
        <v>6.5396999999999999E-3</v>
      </c>
      <c r="AE135">
        <v>0.98684968915346793</v>
      </c>
      <c r="AF135">
        <v>0.97963750262404559</v>
      </c>
      <c r="AG135">
        <v>1.0133265446173598</v>
      </c>
      <c r="AH135">
        <v>1.0207867531490049</v>
      </c>
      <c r="AI135">
        <v>0</v>
      </c>
      <c r="AJ135">
        <v>0</v>
      </c>
      <c r="AK135" s="74"/>
      <c r="AL135" s="74"/>
      <c r="AM135" s="74"/>
      <c r="AN135" s="74"/>
      <c r="AO135" s="74"/>
      <c r="AP135" s="74"/>
      <c r="AQ135" s="74"/>
      <c r="AT135" s="73"/>
      <c r="AU135" s="73"/>
      <c r="AV135" s="73"/>
      <c r="AW135" s="73"/>
      <c r="AX135" s="73"/>
      <c r="AY135" s="73"/>
      <c r="AZ135" s="73"/>
      <c r="BA135" s="73"/>
      <c r="BB135" s="73"/>
      <c r="BC135" s="73"/>
      <c r="BD135" s="73"/>
      <c r="BE135" s="73"/>
      <c r="BF135" s="73"/>
      <c r="BG135" s="73"/>
    </row>
    <row r="136" spans="1:67" s="17" customFormat="1">
      <c r="A136">
        <v>10298</v>
      </c>
      <c r="B136" t="s">
        <v>140</v>
      </c>
      <c r="C136">
        <v>1</v>
      </c>
      <c r="D136">
        <v>0</v>
      </c>
      <c r="E136">
        <v>611.26099999999985</v>
      </c>
      <c r="F136">
        <v>923.84699999999998</v>
      </c>
      <c r="G136">
        <v>939.44399999999996</v>
      </c>
      <c r="H136">
        <v>0</v>
      </c>
      <c r="I136">
        <v>0</v>
      </c>
      <c r="J136">
        <v>18.715</v>
      </c>
      <c r="K136">
        <v>12.045999999999999</v>
      </c>
      <c r="L136">
        <v>164392.56</v>
      </c>
      <c r="M136">
        <v>105522.95999999999</v>
      </c>
      <c r="N136">
        <v>665.21600000000001</v>
      </c>
      <c r="O136">
        <v>671.89300000000003</v>
      </c>
      <c r="P136">
        <v>5843257.3440000005</v>
      </c>
      <c r="Q136">
        <v>5885782.6800000006</v>
      </c>
      <c r="R136">
        <v>602.27600000000007</v>
      </c>
      <c r="S136">
        <v>5290392.3840000005</v>
      </c>
      <c r="T136">
        <v>5275937.7600000007</v>
      </c>
      <c r="U136">
        <v>67.096000000000004</v>
      </c>
      <c r="V136">
        <v>73.69</v>
      </c>
      <c r="W136">
        <v>67.096000000000004</v>
      </c>
      <c r="X136">
        <v>73.69</v>
      </c>
      <c r="Y136">
        <v>0.10915850000000001</v>
      </c>
      <c r="Z136">
        <v>0.1091704</v>
      </c>
      <c r="AA136">
        <v>0</v>
      </c>
      <c r="AB136">
        <v>0.10915850000000001</v>
      </c>
      <c r="AC136">
        <v>0.1091704</v>
      </c>
      <c r="AD136">
        <v>0.10916445</v>
      </c>
      <c r="AE136">
        <v>0.901095967104662</v>
      </c>
      <c r="AF136">
        <v>0.8924341936859741</v>
      </c>
      <c r="AG136">
        <v>1.1045035830748693</v>
      </c>
      <c r="AH136">
        <v>1.1155898624550871</v>
      </c>
      <c r="AI136">
        <v>0</v>
      </c>
      <c r="AJ136">
        <v>0</v>
      </c>
      <c r="AK136" s="74"/>
      <c r="AL136" s="74"/>
      <c r="AM136" s="74"/>
      <c r="AN136" s="74"/>
      <c r="AO136" s="74"/>
      <c r="AP136" s="74"/>
      <c r="AQ136" s="74"/>
      <c r="AR136"/>
      <c r="AS136"/>
      <c r="AT136" s="73"/>
      <c r="AU136" s="73"/>
      <c r="AV136" s="73"/>
      <c r="AW136" s="73"/>
      <c r="AX136" s="73"/>
      <c r="AY136" s="73"/>
      <c r="AZ136" s="73"/>
      <c r="BA136" s="73"/>
      <c r="BB136" s="73"/>
      <c r="BC136" s="73"/>
      <c r="BD136" s="73"/>
      <c r="BE136" s="73"/>
      <c r="BF136" s="73"/>
      <c r="BG136" s="73"/>
      <c r="BH136"/>
      <c r="BI136"/>
      <c r="BJ136"/>
      <c r="BK136"/>
      <c r="BL136"/>
      <c r="BM136"/>
      <c r="BN136"/>
      <c r="BO136"/>
    </row>
    <row r="137" spans="1:67" s="17" customForma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 s="73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</row>
    <row r="138" spans="1:67" s="17" customFormat="1" ht="42.75" customHeight="1">
      <c r="A138"/>
      <c r="B138"/>
      <c r="C138"/>
      <c r="D138"/>
      <c r="E138"/>
      <c r="F138"/>
      <c r="G138"/>
      <c r="H138"/>
      <c r="I138"/>
      <c r="J138" s="75"/>
      <c r="K138"/>
      <c r="L138"/>
      <c r="M138"/>
      <c r="N138"/>
      <c r="O138" s="75"/>
      <c r="P138"/>
      <c r="Q138" s="75"/>
      <c r="R138"/>
      <c r="S138"/>
      <c r="T138"/>
      <c r="U138"/>
      <c r="V138"/>
      <c r="W138" s="79"/>
      <c r="X138" s="75"/>
      <c r="Y138" s="75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</row>
    <row r="139" spans="1:67">
      <c r="A139" t="s">
        <v>141</v>
      </c>
      <c r="B139" t="s">
        <v>141</v>
      </c>
      <c r="C139" t="s">
        <v>141</v>
      </c>
      <c r="D139" t="s">
        <v>141</v>
      </c>
      <c r="J139" s="75"/>
      <c r="K139"/>
      <c r="L139"/>
      <c r="Q139"/>
      <c r="U139"/>
      <c r="V139"/>
      <c r="W139"/>
      <c r="X139"/>
      <c r="Y139"/>
      <c r="Z139"/>
    </row>
    <row r="140" spans="1:67">
      <c r="A140" s="2" t="s">
        <v>141</v>
      </c>
      <c r="B140" s="3" t="s">
        <v>141</v>
      </c>
      <c r="C140" s="4" t="s">
        <v>141</v>
      </c>
      <c r="D140" s="4" t="s">
        <v>141</v>
      </c>
      <c r="E140" s="6"/>
      <c r="F140" s="6"/>
      <c r="G140" s="6"/>
      <c r="H140" s="6"/>
      <c r="I140" s="6"/>
      <c r="J140" s="6"/>
      <c r="K140" s="7"/>
      <c r="L140" s="7"/>
      <c r="M140" s="6"/>
      <c r="N140" s="6"/>
      <c r="O140" s="7"/>
      <c r="P140" s="7"/>
      <c r="Q140" s="5"/>
      <c r="R140" s="6"/>
      <c r="S140" s="6"/>
      <c r="T140" s="6"/>
      <c r="U140" s="8"/>
      <c r="V140" s="8"/>
      <c r="W140" s="61"/>
      <c r="X140" s="61"/>
      <c r="Y140" s="62"/>
      <c r="Z140" s="62"/>
      <c r="AA140" s="6"/>
      <c r="AB140" s="6"/>
      <c r="AC140" s="18"/>
      <c r="AD140" s="18"/>
      <c r="AE140" s="6"/>
      <c r="AF140" s="6"/>
      <c r="AG140" s="9"/>
      <c r="AH140" s="15"/>
      <c r="AI140" s="15"/>
      <c r="AJ140" s="15"/>
      <c r="AK140" s="10"/>
      <c r="AL140" s="10"/>
      <c r="AM140" s="10"/>
      <c r="AN140" s="10"/>
      <c r="AO140" s="11"/>
      <c r="AP140" s="11"/>
      <c r="AQ140" s="11"/>
      <c r="AR140" s="11"/>
      <c r="AS140" s="11"/>
      <c r="AT140" s="11"/>
      <c r="AU140" s="11"/>
      <c r="AV140" s="11"/>
    </row>
    <row r="141" spans="1:67">
      <c r="A141" t="s">
        <v>141</v>
      </c>
      <c r="B141" t="s">
        <v>141</v>
      </c>
      <c r="C141" t="s">
        <v>141</v>
      </c>
      <c r="D141" t="s">
        <v>141</v>
      </c>
      <c r="K141"/>
      <c r="L141"/>
      <c r="Q141"/>
      <c r="U141"/>
      <c r="V141"/>
      <c r="W141"/>
      <c r="X141"/>
      <c r="Y141"/>
      <c r="Z141"/>
      <c r="AB141" s="76"/>
    </row>
    <row r="142" spans="1:67">
      <c r="A142" t="s">
        <v>141</v>
      </c>
      <c r="B142" t="s">
        <v>141</v>
      </c>
      <c r="C142" t="s">
        <v>141</v>
      </c>
      <c r="D142" t="s">
        <v>141</v>
      </c>
      <c r="K142"/>
      <c r="L142"/>
      <c r="Q142"/>
      <c r="U142"/>
      <c r="V142"/>
      <c r="W142"/>
      <c r="X142"/>
      <c r="Y142"/>
      <c r="Z142"/>
      <c r="AB142" s="75"/>
    </row>
    <row r="143" spans="1:67">
      <c r="A143" s="2" t="s">
        <v>141</v>
      </c>
      <c r="B143" s="3" t="s">
        <v>141</v>
      </c>
      <c r="C143" s="4" t="s">
        <v>141</v>
      </c>
      <c r="D143" s="4" t="s">
        <v>141</v>
      </c>
      <c r="E143" s="6"/>
      <c r="F143" s="6"/>
      <c r="G143" s="6"/>
      <c r="H143" s="6"/>
      <c r="I143" s="6"/>
      <c r="J143" s="6"/>
      <c r="K143" s="7"/>
      <c r="L143" s="7"/>
      <c r="M143" s="6"/>
      <c r="N143" s="6"/>
      <c r="O143" s="7"/>
      <c r="P143" s="7"/>
      <c r="Q143" s="5"/>
      <c r="R143" s="6"/>
      <c r="S143" s="6"/>
      <c r="T143" s="6"/>
      <c r="U143" s="8"/>
      <c r="V143" s="8"/>
      <c r="W143" s="61"/>
      <c r="X143" s="61"/>
      <c r="Y143" s="62"/>
      <c r="Z143" s="62"/>
      <c r="AA143" s="6"/>
      <c r="AB143" s="6"/>
      <c r="AC143" s="18"/>
      <c r="AD143" s="18"/>
      <c r="AE143" s="6"/>
      <c r="AF143" s="6"/>
      <c r="AG143" s="9"/>
      <c r="AH143" s="15"/>
      <c r="AI143" s="15"/>
      <c r="AJ143" s="15"/>
      <c r="AK143" s="10"/>
      <c r="AL143" s="10"/>
      <c r="AM143" s="10"/>
      <c r="AN143" s="10"/>
      <c r="AO143" s="11"/>
      <c r="AP143" s="11"/>
      <c r="AQ143" s="11"/>
      <c r="AR143" s="11"/>
      <c r="AS143" s="11"/>
      <c r="AT143" s="11"/>
      <c r="AU143" s="11"/>
      <c r="AV143" s="11"/>
    </row>
    <row r="144" spans="1:67">
      <c r="A144" s="2" t="s">
        <v>141</v>
      </c>
      <c r="B144" s="3" t="s">
        <v>141</v>
      </c>
      <c r="C144" s="4" t="s">
        <v>141</v>
      </c>
      <c r="D144" s="4" t="s">
        <v>141</v>
      </c>
      <c r="E144" s="6"/>
      <c r="F144" s="6"/>
      <c r="G144" s="75"/>
      <c r="K144"/>
      <c r="L144"/>
      <c r="Q144"/>
      <c r="U144"/>
      <c r="V144"/>
      <c r="W144"/>
      <c r="X144"/>
      <c r="Y144"/>
      <c r="Z144"/>
    </row>
    <row r="145" spans="1:48">
      <c r="A145" s="2" t="s">
        <v>141</v>
      </c>
      <c r="B145" s="3" t="s">
        <v>141</v>
      </c>
      <c r="C145" s="4" t="s">
        <v>141</v>
      </c>
      <c r="D145" s="4" t="s">
        <v>141</v>
      </c>
      <c r="E145" s="6"/>
      <c r="F145" s="6"/>
      <c r="G145" s="6"/>
      <c r="H145" s="6"/>
      <c r="I145" s="6"/>
      <c r="J145" s="6"/>
      <c r="K145" s="7"/>
      <c r="L145" s="7"/>
      <c r="M145" s="6"/>
      <c r="N145" s="6"/>
      <c r="O145" s="7"/>
      <c r="P145" s="7"/>
      <c r="Q145" s="5"/>
      <c r="R145" s="6"/>
      <c r="S145" s="6"/>
      <c r="T145" s="6"/>
      <c r="U145" s="8"/>
      <c r="V145" s="8"/>
      <c r="W145" s="61"/>
      <c r="X145" s="61"/>
      <c r="Y145" s="62"/>
      <c r="Z145" s="62"/>
      <c r="AA145" s="6"/>
      <c r="AB145" s="6"/>
      <c r="AC145" s="18"/>
      <c r="AD145" s="18"/>
      <c r="AE145" s="6"/>
      <c r="AF145" s="6"/>
      <c r="AG145" s="9"/>
      <c r="AH145" s="15"/>
      <c r="AI145" s="15"/>
      <c r="AJ145" s="15"/>
      <c r="AK145" s="10"/>
      <c r="AL145" s="10"/>
      <c r="AM145" s="10"/>
      <c r="AN145" s="10"/>
      <c r="AO145" s="11"/>
      <c r="AP145" s="11"/>
      <c r="AQ145" s="11"/>
      <c r="AR145" s="11"/>
      <c r="AS145" s="11"/>
      <c r="AT145" s="11"/>
      <c r="AU145" s="11"/>
      <c r="AV145" s="11"/>
    </row>
    <row r="146" spans="1:48">
      <c r="A146" s="2" t="s">
        <v>141</v>
      </c>
      <c r="B146" s="3" t="s">
        <v>141</v>
      </c>
      <c r="C146" s="4" t="s">
        <v>141</v>
      </c>
      <c r="D146" s="4" t="s">
        <v>141</v>
      </c>
      <c r="E146" s="6"/>
      <c r="F146" s="6"/>
      <c r="G146" s="6"/>
      <c r="H146" s="6"/>
      <c r="I146" s="6"/>
      <c r="J146" s="6"/>
      <c r="K146" s="7"/>
      <c r="L146" s="7"/>
      <c r="M146" s="6"/>
      <c r="N146" s="6"/>
      <c r="O146" s="7"/>
      <c r="P146" s="7"/>
      <c r="Q146" s="5"/>
      <c r="R146" s="6"/>
      <c r="S146" s="6"/>
      <c r="T146" s="6"/>
      <c r="U146" s="8"/>
      <c r="V146" s="8"/>
      <c r="W146" s="61"/>
      <c r="X146" s="61"/>
      <c r="Y146" s="62"/>
      <c r="Z146" s="62"/>
      <c r="AA146" s="6"/>
      <c r="AB146" s="6"/>
      <c r="AC146" s="18"/>
      <c r="AD146" s="18"/>
      <c r="AE146" s="6"/>
      <c r="AF146" s="6"/>
      <c r="AG146" s="9"/>
      <c r="AH146" s="15"/>
      <c r="AI146" s="15"/>
      <c r="AJ146" s="15"/>
      <c r="AK146" s="10"/>
      <c r="AL146" s="10"/>
      <c r="AM146" s="10"/>
      <c r="AN146" s="10"/>
      <c r="AO146" s="11"/>
      <c r="AP146" s="11"/>
      <c r="AQ146" s="11"/>
      <c r="AR146" s="11"/>
      <c r="AS146" s="11"/>
      <c r="AT146" s="11"/>
      <c r="AU146" s="11"/>
      <c r="AV146" s="11"/>
    </row>
    <row r="147" spans="1:48">
      <c r="A147" s="2" t="s">
        <v>141</v>
      </c>
      <c r="B147" s="3" t="s">
        <v>141</v>
      </c>
      <c r="C147" s="4" t="s">
        <v>141</v>
      </c>
      <c r="D147" s="4" t="s">
        <v>141</v>
      </c>
      <c r="E147" s="6"/>
      <c r="F147" s="6"/>
      <c r="G147" s="6"/>
      <c r="H147" s="6"/>
      <c r="I147" s="6"/>
      <c r="J147" s="6"/>
      <c r="K147" s="7"/>
      <c r="L147" s="7"/>
      <c r="M147" s="6"/>
      <c r="N147" s="6"/>
      <c r="O147" s="7"/>
      <c r="P147" s="7"/>
      <c r="Q147" s="5"/>
      <c r="R147" s="6"/>
      <c r="S147" s="6"/>
      <c r="T147" s="6"/>
      <c r="U147" s="8"/>
      <c r="V147" s="8"/>
      <c r="W147" s="61"/>
      <c r="X147" s="61"/>
      <c r="Y147" s="62"/>
      <c r="Z147" s="62"/>
      <c r="AA147" s="6"/>
      <c r="AB147" s="6"/>
      <c r="AC147" s="18"/>
      <c r="AD147" s="18"/>
      <c r="AE147" s="6"/>
      <c r="AF147" s="6"/>
      <c r="AG147" s="9"/>
      <c r="AH147" s="15"/>
      <c r="AI147" s="15"/>
      <c r="AJ147" s="15"/>
      <c r="AK147" s="10"/>
      <c r="AL147" s="10"/>
      <c r="AM147" s="10"/>
      <c r="AN147" s="10"/>
      <c r="AO147" s="11"/>
      <c r="AP147" s="11"/>
      <c r="AQ147" s="11"/>
      <c r="AR147" s="11"/>
      <c r="AS147" s="11"/>
      <c r="AT147" s="11"/>
      <c r="AU147" s="11"/>
      <c r="AV147" s="11"/>
    </row>
    <row r="148" spans="1:48">
      <c r="A148" s="2">
        <v>1</v>
      </c>
      <c r="B148" s="3">
        <v>2</v>
      </c>
      <c r="C148" s="4">
        <v>3</v>
      </c>
      <c r="D148" s="4">
        <v>4</v>
      </c>
      <c r="E148" s="90">
        <v>6</v>
      </c>
      <c r="F148" s="90">
        <v>7</v>
      </c>
      <c r="G148" s="90">
        <v>8</v>
      </c>
      <c r="H148" s="90">
        <v>9</v>
      </c>
      <c r="I148" s="90">
        <v>10</v>
      </c>
      <c r="J148" s="90">
        <v>11</v>
      </c>
      <c r="K148" s="90">
        <v>12</v>
      </c>
      <c r="L148" s="90">
        <v>13</v>
      </c>
      <c r="M148" s="90">
        <v>14</v>
      </c>
      <c r="N148" s="90">
        <v>15</v>
      </c>
      <c r="O148" s="90">
        <v>16</v>
      </c>
      <c r="P148" s="90">
        <v>17</v>
      </c>
      <c r="Q148" s="90">
        <v>18</v>
      </c>
      <c r="R148" s="90">
        <v>19</v>
      </c>
      <c r="S148" s="90">
        <v>20</v>
      </c>
      <c r="T148" s="90"/>
      <c r="U148" s="91">
        <v>22</v>
      </c>
      <c r="V148" s="91">
        <v>23</v>
      </c>
      <c r="W148" s="92">
        <v>24</v>
      </c>
      <c r="X148" s="92">
        <v>25</v>
      </c>
      <c r="Y148" s="93">
        <v>32</v>
      </c>
      <c r="Z148" s="93">
        <v>33</v>
      </c>
      <c r="AA148" s="90">
        <v>34</v>
      </c>
      <c r="AB148" s="90">
        <v>35</v>
      </c>
      <c r="AC148" s="94">
        <v>36</v>
      </c>
      <c r="AD148" s="94">
        <v>37</v>
      </c>
      <c r="AE148" s="90">
        <v>38</v>
      </c>
      <c r="AF148" s="90">
        <v>39</v>
      </c>
      <c r="AG148" s="4">
        <v>40</v>
      </c>
      <c r="AH148" s="90">
        <v>41</v>
      </c>
      <c r="AI148" s="90">
        <v>42</v>
      </c>
      <c r="AJ148" s="90">
        <v>43</v>
      </c>
      <c r="AK148" s="10"/>
      <c r="AL148" s="10"/>
      <c r="AM148" s="10"/>
      <c r="AN148" s="10"/>
      <c r="AO148" s="11"/>
      <c r="AP148" s="11"/>
      <c r="AQ148" s="11"/>
      <c r="AR148" s="11"/>
      <c r="AS148" s="11"/>
      <c r="AT148" s="11"/>
      <c r="AU148" s="11"/>
      <c r="AV148" s="11"/>
    </row>
    <row r="149" spans="1:48">
      <c r="A149" s="2" t="s">
        <v>141</v>
      </c>
      <c r="B149" s="3" t="s">
        <v>141</v>
      </c>
      <c r="C149" s="4" t="s">
        <v>141</v>
      </c>
      <c r="D149" s="4" t="s">
        <v>141</v>
      </c>
      <c r="E149" s="6"/>
      <c r="F149" s="6"/>
      <c r="G149" s="6"/>
      <c r="H149" s="6"/>
      <c r="I149" s="6"/>
      <c r="J149" s="6"/>
      <c r="K149" s="7"/>
      <c r="L149" s="7"/>
      <c r="M149" s="6"/>
      <c r="N149" s="6"/>
      <c r="O149" s="7"/>
      <c r="P149" s="7"/>
      <c r="Q149" s="5"/>
      <c r="R149" s="6"/>
      <c r="S149" s="6"/>
      <c r="T149" s="6"/>
      <c r="U149" s="8"/>
      <c r="V149" s="8"/>
      <c r="W149" s="61"/>
      <c r="X149" s="61"/>
      <c r="Y149" s="62"/>
      <c r="Z149" s="62"/>
      <c r="AA149" s="6"/>
      <c r="AB149" s="6"/>
      <c r="AC149" s="18"/>
      <c r="AD149" s="18"/>
      <c r="AE149" s="6"/>
      <c r="AF149" s="6"/>
      <c r="AG149" s="9"/>
      <c r="AH149" s="15"/>
      <c r="AI149" s="15"/>
      <c r="AJ149" s="15"/>
      <c r="AK149" s="10"/>
      <c r="AL149" s="10"/>
      <c r="AM149" s="10"/>
      <c r="AN149" s="10"/>
      <c r="AO149" s="11"/>
      <c r="AP149" s="11"/>
      <c r="AQ149" s="11"/>
      <c r="AR149" s="11"/>
      <c r="AS149" s="11"/>
      <c r="AT149" s="11"/>
      <c r="AU149" s="11"/>
      <c r="AV149" s="11"/>
    </row>
    <row r="150" spans="1:48">
      <c r="A150" s="2" t="s">
        <v>141</v>
      </c>
      <c r="B150" s="3" t="s">
        <v>141</v>
      </c>
      <c r="C150" s="4" t="s">
        <v>141</v>
      </c>
      <c r="D150" s="4" t="s">
        <v>141</v>
      </c>
      <c r="E150" s="6"/>
      <c r="F150" s="6"/>
      <c r="G150" s="6"/>
      <c r="H150" s="6"/>
      <c r="I150" s="6"/>
      <c r="J150" s="6"/>
      <c r="K150" s="7"/>
      <c r="L150" s="7"/>
      <c r="M150" s="6"/>
      <c r="N150" s="6"/>
      <c r="O150" s="7"/>
      <c r="P150" s="7"/>
      <c r="Q150" s="5"/>
      <c r="R150" s="6"/>
      <c r="S150" s="6"/>
      <c r="T150" s="6"/>
      <c r="U150" s="8"/>
      <c r="V150" s="8"/>
      <c r="W150" s="61"/>
      <c r="X150" s="61"/>
      <c r="Y150" s="62"/>
      <c r="Z150" s="62"/>
      <c r="AA150" s="6"/>
      <c r="AB150" s="6"/>
      <c r="AC150" s="18"/>
      <c r="AD150" s="18"/>
      <c r="AE150" s="6"/>
      <c r="AF150" s="6"/>
      <c r="AG150" s="9"/>
      <c r="AH150" s="15"/>
      <c r="AI150" s="15"/>
      <c r="AJ150" s="15"/>
      <c r="AK150" s="10"/>
      <c r="AL150" s="10"/>
      <c r="AM150" s="10"/>
      <c r="AN150" s="10"/>
      <c r="AO150" s="11"/>
      <c r="AP150" s="11"/>
      <c r="AQ150" s="11"/>
      <c r="AR150" s="11"/>
      <c r="AS150" s="11"/>
      <c r="AT150" s="11"/>
      <c r="AU150" s="11"/>
      <c r="AV150" s="11"/>
    </row>
    <row r="151" spans="1:48">
      <c r="A151" s="2" t="s">
        <v>141</v>
      </c>
      <c r="B151" s="3" t="s">
        <v>141</v>
      </c>
      <c r="C151" s="4" t="s">
        <v>141</v>
      </c>
      <c r="D151" s="4" t="s">
        <v>141</v>
      </c>
      <c r="E151" s="6"/>
      <c r="F151" s="6"/>
      <c r="G151" s="6"/>
      <c r="H151" s="6"/>
      <c r="I151" s="6"/>
      <c r="J151" s="6"/>
      <c r="K151" s="7"/>
      <c r="L151" s="7"/>
      <c r="M151" s="6"/>
      <c r="N151" s="6"/>
      <c r="O151" s="7"/>
      <c r="P151" s="7"/>
      <c r="Q151" s="5"/>
      <c r="R151" s="6"/>
      <c r="S151" s="6"/>
      <c r="T151" s="6"/>
      <c r="U151" s="8"/>
      <c r="V151" s="8"/>
      <c r="W151" s="61"/>
      <c r="X151" s="61"/>
      <c r="Y151" s="62"/>
      <c r="Z151" s="62"/>
      <c r="AA151" s="6"/>
      <c r="AB151" s="6"/>
      <c r="AC151" s="18"/>
      <c r="AD151" s="18"/>
      <c r="AE151" s="6"/>
      <c r="AF151" s="6"/>
      <c r="AG151" s="9"/>
      <c r="AH151" s="15"/>
      <c r="AI151" s="15"/>
      <c r="AJ151" s="15"/>
      <c r="AK151" s="10"/>
      <c r="AL151" s="10"/>
      <c r="AM151" s="10"/>
      <c r="AN151" s="10"/>
      <c r="AO151" s="11"/>
      <c r="AP151" s="11"/>
      <c r="AQ151" s="11"/>
      <c r="AR151" s="11"/>
      <c r="AS151" s="11"/>
      <c r="AT151" s="11"/>
      <c r="AU151" s="11"/>
      <c r="AV151" s="11"/>
    </row>
    <row r="152" spans="1:48">
      <c r="A152" s="2" t="s">
        <v>141</v>
      </c>
      <c r="B152" s="3" t="s">
        <v>141</v>
      </c>
      <c r="C152" s="4" t="s">
        <v>141</v>
      </c>
      <c r="D152" s="4" t="s">
        <v>141</v>
      </c>
      <c r="E152" s="6"/>
      <c r="F152" s="6"/>
      <c r="G152" s="6"/>
      <c r="H152" s="6"/>
      <c r="I152" s="6"/>
      <c r="J152" s="6"/>
      <c r="K152" s="7"/>
      <c r="L152" s="7"/>
      <c r="M152" s="6"/>
      <c r="N152" s="6"/>
      <c r="O152" s="7"/>
      <c r="P152" s="7"/>
      <c r="Q152" s="5"/>
      <c r="R152" s="6"/>
      <c r="S152" s="6"/>
      <c r="T152" s="6"/>
      <c r="U152" s="8"/>
      <c r="V152" s="8"/>
      <c r="W152" s="61"/>
      <c r="X152" s="61"/>
      <c r="Y152" s="62"/>
      <c r="Z152" s="62"/>
      <c r="AA152" s="6"/>
      <c r="AB152" s="6"/>
      <c r="AC152" s="18"/>
      <c r="AD152" s="18"/>
      <c r="AE152" s="6"/>
      <c r="AF152" s="6"/>
      <c r="AG152" s="9"/>
      <c r="AH152" s="15"/>
      <c r="AI152" s="15"/>
      <c r="AJ152" s="15"/>
      <c r="AK152" s="10"/>
      <c r="AL152" s="10"/>
      <c r="AM152" s="10"/>
      <c r="AN152" s="10"/>
      <c r="AO152" s="11"/>
      <c r="AP152" s="11"/>
      <c r="AQ152" s="11"/>
      <c r="AR152" s="11"/>
      <c r="AS152" s="11"/>
      <c r="AT152" s="11"/>
      <c r="AU152" s="11"/>
      <c r="AV152" s="11"/>
    </row>
    <row r="153" spans="1:48">
      <c r="A153" s="2" t="s">
        <v>141</v>
      </c>
      <c r="B153" s="3" t="s">
        <v>141</v>
      </c>
      <c r="C153" s="4" t="s">
        <v>141</v>
      </c>
      <c r="D153" s="4" t="s">
        <v>141</v>
      </c>
      <c r="E153" s="6"/>
      <c r="F153" s="6"/>
      <c r="K153"/>
      <c r="L153"/>
      <c r="Q153"/>
      <c r="U153"/>
      <c r="V153"/>
      <c r="W153"/>
      <c r="X153"/>
      <c r="Y153"/>
      <c r="Z153"/>
      <c r="AE153" s="74"/>
    </row>
    <row r="154" spans="1:48">
      <c r="A154" s="2" t="s">
        <v>141</v>
      </c>
      <c r="B154" s="3" t="s">
        <v>141</v>
      </c>
      <c r="C154" s="4" t="s">
        <v>141</v>
      </c>
      <c r="D154" s="4" t="s">
        <v>141</v>
      </c>
      <c r="E154" s="6"/>
      <c r="F154" s="6"/>
      <c r="K154"/>
      <c r="L154"/>
      <c r="Q154"/>
      <c r="U154"/>
      <c r="V154"/>
      <c r="W154"/>
      <c r="X154"/>
      <c r="Y154"/>
      <c r="Z154"/>
      <c r="AE154" s="74"/>
    </row>
    <row r="155" spans="1:48">
      <c r="A155" s="2" t="s">
        <v>141</v>
      </c>
      <c r="B155" s="3" t="s">
        <v>141</v>
      </c>
      <c r="C155" s="4" t="s">
        <v>141</v>
      </c>
      <c r="D155" s="4" t="s">
        <v>141</v>
      </c>
      <c r="E155" s="6"/>
      <c r="F155" s="6"/>
      <c r="K155"/>
      <c r="L155"/>
      <c r="Q155"/>
      <c r="U155"/>
      <c r="V155"/>
      <c r="W155"/>
      <c r="X155"/>
      <c r="Y155"/>
      <c r="Z155"/>
      <c r="AE155" s="74"/>
    </row>
    <row r="156" spans="1:48">
      <c r="A156" s="2" t="s">
        <v>141</v>
      </c>
      <c r="B156" s="3" t="s">
        <v>141</v>
      </c>
      <c r="C156" s="4" t="s">
        <v>141</v>
      </c>
      <c r="D156" s="4" t="s">
        <v>141</v>
      </c>
      <c r="E156" s="6"/>
      <c r="F156" s="6"/>
      <c r="K156"/>
      <c r="L156"/>
      <c r="Q156"/>
      <c r="U156"/>
      <c r="V156"/>
      <c r="W156"/>
      <c r="X156"/>
      <c r="Y156"/>
      <c r="Z156"/>
      <c r="AE156" s="74"/>
    </row>
    <row r="157" spans="1:48">
      <c r="A157" s="2" t="s">
        <v>141</v>
      </c>
      <c r="B157" s="3" t="s">
        <v>141</v>
      </c>
      <c r="C157" s="4" t="s">
        <v>141</v>
      </c>
      <c r="D157" s="4" t="s">
        <v>141</v>
      </c>
      <c r="E157" s="6"/>
      <c r="F157" s="6"/>
      <c r="K157"/>
      <c r="L157"/>
      <c r="Q157"/>
      <c r="U157"/>
      <c r="V157"/>
      <c r="W157"/>
      <c r="X157"/>
      <c r="Y157"/>
      <c r="Z157"/>
      <c r="AE157" s="74"/>
    </row>
    <row r="158" spans="1:48">
      <c r="A158" s="2" t="s">
        <v>141</v>
      </c>
      <c r="B158" s="3" t="s">
        <v>141</v>
      </c>
      <c r="C158" s="4" t="s">
        <v>141</v>
      </c>
      <c r="D158" s="4" t="s">
        <v>141</v>
      </c>
      <c r="E158" s="6"/>
      <c r="F158" s="6"/>
      <c r="K158"/>
      <c r="L158"/>
      <c r="Q158"/>
      <c r="U158"/>
      <c r="V158"/>
      <c r="W158"/>
      <c r="X158"/>
      <c r="Y158"/>
      <c r="Z158"/>
      <c r="AE158" s="74"/>
    </row>
    <row r="159" spans="1:48">
      <c r="A159" s="2" t="s">
        <v>141</v>
      </c>
      <c r="B159" s="3" t="s">
        <v>141</v>
      </c>
      <c r="C159" s="4" t="s">
        <v>141</v>
      </c>
      <c r="D159" s="4" t="s">
        <v>141</v>
      </c>
      <c r="E159" s="6"/>
      <c r="F159" s="6"/>
      <c r="G159" s="6"/>
      <c r="H159" s="6"/>
      <c r="I159" s="6"/>
      <c r="J159" s="6"/>
      <c r="K159" s="7"/>
      <c r="L159" s="7"/>
      <c r="M159" s="6"/>
      <c r="N159" s="6"/>
      <c r="O159" s="7"/>
      <c r="P159" s="7"/>
      <c r="Q159" s="5"/>
      <c r="R159" s="6"/>
      <c r="S159" s="6"/>
      <c r="T159" s="6"/>
      <c r="U159" s="8"/>
      <c r="V159" s="8"/>
      <c r="W159" s="61"/>
      <c r="X159" s="61"/>
      <c r="Y159" s="62"/>
      <c r="Z159" s="62"/>
      <c r="AA159" s="6"/>
      <c r="AB159" s="6"/>
      <c r="AC159" s="18"/>
      <c r="AE159" s="74"/>
      <c r="AF159" s="6"/>
      <c r="AG159" s="9"/>
      <c r="AH159" s="15"/>
      <c r="AI159" s="15"/>
      <c r="AJ159" s="15"/>
      <c r="AK159" s="10"/>
      <c r="AL159" s="10"/>
      <c r="AM159" s="10"/>
      <c r="AN159" s="10"/>
      <c r="AO159" s="11"/>
      <c r="AP159" s="11"/>
      <c r="AQ159" s="11"/>
      <c r="AR159" s="11"/>
      <c r="AS159" s="11"/>
      <c r="AT159" s="11"/>
      <c r="AU159" s="11"/>
      <c r="AV159" s="11"/>
    </row>
    <row r="160" spans="1:48">
      <c r="A160" s="2" t="s">
        <v>141</v>
      </c>
      <c r="B160" s="3" t="s">
        <v>141</v>
      </c>
      <c r="C160" s="4" t="s">
        <v>141</v>
      </c>
      <c r="D160" s="4" t="s">
        <v>141</v>
      </c>
      <c r="E160" s="6"/>
      <c r="F160" s="6"/>
      <c r="G160" s="6"/>
      <c r="H160" s="6"/>
      <c r="I160" s="6"/>
      <c r="J160" s="6"/>
      <c r="K160" s="7"/>
      <c r="L160" s="7"/>
      <c r="M160" s="6"/>
      <c r="N160" s="6"/>
      <c r="O160" s="7"/>
      <c r="P160" s="7"/>
      <c r="Q160" s="5"/>
      <c r="R160" s="6"/>
      <c r="S160" s="6"/>
      <c r="T160" s="6"/>
      <c r="U160" s="8"/>
      <c r="V160" s="8"/>
      <c r="W160" s="61"/>
      <c r="X160" s="61"/>
      <c r="Y160" s="62"/>
      <c r="Z160" s="62"/>
      <c r="AA160" s="6"/>
      <c r="AB160" s="6"/>
      <c r="AC160" s="18"/>
      <c r="AE160" s="74"/>
      <c r="AF160" s="6"/>
      <c r="AG160" s="9"/>
      <c r="AH160" s="15"/>
      <c r="AI160" s="15"/>
      <c r="AJ160" s="15"/>
      <c r="AK160" s="10"/>
      <c r="AL160" s="10"/>
      <c r="AM160" s="10"/>
      <c r="AN160" s="10"/>
      <c r="AO160" s="11"/>
      <c r="AP160" s="11"/>
      <c r="AQ160" s="11"/>
      <c r="AR160" s="11"/>
      <c r="AS160" s="11"/>
      <c r="AT160" s="11"/>
      <c r="AU160" s="11"/>
      <c r="AV160" s="11"/>
    </row>
    <row r="161" spans="1:48">
      <c r="A161" s="2" t="s">
        <v>141</v>
      </c>
      <c r="B161" s="3" t="s">
        <v>141</v>
      </c>
      <c r="C161" s="4" t="s">
        <v>141</v>
      </c>
      <c r="D161" s="4" t="s">
        <v>141</v>
      </c>
      <c r="E161" s="6"/>
      <c r="F161" s="6"/>
      <c r="G161" s="6"/>
      <c r="H161" s="6"/>
      <c r="I161" s="6"/>
      <c r="J161" s="6"/>
      <c r="K161" s="7"/>
      <c r="L161" s="7"/>
      <c r="M161" s="6"/>
      <c r="N161" s="6"/>
      <c r="O161" s="7"/>
      <c r="P161" s="7"/>
      <c r="Q161" s="5"/>
      <c r="R161" s="6"/>
      <c r="S161" s="6"/>
      <c r="T161" s="6"/>
      <c r="U161" s="8"/>
      <c r="V161" s="8"/>
      <c r="W161" s="61"/>
      <c r="X161" s="61"/>
      <c r="Y161" s="62"/>
      <c r="Z161" s="62"/>
      <c r="AA161" s="6"/>
      <c r="AB161" s="6"/>
      <c r="AC161" s="18"/>
      <c r="AE161" s="74"/>
      <c r="AF161" s="6"/>
      <c r="AG161" s="9"/>
      <c r="AH161" s="15"/>
      <c r="AI161" s="15"/>
      <c r="AJ161" s="15"/>
      <c r="AK161" s="10"/>
      <c r="AL161" s="10"/>
      <c r="AM161" s="10"/>
      <c r="AN161" s="10"/>
      <c r="AO161" s="11"/>
      <c r="AP161" s="11"/>
      <c r="AQ161" s="11"/>
      <c r="AR161" s="11"/>
      <c r="AS161" s="11"/>
      <c r="AT161" s="11"/>
      <c r="AU161" s="11"/>
      <c r="AV161" s="11"/>
    </row>
    <row r="162" spans="1:48">
      <c r="A162" s="2" t="s">
        <v>141</v>
      </c>
      <c r="B162" s="3" t="s">
        <v>141</v>
      </c>
      <c r="C162" s="4" t="s">
        <v>141</v>
      </c>
      <c r="D162" s="4" t="s">
        <v>141</v>
      </c>
      <c r="E162" s="6"/>
      <c r="F162" s="6"/>
      <c r="G162" s="6"/>
      <c r="H162" s="6"/>
      <c r="I162" s="6"/>
      <c r="J162" s="6"/>
      <c r="K162" s="7"/>
      <c r="L162" s="7"/>
      <c r="M162" s="6"/>
      <c r="N162" s="6"/>
      <c r="O162" s="7"/>
      <c r="P162" s="7"/>
      <c r="Q162" s="5"/>
      <c r="R162" s="6"/>
      <c r="S162" s="6"/>
      <c r="T162" s="6"/>
      <c r="U162" s="8"/>
      <c r="V162" s="8"/>
      <c r="W162" s="61"/>
      <c r="X162" s="61"/>
      <c r="Y162" s="62"/>
      <c r="Z162" s="62"/>
      <c r="AA162" s="6"/>
      <c r="AB162" s="6"/>
      <c r="AC162" s="18"/>
      <c r="AE162" s="74"/>
      <c r="AF162" s="6"/>
      <c r="AG162" s="9"/>
      <c r="AH162" s="15"/>
      <c r="AI162" s="15"/>
      <c r="AJ162" s="15"/>
      <c r="AK162" s="10"/>
      <c r="AL162" s="10"/>
      <c r="AM162" s="10"/>
      <c r="AN162" s="10"/>
      <c r="AO162" s="11"/>
      <c r="AP162" s="11"/>
      <c r="AQ162" s="11"/>
      <c r="AR162" s="11"/>
      <c r="AS162" s="11"/>
      <c r="AT162" s="11"/>
      <c r="AU162" s="11"/>
      <c r="AV162" s="11"/>
    </row>
    <row r="163" spans="1:48">
      <c r="A163" s="2" t="s">
        <v>141</v>
      </c>
      <c r="B163" s="3" t="s">
        <v>141</v>
      </c>
      <c r="C163" s="4" t="s">
        <v>141</v>
      </c>
      <c r="D163" s="4" t="s">
        <v>141</v>
      </c>
      <c r="E163" s="6"/>
      <c r="F163" s="6"/>
      <c r="G163" s="6"/>
      <c r="H163" s="6"/>
      <c r="I163" s="6"/>
      <c r="J163" s="6"/>
      <c r="K163" s="7"/>
      <c r="L163" s="7"/>
      <c r="M163" s="6"/>
      <c r="N163" s="6"/>
      <c r="O163" s="7"/>
      <c r="P163" s="7"/>
      <c r="Q163" s="5"/>
      <c r="R163" s="6"/>
      <c r="S163" s="6"/>
      <c r="T163" s="6"/>
      <c r="U163" s="8"/>
      <c r="V163" s="8"/>
      <c r="W163" s="61"/>
      <c r="X163" s="61"/>
      <c r="Y163" s="62"/>
      <c r="Z163" s="62"/>
      <c r="AA163" s="6"/>
      <c r="AB163" s="6"/>
      <c r="AC163" s="18"/>
      <c r="AE163" s="74"/>
      <c r="AF163" s="6"/>
      <c r="AG163" s="9"/>
      <c r="AH163" s="15"/>
      <c r="AI163" s="15"/>
      <c r="AJ163" s="15"/>
      <c r="AK163" s="10"/>
      <c r="AL163" s="10"/>
      <c r="AM163" s="10"/>
      <c r="AN163" s="10"/>
      <c r="AO163" s="11"/>
      <c r="AP163" s="11"/>
      <c r="AQ163" s="11"/>
      <c r="AR163" s="11"/>
      <c r="AS163" s="11"/>
      <c r="AT163" s="11"/>
      <c r="AU163" s="11"/>
      <c r="AV163" s="11"/>
    </row>
    <row r="164" spans="1:48">
      <c r="A164" s="19" t="s">
        <v>141</v>
      </c>
      <c r="B164" s="19" t="s">
        <v>141</v>
      </c>
      <c r="C164" s="4" t="s">
        <v>141</v>
      </c>
      <c r="D164" s="4" t="s">
        <v>141</v>
      </c>
      <c r="E164" s="6"/>
      <c r="F164" s="6"/>
      <c r="G164" s="6"/>
      <c r="H164" s="6"/>
      <c r="I164" s="6"/>
      <c r="J164" s="6"/>
      <c r="K164" s="7"/>
      <c r="L164" s="7"/>
      <c r="M164" s="6"/>
      <c r="N164" s="6"/>
      <c r="O164" s="7"/>
      <c r="P164" s="7"/>
      <c r="Q164" s="5"/>
      <c r="R164" s="6"/>
      <c r="S164" s="6"/>
      <c r="T164" s="6"/>
      <c r="U164" s="8"/>
      <c r="V164" s="8"/>
      <c r="W164" s="61"/>
      <c r="X164" s="61"/>
      <c r="Y164" s="62"/>
      <c r="Z164" s="62"/>
      <c r="AA164" s="6"/>
      <c r="AB164" s="6"/>
      <c r="AC164" s="18"/>
      <c r="AE164" s="74"/>
      <c r="AF164" s="6"/>
      <c r="AG164" s="9"/>
      <c r="AH164" s="15"/>
      <c r="AI164" s="15"/>
      <c r="AJ164" s="15"/>
      <c r="AK164" s="10"/>
      <c r="AL164" s="10"/>
      <c r="AM164" s="10"/>
      <c r="AN164" s="10"/>
      <c r="AO164" s="11"/>
      <c r="AP164" s="11"/>
      <c r="AQ164" s="11"/>
      <c r="AR164" s="11"/>
      <c r="AS164" s="11"/>
      <c r="AT164" s="11"/>
      <c r="AU164" s="11"/>
      <c r="AV164" s="11"/>
    </row>
    <row r="165" spans="1:48">
      <c r="A165" s="19" t="s">
        <v>141</v>
      </c>
      <c r="B165" s="19" t="s">
        <v>141</v>
      </c>
      <c r="C165" s="4" t="s">
        <v>141</v>
      </c>
      <c r="D165" s="4" t="s">
        <v>141</v>
      </c>
      <c r="E165" s="6"/>
      <c r="F165" s="6"/>
      <c r="G165" s="6"/>
      <c r="H165" s="6"/>
      <c r="I165" s="6"/>
      <c r="J165" s="6"/>
      <c r="K165" s="7"/>
      <c r="L165" s="7"/>
      <c r="M165" s="6"/>
      <c r="N165" s="6"/>
      <c r="O165" s="7"/>
      <c r="P165" s="7"/>
      <c r="Q165" s="5"/>
      <c r="R165" s="6"/>
      <c r="S165" s="6"/>
      <c r="T165" s="6"/>
      <c r="U165" s="8"/>
      <c r="V165" s="8"/>
      <c r="W165" s="61"/>
      <c r="X165" s="61"/>
      <c r="Y165" s="62"/>
      <c r="Z165" s="62"/>
      <c r="AA165" s="6"/>
      <c r="AB165" s="6"/>
      <c r="AC165" s="18"/>
      <c r="AE165" s="74"/>
      <c r="AF165" s="6"/>
      <c r="AG165" s="9"/>
      <c r="AH165" s="15"/>
      <c r="AI165" s="15"/>
      <c r="AJ165" s="15"/>
      <c r="AK165" s="10"/>
      <c r="AL165" s="10"/>
      <c r="AM165" s="10"/>
      <c r="AN165" s="10"/>
      <c r="AO165" s="11"/>
      <c r="AP165" s="11"/>
      <c r="AQ165" s="11"/>
      <c r="AR165" s="11"/>
      <c r="AS165" s="11"/>
      <c r="AT165" s="11"/>
      <c r="AU165" s="11"/>
      <c r="AV165" s="11"/>
    </row>
    <row r="166" spans="1:48">
      <c r="A166" s="19" t="s">
        <v>141</v>
      </c>
      <c r="B166" s="19" t="s">
        <v>141</v>
      </c>
      <c r="C166" s="4" t="s">
        <v>141</v>
      </c>
      <c r="D166" s="4" t="s">
        <v>141</v>
      </c>
      <c r="E166" s="6"/>
      <c r="F166" s="6"/>
      <c r="G166" s="6"/>
      <c r="H166" s="6"/>
      <c r="I166" s="6"/>
      <c r="J166" s="6"/>
      <c r="K166" s="7"/>
      <c r="L166" s="7"/>
      <c r="M166" s="6"/>
      <c r="N166" s="6"/>
      <c r="O166" s="7"/>
      <c r="P166" s="7"/>
      <c r="Q166" s="5"/>
      <c r="R166" s="6"/>
      <c r="S166" s="6"/>
      <c r="T166" s="6"/>
      <c r="U166" s="8"/>
      <c r="V166" s="8"/>
      <c r="W166" s="61"/>
      <c r="X166" s="61"/>
      <c r="Y166" s="62"/>
      <c r="Z166" s="62"/>
      <c r="AA166" s="6"/>
      <c r="AB166" s="6"/>
      <c r="AC166" s="18"/>
      <c r="AE166" s="74"/>
      <c r="AF166" s="6"/>
      <c r="AG166" s="9"/>
      <c r="AH166" s="15"/>
      <c r="AI166" s="15"/>
      <c r="AJ166" s="15"/>
      <c r="AK166" s="10"/>
      <c r="AL166" s="10"/>
      <c r="AM166" s="10"/>
      <c r="AN166" s="10"/>
      <c r="AO166" s="11"/>
      <c r="AP166" s="11"/>
      <c r="AQ166" s="11"/>
      <c r="AR166" s="11"/>
      <c r="AS166" s="11"/>
      <c r="AT166" s="11"/>
      <c r="AU166" s="11"/>
      <c r="AV166" s="11"/>
    </row>
    <row r="167" spans="1:48">
      <c r="A167" t="s">
        <v>141</v>
      </c>
      <c r="B167" t="s">
        <v>141</v>
      </c>
      <c r="C167" s="4" t="s">
        <v>141</v>
      </c>
      <c r="D167" s="4" t="s">
        <v>141</v>
      </c>
      <c r="E167" s="6"/>
      <c r="F167" s="6"/>
      <c r="G167" s="6"/>
      <c r="H167" s="6"/>
      <c r="I167" s="6"/>
      <c r="J167" s="6"/>
      <c r="K167" s="7"/>
      <c r="L167" s="7"/>
      <c r="M167" s="6"/>
      <c r="N167" s="6"/>
      <c r="O167" s="7"/>
      <c r="P167" s="7"/>
      <c r="Q167" s="5"/>
      <c r="R167" s="6"/>
      <c r="S167" s="6"/>
      <c r="T167" s="6"/>
      <c r="U167" s="8"/>
      <c r="V167" s="8"/>
      <c r="W167" s="61"/>
      <c r="X167" s="61"/>
      <c r="Y167" s="62"/>
      <c r="Z167" s="62"/>
      <c r="AA167" s="6"/>
      <c r="AB167" s="6"/>
      <c r="AC167" s="18"/>
      <c r="AD167" s="18"/>
      <c r="AE167" s="6"/>
      <c r="AF167" s="6"/>
      <c r="AG167" s="9"/>
      <c r="AH167" s="15"/>
      <c r="AI167" s="15"/>
      <c r="AJ167" s="15"/>
      <c r="AK167" s="10"/>
      <c r="AL167" s="10"/>
      <c r="AM167" s="10"/>
      <c r="AN167" s="10"/>
      <c r="AO167" s="11"/>
      <c r="AP167" s="11"/>
      <c r="AQ167" s="11"/>
      <c r="AR167" s="11"/>
      <c r="AS167" s="11"/>
      <c r="AT167" s="11"/>
      <c r="AU167" s="11"/>
      <c r="AV167" s="11"/>
    </row>
    <row r="168" spans="1:48">
      <c r="A168" t="s">
        <v>141</v>
      </c>
      <c r="B168" t="s">
        <v>141</v>
      </c>
      <c r="C168" s="6" t="s">
        <v>141</v>
      </c>
      <c r="D168" s="6" t="s">
        <v>141</v>
      </c>
      <c r="E168" s="6"/>
      <c r="F168" s="6"/>
      <c r="G168" s="6"/>
      <c r="H168" s="6"/>
      <c r="I168" s="6"/>
      <c r="J168" s="6"/>
      <c r="K168" s="7"/>
      <c r="L168" s="7"/>
      <c r="M168" s="6"/>
      <c r="N168" s="6"/>
      <c r="O168" s="7"/>
      <c r="P168" s="7"/>
      <c r="Q168" s="5"/>
      <c r="R168" s="6"/>
      <c r="S168" s="6"/>
      <c r="T168" s="6"/>
      <c r="U168" s="8"/>
      <c r="V168" s="8"/>
      <c r="W168" s="61"/>
      <c r="X168" s="61"/>
      <c r="Y168" s="62"/>
      <c r="Z168" s="62"/>
      <c r="AA168" s="6"/>
      <c r="AB168" s="6"/>
      <c r="AC168" s="18"/>
      <c r="AD168" s="18"/>
      <c r="AE168" s="6"/>
      <c r="AF168" s="6"/>
      <c r="AG168" s="9"/>
      <c r="AH168" s="15"/>
      <c r="AI168" s="15"/>
      <c r="AJ168" s="15"/>
      <c r="AK168" s="10"/>
      <c r="AL168" s="10"/>
      <c r="AM168" s="10"/>
      <c r="AN168" s="10"/>
      <c r="AO168" s="11"/>
      <c r="AP168" s="11"/>
      <c r="AQ168" s="11"/>
      <c r="AR168" s="11"/>
      <c r="AS168" s="11"/>
      <c r="AT168" s="11"/>
      <c r="AU168" s="11"/>
      <c r="AV168" s="11"/>
    </row>
    <row r="169" spans="1:48">
      <c r="A169" t="s">
        <v>141</v>
      </c>
      <c r="B169" t="s">
        <v>141</v>
      </c>
      <c r="C169" s="6" t="s">
        <v>141</v>
      </c>
      <c r="D169" s="6" t="s">
        <v>141</v>
      </c>
      <c r="E169" s="6"/>
      <c r="F169" s="6"/>
      <c r="G169" s="6"/>
      <c r="H169" s="6"/>
      <c r="I169" s="6"/>
      <c r="J169" s="6"/>
      <c r="K169" s="7"/>
      <c r="L169" s="7"/>
      <c r="M169" s="6"/>
      <c r="N169" s="6"/>
      <c r="O169" s="7"/>
      <c r="P169" s="7"/>
      <c r="Q169" s="5"/>
      <c r="R169" s="6"/>
      <c r="S169" s="6"/>
      <c r="T169" s="6"/>
      <c r="U169" s="8"/>
      <c r="V169" s="8"/>
      <c r="W169" s="61"/>
      <c r="X169" s="61"/>
      <c r="Y169" s="62"/>
      <c r="Z169" s="62"/>
      <c r="AA169" s="6"/>
      <c r="AB169" s="6"/>
      <c r="AC169" s="18"/>
      <c r="AD169" s="18"/>
      <c r="AE169" s="6"/>
      <c r="AF169" s="6"/>
      <c r="AG169" s="9"/>
      <c r="AH169" s="15"/>
      <c r="AI169" s="15"/>
      <c r="AJ169" s="15"/>
      <c r="AK169" s="10"/>
      <c r="AL169" s="10"/>
      <c r="AM169" s="10"/>
      <c r="AN169" s="10"/>
      <c r="AO169" s="11"/>
      <c r="AP169" s="11"/>
      <c r="AQ169" s="11"/>
      <c r="AR169" s="11"/>
      <c r="AS169" s="11"/>
      <c r="AT169" s="11"/>
      <c r="AU169" s="11"/>
      <c r="AV169" s="11"/>
    </row>
    <row r="170" spans="1:48">
      <c r="C170" s="6" t="s">
        <v>141</v>
      </c>
      <c r="D170" s="6" t="s">
        <v>141</v>
      </c>
      <c r="E170" s="6"/>
      <c r="F170" s="6"/>
      <c r="G170" s="6"/>
      <c r="H170" s="6"/>
      <c r="I170" s="6"/>
      <c r="J170" s="6"/>
      <c r="K170" s="7"/>
      <c r="L170" s="7"/>
      <c r="M170" s="6"/>
      <c r="N170" s="6"/>
      <c r="O170" s="7"/>
      <c r="P170" s="7"/>
      <c r="Q170" s="5"/>
      <c r="R170" s="6"/>
      <c r="S170" s="6"/>
      <c r="T170" s="6"/>
      <c r="U170" s="8"/>
      <c r="V170" s="8"/>
      <c r="W170" s="61"/>
      <c r="X170" s="61"/>
      <c r="Y170" s="62"/>
      <c r="Z170" s="62"/>
      <c r="AA170" s="6"/>
      <c r="AB170" s="6"/>
      <c r="AC170" s="18"/>
      <c r="AD170" s="18"/>
      <c r="AE170" s="6"/>
      <c r="AF170" s="6"/>
      <c r="AG170" s="9"/>
      <c r="AH170" s="15"/>
      <c r="AI170" s="15"/>
      <c r="AJ170" s="15"/>
      <c r="AK170" s="10"/>
      <c r="AL170" s="10"/>
      <c r="AM170" s="10"/>
      <c r="AN170" s="10"/>
      <c r="AO170" s="11"/>
      <c r="AP170" s="11"/>
      <c r="AQ170" s="11"/>
      <c r="AR170" s="11"/>
      <c r="AS170" s="11"/>
      <c r="AT170" s="11"/>
      <c r="AU170" s="11"/>
      <c r="AV170" s="11"/>
    </row>
    <row r="171" spans="1:48">
      <c r="C171" s="6" t="s">
        <v>141</v>
      </c>
      <c r="D171" s="6" t="s">
        <v>141</v>
      </c>
      <c r="E171" s="6"/>
      <c r="F171" s="6"/>
      <c r="G171" s="6"/>
      <c r="H171" s="6"/>
      <c r="I171" s="6"/>
      <c r="J171" s="6"/>
      <c r="K171" s="7"/>
      <c r="L171" s="7"/>
      <c r="M171" s="6"/>
      <c r="N171" s="6"/>
      <c r="O171" s="7"/>
      <c r="P171" s="7"/>
      <c r="Q171" s="5"/>
      <c r="R171" s="6"/>
      <c r="S171" s="6"/>
      <c r="T171" s="6"/>
      <c r="U171" s="8"/>
      <c r="V171" s="8"/>
      <c r="W171" s="61"/>
      <c r="X171" s="61"/>
      <c r="Y171" s="62"/>
      <c r="Z171" s="62"/>
      <c r="AA171" s="6"/>
      <c r="AB171" s="6"/>
      <c r="AC171" s="18"/>
      <c r="AD171" s="18"/>
      <c r="AE171" s="6"/>
      <c r="AF171" s="6"/>
      <c r="AG171" s="9"/>
      <c r="AH171" s="15"/>
      <c r="AI171" s="15"/>
      <c r="AJ171" s="15"/>
      <c r="AK171" s="10"/>
      <c r="AL171" s="10"/>
      <c r="AM171" s="10"/>
      <c r="AN171" s="10"/>
      <c r="AO171" s="11"/>
      <c r="AP171" s="11"/>
      <c r="AQ171" s="11"/>
      <c r="AR171" s="11"/>
      <c r="AS171" s="11"/>
      <c r="AT171" s="11"/>
      <c r="AU171" s="11"/>
      <c r="AV171" s="11"/>
    </row>
    <row r="172" spans="1:48">
      <c r="C172" s="6" t="s">
        <v>141</v>
      </c>
      <c r="D172" s="6" t="s">
        <v>141</v>
      </c>
      <c r="E172" s="6"/>
      <c r="F172" s="6"/>
      <c r="G172" s="6"/>
      <c r="H172" s="6"/>
      <c r="I172" s="6"/>
      <c r="J172" s="6"/>
      <c r="K172" s="7"/>
      <c r="L172" s="7"/>
      <c r="M172" s="6"/>
      <c r="N172" s="6"/>
      <c r="O172" s="7"/>
      <c r="P172" s="7"/>
      <c r="Q172" s="5"/>
      <c r="R172" s="6"/>
      <c r="S172" s="6"/>
      <c r="T172" s="6"/>
      <c r="U172" s="8"/>
      <c r="V172" s="8"/>
      <c r="W172" s="61"/>
      <c r="X172" s="61"/>
      <c r="Y172" s="62"/>
      <c r="Z172" s="62"/>
      <c r="AA172" s="6"/>
      <c r="AB172" s="6"/>
      <c r="AC172" s="18"/>
      <c r="AD172" s="18"/>
      <c r="AE172" s="6"/>
      <c r="AF172" s="6"/>
      <c r="AG172" s="9"/>
      <c r="AH172" s="15"/>
      <c r="AI172" s="15"/>
      <c r="AJ172" s="15"/>
      <c r="AK172" s="10"/>
      <c r="AL172" s="10"/>
      <c r="AM172" s="10"/>
      <c r="AN172" s="10"/>
      <c r="AO172" s="11"/>
      <c r="AP172" s="11"/>
      <c r="AQ172" s="11"/>
      <c r="AR172" s="11"/>
      <c r="AS172" s="11"/>
      <c r="AT172" s="11"/>
      <c r="AU172" s="11"/>
      <c r="AV172" s="11"/>
    </row>
    <row r="173" spans="1:48">
      <c r="C173" s="6" t="s">
        <v>141</v>
      </c>
      <c r="D173" s="6" t="s">
        <v>141</v>
      </c>
      <c r="E173" s="6"/>
      <c r="F173" s="6"/>
      <c r="G173" s="6"/>
      <c r="H173" s="6"/>
      <c r="I173" s="6"/>
      <c r="J173" s="6"/>
      <c r="K173" s="7"/>
      <c r="L173" s="7"/>
      <c r="M173" s="6"/>
      <c r="N173" s="6"/>
      <c r="O173" s="7"/>
      <c r="P173" s="7"/>
      <c r="Q173" s="5"/>
      <c r="R173" s="6"/>
      <c r="S173" s="6"/>
      <c r="T173" s="6"/>
      <c r="U173" s="8"/>
      <c r="V173" s="8"/>
      <c r="W173" s="61"/>
      <c r="X173" s="61"/>
      <c r="Y173" s="62"/>
      <c r="Z173" s="62"/>
      <c r="AA173" s="6"/>
      <c r="AB173" s="6"/>
      <c r="AC173" s="18"/>
      <c r="AD173" s="18"/>
      <c r="AE173" s="6"/>
      <c r="AF173" s="6"/>
      <c r="AG173" s="9"/>
      <c r="AH173" s="15"/>
      <c r="AI173" s="15"/>
      <c r="AJ173" s="15"/>
      <c r="AK173" s="10"/>
      <c r="AL173" s="10"/>
      <c r="AM173" s="10"/>
      <c r="AN173" s="10"/>
      <c r="AO173" s="11"/>
      <c r="AP173" s="11"/>
      <c r="AQ173" s="11"/>
      <c r="AR173" s="11"/>
      <c r="AS173" s="11"/>
      <c r="AT173" s="11"/>
      <c r="AU173" s="11"/>
      <c r="AV173" s="11"/>
    </row>
    <row r="174" spans="1:48">
      <c r="C174" s="6" t="s">
        <v>141</v>
      </c>
      <c r="D174" s="6" t="s">
        <v>141</v>
      </c>
      <c r="E174" s="6"/>
      <c r="F174" s="6"/>
      <c r="G174" s="6"/>
      <c r="H174" s="6"/>
      <c r="I174" s="6"/>
      <c r="J174" s="6"/>
      <c r="K174" s="7"/>
      <c r="L174" s="7"/>
      <c r="M174" s="6"/>
      <c r="N174" s="6"/>
      <c r="O174" s="7"/>
      <c r="P174" s="7"/>
      <c r="Q174" s="5"/>
      <c r="R174" s="6"/>
      <c r="S174" s="6"/>
      <c r="T174" s="6"/>
      <c r="U174" s="8"/>
      <c r="V174" s="8"/>
      <c r="W174" s="61"/>
      <c r="X174" s="61"/>
      <c r="Y174" s="62"/>
      <c r="Z174" s="62"/>
      <c r="AA174" s="6"/>
      <c r="AB174" s="6"/>
      <c r="AC174" s="18"/>
      <c r="AD174" s="18"/>
      <c r="AE174" s="6"/>
      <c r="AF174" s="6"/>
      <c r="AG174" s="9"/>
      <c r="AH174" s="15"/>
      <c r="AI174" s="15"/>
      <c r="AJ174" s="15"/>
      <c r="AK174" s="10"/>
      <c r="AL174" s="10"/>
      <c r="AM174" s="10"/>
      <c r="AN174" s="10"/>
      <c r="AO174" s="11"/>
      <c r="AP174" s="11"/>
      <c r="AQ174" s="11"/>
      <c r="AR174" s="11"/>
      <c r="AS174" s="11"/>
      <c r="AT174" s="11"/>
      <c r="AU174" s="11"/>
      <c r="AV174" s="11"/>
    </row>
    <row r="175" spans="1:48">
      <c r="C175" s="6" t="s">
        <v>141</v>
      </c>
      <c r="D175" s="6" t="s">
        <v>141</v>
      </c>
      <c r="E175" s="6"/>
      <c r="F175" s="6"/>
      <c r="G175" s="6"/>
      <c r="H175" s="6"/>
      <c r="I175" s="6"/>
      <c r="J175" s="6"/>
      <c r="K175" s="7"/>
      <c r="L175" s="7"/>
      <c r="M175" s="6"/>
      <c r="N175" s="6"/>
      <c r="O175" s="7"/>
      <c r="P175" s="7"/>
      <c r="Q175" s="5"/>
      <c r="R175" s="6"/>
      <c r="S175" s="6"/>
      <c r="T175" s="6"/>
      <c r="U175" s="8"/>
      <c r="V175" s="8"/>
      <c r="W175" s="61"/>
      <c r="X175" s="61"/>
      <c r="Y175" s="62"/>
      <c r="Z175" s="62"/>
      <c r="AA175" s="6"/>
      <c r="AB175" s="6"/>
      <c r="AC175" s="18"/>
      <c r="AD175" s="18"/>
      <c r="AE175" s="6"/>
      <c r="AF175" s="6"/>
      <c r="AG175" s="9"/>
      <c r="AH175" s="15"/>
      <c r="AI175" s="15"/>
      <c r="AJ175" s="15"/>
      <c r="AK175" s="10"/>
      <c r="AL175" s="10"/>
      <c r="AM175" s="10"/>
      <c r="AN175" s="10"/>
      <c r="AO175" s="11"/>
      <c r="AP175" s="11"/>
      <c r="AQ175" s="11"/>
      <c r="AR175" s="11"/>
      <c r="AS175" s="11"/>
      <c r="AT175" s="11"/>
      <c r="AU175" s="11"/>
      <c r="AV175" s="11"/>
    </row>
    <row r="176" spans="1:48">
      <c r="C176" s="6" t="s">
        <v>141</v>
      </c>
      <c r="D176" s="6" t="s">
        <v>141</v>
      </c>
      <c r="E176" s="6"/>
      <c r="F176" s="6"/>
      <c r="G176" s="6"/>
      <c r="H176" s="6"/>
      <c r="I176" s="6"/>
      <c r="J176" s="6"/>
      <c r="K176" s="7"/>
      <c r="L176" s="7"/>
      <c r="M176" s="6"/>
      <c r="N176" s="6"/>
      <c r="O176" s="7"/>
      <c r="P176" s="7"/>
      <c r="Q176" s="5"/>
      <c r="R176" s="6"/>
      <c r="S176" s="6"/>
      <c r="T176" s="6"/>
      <c r="U176" s="8"/>
      <c r="V176" s="8"/>
      <c r="W176" s="61"/>
      <c r="X176" s="61"/>
      <c r="Y176" s="62"/>
      <c r="Z176" s="62"/>
      <c r="AA176" s="6"/>
      <c r="AB176" s="6"/>
      <c r="AC176" s="18"/>
      <c r="AD176" s="18"/>
      <c r="AE176" s="6"/>
      <c r="AF176" s="6"/>
      <c r="AG176" s="9"/>
      <c r="AH176" s="15"/>
      <c r="AI176" s="15"/>
      <c r="AJ176" s="15"/>
      <c r="AK176" s="10"/>
      <c r="AL176" s="10"/>
      <c r="AM176" s="10"/>
      <c r="AN176" s="10"/>
      <c r="AO176" s="11"/>
      <c r="AP176" s="11"/>
      <c r="AQ176" s="11"/>
      <c r="AR176" s="11"/>
      <c r="AS176" s="11"/>
      <c r="AT176" s="11"/>
      <c r="AU176" s="11"/>
      <c r="AV176" s="11"/>
    </row>
    <row r="177" spans="3:48">
      <c r="C177" s="6" t="s">
        <v>141</v>
      </c>
      <c r="D177" s="6" t="s">
        <v>141</v>
      </c>
      <c r="E177" s="6"/>
      <c r="F177" s="6"/>
      <c r="G177" s="6"/>
      <c r="H177" s="6"/>
      <c r="I177" s="6"/>
      <c r="J177" s="6"/>
      <c r="K177" s="7"/>
      <c r="L177" s="7"/>
      <c r="M177" s="6"/>
      <c r="N177" s="6"/>
      <c r="O177" s="7"/>
      <c r="P177" s="7"/>
      <c r="Q177" s="5"/>
      <c r="R177" s="6"/>
      <c r="S177" s="6"/>
      <c r="T177" s="6"/>
      <c r="U177" s="8"/>
      <c r="V177" s="8"/>
      <c r="W177" s="61"/>
      <c r="X177" s="61"/>
      <c r="Y177" s="62"/>
      <c r="Z177" s="62"/>
      <c r="AA177" s="6"/>
      <c r="AB177" s="6"/>
      <c r="AC177" s="18"/>
      <c r="AD177" s="18"/>
      <c r="AE177" s="6"/>
      <c r="AF177" s="6"/>
      <c r="AG177" s="9"/>
      <c r="AH177" s="15"/>
      <c r="AI177" s="15"/>
      <c r="AJ177" s="15"/>
      <c r="AK177" s="10"/>
      <c r="AL177" s="10"/>
      <c r="AM177" s="10"/>
      <c r="AN177" s="10"/>
      <c r="AO177" s="11"/>
      <c r="AP177" s="11"/>
      <c r="AQ177" s="11"/>
      <c r="AR177" s="11"/>
      <c r="AS177" s="11"/>
      <c r="AT177" s="11"/>
      <c r="AU177" s="11"/>
      <c r="AV177" s="11"/>
    </row>
    <row r="178" spans="3:48">
      <c r="C178" s="6" t="s">
        <v>141</v>
      </c>
      <c r="D178" s="6" t="s">
        <v>141</v>
      </c>
      <c r="E178" s="6"/>
      <c r="F178" s="6"/>
      <c r="G178" s="6"/>
      <c r="H178" s="6"/>
      <c r="I178" s="6"/>
      <c r="J178" s="6"/>
      <c r="K178" s="7"/>
      <c r="L178" s="7"/>
      <c r="M178" s="6"/>
      <c r="N178" s="6"/>
      <c r="O178" s="7"/>
      <c r="P178" s="7"/>
      <c r="Q178" s="5"/>
      <c r="R178" s="6"/>
      <c r="S178" s="6"/>
      <c r="T178" s="6"/>
      <c r="U178" s="8"/>
      <c r="V178" s="8"/>
      <c r="W178" s="61"/>
      <c r="X178" s="61"/>
      <c r="Y178" s="62"/>
      <c r="Z178" s="62"/>
      <c r="AA178" s="6"/>
      <c r="AB178" s="6"/>
      <c r="AC178" s="18"/>
      <c r="AD178" s="18"/>
      <c r="AE178" s="6"/>
      <c r="AF178" s="6"/>
      <c r="AG178" s="9"/>
      <c r="AH178" s="15"/>
      <c r="AI178" s="15"/>
      <c r="AJ178" s="15"/>
      <c r="AK178" s="10"/>
      <c r="AL178" s="10"/>
      <c r="AM178" s="10"/>
      <c r="AN178" s="10"/>
      <c r="AO178" s="11"/>
      <c r="AP178" s="11"/>
      <c r="AQ178" s="11"/>
      <c r="AR178" s="11"/>
      <c r="AS178" s="11"/>
      <c r="AT178" s="11"/>
      <c r="AU178" s="11"/>
      <c r="AV178" s="11"/>
    </row>
    <row r="179" spans="3:48">
      <c r="C179" s="6" t="s">
        <v>141</v>
      </c>
      <c r="D179" s="6" t="s">
        <v>141</v>
      </c>
      <c r="E179" s="6"/>
      <c r="F179" s="6"/>
      <c r="G179" s="6"/>
      <c r="H179" s="6"/>
      <c r="I179" s="6"/>
      <c r="J179" s="6"/>
      <c r="K179" s="7"/>
      <c r="L179" s="7"/>
      <c r="M179" s="6"/>
      <c r="N179" s="6"/>
      <c r="O179" s="7"/>
      <c r="P179" s="7"/>
      <c r="Q179" s="5"/>
      <c r="R179" s="6"/>
      <c r="S179" s="6"/>
      <c r="T179" s="6"/>
      <c r="U179" s="8"/>
      <c r="V179" s="8"/>
      <c r="W179" s="61"/>
      <c r="X179" s="61"/>
      <c r="AA179" s="6"/>
      <c r="AB179" s="6"/>
      <c r="AC179" s="18"/>
      <c r="AD179" s="18"/>
      <c r="AE179" s="6"/>
      <c r="AF179" s="6"/>
      <c r="AG179" s="9"/>
      <c r="AH179" s="15"/>
      <c r="AI179" s="15"/>
      <c r="AJ179" s="15"/>
      <c r="AK179" s="10"/>
      <c r="AL179" s="10"/>
      <c r="AM179" s="10"/>
      <c r="AN179" s="10"/>
      <c r="AO179" s="11"/>
      <c r="AP179" s="11"/>
      <c r="AQ179" s="11"/>
      <c r="AR179" s="11"/>
      <c r="AS179" s="11"/>
      <c r="AT179" s="11"/>
      <c r="AU179" s="11"/>
      <c r="AV179" s="11"/>
    </row>
    <row r="180" spans="3:48">
      <c r="C180" s="6" t="s">
        <v>141</v>
      </c>
      <c r="D180" s="6" t="s">
        <v>141</v>
      </c>
      <c r="E180" s="6"/>
      <c r="F180" s="6"/>
      <c r="G180" s="6"/>
      <c r="H180" s="6"/>
      <c r="I180" s="6"/>
      <c r="J180" s="6"/>
      <c r="K180" s="7"/>
      <c r="L180" s="7"/>
      <c r="M180" s="6"/>
      <c r="N180" s="6"/>
      <c r="O180" s="7"/>
      <c r="P180" s="7"/>
      <c r="Q180" s="5"/>
      <c r="R180" s="6"/>
      <c r="S180" s="6"/>
      <c r="T180" s="6"/>
      <c r="U180" s="8"/>
      <c r="V180" s="8"/>
      <c r="W180" s="61"/>
      <c r="X180" s="61"/>
      <c r="AA180" s="6"/>
      <c r="AB180" s="6"/>
      <c r="AC180" s="18"/>
      <c r="AD180" s="18"/>
      <c r="AE180" s="6"/>
      <c r="AF180" s="6"/>
      <c r="AG180" s="9"/>
      <c r="AH180" s="15"/>
      <c r="AI180" s="15"/>
      <c r="AJ180" s="15"/>
      <c r="AK180" s="10"/>
      <c r="AL180" s="10"/>
      <c r="AM180" s="10"/>
      <c r="AN180" s="10"/>
      <c r="AO180" s="11"/>
      <c r="AP180" s="11"/>
      <c r="AQ180" s="11"/>
      <c r="AR180" s="11"/>
      <c r="AS180" s="11"/>
      <c r="AT180" s="11"/>
      <c r="AU180" s="11"/>
      <c r="AV180" s="11"/>
    </row>
    <row r="181" spans="3:48">
      <c r="C181" s="6" t="s">
        <v>141</v>
      </c>
      <c r="D181" s="6" t="s">
        <v>141</v>
      </c>
      <c r="E181" s="6"/>
      <c r="F181" s="6"/>
      <c r="G181" s="6"/>
      <c r="H181" s="6"/>
      <c r="I181" s="6"/>
      <c r="J181" s="6"/>
      <c r="K181" s="7"/>
      <c r="L181" s="7"/>
      <c r="M181" s="6"/>
      <c r="N181" s="6"/>
      <c r="O181" s="7"/>
      <c r="P181" s="7"/>
      <c r="Q181" s="5"/>
      <c r="R181" s="6"/>
      <c r="S181" s="6"/>
      <c r="T181" s="6"/>
      <c r="U181" s="8"/>
      <c r="V181" s="8"/>
      <c r="W181" s="61"/>
      <c r="X181" s="61"/>
      <c r="AA181" s="6"/>
      <c r="AB181" s="6"/>
      <c r="AC181" s="18"/>
      <c r="AD181" s="18"/>
      <c r="AE181" s="6"/>
      <c r="AF181" s="6"/>
      <c r="AG181" s="9"/>
      <c r="AH181" s="15"/>
      <c r="AI181" s="15"/>
      <c r="AJ181" s="15"/>
      <c r="AK181" s="10"/>
      <c r="AL181" s="10"/>
      <c r="AM181" s="10"/>
      <c r="AN181" s="10"/>
      <c r="AO181" s="11"/>
      <c r="AP181" s="11"/>
      <c r="AQ181" s="11"/>
      <c r="AR181" s="11"/>
      <c r="AS181" s="11"/>
      <c r="AT181" s="11"/>
      <c r="AU181" s="11"/>
      <c r="AV181" s="11"/>
    </row>
    <row r="182" spans="3:48">
      <c r="C182" t="s">
        <v>141</v>
      </c>
      <c r="D182" t="s">
        <v>141</v>
      </c>
    </row>
    <row r="183" spans="3:48">
      <c r="C183" t="s">
        <v>141</v>
      </c>
      <c r="D183" t="s">
        <v>141</v>
      </c>
    </row>
    <row r="273" customFormat="1"/>
    <row r="274" customFormat="1"/>
    <row r="275" customFormat="1"/>
    <row r="276" customFormat="1"/>
    <row r="277" customFormat="1"/>
    <row r="278" customFormat="1"/>
    <row r="279" customFormat="1"/>
    <row r="280" customFormat="1"/>
    <row r="281" customFormat="1"/>
    <row r="282" customFormat="1"/>
    <row r="283" customFormat="1"/>
    <row r="284" customFormat="1"/>
    <row r="285" customFormat="1"/>
    <row r="286" customFormat="1"/>
    <row r="287" customFormat="1"/>
    <row r="288" customFormat="1"/>
    <row r="289" customFormat="1"/>
    <row r="290" customFormat="1"/>
    <row r="291" customFormat="1"/>
    <row r="292" customFormat="1"/>
    <row r="293" customFormat="1"/>
    <row r="294" customFormat="1"/>
    <row r="295" customFormat="1"/>
    <row r="296" customFormat="1"/>
    <row r="297" customFormat="1"/>
    <row r="298" customFormat="1"/>
    <row r="299" customFormat="1"/>
    <row r="300" customFormat="1"/>
    <row r="301" customFormat="1"/>
    <row r="302" customFormat="1"/>
    <row r="303" customFormat="1"/>
    <row r="304" customFormat="1"/>
    <row r="305" customFormat="1"/>
    <row r="306" customFormat="1"/>
    <row r="307" customFormat="1"/>
    <row r="308" customFormat="1"/>
    <row r="309" customFormat="1"/>
    <row r="310" customFormat="1"/>
    <row r="311" customFormat="1"/>
    <row r="312" customFormat="1"/>
    <row r="313" customFormat="1"/>
    <row r="314" customFormat="1"/>
    <row r="315" customFormat="1"/>
    <row r="316" customFormat="1"/>
    <row r="317" customFormat="1"/>
    <row r="318" customFormat="1"/>
    <row r="319" customFormat="1"/>
    <row r="320" customFormat="1"/>
    <row r="321" customFormat="1"/>
    <row r="322" customFormat="1"/>
    <row r="323" customFormat="1"/>
    <row r="324" customFormat="1"/>
    <row r="325" customFormat="1"/>
    <row r="326" customFormat="1"/>
    <row r="327" customFormat="1"/>
    <row r="328" customFormat="1"/>
    <row r="329" customFormat="1"/>
    <row r="330" customFormat="1"/>
    <row r="331" customFormat="1"/>
    <row r="332" customFormat="1"/>
    <row r="333" customFormat="1"/>
    <row r="334" customFormat="1"/>
    <row r="335" customFormat="1"/>
    <row r="336" customFormat="1"/>
    <row r="337" customFormat="1"/>
    <row r="338" customFormat="1"/>
    <row r="339" customFormat="1"/>
    <row r="340" customFormat="1"/>
    <row r="341" customFormat="1"/>
    <row r="342" customFormat="1"/>
    <row r="343" customFormat="1"/>
    <row r="344" customFormat="1"/>
    <row r="345" customFormat="1"/>
    <row r="346" customFormat="1"/>
    <row r="347" customFormat="1"/>
    <row r="348" customFormat="1"/>
    <row r="349" customFormat="1"/>
    <row r="350" customFormat="1"/>
    <row r="351" customFormat="1"/>
    <row r="352" customFormat="1"/>
    <row r="353" customFormat="1"/>
    <row r="354" customFormat="1"/>
    <row r="355" customFormat="1"/>
    <row r="356" customFormat="1"/>
    <row r="357" customFormat="1"/>
    <row r="358" customFormat="1"/>
    <row r="359" customFormat="1"/>
    <row r="360" customFormat="1"/>
    <row r="361" customFormat="1"/>
    <row r="362" customFormat="1"/>
    <row r="363" customFormat="1"/>
    <row r="364" customFormat="1"/>
    <row r="365" customFormat="1"/>
    <row r="366" customFormat="1"/>
    <row r="367" customFormat="1"/>
    <row r="368" customFormat="1"/>
    <row r="369" customFormat="1"/>
    <row r="370" customFormat="1"/>
    <row r="371" customFormat="1"/>
    <row r="372" customFormat="1"/>
    <row r="373" customFormat="1"/>
    <row r="374" customFormat="1"/>
    <row r="375" customFormat="1"/>
    <row r="376" customFormat="1"/>
    <row r="377" customFormat="1"/>
    <row r="378" customFormat="1"/>
    <row r="379" customFormat="1"/>
    <row r="380" customFormat="1"/>
    <row r="381" customFormat="1"/>
    <row r="382" customFormat="1"/>
    <row r="383" customFormat="1"/>
    <row r="384" customFormat="1"/>
    <row r="385" customFormat="1"/>
    <row r="386" customFormat="1"/>
    <row r="387" customFormat="1"/>
    <row r="388" customFormat="1"/>
    <row r="389" customFormat="1"/>
    <row r="390" customFormat="1"/>
    <row r="391" customFormat="1"/>
    <row r="392" customFormat="1"/>
    <row r="393" customFormat="1"/>
    <row r="394" customFormat="1"/>
    <row r="395" customFormat="1"/>
    <row r="396" customFormat="1"/>
    <row r="397" customFormat="1"/>
    <row r="398" customFormat="1"/>
    <row r="399" customFormat="1"/>
    <row r="400" customFormat="1"/>
    <row r="401" customFormat="1"/>
    <row r="402" customFormat="1"/>
    <row r="403" customFormat="1"/>
    <row r="404" customFormat="1"/>
    <row r="405" customFormat="1"/>
    <row r="406" customFormat="1"/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00B0F0"/>
  </sheetPr>
  <dimension ref="A1:BQ406"/>
  <sheetViews>
    <sheetView zoomScale="85" zoomScaleNormal="85" workbookViewId="0">
      <pane xSplit="2" ySplit="2" topLeftCell="C102" activePane="bottomRight" state="frozen"/>
      <selection pane="topRight" activeCell="C1" sqref="C1"/>
      <selection pane="bottomLeft" activeCell="A3" sqref="A3"/>
      <selection pane="bottomRight" activeCell="B131" sqref="B131"/>
    </sheetView>
  </sheetViews>
  <sheetFormatPr defaultRowHeight="15"/>
  <cols>
    <col min="1" max="1" width="8.7109375" customWidth="1"/>
    <col min="2" max="2" width="35.28515625" bestFit="1" customWidth="1"/>
    <col min="3" max="3" width="8" bestFit="1" customWidth="1"/>
    <col min="4" max="4" width="4.140625" bestFit="1" customWidth="1"/>
    <col min="5" max="5" width="11.28515625" customWidth="1"/>
    <col min="6" max="7" width="10.5703125" bestFit="1" customWidth="1"/>
    <col min="8" max="8" width="10.5703125" customWidth="1"/>
    <col min="9" max="10" width="10.5703125" bestFit="1" customWidth="1"/>
    <col min="11" max="11" width="10.5703125" customWidth="1"/>
    <col min="12" max="12" width="18.7109375" customWidth="1"/>
    <col min="13" max="15" width="18.7109375" style="13" customWidth="1"/>
    <col min="16" max="17" width="18.7109375" customWidth="1"/>
    <col min="18" max="19" width="10.85546875" bestFit="1" customWidth="1"/>
    <col min="20" max="20" width="10.85546875" customWidth="1"/>
    <col min="21" max="21" width="10.85546875" bestFit="1" customWidth="1"/>
    <col min="22" max="22" width="10.85546875" style="12" bestFit="1" customWidth="1"/>
    <col min="23" max="23" width="10.85546875" style="12" customWidth="1"/>
    <col min="24" max="24" width="11.42578125" bestFit="1" customWidth="1"/>
    <col min="25" max="25" width="12.140625" bestFit="1" customWidth="1"/>
    <col min="26" max="26" width="10.5703125" style="14" bestFit="1" customWidth="1" collapsed="1"/>
    <col min="27" max="27" width="10.5703125" style="14" customWidth="1"/>
    <col min="28" max="28" width="9" style="14" bestFit="1" customWidth="1"/>
    <col min="29" max="29" width="9" style="63" bestFit="1" customWidth="1"/>
    <col min="30" max="30" width="9" style="63" customWidth="1"/>
    <col min="31" max="34" width="13.28515625" style="63" customWidth="1"/>
    <col min="35" max="36" width="13.28515625" customWidth="1"/>
    <col min="37" max="37" width="7.85546875" bestFit="1" customWidth="1" collapsed="1"/>
    <col min="38" max="38" width="7.85546875" bestFit="1" customWidth="1"/>
    <col min="39" max="39" width="7.85546875" customWidth="1"/>
    <col min="40" max="41" width="10.42578125" bestFit="1" customWidth="1"/>
    <col min="42" max="42" width="10.42578125" customWidth="1"/>
    <col min="43" max="56" width="11" customWidth="1"/>
    <col min="57" max="57" width="14.28515625" bestFit="1" customWidth="1"/>
    <col min="58" max="58" width="14.28515625" bestFit="1" customWidth="1" collapsed="1"/>
    <col min="59" max="59" width="14.28515625" customWidth="1"/>
    <col min="256" max="256" width="0" hidden="1" customWidth="1"/>
    <col min="258" max="258" width="28.140625" customWidth="1"/>
    <col min="259" max="260" width="0" hidden="1" customWidth="1"/>
    <col min="261" max="267" width="11" customWidth="1"/>
    <col min="268" max="269" width="0" hidden="1" customWidth="1"/>
    <col min="270" max="271" width="11" customWidth="1"/>
    <col min="272" max="273" width="0" hidden="1" customWidth="1"/>
    <col min="274" max="274" width="11" customWidth="1"/>
    <col min="275" max="275" width="16.5703125" customWidth="1"/>
    <col min="276" max="279" width="11" customWidth="1"/>
    <col min="280" max="281" width="11.140625" customWidth="1"/>
    <col min="282" max="305" width="11" customWidth="1"/>
    <col min="512" max="512" width="0" hidden="1" customWidth="1"/>
    <col min="514" max="514" width="28.140625" customWidth="1"/>
    <col min="515" max="516" width="0" hidden="1" customWidth="1"/>
    <col min="517" max="523" width="11" customWidth="1"/>
    <col min="524" max="525" width="0" hidden="1" customWidth="1"/>
    <col min="526" max="527" width="11" customWidth="1"/>
    <col min="528" max="529" width="0" hidden="1" customWidth="1"/>
    <col min="530" max="530" width="11" customWidth="1"/>
    <col min="531" max="531" width="16.5703125" customWidth="1"/>
    <col min="532" max="535" width="11" customWidth="1"/>
    <col min="536" max="537" width="11.140625" customWidth="1"/>
    <col min="538" max="561" width="11" customWidth="1"/>
    <col min="768" max="768" width="0" hidden="1" customWidth="1"/>
    <col min="770" max="770" width="28.140625" customWidth="1"/>
    <col min="771" max="772" width="0" hidden="1" customWidth="1"/>
    <col min="773" max="779" width="11" customWidth="1"/>
    <col min="780" max="781" width="0" hidden="1" customWidth="1"/>
    <col min="782" max="783" width="11" customWidth="1"/>
    <col min="784" max="785" width="0" hidden="1" customWidth="1"/>
    <col min="786" max="786" width="11" customWidth="1"/>
    <col min="787" max="787" width="16.5703125" customWidth="1"/>
    <col min="788" max="791" width="11" customWidth="1"/>
    <col min="792" max="793" width="11.140625" customWidth="1"/>
    <col min="794" max="817" width="11" customWidth="1"/>
    <col min="1024" max="1024" width="0" hidden="1" customWidth="1"/>
    <col min="1026" max="1026" width="28.140625" customWidth="1"/>
    <col min="1027" max="1028" width="0" hidden="1" customWidth="1"/>
    <col min="1029" max="1035" width="11" customWidth="1"/>
    <col min="1036" max="1037" width="0" hidden="1" customWidth="1"/>
    <col min="1038" max="1039" width="11" customWidth="1"/>
    <col min="1040" max="1041" width="0" hidden="1" customWidth="1"/>
    <col min="1042" max="1042" width="11" customWidth="1"/>
    <col min="1043" max="1043" width="16.5703125" customWidth="1"/>
    <col min="1044" max="1047" width="11" customWidth="1"/>
    <col min="1048" max="1049" width="11.140625" customWidth="1"/>
    <col min="1050" max="1073" width="11" customWidth="1"/>
    <col min="1280" max="1280" width="0" hidden="1" customWidth="1"/>
    <col min="1282" max="1282" width="28.140625" customWidth="1"/>
    <col min="1283" max="1284" width="0" hidden="1" customWidth="1"/>
    <col min="1285" max="1291" width="11" customWidth="1"/>
    <col min="1292" max="1293" width="0" hidden="1" customWidth="1"/>
    <col min="1294" max="1295" width="11" customWidth="1"/>
    <col min="1296" max="1297" width="0" hidden="1" customWidth="1"/>
    <col min="1298" max="1298" width="11" customWidth="1"/>
    <col min="1299" max="1299" width="16.5703125" customWidth="1"/>
    <col min="1300" max="1303" width="11" customWidth="1"/>
    <col min="1304" max="1305" width="11.140625" customWidth="1"/>
    <col min="1306" max="1329" width="11" customWidth="1"/>
    <col min="1536" max="1536" width="0" hidden="1" customWidth="1"/>
    <col min="1538" max="1538" width="28.140625" customWidth="1"/>
    <col min="1539" max="1540" width="0" hidden="1" customWidth="1"/>
    <col min="1541" max="1547" width="11" customWidth="1"/>
    <col min="1548" max="1549" width="0" hidden="1" customWidth="1"/>
    <col min="1550" max="1551" width="11" customWidth="1"/>
    <col min="1552" max="1553" width="0" hidden="1" customWidth="1"/>
    <col min="1554" max="1554" width="11" customWidth="1"/>
    <col min="1555" max="1555" width="16.5703125" customWidth="1"/>
    <col min="1556" max="1559" width="11" customWidth="1"/>
    <col min="1560" max="1561" width="11.140625" customWidth="1"/>
    <col min="1562" max="1585" width="11" customWidth="1"/>
    <col min="1792" max="1792" width="0" hidden="1" customWidth="1"/>
    <col min="1794" max="1794" width="28.140625" customWidth="1"/>
    <col min="1795" max="1796" width="0" hidden="1" customWidth="1"/>
    <col min="1797" max="1803" width="11" customWidth="1"/>
    <col min="1804" max="1805" width="0" hidden="1" customWidth="1"/>
    <col min="1806" max="1807" width="11" customWidth="1"/>
    <col min="1808" max="1809" width="0" hidden="1" customWidth="1"/>
    <col min="1810" max="1810" width="11" customWidth="1"/>
    <col min="1811" max="1811" width="16.5703125" customWidth="1"/>
    <col min="1812" max="1815" width="11" customWidth="1"/>
    <col min="1816" max="1817" width="11.140625" customWidth="1"/>
    <col min="1818" max="1841" width="11" customWidth="1"/>
    <col min="2048" max="2048" width="0" hidden="1" customWidth="1"/>
    <col min="2050" max="2050" width="28.140625" customWidth="1"/>
    <col min="2051" max="2052" width="0" hidden="1" customWidth="1"/>
    <col min="2053" max="2059" width="11" customWidth="1"/>
    <col min="2060" max="2061" width="0" hidden="1" customWidth="1"/>
    <col min="2062" max="2063" width="11" customWidth="1"/>
    <col min="2064" max="2065" width="0" hidden="1" customWidth="1"/>
    <col min="2066" max="2066" width="11" customWidth="1"/>
    <col min="2067" max="2067" width="16.5703125" customWidth="1"/>
    <col min="2068" max="2071" width="11" customWidth="1"/>
    <col min="2072" max="2073" width="11.140625" customWidth="1"/>
    <col min="2074" max="2097" width="11" customWidth="1"/>
    <col min="2304" max="2304" width="0" hidden="1" customWidth="1"/>
    <col min="2306" max="2306" width="28.140625" customWidth="1"/>
    <col min="2307" max="2308" width="0" hidden="1" customWidth="1"/>
    <col min="2309" max="2315" width="11" customWidth="1"/>
    <col min="2316" max="2317" width="0" hidden="1" customWidth="1"/>
    <col min="2318" max="2319" width="11" customWidth="1"/>
    <col min="2320" max="2321" width="0" hidden="1" customWidth="1"/>
    <col min="2322" max="2322" width="11" customWidth="1"/>
    <col min="2323" max="2323" width="16.5703125" customWidth="1"/>
    <col min="2324" max="2327" width="11" customWidth="1"/>
    <col min="2328" max="2329" width="11.140625" customWidth="1"/>
    <col min="2330" max="2353" width="11" customWidth="1"/>
    <col min="2560" max="2560" width="0" hidden="1" customWidth="1"/>
    <col min="2562" max="2562" width="28.140625" customWidth="1"/>
    <col min="2563" max="2564" width="0" hidden="1" customWidth="1"/>
    <col min="2565" max="2571" width="11" customWidth="1"/>
    <col min="2572" max="2573" width="0" hidden="1" customWidth="1"/>
    <col min="2574" max="2575" width="11" customWidth="1"/>
    <col min="2576" max="2577" width="0" hidden="1" customWidth="1"/>
    <col min="2578" max="2578" width="11" customWidth="1"/>
    <col min="2579" max="2579" width="16.5703125" customWidth="1"/>
    <col min="2580" max="2583" width="11" customWidth="1"/>
    <col min="2584" max="2585" width="11.140625" customWidth="1"/>
    <col min="2586" max="2609" width="11" customWidth="1"/>
    <col min="2816" max="2816" width="0" hidden="1" customWidth="1"/>
    <col min="2818" max="2818" width="28.140625" customWidth="1"/>
    <col min="2819" max="2820" width="0" hidden="1" customWidth="1"/>
    <col min="2821" max="2827" width="11" customWidth="1"/>
    <col min="2828" max="2829" width="0" hidden="1" customWidth="1"/>
    <col min="2830" max="2831" width="11" customWidth="1"/>
    <col min="2832" max="2833" width="0" hidden="1" customWidth="1"/>
    <col min="2834" max="2834" width="11" customWidth="1"/>
    <col min="2835" max="2835" width="16.5703125" customWidth="1"/>
    <col min="2836" max="2839" width="11" customWidth="1"/>
    <col min="2840" max="2841" width="11.140625" customWidth="1"/>
    <col min="2842" max="2865" width="11" customWidth="1"/>
    <col min="3072" max="3072" width="0" hidden="1" customWidth="1"/>
    <col min="3074" max="3074" width="28.140625" customWidth="1"/>
    <col min="3075" max="3076" width="0" hidden="1" customWidth="1"/>
    <col min="3077" max="3083" width="11" customWidth="1"/>
    <col min="3084" max="3085" width="0" hidden="1" customWidth="1"/>
    <col min="3086" max="3087" width="11" customWidth="1"/>
    <col min="3088" max="3089" width="0" hidden="1" customWidth="1"/>
    <col min="3090" max="3090" width="11" customWidth="1"/>
    <col min="3091" max="3091" width="16.5703125" customWidth="1"/>
    <col min="3092" max="3095" width="11" customWidth="1"/>
    <col min="3096" max="3097" width="11.140625" customWidth="1"/>
    <col min="3098" max="3121" width="11" customWidth="1"/>
    <col min="3328" max="3328" width="0" hidden="1" customWidth="1"/>
    <col min="3330" max="3330" width="28.140625" customWidth="1"/>
    <col min="3331" max="3332" width="0" hidden="1" customWidth="1"/>
    <col min="3333" max="3339" width="11" customWidth="1"/>
    <col min="3340" max="3341" width="0" hidden="1" customWidth="1"/>
    <col min="3342" max="3343" width="11" customWidth="1"/>
    <col min="3344" max="3345" width="0" hidden="1" customWidth="1"/>
    <col min="3346" max="3346" width="11" customWidth="1"/>
    <col min="3347" max="3347" width="16.5703125" customWidth="1"/>
    <col min="3348" max="3351" width="11" customWidth="1"/>
    <col min="3352" max="3353" width="11.140625" customWidth="1"/>
    <col min="3354" max="3377" width="11" customWidth="1"/>
    <col min="3584" max="3584" width="0" hidden="1" customWidth="1"/>
    <col min="3586" max="3586" width="28.140625" customWidth="1"/>
    <col min="3587" max="3588" width="0" hidden="1" customWidth="1"/>
    <col min="3589" max="3595" width="11" customWidth="1"/>
    <col min="3596" max="3597" width="0" hidden="1" customWidth="1"/>
    <col min="3598" max="3599" width="11" customWidth="1"/>
    <col min="3600" max="3601" width="0" hidden="1" customWidth="1"/>
    <col min="3602" max="3602" width="11" customWidth="1"/>
    <col min="3603" max="3603" width="16.5703125" customWidth="1"/>
    <col min="3604" max="3607" width="11" customWidth="1"/>
    <col min="3608" max="3609" width="11.140625" customWidth="1"/>
    <col min="3610" max="3633" width="11" customWidth="1"/>
    <col min="3840" max="3840" width="0" hidden="1" customWidth="1"/>
    <col min="3842" max="3842" width="28.140625" customWidth="1"/>
    <col min="3843" max="3844" width="0" hidden="1" customWidth="1"/>
    <col min="3845" max="3851" width="11" customWidth="1"/>
    <col min="3852" max="3853" width="0" hidden="1" customWidth="1"/>
    <col min="3854" max="3855" width="11" customWidth="1"/>
    <col min="3856" max="3857" width="0" hidden="1" customWidth="1"/>
    <col min="3858" max="3858" width="11" customWidth="1"/>
    <col min="3859" max="3859" width="16.5703125" customWidth="1"/>
    <col min="3860" max="3863" width="11" customWidth="1"/>
    <col min="3864" max="3865" width="11.140625" customWidth="1"/>
    <col min="3866" max="3889" width="11" customWidth="1"/>
    <col min="4096" max="4096" width="0" hidden="1" customWidth="1"/>
    <col min="4098" max="4098" width="28.140625" customWidth="1"/>
    <col min="4099" max="4100" width="0" hidden="1" customWidth="1"/>
    <col min="4101" max="4107" width="11" customWidth="1"/>
    <col min="4108" max="4109" width="0" hidden="1" customWidth="1"/>
    <col min="4110" max="4111" width="11" customWidth="1"/>
    <col min="4112" max="4113" width="0" hidden="1" customWidth="1"/>
    <col min="4114" max="4114" width="11" customWidth="1"/>
    <col min="4115" max="4115" width="16.5703125" customWidth="1"/>
    <col min="4116" max="4119" width="11" customWidth="1"/>
    <col min="4120" max="4121" width="11.140625" customWidth="1"/>
    <col min="4122" max="4145" width="11" customWidth="1"/>
    <col min="4352" max="4352" width="0" hidden="1" customWidth="1"/>
    <col min="4354" max="4354" width="28.140625" customWidth="1"/>
    <col min="4355" max="4356" width="0" hidden="1" customWidth="1"/>
    <col min="4357" max="4363" width="11" customWidth="1"/>
    <col min="4364" max="4365" width="0" hidden="1" customWidth="1"/>
    <col min="4366" max="4367" width="11" customWidth="1"/>
    <col min="4368" max="4369" width="0" hidden="1" customWidth="1"/>
    <col min="4370" max="4370" width="11" customWidth="1"/>
    <col min="4371" max="4371" width="16.5703125" customWidth="1"/>
    <col min="4372" max="4375" width="11" customWidth="1"/>
    <col min="4376" max="4377" width="11.140625" customWidth="1"/>
    <col min="4378" max="4401" width="11" customWidth="1"/>
    <col min="4608" max="4608" width="0" hidden="1" customWidth="1"/>
    <col min="4610" max="4610" width="28.140625" customWidth="1"/>
    <col min="4611" max="4612" width="0" hidden="1" customWidth="1"/>
    <col min="4613" max="4619" width="11" customWidth="1"/>
    <col min="4620" max="4621" width="0" hidden="1" customWidth="1"/>
    <col min="4622" max="4623" width="11" customWidth="1"/>
    <col min="4624" max="4625" width="0" hidden="1" customWidth="1"/>
    <col min="4626" max="4626" width="11" customWidth="1"/>
    <col min="4627" max="4627" width="16.5703125" customWidth="1"/>
    <col min="4628" max="4631" width="11" customWidth="1"/>
    <col min="4632" max="4633" width="11.140625" customWidth="1"/>
    <col min="4634" max="4657" width="11" customWidth="1"/>
    <col min="4864" max="4864" width="0" hidden="1" customWidth="1"/>
    <col min="4866" max="4866" width="28.140625" customWidth="1"/>
    <col min="4867" max="4868" width="0" hidden="1" customWidth="1"/>
    <col min="4869" max="4875" width="11" customWidth="1"/>
    <col min="4876" max="4877" width="0" hidden="1" customWidth="1"/>
    <col min="4878" max="4879" width="11" customWidth="1"/>
    <col min="4880" max="4881" width="0" hidden="1" customWidth="1"/>
    <col min="4882" max="4882" width="11" customWidth="1"/>
    <col min="4883" max="4883" width="16.5703125" customWidth="1"/>
    <col min="4884" max="4887" width="11" customWidth="1"/>
    <col min="4888" max="4889" width="11.140625" customWidth="1"/>
    <col min="4890" max="4913" width="11" customWidth="1"/>
    <col min="5120" max="5120" width="0" hidden="1" customWidth="1"/>
    <col min="5122" max="5122" width="28.140625" customWidth="1"/>
    <col min="5123" max="5124" width="0" hidden="1" customWidth="1"/>
    <col min="5125" max="5131" width="11" customWidth="1"/>
    <col min="5132" max="5133" width="0" hidden="1" customWidth="1"/>
    <col min="5134" max="5135" width="11" customWidth="1"/>
    <col min="5136" max="5137" width="0" hidden="1" customWidth="1"/>
    <col min="5138" max="5138" width="11" customWidth="1"/>
    <col min="5139" max="5139" width="16.5703125" customWidth="1"/>
    <col min="5140" max="5143" width="11" customWidth="1"/>
    <col min="5144" max="5145" width="11.140625" customWidth="1"/>
    <col min="5146" max="5169" width="11" customWidth="1"/>
    <col min="5376" max="5376" width="0" hidden="1" customWidth="1"/>
    <col min="5378" max="5378" width="28.140625" customWidth="1"/>
    <col min="5379" max="5380" width="0" hidden="1" customWidth="1"/>
    <col min="5381" max="5387" width="11" customWidth="1"/>
    <col min="5388" max="5389" width="0" hidden="1" customWidth="1"/>
    <col min="5390" max="5391" width="11" customWidth="1"/>
    <col min="5392" max="5393" width="0" hidden="1" customWidth="1"/>
    <col min="5394" max="5394" width="11" customWidth="1"/>
    <col min="5395" max="5395" width="16.5703125" customWidth="1"/>
    <col min="5396" max="5399" width="11" customWidth="1"/>
    <col min="5400" max="5401" width="11.140625" customWidth="1"/>
    <col min="5402" max="5425" width="11" customWidth="1"/>
    <col min="5632" max="5632" width="0" hidden="1" customWidth="1"/>
    <col min="5634" max="5634" width="28.140625" customWidth="1"/>
    <col min="5635" max="5636" width="0" hidden="1" customWidth="1"/>
    <col min="5637" max="5643" width="11" customWidth="1"/>
    <col min="5644" max="5645" width="0" hidden="1" customWidth="1"/>
    <col min="5646" max="5647" width="11" customWidth="1"/>
    <col min="5648" max="5649" width="0" hidden="1" customWidth="1"/>
    <col min="5650" max="5650" width="11" customWidth="1"/>
    <col min="5651" max="5651" width="16.5703125" customWidth="1"/>
    <col min="5652" max="5655" width="11" customWidth="1"/>
    <col min="5656" max="5657" width="11.140625" customWidth="1"/>
    <col min="5658" max="5681" width="11" customWidth="1"/>
    <col min="5888" max="5888" width="0" hidden="1" customWidth="1"/>
    <col min="5890" max="5890" width="28.140625" customWidth="1"/>
    <col min="5891" max="5892" width="0" hidden="1" customWidth="1"/>
    <col min="5893" max="5899" width="11" customWidth="1"/>
    <col min="5900" max="5901" width="0" hidden="1" customWidth="1"/>
    <col min="5902" max="5903" width="11" customWidth="1"/>
    <col min="5904" max="5905" width="0" hidden="1" customWidth="1"/>
    <col min="5906" max="5906" width="11" customWidth="1"/>
    <col min="5907" max="5907" width="16.5703125" customWidth="1"/>
    <col min="5908" max="5911" width="11" customWidth="1"/>
    <col min="5912" max="5913" width="11.140625" customWidth="1"/>
    <col min="5914" max="5937" width="11" customWidth="1"/>
    <col min="6144" max="6144" width="0" hidden="1" customWidth="1"/>
    <col min="6146" max="6146" width="28.140625" customWidth="1"/>
    <col min="6147" max="6148" width="0" hidden="1" customWidth="1"/>
    <col min="6149" max="6155" width="11" customWidth="1"/>
    <col min="6156" max="6157" width="0" hidden="1" customWidth="1"/>
    <col min="6158" max="6159" width="11" customWidth="1"/>
    <col min="6160" max="6161" width="0" hidden="1" customWidth="1"/>
    <col min="6162" max="6162" width="11" customWidth="1"/>
    <col min="6163" max="6163" width="16.5703125" customWidth="1"/>
    <col min="6164" max="6167" width="11" customWidth="1"/>
    <col min="6168" max="6169" width="11.140625" customWidth="1"/>
    <col min="6170" max="6193" width="11" customWidth="1"/>
    <col min="6400" max="6400" width="0" hidden="1" customWidth="1"/>
    <col min="6402" max="6402" width="28.140625" customWidth="1"/>
    <col min="6403" max="6404" width="0" hidden="1" customWidth="1"/>
    <col min="6405" max="6411" width="11" customWidth="1"/>
    <col min="6412" max="6413" width="0" hidden="1" customWidth="1"/>
    <col min="6414" max="6415" width="11" customWidth="1"/>
    <col min="6416" max="6417" width="0" hidden="1" customWidth="1"/>
    <col min="6418" max="6418" width="11" customWidth="1"/>
    <col min="6419" max="6419" width="16.5703125" customWidth="1"/>
    <col min="6420" max="6423" width="11" customWidth="1"/>
    <col min="6424" max="6425" width="11.140625" customWidth="1"/>
    <col min="6426" max="6449" width="11" customWidth="1"/>
    <col min="6656" max="6656" width="0" hidden="1" customWidth="1"/>
    <col min="6658" max="6658" width="28.140625" customWidth="1"/>
    <col min="6659" max="6660" width="0" hidden="1" customWidth="1"/>
    <col min="6661" max="6667" width="11" customWidth="1"/>
    <col min="6668" max="6669" width="0" hidden="1" customWidth="1"/>
    <col min="6670" max="6671" width="11" customWidth="1"/>
    <col min="6672" max="6673" width="0" hidden="1" customWidth="1"/>
    <col min="6674" max="6674" width="11" customWidth="1"/>
    <col min="6675" max="6675" width="16.5703125" customWidth="1"/>
    <col min="6676" max="6679" width="11" customWidth="1"/>
    <col min="6680" max="6681" width="11.140625" customWidth="1"/>
    <col min="6682" max="6705" width="11" customWidth="1"/>
    <col min="6912" max="6912" width="0" hidden="1" customWidth="1"/>
    <col min="6914" max="6914" width="28.140625" customWidth="1"/>
    <col min="6915" max="6916" width="0" hidden="1" customWidth="1"/>
    <col min="6917" max="6923" width="11" customWidth="1"/>
    <col min="6924" max="6925" width="0" hidden="1" customWidth="1"/>
    <col min="6926" max="6927" width="11" customWidth="1"/>
    <col min="6928" max="6929" width="0" hidden="1" customWidth="1"/>
    <col min="6930" max="6930" width="11" customWidth="1"/>
    <col min="6931" max="6931" width="16.5703125" customWidth="1"/>
    <col min="6932" max="6935" width="11" customWidth="1"/>
    <col min="6936" max="6937" width="11.140625" customWidth="1"/>
    <col min="6938" max="6961" width="11" customWidth="1"/>
    <col min="7168" max="7168" width="0" hidden="1" customWidth="1"/>
    <col min="7170" max="7170" width="28.140625" customWidth="1"/>
    <col min="7171" max="7172" width="0" hidden="1" customWidth="1"/>
    <col min="7173" max="7179" width="11" customWidth="1"/>
    <col min="7180" max="7181" width="0" hidden="1" customWidth="1"/>
    <col min="7182" max="7183" width="11" customWidth="1"/>
    <col min="7184" max="7185" width="0" hidden="1" customWidth="1"/>
    <col min="7186" max="7186" width="11" customWidth="1"/>
    <col min="7187" max="7187" width="16.5703125" customWidth="1"/>
    <col min="7188" max="7191" width="11" customWidth="1"/>
    <col min="7192" max="7193" width="11.140625" customWidth="1"/>
    <col min="7194" max="7217" width="11" customWidth="1"/>
    <col min="7424" max="7424" width="0" hidden="1" customWidth="1"/>
    <col min="7426" max="7426" width="28.140625" customWidth="1"/>
    <col min="7427" max="7428" width="0" hidden="1" customWidth="1"/>
    <col min="7429" max="7435" width="11" customWidth="1"/>
    <col min="7436" max="7437" width="0" hidden="1" customWidth="1"/>
    <col min="7438" max="7439" width="11" customWidth="1"/>
    <col min="7440" max="7441" width="0" hidden="1" customWidth="1"/>
    <col min="7442" max="7442" width="11" customWidth="1"/>
    <col min="7443" max="7443" width="16.5703125" customWidth="1"/>
    <col min="7444" max="7447" width="11" customWidth="1"/>
    <col min="7448" max="7449" width="11.140625" customWidth="1"/>
    <col min="7450" max="7473" width="11" customWidth="1"/>
    <col min="7680" max="7680" width="0" hidden="1" customWidth="1"/>
    <col min="7682" max="7682" width="28.140625" customWidth="1"/>
    <col min="7683" max="7684" width="0" hidden="1" customWidth="1"/>
    <col min="7685" max="7691" width="11" customWidth="1"/>
    <col min="7692" max="7693" width="0" hidden="1" customWidth="1"/>
    <col min="7694" max="7695" width="11" customWidth="1"/>
    <col min="7696" max="7697" width="0" hidden="1" customWidth="1"/>
    <col min="7698" max="7698" width="11" customWidth="1"/>
    <col min="7699" max="7699" width="16.5703125" customWidth="1"/>
    <col min="7700" max="7703" width="11" customWidth="1"/>
    <col min="7704" max="7705" width="11.140625" customWidth="1"/>
    <col min="7706" max="7729" width="11" customWidth="1"/>
    <col min="7936" max="7936" width="0" hidden="1" customWidth="1"/>
    <col min="7938" max="7938" width="28.140625" customWidth="1"/>
    <col min="7939" max="7940" width="0" hidden="1" customWidth="1"/>
    <col min="7941" max="7947" width="11" customWidth="1"/>
    <col min="7948" max="7949" width="0" hidden="1" customWidth="1"/>
    <col min="7950" max="7951" width="11" customWidth="1"/>
    <col min="7952" max="7953" width="0" hidden="1" customWidth="1"/>
    <col min="7954" max="7954" width="11" customWidth="1"/>
    <col min="7955" max="7955" width="16.5703125" customWidth="1"/>
    <col min="7956" max="7959" width="11" customWidth="1"/>
    <col min="7960" max="7961" width="11.140625" customWidth="1"/>
    <col min="7962" max="7985" width="11" customWidth="1"/>
    <col min="8192" max="8192" width="0" hidden="1" customWidth="1"/>
    <col min="8194" max="8194" width="28.140625" customWidth="1"/>
    <col min="8195" max="8196" width="0" hidden="1" customWidth="1"/>
    <col min="8197" max="8203" width="11" customWidth="1"/>
    <col min="8204" max="8205" width="0" hidden="1" customWidth="1"/>
    <col min="8206" max="8207" width="11" customWidth="1"/>
    <col min="8208" max="8209" width="0" hidden="1" customWidth="1"/>
    <col min="8210" max="8210" width="11" customWidth="1"/>
    <col min="8211" max="8211" width="16.5703125" customWidth="1"/>
    <col min="8212" max="8215" width="11" customWidth="1"/>
    <col min="8216" max="8217" width="11.140625" customWidth="1"/>
    <col min="8218" max="8241" width="11" customWidth="1"/>
    <col min="8448" max="8448" width="0" hidden="1" customWidth="1"/>
    <col min="8450" max="8450" width="28.140625" customWidth="1"/>
    <col min="8451" max="8452" width="0" hidden="1" customWidth="1"/>
    <col min="8453" max="8459" width="11" customWidth="1"/>
    <col min="8460" max="8461" width="0" hidden="1" customWidth="1"/>
    <col min="8462" max="8463" width="11" customWidth="1"/>
    <col min="8464" max="8465" width="0" hidden="1" customWidth="1"/>
    <col min="8466" max="8466" width="11" customWidth="1"/>
    <col min="8467" max="8467" width="16.5703125" customWidth="1"/>
    <col min="8468" max="8471" width="11" customWidth="1"/>
    <col min="8472" max="8473" width="11.140625" customWidth="1"/>
    <col min="8474" max="8497" width="11" customWidth="1"/>
    <col min="8704" max="8704" width="0" hidden="1" customWidth="1"/>
    <col min="8706" max="8706" width="28.140625" customWidth="1"/>
    <col min="8707" max="8708" width="0" hidden="1" customWidth="1"/>
    <col min="8709" max="8715" width="11" customWidth="1"/>
    <col min="8716" max="8717" width="0" hidden="1" customWidth="1"/>
    <col min="8718" max="8719" width="11" customWidth="1"/>
    <col min="8720" max="8721" width="0" hidden="1" customWidth="1"/>
    <col min="8722" max="8722" width="11" customWidth="1"/>
    <col min="8723" max="8723" width="16.5703125" customWidth="1"/>
    <col min="8724" max="8727" width="11" customWidth="1"/>
    <col min="8728" max="8729" width="11.140625" customWidth="1"/>
    <col min="8730" max="8753" width="11" customWidth="1"/>
    <col min="8960" max="8960" width="0" hidden="1" customWidth="1"/>
    <col min="8962" max="8962" width="28.140625" customWidth="1"/>
    <col min="8963" max="8964" width="0" hidden="1" customWidth="1"/>
    <col min="8965" max="8971" width="11" customWidth="1"/>
    <col min="8972" max="8973" width="0" hidden="1" customWidth="1"/>
    <col min="8974" max="8975" width="11" customWidth="1"/>
    <col min="8976" max="8977" width="0" hidden="1" customWidth="1"/>
    <col min="8978" max="8978" width="11" customWidth="1"/>
    <col min="8979" max="8979" width="16.5703125" customWidth="1"/>
    <col min="8980" max="8983" width="11" customWidth="1"/>
    <col min="8984" max="8985" width="11.140625" customWidth="1"/>
    <col min="8986" max="9009" width="11" customWidth="1"/>
    <col min="9216" max="9216" width="0" hidden="1" customWidth="1"/>
    <col min="9218" max="9218" width="28.140625" customWidth="1"/>
    <col min="9219" max="9220" width="0" hidden="1" customWidth="1"/>
    <col min="9221" max="9227" width="11" customWidth="1"/>
    <col min="9228" max="9229" width="0" hidden="1" customWidth="1"/>
    <col min="9230" max="9231" width="11" customWidth="1"/>
    <col min="9232" max="9233" width="0" hidden="1" customWidth="1"/>
    <col min="9234" max="9234" width="11" customWidth="1"/>
    <col min="9235" max="9235" width="16.5703125" customWidth="1"/>
    <col min="9236" max="9239" width="11" customWidth="1"/>
    <col min="9240" max="9241" width="11.140625" customWidth="1"/>
    <col min="9242" max="9265" width="11" customWidth="1"/>
    <col min="9472" max="9472" width="0" hidden="1" customWidth="1"/>
    <col min="9474" max="9474" width="28.140625" customWidth="1"/>
    <col min="9475" max="9476" width="0" hidden="1" customWidth="1"/>
    <col min="9477" max="9483" width="11" customWidth="1"/>
    <col min="9484" max="9485" width="0" hidden="1" customWidth="1"/>
    <col min="9486" max="9487" width="11" customWidth="1"/>
    <col min="9488" max="9489" width="0" hidden="1" customWidth="1"/>
    <col min="9490" max="9490" width="11" customWidth="1"/>
    <col min="9491" max="9491" width="16.5703125" customWidth="1"/>
    <col min="9492" max="9495" width="11" customWidth="1"/>
    <col min="9496" max="9497" width="11.140625" customWidth="1"/>
    <col min="9498" max="9521" width="11" customWidth="1"/>
    <col min="9728" max="9728" width="0" hidden="1" customWidth="1"/>
    <col min="9730" max="9730" width="28.140625" customWidth="1"/>
    <col min="9731" max="9732" width="0" hidden="1" customWidth="1"/>
    <col min="9733" max="9739" width="11" customWidth="1"/>
    <col min="9740" max="9741" width="0" hidden="1" customWidth="1"/>
    <col min="9742" max="9743" width="11" customWidth="1"/>
    <col min="9744" max="9745" width="0" hidden="1" customWidth="1"/>
    <col min="9746" max="9746" width="11" customWidth="1"/>
    <col min="9747" max="9747" width="16.5703125" customWidth="1"/>
    <col min="9748" max="9751" width="11" customWidth="1"/>
    <col min="9752" max="9753" width="11.140625" customWidth="1"/>
    <col min="9754" max="9777" width="11" customWidth="1"/>
    <col min="9984" max="9984" width="0" hidden="1" customWidth="1"/>
    <col min="9986" max="9986" width="28.140625" customWidth="1"/>
    <col min="9987" max="9988" width="0" hidden="1" customWidth="1"/>
    <col min="9989" max="9995" width="11" customWidth="1"/>
    <col min="9996" max="9997" width="0" hidden="1" customWidth="1"/>
    <col min="9998" max="9999" width="11" customWidth="1"/>
    <col min="10000" max="10001" width="0" hidden="1" customWidth="1"/>
    <col min="10002" max="10002" width="11" customWidth="1"/>
    <col min="10003" max="10003" width="16.5703125" customWidth="1"/>
    <col min="10004" max="10007" width="11" customWidth="1"/>
    <col min="10008" max="10009" width="11.140625" customWidth="1"/>
    <col min="10010" max="10033" width="11" customWidth="1"/>
    <col min="10240" max="10240" width="0" hidden="1" customWidth="1"/>
    <col min="10242" max="10242" width="28.140625" customWidth="1"/>
    <col min="10243" max="10244" width="0" hidden="1" customWidth="1"/>
    <col min="10245" max="10251" width="11" customWidth="1"/>
    <col min="10252" max="10253" width="0" hidden="1" customWidth="1"/>
    <col min="10254" max="10255" width="11" customWidth="1"/>
    <col min="10256" max="10257" width="0" hidden="1" customWidth="1"/>
    <col min="10258" max="10258" width="11" customWidth="1"/>
    <col min="10259" max="10259" width="16.5703125" customWidth="1"/>
    <col min="10260" max="10263" width="11" customWidth="1"/>
    <col min="10264" max="10265" width="11.140625" customWidth="1"/>
    <col min="10266" max="10289" width="11" customWidth="1"/>
    <col min="10496" max="10496" width="0" hidden="1" customWidth="1"/>
    <col min="10498" max="10498" width="28.140625" customWidth="1"/>
    <col min="10499" max="10500" width="0" hidden="1" customWidth="1"/>
    <col min="10501" max="10507" width="11" customWidth="1"/>
    <col min="10508" max="10509" width="0" hidden="1" customWidth="1"/>
    <col min="10510" max="10511" width="11" customWidth="1"/>
    <col min="10512" max="10513" width="0" hidden="1" customWidth="1"/>
    <col min="10514" max="10514" width="11" customWidth="1"/>
    <col min="10515" max="10515" width="16.5703125" customWidth="1"/>
    <col min="10516" max="10519" width="11" customWidth="1"/>
    <col min="10520" max="10521" width="11.140625" customWidth="1"/>
    <col min="10522" max="10545" width="11" customWidth="1"/>
    <col min="10752" max="10752" width="0" hidden="1" customWidth="1"/>
    <col min="10754" max="10754" width="28.140625" customWidth="1"/>
    <col min="10755" max="10756" width="0" hidden="1" customWidth="1"/>
    <col min="10757" max="10763" width="11" customWidth="1"/>
    <col min="10764" max="10765" width="0" hidden="1" customWidth="1"/>
    <col min="10766" max="10767" width="11" customWidth="1"/>
    <col min="10768" max="10769" width="0" hidden="1" customWidth="1"/>
    <col min="10770" max="10770" width="11" customWidth="1"/>
    <col min="10771" max="10771" width="16.5703125" customWidth="1"/>
    <col min="10772" max="10775" width="11" customWidth="1"/>
    <col min="10776" max="10777" width="11.140625" customWidth="1"/>
    <col min="10778" max="10801" width="11" customWidth="1"/>
    <col min="11008" max="11008" width="0" hidden="1" customWidth="1"/>
    <col min="11010" max="11010" width="28.140625" customWidth="1"/>
    <col min="11011" max="11012" width="0" hidden="1" customWidth="1"/>
    <col min="11013" max="11019" width="11" customWidth="1"/>
    <col min="11020" max="11021" width="0" hidden="1" customWidth="1"/>
    <col min="11022" max="11023" width="11" customWidth="1"/>
    <col min="11024" max="11025" width="0" hidden="1" customWidth="1"/>
    <col min="11026" max="11026" width="11" customWidth="1"/>
    <col min="11027" max="11027" width="16.5703125" customWidth="1"/>
    <col min="11028" max="11031" width="11" customWidth="1"/>
    <col min="11032" max="11033" width="11.140625" customWidth="1"/>
    <col min="11034" max="11057" width="11" customWidth="1"/>
    <col min="11264" max="11264" width="0" hidden="1" customWidth="1"/>
    <col min="11266" max="11266" width="28.140625" customWidth="1"/>
    <col min="11267" max="11268" width="0" hidden="1" customWidth="1"/>
    <col min="11269" max="11275" width="11" customWidth="1"/>
    <col min="11276" max="11277" width="0" hidden="1" customWidth="1"/>
    <col min="11278" max="11279" width="11" customWidth="1"/>
    <col min="11280" max="11281" width="0" hidden="1" customWidth="1"/>
    <col min="11282" max="11282" width="11" customWidth="1"/>
    <col min="11283" max="11283" width="16.5703125" customWidth="1"/>
    <col min="11284" max="11287" width="11" customWidth="1"/>
    <col min="11288" max="11289" width="11.140625" customWidth="1"/>
    <col min="11290" max="11313" width="11" customWidth="1"/>
    <col min="11520" max="11520" width="0" hidden="1" customWidth="1"/>
    <col min="11522" max="11522" width="28.140625" customWidth="1"/>
    <col min="11523" max="11524" width="0" hidden="1" customWidth="1"/>
    <col min="11525" max="11531" width="11" customWidth="1"/>
    <col min="11532" max="11533" width="0" hidden="1" customWidth="1"/>
    <col min="11534" max="11535" width="11" customWidth="1"/>
    <col min="11536" max="11537" width="0" hidden="1" customWidth="1"/>
    <col min="11538" max="11538" width="11" customWidth="1"/>
    <col min="11539" max="11539" width="16.5703125" customWidth="1"/>
    <col min="11540" max="11543" width="11" customWidth="1"/>
    <col min="11544" max="11545" width="11.140625" customWidth="1"/>
    <col min="11546" max="11569" width="11" customWidth="1"/>
    <col min="11776" max="11776" width="0" hidden="1" customWidth="1"/>
    <col min="11778" max="11778" width="28.140625" customWidth="1"/>
    <col min="11779" max="11780" width="0" hidden="1" customWidth="1"/>
    <col min="11781" max="11787" width="11" customWidth="1"/>
    <col min="11788" max="11789" width="0" hidden="1" customWidth="1"/>
    <col min="11790" max="11791" width="11" customWidth="1"/>
    <col min="11792" max="11793" width="0" hidden="1" customWidth="1"/>
    <col min="11794" max="11794" width="11" customWidth="1"/>
    <col min="11795" max="11795" width="16.5703125" customWidth="1"/>
    <col min="11796" max="11799" width="11" customWidth="1"/>
    <col min="11800" max="11801" width="11.140625" customWidth="1"/>
    <col min="11802" max="11825" width="11" customWidth="1"/>
    <col min="12032" max="12032" width="0" hidden="1" customWidth="1"/>
    <col min="12034" max="12034" width="28.140625" customWidth="1"/>
    <col min="12035" max="12036" width="0" hidden="1" customWidth="1"/>
    <col min="12037" max="12043" width="11" customWidth="1"/>
    <col min="12044" max="12045" width="0" hidden="1" customWidth="1"/>
    <col min="12046" max="12047" width="11" customWidth="1"/>
    <col min="12048" max="12049" width="0" hidden="1" customWidth="1"/>
    <col min="12050" max="12050" width="11" customWidth="1"/>
    <col min="12051" max="12051" width="16.5703125" customWidth="1"/>
    <col min="12052" max="12055" width="11" customWidth="1"/>
    <col min="12056" max="12057" width="11.140625" customWidth="1"/>
    <col min="12058" max="12081" width="11" customWidth="1"/>
    <col min="12288" max="12288" width="0" hidden="1" customWidth="1"/>
    <col min="12290" max="12290" width="28.140625" customWidth="1"/>
    <col min="12291" max="12292" width="0" hidden="1" customWidth="1"/>
    <col min="12293" max="12299" width="11" customWidth="1"/>
    <col min="12300" max="12301" width="0" hidden="1" customWidth="1"/>
    <col min="12302" max="12303" width="11" customWidth="1"/>
    <col min="12304" max="12305" width="0" hidden="1" customWidth="1"/>
    <col min="12306" max="12306" width="11" customWidth="1"/>
    <col min="12307" max="12307" width="16.5703125" customWidth="1"/>
    <col min="12308" max="12311" width="11" customWidth="1"/>
    <col min="12312" max="12313" width="11.140625" customWidth="1"/>
    <col min="12314" max="12337" width="11" customWidth="1"/>
    <col min="12544" max="12544" width="0" hidden="1" customWidth="1"/>
    <col min="12546" max="12546" width="28.140625" customWidth="1"/>
    <col min="12547" max="12548" width="0" hidden="1" customWidth="1"/>
    <col min="12549" max="12555" width="11" customWidth="1"/>
    <col min="12556" max="12557" width="0" hidden="1" customWidth="1"/>
    <col min="12558" max="12559" width="11" customWidth="1"/>
    <col min="12560" max="12561" width="0" hidden="1" customWidth="1"/>
    <col min="12562" max="12562" width="11" customWidth="1"/>
    <col min="12563" max="12563" width="16.5703125" customWidth="1"/>
    <col min="12564" max="12567" width="11" customWidth="1"/>
    <col min="12568" max="12569" width="11.140625" customWidth="1"/>
    <col min="12570" max="12593" width="11" customWidth="1"/>
    <col min="12800" max="12800" width="0" hidden="1" customWidth="1"/>
    <col min="12802" max="12802" width="28.140625" customWidth="1"/>
    <col min="12803" max="12804" width="0" hidden="1" customWidth="1"/>
    <col min="12805" max="12811" width="11" customWidth="1"/>
    <col min="12812" max="12813" width="0" hidden="1" customWidth="1"/>
    <col min="12814" max="12815" width="11" customWidth="1"/>
    <col min="12816" max="12817" width="0" hidden="1" customWidth="1"/>
    <col min="12818" max="12818" width="11" customWidth="1"/>
    <col min="12819" max="12819" width="16.5703125" customWidth="1"/>
    <col min="12820" max="12823" width="11" customWidth="1"/>
    <col min="12824" max="12825" width="11.140625" customWidth="1"/>
    <col min="12826" max="12849" width="11" customWidth="1"/>
    <col min="13056" max="13056" width="0" hidden="1" customWidth="1"/>
    <col min="13058" max="13058" width="28.140625" customWidth="1"/>
    <col min="13059" max="13060" width="0" hidden="1" customWidth="1"/>
    <col min="13061" max="13067" width="11" customWidth="1"/>
    <col min="13068" max="13069" width="0" hidden="1" customWidth="1"/>
    <col min="13070" max="13071" width="11" customWidth="1"/>
    <col min="13072" max="13073" width="0" hidden="1" customWidth="1"/>
    <col min="13074" max="13074" width="11" customWidth="1"/>
    <col min="13075" max="13075" width="16.5703125" customWidth="1"/>
    <col min="13076" max="13079" width="11" customWidth="1"/>
    <col min="13080" max="13081" width="11.140625" customWidth="1"/>
    <col min="13082" max="13105" width="11" customWidth="1"/>
    <col min="13312" max="13312" width="0" hidden="1" customWidth="1"/>
    <col min="13314" max="13314" width="28.140625" customWidth="1"/>
    <col min="13315" max="13316" width="0" hidden="1" customWidth="1"/>
    <col min="13317" max="13323" width="11" customWidth="1"/>
    <col min="13324" max="13325" width="0" hidden="1" customWidth="1"/>
    <col min="13326" max="13327" width="11" customWidth="1"/>
    <col min="13328" max="13329" width="0" hidden="1" customWidth="1"/>
    <col min="13330" max="13330" width="11" customWidth="1"/>
    <col min="13331" max="13331" width="16.5703125" customWidth="1"/>
    <col min="13332" max="13335" width="11" customWidth="1"/>
    <col min="13336" max="13337" width="11.140625" customWidth="1"/>
    <col min="13338" max="13361" width="11" customWidth="1"/>
    <col min="13568" max="13568" width="0" hidden="1" customWidth="1"/>
    <col min="13570" max="13570" width="28.140625" customWidth="1"/>
    <col min="13571" max="13572" width="0" hidden="1" customWidth="1"/>
    <col min="13573" max="13579" width="11" customWidth="1"/>
    <col min="13580" max="13581" width="0" hidden="1" customWidth="1"/>
    <col min="13582" max="13583" width="11" customWidth="1"/>
    <col min="13584" max="13585" width="0" hidden="1" customWidth="1"/>
    <col min="13586" max="13586" width="11" customWidth="1"/>
    <col min="13587" max="13587" width="16.5703125" customWidth="1"/>
    <col min="13588" max="13591" width="11" customWidth="1"/>
    <col min="13592" max="13593" width="11.140625" customWidth="1"/>
    <col min="13594" max="13617" width="11" customWidth="1"/>
    <col min="13824" max="13824" width="0" hidden="1" customWidth="1"/>
    <col min="13826" max="13826" width="28.140625" customWidth="1"/>
    <col min="13827" max="13828" width="0" hidden="1" customWidth="1"/>
    <col min="13829" max="13835" width="11" customWidth="1"/>
    <col min="13836" max="13837" width="0" hidden="1" customWidth="1"/>
    <col min="13838" max="13839" width="11" customWidth="1"/>
    <col min="13840" max="13841" width="0" hidden="1" customWidth="1"/>
    <col min="13842" max="13842" width="11" customWidth="1"/>
    <col min="13843" max="13843" width="16.5703125" customWidth="1"/>
    <col min="13844" max="13847" width="11" customWidth="1"/>
    <col min="13848" max="13849" width="11.140625" customWidth="1"/>
    <col min="13850" max="13873" width="11" customWidth="1"/>
    <col min="14080" max="14080" width="0" hidden="1" customWidth="1"/>
    <col min="14082" max="14082" width="28.140625" customWidth="1"/>
    <col min="14083" max="14084" width="0" hidden="1" customWidth="1"/>
    <col min="14085" max="14091" width="11" customWidth="1"/>
    <col min="14092" max="14093" width="0" hidden="1" customWidth="1"/>
    <col min="14094" max="14095" width="11" customWidth="1"/>
    <col min="14096" max="14097" width="0" hidden="1" customWidth="1"/>
    <col min="14098" max="14098" width="11" customWidth="1"/>
    <col min="14099" max="14099" width="16.5703125" customWidth="1"/>
    <col min="14100" max="14103" width="11" customWidth="1"/>
    <col min="14104" max="14105" width="11.140625" customWidth="1"/>
    <col min="14106" max="14129" width="11" customWidth="1"/>
    <col min="14336" max="14336" width="0" hidden="1" customWidth="1"/>
    <col min="14338" max="14338" width="28.140625" customWidth="1"/>
    <col min="14339" max="14340" width="0" hidden="1" customWidth="1"/>
    <col min="14341" max="14347" width="11" customWidth="1"/>
    <col min="14348" max="14349" width="0" hidden="1" customWidth="1"/>
    <col min="14350" max="14351" width="11" customWidth="1"/>
    <col min="14352" max="14353" width="0" hidden="1" customWidth="1"/>
    <col min="14354" max="14354" width="11" customWidth="1"/>
    <col min="14355" max="14355" width="16.5703125" customWidth="1"/>
    <col min="14356" max="14359" width="11" customWidth="1"/>
    <col min="14360" max="14361" width="11.140625" customWidth="1"/>
    <col min="14362" max="14385" width="11" customWidth="1"/>
    <col min="14592" max="14592" width="0" hidden="1" customWidth="1"/>
    <col min="14594" max="14594" width="28.140625" customWidth="1"/>
    <col min="14595" max="14596" width="0" hidden="1" customWidth="1"/>
    <col min="14597" max="14603" width="11" customWidth="1"/>
    <col min="14604" max="14605" width="0" hidden="1" customWidth="1"/>
    <col min="14606" max="14607" width="11" customWidth="1"/>
    <col min="14608" max="14609" width="0" hidden="1" customWidth="1"/>
    <col min="14610" max="14610" width="11" customWidth="1"/>
    <col min="14611" max="14611" width="16.5703125" customWidth="1"/>
    <col min="14612" max="14615" width="11" customWidth="1"/>
    <col min="14616" max="14617" width="11.140625" customWidth="1"/>
    <col min="14618" max="14641" width="11" customWidth="1"/>
    <col min="14848" max="14848" width="0" hidden="1" customWidth="1"/>
    <col min="14850" max="14850" width="28.140625" customWidth="1"/>
    <col min="14851" max="14852" width="0" hidden="1" customWidth="1"/>
    <col min="14853" max="14859" width="11" customWidth="1"/>
    <col min="14860" max="14861" width="0" hidden="1" customWidth="1"/>
    <col min="14862" max="14863" width="11" customWidth="1"/>
    <col min="14864" max="14865" width="0" hidden="1" customWidth="1"/>
    <col min="14866" max="14866" width="11" customWidth="1"/>
    <col min="14867" max="14867" width="16.5703125" customWidth="1"/>
    <col min="14868" max="14871" width="11" customWidth="1"/>
    <col min="14872" max="14873" width="11.140625" customWidth="1"/>
    <col min="14874" max="14897" width="11" customWidth="1"/>
    <col min="15104" max="15104" width="0" hidden="1" customWidth="1"/>
    <col min="15106" max="15106" width="28.140625" customWidth="1"/>
    <col min="15107" max="15108" width="0" hidden="1" customWidth="1"/>
    <col min="15109" max="15115" width="11" customWidth="1"/>
    <col min="15116" max="15117" width="0" hidden="1" customWidth="1"/>
    <col min="15118" max="15119" width="11" customWidth="1"/>
    <col min="15120" max="15121" width="0" hidden="1" customWidth="1"/>
    <col min="15122" max="15122" width="11" customWidth="1"/>
    <col min="15123" max="15123" width="16.5703125" customWidth="1"/>
    <col min="15124" max="15127" width="11" customWidth="1"/>
    <col min="15128" max="15129" width="11.140625" customWidth="1"/>
    <col min="15130" max="15153" width="11" customWidth="1"/>
    <col min="15360" max="15360" width="0" hidden="1" customWidth="1"/>
    <col min="15362" max="15362" width="28.140625" customWidth="1"/>
    <col min="15363" max="15364" width="0" hidden="1" customWidth="1"/>
    <col min="15365" max="15371" width="11" customWidth="1"/>
    <col min="15372" max="15373" width="0" hidden="1" customWidth="1"/>
    <col min="15374" max="15375" width="11" customWidth="1"/>
    <col min="15376" max="15377" width="0" hidden="1" customWidth="1"/>
    <col min="15378" max="15378" width="11" customWidth="1"/>
    <col min="15379" max="15379" width="16.5703125" customWidth="1"/>
    <col min="15380" max="15383" width="11" customWidth="1"/>
    <col min="15384" max="15385" width="11.140625" customWidth="1"/>
    <col min="15386" max="15409" width="11" customWidth="1"/>
    <col min="15616" max="15616" width="0" hidden="1" customWidth="1"/>
    <col min="15618" max="15618" width="28.140625" customWidth="1"/>
    <col min="15619" max="15620" width="0" hidden="1" customWidth="1"/>
    <col min="15621" max="15627" width="11" customWidth="1"/>
    <col min="15628" max="15629" width="0" hidden="1" customWidth="1"/>
    <col min="15630" max="15631" width="11" customWidth="1"/>
    <col min="15632" max="15633" width="0" hidden="1" customWidth="1"/>
    <col min="15634" max="15634" width="11" customWidth="1"/>
    <col min="15635" max="15635" width="16.5703125" customWidth="1"/>
    <col min="15636" max="15639" width="11" customWidth="1"/>
    <col min="15640" max="15641" width="11.140625" customWidth="1"/>
    <col min="15642" max="15665" width="11" customWidth="1"/>
    <col min="15872" max="15872" width="0" hidden="1" customWidth="1"/>
    <col min="15874" max="15874" width="28.140625" customWidth="1"/>
    <col min="15875" max="15876" width="0" hidden="1" customWidth="1"/>
    <col min="15877" max="15883" width="11" customWidth="1"/>
    <col min="15884" max="15885" width="0" hidden="1" customWidth="1"/>
    <col min="15886" max="15887" width="11" customWidth="1"/>
    <col min="15888" max="15889" width="0" hidden="1" customWidth="1"/>
    <col min="15890" max="15890" width="11" customWidth="1"/>
    <col min="15891" max="15891" width="16.5703125" customWidth="1"/>
    <col min="15892" max="15895" width="11" customWidth="1"/>
    <col min="15896" max="15897" width="11.140625" customWidth="1"/>
    <col min="15898" max="15921" width="11" customWidth="1"/>
    <col min="16128" max="16128" width="0" hidden="1" customWidth="1"/>
    <col min="16130" max="16130" width="28.140625" customWidth="1"/>
    <col min="16131" max="16132" width="0" hidden="1" customWidth="1"/>
    <col min="16133" max="16139" width="11" customWidth="1"/>
    <col min="16140" max="16141" width="0" hidden="1" customWidth="1"/>
    <col min="16142" max="16143" width="11" customWidth="1"/>
    <col min="16144" max="16145" width="0" hidden="1" customWidth="1"/>
    <col min="16146" max="16146" width="11" customWidth="1"/>
    <col min="16147" max="16147" width="16.5703125" customWidth="1"/>
    <col min="16148" max="16151" width="11" customWidth="1"/>
    <col min="16152" max="16153" width="11.140625" customWidth="1"/>
    <col min="16154" max="16177" width="11" customWidth="1"/>
  </cols>
  <sheetData>
    <row r="1" spans="1:66" s="1" customFormat="1" ht="48" customHeight="1">
      <c r="A1" s="77" t="s">
        <v>142</v>
      </c>
      <c r="B1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</row>
    <row r="2" spans="1:66" ht="60">
      <c r="A2" s="72" t="s">
        <v>2</v>
      </c>
      <c r="B2" s="72" t="s">
        <v>3</v>
      </c>
      <c r="C2" s="72" t="s">
        <v>4</v>
      </c>
      <c r="D2" s="72" t="s">
        <v>5</v>
      </c>
      <c r="E2" s="72" t="s">
        <v>544</v>
      </c>
      <c r="F2" s="72" t="s">
        <v>545</v>
      </c>
      <c r="G2" s="72" t="s">
        <v>546</v>
      </c>
      <c r="H2" s="72" t="s">
        <v>547</v>
      </c>
      <c r="I2" s="72" t="s">
        <v>548</v>
      </c>
      <c r="J2" s="72" t="s">
        <v>549</v>
      </c>
      <c r="K2" s="72" t="s">
        <v>550</v>
      </c>
      <c r="L2" s="72" t="s">
        <v>551</v>
      </c>
      <c r="M2" s="72" t="s">
        <v>552</v>
      </c>
      <c r="N2" s="72" t="s">
        <v>553</v>
      </c>
      <c r="O2" s="72" t="s">
        <v>554</v>
      </c>
      <c r="P2" s="72" t="s">
        <v>555</v>
      </c>
      <c r="Q2" s="72" t="s">
        <v>556</v>
      </c>
      <c r="R2" s="72" t="s">
        <v>557</v>
      </c>
      <c r="S2" s="72" t="s">
        <v>558</v>
      </c>
      <c r="T2" s="72" t="s">
        <v>559</v>
      </c>
      <c r="U2" s="72" t="s">
        <v>560</v>
      </c>
      <c r="V2" s="72" t="s">
        <v>561</v>
      </c>
      <c r="W2" s="72" t="s">
        <v>562</v>
      </c>
      <c r="X2" s="72" t="s">
        <v>563</v>
      </c>
      <c r="Y2" s="72" t="s">
        <v>564</v>
      </c>
      <c r="Z2" s="72" t="s">
        <v>565</v>
      </c>
      <c r="AA2" s="72" t="s">
        <v>566</v>
      </c>
      <c r="AB2" s="72" t="s">
        <v>567</v>
      </c>
      <c r="AC2" s="72" t="s">
        <v>568</v>
      </c>
      <c r="AD2" s="72" t="s">
        <v>569</v>
      </c>
      <c r="AE2" s="72" t="s">
        <v>570</v>
      </c>
      <c r="AF2" s="72" t="s">
        <v>571</v>
      </c>
      <c r="AG2" s="72" t="s">
        <v>572</v>
      </c>
      <c r="AH2" s="72" t="s">
        <v>573</v>
      </c>
      <c r="AI2" s="72" t="s">
        <v>574</v>
      </c>
      <c r="AJ2" s="72" t="s">
        <v>575</v>
      </c>
      <c r="AK2" s="72" t="s">
        <v>576</v>
      </c>
      <c r="AL2" s="72" t="s">
        <v>577</v>
      </c>
      <c r="AM2" s="72" t="s">
        <v>578</v>
      </c>
      <c r="AN2" s="72" t="s">
        <v>579</v>
      </c>
      <c r="AO2" s="72" t="s">
        <v>580</v>
      </c>
      <c r="AP2" s="72" t="s">
        <v>581</v>
      </c>
      <c r="AQ2" s="72" t="s">
        <v>582</v>
      </c>
      <c r="AR2" s="72" t="s">
        <v>583</v>
      </c>
      <c r="AS2" s="72" t="s">
        <v>584</v>
      </c>
      <c r="AT2" s="72" t="s">
        <v>585</v>
      </c>
      <c r="AU2" s="72" t="s">
        <v>586</v>
      </c>
      <c r="AV2" s="72" t="s">
        <v>587</v>
      </c>
      <c r="AW2" s="72" t="s">
        <v>588</v>
      </c>
      <c r="AX2" s="72" t="s">
        <v>6</v>
      </c>
      <c r="AY2" s="72" t="s">
        <v>589</v>
      </c>
      <c r="AZ2" s="72" t="s">
        <v>590</v>
      </c>
      <c r="BA2" s="72" t="s">
        <v>591</v>
      </c>
      <c r="BB2" s="72" t="s">
        <v>592</v>
      </c>
      <c r="BC2" s="72" t="s">
        <v>593</v>
      </c>
      <c r="BD2" s="72" t="s">
        <v>594</v>
      </c>
      <c r="BE2" s="72" t="s">
        <v>595</v>
      </c>
      <c r="BF2" s="72" t="s">
        <v>596</v>
      </c>
      <c r="BG2" s="72" t="s">
        <v>597</v>
      </c>
      <c r="BH2" s="72"/>
      <c r="BI2" s="72"/>
      <c r="BJ2" s="72"/>
      <c r="BK2" s="72"/>
      <c r="BL2" s="72"/>
      <c r="BM2" s="72"/>
      <c r="BN2" s="72"/>
    </row>
    <row r="3" spans="1:66">
      <c r="A3">
        <v>10015</v>
      </c>
      <c r="B3" t="s">
        <v>8</v>
      </c>
      <c r="C3">
        <v>1</v>
      </c>
      <c r="D3">
        <v>0</v>
      </c>
      <c r="E3" s="73">
        <v>0.58199999999999996</v>
      </c>
      <c r="F3" s="73">
        <v>0.76100000000000001</v>
      </c>
      <c r="G3" s="73">
        <v>0.76100000000000001</v>
      </c>
      <c r="H3" s="73">
        <v>0.76</v>
      </c>
      <c r="I3" s="73">
        <v>0</v>
      </c>
      <c r="J3" s="73">
        <v>0</v>
      </c>
      <c r="K3" s="73">
        <v>0</v>
      </c>
      <c r="L3" s="73">
        <v>0</v>
      </c>
      <c r="M3" s="73">
        <v>0</v>
      </c>
      <c r="N3" s="73">
        <v>0</v>
      </c>
      <c r="O3" s="37">
        <v>0</v>
      </c>
      <c r="P3" s="37">
        <v>0</v>
      </c>
      <c r="Q3" s="37">
        <v>0</v>
      </c>
      <c r="R3" s="73">
        <v>0.76100000000000001</v>
      </c>
      <c r="S3" s="73">
        <v>0.76100000000000001</v>
      </c>
      <c r="T3" s="73">
        <v>0.76</v>
      </c>
      <c r="U3" s="37">
        <v>6666.36</v>
      </c>
      <c r="V3" s="37">
        <v>6666.36</v>
      </c>
      <c r="W3" s="37">
        <v>6675.84</v>
      </c>
      <c r="X3">
        <v>0.57699999999999996</v>
      </c>
      <c r="Y3" s="37">
        <v>5054.5199999999995</v>
      </c>
      <c r="Z3" s="37">
        <v>5054.5199999999995</v>
      </c>
      <c r="AA3" s="37">
        <v>5068.3679999999995</v>
      </c>
      <c r="AB3" s="73">
        <v>0.184</v>
      </c>
      <c r="AC3" s="73">
        <v>0.184</v>
      </c>
      <c r="AD3" s="73">
        <v>0.183</v>
      </c>
      <c r="AE3" s="73">
        <v>0</v>
      </c>
      <c r="AF3" s="73">
        <v>0</v>
      </c>
      <c r="AG3" s="73">
        <v>0</v>
      </c>
      <c r="AH3" s="73">
        <v>0.184</v>
      </c>
      <c r="AI3" s="73">
        <v>0.184</v>
      </c>
      <c r="AJ3" s="73">
        <v>0.183</v>
      </c>
      <c r="AK3">
        <v>0</v>
      </c>
      <c r="AL3">
        <v>0</v>
      </c>
      <c r="AM3">
        <v>0</v>
      </c>
      <c r="AN3" s="73">
        <v>0</v>
      </c>
      <c r="AO3" s="73">
        <v>0</v>
      </c>
      <c r="AP3" s="73">
        <v>0</v>
      </c>
      <c r="AQ3" s="74">
        <v>8.1199999999999995E-5</v>
      </c>
      <c r="AR3" s="74">
        <v>8.1199999999999995E-5</v>
      </c>
      <c r="AS3" s="74">
        <v>8.1199999999999995E-5</v>
      </c>
      <c r="AT3" s="74">
        <v>0</v>
      </c>
      <c r="AU3" s="74">
        <v>8.1199999999999995E-5</v>
      </c>
      <c r="AV3" s="74">
        <v>8.1199999999999995E-5</v>
      </c>
      <c r="AW3" s="74">
        <v>8.1199999999999995E-5</v>
      </c>
      <c r="AX3" s="74">
        <v>8.1199999999999995E-5</v>
      </c>
      <c r="AY3" s="74">
        <v>0.75860134349540076</v>
      </c>
      <c r="AZ3" s="74">
        <v>0.75860134349540076</v>
      </c>
      <c r="BA3" s="74">
        <v>0.75959950315789471</v>
      </c>
      <c r="BB3" s="74">
        <v>1.3188908145580591</v>
      </c>
      <c r="BC3" s="74">
        <v>1.3188908145580591</v>
      </c>
      <c r="BD3" s="74">
        <v>1.3171577123050262</v>
      </c>
      <c r="BE3" s="74">
        <v>0</v>
      </c>
      <c r="BF3" s="74">
        <v>0</v>
      </c>
      <c r="BG3" s="74">
        <v>0</v>
      </c>
    </row>
    <row r="4" spans="1:66">
      <c r="A4">
        <v>10024</v>
      </c>
      <c r="B4" t="s">
        <v>9</v>
      </c>
      <c r="C4">
        <v>1</v>
      </c>
      <c r="D4">
        <v>0</v>
      </c>
      <c r="E4" s="73">
        <v>203.92</v>
      </c>
      <c r="F4" s="73">
        <v>213.666</v>
      </c>
      <c r="G4" s="73">
        <v>214.56399999999999</v>
      </c>
      <c r="H4" s="73">
        <v>214.739</v>
      </c>
      <c r="I4" s="73">
        <v>0</v>
      </c>
      <c r="J4" s="73">
        <v>0</v>
      </c>
      <c r="K4" s="73">
        <v>0</v>
      </c>
      <c r="L4" s="73">
        <v>0.91900000000000004</v>
      </c>
      <c r="M4" s="73">
        <v>0.91900000000000004</v>
      </c>
      <c r="N4" s="73">
        <v>0.91800000000000004</v>
      </c>
      <c r="O4" s="37">
        <v>8050.4400000000005</v>
      </c>
      <c r="P4" s="37">
        <v>8050.4400000000005</v>
      </c>
      <c r="Q4" s="37">
        <v>8063.7120000000004</v>
      </c>
      <c r="R4" s="73">
        <v>212.74700000000001</v>
      </c>
      <c r="S4" s="73">
        <v>213.64500000000001</v>
      </c>
      <c r="T4" s="73">
        <v>213.821</v>
      </c>
      <c r="U4" s="37">
        <v>1863663.7200000002</v>
      </c>
      <c r="V4" s="37">
        <v>1871530.2000000002</v>
      </c>
      <c r="W4" s="37">
        <v>1878203.6639999999</v>
      </c>
      <c r="X4">
        <v>202.08099999999999</v>
      </c>
      <c r="Y4" s="37">
        <v>1770229.5599999998</v>
      </c>
      <c r="Z4" s="37">
        <v>1770229.5599999998</v>
      </c>
      <c r="AA4" s="37">
        <v>1775079.504</v>
      </c>
      <c r="AB4" s="73">
        <v>10.666</v>
      </c>
      <c r="AC4" s="73">
        <v>11.564</v>
      </c>
      <c r="AD4" s="73">
        <v>11.74</v>
      </c>
      <c r="AE4" s="73">
        <v>10.666</v>
      </c>
      <c r="AF4" s="73">
        <v>11.564</v>
      </c>
      <c r="AG4" s="73">
        <v>11.74</v>
      </c>
      <c r="AH4" s="73">
        <v>0</v>
      </c>
      <c r="AI4" s="73">
        <v>0</v>
      </c>
      <c r="AJ4" s="73">
        <v>0</v>
      </c>
      <c r="AK4">
        <v>0</v>
      </c>
      <c r="AL4">
        <v>0</v>
      </c>
      <c r="AM4">
        <v>0</v>
      </c>
      <c r="AN4" s="73">
        <v>10.666</v>
      </c>
      <c r="AO4" s="73">
        <v>11.564</v>
      </c>
      <c r="AP4" s="73">
        <v>11.74</v>
      </c>
      <c r="AQ4" s="74">
        <v>2.8423899999999998E-2</v>
      </c>
      <c r="AR4" s="74">
        <v>2.8423899999999998E-2</v>
      </c>
      <c r="AS4" s="74">
        <v>2.8423899999999998E-2</v>
      </c>
      <c r="AT4" s="74">
        <v>0</v>
      </c>
      <c r="AU4" s="74">
        <v>2.8423899999999998E-2</v>
      </c>
      <c r="AV4" s="74">
        <v>2.8423899999999998E-2</v>
      </c>
      <c r="AW4" s="74">
        <v>2.8423899999999998E-2</v>
      </c>
      <c r="AX4" s="74">
        <v>2.8423899999999998E-2</v>
      </c>
      <c r="AY4" s="74">
        <v>0.9500818805649941</v>
      </c>
      <c r="AZ4" s="74">
        <v>0.94610556800208812</v>
      </c>
      <c r="BA4" s="74">
        <v>0.94532988927395589</v>
      </c>
      <c r="BB4" s="74">
        <v>1.0527808156135412</v>
      </c>
      <c r="BC4" s="74">
        <v>1.0572245782631717</v>
      </c>
      <c r="BD4" s="74">
        <v>1.0580955161544134</v>
      </c>
      <c r="BE4" s="74">
        <v>0</v>
      </c>
      <c r="BF4" s="74">
        <v>0</v>
      </c>
      <c r="BG4" s="74">
        <v>0</v>
      </c>
    </row>
    <row r="5" spans="1:66">
      <c r="A5">
        <v>10025</v>
      </c>
      <c r="B5" t="s">
        <v>10</v>
      </c>
      <c r="C5">
        <v>1</v>
      </c>
      <c r="D5">
        <v>0</v>
      </c>
      <c r="E5" s="73">
        <v>60.548999999999999</v>
      </c>
      <c r="F5" s="73">
        <v>74.805000000000007</v>
      </c>
      <c r="G5" s="73">
        <v>75.47</v>
      </c>
      <c r="H5" s="73">
        <v>75.930999999999997</v>
      </c>
      <c r="I5" s="73">
        <v>0</v>
      </c>
      <c r="J5" s="73">
        <v>0</v>
      </c>
      <c r="K5" s="73">
        <v>0</v>
      </c>
      <c r="L5" s="73">
        <v>0</v>
      </c>
      <c r="M5" s="73">
        <v>0</v>
      </c>
      <c r="N5" s="73">
        <v>0</v>
      </c>
      <c r="O5" s="37">
        <v>0</v>
      </c>
      <c r="P5" s="37">
        <v>0</v>
      </c>
      <c r="Q5" s="37">
        <v>0</v>
      </c>
      <c r="R5" s="73">
        <v>74.805000000000007</v>
      </c>
      <c r="S5" s="73">
        <v>75.47</v>
      </c>
      <c r="T5" s="73">
        <v>75.930999999999997</v>
      </c>
      <c r="U5" s="37">
        <v>655291.80000000005</v>
      </c>
      <c r="V5" s="37">
        <v>661117.19999999995</v>
      </c>
      <c r="W5" s="37">
        <v>666977.90399999998</v>
      </c>
      <c r="X5">
        <v>60.003</v>
      </c>
      <c r="Y5" s="37">
        <v>525626.28</v>
      </c>
      <c r="Z5" s="37">
        <v>525626.28</v>
      </c>
      <c r="AA5" s="37">
        <v>527066.35199999996</v>
      </c>
      <c r="AB5" s="73">
        <v>14.802</v>
      </c>
      <c r="AC5" s="73">
        <v>15.467000000000001</v>
      </c>
      <c r="AD5" s="73">
        <v>15.928000000000001</v>
      </c>
      <c r="AE5" s="73">
        <v>14.802</v>
      </c>
      <c r="AF5" s="73">
        <v>15.467000000000001</v>
      </c>
      <c r="AG5" s="73">
        <v>15.928000000000001</v>
      </c>
      <c r="AH5" s="73">
        <v>0</v>
      </c>
      <c r="AI5" s="73">
        <v>0</v>
      </c>
      <c r="AJ5" s="73">
        <v>0</v>
      </c>
      <c r="AK5">
        <v>0</v>
      </c>
      <c r="AL5">
        <v>0</v>
      </c>
      <c r="AM5">
        <v>0</v>
      </c>
      <c r="AN5" s="73">
        <v>14.802</v>
      </c>
      <c r="AO5" s="73">
        <v>15.467000000000001</v>
      </c>
      <c r="AP5" s="73">
        <v>15.928000000000001</v>
      </c>
      <c r="AQ5" s="74">
        <v>8.4398000000000008E-3</v>
      </c>
      <c r="AR5" s="74">
        <v>8.4398000000000008E-3</v>
      </c>
      <c r="AS5" s="74">
        <v>8.4398000000000008E-3</v>
      </c>
      <c r="AT5" s="74">
        <v>0</v>
      </c>
      <c r="AU5" s="74">
        <v>8.4398000000000008E-3</v>
      </c>
      <c r="AV5" s="74">
        <v>8.4398000000000008E-3</v>
      </c>
      <c r="AW5" s="74">
        <v>8.4398000000000008E-3</v>
      </c>
      <c r="AX5" s="74">
        <v>8.4398000000000008E-3</v>
      </c>
      <c r="AY5" s="74">
        <v>0.80212815947597094</v>
      </c>
      <c r="AZ5" s="74">
        <v>0.79506024870279601</v>
      </c>
      <c r="BA5" s="74">
        <v>0.79023319816148885</v>
      </c>
      <c r="BB5" s="74">
        <v>1.2466876656167192</v>
      </c>
      <c r="BC5" s="74">
        <v>1.2577704448110927</v>
      </c>
      <c r="BD5" s="74">
        <v>1.2654533939969668</v>
      </c>
      <c r="BE5" s="74">
        <v>6.8567821608919569E-2</v>
      </c>
      <c r="BF5" s="74">
        <v>6.91773744646101E-2</v>
      </c>
      <c r="BG5" s="74">
        <v>6.9599936669833176E-2</v>
      </c>
    </row>
    <row r="6" spans="1:66">
      <c r="A6">
        <v>10027</v>
      </c>
      <c r="B6" t="s">
        <v>11</v>
      </c>
      <c r="C6">
        <v>1</v>
      </c>
      <c r="D6">
        <v>0</v>
      </c>
      <c r="E6" s="73">
        <v>62.106999999999999</v>
      </c>
      <c r="F6" s="80">
        <v>72.558000000000007</v>
      </c>
      <c r="G6" s="80">
        <v>73.884</v>
      </c>
      <c r="H6" s="80">
        <v>75.004999999999995</v>
      </c>
      <c r="I6" s="80">
        <v>0</v>
      </c>
      <c r="J6" s="80">
        <v>0</v>
      </c>
      <c r="K6" s="80">
        <v>0</v>
      </c>
      <c r="L6" s="80">
        <v>0</v>
      </c>
      <c r="M6" s="80">
        <v>0</v>
      </c>
      <c r="N6" s="80">
        <v>0</v>
      </c>
      <c r="O6" s="78">
        <v>0</v>
      </c>
      <c r="P6" s="78">
        <v>0</v>
      </c>
      <c r="Q6" s="78">
        <v>0</v>
      </c>
      <c r="R6" s="80">
        <v>72.558000000000007</v>
      </c>
      <c r="S6" s="80">
        <v>73.884</v>
      </c>
      <c r="T6" s="80">
        <v>75.004999999999995</v>
      </c>
      <c r="U6" s="78">
        <v>635608.08000000007</v>
      </c>
      <c r="V6" s="78">
        <v>647223.84</v>
      </c>
      <c r="W6" s="78">
        <v>658843.91999999993</v>
      </c>
      <c r="X6">
        <v>61.546999999999997</v>
      </c>
      <c r="Y6" s="78">
        <v>539151.72</v>
      </c>
      <c r="Z6" s="78">
        <v>539151.72</v>
      </c>
      <c r="AA6" s="78">
        <v>540628.848</v>
      </c>
      <c r="AB6" s="80">
        <v>11.010999999999999</v>
      </c>
      <c r="AC6" s="80">
        <v>12.337</v>
      </c>
      <c r="AD6" s="80">
        <v>13.458</v>
      </c>
      <c r="AE6" s="73">
        <v>11.010999999999999</v>
      </c>
      <c r="AF6" s="73">
        <v>12.337</v>
      </c>
      <c r="AG6" s="73">
        <v>13.458</v>
      </c>
      <c r="AH6" s="80">
        <v>0</v>
      </c>
      <c r="AI6" s="80">
        <v>0</v>
      </c>
      <c r="AJ6" s="80">
        <v>0</v>
      </c>
      <c r="AK6">
        <v>0</v>
      </c>
      <c r="AL6">
        <v>0</v>
      </c>
      <c r="AM6">
        <v>0</v>
      </c>
      <c r="AN6" s="80">
        <v>11.010999999999999</v>
      </c>
      <c r="AO6" s="80">
        <v>12.337</v>
      </c>
      <c r="AP6" s="80">
        <v>13.458</v>
      </c>
      <c r="AQ6" s="81">
        <v>8.6569000000000004E-3</v>
      </c>
      <c r="AR6" s="81">
        <v>8.6569000000000004E-3</v>
      </c>
      <c r="AS6" s="81">
        <v>8.6569000000000004E-3</v>
      </c>
      <c r="AT6" s="74">
        <v>0</v>
      </c>
      <c r="AU6" s="81">
        <v>8.6569000000000004E-3</v>
      </c>
      <c r="AV6" s="81">
        <v>8.6569000000000004E-3</v>
      </c>
      <c r="AW6" s="81">
        <v>8.6569000000000004E-3</v>
      </c>
      <c r="AX6" s="81">
        <v>8.6569000000000004E-3</v>
      </c>
      <c r="AY6" s="81">
        <v>0.84824114100168146</v>
      </c>
      <c r="AZ6" s="81">
        <v>0.8330177130204105</v>
      </c>
      <c r="BA6" s="81">
        <v>0.82056770493700437</v>
      </c>
      <c r="BB6" s="81">
        <v>1.1789039270801178</v>
      </c>
      <c r="BC6" s="81">
        <v>1.2004484377792581</v>
      </c>
      <c r="BD6" s="81">
        <v>1.2186621606252133</v>
      </c>
      <c r="BE6" s="81">
        <v>8.2523274895608262E-2</v>
      </c>
      <c r="BF6" s="81">
        <v>8.4031390644548079E-2</v>
      </c>
      <c r="BG6" s="81">
        <v>8.5306351243764941E-2</v>
      </c>
    </row>
    <row r="7" spans="1:66">
      <c r="A7">
        <v>10029</v>
      </c>
      <c r="B7" t="s">
        <v>12</v>
      </c>
      <c r="C7">
        <v>0</v>
      </c>
      <c r="D7">
        <v>1</v>
      </c>
      <c r="E7" s="73">
        <v>17.879000000000001</v>
      </c>
      <c r="F7" s="73">
        <v>23.213000000000001</v>
      </c>
      <c r="G7" s="73">
        <v>24.408999999999999</v>
      </c>
      <c r="H7" s="73">
        <v>24.669</v>
      </c>
      <c r="I7" s="73">
        <v>0</v>
      </c>
      <c r="J7" s="73">
        <v>0</v>
      </c>
      <c r="K7" s="73">
        <v>0</v>
      </c>
      <c r="L7" s="73">
        <v>0</v>
      </c>
      <c r="M7" s="73">
        <v>0</v>
      </c>
      <c r="N7" s="73">
        <v>0</v>
      </c>
      <c r="O7" s="37">
        <v>0</v>
      </c>
      <c r="P7" s="37">
        <v>0</v>
      </c>
      <c r="Q7" s="37">
        <v>0</v>
      </c>
      <c r="R7" s="73">
        <v>23.213000000000001</v>
      </c>
      <c r="S7" s="73">
        <v>24.408999999999999</v>
      </c>
      <c r="T7" s="73">
        <v>24.669</v>
      </c>
      <c r="U7" s="37">
        <v>203345.88</v>
      </c>
      <c r="V7" s="37">
        <v>213822.84</v>
      </c>
      <c r="W7" s="37">
        <v>216692.49600000001</v>
      </c>
      <c r="X7">
        <v>17.718</v>
      </c>
      <c r="Y7" s="37">
        <v>155209.68</v>
      </c>
      <c r="Z7" s="37">
        <v>155209.68</v>
      </c>
      <c r="AA7" s="37">
        <v>155634.91200000001</v>
      </c>
      <c r="AB7" s="73">
        <v>5.4950000000000001</v>
      </c>
      <c r="AC7" s="73">
        <v>6.6909999999999998</v>
      </c>
      <c r="AD7" s="73">
        <v>6.9509999999999996</v>
      </c>
      <c r="AE7" s="73">
        <v>5.4950000000000001</v>
      </c>
      <c r="AF7" s="73">
        <v>6.6909999999999998</v>
      </c>
      <c r="AG7" s="73">
        <v>6.9509999999999996</v>
      </c>
      <c r="AH7" s="73">
        <v>0</v>
      </c>
      <c r="AI7" s="73">
        <v>0</v>
      </c>
      <c r="AJ7" s="73">
        <v>0</v>
      </c>
      <c r="AK7">
        <v>0</v>
      </c>
      <c r="AL7">
        <v>0</v>
      </c>
      <c r="AM7">
        <v>0</v>
      </c>
      <c r="AN7" s="73">
        <v>5.4950000000000001</v>
      </c>
      <c r="AO7" s="73">
        <v>6.6909999999999998</v>
      </c>
      <c r="AP7" s="73">
        <v>6.9509999999999996</v>
      </c>
      <c r="AQ7" s="74">
        <v>2.4921000000000001E-3</v>
      </c>
      <c r="AR7" s="74">
        <v>2.4921000000000001E-3</v>
      </c>
      <c r="AS7" s="74">
        <v>2.4921000000000001E-3</v>
      </c>
      <c r="AT7" s="74">
        <v>0</v>
      </c>
      <c r="AU7" s="74">
        <v>2.4921000000000001E-3</v>
      </c>
      <c r="AV7" s="74">
        <v>2.4921000000000001E-3</v>
      </c>
      <c r="AW7" s="74">
        <v>2.4921000000000001E-3</v>
      </c>
      <c r="AX7" s="74">
        <v>2.4921000000000001E-3</v>
      </c>
      <c r="AY7" s="74">
        <v>0.76326689954766735</v>
      </c>
      <c r="AZ7" s="74">
        <v>0.72586810353558129</v>
      </c>
      <c r="BA7" s="74">
        <v>0.71821778504195555</v>
      </c>
      <c r="BB7" s="74">
        <v>1.3101365842645898</v>
      </c>
      <c r="BC7" s="74">
        <v>1.3776385596568461</v>
      </c>
      <c r="BD7" s="74">
        <v>1.3923129021334237</v>
      </c>
      <c r="BE7" s="74">
        <v>8.5158877977198344E-2</v>
      </c>
      <c r="BF7" s="74">
        <v>8.9546506377694998E-2</v>
      </c>
      <c r="BG7" s="74">
        <v>9.0500338638672545E-2</v>
      </c>
    </row>
    <row r="8" spans="1:66">
      <c r="A8">
        <v>10044</v>
      </c>
      <c r="B8" t="s">
        <v>13</v>
      </c>
      <c r="C8">
        <v>1</v>
      </c>
      <c r="D8">
        <v>0</v>
      </c>
      <c r="E8" s="73">
        <v>20.611999999999998</v>
      </c>
      <c r="F8" s="73">
        <v>22.338000000000001</v>
      </c>
      <c r="G8" s="73">
        <v>22.45</v>
      </c>
      <c r="H8" s="73">
        <v>22.556000000000001</v>
      </c>
      <c r="I8" s="73">
        <v>0</v>
      </c>
      <c r="J8" s="73">
        <v>0</v>
      </c>
      <c r="K8" s="73">
        <v>0</v>
      </c>
      <c r="L8" s="73">
        <v>0</v>
      </c>
      <c r="M8" s="73">
        <v>0</v>
      </c>
      <c r="N8" s="73">
        <v>0</v>
      </c>
      <c r="O8" s="37">
        <v>0</v>
      </c>
      <c r="P8" s="37">
        <v>0</v>
      </c>
      <c r="Q8" s="37">
        <v>0</v>
      </c>
      <c r="R8" s="73">
        <v>22.338000000000001</v>
      </c>
      <c r="S8" s="73">
        <v>22.45</v>
      </c>
      <c r="T8" s="73">
        <v>22.556000000000001</v>
      </c>
      <c r="U8" s="37">
        <v>195680.88</v>
      </c>
      <c r="V8" s="37">
        <v>196662</v>
      </c>
      <c r="W8" s="37">
        <v>198131.90400000001</v>
      </c>
      <c r="X8">
        <v>20.425999999999998</v>
      </c>
      <c r="Y8" s="37">
        <v>178931.75999999998</v>
      </c>
      <c r="Z8" s="37">
        <v>178931.75999999998</v>
      </c>
      <c r="AA8" s="37">
        <v>179421.984</v>
      </c>
      <c r="AB8" s="73">
        <v>1.9119999999999999</v>
      </c>
      <c r="AC8" s="73">
        <v>2.024</v>
      </c>
      <c r="AD8" s="73">
        <v>2.13</v>
      </c>
      <c r="AE8" s="73">
        <v>1.9119999999999999</v>
      </c>
      <c r="AF8" s="73">
        <v>2.024</v>
      </c>
      <c r="AG8" s="73">
        <v>2.13</v>
      </c>
      <c r="AH8" s="73">
        <v>0</v>
      </c>
      <c r="AI8" s="73">
        <v>0</v>
      </c>
      <c r="AJ8" s="73">
        <v>0</v>
      </c>
      <c r="AK8">
        <v>0</v>
      </c>
      <c r="AL8">
        <v>0</v>
      </c>
      <c r="AM8">
        <v>0</v>
      </c>
      <c r="AN8" s="73">
        <v>1.9119999999999999</v>
      </c>
      <c r="AO8" s="73">
        <v>2.024</v>
      </c>
      <c r="AP8" s="73">
        <v>2.13</v>
      </c>
      <c r="AQ8" s="74">
        <v>2.8730000000000001E-3</v>
      </c>
      <c r="AR8" s="74">
        <v>2.8730000000000001E-3</v>
      </c>
      <c r="AS8" s="74">
        <v>2.8730000000000001E-3</v>
      </c>
      <c r="AT8" s="74">
        <v>0</v>
      </c>
      <c r="AU8" s="74">
        <v>2.8730000000000001E-3</v>
      </c>
      <c r="AV8" s="74">
        <v>2.8730000000000001E-3</v>
      </c>
      <c r="AW8" s="74">
        <v>2.8730000000000001E-3</v>
      </c>
      <c r="AX8" s="74">
        <v>2.8730000000000001E-3</v>
      </c>
      <c r="AY8" s="74">
        <v>0.91439443531202447</v>
      </c>
      <c r="AZ8" s="74">
        <v>0.9098326457015592</v>
      </c>
      <c r="BA8" s="74">
        <v>0.90555696471005509</v>
      </c>
      <c r="BB8" s="74">
        <v>1.0936061881915207</v>
      </c>
      <c r="BC8" s="74">
        <v>1.0990893958680115</v>
      </c>
      <c r="BD8" s="74">
        <v>1.1042788602761189</v>
      </c>
      <c r="BE8" s="74">
        <v>0</v>
      </c>
      <c r="BF8" s="74">
        <v>0</v>
      </c>
      <c r="BG8" s="74">
        <v>0</v>
      </c>
    </row>
    <row r="9" spans="1:66">
      <c r="A9">
        <v>10046</v>
      </c>
      <c r="B9" t="s">
        <v>14</v>
      </c>
      <c r="C9">
        <v>0</v>
      </c>
      <c r="D9">
        <v>1</v>
      </c>
      <c r="E9" s="73">
        <v>83.072000000000003</v>
      </c>
      <c r="F9" s="73">
        <v>102.441</v>
      </c>
      <c r="G9" s="73">
        <v>103.89</v>
      </c>
      <c r="H9" s="73">
        <v>105.331</v>
      </c>
      <c r="I9" s="73">
        <v>0</v>
      </c>
      <c r="J9" s="73">
        <v>0</v>
      </c>
      <c r="K9" s="73">
        <v>0</v>
      </c>
      <c r="L9" s="73">
        <v>0</v>
      </c>
      <c r="M9" s="73">
        <v>0</v>
      </c>
      <c r="N9" s="73">
        <v>0</v>
      </c>
      <c r="O9" s="37">
        <v>0</v>
      </c>
      <c r="P9" s="37">
        <v>0</v>
      </c>
      <c r="Q9" s="37">
        <v>0</v>
      </c>
      <c r="R9" s="73">
        <v>102.441</v>
      </c>
      <c r="S9" s="73">
        <v>103.89</v>
      </c>
      <c r="T9" s="73">
        <v>105.331</v>
      </c>
      <c r="U9" s="37">
        <v>897383.16</v>
      </c>
      <c r="V9" s="37">
        <v>910076.4</v>
      </c>
      <c r="W9" s="37">
        <v>925227.50400000007</v>
      </c>
      <c r="X9">
        <v>82.322999999999993</v>
      </c>
      <c r="Y9" s="37">
        <v>721149.48</v>
      </c>
      <c r="Z9" s="37">
        <v>721149.48</v>
      </c>
      <c r="AA9" s="37">
        <v>723125.23199999996</v>
      </c>
      <c r="AB9" s="73">
        <v>20.117999999999999</v>
      </c>
      <c r="AC9" s="73">
        <v>21.567</v>
      </c>
      <c r="AD9" s="73">
        <v>23.007999999999999</v>
      </c>
      <c r="AE9" s="73">
        <v>20.117999999999999</v>
      </c>
      <c r="AF9" s="73">
        <v>21.567</v>
      </c>
      <c r="AG9" s="73">
        <v>23.007999999999999</v>
      </c>
      <c r="AH9" s="73">
        <v>0</v>
      </c>
      <c r="AI9" s="73">
        <v>0</v>
      </c>
      <c r="AJ9" s="73">
        <v>0</v>
      </c>
      <c r="AK9">
        <v>0</v>
      </c>
      <c r="AL9">
        <v>0</v>
      </c>
      <c r="AM9">
        <v>0</v>
      </c>
      <c r="AN9" s="73">
        <v>20.117999999999999</v>
      </c>
      <c r="AO9" s="73">
        <v>21.567</v>
      </c>
      <c r="AP9" s="73">
        <v>23.007999999999999</v>
      </c>
      <c r="AQ9" s="74">
        <v>1.15792E-2</v>
      </c>
      <c r="AR9" s="74">
        <v>1.15792E-2</v>
      </c>
      <c r="AS9" s="74">
        <v>1.15792E-2</v>
      </c>
      <c r="AT9" s="74">
        <v>0</v>
      </c>
      <c r="AU9" s="74">
        <v>1.15792E-2</v>
      </c>
      <c r="AV9" s="74">
        <v>1.15792E-2</v>
      </c>
      <c r="AW9" s="74">
        <v>1.15792E-2</v>
      </c>
      <c r="AX9" s="74">
        <v>1.15792E-2</v>
      </c>
      <c r="AY9" s="74">
        <v>0.80361305061840471</v>
      </c>
      <c r="AZ9" s="74">
        <v>0.79240470226585813</v>
      </c>
      <c r="BA9" s="74">
        <v>0.78156406488498165</v>
      </c>
      <c r="BB9" s="74">
        <v>1.2443788491673045</v>
      </c>
      <c r="BC9" s="74">
        <v>1.2619802485332168</v>
      </c>
      <c r="BD9" s="74">
        <v>1.2794844697107735</v>
      </c>
      <c r="BE9" s="74">
        <v>8.088462519587479E-2</v>
      </c>
      <c r="BF9" s="74">
        <v>8.2028716154659093E-2</v>
      </c>
      <c r="BG9" s="74">
        <v>8.3166490531200274E-2</v>
      </c>
    </row>
    <row r="10" spans="1:66">
      <c r="A10">
        <v>10047</v>
      </c>
      <c r="B10" t="s">
        <v>15</v>
      </c>
      <c r="C10">
        <v>1</v>
      </c>
      <c r="D10">
        <v>0</v>
      </c>
      <c r="E10" s="73">
        <v>159.01</v>
      </c>
      <c r="F10" s="73">
        <v>151.52000000000001</v>
      </c>
      <c r="G10" s="73">
        <v>151.672</v>
      </c>
      <c r="H10" s="73">
        <v>151.976</v>
      </c>
      <c r="I10" s="73">
        <v>0</v>
      </c>
      <c r="J10" s="73">
        <v>0</v>
      </c>
      <c r="K10" s="73">
        <v>0</v>
      </c>
      <c r="L10" s="73">
        <v>0</v>
      </c>
      <c r="M10" s="73">
        <v>0</v>
      </c>
      <c r="N10" s="73">
        <v>0</v>
      </c>
      <c r="O10" s="37">
        <v>0</v>
      </c>
      <c r="P10" s="37">
        <v>0</v>
      </c>
      <c r="Q10" s="37">
        <v>0</v>
      </c>
      <c r="R10" s="73">
        <v>151.52000000000001</v>
      </c>
      <c r="S10" s="73">
        <v>151.672</v>
      </c>
      <c r="T10" s="73">
        <v>151.976</v>
      </c>
      <c r="U10" s="37">
        <v>1327315.2000000002</v>
      </c>
      <c r="V10" s="37">
        <v>1328646.72</v>
      </c>
      <c r="W10" s="37">
        <v>1334957.1839999999</v>
      </c>
      <c r="X10">
        <v>157.57599999999999</v>
      </c>
      <c r="Y10" s="37">
        <v>1380365.76</v>
      </c>
      <c r="Z10" s="37">
        <v>1380365.76</v>
      </c>
      <c r="AA10" s="37">
        <v>1384147.584</v>
      </c>
      <c r="AB10" s="73">
        <v>0</v>
      </c>
      <c r="AC10" s="73">
        <v>0</v>
      </c>
      <c r="AD10" s="73">
        <v>0</v>
      </c>
      <c r="AE10" s="73">
        <v>0</v>
      </c>
      <c r="AF10" s="73">
        <v>0</v>
      </c>
      <c r="AG10" s="73">
        <v>0</v>
      </c>
      <c r="AH10" s="73">
        <v>0</v>
      </c>
      <c r="AI10" s="73">
        <v>0</v>
      </c>
      <c r="AJ10" s="73">
        <v>0</v>
      </c>
      <c r="AK10">
        <v>0</v>
      </c>
      <c r="AL10">
        <v>0</v>
      </c>
      <c r="AM10">
        <v>0</v>
      </c>
      <c r="AN10" s="73">
        <v>0</v>
      </c>
      <c r="AO10" s="73">
        <v>0</v>
      </c>
      <c r="AP10" s="73">
        <v>0</v>
      </c>
      <c r="AQ10" s="74">
        <v>2.13122E-2</v>
      </c>
      <c r="AR10" s="74">
        <v>2.1333600000000001E-2</v>
      </c>
      <c r="AS10" s="74">
        <v>2.1376300000000001E-2</v>
      </c>
      <c r="AT10" s="74">
        <v>0</v>
      </c>
      <c r="AU10" s="74">
        <v>2.13122E-2</v>
      </c>
      <c r="AV10" s="74">
        <v>2.1333600000000001E-2</v>
      </c>
      <c r="AW10" s="74">
        <v>2.1376300000000001E-2</v>
      </c>
      <c r="AX10" s="74">
        <v>2.1340700000000001E-2</v>
      </c>
      <c r="AY10" s="74">
        <v>1</v>
      </c>
      <c r="AZ10" s="74">
        <v>1</v>
      </c>
      <c r="BA10" s="74">
        <v>0.99999945002895207</v>
      </c>
      <c r="BB10" s="74">
        <v>1</v>
      </c>
      <c r="BC10" s="74">
        <v>1</v>
      </c>
      <c r="BD10" s="74">
        <v>1</v>
      </c>
      <c r="BE10" s="74">
        <v>0</v>
      </c>
      <c r="BF10" s="74">
        <v>0</v>
      </c>
      <c r="BG10" s="74">
        <v>0</v>
      </c>
    </row>
    <row r="11" spans="1:66">
      <c r="A11">
        <v>10055</v>
      </c>
      <c r="B11" t="s">
        <v>16</v>
      </c>
      <c r="C11">
        <v>1</v>
      </c>
      <c r="D11">
        <v>0</v>
      </c>
      <c r="E11" s="73">
        <v>0.40400000000000003</v>
      </c>
      <c r="F11" s="73">
        <v>0.46600000000000003</v>
      </c>
      <c r="G11" s="73">
        <v>0.46899999999999997</v>
      </c>
      <c r="H11" s="73">
        <v>0.47099999999999997</v>
      </c>
      <c r="I11" s="73">
        <v>0</v>
      </c>
      <c r="J11" s="73">
        <v>0</v>
      </c>
      <c r="K11" s="73">
        <v>0</v>
      </c>
      <c r="L11" s="73">
        <v>0</v>
      </c>
      <c r="M11" s="73">
        <v>0</v>
      </c>
      <c r="N11" s="73">
        <v>0</v>
      </c>
      <c r="O11" s="37">
        <v>0</v>
      </c>
      <c r="P11" s="37">
        <v>0</v>
      </c>
      <c r="Q11" s="37">
        <v>0</v>
      </c>
      <c r="R11" s="73">
        <v>0.46600000000000003</v>
      </c>
      <c r="S11" s="73">
        <v>0.46899999999999997</v>
      </c>
      <c r="T11" s="73">
        <v>0.47099999999999997</v>
      </c>
      <c r="U11" s="37">
        <v>4082.1600000000003</v>
      </c>
      <c r="V11" s="37">
        <v>4108.4399999999996</v>
      </c>
      <c r="W11" s="37">
        <v>4137.2640000000001</v>
      </c>
      <c r="X11">
        <v>0.4</v>
      </c>
      <c r="Y11" s="37">
        <v>3504</v>
      </c>
      <c r="Z11" s="37">
        <v>3504</v>
      </c>
      <c r="AA11" s="37">
        <v>3513.6000000000004</v>
      </c>
      <c r="AB11" s="73">
        <v>6.6000000000000003E-2</v>
      </c>
      <c r="AC11" s="73">
        <v>6.9000000000000006E-2</v>
      </c>
      <c r="AD11" s="73">
        <v>7.0999999999999994E-2</v>
      </c>
      <c r="AE11" s="73">
        <v>0</v>
      </c>
      <c r="AF11" s="73">
        <v>0</v>
      </c>
      <c r="AG11" s="73">
        <v>0</v>
      </c>
      <c r="AH11" s="73">
        <v>6.6000000000000003E-2</v>
      </c>
      <c r="AI11" s="73">
        <v>6.9000000000000006E-2</v>
      </c>
      <c r="AJ11" s="73">
        <v>7.0999999999999994E-2</v>
      </c>
      <c r="AK11">
        <v>0</v>
      </c>
      <c r="AL11">
        <v>0</v>
      </c>
      <c r="AM11">
        <v>0</v>
      </c>
      <c r="AN11" s="73">
        <v>0</v>
      </c>
      <c r="AO11" s="73">
        <v>0</v>
      </c>
      <c r="AP11" s="73">
        <v>0</v>
      </c>
      <c r="AQ11" s="74">
        <v>5.63E-5</v>
      </c>
      <c r="AR11" s="74">
        <v>5.63E-5</v>
      </c>
      <c r="AS11" s="74">
        <v>5.63E-5</v>
      </c>
      <c r="AT11" s="74">
        <v>0</v>
      </c>
      <c r="AU11" s="74">
        <v>5.63E-5</v>
      </c>
      <c r="AV11" s="74">
        <v>5.63E-5</v>
      </c>
      <c r="AW11" s="74">
        <v>5.63E-5</v>
      </c>
      <c r="AX11" s="74">
        <v>5.6299999999999993E-5</v>
      </c>
      <c r="AY11" s="74">
        <v>0.85894372875536484</v>
      </c>
      <c r="AZ11" s="74">
        <v>0.85344941918976558</v>
      </c>
      <c r="BA11" s="74">
        <v>0.84982543014862011</v>
      </c>
      <c r="BB11" s="74">
        <v>1.165</v>
      </c>
      <c r="BC11" s="74">
        <v>1.1724999999999999</v>
      </c>
      <c r="BD11" s="74">
        <v>1.1774999999999998</v>
      </c>
      <c r="BE11" s="74">
        <v>0</v>
      </c>
      <c r="BF11" s="74">
        <v>0</v>
      </c>
      <c r="BG11" s="74">
        <v>0</v>
      </c>
    </row>
    <row r="12" spans="1:66">
      <c r="A12">
        <v>10057</v>
      </c>
      <c r="B12" t="s">
        <v>17</v>
      </c>
      <c r="C12">
        <v>1</v>
      </c>
      <c r="D12">
        <v>0</v>
      </c>
      <c r="E12" s="73">
        <v>21.382999999999999</v>
      </c>
      <c r="F12" s="73">
        <v>19.376000000000001</v>
      </c>
      <c r="G12" s="73">
        <v>19.376000000000001</v>
      </c>
      <c r="H12" s="73">
        <v>19.381</v>
      </c>
      <c r="I12" s="73">
        <v>0</v>
      </c>
      <c r="J12" s="73">
        <v>0</v>
      </c>
      <c r="K12" s="73">
        <v>0</v>
      </c>
      <c r="L12" s="73">
        <v>0.158</v>
      </c>
      <c r="M12" s="73">
        <v>0.158</v>
      </c>
      <c r="N12" s="73">
        <v>0.158</v>
      </c>
      <c r="O12" s="37">
        <v>1384.08</v>
      </c>
      <c r="P12" s="37">
        <v>1384.08</v>
      </c>
      <c r="Q12" s="37">
        <v>1387.8720000000001</v>
      </c>
      <c r="R12" s="73">
        <v>19.218</v>
      </c>
      <c r="S12" s="73">
        <v>19.218</v>
      </c>
      <c r="T12" s="73">
        <v>19.222999999999999</v>
      </c>
      <c r="U12" s="37">
        <v>168349.68</v>
      </c>
      <c r="V12" s="37">
        <v>168349.68</v>
      </c>
      <c r="W12" s="37">
        <v>168854.83199999999</v>
      </c>
      <c r="X12">
        <v>21.19</v>
      </c>
      <c r="Y12" s="37">
        <v>185624.40000000002</v>
      </c>
      <c r="Z12" s="37">
        <v>185624.40000000002</v>
      </c>
      <c r="AA12" s="37">
        <v>186132.96000000002</v>
      </c>
      <c r="AB12" s="73">
        <v>0</v>
      </c>
      <c r="AC12" s="73">
        <v>0</v>
      </c>
      <c r="AD12" s="73">
        <v>0</v>
      </c>
      <c r="AE12" s="73">
        <v>0</v>
      </c>
      <c r="AF12" s="73">
        <v>0</v>
      </c>
      <c r="AG12" s="73">
        <v>0</v>
      </c>
      <c r="AH12" s="73">
        <v>0</v>
      </c>
      <c r="AI12" s="73">
        <v>0</v>
      </c>
      <c r="AJ12" s="73">
        <v>0</v>
      </c>
      <c r="AK12">
        <v>0</v>
      </c>
      <c r="AL12">
        <v>0</v>
      </c>
      <c r="AM12">
        <v>0</v>
      </c>
      <c r="AN12" s="73">
        <v>0</v>
      </c>
      <c r="AO12" s="73">
        <v>0</v>
      </c>
      <c r="AP12" s="73">
        <v>0</v>
      </c>
      <c r="AQ12" s="74">
        <v>2.7030999999999999E-3</v>
      </c>
      <c r="AR12" s="74">
        <v>2.7030999999999999E-3</v>
      </c>
      <c r="AS12" s="74">
        <v>2.7038000000000001E-3</v>
      </c>
      <c r="AT12" s="74">
        <v>0</v>
      </c>
      <c r="AU12" s="74">
        <v>2.7030999999999999E-3</v>
      </c>
      <c r="AV12" s="74">
        <v>2.7030999999999999E-3</v>
      </c>
      <c r="AW12" s="74">
        <v>2.7038000000000001E-3</v>
      </c>
      <c r="AX12" s="74">
        <v>2.7033333333333332E-3</v>
      </c>
      <c r="AY12" s="74">
        <v>0.99999122683732455</v>
      </c>
      <c r="AZ12" s="74">
        <v>0.99999122683732455</v>
      </c>
      <c r="BA12" s="74">
        <v>0.99999002619059929</v>
      </c>
      <c r="BB12" s="74">
        <v>1</v>
      </c>
      <c r="BC12" s="74">
        <v>1</v>
      </c>
      <c r="BD12" s="74">
        <v>1</v>
      </c>
      <c r="BE12" s="74">
        <v>0</v>
      </c>
      <c r="BF12" s="74">
        <v>0</v>
      </c>
      <c r="BG12" s="74">
        <v>0</v>
      </c>
    </row>
    <row r="13" spans="1:66">
      <c r="A13">
        <v>10059</v>
      </c>
      <c r="B13" t="s">
        <v>18</v>
      </c>
      <c r="C13">
        <v>1</v>
      </c>
      <c r="D13">
        <v>0</v>
      </c>
      <c r="E13" s="73">
        <v>7.7530000000000001</v>
      </c>
      <c r="F13" s="73">
        <v>7.7350000000000003</v>
      </c>
      <c r="G13" s="73">
        <v>7.7350000000000003</v>
      </c>
      <c r="H13" s="73">
        <v>7.7350000000000003</v>
      </c>
      <c r="I13" s="73">
        <v>0</v>
      </c>
      <c r="J13" s="73">
        <v>0</v>
      </c>
      <c r="K13" s="73">
        <v>0</v>
      </c>
      <c r="L13" s="73">
        <v>0</v>
      </c>
      <c r="M13" s="73">
        <v>0</v>
      </c>
      <c r="N13" s="73">
        <v>0</v>
      </c>
      <c r="O13" s="37">
        <v>0</v>
      </c>
      <c r="P13" s="37">
        <v>0</v>
      </c>
      <c r="Q13" s="37">
        <v>0</v>
      </c>
      <c r="R13" s="73">
        <v>7.7350000000000003</v>
      </c>
      <c r="S13" s="73">
        <v>7.7350000000000003</v>
      </c>
      <c r="T13" s="73">
        <v>7.7350000000000003</v>
      </c>
      <c r="U13" s="37">
        <v>67758.600000000006</v>
      </c>
      <c r="V13" s="37">
        <v>67758.600000000006</v>
      </c>
      <c r="W13" s="37">
        <v>67944.240000000005</v>
      </c>
      <c r="X13">
        <v>7.6829999999999998</v>
      </c>
      <c r="Y13" s="37">
        <v>67303.08</v>
      </c>
      <c r="Z13" s="37">
        <v>67303.08</v>
      </c>
      <c r="AA13" s="37">
        <v>67487.471999999994</v>
      </c>
      <c r="AB13" s="73">
        <v>5.1999999999999998E-2</v>
      </c>
      <c r="AC13" s="73">
        <v>5.1999999999999998E-2</v>
      </c>
      <c r="AD13" s="73">
        <v>5.1999999999999998E-2</v>
      </c>
      <c r="AE13" s="73">
        <v>0</v>
      </c>
      <c r="AF13" s="73">
        <v>0</v>
      </c>
      <c r="AG13" s="73">
        <v>0</v>
      </c>
      <c r="AH13" s="73">
        <v>5.1999999999999998E-2</v>
      </c>
      <c r="AI13" s="73">
        <v>5.1999999999999998E-2</v>
      </c>
      <c r="AJ13" s="73">
        <v>5.1999999999999998E-2</v>
      </c>
      <c r="AK13">
        <v>0</v>
      </c>
      <c r="AL13">
        <v>0</v>
      </c>
      <c r="AM13">
        <v>0</v>
      </c>
      <c r="AN13" s="73">
        <v>0</v>
      </c>
      <c r="AO13" s="73">
        <v>0</v>
      </c>
      <c r="AP13" s="73">
        <v>0</v>
      </c>
      <c r="AQ13" s="74">
        <v>1.0807E-3</v>
      </c>
      <c r="AR13" s="74">
        <v>1.0807E-3</v>
      </c>
      <c r="AS13" s="74">
        <v>1.0807E-3</v>
      </c>
      <c r="AT13" s="74">
        <v>0</v>
      </c>
      <c r="AU13" s="74">
        <v>1.0807E-3</v>
      </c>
      <c r="AV13" s="74">
        <v>1.0807E-3</v>
      </c>
      <c r="AW13" s="74">
        <v>1.0807E-3</v>
      </c>
      <c r="AX13" s="74">
        <v>1.0807E-3</v>
      </c>
      <c r="AY13" s="74">
        <v>0.993315170833872</v>
      </c>
      <c r="AZ13" s="74">
        <v>0.993315170833872</v>
      </c>
      <c r="BA13" s="74">
        <v>0.993315170833872</v>
      </c>
      <c r="BB13" s="74">
        <v>1.0067681895093064</v>
      </c>
      <c r="BC13" s="74">
        <v>1.0067681895093064</v>
      </c>
      <c r="BD13" s="74">
        <v>1.0067681895093064</v>
      </c>
      <c r="BE13" s="74">
        <v>0</v>
      </c>
      <c r="BF13" s="74">
        <v>0</v>
      </c>
      <c r="BG13" s="74">
        <v>0</v>
      </c>
    </row>
    <row r="14" spans="1:66">
      <c r="A14">
        <v>10061</v>
      </c>
      <c r="B14" t="s">
        <v>19</v>
      </c>
      <c r="C14">
        <v>1</v>
      </c>
      <c r="D14">
        <v>0</v>
      </c>
      <c r="E14" s="73">
        <v>8.8770000000000007</v>
      </c>
      <c r="F14" s="73">
        <v>11.823</v>
      </c>
      <c r="G14" s="73">
        <v>12.473000000000001</v>
      </c>
      <c r="H14" s="73">
        <v>13.11</v>
      </c>
      <c r="I14" s="73">
        <v>0</v>
      </c>
      <c r="J14" s="73">
        <v>0</v>
      </c>
      <c r="K14" s="73">
        <v>0</v>
      </c>
      <c r="L14" s="73">
        <v>0</v>
      </c>
      <c r="M14" s="73">
        <v>0</v>
      </c>
      <c r="N14" s="73">
        <v>0</v>
      </c>
      <c r="O14" s="37">
        <v>0</v>
      </c>
      <c r="P14" s="37">
        <v>0</v>
      </c>
      <c r="Q14" s="37">
        <v>0</v>
      </c>
      <c r="R14" s="73">
        <v>11.823</v>
      </c>
      <c r="S14" s="73">
        <v>12.473000000000001</v>
      </c>
      <c r="T14" s="73">
        <v>13.11</v>
      </c>
      <c r="U14" s="37">
        <v>103569.48000000001</v>
      </c>
      <c r="V14" s="37">
        <v>109263.48000000001</v>
      </c>
      <c r="W14" s="37">
        <v>115158.23999999999</v>
      </c>
      <c r="X14">
        <v>8.7970000000000006</v>
      </c>
      <c r="Y14" s="37">
        <v>77061.72</v>
      </c>
      <c r="Z14" s="37">
        <v>77061.72</v>
      </c>
      <c r="AA14" s="37">
        <v>77272.847999999998</v>
      </c>
      <c r="AB14" s="73">
        <v>3.0259999999999998</v>
      </c>
      <c r="AC14" s="73">
        <v>3.6760000000000002</v>
      </c>
      <c r="AD14" s="73">
        <v>4.3129999999999997</v>
      </c>
      <c r="AE14" s="73">
        <v>3.0259999999999998</v>
      </c>
      <c r="AF14" s="73">
        <v>3.6760000000000002</v>
      </c>
      <c r="AG14" s="73">
        <v>4.3129999999999997</v>
      </c>
      <c r="AH14" s="73">
        <v>0</v>
      </c>
      <c r="AI14" s="73">
        <v>0</v>
      </c>
      <c r="AJ14" s="73">
        <v>0</v>
      </c>
      <c r="AK14">
        <v>0</v>
      </c>
      <c r="AL14">
        <v>0</v>
      </c>
      <c r="AM14">
        <v>0</v>
      </c>
      <c r="AN14" s="73">
        <v>3.0259999999999998</v>
      </c>
      <c r="AO14" s="73">
        <v>3.6760000000000002</v>
      </c>
      <c r="AP14" s="73">
        <v>4.3129999999999997</v>
      </c>
      <c r="AQ14" s="74">
        <v>1.2373E-3</v>
      </c>
      <c r="AR14" s="74">
        <v>1.2373E-3</v>
      </c>
      <c r="AS14" s="74">
        <v>1.2373E-3</v>
      </c>
      <c r="AT14" s="74">
        <v>0</v>
      </c>
      <c r="AU14" s="74">
        <v>1.2373E-3</v>
      </c>
      <c r="AV14" s="74">
        <v>1.2373E-3</v>
      </c>
      <c r="AW14" s="74">
        <v>1.2373E-3</v>
      </c>
      <c r="AX14" s="74">
        <v>1.2373E-3</v>
      </c>
      <c r="AY14" s="74">
        <v>0.74402847750993839</v>
      </c>
      <c r="AZ14" s="74">
        <v>0.70525524650044102</v>
      </c>
      <c r="BA14" s="74">
        <v>0.67098769562166294</v>
      </c>
      <c r="BB14" s="74">
        <v>1.343980902580425</v>
      </c>
      <c r="BC14" s="74">
        <v>1.4178697283164716</v>
      </c>
      <c r="BD14" s="74">
        <v>1.4902807775377969</v>
      </c>
      <c r="BE14" s="74">
        <v>0</v>
      </c>
      <c r="BF14" s="74">
        <v>0</v>
      </c>
      <c r="BG14" s="74">
        <v>0</v>
      </c>
    </row>
    <row r="15" spans="1:66">
      <c r="A15">
        <v>10062</v>
      </c>
      <c r="B15" t="s">
        <v>20</v>
      </c>
      <c r="C15">
        <v>1</v>
      </c>
      <c r="D15">
        <v>0</v>
      </c>
      <c r="E15" s="73">
        <v>5.399</v>
      </c>
      <c r="F15" s="73">
        <v>9.1609999999999996</v>
      </c>
      <c r="G15" s="73">
        <v>9.2739999999999991</v>
      </c>
      <c r="H15" s="73">
        <v>9.3849999999999998</v>
      </c>
      <c r="I15" s="73">
        <v>0</v>
      </c>
      <c r="J15" s="73">
        <v>0</v>
      </c>
      <c r="K15" s="73">
        <v>0</v>
      </c>
      <c r="L15" s="73">
        <v>1.881</v>
      </c>
      <c r="M15" s="73">
        <v>1.881</v>
      </c>
      <c r="N15" s="73">
        <v>1.8779999999999999</v>
      </c>
      <c r="O15" s="37">
        <v>16477.560000000001</v>
      </c>
      <c r="P15" s="37">
        <v>16477.560000000001</v>
      </c>
      <c r="Q15" s="37">
        <v>16496.351999999999</v>
      </c>
      <c r="R15" s="73">
        <v>7.28</v>
      </c>
      <c r="S15" s="73">
        <v>7.3929999999999998</v>
      </c>
      <c r="T15" s="73">
        <v>7.5069999999999997</v>
      </c>
      <c r="U15" s="37">
        <v>63772.800000000003</v>
      </c>
      <c r="V15" s="37">
        <v>64762.68</v>
      </c>
      <c r="W15" s="37">
        <v>65941.487999999998</v>
      </c>
      <c r="X15">
        <v>5.35</v>
      </c>
      <c r="Y15" s="37">
        <v>46866</v>
      </c>
      <c r="Z15" s="37">
        <v>46866</v>
      </c>
      <c r="AA15" s="37">
        <v>46994.399999999994</v>
      </c>
      <c r="AB15" s="73">
        <v>1.93</v>
      </c>
      <c r="AC15" s="73">
        <v>2.0430000000000001</v>
      </c>
      <c r="AD15" s="73">
        <v>2.157</v>
      </c>
      <c r="AE15" s="73">
        <v>1.93</v>
      </c>
      <c r="AF15" s="73">
        <v>2.0430000000000001</v>
      </c>
      <c r="AG15" s="73">
        <v>2.157</v>
      </c>
      <c r="AH15" s="73">
        <v>0</v>
      </c>
      <c r="AI15" s="73">
        <v>0</v>
      </c>
      <c r="AJ15" s="73">
        <v>0</v>
      </c>
      <c r="AK15">
        <v>0</v>
      </c>
      <c r="AL15">
        <v>0</v>
      </c>
      <c r="AM15">
        <v>0</v>
      </c>
      <c r="AN15" s="73">
        <v>1.93</v>
      </c>
      <c r="AO15" s="73">
        <v>2.0430000000000001</v>
      </c>
      <c r="AP15" s="73">
        <v>2.157</v>
      </c>
      <c r="AQ15" s="74">
        <v>7.5250000000000002E-4</v>
      </c>
      <c r="AR15" s="74">
        <v>7.5250000000000002E-4</v>
      </c>
      <c r="AS15" s="74">
        <v>7.5250000000000002E-4</v>
      </c>
      <c r="AT15" s="74">
        <v>0</v>
      </c>
      <c r="AU15" s="74">
        <v>7.5250000000000002E-4</v>
      </c>
      <c r="AV15" s="74">
        <v>7.5250000000000002E-4</v>
      </c>
      <c r="AW15" s="74">
        <v>7.5250000000000002E-4</v>
      </c>
      <c r="AX15" s="74">
        <v>7.5250000000000002E-4</v>
      </c>
      <c r="AY15" s="74">
        <v>0.78931752865407723</v>
      </c>
      <c r="AZ15" s="74">
        <v>0.77970000862626709</v>
      </c>
      <c r="BA15" s="74">
        <v>0.77015853809270118</v>
      </c>
      <c r="BB15" s="74">
        <v>1.360747663551402</v>
      </c>
      <c r="BC15" s="74">
        <v>1.3818691588785048</v>
      </c>
      <c r="BD15" s="74">
        <v>1.4031775700934579</v>
      </c>
      <c r="BE15" s="74">
        <v>0</v>
      </c>
      <c r="BF15" s="74">
        <v>0</v>
      </c>
      <c r="BG15" s="74">
        <v>0</v>
      </c>
    </row>
    <row r="16" spans="1:66">
      <c r="A16">
        <v>10064</v>
      </c>
      <c r="B16" t="s">
        <v>21</v>
      </c>
      <c r="C16">
        <v>1</v>
      </c>
      <c r="D16">
        <v>0</v>
      </c>
      <c r="E16" s="73">
        <v>14.273999999999999</v>
      </c>
      <c r="F16" s="73">
        <v>19.248999999999999</v>
      </c>
      <c r="G16" s="73">
        <v>19.276</v>
      </c>
      <c r="H16" s="73">
        <v>19.297000000000001</v>
      </c>
      <c r="I16" s="73">
        <v>0</v>
      </c>
      <c r="J16" s="73">
        <v>0</v>
      </c>
      <c r="K16" s="73">
        <v>0</v>
      </c>
      <c r="L16" s="73">
        <v>0</v>
      </c>
      <c r="M16" s="73">
        <v>0</v>
      </c>
      <c r="N16" s="73">
        <v>0</v>
      </c>
      <c r="O16" s="37">
        <v>0</v>
      </c>
      <c r="P16" s="37">
        <v>0</v>
      </c>
      <c r="Q16" s="37">
        <v>0</v>
      </c>
      <c r="R16" s="73">
        <v>19.248999999999999</v>
      </c>
      <c r="S16" s="73">
        <v>19.276</v>
      </c>
      <c r="T16" s="73">
        <v>19.297000000000001</v>
      </c>
      <c r="U16" s="37">
        <v>168621.24</v>
      </c>
      <c r="V16" s="37">
        <v>168857.76</v>
      </c>
      <c r="W16" s="37">
        <v>169504.848</v>
      </c>
      <c r="X16">
        <v>14.145</v>
      </c>
      <c r="Y16" s="37">
        <v>123910.2</v>
      </c>
      <c r="Z16" s="37">
        <v>123910.2</v>
      </c>
      <c r="AA16" s="37">
        <v>124249.68</v>
      </c>
      <c r="AB16" s="73">
        <v>5.1040000000000001</v>
      </c>
      <c r="AC16" s="73">
        <v>5.1310000000000002</v>
      </c>
      <c r="AD16" s="73">
        <v>5.1520000000000001</v>
      </c>
      <c r="AE16" s="73">
        <v>5.1040000000000001</v>
      </c>
      <c r="AF16" s="73">
        <v>5.1310000000000002</v>
      </c>
      <c r="AG16" s="73">
        <v>5.1520000000000001</v>
      </c>
      <c r="AH16" s="73">
        <v>0</v>
      </c>
      <c r="AI16" s="73">
        <v>0</v>
      </c>
      <c r="AJ16" s="73">
        <v>0</v>
      </c>
      <c r="AK16">
        <v>0</v>
      </c>
      <c r="AL16">
        <v>0</v>
      </c>
      <c r="AM16">
        <v>0</v>
      </c>
      <c r="AN16" s="73">
        <v>5.1040000000000001</v>
      </c>
      <c r="AO16" s="73">
        <v>5.1310000000000002</v>
      </c>
      <c r="AP16" s="73">
        <v>5.1520000000000001</v>
      </c>
      <c r="AQ16" s="74">
        <v>1.9895999999999998E-3</v>
      </c>
      <c r="AR16" s="74">
        <v>1.9895999999999998E-3</v>
      </c>
      <c r="AS16" s="74">
        <v>1.9895999999999998E-3</v>
      </c>
      <c r="AT16" s="74">
        <v>0</v>
      </c>
      <c r="AU16" s="74">
        <v>1.9895999999999998E-3</v>
      </c>
      <c r="AV16" s="74">
        <v>1.9895999999999998E-3</v>
      </c>
      <c r="AW16" s="74">
        <v>1.9895999999999998E-3</v>
      </c>
      <c r="AX16" s="74">
        <v>1.9895999999999998E-3</v>
      </c>
      <c r="AY16" s="74">
        <v>0.73485192265572241</v>
      </c>
      <c r="AZ16" s="74">
        <v>0.73382261149616101</v>
      </c>
      <c r="BA16" s="74">
        <v>0.73302402752759488</v>
      </c>
      <c r="BB16" s="74">
        <v>1.3608342170378225</v>
      </c>
      <c r="BC16" s="74">
        <v>1.3627430187345353</v>
      </c>
      <c r="BD16" s="74">
        <v>1.3642276422764228</v>
      </c>
      <c r="BE16" s="74">
        <v>0</v>
      </c>
      <c r="BF16" s="74">
        <v>0</v>
      </c>
      <c r="BG16" s="74">
        <v>0</v>
      </c>
    </row>
    <row r="17" spans="1:59">
      <c r="A17">
        <v>10065</v>
      </c>
      <c r="B17" t="s">
        <v>22</v>
      </c>
      <c r="C17">
        <v>1</v>
      </c>
      <c r="D17">
        <v>0</v>
      </c>
      <c r="E17" s="73">
        <v>2.4129999999999998</v>
      </c>
      <c r="F17" s="73">
        <v>5.0780000000000003</v>
      </c>
      <c r="G17" s="73">
        <v>5.3129999999999997</v>
      </c>
      <c r="H17" s="73">
        <v>5.3730000000000002</v>
      </c>
      <c r="I17" s="73">
        <v>0</v>
      </c>
      <c r="J17" s="73">
        <v>0</v>
      </c>
      <c r="K17" s="73">
        <v>0</v>
      </c>
      <c r="L17" s="73">
        <v>0</v>
      </c>
      <c r="M17" s="73">
        <v>0</v>
      </c>
      <c r="N17" s="73">
        <v>0</v>
      </c>
      <c r="O17" s="37">
        <v>0</v>
      </c>
      <c r="P17" s="37">
        <v>0</v>
      </c>
      <c r="Q17" s="37">
        <v>0</v>
      </c>
      <c r="R17" s="73">
        <v>5.0780000000000003</v>
      </c>
      <c r="S17" s="73">
        <v>5.3129999999999997</v>
      </c>
      <c r="T17" s="73">
        <v>5.3730000000000002</v>
      </c>
      <c r="U17" s="37">
        <v>44483.280000000006</v>
      </c>
      <c r="V17" s="37">
        <v>46541.88</v>
      </c>
      <c r="W17" s="37">
        <v>47196.432000000001</v>
      </c>
      <c r="X17">
        <v>2.391</v>
      </c>
      <c r="Y17" s="37">
        <v>20945.16</v>
      </c>
      <c r="Z17" s="37">
        <v>20945.16</v>
      </c>
      <c r="AA17" s="37">
        <v>21002.544000000002</v>
      </c>
      <c r="AB17" s="73">
        <v>2.6869999999999998</v>
      </c>
      <c r="AC17" s="73">
        <v>2.9220000000000002</v>
      </c>
      <c r="AD17" s="73">
        <v>2.9820000000000002</v>
      </c>
      <c r="AE17" s="73">
        <v>2.6869999999999998</v>
      </c>
      <c r="AF17" s="73">
        <v>2.9220000000000002</v>
      </c>
      <c r="AG17" s="73">
        <v>2.9820000000000002</v>
      </c>
      <c r="AH17" s="73">
        <v>0</v>
      </c>
      <c r="AI17" s="73">
        <v>0</v>
      </c>
      <c r="AJ17" s="73">
        <v>0</v>
      </c>
      <c r="AK17">
        <v>0</v>
      </c>
      <c r="AL17">
        <v>0</v>
      </c>
      <c r="AM17">
        <v>0</v>
      </c>
      <c r="AN17" s="73">
        <v>2.6869999999999998</v>
      </c>
      <c r="AO17" s="73">
        <v>2.9220000000000002</v>
      </c>
      <c r="AP17" s="73">
        <v>2.9820000000000002</v>
      </c>
      <c r="AQ17" s="74">
        <v>3.3629999999999999E-4</v>
      </c>
      <c r="AR17" s="74">
        <v>3.3629999999999999E-4</v>
      </c>
      <c r="AS17" s="74">
        <v>3.3629999999999999E-4</v>
      </c>
      <c r="AT17" s="74">
        <v>0</v>
      </c>
      <c r="AU17" s="74">
        <v>3.3629999999999999E-4</v>
      </c>
      <c r="AV17" s="74">
        <v>3.3629999999999999E-4</v>
      </c>
      <c r="AW17" s="74">
        <v>3.3629999999999999E-4</v>
      </c>
      <c r="AX17" s="74">
        <v>3.3630000000000004E-4</v>
      </c>
      <c r="AY17" s="74">
        <v>0.47084331185506106</v>
      </c>
      <c r="AZ17" s="74">
        <v>0.45001737955957094</v>
      </c>
      <c r="BA17" s="74">
        <v>0.44499205985482976</v>
      </c>
      <c r="BB17" s="74">
        <v>2.123797574236721</v>
      </c>
      <c r="BC17" s="74">
        <v>2.2220828105395229</v>
      </c>
      <c r="BD17" s="74">
        <v>2.2471769134253452</v>
      </c>
      <c r="BE17" s="74">
        <v>8.4951902969468862E-2</v>
      </c>
      <c r="BF17" s="74">
        <v>8.8883312421580929E-2</v>
      </c>
      <c r="BG17" s="74">
        <v>8.9887076537013819E-2</v>
      </c>
    </row>
    <row r="18" spans="1:59">
      <c r="A18">
        <v>10066</v>
      </c>
      <c r="B18" t="s">
        <v>23</v>
      </c>
      <c r="C18">
        <v>1</v>
      </c>
      <c r="D18">
        <v>0</v>
      </c>
      <c r="E18" s="73">
        <v>24.734999999999999</v>
      </c>
      <c r="F18" s="73">
        <v>33.534999999999997</v>
      </c>
      <c r="G18" s="73">
        <v>33.613999999999997</v>
      </c>
      <c r="H18" s="73">
        <v>33.704000000000001</v>
      </c>
      <c r="I18" s="73">
        <v>0</v>
      </c>
      <c r="J18" s="73">
        <v>0</v>
      </c>
      <c r="K18" s="73">
        <v>0</v>
      </c>
      <c r="L18" s="73">
        <v>7.1139999999999999</v>
      </c>
      <c r="M18" s="73">
        <v>7.1139999999999999</v>
      </c>
      <c r="N18" s="73">
        <v>7.109</v>
      </c>
      <c r="O18" s="37">
        <v>62318.64</v>
      </c>
      <c r="P18" s="37">
        <v>62318.64</v>
      </c>
      <c r="Q18" s="37">
        <v>62445.455999999998</v>
      </c>
      <c r="R18" s="73">
        <v>26.420999999999999</v>
      </c>
      <c r="S18" s="73">
        <v>26.5</v>
      </c>
      <c r="T18" s="73">
        <v>26.594999999999999</v>
      </c>
      <c r="U18" s="37">
        <v>231447.96</v>
      </c>
      <c r="V18" s="37">
        <v>232140</v>
      </c>
      <c r="W18" s="37">
        <v>233610.47999999998</v>
      </c>
      <c r="X18">
        <v>24.512</v>
      </c>
      <c r="Y18" s="37">
        <v>214725.12</v>
      </c>
      <c r="Z18" s="37">
        <v>214725.12</v>
      </c>
      <c r="AA18" s="37">
        <v>215313.408</v>
      </c>
      <c r="AB18" s="73">
        <v>1.909</v>
      </c>
      <c r="AC18" s="73">
        <v>1.988</v>
      </c>
      <c r="AD18" s="73">
        <v>2.0830000000000002</v>
      </c>
      <c r="AE18" s="73">
        <v>1.909</v>
      </c>
      <c r="AF18" s="73">
        <v>1.988</v>
      </c>
      <c r="AG18" s="73">
        <v>2.0830000000000002</v>
      </c>
      <c r="AH18" s="73">
        <v>0</v>
      </c>
      <c r="AI18" s="73">
        <v>0</v>
      </c>
      <c r="AJ18" s="73">
        <v>0</v>
      </c>
      <c r="AK18">
        <v>0</v>
      </c>
      <c r="AL18">
        <v>0</v>
      </c>
      <c r="AM18">
        <v>0</v>
      </c>
      <c r="AN18" s="73">
        <v>1.909</v>
      </c>
      <c r="AO18" s="73">
        <v>1.988</v>
      </c>
      <c r="AP18" s="73">
        <v>2.0830000000000002</v>
      </c>
      <c r="AQ18" s="74">
        <v>3.4478E-3</v>
      </c>
      <c r="AR18" s="74">
        <v>3.4478E-3</v>
      </c>
      <c r="AS18" s="74">
        <v>3.4478E-3</v>
      </c>
      <c r="AT18" s="74">
        <v>0</v>
      </c>
      <c r="AU18" s="74">
        <v>3.4478E-3</v>
      </c>
      <c r="AV18" s="74">
        <v>3.4478E-3</v>
      </c>
      <c r="AW18" s="74">
        <v>3.4478E-3</v>
      </c>
      <c r="AX18" s="74">
        <v>3.4477999999999996E-3</v>
      </c>
      <c r="AY18" s="74">
        <v>0.94308374491128688</v>
      </c>
      <c r="AZ18" s="74">
        <v>0.94086729891116816</v>
      </c>
      <c r="BA18" s="74">
        <v>0.93820654478993604</v>
      </c>
      <c r="BB18" s="74">
        <v>1.0778802219321149</v>
      </c>
      <c r="BC18" s="74">
        <v>1.0811031331592689</v>
      </c>
      <c r="BD18" s="74">
        <v>1.0849787859007831</v>
      </c>
      <c r="BE18" s="74">
        <v>0</v>
      </c>
      <c r="BF18" s="74">
        <v>0</v>
      </c>
      <c r="BG18" s="74">
        <v>0</v>
      </c>
    </row>
    <row r="19" spans="1:59">
      <c r="A19">
        <v>10067</v>
      </c>
      <c r="B19" t="s">
        <v>24</v>
      </c>
      <c r="C19">
        <v>1</v>
      </c>
      <c r="D19">
        <v>0</v>
      </c>
      <c r="E19" s="73">
        <v>16.053000000000001</v>
      </c>
      <c r="F19" s="73">
        <v>16.571000000000002</v>
      </c>
      <c r="G19" s="73">
        <v>16.702999999999999</v>
      </c>
      <c r="H19" s="73">
        <v>16.831</v>
      </c>
      <c r="I19" s="73">
        <v>0</v>
      </c>
      <c r="J19" s="73">
        <v>0</v>
      </c>
      <c r="K19" s="73">
        <v>0</v>
      </c>
      <c r="L19" s="73">
        <v>0</v>
      </c>
      <c r="M19" s="73">
        <v>0</v>
      </c>
      <c r="N19" s="73">
        <v>0</v>
      </c>
      <c r="O19" s="37">
        <v>0</v>
      </c>
      <c r="P19" s="37">
        <v>0</v>
      </c>
      <c r="Q19" s="37">
        <v>0</v>
      </c>
      <c r="R19" s="73">
        <v>16.571000000000002</v>
      </c>
      <c r="S19" s="73">
        <v>16.702999999999999</v>
      </c>
      <c r="T19" s="73">
        <v>16.831</v>
      </c>
      <c r="U19" s="37">
        <v>145161.96000000002</v>
      </c>
      <c r="V19" s="37">
        <v>146318.28</v>
      </c>
      <c r="W19" s="37">
        <v>147843.50399999999</v>
      </c>
      <c r="X19">
        <v>15.907999999999999</v>
      </c>
      <c r="Y19" s="37">
        <v>139354.07999999999</v>
      </c>
      <c r="Z19" s="37">
        <v>139354.07999999999</v>
      </c>
      <c r="AA19" s="37">
        <v>139735.872</v>
      </c>
      <c r="AB19" s="73">
        <v>0.66300000000000003</v>
      </c>
      <c r="AC19" s="73">
        <v>0.79500000000000004</v>
      </c>
      <c r="AD19" s="73">
        <v>0.92300000000000004</v>
      </c>
      <c r="AE19" s="73">
        <v>0</v>
      </c>
      <c r="AF19" s="73">
        <v>0</v>
      </c>
      <c r="AG19" s="73">
        <v>0</v>
      </c>
      <c r="AH19" s="73">
        <v>0.66300000000000003</v>
      </c>
      <c r="AI19" s="73">
        <v>0.79500000000000004</v>
      </c>
      <c r="AJ19" s="73">
        <v>0.92300000000000004</v>
      </c>
      <c r="AK19">
        <v>0</v>
      </c>
      <c r="AL19">
        <v>0</v>
      </c>
      <c r="AM19">
        <v>0</v>
      </c>
      <c r="AN19" s="73">
        <v>0</v>
      </c>
      <c r="AO19" s="73">
        <v>0</v>
      </c>
      <c r="AP19" s="73">
        <v>0</v>
      </c>
      <c r="AQ19" s="74">
        <v>2.2376000000000002E-3</v>
      </c>
      <c r="AR19" s="74">
        <v>2.2376000000000002E-3</v>
      </c>
      <c r="AS19" s="74">
        <v>2.2376000000000002E-3</v>
      </c>
      <c r="AT19" s="74">
        <v>0</v>
      </c>
      <c r="AU19" s="74">
        <v>2.2376000000000002E-3</v>
      </c>
      <c r="AV19" s="74">
        <v>2.2376000000000002E-3</v>
      </c>
      <c r="AW19" s="74">
        <v>2.2376000000000002E-3</v>
      </c>
      <c r="AX19" s="74">
        <v>2.2376000000000002E-3</v>
      </c>
      <c r="AY19" s="74">
        <v>0.96001047342948531</v>
      </c>
      <c r="AZ19" s="74">
        <v>0.95242372958151245</v>
      </c>
      <c r="BA19" s="74">
        <v>0.94518053325411455</v>
      </c>
      <c r="BB19" s="74">
        <v>1.0416771435755596</v>
      </c>
      <c r="BC19" s="74">
        <v>1.0499748554186572</v>
      </c>
      <c r="BD19" s="74">
        <v>1.0580211214483279</v>
      </c>
      <c r="BE19" s="74">
        <v>0</v>
      </c>
      <c r="BF19" s="74">
        <v>0</v>
      </c>
      <c r="BG19" s="74">
        <v>0</v>
      </c>
    </row>
    <row r="20" spans="1:59">
      <c r="A20">
        <v>10068</v>
      </c>
      <c r="B20" t="s">
        <v>25</v>
      </c>
      <c r="C20">
        <v>1</v>
      </c>
      <c r="D20">
        <v>0</v>
      </c>
      <c r="E20" s="73">
        <v>2.8109999999999999</v>
      </c>
      <c r="F20" s="73">
        <v>2.52</v>
      </c>
      <c r="G20" s="73">
        <v>2.52</v>
      </c>
      <c r="H20" s="73">
        <v>2.5190000000000001</v>
      </c>
      <c r="I20" s="73">
        <v>0</v>
      </c>
      <c r="J20" s="73">
        <v>0</v>
      </c>
      <c r="K20" s="73">
        <v>0</v>
      </c>
      <c r="L20" s="73">
        <v>0</v>
      </c>
      <c r="M20" s="73">
        <v>0</v>
      </c>
      <c r="N20" s="73">
        <v>0</v>
      </c>
      <c r="O20" s="37">
        <v>0</v>
      </c>
      <c r="P20" s="37">
        <v>0</v>
      </c>
      <c r="Q20" s="37">
        <v>0</v>
      </c>
      <c r="R20" s="73">
        <v>2.52</v>
      </c>
      <c r="S20" s="73">
        <v>2.52</v>
      </c>
      <c r="T20" s="73">
        <v>2.5190000000000001</v>
      </c>
      <c r="U20" s="37">
        <v>22075.200000000001</v>
      </c>
      <c r="V20" s="37">
        <v>22075.200000000001</v>
      </c>
      <c r="W20" s="37">
        <v>22126.896000000001</v>
      </c>
      <c r="X20">
        <v>2.786</v>
      </c>
      <c r="Y20" s="37">
        <v>24405.360000000001</v>
      </c>
      <c r="Z20" s="37">
        <v>24405.360000000001</v>
      </c>
      <c r="AA20" s="37">
        <v>24472.224000000002</v>
      </c>
      <c r="AB20" s="73">
        <v>0</v>
      </c>
      <c r="AC20" s="73">
        <v>0</v>
      </c>
      <c r="AD20" s="73">
        <v>0</v>
      </c>
      <c r="AE20" s="73">
        <v>0</v>
      </c>
      <c r="AF20" s="73">
        <v>0</v>
      </c>
      <c r="AG20" s="73">
        <v>0</v>
      </c>
      <c r="AH20" s="73">
        <v>0</v>
      </c>
      <c r="AI20" s="73">
        <v>0</v>
      </c>
      <c r="AJ20" s="73">
        <v>0</v>
      </c>
      <c r="AK20">
        <v>0</v>
      </c>
      <c r="AL20">
        <v>0</v>
      </c>
      <c r="AM20">
        <v>0</v>
      </c>
      <c r="AN20" s="73">
        <v>0</v>
      </c>
      <c r="AO20" s="73">
        <v>0</v>
      </c>
      <c r="AP20" s="73">
        <v>0</v>
      </c>
      <c r="AQ20" s="74">
        <v>3.545E-4</v>
      </c>
      <c r="AR20" s="74">
        <v>3.545E-4</v>
      </c>
      <c r="AS20" s="74">
        <v>3.5429999999999999E-4</v>
      </c>
      <c r="AT20" s="74">
        <v>0</v>
      </c>
      <c r="AU20" s="74">
        <v>3.545E-4</v>
      </c>
      <c r="AV20" s="74">
        <v>3.545E-4</v>
      </c>
      <c r="AW20" s="74">
        <v>3.5429999999999999E-4</v>
      </c>
      <c r="AX20" s="74">
        <v>3.5443333333333335E-4</v>
      </c>
      <c r="AY20" s="74">
        <v>1</v>
      </c>
      <c r="AZ20" s="74">
        <v>1</v>
      </c>
      <c r="BA20" s="74">
        <v>0.99996596808257243</v>
      </c>
      <c r="BB20" s="74">
        <v>1</v>
      </c>
      <c r="BC20" s="74">
        <v>1</v>
      </c>
      <c r="BD20" s="74">
        <v>1</v>
      </c>
      <c r="BE20" s="74">
        <v>0</v>
      </c>
      <c r="BF20" s="74">
        <v>0</v>
      </c>
      <c r="BG20" s="74">
        <v>0</v>
      </c>
    </row>
    <row r="21" spans="1:59">
      <c r="A21">
        <v>10070</v>
      </c>
      <c r="B21" t="s">
        <v>26</v>
      </c>
      <c r="C21">
        <v>1</v>
      </c>
      <c r="D21">
        <v>0</v>
      </c>
      <c r="E21" s="73">
        <v>0.36399999999999999</v>
      </c>
      <c r="F21" s="73">
        <v>0.42199999999999999</v>
      </c>
      <c r="G21" s="73">
        <v>0.42299999999999999</v>
      </c>
      <c r="H21" s="73">
        <v>0.42299999999999999</v>
      </c>
      <c r="I21" s="73">
        <v>0</v>
      </c>
      <c r="J21" s="73">
        <v>0</v>
      </c>
      <c r="K21" s="73">
        <v>0</v>
      </c>
      <c r="L21" s="73">
        <v>0</v>
      </c>
      <c r="M21" s="73">
        <v>0</v>
      </c>
      <c r="N21" s="73">
        <v>0</v>
      </c>
      <c r="O21" s="37">
        <v>0</v>
      </c>
      <c r="P21" s="37">
        <v>0</v>
      </c>
      <c r="Q21" s="37">
        <v>0</v>
      </c>
      <c r="R21" s="73">
        <v>0.42199999999999999</v>
      </c>
      <c r="S21" s="73">
        <v>0.42299999999999999</v>
      </c>
      <c r="T21" s="73">
        <v>0.42299999999999999</v>
      </c>
      <c r="U21" s="37">
        <v>3696.72</v>
      </c>
      <c r="V21" s="37">
        <v>3705.48</v>
      </c>
      <c r="W21" s="37">
        <v>3715.6320000000001</v>
      </c>
      <c r="X21">
        <v>0.36099999999999999</v>
      </c>
      <c r="Y21" s="37">
        <v>3162.3599999999997</v>
      </c>
      <c r="Z21" s="37">
        <v>3162.3599999999997</v>
      </c>
      <c r="AA21" s="37">
        <v>3171.0239999999999</v>
      </c>
      <c r="AB21" s="73">
        <v>6.0999999999999999E-2</v>
      </c>
      <c r="AC21" s="73">
        <v>6.2E-2</v>
      </c>
      <c r="AD21" s="73">
        <v>6.2E-2</v>
      </c>
      <c r="AE21" s="73">
        <v>0</v>
      </c>
      <c r="AF21" s="73">
        <v>0</v>
      </c>
      <c r="AG21" s="73">
        <v>0</v>
      </c>
      <c r="AH21" s="73">
        <v>6.0999999999999999E-2</v>
      </c>
      <c r="AI21" s="73">
        <v>6.2E-2</v>
      </c>
      <c r="AJ21" s="73">
        <v>6.2E-2</v>
      </c>
      <c r="AK21">
        <v>0</v>
      </c>
      <c r="AL21">
        <v>0</v>
      </c>
      <c r="AM21">
        <v>0</v>
      </c>
      <c r="AN21" s="73">
        <v>0</v>
      </c>
      <c r="AO21" s="73">
        <v>0</v>
      </c>
      <c r="AP21" s="73">
        <v>0</v>
      </c>
      <c r="AQ21" s="74">
        <v>5.0800000000000002E-5</v>
      </c>
      <c r="AR21" s="74">
        <v>5.0800000000000002E-5</v>
      </c>
      <c r="AS21" s="74">
        <v>5.0800000000000002E-5</v>
      </c>
      <c r="AT21" s="74">
        <v>0</v>
      </c>
      <c r="AU21" s="74">
        <v>5.0800000000000002E-5</v>
      </c>
      <c r="AV21" s="74">
        <v>5.0800000000000002E-5</v>
      </c>
      <c r="AW21" s="74">
        <v>5.0800000000000002E-5</v>
      </c>
      <c r="AX21" s="74">
        <v>5.0800000000000008E-5</v>
      </c>
      <c r="AY21" s="74">
        <v>0.85584180473933658</v>
      </c>
      <c r="AZ21" s="74">
        <v>0.85381853806146579</v>
      </c>
      <c r="BA21" s="74">
        <v>0.85381853806146579</v>
      </c>
      <c r="BB21" s="74">
        <v>1.1689750692520775</v>
      </c>
      <c r="BC21" s="74">
        <v>1.1717451523545706</v>
      </c>
      <c r="BD21" s="74">
        <v>1.1717451523545706</v>
      </c>
      <c r="BE21" s="74">
        <v>0</v>
      </c>
      <c r="BF21" s="74">
        <v>0</v>
      </c>
      <c r="BG21" s="74">
        <v>0</v>
      </c>
    </row>
    <row r="22" spans="1:59">
      <c r="A22">
        <v>10071</v>
      </c>
      <c r="B22" t="s">
        <v>27</v>
      </c>
      <c r="C22">
        <v>1</v>
      </c>
      <c r="D22">
        <v>0</v>
      </c>
      <c r="E22" s="73">
        <v>1.9430000000000001</v>
      </c>
      <c r="F22" s="73">
        <v>1.899</v>
      </c>
      <c r="G22" s="73">
        <v>1.901</v>
      </c>
      <c r="H22" s="73">
        <v>1.901</v>
      </c>
      <c r="I22" s="73">
        <v>0</v>
      </c>
      <c r="J22" s="73">
        <v>0</v>
      </c>
      <c r="K22" s="73">
        <v>0</v>
      </c>
      <c r="L22" s="73">
        <v>0</v>
      </c>
      <c r="M22" s="73">
        <v>0</v>
      </c>
      <c r="N22" s="73">
        <v>0</v>
      </c>
      <c r="O22" s="37">
        <v>0</v>
      </c>
      <c r="P22" s="37">
        <v>0</v>
      </c>
      <c r="Q22" s="37">
        <v>0</v>
      </c>
      <c r="R22" s="73">
        <v>1.899</v>
      </c>
      <c r="S22" s="73">
        <v>1.901</v>
      </c>
      <c r="T22" s="73">
        <v>1.901</v>
      </c>
      <c r="U22" s="37">
        <v>16635.240000000002</v>
      </c>
      <c r="V22" s="37">
        <v>16652.759999999998</v>
      </c>
      <c r="W22" s="37">
        <v>16698.384000000002</v>
      </c>
      <c r="X22">
        <v>1.925</v>
      </c>
      <c r="Y22" s="37">
        <v>16863</v>
      </c>
      <c r="Z22" s="37">
        <v>16863</v>
      </c>
      <c r="AA22" s="37">
        <v>16909.2</v>
      </c>
      <c r="AB22" s="73">
        <v>0</v>
      </c>
      <c r="AC22" s="73">
        <v>0</v>
      </c>
      <c r="AD22" s="73">
        <v>0</v>
      </c>
      <c r="AE22" s="73">
        <v>0</v>
      </c>
      <c r="AF22" s="73">
        <v>0</v>
      </c>
      <c r="AG22" s="73">
        <v>0</v>
      </c>
      <c r="AH22" s="73">
        <v>0</v>
      </c>
      <c r="AI22" s="73">
        <v>0</v>
      </c>
      <c r="AJ22" s="73">
        <v>0</v>
      </c>
      <c r="AK22">
        <v>0</v>
      </c>
      <c r="AL22">
        <v>0</v>
      </c>
      <c r="AM22">
        <v>0</v>
      </c>
      <c r="AN22" s="73">
        <v>0</v>
      </c>
      <c r="AO22" s="73">
        <v>0</v>
      </c>
      <c r="AP22" s="73">
        <v>0</v>
      </c>
      <c r="AQ22" s="74">
        <v>2.6709999999999999E-4</v>
      </c>
      <c r="AR22" s="74">
        <v>2.6739999999999999E-4</v>
      </c>
      <c r="AS22" s="74">
        <v>2.6739999999999999E-4</v>
      </c>
      <c r="AT22" s="74">
        <v>0</v>
      </c>
      <c r="AU22" s="74">
        <v>2.6709999999999999E-4</v>
      </c>
      <c r="AV22" s="74">
        <v>2.6739999999999999E-4</v>
      </c>
      <c r="AW22" s="74">
        <v>2.6739999999999999E-4</v>
      </c>
      <c r="AX22" s="74">
        <v>2.6729999999999999E-4</v>
      </c>
      <c r="AY22" s="74">
        <v>0.99997964149552399</v>
      </c>
      <c r="AZ22" s="74">
        <v>1</v>
      </c>
      <c r="BA22" s="74">
        <v>1</v>
      </c>
      <c r="BB22" s="74">
        <v>1</v>
      </c>
      <c r="BC22" s="74">
        <v>1</v>
      </c>
      <c r="BD22" s="74">
        <v>1</v>
      </c>
      <c r="BE22" s="74">
        <v>0</v>
      </c>
      <c r="BF22" s="74">
        <v>0</v>
      </c>
      <c r="BG22" s="74">
        <v>0</v>
      </c>
    </row>
    <row r="23" spans="1:59">
      <c r="A23">
        <v>10072</v>
      </c>
      <c r="B23" t="s">
        <v>28</v>
      </c>
      <c r="C23">
        <v>1</v>
      </c>
      <c r="D23">
        <v>0</v>
      </c>
      <c r="E23" s="73">
        <v>24.34</v>
      </c>
      <c r="F23" s="80">
        <v>26.145</v>
      </c>
      <c r="G23" s="80">
        <v>27.155000000000001</v>
      </c>
      <c r="H23" s="80">
        <v>27.225000000000001</v>
      </c>
      <c r="I23" s="80">
        <v>0</v>
      </c>
      <c r="J23" s="80">
        <v>0</v>
      </c>
      <c r="K23" s="80">
        <v>0</v>
      </c>
      <c r="L23" s="80">
        <v>0</v>
      </c>
      <c r="M23" s="80">
        <v>0</v>
      </c>
      <c r="N23" s="80">
        <v>0</v>
      </c>
      <c r="O23" s="78">
        <v>0</v>
      </c>
      <c r="P23" s="78">
        <v>0</v>
      </c>
      <c r="Q23" s="78">
        <v>0</v>
      </c>
      <c r="R23" s="80">
        <v>26.145</v>
      </c>
      <c r="S23" s="80">
        <v>27.155000000000001</v>
      </c>
      <c r="T23" s="80">
        <v>27.225000000000001</v>
      </c>
      <c r="U23" s="78">
        <v>229030.19999999998</v>
      </c>
      <c r="V23" s="78">
        <v>237877.80000000002</v>
      </c>
      <c r="W23" s="78">
        <v>239144.40000000002</v>
      </c>
      <c r="X23">
        <v>24.12</v>
      </c>
      <c r="Y23" s="78">
        <v>211291.2</v>
      </c>
      <c r="Z23" s="78">
        <v>211291.2</v>
      </c>
      <c r="AA23" s="78">
        <v>211870.08000000002</v>
      </c>
      <c r="AB23" s="80">
        <v>2.0249999999999999</v>
      </c>
      <c r="AC23" s="80">
        <v>3.0350000000000001</v>
      </c>
      <c r="AD23" s="80">
        <v>3.105</v>
      </c>
      <c r="AE23" s="73">
        <v>2.0249999999999999</v>
      </c>
      <c r="AF23" s="73">
        <v>3.0350000000000001</v>
      </c>
      <c r="AG23" s="73">
        <v>3.105</v>
      </c>
      <c r="AH23" s="80">
        <v>0</v>
      </c>
      <c r="AI23" s="80">
        <v>0</v>
      </c>
      <c r="AJ23" s="80">
        <v>0</v>
      </c>
      <c r="AK23">
        <v>0</v>
      </c>
      <c r="AL23">
        <v>0</v>
      </c>
      <c r="AM23">
        <v>0</v>
      </c>
      <c r="AN23" s="80">
        <v>2.0249999999999999</v>
      </c>
      <c r="AO23" s="80">
        <v>3.0350000000000001</v>
      </c>
      <c r="AP23" s="80">
        <v>3.105</v>
      </c>
      <c r="AQ23" s="81">
        <v>3.3926E-3</v>
      </c>
      <c r="AR23" s="81">
        <v>3.3926E-3</v>
      </c>
      <c r="AS23" s="81">
        <v>3.3926E-3</v>
      </c>
      <c r="AT23" s="74">
        <v>0</v>
      </c>
      <c r="AU23" s="81">
        <v>3.3926E-3</v>
      </c>
      <c r="AV23" s="81">
        <v>3.3926E-3</v>
      </c>
      <c r="AW23" s="81">
        <v>3.3926E-3</v>
      </c>
      <c r="AX23" s="81">
        <v>3.3926000000000004E-3</v>
      </c>
      <c r="AY23" s="81">
        <v>0.92254221132912606</v>
      </c>
      <c r="AZ23" s="81">
        <v>0.88822928061867057</v>
      </c>
      <c r="BA23" s="81">
        <v>0.88594549550780533</v>
      </c>
      <c r="BB23" s="81">
        <v>1.083955223880597</v>
      </c>
      <c r="BC23" s="81">
        <v>1.1258291873963515</v>
      </c>
      <c r="BD23" s="81">
        <v>1.1287313432835822</v>
      </c>
      <c r="BE23" s="81">
        <v>0</v>
      </c>
      <c r="BF23" s="81">
        <v>0</v>
      </c>
      <c r="BG23" s="81">
        <v>0</v>
      </c>
    </row>
    <row r="24" spans="1:59">
      <c r="A24">
        <v>10074</v>
      </c>
      <c r="B24" t="s">
        <v>29</v>
      </c>
      <c r="C24">
        <v>1</v>
      </c>
      <c r="D24">
        <v>0</v>
      </c>
      <c r="E24" s="73">
        <v>27.08</v>
      </c>
      <c r="F24" s="73">
        <v>34.411999999999999</v>
      </c>
      <c r="G24" s="73">
        <v>34.944000000000003</v>
      </c>
      <c r="H24" s="73">
        <v>35.363999999999997</v>
      </c>
      <c r="I24" s="73">
        <v>0</v>
      </c>
      <c r="J24" s="73">
        <v>0</v>
      </c>
      <c r="K24" s="73">
        <v>0</v>
      </c>
      <c r="L24" s="73">
        <v>2.9329999999999998</v>
      </c>
      <c r="M24" s="73">
        <v>2.9329999999999998</v>
      </c>
      <c r="N24" s="73">
        <v>2.9289999999999998</v>
      </c>
      <c r="O24" s="37">
        <v>25693.079999999998</v>
      </c>
      <c r="P24" s="37">
        <v>25693.079999999998</v>
      </c>
      <c r="Q24" s="37">
        <v>25728.335999999999</v>
      </c>
      <c r="R24" s="73">
        <v>31.478999999999999</v>
      </c>
      <c r="S24" s="73">
        <v>32.011000000000003</v>
      </c>
      <c r="T24" s="73">
        <v>32.435000000000002</v>
      </c>
      <c r="U24" s="37">
        <v>275756.03999999998</v>
      </c>
      <c r="V24" s="37">
        <v>280416.36000000004</v>
      </c>
      <c r="W24" s="37">
        <v>284909.04000000004</v>
      </c>
      <c r="X24">
        <v>26.835999999999999</v>
      </c>
      <c r="Y24" s="37">
        <v>235083.36</v>
      </c>
      <c r="Z24" s="37">
        <v>235083.36</v>
      </c>
      <c r="AA24" s="37">
        <v>235727.424</v>
      </c>
      <c r="AB24" s="73">
        <v>4.6429999999999998</v>
      </c>
      <c r="AC24" s="73">
        <v>5.1749999999999998</v>
      </c>
      <c r="AD24" s="73">
        <v>5.5990000000000002</v>
      </c>
      <c r="AE24" s="73">
        <v>4.6429999999999998</v>
      </c>
      <c r="AF24" s="73">
        <v>5.1749999999999998</v>
      </c>
      <c r="AG24" s="73">
        <v>5.5990000000000002</v>
      </c>
      <c r="AH24" s="73">
        <v>0</v>
      </c>
      <c r="AI24" s="73">
        <v>0</v>
      </c>
      <c r="AJ24" s="73">
        <v>0</v>
      </c>
      <c r="AK24">
        <v>0</v>
      </c>
      <c r="AL24">
        <v>0</v>
      </c>
      <c r="AM24">
        <v>0</v>
      </c>
      <c r="AN24" s="73">
        <v>4.6429999999999998</v>
      </c>
      <c r="AO24" s="73">
        <v>5.1749999999999998</v>
      </c>
      <c r="AP24" s="73">
        <v>5.5990000000000002</v>
      </c>
      <c r="AQ24" s="74">
        <v>3.7745999999999999E-3</v>
      </c>
      <c r="AR24" s="74">
        <v>3.7745999999999999E-3</v>
      </c>
      <c r="AS24" s="74">
        <v>3.7745999999999999E-3</v>
      </c>
      <c r="AT24" s="74">
        <v>0</v>
      </c>
      <c r="AU24" s="74">
        <v>3.7745999999999999E-3</v>
      </c>
      <c r="AV24" s="74">
        <v>3.7745999999999999E-3</v>
      </c>
      <c r="AW24" s="74">
        <v>3.7745999999999999E-3</v>
      </c>
      <c r="AX24" s="74">
        <v>3.7745999999999999E-3</v>
      </c>
      <c r="AY24" s="74">
        <v>0.86506785363245386</v>
      </c>
      <c r="AZ24" s="74">
        <v>0.85189775009157509</v>
      </c>
      <c r="BA24" s="74">
        <v>0.84166709023866082</v>
      </c>
      <c r="BB24" s="74">
        <v>1.1730138619764496</v>
      </c>
      <c r="BC24" s="74">
        <v>1.1928379788344017</v>
      </c>
      <c r="BD24" s="74">
        <v>1.2086376509166792</v>
      </c>
      <c r="BE24" s="74">
        <v>0</v>
      </c>
      <c r="BF24" s="74">
        <v>0</v>
      </c>
      <c r="BG24" s="74">
        <v>0</v>
      </c>
    </row>
    <row r="25" spans="1:59">
      <c r="A25">
        <v>10076</v>
      </c>
      <c r="B25" t="s">
        <v>30</v>
      </c>
      <c r="C25">
        <v>1</v>
      </c>
      <c r="D25">
        <v>0</v>
      </c>
      <c r="E25" s="73">
        <v>4.8890000000000002</v>
      </c>
      <c r="F25" s="73">
        <v>7.71</v>
      </c>
      <c r="G25" s="73">
        <v>7.758</v>
      </c>
      <c r="H25" s="73">
        <v>7.806</v>
      </c>
      <c r="I25" s="73">
        <v>0</v>
      </c>
      <c r="J25" s="73">
        <v>0</v>
      </c>
      <c r="K25" s="73">
        <v>0</v>
      </c>
      <c r="L25" s="73">
        <v>0</v>
      </c>
      <c r="M25" s="73">
        <v>0</v>
      </c>
      <c r="N25" s="73">
        <v>0</v>
      </c>
      <c r="O25" s="37">
        <v>0</v>
      </c>
      <c r="P25" s="37">
        <v>0</v>
      </c>
      <c r="Q25" s="37">
        <v>0</v>
      </c>
      <c r="R25" s="73">
        <v>7.71</v>
      </c>
      <c r="S25" s="73">
        <v>7.758</v>
      </c>
      <c r="T25" s="73">
        <v>7.806</v>
      </c>
      <c r="U25" s="37">
        <v>67539.600000000006</v>
      </c>
      <c r="V25" s="37">
        <v>67960.08</v>
      </c>
      <c r="W25" s="37">
        <v>68567.903999999995</v>
      </c>
      <c r="X25">
        <v>4.8449999999999998</v>
      </c>
      <c r="Y25" s="37">
        <v>42442.2</v>
      </c>
      <c r="Z25" s="37">
        <v>42442.2</v>
      </c>
      <c r="AA25" s="37">
        <v>42558.479999999996</v>
      </c>
      <c r="AB25" s="73">
        <v>2.8650000000000002</v>
      </c>
      <c r="AC25" s="73">
        <v>2.9129999999999998</v>
      </c>
      <c r="AD25" s="73">
        <v>2.9609999999999999</v>
      </c>
      <c r="AE25" s="73">
        <v>2.8650000000000002</v>
      </c>
      <c r="AF25" s="73">
        <v>2.9129999999999998</v>
      </c>
      <c r="AG25" s="73">
        <v>2.9609999999999999</v>
      </c>
      <c r="AH25" s="73">
        <v>0</v>
      </c>
      <c r="AI25" s="73">
        <v>0</v>
      </c>
      <c r="AJ25" s="73">
        <v>0</v>
      </c>
      <c r="AK25">
        <v>0</v>
      </c>
      <c r="AL25">
        <v>0</v>
      </c>
      <c r="AM25">
        <v>0</v>
      </c>
      <c r="AN25" s="73">
        <v>2.8650000000000002</v>
      </c>
      <c r="AO25" s="73">
        <v>2.9129999999999998</v>
      </c>
      <c r="AP25" s="73">
        <v>2.9609999999999999</v>
      </c>
      <c r="AQ25" s="74">
        <v>6.8150000000000003E-4</v>
      </c>
      <c r="AR25" s="74">
        <v>6.8150000000000003E-4</v>
      </c>
      <c r="AS25" s="74">
        <v>6.8150000000000003E-4</v>
      </c>
      <c r="AT25" s="74">
        <v>0</v>
      </c>
      <c r="AU25" s="74">
        <v>6.8150000000000003E-4</v>
      </c>
      <c r="AV25" s="74">
        <v>6.8150000000000003E-4</v>
      </c>
      <c r="AW25" s="74">
        <v>6.8150000000000003E-4</v>
      </c>
      <c r="AX25" s="74">
        <v>6.8150000000000014E-4</v>
      </c>
      <c r="AY25" s="74">
        <v>0.62842538106355395</v>
      </c>
      <c r="AZ25" s="74">
        <v>0.62453721165248788</v>
      </c>
      <c r="BA25" s="74">
        <v>0.62069685985139644</v>
      </c>
      <c r="BB25" s="74">
        <v>1.5913312693498454</v>
      </c>
      <c r="BC25" s="74">
        <v>1.6012383900928793</v>
      </c>
      <c r="BD25" s="74">
        <v>1.6111455108359134</v>
      </c>
      <c r="BE25" s="74">
        <v>0</v>
      </c>
      <c r="BF25" s="74">
        <v>0</v>
      </c>
      <c r="BG25" s="74">
        <v>0</v>
      </c>
    </row>
    <row r="26" spans="1:59">
      <c r="A26">
        <v>10078</v>
      </c>
      <c r="B26" t="s">
        <v>31</v>
      </c>
      <c r="C26">
        <v>1</v>
      </c>
      <c r="D26">
        <v>0</v>
      </c>
      <c r="E26" s="73">
        <v>3.7729999999999997</v>
      </c>
      <c r="F26" s="73">
        <v>3.72</v>
      </c>
      <c r="G26" s="73">
        <v>3.73</v>
      </c>
      <c r="H26" s="73">
        <v>3.74</v>
      </c>
      <c r="I26" s="73">
        <v>0</v>
      </c>
      <c r="J26" s="73">
        <v>0</v>
      </c>
      <c r="K26" s="73">
        <v>0</v>
      </c>
      <c r="L26" s="73">
        <v>0</v>
      </c>
      <c r="M26" s="73">
        <v>0</v>
      </c>
      <c r="N26" s="73">
        <v>0</v>
      </c>
      <c r="O26" s="37">
        <v>0</v>
      </c>
      <c r="P26" s="37">
        <v>0</v>
      </c>
      <c r="Q26" s="37">
        <v>0</v>
      </c>
      <c r="R26" s="73">
        <v>3.72</v>
      </c>
      <c r="S26" s="73">
        <v>3.73</v>
      </c>
      <c r="T26" s="73">
        <v>3.74</v>
      </c>
      <c r="U26" s="37">
        <v>32587.200000000001</v>
      </c>
      <c r="V26" s="37">
        <v>32674.799999999999</v>
      </c>
      <c r="W26" s="37">
        <v>32852.160000000003</v>
      </c>
      <c r="X26">
        <v>3.7389999999999999</v>
      </c>
      <c r="Y26" s="37">
        <v>32753.64</v>
      </c>
      <c r="Z26" s="37">
        <v>32753.64</v>
      </c>
      <c r="AA26" s="37">
        <v>32843.375999999997</v>
      </c>
      <c r="AB26" s="73">
        <v>0</v>
      </c>
      <c r="AC26" s="73">
        <v>0</v>
      </c>
      <c r="AD26" s="73">
        <v>1E-3</v>
      </c>
      <c r="AE26" s="73">
        <v>0</v>
      </c>
      <c r="AF26" s="73">
        <v>0</v>
      </c>
      <c r="AG26" s="73">
        <v>0</v>
      </c>
      <c r="AH26" s="73">
        <v>0</v>
      </c>
      <c r="AI26" s="73">
        <v>0</v>
      </c>
      <c r="AJ26" s="73">
        <v>1E-3</v>
      </c>
      <c r="AK26">
        <v>0</v>
      </c>
      <c r="AL26">
        <v>0</v>
      </c>
      <c r="AM26">
        <v>0</v>
      </c>
      <c r="AN26" s="73">
        <v>0</v>
      </c>
      <c r="AO26" s="73">
        <v>0</v>
      </c>
      <c r="AP26" s="73">
        <v>0</v>
      </c>
      <c r="AQ26" s="74">
        <v>5.2320000000000003E-4</v>
      </c>
      <c r="AR26" s="74">
        <v>5.2459999999999996E-4</v>
      </c>
      <c r="AS26" s="74">
        <v>5.2590000000000004E-4</v>
      </c>
      <c r="AT26" s="74">
        <v>0</v>
      </c>
      <c r="AU26" s="74">
        <v>5.2320000000000003E-4</v>
      </c>
      <c r="AV26" s="74">
        <v>5.2459999999999996E-4</v>
      </c>
      <c r="AW26" s="74">
        <v>5.2590000000000004E-4</v>
      </c>
      <c r="AX26" s="74">
        <v>5.2456666666666661E-4</v>
      </c>
      <c r="AY26" s="74">
        <v>0.99992408774193564</v>
      </c>
      <c r="AZ26" s="74">
        <v>0.99991179067024127</v>
      </c>
      <c r="BA26" s="74">
        <v>0.99970946438502684</v>
      </c>
      <c r="BB26" s="74">
        <v>1</v>
      </c>
      <c r="BC26" s="74">
        <v>1</v>
      </c>
      <c r="BD26" s="74">
        <v>1.0002674511901579</v>
      </c>
      <c r="BE26" s="74">
        <v>0</v>
      </c>
      <c r="BF26" s="74">
        <v>0</v>
      </c>
      <c r="BG26" s="74">
        <v>0</v>
      </c>
    </row>
    <row r="27" spans="1:59">
      <c r="A27">
        <v>10079</v>
      </c>
      <c r="B27" t="s">
        <v>32</v>
      </c>
      <c r="C27">
        <v>1</v>
      </c>
      <c r="D27">
        <v>0</v>
      </c>
      <c r="E27" s="73">
        <v>89.494</v>
      </c>
      <c r="F27" s="73">
        <v>87.28</v>
      </c>
      <c r="G27" s="73">
        <v>87.498000000000005</v>
      </c>
      <c r="H27" s="73">
        <v>87.484999999999999</v>
      </c>
      <c r="I27" s="73">
        <v>0</v>
      </c>
      <c r="J27" s="73">
        <v>0</v>
      </c>
      <c r="K27" s="73">
        <v>0</v>
      </c>
      <c r="L27" s="73">
        <v>2.9329999999999998</v>
      </c>
      <c r="M27" s="73">
        <v>2.9329999999999998</v>
      </c>
      <c r="N27" s="73">
        <v>2.9289999999999998</v>
      </c>
      <c r="O27" s="37">
        <v>25693.079999999998</v>
      </c>
      <c r="P27" s="37">
        <v>25693.079999999998</v>
      </c>
      <c r="Q27" s="37">
        <v>25728.335999999999</v>
      </c>
      <c r="R27" s="73">
        <v>84.346999999999994</v>
      </c>
      <c r="S27" s="73">
        <v>84.564999999999998</v>
      </c>
      <c r="T27" s="73">
        <v>84.555999999999997</v>
      </c>
      <c r="U27" s="37">
        <v>738879.72</v>
      </c>
      <c r="V27" s="37">
        <v>740789.4</v>
      </c>
      <c r="W27" s="37">
        <v>742739.90399999998</v>
      </c>
      <c r="X27">
        <v>88.686999999999998</v>
      </c>
      <c r="Y27" s="37">
        <v>776898.12</v>
      </c>
      <c r="Z27" s="37">
        <v>776898.12</v>
      </c>
      <c r="AA27" s="37">
        <v>779026.60800000001</v>
      </c>
      <c r="AB27" s="73">
        <v>0</v>
      </c>
      <c r="AC27" s="73">
        <v>0</v>
      </c>
      <c r="AD27" s="73">
        <v>0</v>
      </c>
      <c r="AE27" s="73">
        <v>0</v>
      </c>
      <c r="AF27" s="73">
        <v>0</v>
      </c>
      <c r="AG27" s="73">
        <v>0</v>
      </c>
      <c r="AH27" s="73">
        <v>0</v>
      </c>
      <c r="AI27" s="73">
        <v>0</v>
      </c>
      <c r="AJ27" s="73">
        <v>0</v>
      </c>
      <c r="AK27">
        <v>0</v>
      </c>
      <c r="AL27">
        <v>0</v>
      </c>
      <c r="AM27">
        <v>0</v>
      </c>
      <c r="AN27" s="73">
        <v>0</v>
      </c>
      <c r="AO27" s="73">
        <v>0</v>
      </c>
      <c r="AP27" s="73">
        <v>0</v>
      </c>
      <c r="AQ27" s="74">
        <v>1.18639E-2</v>
      </c>
      <c r="AR27" s="74">
        <v>1.18946E-2</v>
      </c>
      <c r="AS27" s="74">
        <v>1.1893300000000001E-2</v>
      </c>
      <c r="AT27" s="74">
        <v>0</v>
      </c>
      <c r="AU27" s="74">
        <v>1.18639E-2</v>
      </c>
      <c r="AV27" s="74">
        <v>1.18946E-2</v>
      </c>
      <c r="AW27" s="74">
        <v>1.1893300000000001E-2</v>
      </c>
      <c r="AX27" s="74">
        <v>1.1883933333333334E-2</v>
      </c>
      <c r="AY27" s="74">
        <v>1</v>
      </c>
      <c r="AZ27" s="74">
        <v>1</v>
      </c>
      <c r="BA27" s="74">
        <v>1</v>
      </c>
      <c r="BB27" s="74">
        <v>1</v>
      </c>
      <c r="BC27" s="74">
        <v>1</v>
      </c>
      <c r="BD27" s="74">
        <v>1</v>
      </c>
      <c r="BE27" s="74">
        <v>0</v>
      </c>
      <c r="BF27" s="74">
        <v>0</v>
      </c>
      <c r="BG27" s="74">
        <v>0</v>
      </c>
    </row>
    <row r="28" spans="1:59">
      <c r="A28">
        <v>10080</v>
      </c>
      <c r="B28" t="s">
        <v>33</v>
      </c>
      <c r="C28">
        <v>1</v>
      </c>
      <c r="D28">
        <v>0</v>
      </c>
      <c r="E28" s="73">
        <v>7.548</v>
      </c>
      <c r="F28" s="73">
        <v>6.665</v>
      </c>
      <c r="G28" s="73">
        <v>6.6680000000000001</v>
      </c>
      <c r="H28" s="73">
        <v>6.67</v>
      </c>
      <c r="I28" s="73">
        <v>0</v>
      </c>
      <c r="J28" s="73">
        <v>0</v>
      </c>
      <c r="K28" s="73">
        <v>0</v>
      </c>
      <c r="L28" s="73">
        <v>0</v>
      </c>
      <c r="M28" s="73">
        <v>0</v>
      </c>
      <c r="N28" s="73">
        <v>0</v>
      </c>
      <c r="O28" s="37">
        <v>0</v>
      </c>
      <c r="P28" s="37">
        <v>0</v>
      </c>
      <c r="Q28" s="37">
        <v>0</v>
      </c>
      <c r="R28" s="73">
        <v>6.665</v>
      </c>
      <c r="S28" s="73">
        <v>6.6680000000000001</v>
      </c>
      <c r="T28" s="73">
        <v>6.67</v>
      </c>
      <c r="U28" s="37">
        <v>58385.4</v>
      </c>
      <c r="V28" s="37">
        <v>58411.68</v>
      </c>
      <c r="W28" s="37">
        <v>58589.279999999999</v>
      </c>
      <c r="X28">
        <v>7.48</v>
      </c>
      <c r="Y28" s="37">
        <v>65524.800000000003</v>
      </c>
      <c r="Z28" s="37">
        <v>65524.800000000003</v>
      </c>
      <c r="AA28" s="37">
        <v>65704.320000000007</v>
      </c>
      <c r="AB28" s="73">
        <v>0</v>
      </c>
      <c r="AC28" s="73">
        <v>0</v>
      </c>
      <c r="AD28" s="73">
        <v>0</v>
      </c>
      <c r="AE28" s="73">
        <v>0</v>
      </c>
      <c r="AF28" s="73">
        <v>0</v>
      </c>
      <c r="AG28" s="73">
        <v>0</v>
      </c>
      <c r="AH28" s="73">
        <v>0</v>
      </c>
      <c r="AI28" s="73">
        <v>0</v>
      </c>
      <c r="AJ28" s="73">
        <v>0</v>
      </c>
      <c r="AK28">
        <v>0</v>
      </c>
      <c r="AL28">
        <v>0</v>
      </c>
      <c r="AM28">
        <v>0</v>
      </c>
      <c r="AN28" s="73">
        <v>0</v>
      </c>
      <c r="AO28" s="73">
        <v>0</v>
      </c>
      <c r="AP28" s="73">
        <v>0</v>
      </c>
      <c r="AQ28" s="74">
        <v>9.3749999999999997E-4</v>
      </c>
      <c r="AR28" s="74">
        <v>9.3789999999999998E-4</v>
      </c>
      <c r="AS28" s="74">
        <v>9.3820000000000004E-4</v>
      </c>
      <c r="AT28" s="74">
        <v>0</v>
      </c>
      <c r="AU28" s="74">
        <v>9.3749999999999997E-4</v>
      </c>
      <c r="AV28" s="74">
        <v>9.3789999999999998E-4</v>
      </c>
      <c r="AW28" s="74">
        <v>9.3820000000000004E-4</v>
      </c>
      <c r="AX28" s="74">
        <v>9.3786666666666662E-4</v>
      </c>
      <c r="AY28" s="74">
        <v>1</v>
      </c>
      <c r="AZ28" s="74">
        <v>1</v>
      </c>
      <c r="BA28" s="74">
        <v>1</v>
      </c>
      <c r="BB28" s="74">
        <v>1</v>
      </c>
      <c r="BC28" s="74">
        <v>1</v>
      </c>
      <c r="BD28" s="74">
        <v>1</v>
      </c>
      <c r="BE28" s="74">
        <v>0</v>
      </c>
      <c r="BF28" s="74">
        <v>0</v>
      </c>
      <c r="BG28" s="74">
        <v>0</v>
      </c>
    </row>
    <row r="29" spans="1:59">
      <c r="A29">
        <v>10081</v>
      </c>
      <c r="B29" t="s">
        <v>34</v>
      </c>
      <c r="C29">
        <v>1</v>
      </c>
      <c r="D29">
        <v>0</v>
      </c>
      <c r="E29" s="73">
        <v>10.611000000000001</v>
      </c>
      <c r="F29" s="73">
        <v>12.276999999999999</v>
      </c>
      <c r="G29" s="73">
        <v>12.276999999999999</v>
      </c>
      <c r="H29" s="73">
        <v>12.272</v>
      </c>
      <c r="I29" s="73">
        <v>0</v>
      </c>
      <c r="J29" s="73">
        <v>0</v>
      </c>
      <c r="K29" s="73">
        <v>0</v>
      </c>
      <c r="L29" s="73">
        <v>2.9329999999999998</v>
      </c>
      <c r="M29" s="73">
        <v>2.9329999999999998</v>
      </c>
      <c r="N29" s="73">
        <v>2.9289999999999998</v>
      </c>
      <c r="O29" s="37">
        <v>25693.079999999998</v>
      </c>
      <c r="P29" s="37">
        <v>25693.079999999998</v>
      </c>
      <c r="Q29" s="37">
        <v>25728.335999999999</v>
      </c>
      <c r="R29" s="73">
        <v>9.3439999999999994</v>
      </c>
      <c r="S29" s="73">
        <v>9.3439999999999994</v>
      </c>
      <c r="T29" s="73">
        <v>9.343</v>
      </c>
      <c r="U29" s="37">
        <v>81853.439999999988</v>
      </c>
      <c r="V29" s="37">
        <v>81853.439999999988</v>
      </c>
      <c r="W29" s="37">
        <v>82068.911999999997</v>
      </c>
      <c r="X29">
        <v>10.515000000000001</v>
      </c>
      <c r="Y29" s="37">
        <v>92111.400000000009</v>
      </c>
      <c r="Z29" s="37">
        <v>92111.400000000009</v>
      </c>
      <c r="AA29" s="37">
        <v>92363.760000000009</v>
      </c>
      <c r="AB29" s="73">
        <v>0</v>
      </c>
      <c r="AC29" s="73">
        <v>0</v>
      </c>
      <c r="AD29" s="73">
        <v>0</v>
      </c>
      <c r="AE29" s="73">
        <v>0</v>
      </c>
      <c r="AF29" s="73">
        <v>0</v>
      </c>
      <c r="AG29" s="73">
        <v>0</v>
      </c>
      <c r="AH29" s="73">
        <v>0</v>
      </c>
      <c r="AI29" s="73">
        <v>0</v>
      </c>
      <c r="AJ29" s="73">
        <v>0</v>
      </c>
      <c r="AK29">
        <v>0</v>
      </c>
      <c r="AL29">
        <v>0</v>
      </c>
      <c r="AM29">
        <v>0</v>
      </c>
      <c r="AN29" s="73">
        <v>0</v>
      </c>
      <c r="AO29" s="73">
        <v>0</v>
      </c>
      <c r="AP29" s="73">
        <v>0</v>
      </c>
      <c r="AQ29" s="74">
        <v>1.3143E-3</v>
      </c>
      <c r="AR29" s="74">
        <v>1.3143E-3</v>
      </c>
      <c r="AS29" s="74">
        <v>1.3140999999999999E-3</v>
      </c>
      <c r="AT29" s="74">
        <v>0</v>
      </c>
      <c r="AU29" s="74">
        <v>1.3143E-3</v>
      </c>
      <c r="AV29" s="74">
        <v>1.3143E-3</v>
      </c>
      <c r="AW29" s="74">
        <v>1.3140999999999999E-3</v>
      </c>
      <c r="AX29" s="74">
        <v>1.3142333333333335E-3</v>
      </c>
      <c r="AY29" s="74">
        <v>1</v>
      </c>
      <c r="AZ29" s="74">
        <v>1</v>
      </c>
      <c r="BA29" s="74">
        <v>0.99997248070404166</v>
      </c>
      <c r="BB29" s="74">
        <v>1</v>
      </c>
      <c r="BC29" s="74">
        <v>1</v>
      </c>
      <c r="BD29" s="74">
        <v>1</v>
      </c>
      <c r="BE29" s="74">
        <v>0</v>
      </c>
      <c r="BF29" s="74">
        <v>0</v>
      </c>
      <c r="BG29" s="74">
        <v>0</v>
      </c>
    </row>
    <row r="30" spans="1:59">
      <c r="A30">
        <v>10082</v>
      </c>
      <c r="B30" t="s">
        <v>35</v>
      </c>
      <c r="C30">
        <v>1</v>
      </c>
      <c r="D30">
        <v>0</v>
      </c>
      <c r="E30" s="73">
        <v>0.12</v>
      </c>
      <c r="F30" s="73">
        <v>0.11600000000000001</v>
      </c>
      <c r="G30" s="73">
        <v>0.11600000000000001</v>
      </c>
      <c r="H30" s="73">
        <v>0.115</v>
      </c>
      <c r="I30" s="73">
        <v>0</v>
      </c>
      <c r="J30" s="73">
        <v>0</v>
      </c>
      <c r="K30" s="73">
        <v>0</v>
      </c>
      <c r="L30" s="73">
        <v>0</v>
      </c>
      <c r="M30" s="73">
        <v>0</v>
      </c>
      <c r="N30" s="73">
        <v>0</v>
      </c>
      <c r="O30" s="37">
        <v>0</v>
      </c>
      <c r="P30" s="37">
        <v>0</v>
      </c>
      <c r="Q30" s="37">
        <v>0</v>
      </c>
      <c r="R30" s="73">
        <v>0.11600000000000001</v>
      </c>
      <c r="S30" s="73">
        <v>0.11600000000000001</v>
      </c>
      <c r="T30" s="73">
        <v>0.115</v>
      </c>
      <c r="U30" s="37">
        <v>1016.1600000000001</v>
      </c>
      <c r="V30" s="37">
        <v>1016.1600000000001</v>
      </c>
      <c r="W30" s="37">
        <v>1010.1600000000001</v>
      </c>
      <c r="X30">
        <v>0.11899999999999999</v>
      </c>
      <c r="Y30" s="37">
        <v>1042.44</v>
      </c>
      <c r="Z30" s="37">
        <v>1042.44</v>
      </c>
      <c r="AA30" s="37">
        <v>1045.296</v>
      </c>
      <c r="AB30" s="73">
        <v>0</v>
      </c>
      <c r="AC30" s="73">
        <v>0</v>
      </c>
      <c r="AD30" s="73">
        <v>0</v>
      </c>
      <c r="AE30" s="73">
        <v>0</v>
      </c>
      <c r="AF30" s="73">
        <v>0</v>
      </c>
      <c r="AG30" s="73">
        <v>0</v>
      </c>
      <c r="AH30" s="73">
        <v>0</v>
      </c>
      <c r="AI30" s="73">
        <v>0</v>
      </c>
      <c r="AJ30" s="73">
        <v>0</v>
      </c>
      <c r="AK30">
        <v>0</v>
      </c>
      <c r="AL30">
        <v>0</v>
      </c>
      <c r="AM30">
        <v>0</v>
      </c>
      <c r="AN30" s="73">
        <v>0</v>
      </c>
      <c r="AO30" s="73">
        <v>0</v>
      </c>
      <c r="AP30" s="73">
        <v>0</v>
      </c>
      <c r="AQ30" s="74">
        <v>1.63E-5</v>
      </c>
      <c r="AR30" s="74">
        <v>1.63E-5</v>
      </c>
      <c r="AS30" s="74">
        <v>1.6200000000000001E-5</v>
      </c>
      <c r="AT30" s="74">
        <v>0</v>
      </c>
      <c r="AU30" s="74">
        <v>1.63E-5</v>
      </c>
      <c r="AV30" s="74">
        <v>1.63E-5</v>
      </c>
      <c r="AW30" s="74">
        <v>1.6200000000000001E-5</v>
      </c>
      <c r="AX30" s="74">
        <v>1.6266666666666668E-5</v>
      </c>
      <c r="AY30" s="74">
        <v>0.99901463448275862</v>
      </c>
      <c r="AZ30" s="74">
        <v>0.99901463448275862</v>
      </c>
      <c r="BA30" s="74">
        <v>1</v>
      </c>
      <c r="BB30" s="74">
        <v>1</v>
      </c>
      <c r="BC30" s="74">
        <v>1</v>
      </c>
      <c r="BD30" s="74">
        <v>1</v>
      </c>
      <c r="BE30" s="74">
        <v>0</v>
      </c>
      <c r="BF30" s="74">
        <v>0</v>
      </c>
      <c r="BG30" s="74">
        <v>0</v>
      </c>
    </row>
    <row r="31" spans="1:59">
      <c r="A31">
        <v>10083</v>
      </c>
      <c r="B31" t="s">
        <v>36</v>
      </c>
      <c r="C31">
        <v>1</v>
      </c>
      <c r="D31">
        <v>0</v>
      </c>
      <c r="E31" s="73">
        <v>8.4879999999999995</v>
      </c>
      <c r="F31" s="73">
        <v>9.0980000000000008</v>
      </c>
      <c r="G31" s="73">
        <v>9.1329999999999991</v>
      </c>
      <c r="H31" s="73">
        <v>9.1649999999999991</v>
      </c>
      <c r="I31" s="73">
        <v>0</v>
      </c>
      <c r="J31" s="73">
        <v>0</v>
      </c>
      <c r="K31" s="73">
        <v>0</v>
      </c>
      <c r="L31" s="73">
        <v>0</v>
      </c>
      <c r="M31" s="73">
        <v>0</v>
      </c>
      <c r="N31" s="73">
        <v>0</v>
      </c>
      <c r="O31" s="37">
        <v>0</v>
      </c>
      <c r="P31" s="37">
        <v>0</v>
      </c>
      <c r="Q31" s="37">
        <v>0</v>
      </c>
      <c r="R31" s="73">
        <v>9.0980000000000008</v>
      </c>
      <c r="S31" s="73">
        <v>9.1329999999999991</v>
      </c>
      <c r="T31" s="73">
        <v>9.1649999999999991</v>
      </c>
      <c r="U31" s="37">
        <v>79698.48000000001</v>
      </c>
      <c r="V31" s="37">
        <v>80005.079999999987</v>
      </c>
      <c r="W31" s="37">
        <v>80505.359999999986</v>
      </c>
      <c r="X31">
        <v>8.4109999999999996</v>
      </c>
      <c r="Y31" s="37">
        <v>73680.36</v>
      </c>
      <c r="Z31" s="37">
        <v>73680.36</v>
      </c>
      <c r="AA31" s="37">
        <v>73882.224000000002</v>
      </c>
      <c r="AB31" s="73">
        <v>0.68700000000000006</v>
      </c>
      <c r="AC31" s="73">
        <v>0.72199999999999998</v>
      </c>
      <c r="AD31" s="73">
        <v>0.754</v>
      </c>
      <c r="AE31" s="73">
        <v>0</v>
      </c>
      <c r="AF31" s="73">
        <v>0</v>
      </c>
      <c r="AG31" s="73">
        <v>0</v>
      </c>
      <c r="AH31" s="73">
        <v>0.68700000000000006</v>
      </c>
      <c r="AI31" s="73">
        <v>0.72199999999999998</v>
      </c>
      <c r="AJ31" s="73">
        <v>0.754</v>
      </c>
      <c r="AK31">
        <v>0</v>
      </c>
      <c r="AL31">
        <v>0</v>
      </c>
      <c r="AM31">
        <v>0</v>
      </c>
      <c r="AN31" s="73">
        <v>0</v>
      </c>
      <c r="AO31" s="73">
        <v>0</v>
      </c>
      <c r="AP31" s="73">
        <v>0</v>
      </c>
      <c r="AQ31" s="74">
        <v>1.1831000000000001E-3</v>
      </c>
      <c r="AR31" s="74">
        <v>1.1831000000000001E-3</v>
      </c>
      <c r="AS31" s="74">
        <v>1.1831000000000001E-3</v>
      </c>
      <c r="AT31" s="74">
        <v>0</v>
      </c>
      <c r="AU31" s="74">
        <v>1.1831000000000001E-3</v>
      </c>
      <c r="AV31" s="74">
        <v>1.1831000000000001E-3</v>
      </c>
      <c r="AW31" s="74">
        <v>1.1831000000000001E-3</v>
      </c>
      <c r="AX31" s="74">
        <v>1.1831000000000001E-3</v>
      </c>
      <c r="AY31" s="74">
        <v>0.92452307883051221</v>
      </c>
      <c r="AZ31" s="74">
        <v>0.92098006911201158</v>
      </c>
      <c r="BA31" s="74">
        <v>0.91776442675395542</v>
      </c>
      <c r="BB31" s="74">
        <v>1.0816787540126027</v>
      </c>
      <c r="BC31" s="74">
        <v>1.0858399714659375</v>
      </c>
      <c r="BD31" s="74">
        <v>1.0896445131375578</v>
      </c>
      <c r="BE31" s="74">
        <v>0</v>
      </c>
      <c r="BF31" s="74">
        <v>0</v>
      </c>
      <c r="BG31" s="74">
        <v>0</v>
      </c>
    </row>
    <row r="32" spans="1:59">
      <c r="A32">
        <v>10086</v>
      </c>
      <c r="B32" t="s">
        <v>37</v>
      </c>
      <c r="C32">
        <v>1</v>
      </c>
      <c r="D32">
        <v>0</v>
      </c>
      <c r="E32" s="73">
        <v>4.0039999999999996</v>
      </c>
      <c r="F32" s="73">
        <v>2.5510000000000002</v>
      </c>
      <c r="G32" s="73">
        <v>2.5590000000000002</v>
      </c>
      <c r="H32" s="73">
        <v>2.5649999999999999</v>
      </c>
      <c r="I32" s="73">
        <v>0</v>
      </c>
      <c r="J32" s="73">
        <v>0</v>
      </c>
      <c r="K32" s="73">
        <v>0</v>
      </c>
      <c r="L32" s="73">
        <v>0</v>
      </c>
      <c r="M32" s="73">
        <v>0</v>
      </c>
      <c r="N32" s="73">
        <v>0</v>
      </c>
      <c r="O32" s="37">
        <v>0</v>
      </c>
      <c r="P32" s="37">
        <v>0</v>
      </c>
      <c r="Q32" s="37">
        <v>0</v>
      </c>
      <c r="R32" s="73">
        <v>2.5510000000000002</v>
      </c>
      <c r="S32" s="73">
        <v>2.5590000000000002</v>
      </c>
      <c r="T32" s="73">
        <v>2.5649999999999999</v>
      </c>
      <c r="U32" s="37">
        <v>22346.760000000002</v>
      </c>
      <c r="V32" s="37">
        <v>22416.84</v>
      </c>
      <c r="W32" s="37">
        <v>22530.959999999999</v>
      </c>
      <c r="X32">
        <v>3.968</v>
      </c>
      <c r="Y32" s="37">
        <v>34759.68</v>
      </c>
      <c r="Z32" s="37">
        <v>34759.68</v>
      </c>
      <c r="AA32" s="37">
        <v>34854.911999999997</v>
      </c>
      <c r="AB32" s="73">
        <v>0</v>
      </c>
      <c r="AC32" s="73">
        <v>0</v>
      </c>
      <c r="AD32" s="73">
        <v>0</v>
      </c>
      <c r="AE32" s="73">
        <v>0</v>
      </c>
      <c r="AF32" s="73">
        <v>0</v>
      </c>
      <c r="AG32" s="73">
        <v>0</v>
      </c>
      <c r="AH32" s="73">
        <v>0</v>
      </c>
      <c r="AI32" s="73">
        <v>0</v>
      </c>
      <c r="AJ32" s="73">
        <v>0</v>
      </c>
      <c r="AK32">
        <v>0</v>
      </c>
      <c r="AL32">
        <v>0</v>
      </c>
      <c r="AM32">
        <v>0</v>
      </c>
      <c r="AN32" s="73">
        <v>0</v>
      </c>
      <c r="AO32" s="73">
        <v>0</v>
      </c>
      <c r="AP32" s="73">
        <v>0</v>
      </c>
      <c r="AQ32" s="74">
        <v>3.5879999999999999E-4</v>
      </c>
      <c r="AR32" s="74">
        <v>3.5990000000000002E-4</v>
      </c>
      <c r="AS32" s="74">
        <v>3.6079999999999999E-4</v>
      </c>
      <c r="AT32" s="74">
        <v>0</v>
      </c>
      <c r="AU32" s="74">
        <v>3.5879999999999999E-4</v>
      </c>
      <c r="AV32" s="74">
        <v>3.5990000000000002E-4</v>
      </c>
      <c r="AW32" s="74">
        <v>3.6079999999999999E-4</v>
      </c>
      <c r="AX32" s="74">
        <v>3.5983333333333337E-4</v>
      </c>
      <c r="AY32" s="74">
        <v>0.99996364468835741</v>
      </c>
      <c r="AZ32" s="74">
        <v>0.99989361656897235</v>
      </c>
      <c r="BA32" s="74">
        <v>1</v>
      </c>
      <c r="BB32" s="74">
        <v>1</v>
      </c>
      <c r="BC32" s="74">
        <v>1</v>
      </c>
      <c r="BD32" s="74">
        <v>1</v>
      </c>
      <c r="BE32" s="74">
        <v>0</v>
      </c>
      <c r="BF32" s="74">
        <v>0</v>
      </c>
      <c r="BG32" s="74">
        <v>0</v>
      </c>
    </row>
    <row r="33" spans="1:59">
      <c r="A33">
        <v>10087</v>
      </c>
      <c r="B33" t="s">
        <v>38</v>
      </c>
      <c r="C33">
        <v>1</v>
      </c>
      <c r="D33">
        <v>0</v>
      </c>
      <c r="E33" s="73">
        <v>86.754999999999995</v>
      </c>
      <c r="F33" s="73">
        <v>48.878</v>
      </c>
      <c r="G33" s="73">
        <v>48.878</v>
      </c>
      <c r="H33" s="73">
        <v>48.878999999999998</v>
      </c>
      <c r="I33" s="73">
        <v>0</v>
      </c>
      <c r="J33" s="73">
        <v>0</v>
      </c>
      <c r="K33" s="73">
        <v>0</v>
      </c>
      <c r="L33" s="73">
        <v>0</v>
      </c>
      <c r="M33" s="73">
        <v>0</v>
      </c>
      <c r="N33" s="73">
        <v>0</v>
      </c>
      <c r="O33" s="37">
        <v>0</v>
      </c>
      <c r="P33" s="37">
        <v>0</v>
      </c>
      <c r="Q33" s="37">
        <v>0</v>
      </c>
      <c r="R33" s="73">
        <v>48.878</v>
      </c>
      <c r="S33" s="73">
        <v>48.878</v>
      </c>
      <c r="T33" s="73">
        <v>48.878999999999998</v>
      </c>
      <c r="U33" s="37">
        <v>428171.28</v>
      </c>
      <c r="V33" s="37">
        <v>428171.28</v>
      </c>
      <c r="W33" s="37">
        <v>429353.136</v>
      </c>
      <c r="X33">
        <v>85.972999999999999</v>
      </c>
      <c r="Y33" s="37">
        <v>753123.48</v>
      </c>
      <c r="Z33" s="37">
        <v>753123.48</v>
      </c>
      <c r="AA33" s="37">
        <v>755186.83199999994</v>
      </c>
      <c r="AB33" s="73">
        <v>0</v>
      </c>
      <c r="AC33" s="73">
        <v>0</v>
      </c>
      <c r="AD33" s="73">
        <v>0</v>
      </c>
      <c r="AE33" s="73">
        <v>0</v>
      </c>
      <c r="AF33" s="73">
        <v>0</v>
      </c>
      <c r="AG33" s="73">
        <v>0</v>
      </c>
      <c r="AH33" s="73">
        <v>0</v>
      </c>
      <c r="AI33" s="73">
        <v>0</v>
      </c>
      <c r="AJ33" s="73">
        <v>0</v>
      </c>
      <c r="AK33">
        <v>0</v>
      </c>
      <c r="AL33">
        <v>0</v>
      </c>
      <c r="AM33">
        <v>0</v>
      </c>
      <c r="AN33" s="73">
        <v>0</v>
      </c>
      <c r="AO33" s="73">
        <v>0</v>
      </c>
      <c r="AP33" s="73">
        <v>0</v>
      </c>
      <c r="AQ33" s="74">
        <v>6.875E-3</v>
      </c>
      <c r="AR33" s="74">
        <v>6.875E-3</v>
      </c>
      <c r="AS33" s="74">
        <v>6.8751000000000003E-3</v>
      </c>
      <c r="AT33" s="74">
        <v>0</v>
      </c>
      <c r="AU33" s="74">
        <v>6.875E-3</v>
      </c>
      <c r="AV33" s="74">
        <v>6.875E-3</v>
      </c>
      <c r="AW33" s="74">
        <v>6.8751000000000003E-3</v>
      </c>
      <c r="AX33" s="74">
        <v>6.8750333333333332E-3</v>
      </c>
      <c r="AY33" s="74">
        <v>1</v>
      </c>
      <c r="AZ33" s="74">
        <v>1</v>
      </c>
      <c r="BA33" s="74">
        <v>0.99999756450009214</v>
      </c>
      <c r="BB33" s="74">
        <v>1</v>
      </c>
      <c r="BC33" s="74">
        <v>1</v>
      </c>
      <c r="BD33" s="74">
        <v>1</v>
      </c>
      <c r="BE33" s="74">
        <v>0</v>
      </c>
      <c r="BF33" s="74">
        <v>0</v>
      </c>
      <c r="BG33" s="74">
        <v>0</v>
      </c>
    </row>
    <row r="34" spans="1:59">
      <c r="A34">
        <v>10089</v>
      </c>
      <c r="B34" t="s">
        <v>39</v>
      </c>
      <c r="C34">
        <v>1</v>
      </c>
      <c r="D34">
        <v>0</v>
      </c>
      <c r="E34" s="73">
        <v>105.768</v>
      </c>
      <c r="F34" s="73">
        <v>112.65600000000001</v>
      </c>
      <c r="G34" s="73">
        <v>112.80800000000001</v>
      </c>
      <c r="H34" s="73">
        <v>112.545</v>
      </c>
      <c r="I34" s="73">
        <v>0</v>
      </c>
      <c r="J34" s="73">
        <v>0</v>
      </c>
      <c r="K34" s="73">
        <v>0</v>
      </c>
      <c r="L34" s="73">
        <v>0</v>
      </c>
      <c r="M34" s="73">
        <v>0</v>
      </c>
      <c r="N34" s="73">
        <v>0</v>
      </c>
      <c r="O34" s="37">
        <v>0</v>
      </c>
      <c r="P34" s="37">
        <v>0</v>
      </c>
      <c r="Q34" s="37">
        <v>0</v>
      </c>
      <c r="R34" s="73">
        <v>112.65600000000001</v>
      </c>
      <c r="S34" s="73">
        <v>112.80800000000001</v>
      </c>
      <c r="T34" s="73">
        <v>112.545</v>
      </c>
      <c r="U34" s="37">
        <v>986866.56</v>
      </c>
      <c r="V34" s="37">
        <v>988198.08000000007</v>
      </c>
      <c r="W34" s="37">
        <v>988595.28</v>
      </c>
      <c r="X34">
        <v>104.81399999999999</v>
      </c>
      <c r="Y34" s="37">
        <v>918170.6399999999</v>
      </c>
      <c r="Z34" s="37">
        <v>918170.6399999999</v>
      </c>
      <c r="AA34" s="37">
        <v>920686.17599999998</v>
      </c>
      <c r="AB34" s="73">
        <v>7.8419999999999996</v>
      </c>
      <c r="AC34" s="73">
        <v>7.9939999999999998</v>
      </c>
      <c r="AD34" s="73">
        <v>7.7309999999999999</v>
      </c>
      <c r="AE34" s="73">
        <v>7.8419999999999996</v>
      </c>
      <c r="AF34" s="73">
        <v>7.9939999999999998</v>
      </c>
      <c r="AG34" s="73">
        <v>7.7309999999999999</v>
      </c>
      <c r="AH34" s="73">
        <v>0</v>
      </c>
      <c r="AI34" s="73">
        <v>0</v>
      </c>
      <c r="AJ34" s="73">
        <v>0</v>
      </c>
      <c r="AK34">
        <v>0</v>
      </c>
      <c r="AL34">
        <v>0</v>
      </c>
      <c r="AM34">
        <v>0</v>
      </c>
      <c r="AN34" s="73">
        <v>7.8419999999999996</v>
      </c>
      <c r="AO34" s="73">
        <v>7.9939999999999998</v>
      </c>
      <c r="AP34" s="73">
        <v>7.7309999999999999</v>
      </c>
      <c r="AQ34" s="74">
        <v>1.4742699999999999E-2</v>
      </c>
      <c r="AR34" s="74">
        <v>1.4742699999999999E-2</v>
      </c>
      <c r="AS34" s="74">
        <v>1.4742699999999999E-2</v>
      </c>
      <c r="AT34" s="74">
        <v>0</v>
      </c>
      <c r="AU34" s="74">
        <v>1.4742699999999999E-2</v>
      </c>
      <c r="AV34" s="74">
        <v>1.4742699999999999E-2</v>
      </c>
      <c r="AW34" s="74">
        <v>1.4742699999999999E-2</v>
      </c>
      <c r="AX34" s="74">
        <v>1.4742699999999999E-2</v>
      </c>
      <c r="AY34" s="74">
        <v>0.93038979078255934</v>
      </c>
      <c r="AZ34" s="74">
        <v>0.92913616295298207</v>
      </c>
      <c r="BA34" s="74">
        <v>0.93130740832911285</v>
      </c>
      <c r="BB34" s="74">
        <v>1.0748182494704908</v>
      </c>
      <c r="BC34" s="74">
        <v>1.0762684374224818</v>
      </c>
      <c r="BD34" s="74">
        <v>1.0737592306371286</v>
      </c>
      <c r="BE34" s="74">
        <v>0</v>
      </c>
      <c r="BF34" s="74">
        <v>0</v>
      </c>
      <c r="BG34" s="74">
        <v>0</v>
      </c>
    </row>
    <row r="35" spans="1:59">
      <c r="A35">
        <v>10091</v>
      </c>
      <c r="B35" t="s">
        <v>40</v>
      </c>
      <c r="C35">
        <v>1</v>
      </c>
      <c r="D35">
        <v>0</v>
      </c>
      <c r="E35" s="73">
        <v>9.5630000000000006</v>
      </c>
      <c r="F35" s="73">
        <v>9.4580000000000002</v>
      </c>
      <c r="G35" s="73">
        <v>9.4580000000000002</v>
      </c>
      <c r="H35" s="73">
        <v>9.4559999999999995</v>
      </c>
      <c r="I35" s="73">
        <v>0</v>
      </c>
      <c r="J35" s="73">
        <v>0</v>
      </c>
      <c r="K35" s="73">
        <v>0</v>
      </c>
      <c r="L35" s="73">
        <v>0</v>
      </c>
      <c r="M35" s="73">
        <v>0</v>
      </c>
      <c r="N35" s="73">
        <v>0</v>
      </c>
      <c r="O35" s="37">
        <v>0</v>
      </c>
      <c r="P35" s="37">
        <v>0</v>
      </c>
      <c r="Q35" s="37">
        <v>0</v>
      </c>
      <c r="R35" s="73">
        <v>9.4580000000000002</v>
      </c>
      <c r="S35" s="73">
        <v>9.4580000000000002</v>
      </c>
      <c r="T35" s="73">
        <v>9.4559999999999995</v>
      </c>
      <c r="U35" s="37">
        <v>82852.08</v>
      </c>
      <c r="V35" s="37">
        <v>82852.08</v>
      </c>
      <c r="W35" s="37">
        <v>83061.504000000001</v>
      </c>
      <c r="X35">
        <v>9.4770000000000003</v>
      </c>
      <c r="Y35" s="37">
        <v>83018.52</v>
      </c>
      <c r="Z35" s="37">
        <v>83018.52</v>
      </c>
      <c r="AA35" s="37">
        <v>83245.968000000008</v>
      </c>
      <c r="AB35" s="73">
        <v>0</v>
      </c>
      <c r="AC35" s="73">
        <v>0</v>
      </c>
      <c r="AD35" s="73">
        <v>0</v>
      </c>
      <c r="AE35" s="73">
        <v>0</v>
      </c>
      <c r="AF35" s="73">
        <v>0</v>
      </c>
      <c r="AG35" s="73">
        <v>0</v>
      </c>
      <c r="AH35" s="73">
        <v>0</v>
      </c>
      <c r="AI35" s="73">
        <v>0</v>
      </c>
      <c r="AJ35" s="73">
        <v>0</v>
      </c>
      <c r="AK35">
        <v>0</v>
      </c>
      <c r="AL35">
        <v>0</v>
      </c>
      <c r="AM35">
        <v>0</v>
      </c>
      <c r="AN35" s="73">
        <v>0</v>
      </c>
      <c r="AO35" s="73">
        <v>0</v>
      </c>
      <c r="AP35" s="73">
        <v>0</v>
      </c>
      <c r="AQ35" s="74">
        <v>1.3303E-3</v>
      </c>
      <c r="AR35" s="74">
        <v>1.3303E-3</v>
      </c>
      <c r="AS35" s="74">
        <v>1.33E-3</v>
      </c>
      <c r="AT35" s="74">
        <v>0</v>
      </c>
      <c r="AU35" s="74">
        <v>1.3303E-3</v>
      </c>
      <c r="AV35" s="74">
        <v>1.3303E-3</v>
      </c>
      <c r="AW35" s="74">
        <v>1.33E-3</v>
      </c>
      <c r="AX35" s="74">
        <v>1.3302000000000001E-3</v>
      </c>
      <c r="AY35" s="74">
        <v>0.99998276861915836</v>
      </c>
      <c r="AZ35" s="74">
        <v>0.99998276861915836</v>
      </c>
      <c r="BA35" s="74">
        <v>0.99996871404399346</v>
      </c>
      <c r="BB35" s="74">
        <v>1</v>
      </c>
      <c r="BC35" s="74">
        <v>1</v>
      </c>
      <c r="BD35" s="74">
        <v>1</v>
      </c>
      <c r="BE35" s="74">
        <v>0</v>
      </c>
      <c r="BF35" s="74">
        <v>0</v>
      </c>
      <c r="BG35" s="74">
        <v>0</v>
      </c>
    </row>
    <row r="36" spans="1:59">
      <c r="A36">
        <v>10094</v>
      </c>
      <c r="B36" t="s">
        <v>41</v>
      </c>
      <c r="C36">
        <v>1</v>
      </c>
      <c r="D36">
        <v>0</v>
      </c>
      <c r="E36" s="73">
        <v>3.0820000000000003</v>
      </c>
      <c r="F36" s="73">
        <v>2.9</v>
      </c>
      <c r="G36" s="73">
        <v>2.9089999999999998</v>
      </c>
      <c r="H36" s="73">
        <v>2.9159999999999999</v>
      </c>
      <c r="I36" s="73">
        <v>0</v>
      </c>
      <c r="J36" s="73">
        <v>0</v>
      </c>
      <c r="K36" s="73">
        <v>0</v>
      </c>
      <c r="L36" s="73">
        <v>0.112</v>
      </c>
      <c r="M36" s="73">
        <v>0.112</v>
      </c>
      <c r="N36" s="73">
        <v>0.112</v>
      </c>
      <c r="O36" s="37">
        <v>981.12</v>
      </c>
      <c r="P36" s="37">
        <v>981.12</v>
      </c>
      <c r="Q36" s="37">
        <v>983.80799999999999</v>
      </c>
      <c r="R36" s="73">
        <v>2.7879999999999998</v>
      </c>
      <c r="S36" s="73">
        <v>2.7970000000000002</v>
      </c>
      <c r="T36" s="73">
        <v>2.8039999999999998</v>
      </c>
      <c r="U36" s="37">
        <v>24422.879999999997</v>
      </c>
      <c r="V36" s="37">
        <v>24501.72</v>
      </c>
      <c r="W36" s="37">
        <v>24630.335999999999</v>
      </c>
      <c r="X36">
        <v>3.0539999999999998</v>
      </c>
      <c r="Y36" s="37">
        <v>26753.039999999997</v>
      </c>
      <c r="Z36" s="37">
        <v>26753.039999999997</v>
      </c>
      <c r="AA36" s="37">
        <v>26826.335999999999</v>
      </c>
      <c r="AB36" s="73">
        <v>0</v>
      </c>
      <c r="AC36" s="73">
        <v>0</v>
      </c>
      <c r="AD36" s="73">
        <v>0</v>
      </c>
      <c r="AE36" s="73">
        <v>0</v>
      </c>
      <c r="AF36" s="73">
        <v>0</v>
      </c>
      <c r="AG36" s="73">
        <v>0</v>
      </c>
      <c r="AH36" s="73">
        <v>0</v>
      </c>
      <c r="AI36" s="73">
        <v>0</v>
      </c>
      <c r="AJ36" s="73">
        <v>0</v>
      </c>
      <c r="AK36">
        <v>0</v>
      </c>
      <c r="AL36">
        <v>0</v>
      </c>
      <c r="AM36">
        <v>0</v>
      </c>
      <c r="AN36" s="73">
        <v>0</v>
      </c>
      <c r="AO36" s="73">
        <v>0</v>
      </c>
      <c r="AP36" s="73">
        <v>0</v>
      </c>
      <c r="AQ36" s="74">
        <v>3.9209999999999999E-4</v>
      </c>
      <c r="AR36" s="74">
        <v>3.9340000000000002E-4</v>
      </c>
      <c r="AS36" s="74">
        <v>3.9439999999999999E-4</v>
      </c>
      <c r="AT36" s="74">
        <v>0</v>
      </c>
      <c r="AU36" s="74">
        <v>3.9209999999999999E-4</v>
      </c>
      <c r="AV36" s="74">
        <v>3.9340000000000002E-4</v>
      </c>
      <c r="AW36" s="74">
        <v>3.9439999999999999E-4</v>
      </c>
      <c r="AX36" s="74">
        <v>3.9330000000000002E-4</v>
      </c>
      <c r="AY36" s="74">
        <v>0.99988115144827594</v>
      </c>
      <c r="AZ36" s="74">
        <v>0.99996485280165026</v>
      </c>
      <c r="BA36" s="74">
        <v>1</v>
      </c>
      <c r="BB36" s="74">
        <v>1</v>
      </c>
      <c r="BC36" s="74">
        <v>1</v>
      </c>
      <c r="BD36" s="74">
        <v>1</v>
      </c>
      <c r="BE36" s="74">
        <v>0</v>
      </c>
      <c r="BF36" s="74">
        <v>0</v>
      </c>
      <c r="BG36" s="74">
        <v>0</v>
      </c>
    </row>
    <row r="37" spans="1:59">
      <c r="A37">
        <v>10095</v>
      </c>
      <c r="B37" t="s">
        <v>42</v>
      </c>
      <c r="C37">
        <v>1</v>
      </c>
      <c r="D37">
        <v>0</v>
      </c>
      <c r="E37" s="73">
        <v>3.6970000000000001</v>
      </c>
      <c r="F37" s="73">
        <v>3.7210000000000001</v>
      </c>
      <c r="G37" s="73">
        <v>3.7109999999999999</v>
      </c>
      <c r="H37" s="73">
        <v>3.7050000000000001</v>
      </c>
      <c r="I37" s="73">
        <v>0</v>
      </c>
      <c r="J37" s="73">
        <v>0</v>
      </c>
      <c r="K37" s="73">
        <v>0</v>
      </c>
      <c r="L37" s="73">
        <v>0</v>
      </c>
      <c r="M37" s="73">
        <v>0</v>
      </c>
      <c r="N37" s="73">
        <v>0</v>
      </c>
      <c r="O37" s="37">
        <v>0</v>
      </c>
      <c r="P37" s="37">
        <v>0</v>
      </c>
      <c r="Q37" s="37">
        <v>0</v>
      </c>
      <c r="R37" s="73">
        <v>3.7210000000000001</v>
      </c>
      <c r="S37" s="73">
        <v>3.7109999999999999</v>
      </c>
      <c r="T37" s="73">
        <v>3.7050000000000001</v>
      </c>
      <c r="U37" s="37">
        <v>32595.96</v>
      </c>
      <c r="V37" s="37">
        <v>32508.359999999997</v>
      </c>
      <c r="W37" s="37">
        <v>32544.720000000001</v>
      </c>
      <c r="X37">
        <v>3.6640000000000001</v>
      </c>
      <c r="Y37" s="37">
        <v>32096.640000000003</v>
      </c>
      <c r="Z37" s="37">
        <v>32096.640000000003</v>
      </c>
      <c r="AA37" s="37">
        <v>32184.576000000001</v>
      </c>
      <c r="AB37" s="73">
        <v>5.7000000000000002E-2</v>
      </c>
      <c r="AC37" s="73">
        <v>4.7E-2</v>
      </c>
      <c r="AD37" s="73">
        <v>4.1000000000000002E-2</v>
      </c>
      <c r="AE37" s="73">
        <v>0</v>
      </c>
      <c r="AF37" s="73">
        <v>0</v>
      </c>
      <c r="AG37" s="73">
        <v>0</v>
      </c>
      <c r="AH37" s="73">
        <v>5.7000000000000002E-2</v>
      </c>
      <c r="AI37" s="73">
        <v>4.7E-2</v>
      </c>
      <c r="AJ37" s="73">
        <v>4.1000000000000002E-2</v>
      </c>
      <c r="AK37">
        <v>0</v>
      </c>
      <c r="AL37">
        <v>0</v>
      </c>
      <c r="AM37">
        <v>0</v>
      </c>
      <c r="AN37" s="73">
        <v>0</v>
      </c>
      <c r="AO37" s="73">
        <v>0</v>
      </c>
      <c r="AP37" s="73">
        <v>0</v>
      </c>
      <c r="AQ37" s="74">
        <v>5.1539999999999995E-4</v>
      </c>
      <c r="AR37" s="74">
        <v>5.1539999999999995E-4</v>
      </c>
      <c r="AS37" s="74">
        <v>5.1539999999999995E-4</v>
      </c>
      <c r="AT37" s="74">
        <v>0</v>
      </c>
      <c r="AU37" s="74">
        <v>5.1539999999999995E-4</v>
      </c>
      <c r="AV37" s="74">
        <v>5.1539999999999995E-4</v>
      </c>
      <c r="AW37" s="74">
        <v>5.1539999999999995E-4</v>
      </c>
      <c r="AX37" s="74">
        <v>5.1539999999999995E-4</v>
      </c>
      <c r="AY37" s="74">
        <v>0.98475224423542052</v>
      </c>
      <c r="AZ37" s="74">
        <v>0.98740584769603879</v>
      </c>
      <c r="BA37" s="74">
        <v>0.9890048855060728</v>
      </c>
      <c r="BB37" s="74">
        <v>1.0155567685589519</v>
      </c>
      <c r="BC37" s="74">
        <v>1.0128275109170304</v>
      </c>
      <c r="BD37" s="74">
        <v>1.0111899563318778</v>
      </c>
      <c r="BE37" s="74">
        <v>0</v>
      </c>
      <c r="BF37" s="74">
        <v>0</v>
      </c>
      <c r="BG37" s="74">
        <v>0</v>
      </c>
    </row>
    <row r="38" spans="1:59">
      <c r="A38">
        <v>10097</v>
      </c>
      <c r="B38" t="s">
        <v>43</v>
      </c>
      <c r="C38">
        <v>1</v>
      </c>
      <c r="D38">
        <v>0</v>
      </c>
      <c r="E38" s="73">
        <v>2.0680000000000001</v>
      </c>
      <c r="F38" s="73">
        <v>2.0030000000000001</v>
      </c>
      <c r="G38" s="73">
        <v>2.0070000000000001</v>
      </c>
      <c r="H38" s="73">
        <v>2.0099999999999998</v>
      </c>
      <c r="I38" s="73">
        <v>0</v>
      </c>
      <c r="J38" s="73">
        <v>0</v>
      </c>
      <c r="K38" s="73">
        <v>0</v>
      </c>
      <c r="L38" s="73">
        <v>0</v>
      </c>
      <c r="M38" s="73">
        <v>0</v>
      </c>
      <c r="N38" s="73">
        <v>0</v>
      </c>
      <c r="O38" s="37">
        <v>0</v>
      </c>
      <c r="P38" s="37">
        <v>0</v>
      </c>
      <c r="Q38" s="37">
        <v>0</v>
      </c>
      <c r="R38" s="73">
        <v>2.0030000000000001</v>
      </c>
      <c r="S38" s="73">
        <v>2.0070000000000001</v>
      </c>
      <c r="T38" s="73">
        <v>2.0099999999999998</v>
      </c>
      <c r="U38" s="37">
        <v>17546.280000000002</v>
      </c>
      <c r="V38" s="37">
        <v>17581.32</v>
      </c>
      <c r="W38" s="37">
        <v>17655.839999999997</v>
      </c>
      <c r="X38">
        <v>2.0489999999999999</v>
      </c>
      <c r="Y38" s="37">
        <v>17949.239999999998</v>
      </c>
      <c r="Z38" s="37">
        <v>17949.239999999998</v>
      </c>
      <c r="AA38" s="37">
        <v>17998.416000000001</v>
      </c>
      <c r="AB38" s="73">
        <v>0</v>
      </c>
      <c r="AC38" s="73">
        <v>0</v>
      </c>
      <c r="AD38" s="73">
        <v>0</v>
      </c>
      <c r="AE38" s="73">
        <v>0</v>
      </c>
      <c r="AF38" s="73">
        <v>0</v>
      </c>
      <c r="AG38" s="73">
        <v>0</v>
      </c>
      <c r="AH38" s="73">
        <v>0</v>
      </c>
      <c r="AI38" s="73">
        <v>0</v>
      </c>
      <c r="AJ38" s="73">
        <v>0</v>
      </c>
      <c r="AK38">
        <v>0</v>
      </c>
      <c r="AL38">
        <v>0</v>
      </c>
      <c r="AM38">
        <v>0</v>
      </c>
      <c r="AN38" s="73">
        <v>0</v>
      </c>
      <c r="AO38" s="73">
        <v>0</v>
      </c>
      <c r="AP38" s="73">
        <v>0</v>
      </c>
      <c r="AQ38" s="74">
        <v>2.8170000000000002E-4</v>
      </c>
      <c r="AR38" s="74">
        <v>2.8229999999999998E-4</v>
      </c>
      <c r="AS38" s="74">
        <v>2.8269999999999999E-4</v>
      </c>
      <c r="AT38" s="74">
        <v>0</v>
      </c>
      <c r="AU38" s="74">
        <v>2.8170000000000002E-4</v>
      </c>
      <c r="AV38" s="74">
        <v>2.8229999999999998E-4</v>
      </c>
      <c r="AW38" s="74">
        <v>2.8269999999999999E-4</v>
      </c>
      <c r="AX38" s="74">
        <v>2.8223333333333333E-4</v>
      </c>
      <c r="AY38" s="74">
        <v>0.99988057833250132</v>
      </c>
      <c r="AZ38" s="74">
        <v>1</v>
      </c>
      <c r="BA38" s="74">
        <v>0.99993549771144286</v>
      </c>
      <c r="BB38" s="74">
        <v>1</v>
      </c>
      <c r="BC38" s="74">
        <v>1</v>
      </c>
      <c r="BD38" s="74">
        <v>1</v>
      </c>
      <c r="BE38" s="74">
        <v>0</v>
      </c>
      <c r="BF38" s="74">
        <v>0</v>
      </c>
      <c r="BG38" s="74">
        <v>0</v>
      </c>
    </row>
    <row r="39" spans="1:59">
      <c r="A39">
        <v>10101</v>
      </c>
      <c r="B39" t="s">
        <v>44</v>
      </c>
      <c r="C39">
        <v>1</v>
      </c>
      <c r="D39">
        <v>0</v>
      </c>
      <c r="E39" s="73">
        <v>77.162000000000006</v>
      </c>
      <c r="F39" s="73">
        <v>80.841999999999999</v>
      </c>
      <c r="G39" s="73">
        <v>80.832999999999998</v>
      </c>
      <c r="H39" s="73">
        <v>80.945999999999998</v>
      </c>
      <c r="I39" s="73">
        <v>0</v>
      </c>
      <c r="J39" s="73">
        <v>0</v>
      </c>
      <c r="K39" s="73">
        <v>0</v>
      </c>
      <c r="L39" s="73">
        <v>0</v>
      </c>
      <c r="M39" s="73">
        <v>0</v>
      </c>
      <c r="N39" s="73">
        <v>0</v>
      </c>
      <c r="O39" s="37">
        <v>0</v>
      </c>
      <c r="P39" s="37">
        <v>0</v>
      </c>
      <c r="Q39" s="37">
        <v>0</v>
      </c>
      <c r="R39" s="73">
        <v>80.841999999999999</v>
      </c>
      <c r="S39" s="73">
        <v>80.832999999999998</v>
      </c>
      <c r="T39" s="73">
        <v>80.945999999999998</v>
      </c>
      <c r="U39" s="37">
        <v>708175.92</v>
      </c>
      <c r="V39" s="37">
        <v>708097.08</v>
      </c>
      <c r="W39" s="37">
        <v>711029.66399999999</v>
      </c>
      <c r="X39">
        <v>76.465999999999994</v>
      </c>
      <c r="Y39" s="37">
        <v>669842.15999999992</v>
      </c>
      <c r="Z39" s="37">
        <v>669842.15999999992</v>
      </c>
      <c r="AA39" s="37">
        <v>671677.34399999992</v>
      </c>
      <c r="AB39" s="73">
        <v>4.3760000000000003</v>
      </c>
      <c r="AC39" s="73">
        <v>4.367</v>
      </c>
      <c r="AD39" s="73">
        <v>4.4800000000000004</v>
      </c>
      <c r="AE39" s="73">
        <v>4.3760000000000003</v>
      </c>
      <c r="AF39" s="73">
        <v>4.367</v>
      </c>
      <c r="AG39" s="73">
        <v>4.4800000000000004</v>
      </c>
      <c r="AH39" s="73">
        <v>0</v>
      </c>
      <c r="AI39" s="73">
        <v>0</v>
      </c>
      <c r="AJ39" s="73">
        <v>0</v>
      </c>
      <c r="AK39">
        <v>0</v>
      </c>
      <c r="AL39">
        <v>0</v>
      </c>
      <c r="AM39">
        <v>0</v>
      </c>
      <c r="AN39" s="73">
        <v>4.3760000000000003</v>
      </c>
      <c r="AO39" s="73">
        <v>4.367</v>
      </c>
      <c r="AP39" s="73">
        <v>4.4800000000000004</v>
      </c>
      <c r="AQ39" s="74">
        <v>1.07554E-2</v>
      </c>
      <c r="AR39" s="74">
        <v>1.07554E-2</v>
      </c>
      <c r="AS39" s="74">
        <v>1.07554E-2</v>
      </c>
      <c r="AT39" s="74">
        <v>0</v>
      </c>
      <c r="AU39" s="74">
        <v>1.07554E-2</v>
      </c>
      <c r="AV39" s="74">
        <v>1.07554E-2</v>
      </c>
      <c r="AW39" s="74">
        <v>1.07554E-2</v>
      </c>
      <c r="AX39" s="74">
        <v>1.07554E-2</v>
      </c>
      <c r="AY39" s="74">
        <v>0.94587065610450027</v>
      </c>
      <c r="AZ39" s="74">
        <v>0.94597596997265976</v>
      </c>
      <c r="BA39" s="74">
        <v>0.94465539471746607</v>
      </c>
      <c r="BB39" s="74">
        <v>1.0572280490675594</v>
      </c>
      <c r="BC39" s="74">
        <v>1.0571103496979051</v>
      </c>
      <c r="BD39" s="74">
        <v>1.0585881306724558</v>
      </c>
      <c r="BE39" s="74">
        <v>5.2861402453377976E-2</v>
      </c>
      <c r="BF39" s="74">
        <v>5.2855517484895254E-2</v>
      </c>
      <c r="BG39" s="74">
        <v>5.2929406533622797E-2</v>
      </c>
    </row>
    <row r="40" spans="1:59">
      <c r="A40">
        <v>10103</v>
      </c>
      <c r="B40" t="s">
        <v>45</v>
      </c>
      <c r="C40">
        <v>1</v>
      </c>
      <c r="D40">
        <v>0</v>
      </c>
      <c r="E40" s="73">
        <v>323.245</v>
      </c>
      <c r="F40" s="73">
        <v>569.29300000000001</v>
      </c>
      <c r="G40" s="73">
        <v>578.40899999999999</v>
      </c>
      <c r="H40" s="73">
        <v>587.81200000000001</v>
      </c>
      <c r="I40" s="73">
        <v>0</v>
      </c>
      <c r="J40" s="73">
        <v>0</v>
      </c>
      <c r="K40" s="73">
        <v>0</v>
      </c>
      <c r="L40" s="73">
        <v>225.94900000000001</v>
      </c>
      <c r="M40" s="73">
        <v>225.94900000000001</v>
      </c>
      <c r="N40" s="73">
        <v>225.989</v>
      </c>
      <c r="O40" s="37">
        <v>1979313.2400000002</v>
      </c>
      <c r="P40" s="37">
        <v>1979313.2400000002</v>
      </c>
      <c r="Q40" s="37">
        <v>1985087.3759999999</v>
      </c>
      <c r="R40" s="73">
        <v>343.34399999999999</v>
      </c>
      <c r="S40" s="73">
        <v>352.46</v>
      </c>
      <c r="T40" s="73">
        <v>361.82299999999998</v>
      </c>
      <c r="U40" s="37">
        <v>3007693.44</v>
      </c>
      <c r="V40" s="37">
        <v>3087549.5999999996</v>
      </c>
      <c r="W40" s="37">
        <v>3178253.2319999998</v>
      </c>
      <c r="X40">
        <v>320.32900000000001</v>
      </c>
      <c r="Y40" s="37">
        <v>2806082.04</v>
      </c>
      <c r="Z40" s="37">
        <v>2806082.04</v>
      </c>
      <c r="AA40" s="37">
        <v>2813769.9360000002</v>
      </c>
      <c r="AB40" s="73">
        <v>23.015000000000001</v>
      </c>
      <c r="AC40" s="73">
        <v>32.131</v>
      </c>
      <c r="AD40" s="73">
        <v>41.494</v>
      </c>
      <c r="AE40" s="73">
        <v>23.015000000000001</v>
      </c>
      <c r="AF40" s="73">
        <v>32.131</v>
      </c>
      <c r="AG40" s="73">
        <v>41.494</v>
      </c>
      <c r="AH40" s="73">
        <v>0</v>
      </c>
      <c r="AI40" s="73">
        <v>0</v>
      </c>
      <c r="AJ40" s="73">
        <v>0</v>
      </c>
      <c r="AK40">
        <v>0</v>
      </c>
      <c r="AL40">
        <v>0</v>
      </c>
      <c r="AM40">
        <v>0</v>
      </c>
      <c r="AN40" s="73">
        <v>23.015000000000001</v>
      </c>
      <c r="AO40" s="73">
        <v>32.131</v>
      </c>
      <c r="AP40" s="73">
        <v>41.494</v>
      </c>
      <c r="AQ40" s="74">
        <v>4.5056199999999998E-2</v>
      </c>
      <c r="AR40" s="74">
        <v>4.5056199999999998E-2</v>
      </c>
      <c r="AS40" s="74">
        <v>4.5056199999999998E-2</v>
      </c>
      <c r="AT40" s="74">
        <v>0</v>
      </c>
      <c r="AU40" s="74">
        <v>4.5056199999999998E-2</v>
      </c>
      <c r="AV40" s="74">
        <v>4.5056199999999998E-2</v>
      </c>
      <c r="AW40" s="74">
        <v>4.5056199999999998E-2</v>
      </c>
      <c r="AX40" s="74">
        <v>4.5056199999999998E-2</v>
      </c>
      <c r="AY40" s="74">
        <v>0.95957335997878079</v>
      </c>
      <c r="AZ40" s="74">
        <v>0.94445002899747421</v>
      </c>
      <c r="BA40" s="74">
        <v>0.92941007809027376</v>
      </c>
      <c r="BB40" s="74">
        <v>1.0718480062685551</v>
      </c>
      <c r="BC40" s="74">
        <v>1.1003062476391459</v>
      </c>
      <c r="BD40" s="74">
        <v>1.1295355712408179</v>
      </c>
      <c r="BE40" s="74">
        <v>0</v>
      </c>
      <c r="BF40" s="74">
        <v>0</v>
      </c>
      <c r="BG40" s="74">
        <v>0</v>
      </c>
    </row>
    <row r="41" spans="1:59">
      <c r="A41">
        <v>10105</v>
      </c>
      <c r="B41" t="s">
        <v>46</v>
      </c>
      <c r="C41">
        <v>1</v>
      </c>
      <c r="D41">
        <v>0</v>
      </c>
      <c r="E41" s="73">
        <v>94.222999999999999</v>
      </c>
      <c r="F41" s="73">
        <v>86.572000000000003</v>
      </c>
      <c r="G41" s="73">
        <v>86.611999999999995</v>
      </c>
      <c r="H41" s="73">
        <v>86.896000000000001</v>
      </c>
      <c r="I41" s="73">
        <v>0</v>
      </c>
      <c r="J41" s="73">
        <v>0</v>
      </c>
      <c r="K41" s="73">
        <v>0</v>
      </c>
      <c r="L41" s="73">
        <v>0</v>
      </c>
      <c r="M41" s="73">
        <v>0</v>
      </c>
      <c r="N41" s="73">
        <v>0</v>
      </c>
      <c r="O41" s="37">
        <v>0</v>
      </c>
      <c r="P41" s="37">
        <v>0</v>
      </c>
      <c r="Q41" s="37">
        <v>0</v>
      </c>
      <c r="R41" s="73">
        <v>86.572000000000003</v>
      </c>
      <c r="S41" s="73">
        <v>86.611999999999995</v>
      </c>
      <c r="T41" s="73">
        <v>86.896000000000001</v>
      </c>
      <c r="U41" s="37">
        <v>758370.72</v>
      </c>
      <c r="V41" s="37">
        <v>758721.12</v>
      </c>
      <c r="W41" s="37">
        <v>763294.46400000004</v>
      </c>
      <c r="X41">
        <v>93.373000000000005</v>
      </c>
      <c r="Y41" s="37">
        <v>817947.4800000001</v>
      </c>
      <c r="Z41" s="37">
        <v>817947.4800000001</v>
      </c>
      <c r="AA41" s="37">
        <v>820188.43200000003</v>
      </c>
      <c r="AB41" s="73">
        <v>0</v>
      </c>
      <c r="AC41" s="73">
        <v>0</v>
      </c>
      <c r="AD41" s="73">
        <v>0</v>
      </c>
      <c r="AE41" s="73">
        <v>0</v>
      </c>
      <c r="AF41" s="73">
        <v>0</v>
      </c>
      <c r="AG41" s="73">
        <v>0</v>
      </c>
      <c r="AH41" s="73">
        <v>0</v>
      </c>
      <c r="AI41" s="73">
        <v>0</v>
      </c>
      <c r="AJ41" s="73">
        <v>0</v>
      </c>
      <c r="AK41">
        <v>0</v>
      </c>
      <c r="AL41">
        <v>0</v>
      </c>
      <c r="AM41">
        <v>0</v>
      </c>
      <c r="AN41" s="73">
        <v>0</v>
      </c>
      <c r="AO41" s="73">
        <v>0</v>
      </c>
      <c r="AP41" s="73">
        <v>0</v>
      </c>
      <c r="AQ41" s="74">
        <v>1.2176899999999999E-2</v>
      </c>
      <c r="AR41" s="74">
        <v>1.2182500000000001E-2</v>
      </c>
      <c r="AS41" s="74">
        <v>1.22224E-2</v>
      </c>
      <c r="AT41" s="74">
        <v>7.2462999999999998E-3</v>
      </c>
      <c r="AU41" s="74">
        <v>4.9305999999999994E-3</v>
      </c>
      <c r="AV41" s="74">
        <v>4.9362000000000008E-3</v>
      </c>
      <c r="AW41" s="74">
        <v>4.9760999999999998E-3</v>
      </c>
      <c r="AX41" s="74">
        <v>4.947633333333333E-3</v>
      </c>
      <c r="AY41" s="74">
        <v>1</v>
      </c>
      <c r="AZ41" s="74">
        <v>1</v>
      </c>
      <c r="BA41" s="74">
        <v>0.99999756450009203</v>
      </c>
      <c r="BB41" s="74">
        <v>1</v>
      </c>
      <c r="BC41" s="74">
        <v>1</v>
      </c>
      <c r="BD41" s="74">
        <v>1</v>
      </c>
      <c r="BE41" s="74">
        <v>0</v>
      </c>
      <c r="BF41" s="74">
        <v>0</v>
      </c>
      <c r="BG41" s="74">
        <v>0</v>
      </c>
    </row>
    <row r="42" spans="1:59">
      <c r="A42">
        <v>10106</v>
      </c>
      <c r="B42" t="s">
        <v>47</v>
      </c>
      <c r="C42">
        <v>0</v>
      </c>
      <c r="D42">
        <v>1</v>
      </c>
      <c r="E42" s="73">
        <v>24.234999999999999</v>
      </c>
      <c r="F42" s="73">
        <v>27.414999999999999</v>
      </c>
      <c r="G42" s="73">
        <v>27.661000000000001</v>
      </c>
      <c r="H42" s="73">
        <v>27.9</v>
      </c>
      <c r="I42" s="73">
        <v>0</v>
      </c>
      <c r="J42" s="73">
        <v>0</v>
      </c>
      <c r="K42" s="73">
        <v>0</v>
      </c>
      <c r="L42" s="73">
        <v>0</v>
      </c>
      <c r="M42" s="73">
        <v>0</v>
      </c>
      <c r="N42" s="73">
        <v>0</v>
      </c>
      <c r="O42" s="37">
        <v>0</v>
      </c>
      <c r="P42" s="37">
        <v>0</v>
      </c>
      <c r="Q42" s="37">
        <v>0</v>
      </c>
      <c r="R42" s="73">
        <v>27.414999999999999</v>
      </c>
      <c r="S42" s="73">
        <v>27.661000000000001</v>
      </c>
      <c r="T42" s="73">
        <v>27.9</v>
      </c>
      <c r="U42" s="37">
        <v>240155.4</v>
      </c>
      <c r="V42" s="37">
        <v>242310.36000000002</v>
      </c>
      <c r="W42" s="37">
        <v>245073.59999999998</v>
      </c>
      <c r="X42">
        <v>24.015999999999998</v>
      </c>
      <c r="Y42" s="37">
        <v>210380.15999999997</v>
      </c>
      <c r="Z42" s="37">
        <v>210380.15999999997</v>
      </c>
      <c r="AA42" s="37">
        <v>210956.54399999999</v>
      </c>
      <c r="AB42" s="73">
        <v>3.399</v>
      </c>
      <c r="AC42" s="73">
        <v>3.645</v>
      </c>
      <c r="AD42" s="73">
        <v>3.8839999999999999</v>
      </c>
      <c r="AE42" s="73">
        <v>3.399</v>
      </c>
      <c r="AF42" s="73">
        <v>3.645</v>
      </c>
      <c r="AG42" s="73">
        <v>3.8839999999999999</v>
      </c>
      <c r="AH42" s="73">
        <v>0</v>
      </c>
      <c r="AI42" s="73">
        <v>0</v>
      </c>
      <c r="AJ42" s="73">
        <v>0</v>
      </c>
      <c r="AK42">
        <v>0</v>
      </c>
      <c r="AL42">
        <v>0</v>
      </c>
      <c r="AM42">
        <v>0</v>
      </c>
      <c r="AN42" s="73">
        <v>3.399</v>
      </c>
      <c r="AO42" s="73">
        <v>3.645</v>
      </c>
      <c r="AP42" s="73">
        <v>3.8839999999999999</v>
      </c>
      <c r="AQ42" s="74">
        <v>3.3779999999999999E-3</v>
      </c>
      <c r="AR42" s="74">
        <v>3.3779999999999999E-3</v>
      </c>
      <c r="AS42" s="74">
        <v>3.3779999999999999E-3</v>
      </c>
      <c r="AT42" s="74">
        <v>0</v>
      </c>
      <c r="AU42" s="74">
        <v>3.3779999999999999E-3</v>
      </c>
      <c r="AV42" s="74">
        <v>3.3779999999999999E-3</v>
      </c>
      <c r="AW42" s="74">
        <v>3.3779999999999999E-3</v>
      </c>
      <c r="AX42" s="74">
        <v>3.3780000000000004E-3</v>
      </c>
      <c r="AY42" s="74">
        <v>0.87601921050519804</v>
      </c>
      <c r="AZ42" s="74">
        <v>0.86822843194389221</v>
      </c>
      <c r="BA42" s="74">
        <v>0.86079091956989262</v>
      </c>
      <c r="BB42" s="74">
        <v>1.1415306462358428</v>
      </c>
      <c r="BC42" s="74">
        <v>1.15177381745503</v>
      </c>
      <c r="BD42" s="74">
        <v>1.1617255163224518</v>
      </c>
      <c r="BE42" s="74">
        <v>7.9907145236509006E-2</v>
      </c>
      <c r="BF42" s="74">
        <v>8.0624167221852117E-2</v>
      </c>
      <c r="BG42" s="74">
        <v>8.1320786142571627E-2</v>
      </c>
    </row>
    <row r="43" spans="1:59">
      <c r="A43">
        <v>10109</v>
      </c>
      <c r="B43" t="s">
        <v>48</v>
      </c>
      <c r="C43">
        <v>1</v>
      </c>
      <c r="D43">
        <v>0</v>
      </c>
      <c r="E43" s="73">
        <v>12.298999999999999</v>
      </c>
      <c r="F43" s="73">
        <v>28.419</v>
      </c>
      <c r="G43" s="73">
        <v>31.606999999999999</v>
      </c>
      <c r="H43" s="73">
        <v>31.742999999999999</v>
      </c>
      <c r="I43" s="73">
        <v>0</v>
      </c>
      <c r="J43" s="73">
        <v>0</v>
      </c>
      <c r="K43" s="73">
        <v>0</v>
      </c>
      <c r="L43" s="73">
        <v>0</v>
      </c>
      <c r="M43" s="73">
        <v>0</v>
      </c>
      <c r="N43" s="73">
        <v>0</v>
      </c>
      <c r="O43" s="37">
        <v>0</v>
      </c>
      <c r="P43" s="37">
        <v>0</v>
      </c>
      <c r="Q43" s="37">
        <v>0</v>
      </c>
      <c r="R43" s="73">
        <v>28.419</v>
      </c>
      <c r="S43" s="73">
        <v>31.606999999999999</v>
      </c>
      <c r="T43" s="73">
        <v>31.742999999999999</v>
      </c>
      <c r="U43" s="37">
        <v>248950.44</v>
      </c>
      <c r="V43" s="37">
        <v>276877.32</v>
      </c>
      <c r="W43" s="37">
        <v>278830.51199999999</v>
      </c>
      <c r="X43">
        <v>12.188000000000001</v>
      </c>
      <c r="Y43" s="37">
        <v>106766.88</v>
      </c>
      <c r="Z43" s="37">
        <v>106766.88</v>
      </c>
      <c r="AA43" s="37">
        <v>107059.39200000001</v>
      </c>
      <c r="AB43" s="73">
        <v>16.231000000000002</v>
      </c>
      <c r="AC43" s="73">
        <v>19.419</v>
      </c>
      <c r="AD43" s="73">
        <v>19.555</v>
      </c>
      <c r="AE43" s="73">
        <v>16.231000000000002</v>
      </c>
      <c r="AF43" s="73">
        <v>19.419</v>
      </c>
      <c r="AG43" s="73">
        <v>19.555</v>
      </c>
      <c r="AH43" s="73">
        <v>0</v>
      </c>
      <c r="AI43" s="73">
        <v>0</v>
      </c>
      <c r="AJ43" s="73">
        <v>0</v>
      </c>
      <c r="AK43">
        <v>0</v>
      </c>
      <c r="AL43">
        <v>0</v>
      </c>
      <c r="AM43">
        <v>0</v>
      </c>
      <c r="AN43" s="73">
        <v>16.231000000000002</v>
      </c>
      <c r="AO43" s="73">
        <v>19.419</v>
      </c>
      <c r="AP43" s="73">
        <v>19.555</v>
      </c>
      <c r="AQ43" s="74">
        <v>1.7143E-3</v>
      </c>
      <c r="AR43" s="74">
        <v>1.7143E-3</v>
      </c>
      <c r="AS43" s="74">
        <v>1.7143E-3</v>
      </c>
      <c r="AT43" s="74">
        <v>0</v>
      </c>
      <c r="AU43" s="74">
        <v>1.7143E-3</v>
      </c>
      <c r="AV43" s="74">
        <v>1.7143E-3</v>
      </c>
      <c r="AW43" s="74">
        <v>1.7143E-3</v>
      </c>
      <c r="AX43" s="74">
        <v>1.7143E-3</v>
      </c>
      <c r="AY43" s="74">
        <v>0.42886466777859883</v>
      </c>
      <c r="AZ43" s="74">
        <v>0.38560777655582623</v>
      </c>
      <c r="BA43" s="74">
        <v>0.38395567506536876</v>
      </c>
      <c r="BB43" s="74">
        <v>2.3317197243190022</v>
      </c>
      <c r="BC43" s="74">
        <v>2.5932884804725957</v>
      </c>
      <c r="BD43" s="74">
        <v>2.6044469970462747</v>
      </c>
      <c r="BE43" s="74">
        <v>0.16322038070233016</v>
      </c>
      <c r="BF43" s="74">
        <v>0.18153019363308173</v>
      </c>
      <c r="BG43" s="74">
        <v>0.18231128979323924</v>
      </c>
    </row>
    <row r="44" spans="1:59">
      <c r="A44">
        <v>10111</v>
      </c>
      <c r="B44" t="s">
        <v>49</v>
      </c>
      <c r="C44">
        <v>1</v>
      </c>
      <c r="D44">
        <v>0</v>
      </c>
      <c r="E44" s="73">
        <v>3.2829999999999999</v>
      </c>
      <c r="F44" s="73">
        <v>3.2170000000000001</v>
      </c>
      <c r="G44" s="73">
        <v>3.2160000000000002</v>
      </c>
      <c r="H44" s="73">
        <v>3.2170000000000001</v>
      </c>
      <c r="I44" s="73">
        <v>0</v>
      </c>
      <c r="J44" s="73">
        <v>0</v>
      </c>
      <c r="K44" s="73">
        <v>0</v>
      </c>
      <c r="L44" s="73">
        <v>0</v>
      </c>
      <c r="M44" s="73">
        <v>0</v>
      </c>
      <c r="N44" s="73">
        <v>0</v>
      </c>
      <c r="O44" s="37">
        <v>0</v>
      </c>
      <c r="P44" s="37">
        <v>0</v>
      </c>
      <c r="Q44" s="37">
        <v>0</v>
      </c>
      <c r="R44" s="73">
        <v>3.2170000000000001</v>
      </c>
      <c r="S44" s="73">
        <v>3.2160000000000002</v>
      </c>
      <c r="T44" s="73">
        <v>3.2170000000000001</v>
      </c>
      <c r="U44" s="37">
        <v>28180.920000000002</v>
      </c>
      <c r="V44" s="37">
        <v>28172.160000000003</v>
      </c>
      <c r="W44" s="37">
        <v>28258.128000000001</v>
      </c>
      <c r="X44">
        <v>3.2530000000000001</v>
      </c>
      <c r="Y44" s="37">
        <v>28496.280000000002</v>
      </c>
      <c r="Z44" s="37">
        <v>28496.280000000002</v>
      </c>
      <c r="AA44" s="37">
        <v>28574.352000000003</v>
      </c>
      <c r="AB44" s="73">
        <v>0</v>
      </c>
      <c r="AC44" s="73">
        <v>0</v>
      </c>
      <c r="AD44" s="73">
        <v>0</v>
      </c>
      <c r="AE44" s="73">
        <v>0</v>
      </c>
      <c r="AF44" s="73">
        <v>0</v>
      </c>
      <c r="AG44" s="73">
        <v>0</v>
      </c>
      <c r="AH44" s="73">
        <v>0</v>
      </c>
      <c r="AI44" s="73">
        <v>0</v>
      </c>
      <c r="AJ44" s="73">
        <v>0</v>
      </c>
      <c r="AK44">
        <v>0</v>
      </c>
      <c r="AL44">
        <v>0</v>
      </c>
      <c r="AM44">
        <v>0</v>
      </c>
      <c r="AN44" s="73">
        <v>0</v>
      </c>
      <c r="AO44" s="73">
        <v>0</v>
      </c>
      <c r="AP44" s="73">
        <v>0</v>
      </c>
      <c r="AQ44" s="74">
        <v>4.5249999999999999E-4</v>
      </c>
      <c r="AR44" s="74">
        <v>4.5229999999999999E-4</v>
      </c>
      <c r="AS44" s="74">
        <v>4.5249999999999999E-4</v>
      </c>
      <c r="AT44" s="74">
        <v>0</v>
      </c>
      <c r="AU44" s="74">
        <v>4.5249999999999999E-4</v>
      </c>
      <c r="AV44" s="74">
        <v>4.5229999999999999E-4</v>
      </c>
      <c r="AW44" s="74">
        <v>4.5249999999999999E-4</v>
      </c>
      <c r="AX44" s="74">
        <v>4.5243333333333334E-4</v>
      </c>
      <c r="AY44" s="74">
        <v>1</v>
      </c>
      <c r="AZ44" s="74">
        <v>0.99989128407960193</v>
      </c>
      <c r="BA44" s="74">
        <v>1</v>
      </c>
      <c r="BB44" s="74">
        <v>1</v>
      </c>
      <c r="BC44" s="74">
        <v>1</v>
      </c>
      <c r="BD44" s="74">
        <v>1</v>
      </c>
      <c r="BE44" s="74">
        <v>7.0000000000000007E-2</v>
      </c>
      <c r="BF44" s="74">
        <v>7.0000000000000007E-2</v>
      </c>
      <c r="BG44" s="74">
        <v>7.0000000000000007E-2</v>
      </c>
    </row>
    <row r="45" spans="1:59">
      <c r="A45">
        <v>10112</v>
      </c>
      <c r="B45" t="s">
        <v>50</v>
      </c>
      <c r="C45">
        <v>1</v>
      </c>
      <c r="D45">
        <v>0</v>
      </c>
      <c r="E45" s="73">
        <v>59.119</v>
      </c>
      <c r="F45" s="73">
        <v>60.396000000000001</v>
      </c>
      <c r="G45" s="73">
        <v>60.753999999999998</v>
      </c>
      <c r="H45" s="73">
        <v>61.146000000000001</v>
      </c>
      <c r="I45" s="73">
        <v>0</v>
      </c>
      <c r="J45" s="73">
        <v>0</v>
      </c>
      <c r="K45" s="73">
        <v>0</v>
      </c>
      <c r="L45" s="73">
        <v>0</v>
      </c>
      <c r="M45" s="73">
        <v>0</v>
      </c>
      <c r="N45" s="73">
        <v>0</v>
      </c>
      <c r="O45" s="37">
        <v>0</v>
      </c>
      <c r="P45" s="37">
        <v>0</v>
      </c>
      <c r="Q45" s="37">
        <v>0</v>
      </c>
      <c r="R45" s="73">
        <v>60.396000000000001</v>
      </c>
      <c r="S45" s="73">
        <v>60.753999999999998</v>
      </c>
      <c r="T45" s="73">
        <v>61.146000000000001</v>
      </c>
      <c r="U45" s="37">
        <v>529068.96</v>
      </c>
      <c r="V45" s="37">
        <v>532205.04</v>
      </c>
      <c r="W45" s="37">
        <v>537106.46400000004</v>
      </c>
      <c r="X45">
        <v>58.585999999999999</v>
      </c>
      <c r="Y45" s="37">
        <v>513213.36</v>
      </c>
      <c r="Z45" s="37">
        <v>513213.36</v>
      </c>
      <c r="AA45" s="37">
        <v>514619.424</v>
      </c>
      <c r="AB45" s="73">
        <v>1.81</v>
      </c>
      <c r="AC45" s="73">
        <v>2.1680000000000001</v>
      </c>
      <c r="AD45" s="73">
        <v>2.56</v>
      </c>
      <c r="AE45" s="73">
        <v>1.81</v>
      </c>
      <c r="AF45" s="73">
        <v>2.1680000000000001</v>
      </c>
      <c r="AG45" s="73">
        <v>2.56</v>
      </c>
      <c r="AH45" s="73">
        <v>0</v>
      </c>
      <c r="AI45" s="73">
        <v>0</v>
      </c>
      <c r="AJ45" s="73">
        <v>0</v>
      </c>
      <c r="AK45">
        <v>0</v>
      </c>
      <c r="AL45">
        <v>0</v>
      </c>
      <c r="AM45">
        <v>0</v>
      </c>
      <c r="AN45" s="73">
        <v>1.81</v>
      </c>
      <c r="AO45" s="73">
        <v>2.1680000000000001</v>
      </c>
      <c r="AP45" s="73">
        <v>2.56</v>
      </c>
      <c r="AQ45" s="74">
        <v>8.2404999999999996E-3</v>
      </c>
      <c r="AR45" s="74">
        <v>8.2404999999999996E-3</v>
      </c>
      <c r="AS45" s="74">
        <v>8.2404999999999996E-3</v>
      </c>
      <c r="AT45" s="74">
        <v>0</v>
      </c>
      <c r="AU45" s="74">
        <v>8.2404999999999996E-3</v>
      </c>
      <c r="AV45" s="74">
        <v>8.2404999999999996E-3</v>
      </c>
      <c r="AW45" s="74">
        <v>8.2404999999999996E-3</v>
      </c>
      <c r="AX45" s="74">
        <v>8.2404999999999996E-3</v>
      </c>
      <c r="AY45" s="74">
        <v>0.97003548672097495</v>
      </c>
      <c r="AZ45" s="74">
        <v>0.96431943997103076</v>
      </c>
      <c r="BA45" s="74">
        <v>0.95813729853138396</v>
      </c>
      <c r="BB45" s="74">
        <v>1.0308947530126651</v>
      </c>
      <c r="BC45" s="74">
        <v>1.0370054279179326</v>
      </c>
      <c r="BD45" s="74">
        <v>1.0436964462499574</v>
      </c>
      <c r="BE45" s="74">
        <v>0</v>
      </c>
      <c r="BF45" s="74">
        <v>0</v>
      </c>
      <c r="BG45" s="74">
        <v>0</v>
      </c>
    </row>
    <row r="46" spans="1:59">
      <c r="A46">
        <v>10113</v>
      </c>
      <c r="B46" t="s">
        <v>51</v>
      </c>
      <c r="C46">
        <v>1</v>
      </c>
      <c r="D46">
        <v>0</v>
      </c>
      <c r="E46" s="73">
        <v>38.255000000000003</v>
      </c>
      <c r="F46" s="73">
        <v>44.472999999999999</v>
      </c>
      <c r="G46" s="73">
        <v>44.923000000000002</v>
      </c>
      <c r="H46" s="73">
        <v>45.295000000000002</v>
      </c>
      <c r="I46" s="73">
        <v>0</v>
      </c>
      <c r="J46" s="73">
        <v>0</v>
      </c>
      <c r="K46" s="73">
        <v>0</v>
      </c>
      <c r="L46" s="73">
        <v>0</v>
      </c>
      <c r="M46" s="73">
        <v>0</v>
      </c>
      <c r="N46" s="73">
        <v>0</v>
      </c>
      <c r="O46" s="37">
        <v>0</v>
      </c>
      <c r="P46" s="37">
        <v>0</v>
      </c>
      <c r="Q46" s="37">
        <v>0</v>
      </c>
      <c r="R46" s="73">
        <v>44.472999999999999</v>
      </c>
      <c r="S46" s="73">
        <v>44.923000000000002</v>
      </c>
      <c r="T46" s="73">
        <v>45.295000000000002</v>
      </c>
      <c r="U46" s="37">
        <v>389583.48</v>
      </c>
      <c r="V46" s="37">
        <v>393525.48000000004</v>
      </c>
      <c r="W46" s="37">
        <v>397871.28</v>
      </c>
      <c r="X46">
        <v>37.909999999999997</v>
      </c>
      <c r="Y46" s="37">
        <v>332091.59999999998</v>
      </c>
      <c r="Z46" s="37">
        <v>332091.59999999998</v>
      </c>
      <c r="AA46" s="37">
        <v>333001.43999999994</v>
      </c>
      <c r="AB46" s="73">
        <v>6.5629999999999997</v>
      </c>
      <c r="AC46" s="73">
        <v>7.0129999999999999</v>
      </c>
      <c r="AD46" s="73">
        <v>7.3849999999999998</v>
      </c>
      <c r="AE46" s="73">
        <v>6.5629999999999997</v>
      </c>
      <c r="AF46" s="73">
        <v>7.0129999999999999</v>
      </c>
      <c r="AG46" s="73">
        <v>7.3849999999999998</v>
      </c>
      <c r="AH46" s="73">
        <v>0</v>
      </c>
      <c r="AI46" s="73">
        <v>0</v>
      </c>
      <c r="AJ46" s="73">
        <v>0</v>
      </c>
      <c r="AK46">
        <v>0</v>
      </c>
      <c r="AL46">
        <v>0</v>
      </c>
      <c r="AM46">
        <v>0</v>
      </c>
      <c r="AN46" s="73">
        <v>6.5629999999999997</v>
      </c>
      <c r="AO46" s="73">
        <v>7.0129999999999999</v>
      </c>
      <c r="AP46" s="73">
        <v>7.3849999999999998</v>
      </c>
      <c r="AQ46" s="74">
        <v>5.3322999999999999E-3</v>
      </c>
      <c r="AR46" s="74">
        <v>5.3322999999999999E-3</v>
      </c>
      <c r="AS46" s="74">
        <v>5.3322999999999999E-3</v>
      </c>
      <c r="AT46" s="74">
        <v>0</v>
      </c>
      <c r="AU46" s="74">
        <v>5.3322999999999999E-3</v>
      </c>
      <c r="AV46" s="74">
        <v>5.3322999999999999E-3</v>
      </c>
      <c r="AW46" s="74">
        <v>5.3322999999999999E-3</v>
      </c>
      <c r="AX46" s="74">
        <v>5.3323000000000008E-3</v>
      </c>
      <c r="AY46" s="74">
        <v>0.85243325454995167</v>
      </c>
      <c r="AZ46" s="74">
        <v>0.84389431092313516</v>
      </c>
      <c r="BA46" s="74">
        <v>0.83696355292195612</v>
      </c>
      <c r="BB46" s="74">
        <v>1.1731205486678977</v>
      </c>
      <c r="BC46" s="74">
        <v>1.1849907676074916</v>
      </c>
      <c r="BD46" s="74">
        <v>1.194803481930889</v>
      </c>
      <c r="BE46" s="74">
        <v>8.2118438406752842E-2</v>
      </c>
      <c r="BF46" s="74">
        <v>8.294935373252442E-2</v>
      </c>
      <c r="BG46" s="74">
        <v>8.3636243735162236E-2</v>
      </c>
    </row>
    <row r="47" spans="1:59">
      <c r="A47">
        <v>10116</v>
      </c>
      <c r="B47" t="s">
        <v>52</v>
      </c>
      <c r="C47">
        <v>1</v>
      </c>
      <c r="D47">
        <v>0</v>
      </c>
      <c r="E47" s="73">
        <v>0.23100000000000001</v>
      </c>
      <c r="F47" s="73">
        <v>0.253</v>
      </c>
      <c r="G47" s="73">
        <v>0.253</v>
      </c>
      <c r="H47" s="73">
        <v>0.254</v>
      </c>
      <c r="I47" s="73">
        <v>0</v>
      </c>
      <c r="J47" s="73">
        <v>0</v>
      </c>
      <c r="K47" s="73">
        <v>0</v>
      </c>
      <c r="L47" s="73">
        <v>0</v>
      </c>
      <c r="M47" s="73">
        <v>0</v>
      </c>
      <c r="N47" s="73">
        <v>0</v>
      </c>
      <c r="O47" s="37">
        <v>0</v>
      </c>
      <c r="P47" s="37">
        <v>0</v>
      </c>
      <c r="Q47" s="37">
        <v>0</v>
      </c>
      <c r="R47" s="73">
        <v>0.253</v>
      </c>
      <c r="S47" s="73">
        <v>0.253</v>
      </c>
      <c r="T47" s="73">
        <v>0.254</v>
      </c>
      <c r="U47" s="37">
        <v>2216.2800000000002</v>
      </c>
      <c r="V47" s="37">
        <v>2216.2800000000002</v>
      </c>
      <c r="W47" s="37">
        <v>2231.136</v>
      </c>
      <c r="X47">
        <v>0.22900000000000001</v>
      </c>
      <c r="Y47" s="37">
        <v>2006.0400000000002</v>
      </c>
      <c r="Z47" s="37">
        <v>2006.0400000000002</v>
      </c>
      <c r="AA47" s="37">
        <v>2011.5360000000001</v>
      </c>
      <c r="AB47" s="73">
        <v>2.4E-2</v>
      </c>
      <c r="AC47" s="73">
        <v>2.4E-2</v>
      </c>
      <c r="AD47" s="73">
        <v>2.5000000000000001E-2</v>
      </c>
      <c r="AE47" s="73">
        <v>0</v>
      </c>
      <c r="AF47" s="73">
        <v>0</v>
      </c>
      <c r="AG47" s="73">
        <v>0</v>
      </c>
      <c r="AH47" s="73">
        <v>2.4E-2</v>
      </c>
      <c r="AI47" s="73">
        <v>2.4E-2</v>
      </c>
      <c r="AJ47" s="73">
        <v>2.5000000000000001E-2</v>
      </c>
      <c r="AK47">
        <v>0</v>
      </c>
      <c r="AL47">
        <v>0</v>
      </c>
      <c r="AM47">
        <v>0</v>
      </c>
      <c r="AN47" s="73">
        <v>0</v>
      </c>
      <c r="AO47" s="73">
        <v>0</v>
      </c>
      <c r="AP47" s="73">
        <v>0</v>
      </c>
      <c r="AQ47" s="74">
        <v>3.2199999999999997E-5</v>
      </c>
      <c r="AR47" s="74">
        <v>3.2199999999999997E-5</v>
      </c>
      <c r="AS47" s="74">
        <v>3.2199999999999997E-5</v>
      </c>
      <c r="AT47" s="74">
        <v>0</v>
      </c>
      <c r="AU47" s="74">
        <v>3.2199999999999997E-5</v>
      </c>
      <c r="AV47" s="74">
        <v>3.2199999999999997E-5</v>
      </c>
      <c r="AW47" s="74">
        <v>3.2199999999999997E-5</v>
      </c>
      <c r="AX47" s="74">
        <v>3.2199999999999997E-5</v>
      </c>
      <c r="AY47" s="74">
        <v>0.90485207272727275</v>
      </c>
      <c r="AZ47" s="74">
        <v>0.90485207272727275</v>
      </c>
      <c r="BA47" s="74">
        <v>0.90128966299212598</v>
      </c>
      <c r="BB47" s="74">
        <v>1.1048034934497817</v>
      </c>
      <c r="BC47" s="74">
        <v>1.1048034934497817</v>
      </c>
      <c r="BD47" s="74">
        <v>1.1091703056768558</v>
      </c>
      <c r="BE47" s="74">
        <v>0</v>
      </c>
      <c r="BF47" s="74">
        <v>0</v>
      </c>
      <c r="BG47" s="74">
        <v>0</v>
      </c>
    </row>
    <row r="48" spans="1:59">
      <c r="A48">
        <v>10118</v>
      </c>
      <c r="B48" t="s">
        <v>53</v>
      </c>
      <c r="C48">
        <v>0</v>
      </c>
      <c r="D48">
        <v>1</v>
      </c>
      <c r="E48" s="73">
        <v>46.354999999999997</v>
      </c>
      <c r="F48" s="80">
        <v>51.829000000000001</v>
      </c>
      <c r="G48" s="80">
        <v>52.033999999999999</v>
      </c>
      <c r="H48" s="80">
        <v>52.225999999999999</v>
      </c>
      <c r="I48" s="80">
        <v>0</v>
      </c>
      <c r="J48" s="80">
        <v>0</v>
      </c>
      <c r="K48" s="80">
        <v>0</v>
      </c>
      <c r="L48" s="80">
        <v>2.363</v>
      </c>
      <c r="M48" s="80">
        <v>2.363</v>
      </c>
      <c r="N48" s="80">
        <v>2.363</v>
      </c>
      <c r="O48" s="78">
        <v>20699.88</v>
      </c>
      <c r="P48" s="78">
        <v>20699.88</v>
      </c>
      <c r="Q48" s="78">
        <v>20756.592000000001</v>
      </c>
      <c r="R48" s="80">
        <v>49.466000000000001</v>
      </c>
      <c r="S48" s="80">
        <v>49.670999999999999</v>
      </c>
      <c r="T48" s="80">
        <v>49.863</v>
      </c>
      <c r="U48" s="78">
        <v>433322.16000000003</v>
      </c>
      <c r="V48" s="78">
        <v>435117.96</v>
      </c>
      <c r="W48" s="78">
        <v>437996.592</v>
      </c>
      <c r="X48">
        <v>45.936999999999998</v>
      </c>
      <c r="Y48" s="78">
        <v>402408.12</v>
      </c>
      <c r="Z48" s="78">
        <v>402408.12</v>
      </c>
      <c r="AA48" s="78">
        <v>403510.60800000001</v>
      </c>
      <c r="AB48" s="80">
        <v>3.5289999999999999</v>
      </c>
      <c r="AC48" s="80">
        <v>3.734</v>
      </c>
      <c r="AD48" s="80">
        <v>3.9260000000000002</v>
      </c>
      <c r="AE48" s="73">
        <v>3.5289999999999999</v>
      </c>
      <c r="AF48" s="73">
        <v>3.734</v>
      </c>
      <c r="AG48" s="73">
        <v>3.9260000000000002</v>
      </c>
      <c r="AH48" s="80">
        <v>0</v>
      </c>
      <c r="AI48" s="80">
        <v>0</v>
      </c>
      <c r="AJ48" s="80">
        <v>0</v>
      </c>
      <c r="AK48">
        <v>0</v>
      </c>
      <c r="AL48">
        <v>0</v>
      </c>
      <c r="AM48">
        <v>0</v>
      </c>
      <c r="AN48" s="80">
        <v>3.5289999999999999</v>
      </c>
      <c r="AO48" s="80">
        <v>3.734</v>
      </c>
      <c r="AP48" s="80">
        <v>3.9260000000000002</v>
      </c>
      <c r="AQ48" s="81">
        <v>6.4612999999999997E-3</v>
      </c>
      <c r="AR48" s="81">
        <v>6.4612999999999997E-3</v>
      </c>
      <c r="AS48" s="81">
        <v>6.4612999999999997E-3</v>
      </c>
      <c r="AT48" s="74">
        <v>0</v>
      </c>
      <c r="AU48" s="81">
        <v>6.4612999999999997E-3</v>
      </c>
      <c r="AV48" s="81">
        <v>6.4612999999999997E-3</v>
      </c>
      <c r="AW48" s="81">
        <v>6.4612999999999997E-3</v>
      </c>
      <c r="AX48" s="81">
        <v>6.4612999999999997E-3</v>
      </c>
      <c r="AY48" s="81">
        <v>0.93190970957572017</v>
      </c>
      <c r="AZ48" s="81">
        <v>0.92823823533843264</v>
      </c>
      <c r="BA48" s="81">
        <v>0.92482572545475439</v>
      </c>
      <c r="BB48" s="81">
        <v>1.0768226048718899</v>
      </c>
      <c r="BC48" s="81">
        <v>1.0812852384787861</v>
      </c>
      <c r="BD48" s="81">
        <v>1.0854648758081722</v>
      </c>
      <c r="BE48" s="81">
        <v>6.9993469316672843E-2</v>
      </c>
      <c r="BF48" s="81">
        <v>7.0283540501121095E-2</v>
      </c>
      <c r="BG48" s="81">
        <v>7.0555216927531195E-2</v>
      </c>
    </row>
    <row r="49" spans="1:59">
      <c r="A49">
        <v>10121</v>
      </c>
      <c r="B49" t="s">
        <v>54</v>
      </c>
      <c r="C49">
        <v>0</v>
      </c>
      <c r="D49">
        <v>1</v>
      </c>
      <c r="E49" s="73">
        <v>41.484999999999999</v>
      </c>
      <c r="F49" s="73">
        <v>40.189</v>
      </c>
      <c r="G49" s="73">
        <v>40.189</v>
      </c>
      <c r="H49" s="73">
        <v>40.186</v>
      </c>
      <c r="I49" s="73">
        <v>0</v>
      </c>
      <c r="J49" s="73">
        <v>0</v>
      </c>
      <c r="K49" s="73">
        <v>0</v>
      </c>
      <c r="L49" s="73">
        <v>0</v>
      </c>
      <c r="M49" s="73">
        <v>0</v>
      </c>
      <c r="N49" s="73">
        <v>0</v>
      </c>
      <c r="O49" s="37">
        <v>0</v>
      </c>
      <c r="P49" s="37">
        <v>0</v>
      </c>
      <c r="Q49" s="37">
        <v>0</v>
      </c>
      <c r="R49" s="73">
        <v>40.189</v>
      </c>
      <c r="S49" s="73">
        <v>40.189</v>
      </c>
      <c r="T49" s="73">
        <v>40.186</v>
      </c>
      <c r="U49" s="37">
        <v>352055.64</v>
      </c>
      <c r="V49" s="37">
        <v>352055.64</v>
      </c>
      <c r="W49" s="37">
        <v>352993.82400000002</v>
      </c>
      <c r="X49">
        <v>41.110999999999997</v>
      </c>
      <c r="Y49" s="37">
        <v>360132.36</v>
      </c>
      <c r="Z49" s="37">
        <v>360132.36</v>
      </c>
      <c r="AA49" s="37">
        <v>361119.02399999998</v>
      </c>
      <c r="AB49" s="73">
        <v>0</v>
      </c>
      <c r="AC49" s="73">
        <v>0</v>
      </c>
      <c r="AD49" s="73">
        <v>0</v>
      </c>
      <c r="AE49" s="73">
        <v>0</v>
      </c>
      <c r="AF49" s="73">
        <v>0</v>
      </c>
      <c r="AG49" s="73">
        <v>0</v>
      </c>
      <c r="AH49" s="73">
        <v>0</v>
      </c>
      <c r="AI49" s="73">
        <v>0</v>
      </c>
      <c r="AJ49" s="73">
        <v>0</v>
      </c>
      <c r="AK49">
        <v>0</v>
      </c>
      <c r="AL49">
        <v>0</v>
      </c>
      <c r="AM49">
        <v>0</v>
      </c>
      <c r="AN49" s="73">
        <v>0</v>
      </c>
      <c r="AO49" s="73">
        <v>0</v>
      </c>
      <c r="AP49" s="73">
        <v>0</v>
      </c>
      <c r="AQ49" s="74">
        <v>5.6528000000000004E-3</v>
      </c>
      <c r="AR49" s="74">
        <v>5.6528000000000004E-3</v>
      </c>
      <c r="AS49" s="74">
        <v>5.6524000000000001E-3</v>
      </c>
      <c r="AT49" s="74">
        <v>0</v>
      </c>
      <c r="AU49" s="74">
        <v>5.6528000000000004E-3</v>
      </c>
      <c r="AV49" s="74">
        <v>5.6528000000000004E-3</v>
      </c>
      <c r="AW49" s="74">
        <v>5.6524000000000001E-3</v>
      </c>
      <c r="AX49" s="74">
        <v>5.652666666666667E-3</v>
      </c>
      <c r="AY49" s="74">
        <v>0.99999690327203972</v>
      </c>
      <c r="AZ49" s="74">
        <v>0.99999690327203972</v>
      </c>
      <c r="BA49" s="74">
        <v>1</v>
      </c>
      <c r="BB49" s="74">
        <v>1</v>
      </c>
      <c r="BC49" s="74">
        <v>1</v>
      </c>
      <c r="BD49" s="74">
        <v>1</v>
      </c>
      <c r="BE49" s="74">
        <v>0.06</v>
      </c>
      <c r="BF49" s="74">
        <v>0.06</v>
      </c>
      <c r="BG49" s="74">
        <v>0.06</v>
      </c>
    </row>
    <row r="50" spans="1:59">
      <c r="A50">
        <v>10123</v>
      </c>
      <c r="B50" t="s">
        <v>55</v>
      </c>
      <c r="C50">
        <v>1</v>
      </c>
      <c r="D50">
        <v>0</v>
      </c>
      <c r="E50" s="73">
        <v>557.39200000000005</v>
      </c>
      <c r="F50" s="73">
        <v>503.82499999999999</v>
      </c>
      <c r="G50" s="73">
        <v>503.72300000000001</v>
      </c>
      <c r="H50" s="73">
        <v>502.85700000000003</v>
      </c>
      <c r="I50" s="73">
        <v>26.841000000000001</v>
      </c>
      <c r="J50" s="73">
        <v>26.841000000000001</v>
      </c>
      <c r="K50" s="73">
        <v>26.768000000000001</v>
      </c>
      <c r="L50" s="73">
        <v>15.721</v>
      </c>
      <c r="M50" s="73">
        <v>15.718</v>
      </c>
      <c r="N50" s="73">
        <v>15.739000000000001</v>
      </c>
      <c r="O50" s="37">
        <v>137715.96</v>
      </c>
      <c r="P50" s="37">
        <v>137689.68</v>
      </c>
      <c r="Q50" s="37">
        <v>138251.37600000002</v>
      </c>
      <c r="R50" s="73">
        <v>461.26299999999998</v>
      </c>
      <c r="S50" s="73">
        <v>461.16399999999999</v>
      </c>
      <c r="T50" s="73">
        <v>460.35</v>
      </c>
      <c r="U50" s="37">
        <v>4040663.88</v>
      </c>
      <c r="V50" s="37">
        <v>4039796.6399999997</v>
      </c>
      <c r="W50" s="37">
        <v>4043714.4000000004</v>
      </c>
      <c r="X50">
        <v>552.36500000000001</v>
      </c>
      <c r="Y50" s="37">
        <v>4838717.4000000004</v>
      </c>
      <c r="Z50" s="37">
        <v>4838717.4000000004</v>
      </c>
      <c r="AA50" s="37">
        <v>4851974.16</v>
      </c>
      <c r="AB50" s="73">
        <v>0</v>
      </c>
      <c r="AC50" s="73">
        <v>0</v>
      </c>
      <c r="AD50" s="73">
        <v>0</v>
      </c>
      <c r="AE50" s="73">
        <v>0</v>
      </c>
      <c r="AF50" s="73">
        <v>0</v>
      </c>
      <c r="AG50" s="73">
        <v>0</v>
      </c>
      <c r="AH50" s="73">
        <v>0</v>
      </c>
      <c r="AI50" s="73">
        <v>0</v>
      </c>
      <c r="AJ50" s="73">
        <v>0</v>
      </c>
      <c r="AK50">
        <v>0</v>
      </c>
      <c r="AL50">
        <v>0</v>
      </c>
      <c r="AM50">
        <v>0</v>
      </c>
      <c r="AN50" s="73">
        <v>0</v>
      </c>
      <c r="AO50" s="73">
        <v>0</v>
      </c>
      <c r="AP50" s="73">
        <v>0</v>
      </c>
      <c r="AQ50" s="74">
        <v>6.4879400000000004E-2</v>
      </c>
      <c r="AR50" s="74">
        <v>6.4865400000000004E-2</v>
      </c>
      <c r="AS50" s="74">
        <v>6.47509E-2</v>
      </c>
      <c r="AT50" s="74">
        <v>3.9844900000000003E-2</v>
      </c>
      <c r="AU50" s="74">
        <v>2.5034500000000001E-2</v>
      </c>
      <c r="AV50" s="74">
        <v>2.5020500000000001E-2</v>
      </c>
      <c r="AW50" s="74">
        <v>2.4905999999999998E-2</v>
      </c>
      <c r="AX50" s="74">
        <v>2.4986999999999999E-2</v>
      </c>
      <c r="AY50" s="74">
        <v>1</v>
      </c>
      <c r="AZ50" s="74">
        <v>0.99999986223174719</v>
      </c>
      <c r="BA50" s="74">
        <v>0.99999977020431041</v>
      </c>
      <c r="BB50" s="74">
        <v>1</v>
      </c>
      <c r="BC50" s="74">
        <v>1</v>
      </c>
      <c r="BD50" s="74">
        <v>1</v>
      </c>
      <c r="BE50" s="74">
        <v>0</v>
      </c>
      <c r="BF50" s="74">
        <v>0</v>
      </c>
      <c r="BG50" s="74">
        <v>0</v>
      </c>
    </row>
    <row r="51" spans="1:59">
      <c r="A51">
        <v>10136</v>
      </c>
      <c r="B51" t="s">
        <v>56</v>
      </c>
      <c r="C51">
        <v>0</v>
      </c>
      <c r="D51">
        <v>1</v>
      </c>
      <c r="E51" s="73">
        <v>18.814</v>
      </c>
      <c r="F51" s="73">
        <v>18.48</v>
      </c>
      <c r="G51" s="73">
        <v>18.526</v>
      </c>
      <c r="H51" s="73">
        <v>18.579999999999998</v>
      </c>
      <c r="I51" s="73">
        <v>0</v>
      </c>
      <c r="J51" s="73">
        <v>0</v>
      </c>
      <c r="K51" s="73">
        <v>0</v>
      </c>
      <c r="L51" s="73">
        <v>0</v>
      </c>
      <c r="M51" s="73">
        <v>0</v>
      </c>
      <c r="N51" s="73">
        <v>0</v>
      </c>
      <c r="O51" s="37">
        <v>0</v>
      </c>
      <c r="P51" s="37">
        <v>0</v>
      </c>
      <c r="Q51" s="37">
        <v>0</v>
      </c>
      <c r="R51" s="73">
        <v>18.48</v>
      </c>
      <c r="S51" s="73">
        <v>18.526</v>
      </c>
      <c r="T51" s="73">
        <v>18.579999999999998</v>
      </c>
      <c r="U51" s="37">
        <v>161884.80000000002</v>
      </c>
      <c r="V51" s="37">
        <v>162287.76</v>
      </c>
      <c r="W51" s="37">
        <v>163206.71999999997</v>
      </c>
      <c r="X51">
        <v>18.643999999999998</v>
      </c>
      <c r="Y51" s="37">
        <v>163321.43999999997</v>
      </c>
      <c r="Z51" s="37">
        <v>163321.43999999997</v>
      </c>
      <c r="AA51" s="37">
        <v>163768.89599999998</v>
      </c>
      <c r="AB51" s="73">
        <v>0</v>
      </c>
      <c r="AC51" s="73">
        <v>0</v>
      </c>
      <c r="AD51" s="73">
        <v>0</v>
      </c>
      <c r="AE51" s="73">
        <v>0</v>
      </c>
      <c r="AF51" s="73">
        <v>0</v>
      </c>
      <c r="AG51" s="73">
        <v>0</v>
      </c>
      <c r="AH51" s="73">
        <v>0</v>
      </c>
      <c r="AI51" s="73">
        <v>0</v>
      </c>
      <c r="AJ51" s="73">
        <v>0</v>
      </c>
      <c r="AK51">
        <v>0</v>
      </c>
      <c r="AL51">
        <v>0</v>
      </c>
      <c r="AM51">
        <v>0</v>
      </c>
      <c r="AN51" s="73">
        <v>0</v>
      </c>
      <c r="AO51" s="73">
        <v>0</v>
      </c>
      <c r="AP51" s="73">
        <v>0</v>
      </c>
      <c r="AQ51" s="74">
        <v>2.5993000000000001E-3</v>
      </c>
      <c r="AR51" s="74">
        <v>2.6058000000000001E-3</v>
      </c>
      <c r="AS51" s="74">
        <v>2.6134000000000001E-3</v>
      </c>
      <c r="AT51" s="74">
        <v>0</v>
      </c>
      <c r="AU51" s="74">
        <v>2.5993000000000001E-3</v>
      </c>
      <c r="AV51" s="74">
        <v>2.6058000000000001E-3</v>
      </c>
      <c r="AW51" s="74">
        <v>2.6134000000000001E-3</v>
      </c>
      <c r="AX51" s="74">
        <v>2.6061666666666668E-3</v>
      </c>
      <c r="AY51" s="74">
        <v>0.99999234380952395</v>
      </c>
      <c r="AZ51" s="74">
        <v>1</v>
      </c>
      <c r="BA51" s="74">
        <v>1</v>
      </c>
      <c r="BB51" s="74">
        <v>1</v>
      </c>
      <c r="BC51" s="74">
        <v>1</v>
      </c>
      <c r="BD51" s="74">
        <v>1</v>
      </c>
      <c r="BE51" s="74">
        <v>7.0000000000000007E-2</v>
      </c>
      <c r="BF51" s="74">
        <v>7.0000000000000007E-2</v>
      </c>
      <c r="BG51" s="74">
        <v>7.0000000000000007E-2</v>
      </c>
    </row>
    <row r="52" spans="1:59">
      <c r="A52">
        <v>10142</v>
      </c>
      <c r="B52" t="s">
        <v>57</v>
      </c>
      <c r="C52">
        <v>1</v>
      </c>
      <c r="D52">
        <v>0</v>
      </c>
      <c r="E52" s="73">
        <v>2.7269999999999999</v>
      </c>
      <c r="F52" s="73">
        <v>3.5510000000000002</v>
      </c>
      <c r="G52" s="73">
        <v>3.617</v>
      </c>
      <c r="H52" s="73">
        <v>3.6389999999999998</v>
      </c>
      <c r="I52" s="73">
        <v>0</v>
      </c>
      <c r="J52" s="73">
        <v>0</v>
      </c>
      <c r="K52" s="73">
        <v>0</v>
      </c>
      <c r="L52" s="73">
        <v>0</v>
      </c>
      <c r="M52" s="73">
        <v>0</v>
      </c>
      <c r="N52" s="73">
        <v>0</v>
      </c>
      <c r="O52" s="37">
        <v>0</v>
      </c>
      <c r="P52" s="37">
        <v>0</v>
      </c>
      <c r="Q52" s="37">
        <v>0</v>
      </c>
      <c r="R52" s="73">
        <v>3.5510000000000002</v>
      </c>
      <c r="S52" s="73">
        <v>3.617</v>
      </c>
      <c r="T52" s="73">
        <v>3.6389999999999998</v>
      </c>
      <c r="U52" s="37">
        <v>31106.760000000002</v>
      </c>
      <c r="V52" s="37">
        <v>31684.92</v>
      </c>
      <c r="W52" s="37">
        <v>31964.975999999999</v>
      </c>
      <c r="X52">
        <v>2.702</v>
      </c>
      <c r="Y52" s="37">
        <v>23669.52</v>
      </c>
      <c r="Z52" s="37">
        <v>23669.52</v>
      </c>
      <c r="AA52" s="37">
        <v>23734.367999999999</v>
      </c>
      <c r="AB52" s="73">
        <v>0.84899999999999998</v>
      </c>
      <c r="AC52" s="73">
        <v>0.91500000000000004</v>
      </c>
      <c r="AD52" s="73">
        <v>0.93700000000000006</v>
      </c>
      <c r="AE52" s="73">
        <v>0</v>
      </c>
      <c r="AF52" s="73">
        <v>0</v>
      </c>
      <c r="AG52" s="73">
        <v>0</v>
      </c>
      <c r="AH52" s="73">
        <v>0.84899999999999998</v>
      </c>
      <c r="AI52" s="73">
        <v>0.91500000000000004</v>
      </c>
      <c r="AJ52" s="73">
        <v>0.93700000000000006</v>
      </c>
      <c r="AK52">
        <v>0</v>
      </c>
      <c r="AL52">
        <v>0</v>
      </c>
      <c r="AM52">
        <v>0</v>
      </c>
      <c r="AN52" s="73">
        <v>0</v>
      </c>
      <c r="AO52" s="73">
        <v>0</v>
      </c>
      <c r="AP52" s="73">
        <v>0</v>
      </c>
      <c r="AQ52" s="74">
        <v>3.8010000000000002E-4</v>
      </c>
      <c r="AR52" s="74">
        <v>3.8010000000000002E-4</v>
      </c>
      <c r="AS52" s="74">
        <v>3.8010000000000002E-4</v>
      </c>
      <c r="AT52" s="74">
        <v>0</v>
      </c>
      <c r="AU52" s="74">
        <v>3.8010000000000002E-4</v>
      </c>
      <c r="AV52" s="74">
        <v>3.8010000000000002E-4</v>
      </c>
      <c r="AW52" s="74">
        <v>3.8010000000000002E-4</v>
      </c>
      <c r="AX52" s="74">
        <v>3.8010000000000002E-4</v>
      </c>
      <c r="AY52" s="74">
        <v>0.76100836812165595</v>
      </c>
      <c r="AZ52" s="74">
        <v>0.7471221219795412</v>
      </c>
      <c r="BA52" s="74">
        <v>0.7426053078318221</v>
      </c>
      <c r="BB52" s="74">
        <v>1.3142116950407106</v>
      </c>
      <c r="BC52" s="74">
        <v>1.338638045891932</v>
      </c>
      <c r="BD52" s="74">
        <v>1.346780162842339</v>
      </c>
      <c r="BE52" s="74">
        <v>3.2855292376017767E-2</v>
      </c>
      <c r="BF52" s="74">
        <v>3.3465951147298299E-2</v>
      </c>
      <c r="BG52" s="74">
        <v>3.3669504071058474E-2</v>
      </c>
    </row>
    <row r="53" spans="1:59">
      <c r="A53">
        <v>10144</v>
      </c>
      <c r="B53" t="s">
        <v>58</v>
      </c>
      <c r="C53">
        <v>1</v>
      </c>
      <c r="D53">
        <v>0</v>
      </c>
      <c r="E53" s="73">
        <v>3.4180000000000001</v>
      </c>
      <c r="F53" s="73">
        <v>3.3210000000000002</v>
      </c>
      <c r="G53" s="73">
        <v>3.3210000000000002</v>
      </c>
      <c r="H53" s="73">
        <v>3.3180000000000001</v>
      </c>
      <c r="I53" s="73">
        <v>0</v>
      </c>
      <c r="J53" s="73">
        <v>0</v>
      </c>
      <c r="K53" s="73">
        <v>0</v>
      </c>
      <c r="L53" s="73">
        <v>0</v>
      </c>
      <c r="M53" s="73">
        <v>0</v>
      </c>
      <c r="N53" s="73">
        <v>0</v>
      </c>
      <c r="O53" s="37">
        <v>0</v>
      </c>
      <c r="P53" s="37">
        <v>0</v>
      </c>
      <c r="Q53" s="37">
        <v>0</v>
      </c>
      <c r="R53" s="73">
        <v>3.3210000000000002</v>
      </c>
      <c r="S53" s="73">
        <v>3.3210000000000002</v>
      </c>
      <c r="T53" s="73">
        <v>3.3180000000000001</v>
      </c>
      <c r="U53" s="37">
        <v>29091.960000000003</v>
      </c>
      <c r="V53" s="37">
        <v>29091.960000000003</v>
      </c>
      <c r="W53" s="37">
        <v>29145.312000000002</v>
      </c>
      <c r="X53">
        <v>3.387</v>
      </c>
      <c r="Y53" s="37">
        <v>29670.12</v>
      </c>
      <c r="Z53" s="37">
        <v>29670.12</v>
      </c>
      <c r="AA53" s="37">
        <v>29751.407999999999</v>
      </c>
      <c r="AB53" s="73">
        <v>0</v>
      </c>
      <c r="AC53" s="73">
        <v>0</v>
      </c>
      <c r="AD53" s="73">
        <v>0</v>
      </c>
      <c r="AE53" s="73">
        <v>0</v>
      </c>
      <c r="AF53" s="73">
        <v>0</v>
      </c>
      <c r="AG53" s="73">
        <v>0</v>
      </c>
      <c r="AH53" s="73">
        <v>0</v>
      </c>
      <c r="AI53" s="73">
        <v>0</v>
      </c>
      <c r="AJ53" s="73">
        <v>0</v>
      </c>
      <c r="AK53">
        <v>0</v>
      </c>
      <c r="AL53">
        <v>0</v>
      </c>
      <c r="AM53">
        <v>0</v>
      </c>
      <c r="AN53" s="73">
        <v>0</v>
      </c>
      <c r="AO53" s="73">
        <v>0</v>
      </c>
      <c r="AP53" s="73">
        <v>0</v>
      </c>
      <c r="AQ53" s="74">
        <v>4.6710000000000002E-4</v>
      </c>
      <c r="AR53" s="74">
        <v>4.6710000000000002E-4</v>
      </c>
      <c r="AS53" s="74">
        <v>4.6670000000000001E-4</v>
      </c>
      <c r="AT53" s="74">
        <v>0</v>
      </c>
      <c r="AU53" s="74">
        <v>4.6710000000000002E-4</v>
      </c>
      <c r="AV53" s="74">
        <v>4.6710000000000002E-4</v>
      </c>
      <c r="AW53" s="74">
        <v>4.6670000000000001E-4</v>
      </c>
      <c r="AX53" s="74">
        <v>4.6696666666666667E-4</v>
      </c>
      <c r="AY53" s="74">
        <v>0.9999613788617886</v>
      </c>
      <c r="AZ53" s="74">
        <v>0.9999613788617886</v>
      </c>
      <c r="BA53" s="74">
        <v>1</v>
      </c>
      <c r="BB53" s="74">
        <v>1</v>
      </c>
      <c r="BC53" s="74">
        <v>1</v>
      </c>
      <c r="BD53" s="74">
        <v>1</v>
      </c>
      <c r="BE53" s="74">
        <v>0</v>
      </c>
      <c r="BF53" s="74">
        <v>0</v>
      </c>
      <c r="BG53" s="74">
        <v>0</v>
      </c>
    </row>
    <row r="54" spans="1:59">
      <c r="A54">
        <v>10156</v>
      </c>
      <c r="B54" t="s">
        <v>59</v>
      </c>
      <c r="C54">
        <v>1</v>
      </c>
      <c r="D54">
        <v>0</v>
      </c>
      <c r="E54" s="73">
        <v>32.719000000000001</v>
      </c>
      <c r="F54" s="73">
        <v>33.207999999999998</v>
      </c>
      <c r="G54" s="73">
        <v>33.332000000000001</v>
      </c>
      <c r="H54" s="73">
        <v>33.468000000000004</v>
      </c>
      <c r="I54" s="73">
        <v>0</v>
      </c>
      <c r="J54" s="73">
        <v>0</v>
      </c>
      <c r="K54" s="73">
        <v>0</v>
      </c>
      <c r="L54" s="73">
        <v>0</v>
      </c>
      <c r="M54" s="73">
        <v>0</v>
      </c>
      <c r="N54" s="73">
        <v>0</v>
      </c>
      <c r="O54" s="37">
        <v>0</v>
      </c>
      <c r="P54" s="37">
        <v>0</v>
      </c>
      <c r="Q54" s="37">
        <v>0</v>
      </c>
      <c r="R54" s="73">
        <v>33.207999999999998</v>
      </c>
      <c r="S54" s="73">
        <v>33.332000000000001</v>
      </c>
      <c r="T54" s="73">
        <v>33.468000000000004</v>
      </c>
      <c r="U54" s="37">
        <v>290902.07999999996</v>
      </c>
      <c r="V54" s="37">
        <v>291988.32</v>
      </c>
      <c r="W54" s="37">
        <v>293982.91200000001</v>
      </c>
      <c r="X54">
        <v>32.423999999999999</v>
      </c>
      <c r="Y54" s="37">
        <v>284034.24</v>
      </c>
      <c r="Z54" s="37">
        <v>284034.24</v>
      </c>
      <c r="AA54" s="37">
        <v>284812.41599999997</v>
      </c>
      <c r="AB54" s="73">
        <v>0.78400000000000003</v>
      </c>
      <c r="AC54" s="73">
        <v>0.90800000000000003</v>
      </c>
      <c r="AD54" s="73">
        <v>1.044</v>
      </c>
      <c r="AE54" s="73">
        <v>0</v>
      </c>
      <c r="AF54" s="73">
        <v>0</v>
      </c>
      <c r="AG54" s="73">
        <v>1.044</v>
      </c>
      <c r="AH54" s="73">
        <v>0.78400000000000003</v>
      </c>
      <c r="AI54" s="73">
        <v>0.90800000000000003</v>
      </c>
      <c r="AJ54" s="73">
        <v>0</v>
      </c>
      <c r="AK54">
        <v>0</v>
      </c>
      <c r="AL54">
        <v>0</v>
      </c>
      <c r="AM54">
        <v>0</v>
      </c>
      <c r="AN54" s="73">
        <v>0</v>
      </c>
      <c r="AO54" s="73">
        <v>0</v>
      </c>
      <c r="AP54" s="73">
        <v>1.044</v>
      </c>
      <c r="AQ54" s="74">
        <v>4.5605999999999997E-3</v>
      </c>
      <c r="AR54" s="74">
        <v>4.5605999999999997E-3</v>
      </c>
      <c r="AS54" s="74">
        <v>4.5605999999999997E-3</v>
      </c>
      <c r="AT54" s="74">
        <v>0</v>
      </c>
      <c r="AU54" s="74">
        <v>4.5605999999999997E-3</v>
      </c>
      <c r="AV54" s="74">
        <v>4.5605999999999997E-3</v>
      </c>
      <c r="AW54" s="74">
        <v>4.5605999999999997E-3</v>
      </c>
      <c r="AX54" s="74">
        <v>4.5605999999999997E-3</v>
      </c>
      <c r="AY54" s="74">
        <v>0.97638589650686591</v>
      </c>
      <c r="AZ54" s="74">
        <v>0.97275359567982722</v>
      </c>
      <c r="BA54" s="74">
        <v>0.96880073058443883</v>
      </c>
      <c r="BB54" s="74">
        <v>1.0241796200345423</v>
      </c>
      <c r="BC54" s="74">
        <v>1.0280039476930669</v>
      </c>
      <c r="BD54" s="74">
        <v>1.0321983715766101</v>
      </c>
      <c r="BE54" s="74">
        <v>0</v>
      </c>
      <c r="BF54" s="74">
        <v>0</v>
      </c>
      <c r="BG54" s="74">
        <v>0</v>
      </c>
    </row>
    <row r="55" spans="1:59">
      <c r="A55">
        <v>10157</v>
      </c>
      <c r="B55" t="s">
        <v>60</v>
      </c>
      <c r="C55">
        <v>1</v>
      </c>
      <c r="D55">
        <v>0</v>
      </c>
      <c r="E55" s="73">
        <v>50.703000000000003</v>
      </c>
      <c r="F55" s="73">
        <v>95.54</v>
      </c>
      <c r="G55" s="73">
        <v>96.236999999999995</v>
      </c>
      <c r="H55" s="73">
        <v>96.203000000000003</v>
      </c>
      <c r="I55" s="73">
        <v>34.198999999999998</v>
      </c>
      <c r="J55" s="73">
        <v>34.198999999999998</v>
      </c>
      <c r="K55" s="73">
        <v>34.207000000000001</v>
      </c>
      <c r="L55" s="73">
        <v>2.5489999999999999</v>
      </c>
      <c r="M55" s="73">
        <v>2.5489999999999999</v>
      </c>
      <c r="N55" s="73">
        <v>2.5499999999999998</v>
      </c>
      <c r="O55" s="37">
        <v>22329.239999999998</v>
      </c>
      <c r="P55" s="37">
        <v>22329.239999999998</v>
      </c>
      <c r="Q55" s="37">
        <v>22399.199999999997</v>
      </c>
      <c r="R55" s="73">
        <v>58.792000000000002</v>
      </c>
      <c r="S55" s="73">
        <v>59.488999999999997</v>
      </c>
      <c r="T55" s="73">
        <v>59.445999999999998</v>
      </c>
      <c r="U55" s="37">
        <v>515017.92000000004</v>
      </c>
      <c r="V55" s="37">
        <v>521123.63999999996</v>
      </c>
      <c r="W55" s="37">
        <v>522173.66399999999</v>
      </c>
      <c r="X55">
        <v>50.246000000000002</v>
      </c>
      <c r="Y55" s="37">
        <v>440154.96</v>
      </c>
      <c r="Z55" s="37">
        <v>440154.96</v>
      </c>
      <c r="AA55" s="37">
        <v>441360.864</v>
      </c>
      <c r="AB55" s="73">
        <v>8.5459999999999994</v>
      </c>
      <c r="AC55" s="73">
        <v>9.2430000000000003</v>
      </c>
      <c r="AD55" s="73">
        <v>9.1999999999999993</v>
      </c>
      <c r="AE55" s="73">
        <v>8.5459999999999994</v>
      </c>
      <c r="AF55" s="73">
        <v>9.2430000000000003</v>
      </c>
      <c r="AG55" s="73">
        <v>9.1999999999999993</v>
      </c>
      <c r="AH55" s="73">
        <v>0</v>
      </c>
      <c r="AI55" s="73">
        <v>0</v>
      </c>
      <c r="AJ55" s="73">
        <v>0</v>
      </c>
      <c r="AK55">
        <v>0</v>
      </c>
      <c r="AL55">
        <v>0</v>
      </c>
      <c r="AM55">
        <v>0</v>
      </c>
      <c r="AN55" s="73">
        <v>8.5459999999999994</v>
      </c>
      <c r="AO55" s="73">
        <v>9.2430000000000003</v>
      </c>
      <c r="AP55" s="73">
        <v>9.1999999999999993</v>
      </c>
      <c r="AQ55" s="74">
        <v>7.0673999999999997E-3</v>
      </c>
      <c r="AR55" s="74">
        <v>7.0673999999999997E-3</v>
      </c>
      <c r="AS55" s="74">
        <v>7.0673999999999997E-3</v>
      </c>
      <c r="AT55" s="74">
        <v>0</v>
      </c>
      <c r="AU55" s="74">
        <v>7.0673999999999997E-3</v>
      </c>
      <c r="AV55" s="74">
        <v>7.0673999999999997E-3</v>
      </c>
      <c r="AW55" s="74">
        <v>7.0673999999999997E-3</v>
      </c>
      <c r="AX55" s="74">
        <v>7.0673999999999989E-3</v>
      </c>
      <c r="AY55" s="74">
        <v>0.86068123774962901</v>
      </c>
      <c r="AZ55" s="74">
        <v>0.85101144145201335</v>
      </c>
      <c r="BA55" s="74">
        <v>0.85160410034195744</v>
      </c>
      <c r="BB55" s="74">
        <v>1.1700831907017475</v>
      </c>
      <c r="BC55" s="74">
        <v>1.1839549416869004</v>
      </c>
      <c r="BD55" s="74">
        <v>1.183099152171317</v>
      </c>
      <c r="BE55" s="73">
        <v>6.4354575488596105E-2</v>
      </c>
      <c r="BF55" s="73">
        <v>6.511752179277952E-2</v>
      </c>
      <c r="BG55" s="73">
        <v>6.5070453369422424E-2</v>
      </c>
    </row>
    <row r="56" spans="1:59">
      <c r="A56">
        <v>10158</v>
      </c>
      <c r="B56" t="s">
        <v>61</v>
      </c>
      <c r="C56">
        <v>1</v>
      </c>
      <c r="D56">
        <v>0</v>
      </c>
      <c r="E56" s="73">
        <v>2.8330000000000002</v>
      </c>
      <c r="F56" s="73">
        <v>2.2679999999999998</v>
      </c>
      <c r="G56" s="73">
        <v>2.2679999999999998</v>
      </c>
      <c r="H56" s="73">
        <v>2.2669999999999999</v>
      </c>
      <c r="I56" s="73">
        <v>0</v>
      </c>
      <c r="J56" s="73">
        <v>0</v>
      </c>
      <c r="K56" s="73">
        <v>0</v>
      </c>
      <c r="L56" s="73">
        <v>0</v>
      </c>
      <c r="M56" s="73">
        <v>0</v>
      </c>
      <c r="N56" s="73">
        <v>0</v>
      </c>
      <c r="O56" s="37">
        <v>0</v>
      </c>
      <c r="P56" s="37">
        <v>0</v>
      </c>
      <c r="Q56" s="37">
        <v>0</v>
      </c>
      <c r="R56" s="73">
        <v>2.2679999999999998</v>
      </c>
      <c r="S56" s="73">
        <v>2.2679999999999998</v>
      </c>
      <c r="T56" s="73">
        <v>2.2669999999999999</v>
      </c>
      <c r="U56" s="37">
        <v>19867.679999999997</v>
      </c>
      <c r="V56" s="37">
        <v>19867.679999999997</v>
      </c>
      <c r="W56" s="37">
        <v>19913.327999999998</v>
      </c>
      <c r="X56">
        <v>2.8069999999999999</v>
      </c>
      <c r="Y56" s="37">
        <v>24589.32</v>
      </c>
      <c r="Z56" s="37">
        <v>24589.32</v>
      </c>
      <c r="AA56" s="37">
        <v>24656.687999999998</v>
      </c>
      <c r="AB56" s="73">
        <v>0</v>
      </c>
      <c r="AC56" s="73">
        <v>0</v>
      </c>
      <c r="AD56" s="73">
        <v>0</v>
      </c>
      <c r="AE56" s="73">
        <v>0</v>
      </c>
      <c r="AF56" s="73">
        <v>0</v>
      </c>
      <c r="AG56" s="73">
        <v>0</v>
      </c>
      <c r="AH56" s="73">
        <v>0</v>
      </c>
      <c r="AI56" s="73">
        <v>0</v>
      </c>
      <c r="AJ56" s="73">
        <v>0</v>
      </c>
      <c r="AK56">
        <v>0</v>
      </c>
      <c r="AL56">
        <v>0</v>
      </c>
      <c r="AM56">
        <v>0</v>
      </c>
      <c r="AN56" s="73">
        <v>0</v>
      </c>
      <c r="AO56" s="73">
        <v>0</v>
      </c>
      <c r="AP56" s="73">
        <v>0</v>
      </c>
      <c r="AQ56" s="74">
        <v>3.19E-4</v>
      </c>
      <c r="AR56" s="74">
        <v>3.19E-4</v>
      </c>
      <c r="AS56" s="74">
        <v>3.189E-4</v>
      </c>
      <c r="AT56" s="74">
        <v>0</v>
      </c>
      <c r="AU56" s="74">
        <v>3.19E-4</v>
      </c>
      <c r="AV56" s="74">
        <v>3.19E-4</v>
      </c>
      <c r="AW56" s="74">
        <v>3.189E-4</v>
      </c>
      <c r="AX56" s="74">
        <v>3.1896666666666665E-4</v>
      </c>
      <c r="AY56" s="74">
        <v>0.99997667019400371</v>
      </c>
      <c r="AZ56" s="74">
        <v>0.99997667019400371</v>
      </c>
      <c r="BA56" s="74">
        <v>1</v>
      </c>
      <c r="BB56" s="74">
        <v>1</v>
      </c>
      <c r="BC56" s="74">
        <v>1</v>
      </c>
      <c r="BD56" s="74">
        <v>1</v>
      </c>
      <c r="BE56" s="74">
        <v>0</v>
      </c>
      <c r="BF56" s="74">
        <v>0</v>
      </c>
      <c r="BG56" s="74">
        <v>0</v>
      </c>
    </row>
    <row r="57" spans="1:59">
      <c r="A57">
        <v>10170</v>
      </c>
      <c r="B57" t="s">
        <v>62</v>
      </c>
      <c r="C57">
        <v>1</v>
      </c>
      <c r="D57">
        <v>0</v>
      </c>
      <c r="E57" s="73">
        <v>254.84299999999999</v>
      </c>
      <c r="F57" s="73">
        <v>284.11900000000003</v>
      </c>
      <c r="G57" s="73">
        <v>288.18700000000001</v>
      </c>
      <c r="H57" s="73">
        <v>289.00200000000001</v>
      </c>
      <c r="I57" s="73">
        <v>1</v>
      </c>
      <c r="J57" s="73">
        <v>1</v>
      </c>
      <c r="K57" s="73">
        <v>1</v>
      </c>
      <c r="L57" s="73">
        <v>34.360999999999997</v>
      </c>
      <c r="M57" s="73">
        <v>34.357999999999997</v>
      </c>
      <c r="N57" s="73">
        <v>34.347000000000001</v>
      </c>
      <c r="O57" s="37">
        <v>301002.36</v>
      </c>
      <c r="P57" s="37">
        <v>300976.07999999996</v>
      </c>
      <c r="Q57" s="37">
        <v>301704.04800000001</v>
      </c>
      <c r="R57" s="73">
        <v>248.75800000000001</v>
      </c>
      <c r="S57" s="73">
        <v>252.82900000000001</v>
      </c>
      <c r="T57" s="73">
        <v>253.655</v>
      </c>
      <c r="U57" s="37">
        <v>2179120.08</v>
      </c>
      <c r="V57" s="37">
        <v>2214782.04</v>
      </c>
      <c r="W57" s="37">
        <v>2228105.52</v>
      </c>
      <c r="X57">
        <v>252.54400000000001</v>
      </c>
      <c r="Y57" s="37">
        <v>2212285.4399999999</v>
      </c>
      <c r="Z57" s="37">
        <v>2212285.4399999999</v>
      </c>
      <c r="AA57" s="37">
        <v>2218346.4960000003</v>
      </c>
      <c r="AB57" s="73">
        <v>0</v>
      </c>
      <c r="AC57" s="73">
        <v>0.28499999999999998</v>
      </c>
      <c r="AD57" s="73">
        <v>1.111</v>
      </c>
      <c r="AE57" s="73">
        <v>0</v>
      </c>
      <c r="AF57" s="73">
        <v>0</v>
      </c>
      <c r="AG57" s="73">
        <v>1.111</v>
      </c>
      <c r="AH57" s="73">
        <v>0</v>
      </c>
      <c r="AI57" s="73">
        <v>0.28499999999999998</v>
      </c>
      <c r="AJ57" s="73">
        <v>0</v>
      </c>
      <c r="AK57">
        <v>0</v>
      </c>
      <c r="AL57">
        <v>0</v>
      </c>
      <c r="AM57">
        <v>0</v>
      </c>
      <c r="AN57" s="73">
        <v>0</v>
      </c>
      <c r="AO57" s="73">
        <v>0</v>
      </c>
      <c r="AP57" s="73">
        <v>1.111</v>
      </c>
      <c r="AQ57" s="74">
        <v>3.4989300000000001E-2</v>
      </c>
      <c r="AR57" s="74">
        <v>3.5521799999999999E-2</v>
      </c>
      <c r="AS57" s="74">
        <v>3.5521799999999999E-2</v>
      </c>
      <c r="AT57" s="74">
        <v>1.7916000000000001E-2</v>
      </c>
      <c r="AU57" s="74">
        <v>1.70733E-2</v>
      </c>
      <c r="AV57" s="74">
        <v>1.7605799999999998E-2</v>
      </c>
      <c r="AW57" s="74">
        <v>1.7605799999999998E-2</v>
      </c>
      <c r="AX57" s="74">
        <v>1.7428299999999997E-2</v>
      </c>
      <c r="AY57" s="74">
        <v>1</v>
      </c>
      <c r="AZ57" s="74">
        <v>0.99900790855296373</v>
      </c>
      <c r="BA57" s="74">
        <v>0.99614268037583065</v>
      </c>
      <c r="BB57" s="74">
        <v>1</v>
      </c>
      <c r="BC57" s="74">
        <v>1.0011285162189558</v>
      </c>
      <c r="BD57" s="74">
        <v>1.0043992334009122</v>
      </c>
      <c r="BE57" s="74">
        <v>0</v>
      </c>
      <c r="BF57" s="74">
        <v>0</v>
      </c>
      <c r="BG57" s="74">
        <v>0</v>
      </c>
    </row>
    <row r="58" spans="1:59">
      <c r="A58">
        <v>10172</v>
      </c>
      <c r="B58" t="s">
        <v>63</v>
      </c>
      <c r="C58">
        <v>1</v>
      </c>
      <c r="D58">
        <v>0</v>
      </c>
      <c r="E58" s="73">
        <v>6.1929999999999996</v>
      </c>
      <c r="F58" s="73">
        <v>5.2160000000000002</v>
      </c>
      <c r="G58" s="73">
        <v>5.2629999999999999</v>
      </c>
      <c r="H58" s="73">
        <v>5.2850000000000001</v>
      </c>
      <c r="I58" s="73">
        <v>0</v>
      </c>
      <c r="J58" s="73">
        <v>0</v>
      </c>
      <c r="K58" s="73">
        <v>0</v>
      </c>
      <c r="L58" s="73">
        <v>0</v>
      </c>
      <c r="M58" s="73">
        <v>0</v>
      </c>
      <c r="N58" s="73">
        <v>0</v>
      </c>
      <c r="O58" s="37">
        <v>0</v>
      </c>
      <c r="P58" s="37">
        <v>0</v>
      </c>
      <c r="Q58" s="37">
        <v>0</v>
      </c>
      <c r="R58" s="73">
        <v>5.2160000000000002</v>
      </c>
      <c r="S58" s="73">
        <v>5.2629999999999999</v>
      </c>
      <c r="T58" s="73">
        <v>5.2850000000000001</v>
      </c>
      <c r="U58" s="37">
        <v>45692.160000000003</v>
      </c>
      <c r="V58" s="37">
        <v>46103.88</v>
      </c>
      <c r="W58" s="37">
        <v>46423.44</v>
      </c>
      <c r="X58">
        <v>6.1369999999999996</v>
      </c>
      <c r="Y58" s="37">
        <v>53760.119999999995</v>
      </c>
      <c r="Z58" s="37">
        <v>53760.119999999995</v>
      </c>
      <c r="AA58" s="37">
        <v>53907.407999999996</v>
      </c>
      <c r="AB58" s="73">
        <v>0</v>
      </c>
      <c r="AC58" s="73">
        <v>0</v>
      </c>
      <c r="AD58" s="73">
        <v>0</v>
      </c>
      <c r="AE58" s="73">
        <v>0</v>
      </c>
      <c r="AF58" s="73">
        <v>0</v>
      </c>
      <c r="AG58" s="73">
        <v>0</v>
      </c>
      <c r="AH58" s="73">
        <v>0</v>
      </c>
      <c r="AI58" s="73">
        <v>0</v>
      </c>
      <c r="AJ58" s="73">
        <v>0</v>
      </c>
      <c r="AK58">
        <v>0</v>
      </c>
      <c r="AL58">
        <v>0</v>
      </c>
      <c r="AM58">
        <v>0</v>
      </c>
      <c r="AN58" s="73">
        <v>0</v>
      </c>
      <c r="AO58" s="73">
        <v>0</v>
      </c>
      <c r="AP58" s="73">
        <v>0</v>
      </c>
      <c r="AQ58" s="74">
        <v>7.337E-4</v>
      </c>
      <c r="AR58" s="74">
        <v>7.4030000000000005E-4</v>
      </c>
      <c r="AS58" s="74">
        <v>7.4339999999999996E-4</v>
      </c>
      <c r="AT58" s="74">
        <v>0</v>
      </c>
      <c r="AU58" s="74">
        <v>7.337E-4</v>
      </c>
      <c r="AV58" s="74">
        <v>7.4030000000000005E-4</v>
      </c>
      <c r="AW58" s="74">
        <v>7.4339999999999996E-4</v>
      </c>
      <c r="AX58" s="74">
        <v>7.3913333333333337E-4</v>
      </c>
      <c r="AY58" s="74">
        <v>1</v>
      </c>
      <c r="AZ58" s="74">
        <v>1</v>
      </c>
      <c r="BA58" s="74">
        <v>1</v>
      </c>
      <c r="BB58" s="74">
        <v>1</v>
      </c>
      <c r="BC58" s="74">
        <v>1</v>
      </c>
      <c r="BD58" s="74">
        <v>1</v>
      </c>
      <c r="BE58" s="74">
        <v>0</v>
      </c>
      <c r="BF58" s="74">
        <v>0</v>
      </c>
      <c r="BG58" s="74">
        <v>0</v>
      </c>
    </row>
    <row r="59" spans="1:59">
      <c r="A59">
        <v>10173</v>
      </c>
      <c r="B59" t="s">
        <v>64</v>
      </c>
      <c r="C59">
        <v>0</v>
      </c>
      <c r="D59">
        <v>1</v>
      </c>
      <c r="E59" s="73">
        <v>33.624000000000002</v>
      </c>
      <c r="F59" s="73">
        <v>48.944000000000003</v>
      </c>
      <c r="G59" s="73">
        <v>49.859000000000002</v>
      </c>
      <c r="H59" s="73">
        <v>50.735999999999997</v>
      </c>
      <c r="I59" s="73">
        <v>0</v>
      </c>
      <c r="J59" s="73">
        <v>0</v>
      </c>
      <c r="K59" s="73">
        <v>0</v>
      </c>
      <c r="L59" s="73">
        <v>2.0939999999999999</v>
      </c>
      <c r="M59" s="73">
        <v>2.0939999999999999</v>
      </c>
      <c r="N59" s="73">
        <v>2.09</v>
      </c>
      <c r="O59" s="37">
        <v>18343.439999999999</v>
      </c>
      <c r="P59" s="37">
        <v>18343.439999999999</v>
      </c>
      <c r="Q59" s="37">
        <v>18358.559999999998</v>
      </c>
      <c r="R59" s="73">
        <v>46.85</v>
      </c>
      <c r="S59" s="73">
        <v>47.765000000000001</v>
      </c>
      <c r="T59" s="73">
        <v>48.646000000000001</v>
      </c>
      <c r="U59" s="37">
        <v>410406</v>
      </c>
      <c r="V59" s="37">
        <v>418421.4</v>
      </c>
      <c r="W59" s="37">
        <v>427306.46399999998</v>
      </c>
      <c r="X59">
        <v>33.320999999999998</v>
      </c>
      <c r="Y59" s="37">
        <v>291891.95999999996</v>
      </c>
      <c r="Z59" s="37">
        <v>291891.95999999996</v>
      </c>
      <c r="AA59" s="37">
        <v>292691.66399999999</v>
      </c>
      <c r="AB59" s="73">
        <v>13.529</v>
      </c>
      <c r="AC59" s="73">
        <v>14.444000000000001</v>
      </c>
      <c r="AD59" s="73">
        <v>15.324999999999999</v>
      </c>
      <c r="AE59" s="73">
        <v>13.529</v>
      </c>
      <c r="AF59" s="73">
        <v>14.444000000000001</v>
      </c>
      <c r="AG59" s="73">
        <v>15.324999999999999</v>
      </c>
      <c r="AH59" s="73">
        <v>0</v>
      </c>
      <c r="AI59" s="73">
        <v>0</v>
      </c>
      <c r="AJ59" s="73">
        <v>0</v>
      </c>
      <c r="AK59">
        <v>0</v>
      </c>
      <c r="AL59">
        <v>0</v>
      </c>
      <c r="AM59">
        <v>0</v>
      </c>
      <c r="AN59" s="73">
        <v>13.529</v>
      </c>
      <c r="AO59" s="73">
        <v>14.444000000000001</v>
      </c>
      <c r="AP59" s="73">
        <v>15.324999999999999</v>
      </c>
      <c r="AQ59" s="74">
        <v>4.6867999999999996E-3</v>
      </c>
      <c r="AR59" s="74">
        <v>4.6867999999999996E-3</v>
      </c>
      <c r="AS59" s="74">
        <v>4.6867999999999996E-3</v>
      </c>
      <c r="AT59" s="74">
        <v>0</v>
      </c>
      <c r="AU59" s="74">
        <v>4.6867999999999996E-3</v>
      </c>
      <c r="AV59" s="74">
        <v>4.6867999999999996E-3</v>
      </c>
      <c r="AW59" s="74">
        <v>4.6867999999999996E-3</v>
      </c>
      <c r="AX59" s="74">
        <v>4.6867999999999996E-3</v>
      </c>
      <c r="AY59" s="74">
        <v>0.72358304007845708</v>
      </c>
      <c r="AZ59" s="74">
        <v>0.71030402361860445</v>
      </c>
      <c r="BA59" s="74">
        <v>0.69794718372753095</v>
      </c>
      <c r="BB59" s="74">
        <v>1.4060202274841693</v>
      </c>
      <c r="BC59" s="74">
        <v>1.4334803877434652</v>
      </c>
      <c r="BD59" s="74">
        <v>1.4599201704630715</v>
      </c>
      <c r="BE59" s="74">
        <v>9.8421415923891864E-2</v>
      </c>
      <c r="BF59" s="74">
        <v>0.10034362714204258</v>
      </c>
      <c r="BG59" s="74">
        <v>0.10219441193241502</v>
      </c>
    </row>
    <row r="60" spans="1:59">
      <c r="A60">
        <v>10174</v>
      </c>
      <c r="B60" t="s">
        <v>65</v>
      </c>
      <c r="C60">
        <v>1</v>
      </c>
      <c r="D60">
        <v>0</v>
      </c>
      <c r="E60" s="73">
        <v>0.51500000000000001</v>
      </c>
      <c r="F60" s="73">
        <v>0.61899999999999999</v>
      </c>
      <c r="G60" s="73">
        <v>0.621</v>
      </c>
      <c r="H60" s="73">
        <v>0.622</v>
      </c>
      <c r="I60" s="73">
        <v>0</v>
      </c>
      <c r="J60" s="73">
        <v>0</v>
      </c>
      <c r="K60" s="73">
        <v>0</v>
      </c>
      <c r="L60" s="73">
        <v>0</v>
      </c>
      <c r="M60" s="73">
        <v>0</v>
      </c>
      <c r="N60" s="73">
        <v>0</v>
      </c>
      <c r="O60" s="37">
        <v>0</v>
      </c>
      <c r="P60" s="37">
        <v>0</v>
      </c>
      <c r="Q60" s="37">
        <v>0</v>
      </c>
      <c r="R60" s="73">
        <v>0.61899999999999999</v>
      </c>
      <c r="S60" s="73">
        <v>0.621</v>
      </c>
      <c r="T60" s="73">
        <v>0.622</v>
      </c>
      <c r="U60" s="37">
        <v>5422.44</v>
      </c>
      <c r="V60" s="37">
        <v>5439.96</v>
      </c>
      <c r="W60" s="37">
        <v>5463.6480000000001</v>
      </c>
      <c r="X60">
        <v>0.51</v>
      </c>
      <c r="Y60" s="37">
        <v>4467.6000000000004</v>
      </c>
      <c r="Z60" s="37">
        <v>4467.6000000000004</v>
      </c>
      <c r="AA60" s="37">
        <v>4479.84</v>
      </c>
      <c r="AB60" s="73">
        <v>0.109</v>
      </c>
      <c r="AC60" s="73">
        <v>0.111</v>
      </c>
      <c r="AD60" s="73">
        <v>0.112</v>
      </c>
      <c r="AE60" s="73">
        <v>0</v>
      </c>
      <c r="AF60" s="73">
        <v>0</v>
      </c>
      <c r="AG60" s="73">
        <v>0</v>
      </c>
      <c r="AH60" s="73">
        <v>0.109</v>
      </c>
      <c r="AI60" s="73">
        <v>0.111</v>
      </c>
      <c r="AJ60" s="73">
        <v>0.112</v>
      </c>
      <c r="AK60">
        <v>0</v>
      </c>
      <c r="AL60">
        <v>0</v>
      </c>
      <c r="AM60">
        <v>0</v>
      </c>
      <c r="AN60" s="73">
        <v>0</v>
      </c>
      <c r="AO60" s="73">
        <v>0</v>
      </c>
      <c r="AP60" s="73">
        <v>0</v>
      </c>
      <c r="AQ60" s="74">
        <v>7.1699999999999995E-5</v>
      </c>
      <c r="AR60" s="74">
        <v>7.1699999999999995E-5</v>
      </c>
      <c r="AS60" s="74">
        <v>7.1699999999999995E-5</v>
      </c>
      <c r="AT60" s="74">
        <v>0</v>
      </c>
      <c r="AU60" s="74">
        <v>7.1699999999999995E-5</v>
      </c>
      <c r="AV60" s="74">
        <v>7.1699999999999995E-5</v>
      </c>
      <c r="AW60" s="74">
        <v>7.1699999999999995E-5</v>
      </c>
      <c r="AX60" s="74">
        <v>7.1699999999999995E-5</v>
      </c>
      <c r="AY60" s="74">
        <v>0.82351353537964456</v>
      </c>
      <c r="AZ60" s="74">
        <v>0.82086131787439609</v>
      </c>
      <c r="BA60" s="74">
        <v>0.81954160514469454</v>
      </c>
      <c r="BB60" s="74">
        <v>1.2137254901960783</v>
      </c>
      <c r="BC60" s="74">
        <v>1.2176470588235293</v>
      </c>
      <c r="BD60" s="74">
        <v>1.2196078431372548</v>
      </c>
      <c r="BE60" s="74">
        <v>0</v>
      </c>
      <c r="BF60" s="74">
        <v>0</v>
      </c>
      <c r="BG60" s="74">
        <v>0</v>
      </c>
    </row>
    <row r="61" spans="1:59">
      <c r="A61">
        <v>10177</v>
      </c>
      <c r="B61" t="s">
        <v>66</v>
      </c>
      <c r="C61">
        <v>1</v>
      </c>
      <c r="D61">
        <v>0</v>
      </c>
      <c r="E61" s="73">
        <v>11.839</v>
      </c>
      <c r="F61" s="73">
        <v>9.6630000000000003</v>
      </c>
      <c r="G61" s="73">
        <v>9.7059999999999995</v>
      </c>
      <c r="H61" s="73">
        <v>9.75</v>
      </c>
      <c r="I61" s="73">
        <v>0</v>
      </c>
      <c r="J61" s="73">
        <v>0</v>
      </c>
      <c r="K61" s="73">
        <v>0</v>
      </c>
      <c r="L61" s="73">
        <v>0</v>
      </c>
      <c r="M61" s="73">
        <v>0</v>
      </c>
      <c r="N61" s="73">
        <v>0</v>
      </c>
      <c r="O61" s="37">
        <v>0</v>
      </c>
      <c r="P61" s="37">
        <v>0</v>
      </c>
      <c r="Q61" s="37">
        <v>0</v>
      </c>
      <c r="R61" s="73">
        <v>9.6630000000000003</v>
      </c>
      <c r="S61" s="73">
        <v>9.7059999999999995</v>
      </c>
      <c r="T61" s="73">
        <v>9.75</v>
      </c>
      <c r="U61" s="37">
        <v>84647.88</v>
      </c>
      <c r="V61" s="37">
        <v>85024.56</v>
      </c>
      <c r="W61" s="37">
        <v>85644</v>
      </c>
      <c r="X61">
        <v>11.731999999999999</v>
      </c>
      <c r="Y61" s="37">
        <v>102772.31999999999</v>
      </c>
      <c r="Z61" s="37">
        <v>102772.31999999999</v>
      </c>
      <c r="AA61" s="37">
        <v>103053.88799999999</v>
      </c>
      <c r="AB61" s="73">
        <v>0</v>
      </c>
      <c r="AC61" s="73">
        <v>0</v>
      </c>
      <c r="AD61" s="73">
        <v>0</v>
      </c>
      <c r="AE61" s="73">
        <v>0</v>
      </c>
      <c r="AF61" s="73">
        <v>0</v>
      </c>
      <c r="AG61" s="73">
        <v>0</v>
      </c>
      <c r="AH61" s="73">
        <v>0</v>
      </c>
      <c r="AI61" s="73">
        <v>0</v>
      </c>
      <c r="AJ61" s="73">
        <v>0</v>
      </c>
      <c r="AK61">
        <v>0</v>
      </c>
      <c r="AL61">
        <v>0</v>
      </c>
      <c r="AM61">
        <v>0</v>
      </c>
      <c r="AN61" s="73">
        <v>0</v>
      </c>
      <c r="AO61" s="73">
        <v>0</v>
      </c>
      <c r="AP61" s="73">
        <v>0</v>
      </c>
      <c r="AQ61" s="74">
        <v>1.3592000000000001E-3</v>
      </c>
      <c r="AR61" s="74">
        <v>1.3652E-3</v>
      </c>
      <c r="AS61" s="74">
        <v>1.3714E-3</v>
      </c>
      <c r="AT61" s="74">
        <v>0</v>
      </c>
      <c r="AU61" s="74">
        <v>1.3592000000000001E-3</v>
      </c>
      <c r="AV61" s="74">
        <v>1.3652E-3</v>
      </c>
      <c r="AW61" s="74">
        <v>1.3714E-3</v>
      </c>
      <c r="AX61" s="74">
        <v>1.3652666666666667E-3</v>
      </c>
      <c r="AY61" s="74">
        <v>1</v>
      </c>
      <c r="AZ61" s="74">
        <v>0.99999591906037522</v>
      </c>
      <c r="BA61" s="74">
        <v>1</v>
      </c>
      <c r="BB61" s="74">
        <v>1</v>
      </c>
      <c r="BC61" s="74">
        <v>1</v>
      </c>
      <c r="BD61" s="74">
        <v>1</v>
      </c>
      <c r="BE61" s="74">
        <v>7.0000000000000007E-2</v>
      </c>
      <c r="BF61" s="74">
        <v>7.0000000000000007E-2</v>
      </c>
      <c r="BG61" s="74">
        <v>7.0000000000000007E-2</v>
      </c>
    </row>
    <row r="62" spans="1:59">
      <c r="A62">
        <v>10179</v>
      </c>
      <c r="B62" t="s">
        <v>67</v>
      </c>
      <c r="C62">
        <v>0</v>
      </c>
      <c r="D62">
        <v>1</v>
      </c>
      <c r="E62" s="73">
        <v>169.31100000000001</v>
      </c>
      <c r="F62" s="73">
        <v>200.96199999999999</v>
      </c>
      <c r="G62" s="73">
        <v>203.79400000000001</v>
      </c>
      <c r="H62" s="73">
        <v>206.24299999999999</v>
      </c>
      <c r="I62" s="73">
        <v>0</v>
      </c>
      <c r="J62" s="73">
        <v>0</v>
      </c>
      <c r="K62" s="73">
        <v>0</v>
      </c>
      <c r="L62" s="73">
        <v>5.5819999999999999</v>
      </c>
      <c r="M62" s="73">
        <v>5.8609999999999998</v>
      </c>
      <c r="N62" s="73">
        <v>6.1539999999999999</v>
      </c>
      <c r="O62" s="37">
        <v>48898.32</v>
      </c>
      <c r="P62" s="37">
        <v>51342.36</v>
      </c>
      <c r="Q62" s="37">
        <v>54056.735999999997</v>
      </c>
      <c r="R62" s="73">
        <v>195.38</v>
      </c>
      <c r="S62" s="73">
        <v>197.93299999999999</v>
      </c>
      <c r="T62" s="73">
        <v>200.089</v>
      </c>
      <c r="U62" s="37">
        <v>1711528.8</v>
      </c>
      <c r="V62" s="37">
        <v>1733893.0799999998</v>
      </c>
      <c r="W62" s="37">
        <v>1757581.7760000001</v>
      </c>
      <c r="X62">
        <v>167.78399999999999</v>
      </c>
      <c r="Y62" s="37">
        <v>1469787.8399999999</v>
      </c>
      <c r="Z62" s="37">
        <v>1469787.8399999999</v>
      </c>
      <c r="AA62" s="37">
        <v>1473814.656</v>
      </c>
      <c r="AB62" s="73">
        <v>27.596</v>
      </c>
      <c r="AC62" s="73">
        <v>30.149000000000001</v>
      </c>
      <c r="AD62" s="73">
        <v>32.305</v>
      </c>
      <c r="AE62" s="73">
        <v>27.596</v>
      </c>
      <c r="AF62" s="73">
        <v>30.149000000000001</v>
      </c>
      <c r="AG62" s="73">
        <v>32.305</v>
      </c>
      <c r="AH62" s="73">
        <v>0</v>
      </c>
      <c r="AI62" s="73">
        <v>0</v>
      </c>
      <c r="AJ62" s="73">
        <v>0</v>
      </c>
      <c r="AK62">
        <v>0</v>
      </c>
      <c r="AL62">
        <v>0</v>
      </c>
      <c r="AM62">
        <v>0</v>
      </c>
      <c r="AN62" s="73">
        <v>27.596</v>
      </c>
      <c r="AO62" s="73">
        <v>30.149000000000001</v>
      </c>
      <c r="AP62" s="73">
        <v>32.305</v>
      </c>
      <c r="AQ62" s="74">
        <v>2.3599800000000001E-2</v>
      </c>
      <c r="AR62" s="74">
        <v>2.3599800000000001E-2</v>
      </c>
      <c r="AS62" s="74">
        <v>2.3599800000000001E-2</v>
      </c>
      <c r="AT62" s="74">
        <v>0</v>
      </c>
      <c r="AU62" s="74">
        <v>2.3599800000000001E-2</v>
      </c>
      <c r="AV62" s="74">
        <v>2.3599800000000001E-2</v>
      </c>
      <c r="AW62" s="74">
        <v>2.3599800000000001E-2</v>
      </c>
      <c r="AX62" s="74">
        <v>2.3599800000000001E-2</v>
      </c>
      <c r="AY62" s="74">
        <v>0.86268053308386672</v>
      </c>
      <c r="AZ62" s="74">
        <v>0.85206142128620088</v>
      </c>
      <c r="BA62" s="74">
        <v>0.8433644064991298</v>
      </c>
      <c r="BB62" s="74">
        <v>1.1644733705240071</v>
      </c>
      <c r="BC62" s="74">
        <v>1.1796893625137082</v>
      </c>
      <c r="BD62" s="74">
        <v>1.1925392170886377</v>
      </c>
      <c r="BE62" s="74">
        <v>0</v>
      </c>
      <c r="BF62" s="74">
        <v>0</v>
      </c>
      <c r="BG62" s="74">
        <v>0</v>
      </c>
    </row>
    <row r="63" spans="1:59">
      <c r="A63">
        <v>10183</v>
      </c>
      <c r="B63" t="s">
        <v>68</v>
      </c>
      <c r="C63">
        <v>1</v>
      </c>
      <c r="D63">
        <v>0</v>
      </c>
      <c r="E63" s="73">
        <v>119.102</v>
      </c>
      <c r="F63" s="73">
        <v>144.96</v>
      </c>
      <c r="G63" s="73">
        <v>146.18899999999999</v>
      </c>
      <c r="H63" s="73">
        <v>147.16399999999999</v>
      </c>
      <c r="I63" s="73">
        <v>0</v>
      </c>
      <c r="J63" s="73">
        <v>0</v>
      </c>
      <c r="K63" s="73">
        <v>0</v>
      </c>
      <c r="L63" s="73">
        <v>0.68899999999999995</v>
      </c>
      <c r="M63" s="73">
        <v>0.68899999999999995</v>
      </c>
      <c r="N63" s="73">
        <v>0.68899999999999995</v>
      </c>
      <c r="O63" s="37">
        <v>6035.6399999999994</v>
      </c>
      <c r="P63" s="37">
        <v>6035.6399999999994</v>
      </c>
      <c r="Q63" s="37">
        <v>6052.1759999999995</v>
      </c>
      <c r="R63" s="73">
        <v>144.27099999999999</v>
      </c>
      <c r="S63" s="73">
        <v>145.5</v>
      </c>
      <c r="T63" s="73">
        <v>146.47499999999999</v>
      </c>
      <c r="U63" s="37">
        <v>1263813.96</v>
      </c>
      <c r="V63" s="37">
        <v>1274580</v>
      </c>
      <c r="W63" s="37">
        <v>1286636.3999999999</v>
      </c>
      <c r="X63">
        <v>118.02800000000001</v>
      </c>
      <c r="Y63" s="37">
        <v>1033925.28</v>
      </c>
      <c r="Z63" s="37">
        <v>1033925.28</v>
      </c>
      <c r="AA63" s="37">
        <v>1036757.952</v>
      </c>
      <c r="AB63" s="73">
        <v>26.242999999999999</v>
      </c>
      <c r="AC63" s="73">
        <v>27.472000000000001</v>
      </c>
      <c r="AD63" s="73">
        <v>28.446999999999999</v>
      </c>
      <c r="AE63" s="73">
        <v>26.242999999999999</v>
      </c>
      <c r="AF63" s="73">
        <v>27.472000000000001</v>
      </c>
      <c r="AG63" s="73">
        <v>28.446999999999999</v>
      </c>
      <c r="AH63" s="73">
        <v>0</v>
      </c>
      <c r="AI63" s="73">
        <v>0</v>
      </c>
      <c r="AJ63" s="73">
        <v>0</v>
      </c>
      <c r="AK63">
        <v>0</v>
      </c>
      <c r="AL63">
        <v>0</v>
      </c>
      <c r="AM63">
        <v>0</v>
      </c>
      <c r="AN63" s="73">
        <v>26.242999999999999</v>
      </c>
      <c r="AO63" s="73">
        <v>27.472000000000001</v>
      </c>
      <c r="AP63" s="73">
        <v>28.446999999999999</v>
      </c>
      <c r="AQ63" s="74">
        <v>1.6601299999999999E-2</v>
      </c>
      <c r="AR63" s="74">
        <v>1.6601299999999999E-2</v>
      </c>
      <c r="AS63" s="74">
        <v>1.6601299999999999E-2</v>
      </c>
      <c r="AT63" s="74">
        <v>7.7818999999999996E-3</v>
      </c>
      <c r="AU63" s="74">
        <v>8.8193999999999998E-3</v>
      </c>
      <c r="AV63" s="74">
        <v>8.8193999999999998E-3</v>
      </c>
      <c r="AW63" s="74">
        <v>8.8193999999999998E-3</v>
      </c>
      <c r="AX63" s="74">
        <v>8.8193999999999998E-3</v>
      </c>
      <c r="AY63" s="74">
        <v>0.81896251115894036</v>
      </c>
      <c r="AZ63" s="74">
        <v>0.81207755451914987</v>
      </c>
      <c r="BA63" s="74">
        <v>0.806697328270501</v>
      </c>
      <c r="BB63" s="74">
        <v>1.2223455451248855</v>
      </c>
      <c r="BC63" s="74">
        <v>1.2327583285322126</v>
      </c>
      <c r="BD63" s="74">
        <v>1.2410190802182532</v>
      </c>
      <c r="BE63" s="74">
        <v>0</v>
      </c>
      <c r="BF63" s="74">
        <v>0</v>
      </c>
      <c r="BG63" s="74">
        <v>0</v>
      </c>
    </row>
    <row r="64" spans="1:59">
      <c r="A64">
        <v>10186</v>
      </c>
      <c r="B64" t="s">
        <v>69</v>
      </c>
      <c r="C64">
        <v>1</v>
      </c>
      <c r="D64">
        <v>0</v>
      </c>
      <c r="E64" s="73">
        <v>21.635000000000002</v>
      </c>
      <c r="F64" s="73">
        <v>21.806999999999999</v>
      </c>
      <c r="G64" s="73">
        <v>21.806999999999999</v>
      </c>
      <c r="H64" s="73">
        <v>21.806999999999999</v>
      </c>
      <c r="I64" s="73">
        <v>0</v>
      </c>
      <c r="J64" s="73">
        <v>0</v>
      </c>
      <c r="K64" s="73">
        <v>0</v>
      </c>
      <c r="L64" s="73">
        <v>3.3159999999999998</v>
      </c>
      <c r="M64" s="73">
        <v>3.3159999999999998</v>
      </c>
      <c r="N64" s="73">
        <v>3.3180000000000001</v>
      </c>
      <c r="O64" s="37">
        <v>29048.16</v>
      </c>
      <c r="P64" s="37">
        <v>29048.16</v>
      </c>
      <c r="Q64" s="37">
        <v>29145.312000000002</v>
      </c>
      <c r="R64" s="73">
        <v>18.491</v>
      </c>
      <c r="S64" s="73">
        <v>18.491</v>
      </c>
      <c r="T64" s="73">
        <v>18.489000000000001</v>
      </c>
      <c r="U64" s="37">
        <v>161981.16</v>
      </c>
      <c r="V64" s="37">
        <v>161981.16</v>
      </c>
      <c r="W64" s="37">
        <v>162407.37600000002</v>
      </c>
      <c r="X64">
        <v>21.44</v>
      </c>
      <c r="Y64" s="37">
        <v>187814.40000000002</v>
      </c>
      <c r="Z64" s="37">
        <v>187814.40000000002</v>
      </c>
      <c r="AA64" s="37">
        <v>188328.96000000002</v>
      </c>
      <c r="AB64" s="73">
        <v>0</v>
      </c>
      <c r="AC64" s="73">
        <v>0</v>
      </c>
      <c r="AD64" s="73">
        <v>0</v>
      </c>
      <c r="AE64" s="73">
        <v>0</v>
      </c>
      <c r="AF64" s="73">
        <v>0</v>
      </c>
      <c r="AG64" s="73">
        <v>0</v>
      </c>
      <c r="AH64" s="73">
        <v>0</v>
      </c>
      <c r="AI64" s="73">
        <v>0</v>
      </c>
      <c r="AJ64" s="73">
        <v>0</v>
      </c>
      <c r="AK64">
        <v>0</v>
      </c>
      <c r="AL64">
        <v>0</v>
      </c>
      <c r="AM64">
        <v>0</v>
      </c>
      <c r="AN64" s="73">
        <v>0</v>
      </c>
      <c r="AO64" s="73">
        <v>0</v>
      </c>
      <c r="AP64" s="73">
        <v>0</v>
      </c>
      <c r="AQ64" s="74">
        <v>2.6009000000000002E-3</v>
      </c>
      <c r="AR64" s="74">
        <v>2.6009000000000002E-3</v>
      </c>
      <c r="AS64" s="74">
        <v>2.6005999999999998E-3</v>
      </c>
      <c r="AT64" s="74">
        <v>0</v>
      </c>
      <c r="AU64" s="74">
        <v>2.6009000000000002E-3</v>
      </c>
      <c r="AV64" s="74">
        <v>2.6009000000000002E-3</v>
      </c>
      <c r="AW64" s="74">
        <v>2.6005999999999998E-3</v>
      </c>
      <c r="AX64" s="74">
        <v>2.6007999999999999E-3</v>
      </c>
      <c r="AY64" s="74">
        <v>1</v>
      </c>
      <c r="AZ64" s="74">
        <v>1</v>
      </c>
      <c r="BA64" s="74">
        <v>1</v>
      </c>
      <c r="BB64" s="74">
        <v>1</v>
      </c>
      <c r="BC64" s="74">
        <v>1</v>
      </c>
      <c r="BD64" s="74">
        <v>1</v>
      </c>
      <c r="BE64" s="74">
        <v>7.0000000000000007E-2</v>
      </c>
      <c r="BF64" s="74">
        <v>7.0000000000000007E-2</v>
      </c>
      <c r="BG64" s="74">
        <v>7.0000000000000007E-2</v>
      </c>
    </row>
    <row r="65" spans="1:59">
      <c r="A65">
        <v>10190</v>
      </c>
      <c r="B65" t="s">
        <v>70</v>
      </c>
      <c r="C65">
        <v>1</v>
      </c>
      <c r="D65">
        <v>0</v>
      </c>
      <c r="E65" s="73">
        <v>5.2690000000000001</v>
      </c>
      <c r="F65" s="73">
        <v>8.1679999999999993</v>
      </c>
      <c r="G65" s="73">
        <v>8.1679999999999993</v>
      </c>
      <c r="H65" s="73">
        <v>8.3089999999999993</v>
      </c>
      <c r="I65" s="73">
        <v>0</v>
      </c>
      <c r="J65" s="73">
        <v>0</v>
      </c>
      <c r="K65" s="73">
        <v>0</v>
      </c>
      <c r="L65" s="73">
        <v>0</v>
      </c>
      <c r="M65" s="73">
        <v>0</v>
      </c>
      <c r="N65" s="73">
        <v>0</v>
      </c>
      <c r="O65" s="37">
        <v>0</v>
      </c>
      <c r="P65" s="37">
        <v>0</v>
      </c>
      <c r="Q65" s="37">
        <v>0</v>
      </c>
      <c r="R65" s="73">
        <v>8.1679999999999993</v>
      </c>
      <c r="S65" s="73">
        <v>8.1679999999999993</v>
      </c>
      <c r="T65" s="73">
        <v>8.3089999999999993</v>
      </c>
      <c r="U65" s="37">
        <v>71551.679999999993</v>
      </c>
      <c r="V65" s="37">
        <v>71551.679999999993</v>
      </c>
      <c r="W65" s="37">
        <v>72986.255999999994</v>
      </c>
      <c r="X65">
        <v>5.2210000000000001</v>
      </c>
      <c r="Y65" s="37">
        <v>45735.96</v>
      </c>
      <c r="Z65" s="37">
        <v>45735.96</v>
      </c>
      <c r="AA65" s="37">
        <v>45861.264000000003</v>
      </c>
      <c r="AB65" s="73">
        <v>2.9470000000000001</v>
      </c>
      <c r="AC65" s="73">
        <v>2.9470000000000001</v>
      </c>
      <c r="AD65" s="73">
        <v>3.0880000000000001</v>
      </c>
      <c r="AE65" s="73">
        <v>2.9470000000000001</v>
      </c>
      <c r="AF65" s="73">
        <v>2.9470000000000001</v>
      </c>
      <c r="AG65" s="73">
        <v>3.0880000000000001</v>
      </c>
      <c r="AH65" s="73">
        <v>0</v>
      </c>
      <c r="AI65" s="73">
        <v>0</v>
      </c>
      <c r="AJ65" s="73">
        <v>0</v>
      </c>
      <c r="AK65">
        <v>0</v>
      </c>
      <c r="AL65">
        <v>0</v>
      </c>
      <c r="AM65">
        <v>0</v>
      </c>
      <c r="AN65" s="73">
        <v>2.9470000000000001</v>
      </c>
      <c r="AO65" s="73">
        <v>2.9470000000000001</v>
      </c>
      <c r="AP65" s="73">
        <v>3.0880000000000001</v>
      </c>
      <c r="AQ65" s="74">
        <v>7.3439999999999996E-4</v>
      </c>
      <c r="AR65" s="74">
        <v>7.3439999999999996E-4</v>
      </c>
      <c r="AS65" s="74">
        <v>7.3439999999999996E-4</v>
      </c>
      <c r="AT65" s="74">
        <v>0</v>
      </c>
      <c r="AU65" s="74">
        <v>7.3439999999999996E-4</v>
      </c>
      <c r="AV65" s="74">
        <v>7.3439999999999996E-4</v>
      </c>
      <c r="AW65" s="74">
        <v>7.3439999999999996E-4</v>
      </c>
      <c r="AX65" s="74">
        <v>7.3439999999999996E-4</v>
      </c>
      <c r="AY65" s="74">
        <v>0.63923298099902059</v>
      </c>
      <c r="AZ65" s="74">
        <v>0.63923298099902059</v>
      </c>
      <c r="BA65" s="74">
        <v>0.62838548427006868</v>
      </c>
      <c r="BB65" s="74">
        <v>1.5644512545489369</v>
      </c>
      <c r="BC65" s="74">
        <v>1.5644512545489369</v>
      </c>
      <c r="BD65" s="74">
        <v>1.5914575751771689</v>
      </c>
      <c r="BE65" s="74">
        <v>0</v>
      </c>
      <c r="BF65" s="74">
        <v>0</v>
      </c>
      <c r="BG65" s="74">
        <v>0</v>
      </c>
    </row>
    <row r="66" spans="1:59">
      <c r="A66">
        <v>10191</v>
      </c>
      <c r="B66" t="s">
        <v>71</v>
      </c>
      <c r="C66">
        <v>1</v>
      </c>
      <c r="D66">
        <v>0</v>
      </c>
      <c r="E66" s="73">
        <v>133.17400000000001</v>
      </c>
      <c r="F66" s="73">
        <v>127.43</v>
      </c>
      <c r="G66" s="73">
        <v>127.43</v>
      </c>
      <c r="H66" s="73">
        <v>127.46</v>
      </c>
      <c r="I66" s="73">
        <v>0</v>
      </c>
      <c r="J66" s="73">
        <v>0</v>
      </c>
      <c r="K66" s="73">
        <v>0</v>
      </c>
      <c r="L66" s="73">
        <v>0</v>
      </c>
      <c r="M66" s="73">
        <v>0</v>
      </c>
      <c r="N66" s="73">
        <v>0</v>
      </c>
      <c r="O66" s="37">
        <v>0</v>
      </c>
      <c r="P66" s="37">
        <v>0</v>
      </c>
      <c r="Q66" s="37">
        <v>0</v>
      </c>
      <c r="R66" s="73">
        <v>127.43</v>
      </c>
      <c r="S66" s="73">
        <v>127.43</v>
      </c>
      <c r="T66" s="73">
        <v>127.46</v>
      </c>
      <c r="U66" s="37">
        <v>1116286.8</v>
      </c>
      <c r="V66" s="37">
        <v>1116286.8</v>
      </c>
      <c r="W66" s="37">
        <v>1119608.6399999999</v>
      </c>
      <c r="X66">
        <v>131.97300000000001</v>
      </c>
      <c r="Y66" s="37">
        <v>1156083.4800000002</v>
      </c>
      <c r="Z66" s="37">
        <v>1156083.4800000002</v>
      </c>
      <c r="AA66" s="37">
        <v>1159250.8320000002</v>
      </c>
      <c r="AB66" s="73">
        <v>0</v>
      </c>
      <c r="AC66" s="73">
        <v>0</v>
      </c>
      <c r="AD66" s="73">
        <v>0</v>
      </c>
      <c r="AE66" s="73">
        <v>0</v>
      </c>
      <c r="AF66" s="73">
        <v>0</v>
      </c>
      <c r="AG66" s="73">
        <v>0</v>
      </c>
      <c r="AH66" s="73">
        <v>0</v>
      </c>
      <c r="AI66" s="73">
        <v>0</v>
      </c>
      <c r="AJ66" s="73">
        <v>0</v>
      </c>
      <c r="AK66">
        <v>0</v>
      </c>
      <c r="AL66">
        <v>0</v>
      </c>
      <c r="AM66">
        <v>0</v>
      </c>
      <c r="AN66" s="73">
        <v>0</v>
      </c>
      <c r="AO66" s="73">
        <v>0</v>
      </c>
      <c r="AP66" s="73">
        <v>0</v>
      </c>
      <c r="AQ66" s="74">
        <v>1.79238E-2</v>
      </c>
      <c r="AR66" s="74">
        <v>1.79238E-2</v>
      </c>
      <c r="AS66" s="74">
        <v>1.7927999999999999E-2</v>
      </c>
      <c r="AT66" s="74">
        <v>0</v>
      </c>
      <c r="AU66" s="74">
        <v>1.79238E-2</v>
      </c>
      <c r="AV66" s="74">
        <v>1.79238E-2</v>
      </c>
      <c r="AW66" s="74">
        <v>1.7927999999999999E-2</v>
      </c>
      <c r="AX66" s="74">
        <v>1.7925199999999999E-2</v>
      </c>
      <c r="AY66" s="74">
        <v>1</v>
      </c>
      <c r="AZ66" s="74">
        <v>1</v>
      </c>
      <c r="BA66" s="74">
        <v>1</v>
      </c>
      <c r="BB66" s="74">
        <v>1</v>
      </c>
      <c r="BC66" s="74">
        <v>1</v>
      </c>
      <c r="BD66" s="74">
        <v>1</v>
      </c>
      <c r="BE66" s="74">
        <v>0</v>
      </c>
      <c r="BF66" s="74">
        <v>0</v>
      </c>
      <c r="BG66" s="74">
        <v>0</v>
      </c>
    </row>
    <row r="67" spans="1:59">
      <c r="A67">
        <v>10197</v>
      </c>
      <c r="B67" t="s">
        <v>72</v>
      </c>
      <c r="C67">
        <v>1</v>
      </c>
      <c r="D67">
        <v>0</v>
      </c>
      <c r="E67" s="73">
        <v>23.091999999999999</v>
      </c>
      <c r="F67" s="73">
        <v>33.487000000000002</v>
      </c>
      <c r="G67" s="73">
        <v>47.591999999999999</v>
      </c>
      <c r="H67" s="73">
        <v>67.721000000000004</v>
      </c>
      <c r="I67" s="73">
        <v>6.8079999999999998</v>
      </c>
      <c r="J67" s="73">
        <v>20.831</v>
      </c>
      <c r="K67" s="73">
        <v>40.927</v>
      </c>
      <c r="L67" s="73">
        <v>0</v>
      </c>
      <c r="M67" s="73">
        <v>0</v>
      </c>
      <c r="N67" s="73">
        <v>0</v>
      </c>
      <c r="O67" s="37">
        <v>0</v>
      </c>
      <c r="P67" s="37">
        <v>0</v>
      </c>
      <c r="Q67" s="37">
        <v>0</v>
      </c>
      <c r="R67" s="73">
        <v>26.678999999999998</v>
      </c>
      <c r="S67" s="73">
        <v>26.760999999999999</v>
      </c>
      <c r="T67" s="73">
        <v>26.794</v>
      </c>
      <c r="U67" s="37">
        <v>233708.03999999998</v>
      </c>
      <c r="V67" s="37">
        <v>234426.36</v>
      </c>
      <c r="W67" s="37">
        <v>235358.49600000001</v>
      </c>
      <c r="X67">
        <v>22.884</v>
      </c>
      <c r="Y67" s="37">
        <v>200463.84</v>
      </c>
      <c r="Z67" s="37">
        <v>200463.84</v>
      </c>
      <c r="AA67" s="37">
        <v>201013.05600000001</v>
      </c>
      <c r="AB67" s="73">
        <v>3.7949999999999999</v>
      </c>
      <c r="AC67" s="73">
        <v>3.8769999999999998</v>
      </c>
      <c r="AD67" s="73">
        <v>3.91</v>
      </c>
      <c r="AE67" s="73">
        <v>3.7949999999999999</v>
      </c>
      <c r="AF67" s="73">
        <v>3.8769999999999998</v>
      </c>
      <c r="AG67" s="73">
        <v>3.91</v>
      </c>
      <c r="AH67" s="73">
        <v>0</v>
      </c>
      <c r="AI67" s="73">
        <v>0</v>
      </c>
      <c r="AJ67" s="73">
        <v>0</v>
      </c>
      <c r="AK67">
        <v>0</v>
      </c>
      <c r="AL67">
        <v>0</v>
      </c>
      <c r="AM67">
        <v>0</v>
      </c>
      <c r="AN67" s="73">
        <v>3.7949999999999999</v>
      </c>
      <c r="AO67" s="73">
        <v>3.8769999999999998</v>
      </c>
      <c r="AP67" s="73">
        <v>3.91</v>
      </c>
      <c r="AQ67" s="74">
        <v>3.2188E-3</v>
      </c>
      <c r="AR67" s="74">
        <v>3.2188E-3</v>
      </c>
      <c r="AS67" s="74">
        <v>3.2188E-3</v>
      </c>
      <c r="AT67" s="74">
        <v>0</v>
      </c>
      <c r="AU67" s="74">
        <v>3.2188E-3</v>
      </c>
      <c r="AV67" s="74">
        <v>3.2188E-3</v>
      </c>
      <c r="AW67" s="74">
        <v>3.2188E-3</v>
      </c>
      <c r="AX67" s="74">
        <v>3.2187999999999995E-3</v>
      </c>
      <c r="AY67" s="74">
        <v>0.85776175934630228</v>
      </c>
      <c r="AZ67" s="74">
        <v>0.85513343961735366</v>
      </c>
      <c r="BA67" s="74">
        <v>0.85408024100918101</v>
      </c>
      <c r="BB67" s="74">
        <v>1.1658363922391191</v>
      </c>
      <c r="BC67" s="74">
        <v>1.1694196818737983</v>
      </c>
      <c r="BD67" s="74">
        <v>1.1708617374584862</v>
      </c>
      <c r="BE67" s="74">
        <v>8.1608547456738345E-2</v>
      </c>
      <c r="BF67" s="74">
        <v>8.1859377731165889E-2</v>
      </c>
      <c r="BG67" s="74">
        <v>8.1960321622094046E-2</v>
      </c>
    </row>
    <row r="68" spans="1:59">
      <c r="A68">
        <v>10202</v>
      </c>
      <c r="B68" t="s">
        <v>73</v>
      </c>
      <c r="C68">
        <v>1</v>
      </c>
      <c r="D68">
        <v>0</v>
      </c>
      <c r="E68" s="73">
        <v>13.294</v>
      </c>
      <c r="F68" s="73">
        <v>15.531000000000001</v>
      </c>
      <c r="G68" s="73">
        <v>15.608000000000001</v>
      </c>
      <c r="H68" s="73">
        <v>15.686</v>
      </c>
      <c r="I68" s="73">
        <v>0</v>
      </c>
      <c r="J68" s="73">
        <v>0</v>
      </c>
      <c r="K68" s="73">
        <v>0</v>
      </c>
      <c r="L68" s="73">
        <v>0</v>
      </c>
      <c r="M68" s="73">
        <v>0</v>
      </c>
      <c r="N68" s="73">
        <v>0</v>
      </c>
      <c r="O68" s="37">
        <v>0</v>
      </c>
      <c r="P68" s="37">
        <v>0</v>
      </c>
      <c r="Q68" s="37">
        <v>0</v>
      </c>
      <c r="R68" s="73">
        <v>15.531000000000001</v>
      </c>
      <c r="S68" s="73">
        <v>15.608000000000001</v>
      </c>
      <c r="T68" s="73">
        <v>15.686</v>
      </c>
      <c r="U68" s="37">
        <v>136051.56</v>
      </c>
      <c r="V68" s="37">
        <v>136726.08000000002</v>
      </c>
      <c r="W68" s="37">
        <v>137785.82399999999</v>
      </c>
      <c r="X68">
        <v>13.173999999999999</v>
      </c>
      <c r="Y68" s="37">
        <v>115404.23999999999</v>
      </c>
      <c r="Z68" s="37">
        <v>115404.23999999999</v>
      </c>
      <c r="AA68" s="37">
        <v>115720.416</v>
      </c>
      <c r="AB68" s="73">
        <v>2.3570000000000002</v>
      </c>
      <c r="AC68" s="73">
        <v>2.4340000000000002</v>
      </c>
      <c r="AD68" s="73">
        <v>2.512</v>
      </c>
      <c r="AE68" s="73">
        <v>2.3570000000000002</v>
      </c>
      <c r="AF68" s="73">
        <v>2.4340000000000002</v>
      </c>
      <c r="AG68" s="73">
        <v>2.512</v>
      </c>
      <c r="AH68" s="73">
        <v>0</v>
      </c>
      <c r="AI68" s="73">
        <v>0</v>
      </c>
      <c r="AJ68" s="73">
        <v>0</v>
      </c>
      <c r="AK68">
        <v>0</v>
      </c>
      <c r="AL68">
        <v>0</v>
      </c>
      <c r="AM68">
        <v>0</v>
      </c>
      <c r="AN68" s="73">
        <v>2.3570000000000002</v>
      </c>
      <c r="AO68" s="73">
        <v>2.4340000000000002</v>
      </c>
      <c r="AP68" s="73">
        <v>2.512</v>
      </c>
      <c r="AQ68" s="74">
        <v>1.853E-3</v>
      </c>
      <c r="AR68" s="74">
        <v>1.853E-3</v>
      </c>
      <c r="AS68" s="74">
        <v>1.853E-3</v>
      </c>
      <c r="AT68" s="74">
        <v>0</v>
      </c>
      <c r="AU68" s="74">
        <v>1.853E-3</v>
      </c>
      <c r="AV68" s="74">
        <v>1.853E-3</v>
      </c>
      <c r="AW68" s="74">
        <v>1.853E-3</v>
      </c>
      <c r="AX68" s="74">
        <v>1.8529999999999998E-3</v>
      </c>
      <c r="AY68" s="74">
        <v>0.84823899658747026</v>
      </c>
      <c r="AZ68" s="74">
        <v>0.84405432188621232</v>
      </c>
      <c r="BA68" s="74">
        <v>0.8398571883207957</v>
      </c>
      <c r="BB68" s="74">
        <v>1.1789130104751784</v>
      </c>
      <c r="BC68" s="74">
        <v>1.1847578563837864</v>
      </c>
      <c r="BD68" s="74">
        <v>1.1906786093821162</v>
      </c>
      <c r="BE68" s="74">
        <v>0</v>
      </c>
      <c r="BF68" s="74">
        <v>0</v>
      </c>
      <c r="BG68" s="74">
        <v>0</v>
      </c>
    </row>
    <row r="69" spans="1:59">
      <c r="A69">
        <v>10203</v>
      </c>
      <c r="B69" t="s">
        <v>74</v>
      </c>
      <c r="C69">
        <v>1</v>
      </c>
      <c r="D69">
        <v>0</v>
      </c>
      <c r="E69" s="73">
        <v>6.306</v>
      </c>
      <c r="F69" s="73">
        <v>8.3379999999999992</v>
      </c>
      <c r="G69" s="73">
        <v>8.4689999999999994</v>
      </c>
      <c r="H69" s="73">
        <v>8.5860000000000003</v>
      </c>
      <c r="I69" s="73">
        <v>0</v>
      </c>
      <c r="J69" s="73">
        <v>0</v>
      </c>
      <c r="K69" s="73">
        <v>0</v>
      </c>
      <c r="L69" s="73">
        <v>0</v>
      </c>
      <c r="M69" s="73">
        <v>0</v>
      </c>
      <c r="N69" s="73">
        <v>0</v>
      </c>
      <c r="O69" s="37">
        <v>0</v>
      </c>
      <c r="P69" s="37">
        <v>0</v>
      </c>
      <c r="Q69" s="37">
        <v>0</v>
      </c>
      <c r="R69" s="73">
        <v>8.3379999999999992</v>
      </c>
      <c r="S69" s="73">
        <v>8.4689999999999994</v>
      </c>
      <c r="T69" s="73">
        <v>8.5860000000000003</v>
      </c>
      <c r="U69" s="37">
        <v>73040.87999999999</v>
      </c>
      <c r="V69" s="37">
        <v>74188.439999999988</v>
      </c>
      <c r="W69" s="37">
        <v>75419.423999999999</v>
      </c>
      <c r="X69">
        <v>6.2489999999999997</v>
      </c>
      <c r="Y69" s="37">
        <v>54741.24</v>
      </c>
      <c r="Z69" s="37">
        <v>54741.24</v>
      </c>
      <c r="AA69" s="37">
        <v>54891.216</v>
      </c>
      <c r="AB69" s="73">
        <v>2.089</v>
      </c>
      <c r="AC69" s="73">
        <v>2.2200000000000002</v>
      </c>
      <c r="AD69" s="73">
        <v>2.3370000000000002</v>
      </c>
      <c r="AE69" s="73">
        <v>2.089</v>
      </c>
      <c r="AF69" s="73">
        <v>2.2200000000000002</v>
      </c>
      <c r="AG69" s="73">
        <v>2.3370000000000002</v>
      </c>
      <c r="AH69" s="73">
        <v>0</v>
      </c>
      <c r="AI69" s="73">
        <v>0</v>
      </c>
      <c r="AJ69" s="73">
        <v>0</v>
      </c>
      <c r="AK69">
        <v>0</v>
      </c>
      <c r="AL69">
        <v>0</v>
      </c>
      <c r="AM69">
        <v>0</v>
      </c>
      <c r="AN69" s="73">
        <v>2.089</v>
      </c>
      <c r="AO69" s="73">
        <v>2.2200000000000002</v>
      </c>
      <c r="AP69" s="73">
        <v>2.3370000000000002</v>
      </c>
      <c r="AQ69" s="74">
        <v>8.7900000000000001E-4</v>
      </c>
      <c r="AR69" s="74">
        <v>8.7900000000000001E-4</v>
      </c>
      <c r="AS69" s="74">
        <v>8.7900000000000001E-4</v>
      </c>
      <c r="AT69" s="74">
        <v>0</v>
      </c>
      <c r="AU69" s="74">
        <v>8.7900000000000001E-4</v>
      </c>
      <c r="AV69" s="74">
        <v>8.7900000000000001E-4</v>
      </c>
      <c r="AW69" s="74">
        <v>8.7900000000000001E-4</v>
      </c>
      <c r="AX69" s="74">
        <v>8.7900000000000001E-4</v>
      </c>
      <c r="AY69" s="74">
        <v>0.74949582729671393</v>
      </c>
      <c r="AZ69" s="74">
        <v>0.73790249238398875</v>
      </c>
      <c r="BA69" s="74">
        <v>0.72784721733053814</v>
      </c>
      <c r="BB69" s="74">
        <v>1.3342934869579133</v>
      </c>
      <c r="BC69" s="74">
        <v>1.3552568410945751</v>
      </c>
      <c r="BD69" s="74">
        <v>1.373979836773884</v>
      </c>
      <c r="BE69" s="74">
        <v>9.3400544087053936E-2</v>
      </c>
      <c r="BF69" s="74">
        <v>9.4867978876620268E-2</v>
      </c>
      <c r="BG69" s="74">
        <v>9.6178588574171886E-2</v>
      </c>
    </row>
    <row r="70" spans="1:59">
      <c r="A70">
        <v>10204</v>
      </c>
      <c r="B70" t="s">
        <v>75</v>
      </c>
      <c r="C70">
        <v>1</v>
      </c>
      <c r="D70">
        <v>0</v>
      </c>
      <c r="E70" s="73">
        <v>80.742999999999995</v>
      </c>
      <c r="F70" s="73">
        <v>101.86</v>
      </c>
      <c r="G70" s="73">
        <v>102.70099999999999</v>
      </c>
      <c r="H70" s="73">
        <v>103.39100000000001</v>
      </c>
      <c r="I70" s="73">
        <v>0</v>
      </c>
      <c r="J70" s="73">
        <v>0</v>
      </c>
      <c r="K70" s="73">
        <v>0</v>
      </c>
      <c r="L70" s="73">
        <v>17.321999999999999</v>
      </c>
      <c r="M70" s="73">
        <v>17.321999999999999</v>
      </c>
      <c r="N70" s="73">
        <v>17.350000000000001</v>
      </c>
      <c r="O70" s="37">
        <v>151740.72</v>
      </c>
      <c r="P70" s="37">
        <v>151740.72</v>
      </c>
      <c r="Q70" s="37">
        <v>152402.40000000002</v>
      </c>
      <c r="R70" s="73">
        <v>84.537999999999997</v>
      </c>
      <c r="S70" s="73">
        <v>85.379000000000005</v>
      </c>
      <c r="T70" s="73">
        <v>86.040999999999997</v>
      </c>
      <c r="U70" s="37">
        <v>740552.88</v>
      </c>
      <c r="V70" s="37">
        <v>747920.04</v>
      </c>
      <c r="W70" s="37">
        <v>755784.14399999997</v>
      </c>
      <c r="X70">
        <v>80.015000000000001</v>
      </c>
      <c r="Y70" s="37">
        <v>700931.4</v>
      </c>
      <c r="Z70" s="37">
        <v>700931.4</v>
      </c>
      <c r="AA70" s="37">
        <v>702851.76</v>
      </c>
      <c r="AB70" s="73">
        <v>4.5229999999999997</v>
      </c>
      <c r="AC70" s="73">
        <v>5.3639999999999999</v>
      </c>
      <c r="AD70" s="73">
        <v>6.0259999999999998</v>
      </c>
      <c r="AE70" s="73">
        <v>4.5229999999999997</v>
      </c>
      <c r="AF70" s="73">
        <v>5.3639999999999999</v>
      </c>
      <c r="AG70" s="73">
        <v>6.0259999999999998</v>
      </c>
      <c r="AH70" s="73">
        <v>0</v>
      </c>
      <c r="AI70" s="73">
        <v>0</v>
      </c>
      <c r="AJ70" s="73">
        <v>0</v>
      </c>
      <c r="AK70">
        <v>0</v>
      </c>
      <c r="AL70">
        <v>0</v>
      </c>
      <c r="AM70">
        <v>0</v>
      </c>
      <c r="AN70" s="73">
        <v>4.5229999999999997</v>
      </c>
      <c r="AO70" s="73">
        <v>5.3639999999999999</v>
      </c>
      <c r="AP70" s="73">
        <v>6.0259999999999998</v>
      </c>
      <c r="AQ70" s="74">
        <v>1.12546E-2</v>
      </c>
      <c r="AR70" s="74">
        <v>1.12546E-2</v>
      </c>
      <c r="AS70" s="74">
        <v>1.12546E-2</v>
      </c>
      <c r="AT70" s="74">
        <v>5.4838999999999999E-3</v>
      </c>
      <c r="AU70" s="74">
        <v>5.7707000000000001E-3</v>
      </c>
      <c r="AV70" s="74">
        <v>5.7707000000000001E-3</v>
      </c>
      <c r="AW70" s="74">
        <v>5.7707000000000001E-3</v>
      </c>
      <c r="AX70" s="74">
        <v>5.7707000000000001E-3</v>
      </c>
      <c r="AY70" s="74">
        <v>0.95559752541920295</v>
      </c>
      <c r="AZ70" s="74">
        <v>0.9477723093173388</v>
      </c>
      <c r="BA70" s="74">
        <v>0.94171798260196737</v>
      </c>
      <c r="BB70" s="74">
        <v>1.0565269012060239</v>
      </c>
      <c r="BC70" s="74">
        <v>1.0670374304817847</v>
      </c>
      <c r="BD70" s="74">
        <v>1.075310879210148</v>
      </c>
      <c r="BE70" s="74">
        <v>0</v>
      </c>
      <c r="BF70" s="74">
        <v>0</v>
      </c>
      <c r="BG70" s="74">
        <v>0</v>
      </c>
    </row>
    <row r="71" spans="1:59">
      <c r="A71">
        <v>10209</v>
      </c>
      <c r="B71" t="s">
        <v>76</v>
      </c>
      <c r="C71">
        <v>0</v>
      </c>
      <c r="D71">
        <v>1</v>
      </c>
      <c r="E71" s="73">
        <v>106.455</v>
      </c>
      <c r="F71" s="73">
        <v>140.97499999999999</v>
      </c>
      <c r="G71" s="73">
        <v>143.58699999999999</v>
      </c>
      <c r="H71" s="73">
        <v>146.12299999999999</v>
      </c>
      <c r="I71" s="73">
        <v>0</v>
      </c>
      <c r="J71" s="73">
        <v>0</v>
      </c>
      <c r="K71" s="73">
        <v>0</v>
      </c>
      <c r="L71" s="73">
        <v>0</v>
      </c>
      <c r="M71" s="73">
        <v>0</v>
      </c>
      <c r="N71" s="73">
        <v>0</v>
      </c>
      <c r="O71" s="37">
        <v>0</v>
      </c>
      <c r="P71" s="37">
        <v>0</v>
      </c>
      <c r="Q71" s="37">
        <v>0</v>
      </c>
      <c r="R71" s="73">
        <v>140.97499999999999</v>
      </c>
      <c r="S71" s="73">
        <v>143.58699999999999</v>
      </c>
      <c r="T71" s="73">
        <v>146.12299999999999</v>
      </c>
      <c r="U71" s="37">
        <v>1234941</v>
      </c>
      <c r="V71" s="37">
        <v>1257822.1199999999</v>
      </c>
      <c r="W71" s="37">
        <v>1283544.432</v>
      </c>
      <c r="X71">
        <v>105.495</v>
      </c>
      <c r="Y71" s="37">
        <v>924136.20000000007</v>
      </c>
      <c r="Z71" s="37">
        <v>924136.20000000007</v>
      </c>
      <c r="AA71" s="37">
        <v>926668.08000000007</v>
      </c>
      <c r="AB71" s="73">
        <v>35.479999999999997</v>
      </c>
      <c r="AC71" s="73">
        <v>38.091999999999999</v>
      </c>
      <c r="AD71" s="73">
        <v>40.628</v>
      </c>
      <c r="AE71" s="73">
        <v>35.479999999999997</v>
      </c>
      <c r="AF71" s="73">
        <v>38.091999999999999</v>
      </c>
      <c r="AG71" s="73">
        <v>40.628</v>
      </c>
      <c r="AH71" s="73">
        <v>0</v>
      </c>
      <c r="AI71" s="73">
        <v>0</v>
      </c>
      <c r="AJ71" s="73">
        <v>0</v>
      </c>
      <c r="AK71">
        <v>0</v>
      </c>
      <c r="AL71">
        <v>0</v>
      </c>
      <c r="AM71">
        <v>0</v>
      </c>
      <c r="AN71" s="73">
        <v>35.479999999999997</v>
      </c>
      <c r="AO71" s="73">
        <v>38.091999999999999</v>
      </c>
      <c r="AP71" s="73">
        <v>40.628</v>
      </c>
      <c r="AQ71" s="74">
        <v>1.4838499999999999E-2</v>
      </c>
      <c r="AR71" s="74">
        <v>1.4838499999999999E-2</v>
      </c>
      <c r="AS71" s="74">
        <v>1.4838499999999999E-2</v>
      </c>
      <c r="AT71" s="74">
        <v>0</v>
      </c>
      <c r="AU71" s="74">
        <v>1.4838499999999999E-2</v>
      </c>
      <c r="AV71" s="74">
        <v>1.4838499999999999E-2</v>
      </c>
      <c r="AW71" s="74">
        <v>1.4838499999999999E-2</v>
      </c>
      <c r="AX71" s="74">
        <v>1.4838499999999999E-2</v>
      </c>
      <c r="AY71" s="74">
        <v>0.7483247905798901</v>
      </c>
      <c r="AZ71" s="74">
        <v>0.73471196801938898</v>
      </c>
      <c r="BA71" s="74">
        <v>0.72196086414869665</v>
      </c>
      <c r="BB71" s="74">
        <v>1.3363192568368167</v>
      </c>
      <c r="BC71" s="74">
        <v>1.3610787241101472</v>
      </c>
      <c r="BD71" s="74">
        <v>1.3851177780937485</v>
      </c>
      <c r="BE71" s="74">
        <v>9.3542347978577176E-2</v>
      </c>
      <c r="BF71" s="74">
        <v>9.5275510687710313E-2</v>
      </c>
      <c r="BG71" s="74">
        <v>9.6958244466562399E-2</v>
      </c>
    </row>
    <row r="72" spans="1:59">
      <c r="A72">
        <v>10230</v>
      </c>
      <c r="B72" t="s">
        <v>77</v>
      </c>
      <c r="C72">
        <v>1</v>
      </c>
      <c r="D72">
        <v>0</v>
      </c>
      <c r="E72" s="73">
        <v>9.8469999999999995</v>
      </c>
      <c r="F72" s="73">
        <v>14.599</v>
      </c>
      <c r="G72" s="73">
        <v>14.936</v>
      </c>
      <c r="H72" s="73">
        <v>15.268000000000001</v>
      </c>
      <c r="I72" s="73">
        <v>0</v>
      </c>
      <c r="J72" s="73">
        <v>0</v>
      </c>
      <c r="K72" s="73">
        <v>0</v>
      </c>
      <c r="L72" s="73">
        <v>0.97799999999999998</v>
      </c>
      <c r="M72" s="73">
        <v>0.97799999999999998</v>
      </c>
      <c r="N72" s="73">
        <v>0.97699999999999998</v>
      </c>
      <c r="O72" s="37">
        <v>8567.2800000000007</v>
      </c>
      <c r="P72" s="37">
        <v>8567.2800000000007</v>
      </c>
      <c r="Q72" s="37">
        <v>8581.9679999999989</v>
      </c>
      <c r="R72" s="73">
        <v>13.621</v>
      </c>
      <c r="S72" s="73">
        <v>13.958</v>
      </c>
      <c r="T72" s="73">
        <v>14.291</v>
      </c>
      <c r="U72" s="37">
        <v>119319.96</v>
      </c>
      <c r="V72" s="37">
        <v>122272.08</v>
      </c>
      <c r="W72" s="37">
        <v>125532.144</v>
      </c>
      <c r="X72">
        <v>9.7579999999999991</v>
      </c>
      <c r="Y72" s="37">
        <v>85480.079999999987</v>
      </c>
      <c r="Z72" s="37">
        <v>85480.079999999987</v>
      </c>
      <c r="AA72" s="37">
        <v>85714.271999999997</v>
      </c>
      <c r="AB72" s="73">
        <v>3.863</v>
      </c>
      <c r="AC72" s="73">
        <v>4.2</v>
      </c>
      <c r="AD72" s="73">
        <v>4.5330000000000004</v>
      </c>
      <c r="AE72" s="73">
        <v>3.863</v>
      </c>
      <c r="AF72" s="73">
        <v>4.2</v>
      </c>
      <c r="AG72" s="73">
        <v>4.5330000000000004</v>
      </c>
      <c r="AH72" s="73">
        <v>0</v>
      </c>
      <c r="AI72" s="73">
        <v>0</v>
      </c>
      <c r="AJ72" s="73">
        <v>0</v>
      </c>
      <c r="AK72">
        <v>0</v>
      </c>
      <c r="AL72">
        <v>0</v>
      </c>
      <c r="AM72">
        <v>0</v>
      </c>
      <c r="AN72" s="73">
        <v>3.863</v>
      </c>
      <c r="AO72" s="73">
        <v>4.2</v>
      </c>
      <c r="AP72" s="73">
        <v>4.5330000000000004</v>
      </c>
      <c r="AQ72" s="74">
        <v>1.3725E-3</v>
      </c>
      <c r="AR72" s="74">
        <v>1.3725E-3</v>
      </c>
      <c r="AS72" s="74">
        <v>1.3725E-3</v>
      </c>
      <c r="AT72" s="74">
        <v>0</v>
      </c>
      <c r="AU72" s="74">
        <v>1.3725E-3</v>
      </c>
      <c r="AV72" s="74">
        <v>1.3725E-3</v>
      </c>
      <c r="AW72" s="74">
        <v>1.3725E-3</v>
      </c>
      <c r="AX72" s="74">
        <v>1.3724999999999998E-3</v>
      </c>
      <c r="AY72" s="74">
        <v>0.73538325364751012</v>
      </c>
      <c r="AZ72" s="74">
        <v>0.71879084895554368</v>
      </c>
      <c r="BA72" s="74">
        <v>0.70309537070998163</v>
      </c>
      <c r="BB72" s="74">
        <v>1.3958803033408487</v>
      </c>
      <c r="BC72" s="74">
        <v>1.4304160688665712</v>
      </c>
      <c r="BD72" s="74">
        <v>1.4645419143267064</v>
      </c>
      <c r="BE72" s="74">
        <v>9.7711621233859416E-2</v>
      </c>
      <c r="BF72" s="74">
        <v>0.10012912482066</v>
      </c>
      <c r="BG72" s="74">
        <v>0.10251793400286946</v>
      </c>
    </row>
    <row r="73" spans="1:59">
      <c r="A73">
        <v>10231</v>
      </c>
      <c r="B73" t="s">
        <v>78</v>
      </c>
      <c r="C73">
        <v>1</v>
      </c>
      <c r="D73">
        <v>0</v>
      </c>
      <c r="E73" s="73">
        <v>37.206000000000003</v>
      </c>
      <c r="F73" s="73">
        <v>54.889000000000003</v>
      </c>
      <c r="G73" s="73">
        <v>55.667999999999999</v>
      </c>
      <c r="H73" s="73">
        <v>56.456000000000003</v>
      </c>
      <c r="I73" s="73">
        <v>0</v>
      </c>
      <c r="J73" s="73">
        <v>0</v>
      </c>
      <c r="K73" s="73">
        <v>0</v>
      </c>
      <c r="L73" s="73">
        <v>4.4189999999999996</v>
      </c>
      <c r="M73" s="73">
        <v>4.4189999999999996</v>
      </c>
      <c r="N73" s="73">
        <v>4.4189999999999996</v>
      </c>
      <c r="O73" s="37">
        <v>38710.439999999995</v>
      </c>
      <c r="P73" s="37">
        <v>38710.439999999995</v>
      </c>
      <c r="Q73" s="37">
        <v>38816.495999999999</v>
      </c>
      <c r="R73" s="73">
        <v>50.47</v>
      </c>
      <c r="S73" s="73">
        <v>51.249000000000002</v>
      </c>
      <c r="T73" s="73">
        <v>52.036999999999999</v>
      </c>
      <c r="U73" s="37">
        <v>442117.2</v>
      </c>
      <c r="V73" s="37">
        <v>448941.24000000005</v>
      </c>
      <c r="W73" s="37">
        <v>457093.00799999997</v>
      </c>
      <c r="X73">
        <v>36.869999999999997</v>
      </c>
      <c r="Y73" s="37">
        <v>322981.19999999995</v>
      </c>
      <c r="Z73" s="37">
        <v>322981.19999999995</v>
      </c>
      <c r="AA73" s="37">
        <v>323866.07999999996</v>
      </c>
      <c r="AB73" s="73">
        <v>13.6</v>
      </c>
      <c r="AC73" s="73">
        <v>14.379</v>
      </c>
      <c r="AD73" s="73">
        <v>15.167</v>
      </c>
      <c r="AE73" s="73">
        <v>13.6</v>
      </c>
      <c r="AF73" s="73">
        <v>14.379</v>
      </c>
      <c r="AG73" s="73">
        <v>15.167</v>
      </c>
      <c r="AH73" s="73">
        <v>0</v>
      </c>
      <c r="AI73" s="73">
        <v>0</v>
      </c>
      <c r="AJ73" s="73">
        <v>0</v>
      </c>
      <c r="AK73">
        <v>0</v>
      </c>
      <c r="AL73">
        <v>0</v>
      </c>
      <c r="AM73">
        <v>0</v>
      </c>
      <c r="AN73" s="73">
        <v>13.6</v>
      </c>
      <c r="AO73" s="73">
        <v>14.379</v>
      </c>
      <c r="AP73" s="73">
        <v>15.167</v>
      </c>
      <c r="AQ73" s="74">
        <v>5.1859999999999996E-3</v>
      </c>
      <c r="AR73" s="74">
        <v>5.1859999999999996E-3</v>
      </c>
      <c r="AS73" s="74">
        <v>5.1859999999999996E-3</v>
      </c>
      <c r="AT73" s="74">
        <v>0</v>
      </c>
      <c r="AU73" s="74">
        <v>5.1859999999999996E-3</v>
      </c>
      <c r="AV73" s="74">
        <v>5.1859999999999996E-3</v>
      </c>
      <c r="AW73" s="74">
        <v>5.1859999999999996E-3</v>
      </c>
      <c r="AX73" s="74">
        <v>5.1859999999999996E-3</v>
      </c>
      <c r="AY73" s="74">
        <v>0.75222971218276879</v>
      </c>
      <c r="AZ73" s="74">
        <v>0.74170325271250981</v>
      </c>
      <c r="BA73" s="74">
        <v>0.73135072750460528</v>
      </c>
      <c r="BB73" s="74">
        <v>1.3688635747219962</v>
      </c>
      <c r="BC73" s="74">
        <v>1.3899918633034989</v>
      </c>
      <c r="BD73" s="74">
        <v>1.4113642527800381</v>
      </c>
      <c r="BE73" s="74">
        <v>9.5820450230539742E-2</v>
      </c>
      <c r="BF73" s="74">
        <v>9.7299430431244935E-2</v>
      </c>
      <c r="BG73" s="74">
        <v>9.8795497694602677E-2</v>
      </c>
    </row>
    <row r="74" spans="1:59">
      <c r="A74">
        <v>10234</v>
      </c>
      <c r="B74" t="s">
        <v>79</v>
      </c>
      <c r="C74">
        <v>0</v>
      </c>
      <c r="D74">
        <v>1</v>
      </c>
      <c r="E74" s="73">
        <v>51.76</v>
      </c>
      <c r="F74" s="73">
        <v>73.515000000000001</v>
      </c>
      <c r="G74" s="73">
        <v>75.66</v>
      </c>
      <c r="H74" s="73">
        <v>77.796000000000006</v>
      </c>
      <c r="I74" s="73">
        <v>0</v>
      </c>
      <c r="J74" s="73">
        <v>0</v>
      </c>
      <c r="K74" s="73">
        <v>0</v>
      </c>
      <c r="L74" s="73">
        <v>0</v>
      </c>
      <c r="M74" s="73">
        <v>0</v>
      </c>
      <c r="N74" s="73">
        <v>0</v>
      </c>
      <c r="O74" s="37">
        <v>0</v>
      </c>
      <c r="P74" s="37">
        <v>0</v>
      </c>
      <c r="Q74" s="37">
        <v>0</v>
      </c>
      <c r="R74" s="73">
        <v>73.515000000000001</v>
      </c>
      <c r="S74" s="73">
        <v>75.66</v>
      </c>
      <c r="T74" s="73">
        <v>77.796000000000006</v>
      </c>
      <c r="U74" s="37">
        <v>643991.4</v>
      </c>
      <c r="V74" s="37">
        <v>662781.6</v>
      </c>
      <c r="W74" s="37">
        <v>683360.06400000001</v>
      </c>
      <c r="X74">
        <v>51.292999999999999</v>
      </c>
      <c r="Y74" s="37">
        <v>449326.68</v>
      </c>
      <c r="Z74" s="37">
        <v>449326.68</v>
      </c>
      <c r="AA74" s="37">
        <v>450557.712</v>
      </c>
      <c r="AB74" s="73">
        <v>22.222000000000001</v>
      </c>
      <c r="AC74" s="73">
        <v>24.367000000000001</v>
      </c>
      <c r="AD74" s="73">
        <v>26.503</v>
      </c>
      <c r="AE74" s="73">
        <v>22.222000000000001</v>
      </c>
      <c r="AF74" s="73">
        <v>24.367000000000001</v>
      </c>
      <c r="AG74" s="73">
        <v>26.503</v>
      </c>
      <c r="AH74" s="73">
        <v>0</v>
      </c>
      <c r="AI74" s="73">
        <v>0</v>
      </c>
      <c r="AJ74" s="73">
        <v>0</v>
      </c>
      <c r="AK74">
        <v>0</v>
      </c>
      <c r="AL74">
        <v>0</v>
      </c>
      <c r="AM74">
        <v>0</v>
      </c>
      <c r="AN74" s="73">
        <v>22.222000000000001</v>
      </c>
      <c r="AO74" s="73">
        <v>24.367000000000001</v>
      </c>
      <c r="AP74" s="73">
        <v>26.503</v>
      </c>
      <c r="AQ74" s="74">
        <v>7.2147000000000001E-3</v>
      </c>
      <c r="AR74" s="74">
        <v>7.2147000000000001E-3</v>
      </c>
      <c r="AS74" s="74">
        <v>7.2147000000000001E-3</v>
      </c>
      <c r="AT74" s="74">
        <v>0</v>
      </c>
      <c r="AU74" s="74">
        <v>7.2147000000000001E-3</v>
      </c>
      <c r="AV74" s="74">
        <v>7.2147000000000001E-3</v>
      </c>
      <c r="AW74" s="74">
        <v>7.2147000000000001E-3</v>
      </c>
      <c r="AX74" s="74">
        <v>7.2147000000000001E-3</v>
      </c>
      <c r="AY74" s="74">
        <v>0.69772542765966128</v>
      </c>
      <c r="AZ74" s="74">
        <v>0.67794455213322768</v>
      </c>
      <c r="BA74" s="74">
        <v>0.65933061872589849</v>
      </c>
      <c r="BB74" s="74">
        <v>1.4332365040063946</v>
      </c>
      <c r="BC74" s="74">
        <v>1.4750550757413292</v>
      </c>
      <c r="BD74" s="74">
        <v>1.5166981849375161</v>
      </c>
      <c r="BE74" s="74">
        <v>0</v>
      </c>
      <c r="BF74" s="74">
        <v>0</v>
      </c>
      <c r="BG74" s="74">
        <v>0</v>
      </c>
    </row>
    <row r="75" spans="1:59">
      <c r="A75">
        <v>10235</v>
      </c>
      <c r="B75" t="s">
        <v>80</v>
      </c>
      <c r="C75">
        <v>1</v>
      </c>
      <c r="D75">
        <v>0</v>
      </c>
      <c r="E75" s="73">
        <v>33.606999999999999</v>
      </c>
      <c r="F75" s="73">
        <v>30.492999999999999</v>
      </c>
      <c r="G75" s="73">
        <v>30.553999999999998</v>
      </c>
      <c r="H75" s="73">
        <v>30.614000000000001</v>
      </c>
      <c r="I75" s="73">
        <v>0</v>
      </c>
      <c r="J75" s="73">
        <v>0</v>
      </c>
      <c r="K75" s="73">
        <v>0</v>
      </c>
      <c r="L75" s="73">
        <v>0</v>
      </c>
      <c r="M75" s="73">
        <v>0</v>
      </c>
      <c r="N75" s="73">
        <v>0</v>
      </c>
      <c r="O75" s="37">
        <v>0</v>
      </c>
      <c r="P75" s="37">
        <v>0</v>
      </c>
      <c r="Q75" s="37">
        <v>0</v>
      </c>
      <c r="R75" s="73">
        <v>30.492999999999999</v>
      </c>
      <c r="S75" s="73">
        <v>30.553999999999998</v>
      </c>
      <c r="T75" s="73">
        <v>30.614000000000001</v>
      </c>
      <c r="U75" s="37">
        <v>267118.68</v>
      </c>
      <c r="V75" s="37">
        <v>267653.03999999998</v>
      </c>
      <c r="W75" s="37">
        <v>268913.37599999999</v>
      </c>
      <c r="X75">
        <v>33.304000000000002</v>
      </c>
      <c r="Y75" s="37">
        <v>291743.04000000004</v>
      </c>
      <c r="Z75" s="37">
        <v>291743.04000000004</v>
      </c>
      <c r="AA75" s="37">
        <v>292542.33600000001</v>
      </c>
      <c r="AB75" s="73">
        <v>0</v>
      </c>
      <c r="AC75" s="73">
        <v>0</v>
      </c>
      <c r="AD75" s="73">
        <v>0</v>
      </c>
      <c r="AE75" s="73">
        <v>0</v>
      </c>
      <c r="AF75" s="73">
        <v>0</v>
      </c>
      <c r="AG75" s="73">
        <v>0</v>
      </c>
      <c r="AH75" s="73">
        <v>0</v>
      </c>
      <c r="AI75" s="73">
        <v>0</v>
      </c>
      <c r="AJ75" s="73">
        <v>0</v>
      </c>
      <c r="AK75">
        <v>0</v>
      </c>
      <c r="AL75">
        <v>0</v>
      </c>
      <c r="AM75">
        <v>0</v>
      </c>
      <c r="AN75" s="73">
        <v>0</v>
      </c>
      <c r="AO75" s="73">
        <v>0</v>
      </c>
      <c r="AP75" s="73">
        <v>0</v>
      </c>
      <c r="AQ75" s="74">
        <v>4.2890000000000003E-3</v>
      </c>
      <c r="AR75" s="74">
        <v>4.2976000000000004E-3</v>
      </c>
      <c r="AS75" s="74">
        <v>4.3059999999999999E-3</v>
      </c>
      <c r="AT75" s="74">
        <v>0</v>
      </c>
      <c r="AU75" s="74">
        <v>4.2890000000000003E-3</v>
      </c>
      <c r="AV75" s="74">
        <v>4.2976000000000004E-3</v>
      </c>
      <c r="AW75" s="74">
        <v>4.3059999999999999E-3</v>
      </c>
      <c r="AX75" s="74">
        <v>4.2975333333333332E-3</v>
      </c>
      <c r="AY75" s="74">
        <v>0.99999568845308784</v>
      </c>
      <c r="AZ75" s="74">
        <v>1</v>
      </c>
      <c r="BA75" s="74">
        <v>0.99999121029594307</v>
      </c>
      <c r="BB75" s="74">
        <v>1</v>
      </c>
      <c r="BC75" s="74">
        <v>1</v>
      </c>
      <c r="BD75" s="74">
        <v>1</v>
      </c>
      <c r="BE75" s="74">
        <v>0</v>
      </c>
      <c r="BF75" s="74">
        <v>0</v>
      </c>
      <c r="BG75" s="74">
        <v>0</v>
      </c>
    </row>
    <row r="76" spans="1:59">
      <c r="A76">
        <v>10236</v>
      </c>
      <c r="B76" t="s">
        <v>81</v>
      </c>
      <c r="C76">
        <v>0</v>
      </c>
      <c r="D76">
        <v>1</v>
      </c>
      <c r="E76" s="73">
        <v>29.536999999999999</v>
      </c>
      <c r="F76" s="73">
        <v>29.744</v>
      </c>
      <c r="G76" s="73">
        <v>29.744</v>
      </c>
      <c r="H76" s="73">
        <v>29.744</v>
      </c>
      <c r="I76" s="73">
        <v>0</v>
      </c>
      <c r="J76" s="73">
        <v>0</v>
      </c>
      <c r="K76" s="73">
        <v>0</v>
      </c>
      <c r="L76" s="73">
        <v>0.13200000000000001</v>
      </c>
      <c r="M76" s="73">
        <v>0.13200000000000001</v>
      </c>
      <c r="N76" s="73">
        <v>0.13200000000000001</v>
      </c>
      <c r="O76" s="37">
        <v>1156.3200000000002</v>
      </c>
      <c r="P76" s="37">
        <v>1156.3200000000002</v>
      </c>
      <c r="Q76" s="37">
        <v>1159.4880000000001</v>
      </c>
      <c r="R76" s="73">
        <v>29.611999999999998</v>
      </c>
      <c r="S76" s="73">
        <v>29.611999999999998</v>
      </c>
      <c r="T76" s="73">
        <v>29.611999999999998</v>
      </c>
      <c r="U76" s="37">
        <v>259401.12</v>
      </c>
      <c r="V76" s="37">
        <v>259401.12</v>
      </c>
      <c r="W76" s="37">
        <v>260111.80799999999</v>
      </c>
      <c r="X76">
        <v>29.271000000000001</v>
      </c>
      <c r="Y76" s="37">
        <v>256413.96000000002</v>
      </c>
      <c r="Z76" s="37">
        <v>256413.96000000002</v>
      </c>
      <c r="AA76" s="37">
        <v>257116.46400000001</v>
      </c>
      <c r="AB76" s="73">
        <v>0.34100000000000003</v>
      </c>
      <c r="AC76" s="73">
        <v>0.34100000000000003</v>
      </c>
      <c r="AD76" s="73">
        <v>0.34100000000000003</v>
      </c>
      <c r="AE76" s="73">
        <v>0.34100000000000003</v>
      </c>
      <c r="AF76" s="73">
        <v>0.34100000000000003</v>
      </c>
      <c r="AG76" s="73">
        <v>0.34100000000000003</v>
      </c>
      <c r="AH76" s="73">
        <v>0</v>
      </c>
      <c r="AI76" s="73">
        <v>0</v>
      </c>
      <c r="AJ76" s="73">
        <v>0</v>
      </c>
      <c r="AK76">
        <v>0</v>
      </c>
      <c r="AL76">
        <v>0</v>
      </c>
      <c r="AM76">
        <v>0</v>
      </c>
      <c r="AN76" s="73">
        <v>0.34100000000000003</v>
      </c>
      <c r="AO76" s="73">
        <v>0.34100000000000003</v>
      </c>
      <c r="AP76" s="73">
        <v>0.34100000000000003</v>
      </c>
      <c r="AQ76" s="74">
        <v>4.1171000000000003E-3</v>
      </c>
      <c r="AR76" s="74">
        <v>4.1171000000000003E-3</v>
      </c>
      <c r="AS76" s="74">
        <v>4.1171000000000003E-3</v>
      </c>
      <c r="AT76" s="74">
        <v>0</v>
      </c>
      <c r="AU76" s="74">
        <v>4.1171000000000003E-3</v>
      </c>
      <c r="AV76" s="74">
        <v>4.1171000000000003E-3</v>
      </c>
      <c r="AW76" s="74">
        <v>4.1171000000000003E-3</v>
      </c>
      <c r="AX76" s="74">
        <v>4.1171000000000003E-3</v>
      </c>
      <c r="AY76" s="74">
        <v>0.988526645346961</v>
      </c>
      <c r="AZ76" s="74">
        <v>0.988526645346961</v>
      </c>
      <c r="BA76" s="74">
        <v>0.988526645346961</v>
      </c>
      <c r="BB76" s="74">
        <v>1.0116497557309281</v>
      </c>
      <c r="BC76" s="74">
        <v>1.0116497557309281</v>
      </c>
      <c r="BD76" s="74">
        <v>1.0116497557309281</v>
      </c>
      <c r="BE76" s="74">
        <v>6.5757234122510333E-2</v>
      </c>
      <c r="BF76" s="74">
        <v>6.5757234122510333E-2</v>
      </c>
      <c r="BG76" s="74">
        <v>6.5757234122510333E-2</v>
      </c>
    </row>
    <row r="77" spans="1:59">
      <c r="A77">
        <v>10237</v>
      </c>
      <c r="B77" t="s">
        <v>82</v>
      </c>
      <c r="C77">
        <v>1</v>
      </c>
      <c r="D77">
        <v>0</v>
      </c>
      <c r="E77" s="73">
        <v>115.429</v>
      </c>
      <c r="F77" s="73">
        <v>117.947</v>
      </c>
      <c r="G77" s="73">
        <v>118.762</v>
      </c>
      <c r="H77" s="73">
        <v>119.566</v>
      </c>
      <c r="I77" s="73">
        <v>0</v>
      </c>
      <c r="J77" s="73">
        <v>0</v>
      </c>
      <c r="K77" s="73">
        <v>0</v>
      </c>
      <c r="L77" s="73">
        <v>1.19</v>
      </c>
      <c r="M77" s="73">
        <v>1.19</v>
      </c>
      <c r="N77" s="73">
        <v>1.1890000000000001</v>
      </c>
      <c r="O77" s="37">
        <v>10424.4</v>
      </c>
      <c r="P77" s="37">
        <v>10424.4</v>
      </c>
      <c r="Q77" s="37">
        <v>10444.176000000001</v>
      </c>
      <c r="R77" s="73">
        <v>116.75700000000001</v>
      </c>
      <c r="S77" s="73">
        <v>117.572</v>
      </c>
      <c r="T77" s="73">
        <v>118.377</v>
      </c>
      <c r="U77" s="37">
        <v>1022791.3200000001</v>
      </c>
      <c r="V77" s="37">
        <v>1029930.72</v>
      </c>
      <c r="W77" s="37">
        <v>1039823.568</v>
      </c>
      <c r="X77">
        <v>114.38800000000001</v>
      </c>
      <c r="Y77" s="37">
        <v>1002038.88</v>
      </c>
      <c r="Z77" s="37">
        <v>1002038.88</v>
      </c>
      <c r="AA77" s="37">
        <v>1004784.192</v>
      </c>
      <c r="AB77" s="73">
        <v>2.3690000000000002</v>
      </c>
      <c r="AC77" s="73">
        <v>3.1840000000000002</v>
      </c>
      <c r="AD77" s="73">
        <v>3.9889999999999999</v>
      </c>
      <c r="AE77" s="73">
        <v>2.3690000000000002</v>
      </c>
      <c r="AF77" s="73">
        <v>3.1840000000000002</v>
      </c>
      <c r="AG77" s="73">
        <v>3.9889999999999999</v>
      </c>
      <c r="AH77" s="73">
        <v>0</v>
      </c>
      <c r="AI77" s="73">
        <v>0</v>
      </c>
      <c r="AJ77" s="73">
        <v>0</v>
      </c>
      <c r="AK77">
        <v>5</v>
      </c>
      <c r="AL77">
        <v>5</v>
      </c>
      <c r="AM77">
        <v>5</v>
      </c>
      <c r="AN77" s="73">
        <v>0</v>
      </c>
      <c r="AO77" s="73">
        <v>0</v>
      </c>
      <c r="AP77" s="73">
        <v>0</v>
      </c>
      <c r="AQ77" s="74">
        <v>1.6089300000000001E-2</v>
      </c>
      <c r="AR77" s="74">
        <v>1.6089300000000001E-2</v>
      </c>
      <c r="AS77" s="74">
        <v>1.6089300000000001E-2</v>
      </c>
      <c r="AT77" s="74">
        <v>9.5954000000000005E-3</v>
      </c>
      <c r="AU77" s="74">
        <v>6.4939000000000004E-3</v>
      </c>
      <c r="AV77" s="74">
        <v>6.4939000000000004E-3</v>
      </c>
      <c r="AW77" s="74">
        <v>6.4939000000000004E-3</v>
      </c>
      <c r="AX77" s="74">
        <v>6.4939000000000004E-3</v>
      </c>
      <c r="AY77" s="74">
        <v>0.97991229105954381</v>
      </c>
      <c r="AZ77" s="74">
        <v>0.97318767782287274</v>
      </c>
      <c r="BA77" s="74">
        <v>0.96663528924276132</v>
      </c>
      <c r="BB77" s="74">
        <v>1.0207102143581495</v>
      </c>
      <c r="BC77" s="74">
        <v>1.0278350875966009</v>
      </c>
      <c r="BD77" s="74">
        <v>1.0348725390775255</v>
      </c>
      <c r="BE77" s="73">
        <v>5.1035510717907476E-2</v>
      </c>
      <c r="BF77" s="73">
        <v>5.1391754379830047E-2</v>
      </c>
      <c r="BG77" s="73">
        <v>5.1743626953876277E-2</v>
      </c>
    </row>
    <row r="78" spans="1:59">
      <c r="A78">
        <v>10239</v>
      </c>
      <c r="B78" t="s">
        <v>83</v>
      </c>
      <c r="C78">
        <v>0</v>
      </c>
      <c r="D78">
        <v>1</v>
      </c>
      <c r="E78" s="73">
        <v>14.209</v>
      </c>
      <c r="F78" s="73">
        <v>15.791</v>
      </c>
      <c r="G78" s="73">
        <v>15.949</v>
      </c>
      <c r="H78" s="73">
        <v>16.109000000000002</v>
      </c>
      <c r="I78" s="73">
        <v>0</v>
      </c>
      <c r="J78" s="73">
        <v>0</v>
      </c>
      <c r="K78" s="73">
        <v>0</v>
      </c>
      <c r="L78" s="73">
        <v>0</v>
      </c>
      <c r="M78" s="73">
        <v>0</v>
      </c>
      <c r="N78" s="73">
        <v>0</v>
      </c>
      <c r="O78" s="37">
        <v>0</v>
      </c>
      <c r="P78" s="37">
        <v>0</v>
      </c>
      <c r="Q78" s="37">
        <v>0</v>
      </c>
      <c r="R78" s="73">
        <v>15.791</v>
      </c>
      <c r="S78" s="73">
        <v>15.949</v>
      </c>
      <c r="T78" s="73">
        <v>16.109000000000002</v>
      </c>
      <c r="U78" s="37">
        <v>138329.16</v>
      </c>
      <c r="V78" s="37">
        <v>139713.24</v>
      </c>
      <c r="W78" s="37">
        <v>141501.45600000001</v>
      </c>
      <c r="X78">
        <v>14.081</v>
      </c>
      <c r="Y78" s="37">
        <v>123349.56</v>
      </c>
      <c r="Z78" s="37">
        <v>123349.56</v>
      </c>
      <c r="AA78" s="37">
        <v>123687.504</v>
      </c>
      <c r="AB78" s="73">
        <v>1.71</v>
      </c>
      <c r="AC78" s="73">
        <v>1.8680000000000001</v>
      </c>
      <c r="AD78" s="73">
        <v>2.028</v>
      </c>
      <c r="AE78" s="73">
        <v>1.71</v>
      </c>
      <c r="AF78" s="73">
        <v>1.8680000000000001</v>
      </c>
      <c r="AG78" s="73">
        <v>2.028</v>
      </c>
      <c r="AH78" s="73">
        <v>0</v>
      </c>
      <c r="AI78" s="73">
        <v>0</v>
      </c>
      <c r="AJ78" s="73">
        <v>0</v>
      </c>
      <c r="AK78">
        <v>0</v>
      </c>
      <c r="AL78">
        <v>0</v>
      </c>
      <c r="AM78">
        <v>0</v>
      </c>
      <c r="AN78" s="73">
        <v>1.71</v>
      </c>
      <c r="AO78" s="73">
        <v>1.8680000000000001</v>
      </c>
      <c r="AP78" s="73">
        <v>2.028</v>
      </c>
      <c r="AQ78" s="74">
        <v>1.9805999999999999E-3</v>
      </c>
      <c r="AR78" s="74">
        <v>1.9805999999999999E-3</v>
      </c>
      <c r="AS78" s="74">
        <v>1.9805999999999999E-3</v>
      </c>
      <c r="AT78" s="74">
        <v>0</v>
      </c>
      <c r="AU78" s="74">
        <v>1.9805999999999999E-3</v>
      </c>
      <c r="AV78" s="74">
        <v>1.9805999999999999E-3</v>
      </c>
      <c r="AW78" s="74">
        <v>1.9805999999999999E-3</v>
      </c>
      <c r="AX78" s="74">
        <v>1.9805999999999999E-3</v>
      </c>
      <c r="AY78" s="74">
        <v>0.89172178400354629</v>
      </c>
      <c r="AZ78" s="74">
        <v>0.88288787329613139</v>
      </c>
      <c r="BA78" s="74">
        <v>0.87411873432242837</v>
      </c>
      <c r="BB78" s="74">
        <v>1.1214402386194162</v>
      </c>
      <c r="BC78" s="74">
        <v>1.1326610325971167</v>
      </c>
      <c r="BD78" s="74">
        <v>1.1440238619416236</v>
      </c>
      <c r="BE78" s="74">
        <v>7.8500816703359136E-2</v>
      </c>
      <c r="BF78" s="74">
        <v>7.9286272281798173E-2</v>
      </c>
      <c r="BG78" s="74">
        <v>8.0081670335913666E-2</v>
      </c>
    </row>
    <row r="79" spans="1:59">
      <c r="A79">
        <v>10242</v>
      </c>
      <c r="B79" t="s">
        <v>84</v>
      </c>
      <c r="C79">
        <v>1</v>
      </c>
      <c r="D79">
        <v>0</v>
      </c>
      <c r="E79" s="73">
        <v>9.6679999999999993</v>
      </c>
      <c r="F79" s="73">
        <v>10.526</v>
      </c>
      <c r="G79" s="73">
        <v>10.6</v>
      </c>
      <c r="H79" s="73">
        <v>10.638</v>
      </c>
      <c r="I79" s="73">
        <v>0</v>
      </c>
      <c r="J79" s="73">
        <v>0</v>
      </c>
      <c r="K79" s="73">
        <v>0</v>
      </c>
      <c r="L79" s="73">
        <v>0</v>
      </c>
      <c r="M79" s="73">
        <v>0</v>
      </c>
      <c r="N79" s="73">
        <v>0</v>
      </c>
      <c r="O79" s="37">
        <v>0</v>
      </c>
      <c r="P79" s="37">
        <v>0</v>
      </c>
      <c r="Q79" s="37">
        <v>0</v>
      </c>
      <c r="R79" s="73">
        <v>10.526</v>
      </c>
      <c r="S79" s="73">
        <v>10.6</v>
      </c>
      <c r="T79" s="73">
        <v>10.638</v>
      </c>
      <c r="U79" s="37">
        <v>92207.76</v>
      </c>
      <c r="V79" s="37">
        <v>92856</v>
      </c>
      <c r="W79" s="37">
        <v>93444.191999999995</v>
      </c>
      <c r="X79">
        <v>9.5809999999999995</v>
      </c>
      <c r="Y79" s="37">
        <v>83929.56</v>
      </c>
      <c r="Z79" s="37">
        <v>83929.56</v>
      </c>
      <c r="AA79" s="37">
        <v>84159.504000000001</v>
      </c>
      <c r="AB79" s="73">
        <v>0.94499999999999995</v>
      </c>
      <c r="AC79" s="73">
        <v>1.0189999999999999</v>
      </c>
      <c r="AD79" s="73">
        <v>1.0569999999999999</v>
      </c>
      <c r="AE79" s="73">
        <v>0</v>
      </c>
      <c r="AF79" s="73">
        <v>1.0189999999999999</v>
      </c>
      <c r="AG79" s="73">
        <v>1.0569999999999999</v>
      </c>
      <c r="AH79" s="73">
        <v>0.94499999999999995</v>
      </c>
      <c r="AI79" s="73">
        <v>0</v>
      </c>
      <c r="AJ79" s="73">
        <v>0</v>
      </c>
      <c r="AK79">
        <v>0</v>
      </c>
      <c r="AL79">
        <v>0</v>
      </c>
      <c r="AM79">
        <v>0</v>
      </c>
      <c r="AN79" s="73">
        <v>0</v>
      </c>
      <c r="AO79" s="73">
        <v>1.0189999999999999</v>
      </c>
      <c r="AP79" s="73">
        <v>1.0569999999999999</v>
      </c>
      <c r="AQ79" s="74">
        <v>1.3476E-3</v>
      </c>
      <c r="AR79" s="74">
        <v>1.3476E-3</v>
      </c>
      <c r="AS79" s="74">
        <v>1.3476E-3</v>
      </c>
      <c r="AT79" s="74">
        <v>0</v>
      </c>
      <c r="AU79" s="74">
        <v>1.3476E-3</v>
      </c>
      <c r="AV79" s="74">
        <v>1.3476E-3</v>
      </c>
      <c r="AW79" s="74">
        <v>1.3476E-3</v>
      </c>
      <c r="AX79" s="74">
        <v>1.3476E-3</v>
      </c>
      <c r="AY79" s="74">
        <v>0.9102063723351701</v>
      </c>
      <c r="AZ79" s="74">
        <v>0.90385210143396233</v>
      </c>
      <c r="BA79" s="74">
        <v>0.9006234513254372</v>
      </c>
      <c r="BB79" s="74">
        <v>1.0986327105730092</v>
      </c>
      <c r="BC79" s="74">
        <v>1.1063563302369273</v>
      </c>
      <c r="BD79" s="74">
        <v>1.110322513307588</v>
      </c>
      <c r="BE79" s="74">
        <v>7.6904289740110654E-2</v>
      </c>
      <c r="BF79" s="74">
        <v>7.7444943116584911E-2</v>
      </c>
      <c r="BG79" s="74">
        <v>7.7722575931531174E-2</v>
      </c>
    </row>
    <row r="80" spans="1:59">
      <c r="A80">
        <v>10244</v>
      </c>
      <c r="B80" t="s">
        <v>85</v>
      </c>
      <c r="C80">
        <v>1</v>
      </c>
      <c r="D80">
        <v>0</v>
      </c>
      <c r="E80" s="73">
        <v>87.320999999999998</v>
      </c>
      <c r="F80" s="73">
        <v>113.92400000000001</v>
      </c>
      <c r="G80" s="73">
        <v>115.801</v>
      </c>
      <c r="H80" s="73">
        <v>117.283</v>
      </c>
      <c r="I80" s="73">
        <v>0</v>
      </c>
      <c r="J80" s="73">
        <v>0</v>
      </c>
      <c r="K80" s="73">
        <v>0</v>
      </c>
      <c r="L80" s="73">
        <v>1.778</v>
      </c>
      <c r="M80" s="73">
        <v>1.778</v>
      </c>
      <c r="N80" s="73">
        <v>1.776</v>
      </c>
      <c r="O80" s="37">
        <v>15575.28</v>
      </c>
      <c r="P80" s="37">
        <v>15575.28</v>
      </c>
      <c r="Q80" s="37">
        <v>15600.384</v>
      </c>
      <c r="R80" s="73">
        <v>112.146</v>
      </c>
      <c r="S80" s="73">
        <v>114.023</v>
      </c>
      <c r="T80" s="73">
        <v>115.50700000000001</v>
      </c>
      <c r="U80" s="37">
        <v>982398.96</v>
      </c>
      <c r="V80" s="37">
        <v>998841.48</v>
      </c>
      <c r="W80" s="37">
        <v>1014613.488</v>
      </c>
      <c r="X80">
        <v>86.533000000000001</v>
      </c>
      <c r="Y80" s="37">
        <v>758029.08</v>
      </c>
      <c r="Z80" s="37">
        <v>758029.08</v>
      </c>
      <c r="AA80" s="37">
        <v>760105.87199999997</v>
      </c>
      <c r="AB80" s="73">
        <v>25.613</v>
      </c>
      <c r="AC80" s="73">
        <v>27.49</v>
      </c>
      <c r="AD80" s="73">
        <v>28.974</v>
      </c>
      <c r="AE80" s="73">
        <v>25.613</v>
      </c>
      <c r="AF80" s="73">
        <v>27.49</v>
      </c>
      <c r="AG80" s="73">
        <v>28.974</v>
      </c>
      <c r="AH80" s="73">
        <v>0</v>
      </c>
      <c r="AI80" s="73">
        <v>0</v>
      </c>
      <c r="AJ80" s="73">
        <v>0</v>
      </c>
      <c r="AK80">
        <v>0</v>
      </c>
      <c r="AL80">
        <v>0</v>
      </c>
      <c r="AM80">
        <v>0</v>
      </c>
      <c r="AN80" s="73">
        <v>25.613</v>
      </c>
      <c r="AO80" s="73">
        <v>27.49</v>
      </c>
      <c r="AP80" s="73">
        <v>28.974</v>
      </c>
      <c r="AQ80" s="74">
        <v>1.2171400000000001E-2</v>
      </c>
      <c r="AR80" s="74">
        <v>1.2171400000000001E-2</v>
      </c>
      <c r="AS80" s="74">
        <v>1.2171400000000001E-2</v>
      </c>
      <c r="AT80" s="74">
        <v>0</v>
      </c>
      <c r="AU80" s="74">
        <v>1.2171400000000001E-2</v>
      </c>
      <c r="AV80" s="74">
        <v>1.2171400000000001E-2</v>
      </c>
      <c r="AW80" s="74">
        <v>1.2171400000000001E-2</v>
      </c>
      <c r="AX80" s="74">
        <v>1.2171400000000001E-2</v>
      </c>
      <c r="AY80" s="74">
        <v>0.7751764440574419</v>
      </c>
      <c r="AZ80" s="74">
        <v>0.76261173230628421</v>
      </c>
      <c r="BA80" s="74">
        <v>0.75295823958118402</v>
      </c>
      <c r="BB80" s="74">
        <v>1.2959911247732079</v>
      </c>
      <c r="BC80" s="74">
        <v>1.3176822715033569</v>
      </c>
      <c r="BD80" s="74">
        <v>1.334831798273491</v>
      </c>
      <c r="BE80" s="74">
        <v>7.7759467486392467E-2</v>
      </c>
      <c r="BF80" s="74">
        <v>7.9060936290201417E-2</v>
      </c>
      <c r="BG80" s="74">
        <v>8.0089907896409449E-2</v>
      </c>
    </row>
    <row r="81" spans="1:59">
      <c r="A81">
        <v>10246</v>
      </c>
      <c r="B81" t="s">
        <v>86</v>
      </c>
      <c r="C81">
        <v>1</v>
      </c>
      <c r="D81">
        <v>0</v>
      </c>
      <c r="E81" s="73">
        <v>9.1210000000000004</v>
      </c>
      <c r="F81" s="73">
        <v>10.345000000000001</v>
      </c>
      <c r="G81" s="73">
        <v>10.382999999999999</v>
      </c>
      <c r="H81" s="73">
        <v>10.422000000000001</v>
      </c>
      <c r="I81" s="73">
        <v>0</v>
      </c>
      <c r="J81" s="73">
        <v>0</v>
      </c>
      <c r="K81" s="73">
        <v>0</v>
      </c>
      <c r="L81" s="73">
        <v>0.54200000000000004</v>
      </c>
      <c r="M81" s="73">
        <v>0.54200000000000004</v>
      </c>
      <c r="N81" s="73">
        <v>0.54</v>
      </c>
      <c r="O81" s="37">
        <v>4747.92</v>
      </c>
      <c r="P81" s="37">
        <v>4747.92</v>
      </c>
      <c r="Q81" s="37">
        <v>4743.3600000000006</v>
      </c>
      <c r="R81" s="73">
        <v>9.8030000000000008</v>
      </c>
      <c r="S81" s="73">
        <v>9.8409999999999993</v>
      </c>
      <c r="T81" s="73">
        <v>9.8819999999999997</v>
      </c>
      <c r="U81" s="37">
        <v>85874.280000000013</v>
      </c>
      <c r="V81" s="37">
        <v>86207.159999999989</v>
      </c>
      <c r="W81" s="37">
        <v>86803.487999999998</v>
      </c>
      <c r="X81">
        <v>9.0389999999999997</v>
      </c>
      <c r="Y81" s="37">
        <v>79181.64</v>
      </c>
      <c r="Z81" s="37">
        <v>79181.64</v>
      </c>
      <c r="AA81" s="37">
        <v>79398.576000000001</v>
      </c>
      <c r="AB81" s="73">
        <v>0.76400000000000001</v>
      </c>
      <c r="AC81" s="73">
        <v>0.80200000000000005</v>
      </c>
      <c r="AD81" s="73">
        <v>0.84299999999999997</v>
      </c>
      <c r="AE81" s="73">
        <v>0</v>
      </c>
      <c r="AF81" s="73">
        <v>0</v>
      </c>
      <c r="AG81" s="73">
        <v>0</v>
      </c>
      <c r="AH81" s="73">
        <v>0.76400000000000001</v>
      </c>
      <c r="AI81" s="73">
        <v>0.80200000000000005</v>
      </c>
      <c r="AJ81" s="73">
        <v>0.84299999999999997</v>
      </c>
      <c r="AK81">
        <v>0</v>
      </c>
      <c r="AL81">
        <v>0</v>
      </c>
      <c r="AM81">
        <v>0</v>
      </c>
      <c r="AN81" s="73">
        <v>0</v>
      </c>
      <c r="AO81" s="73">
        <v>0</v>
      </c>
      <c r="AP81" s="73">
        <v>0</v>
      </c>
      <c r="AQ81" s="74">
        <v>1.2714E-3</v>
      </c>
      <c r="AR81" s="74">
        <v>1.2714E-3</v>
      </c>
      <c r="AS81" s="74">
        <v>1.2714E-3</v>
      </c>
      <c r="AT81" s="74">
        <v>0</v>
      </c>
      <c r="AU81" s="74">
        <v>1.2714E-3</v>
      </c>
      <c r="AV81" s="74">
        <v>1.2714E-3</v>
      </c>
      <c r="AW81" s="74">
        <v>1.2714E-3</v>
      </c>
      <c r="AX81" s="74">
        <v>1.2714E-3</v>
      </c>
      <c r="AY81" s="74">
        <v>0.92615605730304496</v>
      </c>
      <c r="AZ81" s="74">
        <v>0.92276648490802293</v>
      </c>
      <c r="BA81" s="74">
        <v>0.919121513413932</v>
      </c>
      <c r="BB81" s="74">
        <v>1.0845226241840913</v>
      </c>
      <c r="BC81" s="74">
        <v>1.0887266290518862</v>
      </c>
      <c r="BD81" s="74">
        <v>1.0932625290408231</v>
      </c>
      <c r="BE81" s="74">
        <v>0</v>
      </c>
      <c r="BF81" s="74">
        <v>0</v>
      </c>
      <c r="BG81" s="74">
        <v>0</v>
      </c>
    </row>
    <row r="82" spans="1:59">
      <c r="A82">
        <v>10247</v>
      </c>
      <c r="B82" t="s">
        <v>87</v>
      </c>
      <c r="C82">
        <v>1</v>
      </c>
      <c r="D82">
        <v>0</v>
      </c>
      <c r="E82" s="73">
        <v>81.120999999999995</v>
      </c>
      <c r="F82" s="73">
        <v>84.048000000000002</v>
      </c>
      <c r="G82" s="73">
        <v>84.972999999999999</v>
      </c>
      <c r="H82" s="73">
        <v>85.966999999999999</v>
      </c>
      <c r="I82" s="73">
        <v>0</v>
      </c>
      <c r="J82" s="73">
        <v>0</v>
      </c>
      <c r="K82" s="73">
        <v>0</v>
      </c>
      <c r="L82" s="73">
        <v>0.65600000000000003</v>
      </c>
      <c r="M82" s="73">
        <v>0.65600000000000003</v>
      </c>
      <c r="N82" s="73">
        <v>0.65600000000000003</v>
      </c>
      <c r="O82" s="37">
        <v>5746.56</v>
      </c>
      <c r="P82" s="37">
        <v>5746.56</v>
      </c>
      <c r="Q82" s="37">
        <v>5762.3040000000001</v>
      </c>
      <c r="R82" s="73">
        <v>83.391999999999996</v>
      </c>
      <c r="S82" s="73">
        <v>84.316999999999993</v>
      </c>
      <c r="T82" s="73">
        <v>85.311000000000007</v>
      </c>
      <c r="U82" s="37">
        <v>730513.91999999993</v>
      </c>
      <c r="V82" s="37">
        <v>738616.91999999993</v>
      </c>
      <c r="W82" s="37">
        <v>749371.82400000002</v>
      </c>
      <c r="X82">
        <v>80.388999999999996</v>
      </c>
      <c r="Y82" s="37">
        <v>704207.64</v>
      </c>
      <c r="Z82" s="37">
        <v>704207.64</v>
      </c>
      <c r="AA82" s="37">
        <v>706136.97599999991</v>
      </c>
      <c r="AB82" s="73">
        <v>3.0030000000000001</v>
      </c>
      <c r="AC82" s="73">
        <v>3.9279999999999999</v>
      </c>
      <c r="AD82" s="73">
        <v>4.9219999999999997</v>
      </c>
      <c r="AE82" s="73">
        <v>3.0030000000000001</v>
      </c>
      <c r="AF82" s="73">
        <v>3.9279999999999999</v>
      </c>
      <c r="AG82" s="73">
        <v>4.9219999999999997</v>
      </c>
      <c r="AH82" s="73">
        <v>0</v>
      </c>
      <c r="AI82" s="73">
        <v>0</v>
      </c>
      <c r="AJ82" s="73">
        <v>0</v>
      </c>
      <c r="AK82">
        <v>0</v>
      </c>
      <c r="AL82">
        <v>0</v>
      </c>
      <c r="AM82">
        <v>0</v>
      </c>
      <c r="AN82" s="73">
        <v>3.0030000000000001</v>
      </c>
      <c r="AO82" s="73">
        <v>3.9279999999999999</v>
      </c>
      <c r="AP82" s="73">
        <v>4.9219999999999997</v>
      </c>
      <c r="AQ82" s="74">
        <v>1.13072E-2</v>
      </c>
      <c r="AR82" s="74">
        <v>1.13072E-2</v>
      </c>
      <c r="AS82" s="74">
        <v>1.13072E-2</v>
      </c>
      <c r="AT82" s="74">
        <v>0</v>
      </c>
      <c r="AU82" s="74">
        <v>1.13072E-2</v>
      </c>
      <c r="AV82" s="74">
        <v>1.13072E-2</v>
      </c>
      <c r="AW82" s="74">
        <v>1.13072E-2</v>
      </c>
      <c r="AX82" s="74">
        <v>1.1307199999999998E-2</v>
      </c>
      <c r="AY82" s="74">
        <v>0.96427192050257005</v>
      </c>
      <c r="AZ82" s="74">
        <v>0.95377503882880466</v>
      </c>
      <c r="BA82" s="74">
        <v>0.94274694213360954</v>
      </c>
      <c r="BB82" s="74">
        <v>1.0373558571446342</v>
      </c>
      <c r="BC82" s="74">
        <v>1.0488624065481595</v>
      </c>
      <c r="BD82" s="74">
        <v>1.0612272823396238</v>
      </c>
      <c r="BE82" s="74">
        <v>0</v>
      </c>
      <c r="BF82" s="74">
        <v>0</v>
      </c>
      <c r="BG82" s="74">
        <v>0</v>
      </c>
    </row>
    <row r="83" spans="1:59">
      <c r="A83">
        <v>10256</v>
      </c>
      <c r="B83" t="s">
        <v>88</v>
      </c>
      <c r="C83">
        <v>1</v>
      </c>
      <c r="D83">
        <v>0</v>
      </c>
      <c r="E83" s="73">
        <v>47.442999999999998</v>
      </c>
      <c r="F83" s="73">
        <v>65.308999999999997</v>
      </c>
      <c r="G83" s="73">
        <v>66.921999999999997</v>
      </c>
      <c r="H83" s="73">
        <v>68.540000000000006</v>
      </c>
      <c r="I83" s="73">
        <v>0</v>
      </c>
      <c r="J83" s="73">
        <v>0</v>
      </c>
      <c r="K83" s="73">
        <v>0</v>
      </c>
      <c r="L83" s="73">
        <v>0.52200000000000002</v>
      </c>
      <c r="M83" s="73">
        <v>0.52200000000000002</v>
      </c>
      <c r="N83" s="73">
        <v>0.52200000000000002</v>
      </c>
      <c r="O83" s="37">
        <v>4572.72</v>
      </c>
      <c r="P83" s="37">
        <v>4572.72</v>
      </c>
      <c r="Q83" s="37">
        <v>4585.2480000000005</v>
      </c>
      <c r="R83" s="73">
        <v>64.787000000000006</v>
      </c>
      <c r="S83" s="73">
        <v>66.400000000000006</v>
      </c>
      <c r="T83" s="73">
        <v>68.018000000000001</v>
      </c>
      <c r="U83" s="37">
        <v>567534.12000000011</v>
      </c>
      <c r="V83" s="37">
        <v>581664</v>
      </c>
      <c r="W83" s="37">
        <v>597470.11199999996</v>
      </c>
      <c r="X83">
        <v>47.015000000000001</v>
      </c>
      <c r="Y83" s="37">
        <v>411851.4</v>
      </c>
      <c r="Z83" s="37">
        <v>411851.4</v>
      </c>
      <c r="AA83" s="37">
        <v>412979.76</v>
      </c>
      <c r="AB83" s="73">
        <v>17.771999999999998</v>
      </c>
      <c r="AC83" s="73">
        <v>19.385000000000002</v>
      </c>
      <c r="AD83" s="73">
        <v>21.003</v>
      </c>
      <c r="AE83" s="73">
        <v>17.771999999999998</v>
      </c>
      <c r="AF83" s="73">
        <v>19.385000000000002</v>
      </c>
      <c r="AG83" s="73">
        <v>21.003</v>
      </c>
      <c r="AH83" s="73">
        <v>0</v>
      </c>
      <c r="AI83" s="73">
        <v>0</v>
      </c>
      <c r="AJ83" s="73">
        <v>0</v>
      </c>
      <c r="AK83">
        <v>0</v>
      </c>
      <c r="AL83">
        <v>0</v>
      </c>
      <c r="AM83">
        <v>0</v>
      </c>
      <c r="AN83" s="73">
        <v>17.771999999999998</v>
      </c>
      <c r="AO83" s="73">
        <v>19.385000000000002</v>
      </c>
      <c r="AP83" s="73">
        <v>21.003</v>
      </c>
      <c r="AQ83" s="74">
        <v>6.6128999999999997E-3</v>
      </c>
      <c r="AR83" s="74">
        <v>6.6128999999999997E-3</v>
      </c>
      <c r="AS83" s="74">
        <v>6.6128999999999997E-3</v>
      </c>
      <c r="AT83" s="74">
        <v>0</v>
      </c>
      <c r="AU83" s="74">
        <v>6.6128999999999997E-3</v>
      </c>
      <c r="AV83" s="74">
        <v>6.6128999999999997E-3</v>
      </c>
      <c r="AW83" s="74">
        <v>6.6128999999999997E-3</v>
      </c>
      <c r="AX83" s="74">
        <v>6.6129000000000005E-3</v>
      </c>
      <c r="AY83" s="74">
        <v>0.72787451072287135</v>
      </c>
      <c r="AZ83" s="74">
        <v>0.71033077942679546</v>
      </c>
      <c r="BA83" s="74">
        <v>0.69356224716661807</v>
      </c>
      <c r="BB83" s="74">
        <v>1.3780070190364779</v>
      </c>
      <c r="BC83" s="74">
        <v>1.4123152185472723</v>
      </c>
      <c r="BD83" s="74">
        <v>1.4467297670956079</v>
      </c>
      <c r="BE83" s="74">
        <v>8.9570456237371074E-2</v>
      </c>
      <c r="BF83" s="74">
        <v>9.1800489205572697E-2</v>
      </c>
      <c r="BG83" s="74">
        <v>9.4037434861214519E-2</v>
      </c>
    </row>
    <row r="84" spans="1:59">
      <c r="A84">
        <v>10258</v>
      </c>
      <c r="B84" t="s">
        <v>89</v>
      </c>
      <c r="C84">
        <v>1</v>
      </c>
      <c r="D84">
        <v>0</v>
      </c>
      <c r="E84" s="73">
        <v>38.518000000000001</v>
      </c>
      <c r="F84" s="73">
        <v>54.978999999999999</v>
      </c>
      <c r="G84" s="73">
        <v>56.313000000000002</v>
      </c>
      <c r="H84" s="73">
        <v>57.627000000000002</v>
      </c>
      <c r="I84" s="73">
        <v>0</v>
      </c>
      <c r="J84" s="73">
        <v>0</v>
      </c>
      <c r="K84" s="73">
        <v>0</v>
      </c>
      <c r="L84" s="73">
        <v>2.2829999999999999</v>
      </c>
      <c r="M84" s="73">
        <v>2.2829999999999999</v>
      </c>
      <c r="N84" s="73">
        <v>2.2770000000000001</v>
      </c>
      <c r="O84" s="37">
        <v>19999.079999999998</v>
      </c>
      <c r="P84" s="37">
        <v>19999.079999999998</v>
      </c>
      <c r="Q84" s="37">
        <v>20001.168000000001</v>
      </c>
      <c r="R84" s="73">
        <v>52.695999999999998</v>
      </c>
      <c r="S84" s="73">
        <v>54.03</v>
      </c>
      <c r="T84" s="73">
        <v>55.35</v>
      </c>
      <c r="U84" s="37">
        <v>461616.95999999996</v>
      </c>
      <c r="V84" s="37">
        <v>473302.8</v>
      </c>
      <c r="W84" s="37">
        <v>486194.4</v>
      </c>
      <c r="X84">
        <v>38.170999999999999</v>
      </c>
      <c r="Y84" s="37">
        <v>334377.96000000002</v>
      </c>
      <c r="Z84" s="37">
        <v>334377.96000000002</v>
      </c>
      <c r="AA84" s="37">
        <v>335294.06400000001</v>
      </c>
      <c r="AB84" s="73">
        <v>14.525</v>
      </c>
      <c r="AC84" s="73">
        <v>15.859</v>
      </c>
      <c r="AD84" s="73">
        <v>17.178999999999998</v>
      </c>
      <c r="AE84" s="73">
        <v>14.525</v>
      </c>
      <c r="AF84" s="73">
        <v>15.859</v>
      </c>
      <c r="AG84" s="73">
        <v>17.178999999999998</v>
      </c>
      <c r="AH84" s="73">
        <v>0</v>
      </c>
      <c r="AI84" s="73">
        <v>0</v>
      </c>
      <c r="AJ84" s="73">
        <v>0</v>
      </c>
      <c r="AK84">
        <v>0</v>
      </c>
      <c r="AL84">
        <v>0</v>
      </c>
      <c r="AM84">
        <v>0</v>
      </c>
      <c r="AN84" s="73">
        <v>14.525</v>
      </c>
      <c r="AO84" s="73">
        <v>15.859</v>
      </c>
      <c r="AP84" s="73">
        <v>17.178999999999998</v>
      </c>
      <c r="AQ84" s="74">
        <v>5.3689999999999996E-3</v>
      </c>
      <c r="AR84" s="74">
        <v>5.3689999999999996E-3</v>
      </c>
      <c r="AS84" s="74">
        <v>5.3689999999999996E-3</v>
      </c>
      <c r="AT84" s="74">
        <v>0</v>
      </c>
      <c r="AU84" s="74">
        <v>5.3689999999999996E-3</v>
      </c>
      <c r="AV84" s="74">
        <v>5.3689999999999996E-3</v>
      </c>
      <c r="AW84" s="74">
        <v>5.3689999999999996E-3</v>
      </c>
      <c r="AX84" s="74">
        <v>5.3689999999999996E-3</v>
      </c>
      <c r="AY84" s="74">
        <v>0.73581157692937316</v>
      </c>
      <c r="AZ84" s="74">
        <v>0.71838091893523703</v>
      </c>
      <c r="BA84" s="74">
        <v>0.70189641466673613</v>
      </c>
      <c r="BB84" s="74">
        <v>1.3805244819365488</v>
      </c>
      <c r="BC84" s="74">
        <v>1.4154724791071756</v>
      </c>
      <c r="BD84" s="74">
        <v>1.4500537056928036</v>
      </c>
      <c r="BE84" s="74">
        <v>6.9026224096827446E-2</v>
      </c>
      <c r="BF84" s="74">
        <v>7.0773623955358786E-2</v>
      </c>
      <c r="BG84" s="74">
        <v>7.2502685284640198E-2</v>
      </c>
    </row>
    <row r="85" spans="1:59">
      <c r="A85">
        <v>10259</v>
      </c>
      <c r="B85" t="s">
        <v>90</v>
      </c>
      <c r="C85">
        <v>1</v>
      </c>
      <c r="D85">
        <v>0</v>
      </c>
      <c r="E85" s="73">
        <v>27.388000000000002</v>
      </c>
      <c r="F85" s="73">
        <v>32.343000000000004</v>
      </c>
      <c r="G85" s="73">
        <v>33.000999999999998</v>
      </c>
      <c r="H85" s="73">
        <v>33.631</v>
      </c>
      <c r="I85" s="73">
        <v>0</v>
      </c>
      <c r="J85" s="73">
        <v>0</v>
      </c>
      <c r="K85" s="73">
        <v>0</v>
      </c>
      <c r="L85" s="73">
        <v>0</v>
      </c>
      <c r="M85" s="73">
        <v>0</v>
      </c>
      <c r="N85" s="73">
        <v>0</v>
      </c>
      <c r="O85" s="37">
        <v>0</v>
      </c>
      <c r="P85" s="37">
        <v>0</v>
      </c>
      <c r="Q85" s="37">
        <v>0</v>
      </c>
      <c r="R85" s="73">
        <v>32.343000000000004</v>
      </c>
      <c r="S85" s="73">
        <v>33.000999999999998</v>
      </c>
      <c r="T85" s="73">
        <v>33.631</v>
      </c>
      <c r="U85" s="37">
        <v>283324.68000000005</v>
      </c>
      <c r="V85" s="37">
        <v>289088.75999999995</v>
      </c>
      <c r="W85" s="37">
        <v>295414.70400000003</v>
      </c>
      <c r="X85">
        <v>27.140999999999998</v>
      </c>
      <c r="Y85" s="37">
        <v>237755.15999999997</v>
      </c>
      <c r="Z85" s="37">
        <v>237755.15999999997</v>
      </c>
      <c r="AA85" s="37">
        <v>238406.54399999999</v>
      </c>
      <c r="AB85" s="73">
        <v>5.202</v>
      </c>
      <c r="AC85" s="73">
        <v>5.86</v>
      </c>
      <c r="AD85" s="73">
        <v>6.49</v>
      </c>
      <c r="AE85" s="73">
        <v>5.202</v>
      </c>
      <c r="AF85" s="73">
        <v>5.86</v>
      </c>
      <c r="AG85" s="73">
        <v>6.49</v>
      </c>
      <c r="AH85" s="73">
        <v>0</v>
      </c>
      <c r="AI85" s="73">
        <v>0</v>
      </c>
      <c r="AJ85" s="73">
        <v>0</v>
      </c>
      <c r="AK85">
        <v>0</v>
      </c>
      <c r="AL85">
        <v>0</v>
      </c>
      <c r="AM85">
        <v>0</v>
      </c>
      <c r="AN85" s="73">
        <v>5.202</v>
      </c>
      <c r="AO85" s="73">
        <v>5.86</v>
      </c>
      <c r="AP85" s="73">
        <v>6.49</v>
      </c>
      <c r="AQ85" s="74">
        <v>3.8175000000000001E-3</v>
      </c>
      <c r="AR85" s="74">
        <v>3.8175000000000001E-3</v>
      </c>
      <c r="AS85" s="74">
        <v>3.8175000000000001E-3</v>
      </c>
      <c r="AT85" s="74">
        <v>0</v>
      </c>
      <c r="AU85" s="74">
        <v>3.8175000000000001E-3</v>
      </c>
      <c r="AV85" s="74">
        <v>3.8175000000000001E-3</v>
      </c>
      <c r="AW85" s="74">
        <v>3.8175000000000001E-3</v>
      </c>
      <c r="AX85" s="74">
        <v>3.8175000000000001E-3</v>
      </c>
      <c r="AY85" s="74">
        <v>0.83915266858361925</v>
      </c>
      <c r="AZ85" s="74">
        <v>0.82242097997030406</v>
      </c>
      <c r="BA85" s="74">
        <v>0.80701480063037079</v>
      </c>
      <c r="BB85" s="74">
        <v>1.1916657455510116</v>
      </c>
      <c r="BC85" s="74">
        <v>1.215909509598025</v>
      </c>
      <c r="BD85" s="74">
        <v>1.2391216241111236</v>
      </c>
      <c r="BE85" s="74">
        <v>7.7458273460815755E-2</v>
      </c>
      <c r="BF85" s="74">
        <v>7.9034118123871636E-2</v>
      </c>
      <c r="BG85" s="74">
        <v>8.054290556722303E-2</v>
      </c>
    </row>
    <row r="86" spans="1:59">
      <c r="A86">
        <v>10260</v>
      </c>
      <c r="B86" t="s">
        <v>91</v>
      </c>
      <c r="C86">
        <v>1</v>
      </c>
      <c r="D86">
        <v>0</v>
      </c>
      <c r="E86" s="73">
        <v>26.677</v>
      </c>
      <c r="F86" s="73">
        <v>27.297000000000001</v>
      </c>
      <c r="G86" s="73">
        <v>27.423999999999999</v>
      </c>
      <c r="H86" s="73">
        <v>27.54</v>
      </c>
      <c r="I86" s="73">
        <v>0</v>
      </c>
      <c r="J86" s="73">
        <v>0</v>
      </c>
      <c r="K86" s="73">
        <v>0</v>
      </c>
      <c r="L86" s="73">
        <v>0</v>
      </c>
      <c r="M86" s="73">
        <v>0</v>
      </c>
      <c r="N86" s="73">
        <v>0</v>
      </c>
      <c r="O86" s="37">
        <v>0</v>
      </c>
      <c r="P86" s="37">
        <v>0</v>
      </c>
      <c r="Q86" s="37">
        <v>0</v>
      </c>
      <c r="R86" s="73">
        <v>27.297000000000001</v>
      </c>
      <c r="S86" s="73">
        <v>27.423999999999999</v>
      </c>
      <c r="T86" s="73">
        <v>27.54</v>
      </c>
      <c r="U86" s="37">
        <v>239121.72</v>
      </c>
      <c r="V86" s="37">
        <v>240234.23999999999</v>
      </c>
      <c r="W86" s="37">
        <v>241911.36</v>
      </c>
      <c r="X86">
        <v>26.436</v>
      </c>
      <c r="Y86" s="37">
        <v>231579.36</v>
      </c>
      <c r="Z86" s="37">
        <v>231579.36</v>
      </c>
      <c r="AA86" s="37">
        <v>232213.82399999999</v>
      </c>
      <c r="AB86" s="73">
        <v>0.86099999999999999</v>
      </c>
      <c r="AC86" s="73">
        <v>0.98799999999999999</v>
      </c>
      <c r="AD86" s="73">
        <v>1.1040000000000001</v>
      </c>
      <c r="AE86" s="73">
        <v>0</v>
      </c>
      <c r="AF86" s="73">
        <v>0</v>
      </c>
      <c r="AG86" s="73">
        <v>1.1040000000000001</v>
      </c>
      <c r="AH86" s="73">
        <v>0.86099999999999999</v>
      </c>
      <c r="AI86" s="73">
        <v>0.98799999999999999</v>
      </c>
      <c r="AJ86" s="73">
        <v>0</v>
      </c>
      <c r="AK86">
        <v>0</v>
      </c>
      <c r="AL86">
        <v>0</v>
      </c>
      <c r="AM86">
        <v>0</v>
      </c>
      <c r="AN86" s="73">
        <v>0</v>
      </c>
      <c r="AO86" s="73">
        <v>0</v>
      </c>
      <c r="AP86" s="73">
        <v>1.1040000000000001</v>
      </c>
      <c r="AQ86" s="74">
        <v>3.7184000000000002E-3</v>
      </c>
      <c r="AR86" s="74">
        <v>3.7184000000000002E-3</v>
      </c>
      <c r="AS86" s="74">
        <v>3.7184000000000002E-3</v>
      </c>
      <c r="AT86" s="74">
        <v>0</v>
      </c>
      <c r="AU86" s="74">
        <v>3.7184000000000002E-3</v>
      </c>
      <c r="AV86" s="74">
        <v>3.7184000000000002E-3</v>
      </c>
      <c r="AW86" s="74">
        <v>3.7184000000000002E-3</v>
      </c>
      <c r="AX86" s="74">
        <v>3.7184000000000002E-3</v>
      </c>
      <c r="AY86" s="74">
        <v>0.96846386624171166</v>
      </c>
      <c r="AZ86" s="74">
        <v>0.96397892928821494</v>
      </c>
      <c r="BA86" s="74">
        <v>0.95991859683369662</v>
      </c>
      <c r="BB86" s="74">
        <v>1.0325692237857467</v>
      </c>
      <c r="BC86" s="74">
        <v>1.0373732788621577</v>
      </c>
      <c r="BD86" s="74">
        <v>1.0417612346799818</v>
      </c>
      <c r="BE86" s="74">
        <v>0</v>
      </c>
      <c r="BF86" s="74">
        <v>0</v>
      </c>
      <c r="BG86" s="74">
        <v>0</v>
      </c>
    </row>
    <row r="87" spans="1:59">
      <c r="A87">
        <v>10273</v>
      </c>
      <c r="B87" t="s">
        <v>92</v>
      </c>
      <c r="C87">
        <v>1</v>
      </c>
      <c r="D87">
        <v>0</v>
      </c>
      <c r="E87" s="73">
        <v>5.9690000000000003</v>
      </c>
      <c r="F87" s="73">
        <v>8.1969999999999992</v>
      </c>
      <c r="G87" s="73">
        <v>8.2279999999999998</v>
      </c>
      <c r="H87" s="73">
        <v>8.2509999999999994</v>
      </c>
      <c r="I87" s="73">
        <v>0</v>
      </c>
      <c r="J87" s="73">
        <v>0</v>
      </c>
      <c r="K87" s="73">
        <v>0</v>
      </c>
      <c r="L87" s="73">
        <v>0</v>
      </c>
      <c r="M87" s="73">
        <v>0</v>
      </c>
      <c r="N87" s="73">
        <v>0</v>
      </c>
      <c r="O87" s="37">
        <v>0</v>
      </c>
      <c r="P87" s="37">
        <v>0</v>
      </c>
      <c r="Q87" s="37">
        <v>0</v>
      </c>
      <c r="R87" s="73">
        <v>8.1969999999999992</v>
      </c>
      <c r="S87" s="73">
        <v>8.2279999999999998</v>
      </c>
      <c r="T87" s="73">
        <v>8.2509999999999994</v>
      </c>
      <c r="U87" s="37">
        <v>71805.719999999987</v>
      </c>
      <c r="V87" s="37">
        <v>72077.279999999999</v>
      </c>
      <c r="W87" s="37">
        <v>72476.784</v>
      </c>
      <c r="X87">
        <v>5.915</v>
      </c>
      <c r="Y87" s="37">
        <v>51815.4</v>
      </c>
      <c r="Z87" s="37">
        <v>51815.4</v>
      </c>
      <c r="AA87" s="37">
        <v>51957.36</v>
      </c>
      <c r="AB87" s="73">
        <v>2.282</v>
      </c>
      <c r="AC87" s="73">
        <v>2.3130000000000002</v>
      </c>
      <c r="AD87" s="73">
        <v>2.3359999999999999</v>
      </c>
      <c r="AE87" s="73">
        <v>2.282</v>
      </c>
      <c r="AF87" s="73">
        <v>2.3130000000000002</v>
      </c>
      <c r="AG87" s="73">
        <v>2.3359999999999999</v>
      </c>
      <c r="AH87" s="73">
        <v>0</v>
      </c>
      <c r="AI87" s="73">
        <v>0</v>
      </c>
      <c r="AJ87" s="73">
        <v>0</v>
      </c>
      <c r="AK87">
        <v>0</v>
      </c>
      <c r="AL87">
        <v>0</v>
      </c>
      <c r="AM87">
        <v>0</v>
      </c>
      <c r="AN87" s="73">
        <v>2.282</v>
      </c>
      <c r="AO87" s="73">
        <v>2.3130000000000002</v>
      </c>
      <c r="AP87" s="73">
        <v>2.3359999999999999</v>
      </c>
      <c r="AQ87" s="74">
        <v>8.3199999999999995E-4</v>
      </c>
      <c r="AR87" s="74">
        <v>8.3199999999999995E-4</v>
      </c>
      <c r="AS87" s="74">
        <v>8.3199999999999995E-4</v>
      </c>
      <c r="AT87" s="74">
        <v>0</v>
      </c>
      <c r="AU87" s="74">
        <v>8.3199999999999995E-4</v>
      </c>
      <c r="AV87" s="74">
        <v>8.3199999999999995E-4</v>
      </c>
      <c r="AW87" s="74">
        <v>8.3199999999999995E-4</v>
      </c>
      <c r="AX87" s="74">
        <v>8.3199999999999995E-4</v>
      </c>
      <c r="AY87" s="74">
        <v>0.72162343101134563</v>
      </c>
      <c r="AZ87" s="74">
        <v>0.71890462615459405</v>
      </c>
      <c r="BA87" s="74">
        <v>0.71690065010301784</v>
      </c>
      <c r="BB87" s="74">
        <v>1.3857988165680473</v>
      </c>
      <c r="BC87" s="74">
        <v>1.391039729501268</v>
      </c>
      <c r="BD87" s="74">
        <v>1.3949281487743026</v>
      </c>
      <c r="BE87" s="74">
        <v>9.7005917159763325E-2</v>
      </c>
      <c r="BF87" s="74">
        <v>9.7372781065088773E-2</v>
      </c>
      <c r="BG87" s="74">
        <v>9.7644970414201185E-2</v>
      </c>
    </row>
    <row r="88" spans="1:59">
      <c r="A88">
        <v>10278</v>
      </c>
      <c r="B88" t="s">
        <v>93</v>
      </c>
      <c r="C88">
        <v>0</v>
      </c>
      <c r="D88">
        <v>1</v>
      </c>
      <c r="E88" s="73">
        <v>36.463999999999999</v>
      </c>
      <c r="F88" s="73">
        <v>47.26</v>
      </c>
      <c r="G88" s="73">
        <v>48.015000000000001</v>
      </c>
      <c r="H88" s="73">
        <v>48.302</v>
      </c>
      <c r="I88" s="73">
        <v>0</v>
      </c>
      <c r="J88" s="73">
        <v>0</v>
      </c>
      <c r="K88" s="73">
        <v>0</v>
      </c>
      <c r="L88" s="73">
        <v>1.53</v>
      </c>
      <c r="M88" s="73">
        <v>1.53</v>
      </c>
      <c r="N88" s="73">
        <v>1.5269999999999999</v>
      </c>
      <c r="O88" s="37">
        <v>13402.800000000001</v>
      </c>
      <c r="P88" s="37">
        <v>13402.800000000001</v>
      </c>
      <c r="Q88" s="37">
        <v>13413.168</v>
      </c>
      <c r="R88" s="73">
        <v>45.73</v>
      </c>
      <c r="S88" s="73">
        <v>46.484999999999999</v>
      </c>
      <c r="T88" s="73">
        <v>46.774999999999999</v>
      </c>
      <c r="U88" s="37">
        <v>400594.8</v>
      </c>
      <c r="V88" s="37">
        <v>407208.6</v>
      </c>
      <c r="W88" s="37">
        <v>410871.6</v>
      </c>
      <c r="X88">
        <v>36.134999999999998</v>
      </c>
      <c r="Y88" s="37">
        <v>316542.59999999998</v>
      </c>
      <c r="Z88" s="37">
        <v>316542.59999999998</v>
      </c>
      <c r="AA88" s="37">
        <v>317409.83999999997</v>
      </c>
      <c r="AB88" s="73">
        <v>9.5950000000000006</v>
      </c>
      <c r="AC88" s="73">
        <v>10.35</v>
      </c>
      <c r="AD88" s="73">
        <v>10.64</v>
      </c>
      <c r="AE88" s="73">
        <v>9.5950000000000006</v>
      </c>
      <c r="AF88" s="73">
        <v>10.35</v>
      </c>
      <c r="AG88" s="73">
        <v>10.64</v>
      </c>
      <c r="AH88" s="73">
        <v>0</v>
      </c>
      <c r="AI88" s="73">
        <v>0</v>
      </c>
      <c r="AJ88" s="73">
        <v>0</v>
      </c>
      <c r="AK88">
        <v>0</v>
      </c>
      <c r="AL88">
        <v>0</v>
      </c>
      <c r="AM88">
        <v>0</v>
      </c>
      <c r="AN88" s="73">
        <v>9.5950000000000006</v>
      </c>
      <c r="AO88" s="73">
        <v>10.35</v>
      </c>
      <c r="AP88" s="73">
        <v>10.64</v>
      </c>
      <c r="AQ88" s="74">
        <v>5.0825999999999996E-3</v>
      </c>
      <c r="AR88" s="74">
        <v>5.0825999999999996E-3</v>
      </c>
      <c r="AS88" s="74">
        <v>5.0825999999999996E-3</v>
      </c>
      <c r="AT88" s="74">
        <v>0</v>
      </c>
      <c r="AU88" s="74">
        <v>5.0825999999999996E-3</v>
      </c>
      <c r="AV88" s="74">
        <v>5.0825999999999996E-3</v>
      </c>
      <c r="AW88" s="74">
        <v>5.0825999999999996E-3</v>
      </c>
      <c r="AX88" s="74">
        <v>5.0825999999999996E-3</v>
      </c>
      <c r="AY88" s="74">
        <v>0.7969743756919172</v>
      </c>
      <c r="AZ88" s="74">
        <v>0.78444254910340527</v>
      </c>
      <c r="BA88" s="74">
        <v>0.77971945251128327</v>
      </c>
      <c r="BB88" s="74">
        <v>1.2655320326553203</v>
      </c>
      <c r="BC88" s="74">
        <v>1.2864259028642591</v>
      </c>
      <c r="BD88" s="74">
        <v>1.2944513629445136</v>
      </c>
      <c r="BE88" s="74">
        <v>8.225958212259582E-2</v>
      </c>
      <c r="BF88" s="74">
        <v>8.3617683686176836E-2</v>
      </c>
      <c r="BG88" s="74">
        <v>8.4139338591393387E-2</v>
      </c>
    </row>
    <row r="89" spans="1:59">
      <c r="A89">
        <v>10279</v>
      </c>
      <c r="B89" t="s">
        <v>94</v>
      </c>
      <c r="C89">
        <v>1</v>
      </c>
      <c r="D89">
        <v>0</v>
      </c>
      <c r="E89" s="73">
        <v>65.730999999999995</v>
      </c>
      <c r="F89" s="73">
        <v>284.50099999999998</v>
      </c>
      <c r="G89" s="73">
        <v>305.92700000000002</v>
      </c>
      <c r="H89" s="73">
        <v>306.43400000000003</v>
      </c>
      <c r="I89" s="73">
        <v>198.851</v>
      </c>
      <c r="J89" s="73">
        <v>219.93700000000001</v>
      </c>
      <c r="K89" s="73">
        <v>220.08500000000001</v>
      </c>
      <c r="L89" s="73">
        <v>4.4039999999999999</v>
      </c>
      <c r="M89" s="73">
        <v>4.4039999999999999</v>
      </c>
      <c r="N89" s="73">
        <v>4.4050000000000002</v>
      </c>
      <c r="O89" s="37">
        <v>38579.040000000001</v>
      </c>
      <c r="P89" s="37">
        <v>38579.040000000001</v>
      </c>
      <c r="Q89" s="37">
        <v>38693.520000000004</v>
      </c>
      <c r="R89" s="73">
        <v>81.245999999999995</v>
      </c>
      <c r="S89" s="73">
        <v>81.585999999999999</v>
      </c>
      <c r="T89" s="73">
        <v>81.944000000000003</v>
      </c>
      <c r="U89" s="37">
        <v>711714.96</v>
      </c>
      <c r="V89" s="37">
        <v>714693.36</v>
      </c>
      <c r="W89" s="37">
        <v>719796.09600000002</v>
      </c>
      <c r="X89">
        <v>65.138000000000005</v>
      </c>
      <c r="Y89" s="37">
        <v>570608.88</v>
      </c>
      <c r="Z89" s="37">
        <v>570608.88</v>
      </c>
      <c r="AA89" s="37">
        <v>572172.19200000004</v>
      </c>
      <c r="AB89" s="73">
        <v>16.108000000000001</v>
      </c>
      <c r="AC89" s="73">
        <v>16.448</v>
      </c>
      <c r="AD89" s="73">
        <v>16.806000000000001</v>
      </c>
      <c r="AE89" s="73">
        <v>16.108000000000001</v>
      </c>
      <c r="AF89" s="73">
        <v>16.448</v>
      </c>
      <c r="AG89" s="73">
        <v>16.806000000000001</v>
      </c>
      <c r="AH89" s="73">
        <v>0</v>
      </c>
      <c r="AI89" s="73">
        <v>0</v>
      </c>
      <c r="AJ89" s="73">
        <v>0</v>
      </c>
      <c r="AK89">
        <v>0</v>
      </c>
      <c r="AL89">
        <v>0</v>
      </c>
      <c r="AM89">
        <v>0</v>
      </c>
      <c r="AN89" s="73">
        <v>16.108000000000001</v>
      </c>
      <c r="AO89" s="73">
        <v>16.448</v>
      </c>
      <c r="AP89" s="73">
        <v>16.806000000000001</v>
      </c>
      <c r="AQ89" s="74">
        <v>9.162E-3</v>
      </c>
      <c r="AR89" s="74">
        <v>9.162E-3</v>
      </c>
      <c r="AS89" s="74">
        <v>9.162E-3</v>
      </c>
      <c r="AT89" s="74">
        <v>0</v>
      </c>
      <c r="AU89" s="74">
        <v>9.162E-3</v>
      </c>
      <c r="AV89" s="74">
        <v>9.162E-3</v>
      </c>
      <c r="AW89" s="74">
        <v>9.162E-3</v>
      </c>
      <c r="AX89" s="74">
        <v>9.162E-3</v>
      </c>
      <c r="AY89" s="74">
        <v>0.81192896000000025</v>
      </c>
      <c r="AZ89" s="74">
        <v>0.80871863500407015</v>
      </c>
      <c r="BA89" s="74">
        <v>0.80536793042189248</v>
      </c>
      <c r="BB89" s="74">
        <v>1.247290368141484</v>
      </c>
      <c r="BC89" s="74">
        <v>1.2525100555743189</v>
      </c>
      <c r="BD89" s="74">
        <v>1.2580060794006569</v>
      </c>
      <c r="BE89" s="74">
        <v>0</v>
      </c>
      <c r="BF89" s="74">
        <v>0</v>
      </c>
      <c r="BG89" s="74">
        <v>0</v>
      </c>
    </row>
    <row r="90" spans="1:59">
      <c r="A90">
        <v>10284</v>
      </c>
      <c r="B90" t="s">
        <v>95</v>
      </c>
      <c r="C90">
        <v>1</v>
      </c>
      <c r="D90">
        <v>0</v>
      </c>
      <c r="E90" s="73">
        <v>10.866</v>
      </c>
      <c r="F90" s="73">
        <v>12.069000000000001</v>
      </c>
      <c r="G90" s="73">
        <v>12.193</v>
      </c>
      <c r="H90" s="73">
        <v>12.31</v>
      </c>
      <c r="I90" s="73">
        <v>0</v>
      </c>
      <c r="J90" s="73">
        <v>0</v>
      </c>
      <c r="K90" s="73">
        <v>0</v>
      </c>
      <c r="L90" s="73">
        <v>0</v>
      </c>
      <c r="M90" s="73">
        <v>0</v>
      </c>
      <c r="N90" s="73">
        <v>0</v>
      </c>
      <c r="O90" s="37">
        <v>0</v>
      </c>
      <c r="P90" s="37">
        <v>0</v>
      </c>
      <c r="Q90" s="37">
        <v>0</v>
      </c>
      <c r="R90" s="73">
        <v>12.069000000000001</v>
      </c>
      <c r="S90" s="73">
        <v>12.193</v>
      </c>
      <c r="T90" s="73">
        <v>12.31</v>
      </c>
      <c r="U90" s="37">
        <v>105724.44</v>
      </c>
      <c r="V90" s="37">
        <v>106810.68</v>
      </c>
      <c r="W90" s="37">
        <v>108131.04000000001</v>
      </c>
      <c r="X90">
        <v>10.768000000000001</v>
      </c>
      <c r="Y90" s="37">
        <v>94327.680000000008</v>
      </c>
      <c r="Z90" s="37">
        <v>94327.680000000008</v>
      </c>
      <c r="AA90" s="37">
        <v>94586.112000000008</v>
      </c>
      <c r="AB90" s="73">
        <v>1.3009999999999999</v>
      </c>
      <c r="AC90" s="73">
        <v>1.425</v>
      </c>
      <c r="AD90" s="73">
        <v>1.542</v>
      </c>
      <c r="AE90" s="73">
        <v>1.3009999999999999</v>
      </c>
      <c r="AF90" s="73">
        <v>1.425</v>
      </c>
      <c r="AG90" s="73">
        <v>1.542</v>
      </c>
      <c r="AH90" s="73">
        <v>0</v>
      </c>
      <c r="AI90" s="73">
        <v>0</v>
      </c>
      <c r="AJ90" s="73">
        <v>0</v>
      </c>
      <c r="AK90">
        <v>0</v>
      </c>
      <c r="AL90">
        <v>0</v>
      </c>
      <c r="AM90">
        <v>0</v>
      </c>
      <c r="AN90" s="73">
        <v>1.3009999999999999</v>
      </c>
      <c r="AO90" s="73">
        <v>1.425</v>
      </c>
      <c r="AP90" s="73">
        <v>1.542</v>
      </c>
      <c r="AQ90" s="74">
        <v>1.5146000000000001E-3</v>
      </c>
      <c r="AR90" s="74">
        <v>1.5146000000000001E-3</v>
      </c>
      <c r="AS90" s="74">
        <v>1.5146000000000001E-3</v>
      </c>
      <c r="AT90" s="74">
        <v>0</v>
      </c>
      <c r="AU90" s="74">
        <v>1.5146000000000001E-3</v>
      </c>
      <c r="AV90" s="74">
        <v>1.5146000000000001E-3</v>
      </c>
      <c r="AW90" s="74">
        <v>1.5146000000000001E-3</v>
      </c>
      <c r="AX90" s="74">
        <v>1.5146000000000003E-3</v>
      </c>
      <c r="AY90" s="74">
        <v>0.89221372600878279</v>
      </c>
      <c r="AZ90" s="74">
        <v>0.88314011803493819</v>
      </c>
      <c r="BA90" s="74">
        <v>0.87474634112103977</v>
      </c>
      <c r="BB90" s="74">
        <v>1.1208209509658247</v>
      </c>
      <c r="BC90" s="74">
        <v>1.1323365527488856</v>
      </c>
      <c r="BD90" s="74">
        <v>1.1432020802377414</v>
      </c>
      <c r="BE90" s="74">
        <v>5.6041047548291235E-2</v>
      </c>
      <c r="BF90" s="74">
        <v>5.6616827637444279E-2</v>
      </c>
      <c r="BG90" s="74">
        <v>5.7160104011887071E-2</v>
      </c>
    </row>
    <row r="91" spans="1:59">
      <c r="A91">
        <v>10285</v>
      </c>
      <c r="B91" t="s">
        <v>96</v>
      </c>
      <c r="C91">
        <v>0</v>
      </c>
      <c r="D91">
        <v>1</v>
      </c>
      <c r="E91" s="73">
        <v>6.6260000000000003</v>
      </c>
      <c r="F91" s="73">
        <v>8.1389999999999993</v>
      </c>
      <c r="G91" s="73">
        <v>8.1999999999999993</v>
      </c>
      <c r="H91" s="73">
        <v>8.2469999999999999</v>
      </c>
      <c r="I91" s="73">
        <v>0</v>
      </c>
      <c r="J91" s="73">
        <v>0</v>
      </c>
      <c r="K91" s="73">
        <v>0</v>
      </c>
      <c r="L91" s="73">
        <v>0</v>
      </c>
      <c r="M91" s="73">
        <v>0</v>
      </c>
      <c r="N91" s="73">
        <v>0</v>
      </c>
      <c r="O91" s="37">
        <v>0</v>
      </c>
      <c r="P91" s="37">
        <v>0</v>
      </c>
      <c r="Q91" s="37">
        <v>0</v>
      </c>
      <c r="R91" s="73">
        <v>8.1389999999999993</v>
      </c>
      <c r="S91" s="73">
        <v>8.1999999999999993</v>
      </c>
      <c r="T91" s="73">
        <v>8.2469999999999999</v>
      </c>
      <c r="U91" s="37">
        <v>71297.64</v>
      </c>
      <c r="V91" s="37">
        <v>71832</v>
      </c>
      <c r="W91" s="37">
        <v>72441.648000000001</v>
      </c>
      <c r="X91">
        <v>6.5659999999999998</v>
      </c>
      <c r="Y91" s="37">
        <v>57518.159999999996</v>
      </c>
      <c r="Z91" s="37">
        <v>57518.159999999996</v>
      </c>
      <c r="AA91" s="37">
        <v>57675.743999999999</v>
      </c>
      <c r="AB91" s="73">
        <v>1.573</v>
      </c>
      <c r="AC91" s="73">
        <v>1.6339999999999999</v>
      </c>
      <c r="AD91" s="73">
        <v>1.681</v>
      </c>
      <c r="AE91" s="73">
        <v>1.573</v>
      </c>
      <c r="AF91" s="73">
        <v>1.6339999999999999</v>
      </c>
      <c r="AG91" s="73">
        <v>1.681</v>
      </c>
      <c r="AH91" s="73">
        <v>0</v>
      </c>
      <c r="AI91" s="73">
        <v>0</v>
      </c>
      <c r="AJ91" s="73">
        <v>0</v>
      </c>
      <c r="AK91">
        <v>0</v>
      </c>
      <c r="AL91">
        <v>0</v>
      </c>
      <c r="AM91">
        <v>0</v>
      </c>
      <c r="AN91" s="73">
        <v>1.573</v>
      </c>
      <c r="AO91" s="73">
        <v>1.6339999999999999</v>
      </c>
      <c r="AP91" s="73">
        <v>1.681</v>
      </c>
      <c r="AQ91" s="74">
        <v>9.2349999999999995E-4</v>
      </c>
      <c r="AR91" s="74">
        <v>9.2349999999999995E-4</v>
      </c>
      <c r="AS91" s="74">
        <v>9.2349999999999995E-4</v>
      </c>
      <c r="AT91" s="74">
        <v>0</v>
      </c>
      <c r="AU91" s="74">
        <v>9.2349999999999995E-4</v>
      </c>
      <c r="AV91" s="74">
        <v>9.2349999999999995E-4</v>
      </c>
      <c r="AW91" s="74">
        <v>9.2349999999999995E-4</v>
      </c>
      <c r="AX91" s="74">
        <v>9.2349999999999995E-4</v>
      </c>
      <c r="AY91" s="74">
        <v>0.80669262464676261</v>
      </c>
      <c r="AZ91" s="74">
        <v>0.80069161853658544</v>
      </c>
      <c r="BA91" s="74">
        <v>0.79612844331271981</v>
      </c>
      <c r="BB91" s="74">
        <v>1.2395674687785561</v>
      </c>
      <c r="BC91" s="74">
        <v>1.2488577520560462</v>
      </c>
      <c r="BD91" s="74">
        <v>1.2560158391714895</v>
      </c>
      <c r="BE91" s="74">
        <v>8.0571885470606147E-2</v>
      </c>
      <c r="BF91" s="74">
        <v>8.1175753883643009E-2</v>
      </c>
      <c r="BG91" s="74">
        <v>8.1641029546146826E-2</v>
      </c>
    </row>
    <row r="92" spans="1:59">
      <c r="A92">
        <v>10286</v>
      </c>
      <c r="B92" t="s">
        <v>97</v>
      </c>
      <c r="C92">
        <v>1</v>
      </c>
      <c r="D92">
        <v>0</v>
      </c>
      <c r="E92" s="73">
        <v>46.595999999999997</v>
      </c>
      <c r="F92" s="73">
        <v>76.442999999999998</v>
      </c>
      <c r="G92" s="73">
        <v>76.602999999999994</v>
      </c>
      <c r="H92" s="73">
        <v>76.653000000000006</v>
      </c>
      <c r="I92" s="73">
        <v>0</v>
      </c>
      <c r="J92" s="73">
        <v>0</v>
      </c>
      <c r="K92" s="73">
        <v>0</v>
      </c>
      <c r="L92" s="73">
        <v>24.141999999999999</v>
      </c>
      <c r="M92" s="73">
        <v>24.103000000000002</v>
      </c>
      <c r="N92" s="73">
        <v>24.09</v>
      </c>
      <c r="O92" s="37">
        <v>211483.91999999998</v>
      </c>
      <c r="P92" s="37">
        <v>211142.28000000003</v>
      </c>
      <c r="Q92" s="37">
        <v>211606.56</v>
      </c>
      <c r="R92" s="73">
        <v>52.301000000000002</v>
      </c>
      <c r="S92" s="73">
        <v>52.5</v>
      </c>
      <c r="T92" s="73">
        <v>52.563000000000002</v>
      </c>
      <c r="U92" s="37">
        <v>458156.76</v>
      </c>
      <c r="V92" s="37">
        <v>459900</v>
      </c>
      <c r="W92" s="37">
        <v>461713.39199999999</v>
      </c>
      <c r="X92">
        <v>46.176000000000002</v>
      </c>
      <c r="Y92" s="37">
        <v>404501.76000000001</v>
      </c>
      <c r="Z92" s="37">
        <v>404501.76000000001</v>
      </c>
      <c r="AA92" s="37">
        <v>405609.984</v>
      </c>
      <c r="AB92" s="73">
        <v>6.125</v>
      </c>
      <c r="AC92" s="73">
        <v>6.3239999999999998</v>
      </c>
      <c r="AD92" s="73">
        <v>6.3869999999999996</v>
      </c>
      <c r="AE92" s="73">
        <v>6.125</v>
      </c>
      <c r="AF92" s="73">
        <v>6.3239999999999998</v>
      </c>
      <c r="AG92" s="73">
        <v>6.3869999999999996</v>
      </c>
      <c r="AH92" s="73">
        <v>0</v>
      </c>
      <c r="AI92" s="73">
        <v>0</v>
      </c>
      <c r="AJ92" s="73">
        <v>0</v>
      </c>
      <c r="AK92">
        <v>0</v>
      </c>
      <c r="AL92">
        <v>0</v>
      </c>
      <c r="AM92">
        <v>0</v>
      </c>
      <c r="AN92" s="73">
        <v>6.125</v>
      </c>
      <c r="AO92" s="73">
        <v>6.3239999999999998</v>
      </c>
      <c r="AP92" s="73">
        <v>6.3869999999999996</v>
      </c>
      <c r="AQ92" s="74">
        <v>6.4948999999999996E-3</v>
      </c>
      <c r="AR92" s="74">
        <v>6.4948999999999996E-3</v>
      </c>
      <c r="AS92" s="74">
        <v>6.4948999999999996E-3</v>
      </c>
      <c r="AT92" s="74">
        <v>0</v>
      </c>
      <c r="AU92" s="74">
        <v>6.4948999999999996E-3</v>
      </c>
      <c r="AV92" s="74">
        <v>6.4948999999999996E-3</v>
      </c>
      <c r="AW92" s="74">
        <v>6.4948999999999996E-3</v>
      </c>
      <c r="AX92" s="74">
        <v>6.4949000000000005E-3</v>
      </c>
      <c r="AY92" s="74">
        <v>0.91987270626218232</v>
      </c>
      <c r="AZ92" s="74">
        <v>0.91744225793767875</v>
      </c>
      <c r="BA92" s="74">
        <v>0.91667422390252173</v>
      </c>
      <c r="BB92" s="74">
        <v>1.1326446638946639</v>
      </c>
      <c r="BC92" s="74">
        <v>1.1369542619542619</v>
      </c>
      <c r="BD92" s="74">
        <v>1.1383186070686071</v>
      </c>
      <c r="BE92" s="74">
        <v>0</v>
      </c>
      <c r="BF92" s="74">
        <v>0</v>
      </c>
      <c r="BG92" s="74">
        <v>0</v>
      </c>
    </row>
    <row r="93" spans="1:59">
      <c r="A93">
        <v>10288</v>
      </c>
      <c r="B93" t="s">
        <v>98</v>
      </c>
      <c r="C93">
        <v>0</v>
      </c>
      <c r="D93">
        <v>1</v>
      </c>
      <c r="E93" s="73">
        <v>25.103000000000002</v>
      </c>
      <c r="F93" s="73">
        <v>25.946000000000002</v>
      </c>
      <c r="G93" s="73">
        <v>26.01</v>
      </c>
      <c r="H93" s="73">
        <v>26.077999999999999</v>
      </c>
      <c r="I93" s="73">
        <v>0</v>
      </c>
      <c r="J93" s="73">
        <v>0</v>
      </c>
      <c r="K93" s="73">
        <v>0</v>
      </c>
      <c r="L93" s="73">
        <v>6.6000000000000003E-2</v>
      </c>
      <c r="M93" s="73">
        <v>6.6000000000000003E-2</v>
      </c>
      <c r="N93" s="73">
        <v>6.6000000000000003E-2</v>
      </c>
      <c r="O93" s="37">
        <v>578.16000000000008</v>
      </c>
      <c r="P93" s="37">
        <v>578.16000000000008</v>
      </c>
      <c r="Q93" s="37">
        <v>579.74400000000003</v>
      </c>
      <c r="R93" s="73">
        <v>25.88</v>
      </c>
      <c r="S93" s="73">
        <v>25.943999999999999</v>
      </c>
      <c r="T93" s="73">
        <v>26.012</v>
      </c>
      <c r="U93" s="37">
        <v>226708.8</v>
      </c>
      <c r="V93" s="37">
        <v>227269.44</v>
      </c>
      <c r="W93" s="37">
        <v>228489.408</v>
      </c>
      <c r="X93">
        <v>24.876999999999999</v>
      </c>
      <c r="Y93" s="37">
        <v>217922.52</v>
      </c>
      <c r="Z93" s="37">
        <v>217922.52</v>
      </c>
      <c r="AA93" s="37">
        <v>218519.568</v>
      </c>
      <c r="AB93" s="73">
        <v>1.0029999999999999</v>
      </c>
      <c r="AC93" s="73">
        <v>1.0669999999999999</v>
      </c>
      <c r="AD93" s="73">
        <v>1.135</v>
      </c>
      <c r="AE93" s="73">
        <v>1.0029999999999999</v>
      </c>
      <c r="AF93" s="73">
        <v>1.0669999999999999</v>
      </c>
      <c r="AG93" s="73">
        <v>1.135</v>
      </c>
      <c r="AH93" s="73">
        <v>0</v>
      </c>
      <c r="AI93" s="73">
        <v>0</v>
      </c>
      <c r="AJ93" s="73">
        <v>0</v>
      </c>
      <c r="AK93">
        <v>0</v>
      </c>
      <c r="AL93">
        <v>0</v>
      </c>
      <c r="AM93">
        <v>0</v>
      </c>
      <c r="AN93" s="73">
        <v>1.0029999999999999</v>
      </c>
      <c r="AO93" s="73">
        <v>1.0669999999999999</v>
      </c>
      <c r="AP93" s="73">
        <v>1.135</v>
      </c>
      <c r="AQ93" s="74">
        <v>3.4991000000000002E-3</v>
      </c>
      <c r="AR93" s="74">
        <v>3.4991000000000002E-3</v>
      </c>
      <c r="AS93" s="74">
        <v>3.4991000000000002E-3</v>
      </c>
      <c r="AT93" s="74">
        <v>0</v>
      </c>
      <c r="AU93" s="74">
        <v>3.4991000000000002E-3</v>
      </c>
      <c r="AV93" s="74">
        <v>3.4991000000000002E-3</v>
      </c>
      <c r="AW93" s="74">
        <v>3.4991000000000002E-3</v>
      </c>
      <c r="AX93" s="74">
        <v>3.4991000000000002E-3</v>
      </c>
      <c r="AY93" s="74">
        <v>0.96134407628150775</v>
      </c>
      <c r="AZ93" s="74">
        <v>0.95897860066128415</v>
      </c>
      <c r="BA93" s="74">
        <v>0.95647800457090271</v>
      </c>
      <c r="BB93" s="74">
        <v>1.0403183663625035</v>
      </c>
      <c r="BC93" s="74">
        <v>1.0428910238372795</v>
      </c>
      <c r="BD93" s="74">
        <v>1.045624472404229</v>
      </c>
      <c r="BE93" s="74">
        <v>6.2419101981750207E-2</v>
      </c>
      <c r="BF93" s="74">
        <v>6.2573461430236774E-2</v>
      </c>
      <c r="BG93" s="74">
        <v>6.2737468344253741E-2</v>
      </c>
    </row>
    <row r="94" spans="1:59">
      <c r="A94">
        <v>10291</v>
      </c>
      <c r="B94" t="s">
        <v>99</v>
      </c>
      <c r="C94">
        <v>1</v>
      </c>
      <c r="D94">
        <v>0</v>
      </c>
      <c r="E94" s="73">
        <v>80.363</v>
      </c>
      <c r="F94" s="73">
        <v>86.587999999999994</v>
      </c>
      <c r="G94" s="73">
        <v>87.277000000000001</v>
      </c>
      <c r="H94" s="73">
        <v>87.938000000000002</v>
      </c>
      <c r="I94" s="73">
        <v>0</v>
      </c>
      <c r="J94" s="73">
        <v>0</v>
      </c>
      <c r="K94" s="73">
        <v>0</v>
      </c>
      <c r="L94" s="73">
        <v>0</v>
      </c>
      <c r="M94" s="73">
        <v>0</v>
      </c>
      <c r="N94" s="73">
        <v>0</v>
      </c>
      <c r="O94" s="37">
        <v>0</v>
      </c>
      <c r="P94" s="37">
        <v>0</v>
      </c>
      <c r="Q94" s="37">
        <v>0</v>
      </c>
      <c r="R94" s="73">
        <v>86.587999999999994</v>
      </c>
      <c r="S94" s="73">
        <v>87.277000000000001</v>
      </c>
      <c r="T94" s="73">
        <v>87.938000000000002</v>
      </c>
      <c r="U94" s="37">
        <v>758510.87999999989</v>
      </c>
      <c r="V94" s="37">
        <v>764546.52</v>
      </c>
      <c r="W94" s="37">
        <v>772447.39199999999</v>
      </c>
      <c r="X94">
        <v>79.638000000000005</v>
      </c>
      <c r="Y94" s="37">
        <v>697628.88</v>
      </c>
      <c r="Z94" s="37">
        <v>697628.88</v>
      </c>
      <c r="AA94" s="37">
        <v>699540.19200000004</v>
      </c>
      <c r="AB94" s="73">
        <v>6.95</v>
      </c>
      <c r="AC94" s="73">
        <v>7.6390000000000002</v>
      </c>
      <c r="AD94" s="73">
        <v>8.3000000000000007</v>
      </c>
      <c r="AE94" s="73">
        <v>6.95</v>
      </c>
      <c r="AF94" s="73">
        <v>7.6390000000000002</v>
      </c>
      <c r="AG94" s="73">
        <v>8.3000000000000007</v>
      </c>
      <c r="AH94" s="73">
        <v>0</v>
      </c>
      <c r="AI94" s="73">
        <v>0</v>
      </c>
      <c r="AJ94" s="73">
        <v>0</v>
      </c>
      <c r="AK94">
        <v>0</v>
      </c>
      <c r="AL94">
        <v>0</v>
      </c>
      <c r="AM94">
        <v>0</v>
      </c>
      <c r="AN94" s="73">
        <v>6.95</v>
      </c>
      <c r="AO94" s="73">
        <v>7.6390000000000002</v>
      </c>
      <c r="AP94" s="73">
        <v>8.3000000000000007</v>
      </c>
      <c r="AQ94" s="74">
        <v>1.1201600000000001E-2</v>
      </c>
      <c r="AR94" s="74">
        <v>1.1201600000000001E-2</v>
      </c>
      <c r="AS94" s="74">
        <v>1.1201600000000001E-2</v>
      </c>
      <c r="AT94" s="74">
        <v>0</v>
      </c>
      <c r="AU94" s="74">
        <v>1.1201600000000001E-2</v>
      </c>
      <c r="AV94" s="74">
        <v>1.1201600000000001E-2</v>
      </c>
      <c r="AW94" s="74">
        <v>1.1201600000000001E-2</v>
      </c>
      <c r="AX94" s="74">
        <v>1.1201600000000001E-2</v>
      </c>
      <c r="AY94" s="74">
        <v>0.91973896709936731</v>
      </c>
      <c r="AZ94" s="74">
        <v>0.91247817504268036</v>
      </c>
      <c r="BA94" s="74">
        <v>0.90561938733198399</v>
      </c>
      <c r="BB94" s="74">
        <v>1.0872698962806699</v>
      </c>
      <c r="BC94" s="74">
        <v>1.0959215449910846</v>
      </c>
      <c r="BD94" s="74">
        <v>1.1042216027524547</v>
      </c>
      <c r="BE94" s="74">
        <v>5.4363494814033499E-2</v>
      </c>
      <c r="BF94" s="74">
        <v>5.4796077249554237E-2</v>
      </c>
      <c r="BG94" s="74">
        <v>5.5211080137622742E-2</v>
      </c>
    </row>
    <row r="95" spans="1:59">
      <c r="A95">
        <v>10294</v>
      </c>
      <c r="B95" t="s">
        <v>100</v>
      </c>
      <c r="C95">
        <v>1</v>
      </c>
      <c r="D95">
        <v>0</v>
      </c>
      <c r="E95" s="73">
        <v>36.869</v>
      </c>
      <c r="F95" s="73">
        <v>37.768000000000001</v>
      </c>
      <c r="G95" s="73">
        <v>38.04</v>
      </c>
      <c r="H95" s="73">
        <v>38.320999999999998</v>
      </c>
      <c r="I95" s="73">
        <v>0</v>
      </c>
      <c r="J95" s="73">
        <v>0</v>
      </c>
      <c r="K95" s="73">
        <v>0</v>
      </c>
      <c r="L95" s="73">
        <v>0</v>
      </c>
      <c r="M95" s="73">
        <v>0</v>
      </c>
      <c r="N95" s="73">
        <v>0</v>
      </c>
      <c r="O95" s="37">
        <v>0</v>
      </c>
      <c r="P95" s="37">
        <v>0</v>
      </c>
      <c r="Q95" s="37">
        <v>0</v>
      </c>
      <c r="R95" s="73">
        <v>37.768000000000001</v>
      </c>
      <c r="S95" s="73">
        <v>38.04</v>
      </c>
      <c r="T95" s="73">
        <v>38.320999999999998</v>
      </c>
      <c r="U95" s="37">
        <v>330847.68</v>
      </c>
      <c r="V95" s="37">
        <v>333230.39999999997</v>
      </c>
      <c r="W95" s="37">
        <v>336611.66399999999</v>
      </c>
      <c r="X95">
        <v>36.536000000000001</v>
      </c>
      <c r="Y95" s="37">
        <v>320055.36</v>
      </c>
      <c r="Z95" s="37">
        <v>320055.36</v>
      </c>
      <c r="AA95" s="37">
        <v>320932.22399999999</v>
      </c>
      <c r="AB95" s="73">
        <v>1.232</v>
      </c>
      <c r="AC95" s="73">
        <v>1.504</v>
      </c>
      <c r="AD95" s="73">
        <v>1.7849999999999999</v>
      </c>
      <c r="AE95" s="73">
        <v>1.232</v>
      </c>
      <c r="AF95" s="73">
        <v>1.504</v>
      </c>
      <c r="AG95" s="73">
        <v>1.7849999999999999</v>
      </c>
      <c r="AH95" s="73">
        <v>0</v>
      </c>
      <c r="AI95" s="73">
        <v>0</v>
      </c>
      <c r="AJ95" s="73">
        <v>0</v>
      </c>
      <c r="AK95">
        <v>0</v>
      </c>
      <c r="AL95">
        <v>0</v>
      </c>
      <c r="AM95">
        <v>0</v>
      </c>
      <c r="AN95" s="73">
        <v>1.232</v>
      </c>
      <c r="AO95" s="73">
        <v>1.504</v>
      </c>
      <c r="AP95" s="73">
        <v>1.7849999999999999</v>
      </c>
      <c r="AQ95" s="74">
        <v>5.1390000000000003E-3</v>
      </c>
      <c r="AR95" s="74">
        <v>5.1390000000000003E-3</v>
      </c>
      <c r="AS95" s="74">
        <v>5.1390000000000003E-3</v>
      </c>
      <c r="AT95" s="74">
        <v>0</v>
      </c>
      <c r="AU95" s="74">
        <v>5.1390000000000003E-3</v>
      </c>
      <c r="AV95" s="74">
        <v>5.1390000000000003E-3</v>
      </c>
      <c r="AW95" s="74">
        <v>5.1390000000000003E-3</v>
      </c>
      <c r="AX95" s="74">
        <v>5.1390000000000003E-3</v>
      </c>
      <c r="AY95" s="74">
        <v>0.96737946748570225</v>
      </c>
      <c r="AZ95" s="74">
        <v>0.96046234826498433</v>
      </c>
      <c r="BA95" s="74">
        <v>0.95341947569217933</v>
      </c>
      <c r="BB95" s="74">
        <v>1.0337201664112108</v>
      </c>
      <c r="BC95" s="74">
        <v>1.0411648784760237</v>
      </c>
      <c r="BD95" s="74">
        <v>1.0488559229253338</v>
      </c>
      <c r="BE95" s="74">
        <v>0</v>
      </c>
      <c r="BF95" s="74">
        <v>0</v>
      </c>
      <c r="BG95" s="74">
        <v>0</v>
      </c>
    </row>
    <row r="96" spans="1:59">
      <c r="A96">
        <v>10304</v>
      </c>
      <c r="B96" t="s">
        <v>101</v>
      </c>
      <c r="C96">
        <v>1</v>
      </c>
      <c r="D96">
        <v>0</v>
      </c>
      <c r="E96" s="73">
        <v>14.278</v>
      </c>
      <c r="F96" s="73">
        <v>13.564</v>
      </c>
      <c r="G96" s="73">
        <v>13.593999999999999</v>
      </c>
      <c r="H96" s="73">
        <v>13.628</v>
      </c>
      <c r="I96" s="73">
        <v>0</v>
      </c>
      <c r="J96" s="73">
        <v>0</v>
      </c>
      <c r="K96" s="73">
        <v>0</v>
      </c>
      <c r="L96" s="73">
        <v>0</v>
      </c>
      <c r="M96" s="73">
        <v>0</v>
      </c>
      <c r="N96" s="73">
        <v>0</v>
      </c>
      <c r="O96" s="37">
        <v>0</v>
      </c>
      <c r="P96" s="37">
        <v>0</v>
      </c>
      <c r="Q96" s="37">
        <v>0</v>
      </c>
      <c r="R96" s="73">
        <v>13.564</v>
      </c>
      <c r="S96" s="73">
        <v>13.593999999999999</v>
      </c>
      <c r="T96" s="73">
        <v>13.628</v>
      </c>
      <c r="U96" s="37">
        <v>118820.64</v>
      </c>
      <c r="V96" s="37">
        <v>119083.43999999999</v>
      </c>
      <c r="W96" s="37">
        <v>119708.352</v>
      </c>
      <c r="X96">
        <v>14.148999999999999</v>
      </c>
      <c r="Y96" s="37">
        <v>123945.23999999999</v>
      </c>
      <c r="Z96" s="37">
        <v>123945.23999999999</v>
      </c>
      <c r="AA96" s="37">
        <v>124284.81599999999</v>
      </c>
      <c r="AB96" s="73">
        <v>0</v>
      </c>
      <c r="AC96" s="73">
        <v>0</v>
      </c>
      <c r="AD96" s="73">
        <v>0</v>
      </c>
      <c r="AE96" s="73">
        <v>0</v>
      </c>
      <c r="AF96" s="73">
        <v>0</v>
      </c>
      <c r="AG96" s="73">
        <v>0</v>
      </c>
      <c r="AH96" s="73">
        <v>0</v>
      </c>
      <c r="AI96" s="73">
        <v>0</v>
      </c>
      <c r="AJ96" s="73">
        <v>0</v>
      </c>
      <c r="AK96">
        <v>0</v>
      </c>
      <c r="AL96">
        <v>0</v>
      </c>
      <c r="AM96">
        <v>0</v>
      </c>
      <c r="AN96" s="73">
        <v>0</v>
      </c>
      <c r="AO96" s="73">
        <v>0</v>
      </c>
      <c r="AP96" s="73">
        <v>0</v>
      </c>
      <c r="AQ96" s="74">
        <v>1.9078999999999999E-3</v>
      </c>
      <c r="AR96" s="74">
        <v>1.9120999999999999E-3</v>
      </c>
      <c r="AS96" s="74">
        <v>1.9169E-3</v>
      </c>
      <c r="AT96" s="74">
        <v>0</v>
      </c>
      <c r="AU96" s="74">
        <v>1.9078999999999999E-3</v>
      </c>
      <c r="AV96" s="74">
        <v>1.9120999999999999E-3</v>
      </c>
      <c r="AW96" s="74">
        <v>1.9169E-3</v>
      </c>
      <c r="AX96" s="74">
        <v>1.9122999999999998E-3</v>
      </c>
      <c r="AY96" s="74">
        <v>1</v>
      </c>
      <c r="AZ96" s="74">
        <v>1</v>
      </c>
      <c r="BA96" s="74">
        <v>1</v>
      </c>
      <c r="BB96" s="74">
        <v>1</v>
      </c>
      <c r="BC96" s="74">
        <v>1</v>
      </c>
      <c r="BD96" s="74">
        <v>1</v>
      </c>
      <c r="BE96" s="74">
        <v>0</v>
      </c>
      <c r="BF96" s="74">
        <v>0</v>
      </c>
      <c r="BG96" s="74">
        <v>0</v>
      </c>
    </row>
    <row r="97" spans="1:59">
      <c r="A97">
        <v>10306</v>
      </c>
      <c r="B97" t="s">
        <v>102</v>
      </c>
      <c r="C97">
        <v>1</v>
      </c>
      <c r="D97">
        <v>0</v>
      </c>
      <c r="E97" s="73">
        <v>26.152999999999999</v>
      </c>
      <c r="F97" s="73">
        <v>114.509</v>
      </c>
      <c r="G97" s="73">
        <v>114.509</v>
      </c>
      <c r="H97" s="73">
        <v>114.685</v>
      </c>
      <c r="I97" s="73">
        <v>73.528999999999996</v>
      </c>
      <c r="J97" s="73">
        <v>73.528999999999996</v>
      </c>
      <c r="K97" s="73">
        <v>73.596000000000004</v>
      </c>
      <c r="L97" s="73">
        <v>25.709</v>
      </c>
      <c r="M97" s="73">
        <v>25.709</v>
      </c>
      <c r="N97" s="73">
        <v>25.65</v>
      </c>
      <c r="O97" s="37">
        <v>225210.84</v>
      </c>
      <c r="P97" s="37">
        <v>225210.84</v>
      </c>
      <c r="Q97" s="37">
        <v>225309.59999999998</v>
      </c>
      <c r="R97" s="73">
        <v>15.271000000000001</v>
      </c>
      <c r="S97" s="73">
        <v>15.271000000000001</v>
      </c>
      <c r="T97" s="73">
        <v>15.439</v>
      </c>
      <c r="U97" s="37">
        <v>133773.96000000002</v>
      </c>
      <c r="V97" s="37">
        <v>133773.96000000002</v>
      </c>
      <c r="W97" s="37">
        <v>135616.17600000001</v>
      </c>
      <c r="X97">
        <v>25.917000000000002</v>
      </c>
      <c r="Y97" s="37">
        <v>227032.92</v>
      </c>
      <c r="Z97" s="37">
        <v>227032.92</v>
      </c>
      <c r="AA97" s="37">
        <v>227654.92800000001</v>
      </c>
      <c r="AB97" s="73">
        <v>0</v>
      </c>
      <c r="AC97" s="73">
        <v>0</v>
      </c>
      <c r="AD97" s="73">
        <v>0</v>
      </c>
      <c r="AE97" s="73">
        <v>0</v>
      </c>
      <c r="AF97" s="73">
        <v>0</v>
      </c>
      <c r="AG97" s="73">
        <v>0</v>
      </c>
      <c r="AH97" s="73">
        <v>0</v>
      </c>
      <c r="AI97" s="73">
        <v>0</v>
      </c>
      <c r="AJ97" s="73">
        <v>0</v>
      </c>
      <c r="AK97">
        <v>0</v>
      </c>
      <c r="AL97">
        <v>0</v>
      </c>
      <c r="AM97">
        <v>0</v>
      </c>
      <c r="AN97" s="73">
        <v>0</v>
      </c>
      <c r="AO97" s="73">
        <v>0</v>
      </c>
      <c r="AP97" s="73">
        <v>0</v>
      </c>
      <c r="AQ97" s="74">
        <v>2.1480000000000002E-3</v>
      </c>
      <c r="AR97" s="74">
        <v>2.1480000000000002E-3</v>
      </c>
      <c r="AS97" s="74">
        <v>2.1716000000000001E-3</v>
      </c>
      <c r="AT97" s="74">
        <v>0</v>
      </c>
      <c r="AU97" s="74">
        <v>2.1480000000000002E-3</v>
      </c>
      <c r="AV97" s="74">
        <v>2.1480000000000002E-3</v>
      </c>
      <c r="AW97" s="74">
        <v>2.1716000000000001E-3</v>
      </c>
      <c r="AX97" s="74">
        <v>2.155866666666667E-3</v>
      </c>
      <c r="AY97" s="74">
        <v>1</v>
      </c>
      <c r="AZ97" s="74">
        <v>1</v>
      </c>
      <c r="BA97" s="74">
        <v>1</v>
      </c>
      <c r="BB97" s="74">
        <v>1</v>
      </c>
      <c r="BC97" s="74">
        <v>1</v>
      </c>
      <c r="BD97" s="74">
        <v>1</v>
      </c>
      <c r="BE97" s="74">
        <v>0</v>
      </c>
      <c r="BF97" s="74">
        <v>0</v>
      </c>
      <c r="BG97" s="74">
        <v>0</v>
      </c>
    </row>
    <row r="98" spans="1:59">
      <c r="A98">
        <v>10307</v>
      </c>
      <c r="B98" t="s">
        <v>103</v>
      </c>
      <c r="C98">
        <v>1</v>
      </c>
      <c r="D98">
        <v>0</v>
      </c>
      <c r="E98" s="73">
        <v>73.058999999999997</v>
      </c>
      <c r="F98" s="73">
        <v>69.658000000000001</v>
      </c>
      <c r="G98" s="73">
        <v>69.742999999999995</v>
      </c>
      <c r="H98" s="73">
        <v>69.822000000000003</v>
      </c>
      <c r="I98" s="73">
        <v>0</v>
      </c>
      <c r="J98" s="73">
        <v>0</v>
      </c>
      <c r="K98" s="73">
        <v>0</v>
      </c>
      <c r="L98" s="73">
        <v>0</v>
      </c>
      <c r="M98" s="73">
        <v>0</v>
      </c>
      <c r="N98" s="73">
        <v>0</v>
      </c>
      <c r="O98" s="37">
        <v>0</v>
      </c>
      <c r="P98" s="37">
        <v>0</v>
      </c>
      <c r="Q98" s="37">
        <v>0</v>
      </c>
      <c r="R98" s="73">
        <v>69.658000000000001</v>
      </c>
      <c r="S98" s="73">
        <v>69.742999999999995</v>
      </c>
      <c r="T98" s="73">
        <v>69.822000000000003</v>
      </c>
      <c r="U98" s="37">
        <v>610204.07999999996</v>
      </c>
      <c r="V98" s="37">
        <v>610948.67999999993</v>
      </c>
      <c r="W98" s="37">
        <v>613316.44799999997</v>
      </c>
      <c r="X98">
        <v>72.400000000000006</v>
      </c>
      <c r="Y98" s="37">
        <v>634224</v>
      </c>
      <c r="Z98" s="37">
        <v>634224</v>
      </c>
      <c r="AA98" s="37">
        <v>635961.60000000009</v>
      </c>
      <c r="AB98" s="73">
        <v>0</v>
      </c>
      <c r="AC98" s="73">
        <v>0</v>
      </c>
      <c r="AD98" s="73">
        <v>0</v>
      </c>
      <c r="AE98" s="73">
        <v>0</v>
      </c>
      <c r="AF98" s="73">
        <v>0</v>
      </c>
      <c r="AG98" s="73">
        <v>0</v>
      </c>
      <c r="AH98" s="73">
        <v>0</v>
      </c>
      <c r="AI98" s="73">
        <v>0</v>
      </c>
      <c r="AJ98" s="73">
        <v>0</v>
      </c>
      <c r="AK98">
        <v>0</v>
      </c>
      <c r="AL98">
        <v>0</v>
      </c>
      <c r="AM98">
        <v>0</v>
      </c>
      <c r="AN98" s="73">
        <v>0</v>
      </c>
      <c r="AO98" s="73">
        <v>0</v>
      </c>
      <c r="AP98" s="73">
        <v>0</v>
      </c>
      <c r="AQ98" s="74">
        <v>9.7978000000000006E-3</v>
      </c>
      <c r="AR98" s="74">
        <v>9.8098000000000005E-3</v>
      </c>
      <c r="AS98" s="74">
        <v>9.8209000000000005E-3</v>
      </c>
      <c r="AT98" s="74">
        <v>0</v>
      </c>
      <c r="AU98" s="74">
        <v>9.7978000000000006E-3</v>
      </c>
      <c r="AV98" s="74">
        <v>9.8098000000000005E-3</v>
      </c>
      <c r="AW98" s="74">
        <v>9.8209000000000005E-3</v>
      </c>
      <c r="AX98" s="74">
        <v>9.8095000000000005E-3</v>
      </c>
      <c r="AY98" s="74">
        <v>0.9999995490194955</v>
      </c>
      <c r="AZ98" s="74">
        <v>1</v>
      </c>
      <c r="BA98" s="74">
        <v>1</v>
      </c>
      <c r="BB98" s="74">
        <v>1</v>
      </c>
      <c r="BC98" s="74">
        <v>1</v>
      </c>
      <c r="BD98" s="74">
        <v>1</v>
      </c>
      <c r="BE98" s="74">
        <v>0</v>
      </c>
      <c r="BF98" s="74">
        <v>0</v>
      </c>
      <c r="BG98" s="74">
        <v>0</v>
      </c>
    </row>
    <row r="99" spans="1:59">
      <c r="A99">
        <v>10326</v>
      </c>
      <c r="B99" t="s">
        <v>104</v>
      </c>
      <c r="C99">
        <v>1</v>
      </c>
      <c r="D99">
        <v>0</v>
      </c>
      <c r="E99" s="73">
        <v>30.914000000000001</v>
      </c>
      <c r="F99" s="73">
        <v>28.991</v>
      </c>
      <c r="G99" s="73">
        <v>29.052</v>
      </c>
      <c r="H99" s="73">
        <v>29.114000000000001</v>
      </c>
      <c r="I99" s="73">
        <v>0</v>
      </c>
      <c r="J99" s="73">
        <v>0</v>
      </c>
      <c r="K99" s="73">
        <v>0</v>
      </c>
      <c r="L99" s="73">
        <v>0</v>
      </c>
      <c r="M99" s="73">
        <v>0</v>
      </c>
      <c r="N99" s="73">
        <v>0</v>
      </c>
      <c r="O99" s="37">
        <v>0</v>
      </c>
      <c r="P99" s="37">
        <v>0</v>
      </c>
      <c r="Q99" s="37">
        <v>0</v>
      </c>
      <c r="R99" s="73">
        <v>28.991</v>
      </c>
      <c r="S99" s="73">
        <v>29.052</v>
      </c>
      <c r="T99" s="73">
        <v>29.114000000000001</v>
      </c>
      <c r="U99" s="37">
        <v>253961.16</v>
      </c>
      <c r="V99" s="37">
        <v>254495.52</v>
      </c>
      <c r="W99" s="37">
        <v>255737.37600000002</v>
      </c>
      <c r="X99">
        <v>30.635000000000002</v>
      </c>
      <c r="Y99" s="37">
        <v>268362.60000000003</v>
      </c>
      <c r="Z99" s="37">
        <v>268362.60000000003</v>
      </c>
      <c r="AA99" s="37">
        <v>269097.84000000003</v>
      </c>
      <c r="AB99" s="73">
        <v>0</v>
      </c>
      <c r="AC99" s="73">
        <v>0</v>
      </c>
      <c r="AD99" s="73">
        <v>0</v>
      </c>
      <c r="AE99" s="73">
        <v>0</v>
      </c>
      <c r="AF99" s="73">
        <v>0</v>
      </c>
      <c r="AG99" s="73">
        <v>0</v>
      </c>
      <c r="AH99" s="73">
        <v>0</v>
      </c>
      <c r="AI99" s="73">
        <v>0</v>
      </c>
      <c r="AJ99" s="73">
        <v>0</v>
      </c>
      <c r="AK99">
        <v>0</v>
      </c>
      <c r="AL99">
        <v>0</v>
      </c>
      <c r="AM99">
        <v>0</v>
      </c>
      <c r="AN99" s="73">
        <v>0</v>
      </c>
      <c r="AO99" s="73">
        <v>0</v>
      </c>
      <c r="AP99" s="73">
        <v>0</v>
      </c>
      <c r="AQ99" s="74">
        <v>4.0778000000000003E-3</v>
      </c>
      <c r="AR99" s="74">
        <v>4.0863000000000002E-3</v>
      </c>
      <c r="AS99" s="74">
        <v>4.0951E-3</v>
      </c>
      <c r="AT99" s="74">
        <v>0</v>
      </c>
      <c r="AU99" s="74">
        <v>4.0778000000000003E-3</v>
      </c>
      <c r="AV99" s="74">
        <v>4.0863000000000002E-3</v>
      </c>
      <c r="AW99" s="74">
        <v>4.0951E-3</v>
      </c>
      <c r="AX99" s="74">
        <v>4.0864000000000004E-3</v>
      </c>
      <c r="AY99" s="74">
        <v>1</v>
      </c>
      <c r="AZ99" s="74">
        <v>0.9999918194134656</v>
      </c>
      <c r="BA99" s="74">
        <v>1</v>
      </c>
      <c r="BB99" s="74">
        <v>1</v>
      </c>
      <c r="BC99" s="74">
        <v>1</v>
      </c>
      <c r="BD99" s="74">
        <v>1</v>
      </c>
      <c r="BE99" s="74">
        <v>0</v>
      </c>
      <c r="BF99" s="74">
        <v>0</v>
      </c>
      <c r="BG99" s="74">
        <v>0</v>
      </c>
    </row>
    <row r="100" spans="1:59">
      <c r="A100">
        <v>10331</v>
      </c>
      <c r="B100" t="s">
        <v>105</v>
      </c>
      <c r="C100">
        <v>0</v>
      </c>
      <c r="D100">
        <v>1</v>
      </c>
      <c r="E100" s="73">
        <v>37.148000000000003</v>
      </c>
      <c r="F100" s="73">
        <v>38.948</v>
      </c>
      <c r="G100" s="73">
        <v>38.948</v>
      </c>
      <c r="H100" s="73">
        <v>38.914000000000001</v>
      </c>
      <c r="I100" s="73">
        <v>0</v>
      </c>
      <c r="J100" s="73">
        <v>0</v>
      </c>
      <c r="K100" s="73">
        <v>0</v>
      </c>
      <c r="L100" s="73">
        <v>0</v>
      </c>
      <c r="M100" s="73">
        <v>0</v>
      </c>
      <c r="N100" s="73">
        <v>0</v>
      </c>
      <c r="O100" s="37">
        <v>0</v>
      </c>
      <c r="P100" s="37">
        <v>0</v>
      </c>
      <c r="Q100" s="37">
        <v>0</v>
      </c>
      <c r="R100" s="73">
        <v>38.948</v>
      </c>
      <c r="S100" s="73">
        <v>38.948</v>
      </c>
      <c r="T100" s="73">
        <v>38.914000000000001</v>
      </c>
      <c r="U100" s="37">
        <v>341184.48</v>
      </c>
      <c r="V100" s="37">
        <v>341184.48</v>
      </c>
      <c r="W100" s="37">
        <v>341820.576</v>
      </c>
      <c r="X100">
        <v>36.813000000000002</v>
      </c>
      <c r="Y100" s="37">
        <v>322481.88</v>
      </c>
      <c r="Z100" s="37">
        <v>322481.88</v>
      </c>
      <c r="AA100" s="37">
        <v>323365.39199999999</v>
      </c>
      <c r="AB100" s="73">
        <v>2.1349999999999998</v>
      </c>
      <c r="AC100" s="73">
        <v>2.1349999999999998</v>
      </c>
      <c r="AD100" s="73">
        <v>2.101</v>
      </c>
      <c r="AE100" s="73">
        <v>2.1349999999999998</v>
      </c>
      <c r="AF100" s="73">
        <v>2.1349999999999998</v>
      </c>
      <c r="AG100" s="73">
        <v>2.101</v>
      </c>
      <c r="AH100" s="73">
        <v>0</v>
      </c>
      <c r="AI100" s="73">
        <v>0</v>
      </c>
      <c r="AJ100" s="73">
        <v>0</v>
      </c>
      <c r="AK100">
        <v>0</v>
      </c>
      <c r="AL100">
        <v>0</v>
      </c>
      <c r="AM100">
        <v>0</v>
      </c>
      <c r="AN100" s="73">
        <v>2.1349999999999998</v>
      </c>
      <c r="AO100" s="73">
        <v>2.1349999999999998</v>
      </c>
      <c r="AP100" s="73">
        <v>2.101</v>
      </c>
      <c r="AQ100" s="74">
        <v>5.1780000000000003E-3</v>
      </c>
      <c r="AR100" s="74">
        <v>5.1780000000000003E-3</v>
      </c>
      <c r="AS100" s="74">
        <v>5.1780000000000003E-3</v>
      </c>
      <c r="AT100" s="74">
        <v>0</v>
      </c>
      <c r="AU100" s="74">
        <v>5.1780000000000003E-3</v>
      </c>
      <c r="AV100" s="74">
        <v>5.1780000000000003E-3</v>
      </c>
      <c r="AW100" s="74">
        <v>5.1780000000000003E-3</v>
      </c>
      <c r="AX100" s="74">
        <v>5.1780000000000003E-3</v>
      </c>
      <c r="AY100" s="74">
        <v>0.94519000349183546</v>
      </c>
      <c r="AZ100" s="74">
        <v>0.94519000349183546</v>
      </c>
      <c r="BA100" s="74">
        <v>0.9460158363570953</v>
      </c>
      <c r="BB100" s="74">
        <v>1.0579958166951891</v>
      </c>
      <c r="BC100" s="74">
        <v>1.0579958166951891</v>
      </c>
      <c r="BD100" s="74">
        <v>1.0570722299187787</v>
      </c>
      <c r="BE100" s="74">
        <v>7.4059707168663239E-2</v>
      </c>
      <c r="BF100" s="74">
        <v>7.4059707168663239E-2</v>
      </c>
      <c r="BG100" s="74">
        <v>7.3995056094314518E-2</v>
      </c>
    </row>
    <row r="101" spans="1:59">
      <c r="A101">
        <v>10333</v>
      </c>
      <c r="B101" t="s">
        <v>106</v>
      </c>
      <c r="C101">
        <v>0</v>
      </c>
      <c r="D101">
        <v>1</v>
      </c>
      <c r="E101" s="73">
        <v>18.791</v>
      </c>
      <c r="F101" s="73">
        <v>23.484999999999999</v>
      </c>
      <c r="G101" s="73">
        <v>23.814</v>
      </c>
      <c r="H101" s="73">
        <v>24.146999999999998</v>
      </c>
      <c r="I101" s="73">
        <v>0</v>
      </c>
      <c r="J101" s="73">
        <v>0</v>
      </c>
      <c r="K101" s="73">
        <v>0</v>
      </c>
      <c r="L101" s="73">
        <v>0</v>
      </c>
      <c r="M101" s="73">
        <v>0</v>
      </c>
      <c r="N101" s="73">
        <v>0</v>
      </c>
      <c r="O101" s="37">
        <v>0</v>
      </c>
      <c r="P101" s="37">
        <v>0</v>
      </c>
      <c r="Q101" s="37">
        <v>0</v>
      </c>
      <c r="R101" s="73">
        <v>23.484999999999999</v>
      </c>
      <c r="S101" s="73">
        <v>23.814</v>
      </c>
      <c r="T101" s="73">
        <v>24.146999999999998</v>
      </c>
      <c r="U101" s="37">
        <v>205728.6</v>
      </c>
      <c r="V101" s="37">
        <v>208610.64</v>
      </c>
      <c r="W101" s="37">
        <v>212107.24799999999</v>
      </c>
      <c r="X101">
        <v>18.622</v>
      </c>
      <c r="Y101" s="37">
        <v>163128.72</v>
      </c>
      <c r="Z101" s="37">
        <v>163128.72</v>
      </c>
      <c r="AA101" s="37">
        <v>163575.64799999999</v>
      </c>
      <c r="AB101" s="73">
        <v>4.8630000000000004</v>
      </c>
      <c r="AC101" s="73">
        <v>5.1920000000000002</v>
      </c>
      <c r="AD101" s="73">
        <v>5.5250000000000004</v>
      </c>
      <c r="AE101" s="73">
        <v>4.8630000000000004</v>
      </c>
      <c r="AF101" s="73">
        <v>5.1920000000000002</v>
      </c>
      <c r="AG101" s="73">
        <v>5.5250000000000004</v>
      </c>
      <c r="AH101" s="73">
        <v>0</v>
      </c>
      <c r="AI101" s="73">
        <v>0</v>
      </c>
      <c r="AJ101" s="73">
        <v>0</v>
      </c>
      <c r="AK101">
        <v>0</v>
      </c>
      <c r="AL101">
        <v>0</v>
      </c>
      <c r="AM101">
        <v>0</v>
      </c>
      <c r="AN101" s="73">
        <v>4.8630000000000004</v>
      </c>
      <c r="AO101" s="73">
        <v>5.1920000000000002</v>
      </c>
      <c r="AP101" s="73">
        <v>5.5250000000000004</v>
      </c>
      <c r="AQ101" s="74">
        <v>2.6193000000000002E-3</v>
      </c>
      <c r="AR101" s="74">
        <v>2.6193000000000002E-3</v>
      </c>
      <c r="AS101" s="74">
        <v>2.6193000000000002E-3</v>
      </c>
      <c r="AT101" s="74">
        <v>0</v>
      </c>
      <c r="AU101" s="74">
        <v>2.6193000000000002E-3</v>
      </c>
      <c r="AV101" s="74">
        <v>2.6193000000000002E-3</v>
      </c>
      <c r="AW101" s="74">
        <v>2.6193000000000002E-3</v>
      </c>
      <c r="AX101" s="74">
        <v>2.6193000000000002E-3</v>
      </c>
      <c r="AY101" s="74">
        <v>0.79293376851607422</v>
      </c>
      <c r="AZ101" s="74">
        <v>0.7819790691861932</v>
      </c>
      <c r="BA101" s="74">
        <v>0.7711951610386385</v>
      </c>
      <c r="BB101" s="74">
        <v>1.2611427344001718</v>
      </c>
      <c r="BC101" s="74">
        <v>1.2788100096659865</v>
      </c>
      <c r="BD101" s="74">
        <v>1.2966920846310814</v>
      </c>
      <c r="BE101" s="74">
        <v>7.5668564064010319E-2</v>
      </c>
      <c r="BF101" s="74">
        <v>7.67286005799592E-2</v>
      </c>
      <c r="BG101" s="74">
        <v>7.7801525077864891E-2</v>
      </c>
    </row>
    <row r="102" spans="1:59">
      <c r="A102">
        <v>10338</v>
      </c>
      <c r="B102" t="s">
        <v>107</v>
      </c>
      <c r="C102">
        <v>1</v>
      </c>
      <c r="D102">
        <v>0</v>
      </c>
      <c r="E102" s="73">
        <v>2.4079999999999999</v>
      </c>
      <c r="F102" s="73">
        <v>2.8490000000000002</v>
      </c>
      <c r="G102" s="73">
        <v>2.8780000000000001</v>
      </c>
      <c r="H102" s="73">
        <v>2.9039999999999999</v>
      </c>
      <c r="I102" s="73">
        <v>0</v>
      </c>
      <c r="J102" s="73">
        <v>0</v>
      </c>
      <c r="K102" s="73">
        <v>0</v>
      </c>
      <c r="L102" s="73">
        <v>0</v>
      </c>
      <c r="M102" s="73">
        <v>0</v>
      </c>
      <c r="N102" s="73">
        <v>0</v>
      </c>
      <c r="O102" s="37">
        <v>0</v>
      </c>
      <c r="P102" s="37">
        <v>0</v>
      </c>
      <c r="Q102" s="37">
        <v>0</v>
      </c>
      <c r="R102" s="73">
        <v>2.8490000000000002</v>
      </c>
      <c r="S102" s="73">
        <v>2.8780000000000001</v>
      </c>
      <c r="T102" s="73">
        <v>2.9039999999999999</v>
      </c>
      <c r="U102" s="37">
        <v>24957.24</v>
      </c>
      <c r="V102" s="37">
        <v>25211.280000000002</v>
      </c>
      <c r="W102" s="37">
        <v>25508.736000000001</v>
      </c>
      <c r="X102">
        <v>2.3860000000000001</v>
      </c>
      <c r="Y102" s="37">
        <v>20901.36</v>
      </c>
      <c r="Z102" s="37">
        <v>20901.36</v>
      </c>
      <c r="AA102" s="37">
        <v>20958.624</v>
      </c>
      <c r="AB102" s="73">
        <v>0.46300000000000002</v>
      </c>
      <c r="AC102" s="73">
        <v>0.49199999999999999</v>
      </c>
      <c r="AD102" s="73">
        <v>0.51800000000000002</v>
      </c>
      <c r="AE102" s="73">
        <v>0</v>
      </c>
      <c r="AF102" s="73">
        <v>0</v>
      </c>
      <c r="AG102" s="73">
        <v>0</v>
      </c>
      <c r="AH102" s="73">
        <v>0.46300000000000002</v>
      </c>
      <c r="AI102" s="73">
        <v>0.49199999999999999</v>
      </c>
      <c r="AJ102" s="73">
        <v>0.51800000000000002</v>
      </c>
      <c r="AK102">
        <v>0</v>
      </c>
      <c r="AL102">
        <v>0</v>
      </c>
      <c r="AM102">
        <v>0</v>
      </c>
      <c r="AN102" s="73">
        <v>0</v>
      </c>
      <c r="AO102" s="73">
        <v>0</v>
      </c>
      <c r="AP102" s="73">
        <v>0</v>
      </c>
      <c r="AQ102" s="74">
        <v>3.3560000000000003E-4</v>
      </c>
      <c r="AR102" s="74">
        <v>3.3560000000000003E-4</v>
      </c>
      <c r="AS102" s="74">
        <v>3.3560000000000003E-4</v>
      </c>
      <c r="AT102" s="74">
        <v>0</v>
      </c>
      <c r="AU102" s="74">
        <v>3.3560000000000003E-4</v>
      </c>
      <c r="AV102" s="74">
        <v>3.3560000000000003E-4</v>
      </c>
      <c r="AW102" s="74">
        <v>3.3560000000000003E-4</v>
      </c>
      <c r="AX102" s="74">
        <v>3.3559999999999997E-4</v>
      </c>
      <c r="AY102" s="74">
        <v>0.83747478104598105</v>
      </c>
      <c r="AZ102" s="74">
        <v>0.82903601501042401</v>
      </c>
      <c r="BA102" s="74">
        <v>0.82161351625344359</v>
      </c>
      <c r="BB102" s="74">
        <v>1.1940486169321041</v>
      </c>
      <c r="BC102" s="74">
        <v>1.2062028499580888</v>
      </c>
      <c r="BD102" s="74">
        <v>1.2170997485331096</v>
      </c>
      <c r="BE102" s="74">
        <v>3.5821458507963123E-2</v>
      </c>
      <c r="BF102" s="74">
        <v>3.6186085498742665E-2</v>
      </c>
      <c r="BG102" s="74">
        <v>3.6512992455993293E-2</v>
      </c>
    </row>
    <row r="103" spans="1:59">
      <c r="A103">
        <v>10342</v>
      </c>
      <c r="B103" t="s">
        <v>108</v>
      </c>
      <c r="C103">
        <v>1</v>
      </c>
      <c r="D103">
        <v>0</v>
      </c>
      <c r="E103" s="73">
        <v>39.268000000000001</v>
      </c>
      <c r="F103" s="73">
        <v>40.087000000000003</v>
      </c>
      <c r="G103" s="73">
        <v>40.283000000000001</v>
      </c>
      <c r="H103" s="73">
        <v>40.448</v>
      </c>
      <c r="I103" s="73">
        <v>0</v>
      </c>
      <c r="J103" s="73">
        <v>0</v>
      </c>
      <c r="K103" s="73">
        <v>0</v>
      </c>
      <c r="L103" s="73">
        <v>0</v>
      </c>
      <c r="M103" s="73">
        <v>0</v>
      </c>
      <c r="N103" s="73">
        <v>0</v>
      </c>
      <c r="O103" s="37">
        <v>0</v>
      </c>
      <c r="P103" s="37">
        <v>0</v>
      </c>
      <c r="Q103" s="37">
        <v>0</v>
      </c>
      <c r="R103" s="73">
        <v>40.087000000000003</v>
      </c>
      <c r="S103" s="73">
        <v>40.283000000000001</v>
      </c>
      <c r="T103" s="73">
        <v>40.448</v>
      </c>
      <c r="U103" s="37">
        <v>351162.12000000005</v>
      </c>
      <c r="V103" s="37">
        <v>352879.08</v>
      </c>
      <c r="W103" s="37">
        <v>355295.23200000002</v>
      </c>
      <c r="X103">
        <v>38.914000000000001</v>
      </c>
      <c r="Y103" s="37">
        <v>340886.64</v>
      </c>
      <c r="Z103" s="37">
        <v>340886.64</v>
      </c>
      <c r="AA103" s="37">
        <v>341820.576</v>
      </c>
      <c r="AB103" s="73">
        <v>1.173</v>
      </c>
      <c r="AC103" s="73">
        <v>1.369</v>
      </c>
      <c r="AD103" s="73">
        <v>1.534</v>
      </c>
      <c r="AE103" s="73">
        <v>1.173</v>
      </c>
      <c r="AF103" s="73">
        <v>1.369</v>
      </c>
      <c r="AG103" s="73">
        <v>1.534</v>
      </c>
      <c r="AH103" s="73">
        <v>0</v>
      </c>
      <c r="AI103" s="73">
        <v>0</v>
      </c>
      <c r="AJ103" s="73">
        <v>0</v>
      </c>
      <c r="AK103">
        <v>0</v>
      </c>
      <c r="AL103">
        <v>0</v>
      </c>
      <c r="AM103">
        <v>0</v>
      </c>
      <c r="AN103" s="73">
        <v>1.173</v>
      </c>
      <c r="AO103" s="73">
        <v>1.369</v>
      </c>
      <c r="AP103" s="73">
        <v>1.534</v>
      </c>
      <c r="AQ103" s="74">
        <v>5.4735000000000001E-3</v>
      </c>
      <c r="AR103" s="74">
        <v>5.4735000000000001E-3</v>
      </c>
      <c r="AS103" s="74">
        <v>5.4735000000000001E-3</v>
      </c>
      <c r="AT103" s="74">
        <v>0</v>
      </c>
      <c r="AU103" s="74">
        <v>5.4735000000000001E-3</v>
      </c>
      <c r="AV103" s="74">
        <v>5.4735000000000001E-3</v>
      </c>
      <c r="AW103" s="74">
        <v>5.4735000000000001E-3</v>
      </c>
      <c r="AX103" s="74">
        <v>5.4735000000000001E-3</v>
      </c>
      <c r="AY103" s="74">
        <v>0.97074195804126029</v>
      </c>
      <c r="AZ103" s="74">
        <v>0.96601873922001846</v>
      </c>
      <c r="BA103" s="74">
        <v>0.96207804766613936</v>
      </c>
      <c r="BB103" s="74">
        <v>1.0301433931232975</v>
      </c>
      <c r="BC103" s="74">
        <v>1.0351801408233541</v>
      </c>
      <c r="BD103" s="74">
        <v>1.0394202600606466</v>
      </c>
      <c r="BE103" s="74">
        <v>0</v>
      </c>
      <c r="BF103" s="74">
        <v>0</v>
      </c>
      <c r="BG103" s="74">
        <v>0</v>
      </c>
    </row>
    <row r="104" spans="1:59">
      <c r="A104">
        <v>10343</v>
      </c>
      <c r="B104" t="s">
        <v>109</v>
      </c>
      <c r="C104">
        <v>1</v>
      </c>
      <c r="D104">
        <v>0</v>
      </c>
      <c r="E104" s="73">
        <v>31.856999999999999</v>
      </c>
      <c r="F104" s="73">
        <v>11.901</v>
      </c>
      <c r="G104" s="73">
        <v>11.901</v>
      </c>
      <c r="H104" s="73">
        <v>11.897</v>
      </c>
      <c r="I104" s="73">
        <v>0</v>
      </c>
      <c r="J104" s="73">
        <v>0</v>
      </c>
      <c r="K104" s="73">
        <v>0</v>
      </c>
      <c r="L104" s="73">
        <v>0.13900000000000001</v>
      </c>
      <c r="M104" s="73">
        <v>0.13900000000000001</v>
      </c>
      <c r="N104" s="73">
        <v>7.9000000000000001E-2</v>
      </c>
      <c r="O104" s="37">
        <v>1217.6400000000001</v>
      </c>
      <c r="P104" s="37">
        <v>1217.6400000000001</v>
      </c>
      <c r="Q104" s="37">
        <v>693.93600000000004</v>
      </c>
      <c r="R104" s="73">
        <v>11.762</v>
      </c>
      <c r="S104" s="73">
        <v>11.762</v>
      </c>
      <c r="T104" s="73">
        <v>11.818</v>
      </c>
      <c r="U104" s="37">
        <v>103035.12000000001</v>
      </c>
      <c r="V104" s="37">
        <v>103035.12000000001</v>
      </c>
      <c r="W104" s="37">
        <v>103809.31199999999</v>
      </c>
      <c r="X104">
        <v>31.57</v>
      </c>
      <c r="Y104" s="37">
        <v>276553.2</v>
      </c>
      <c r="Z104" s="37">
        <v>276553.2</v>
      </c>
      <c r="AA104" s="37">
        <v>277310.88</v>
      </c>
      <c r="AB104" s="73">
        <v>0</v>
      </c>
      <c r="AC104" s="73">
        <v>0</v>
      </c>
      <c r="AD104" s="73">
        <v>0</v>
      </c>
      <c r="AE104" s="73">
        <v>0</v>
      </c>
      <c r="AF104" s="73">
        <v>0</v>
      </c>
      <c r="AG104" s="73">
        <v>0</v>
      </c>
      <c r="AH104" s="73">
        <v>0</v>
      </c>
      <c r="AI104" s="73">
        <v>0</v>
      </c>
      <c r="AJ104" s="73">
        <v>0</v>
      </c>
      <c r="AK104">
        <v>0</v>
      </c>
      <c r="AL104">
        <v>0</v>
      </c>
      <c r="AM104">
        <v>0</v>
      </c>
      <c r="AN104" s="73">
        <v>0</v>
      </c>
      <c r="AO104" s="73">
        <v>0</v>
      </c>
      <c r="AP104" s="73">
        <v>0</v>
      </c>
      <c r="AQ104" s="74">
        <v>1.6544000000000001E-3</v>
      </c>
      <c r="AR104" s="74">
        <v>1.6544000000000001E-3</v>
      </c>
      <c r="AS104" s="74">
        <v>1.6623E-3</v>
      </c>
      <c r="AT104" s="74">
        <v>0</v>
      </c>
      <c r="AU104" s="74">
        <v>1.6544000000000001E-3</v>
      </c>
      <c r="AV104" s="74">
        <v>1.6544000000000001E-3</v>
      </c>
      <c r="AW104" s="74">
        <v>1.6623E-3</v>
      </c>
      <c r="AX104" s="74">
        <v>1.6570333333333334E-3</v>
      </c>
      <c r="AY104" s="74">
        <v>1</v>
      </c>
      <c r="AZ104" s="74">
        <v>1</v>
      </c>
      <c r="BA104" s="74">
        <v>1</v>
      </c>
      <c r="BB104" s="74">
        <v>1</v>
      </c>
      <c r="BC104" s="74">
        <v>1</v>
      </c>
      <c r="BD104" s="74">
        <v>1</v>
      </c>
      <c r="BE104" s="74">
        <v>7.0000000000000007E-2</v>
      </c>
      <c r="BF104" s="74">
        <v>7.0000000000000007E-2</v>
      </c>
      <c r="BG104" s="74">
        <v>7.0000000000000007E-2</v>
      </c>
    </row>
    <row r="105" spans="1:59">
      <c r="A105">
        <v>10349</v>
      </c>
      <c r="B105" t="s">
        <v>110</v>
      </c>
      <c r="C105">
        <v>1</v>
      </c>
      <c r="D105">
        <v>0</v>
      </c>
      <c r="E105" s="73">
        <v>531.72699999999998</v>
      </c>
      <c r="F105" s="73">
        <v>1093.9670000000001</v>
      </c>
      <c r="G105" s="73">
        <v>1102.8030000000001</v>
      </c>
      <c r="H105" s="73">
        <v>1118.28</v>
      </c>
      <c r="I105" s="73">
        <v>0</v>
      </c>
      <c r="J105" s="73">
        <v>0</v>
      </c>
      <c r="K105" s="73">
        <v>0</v>
      </c>
      <c r="L105" s="73">
        <v>593.94600000000003</v>
      </c>
      <c r="M105" s="73">
        <v>588.95899999999995</v>
      </c>
      <c r="N105" s="73">
        <v>587.91</v>
      </c>
      <c r="O105" s="37">
        <v>5202966.96</v>
      </c>
      <c r="P105" s="37">
        <v>5159280.84</v>
      </c>
      <c r="Q105" s="37">
        <v>5164201.4399999995</v>
      </c>
      <c r="R105" s="73">
        <v>500.02100000000002</v>
      </c>
      <c r="S105" s="73">
        <v>513.84400000000005</v>
      </c>
      <c r="T105" s="73">
        <v>530.37</v>
      </c>
      <c r="U105" s="37">
        <v>4380183.96</v>
      </c>
      <c r="V105" s="37">
        <v>4501273.4400000004</v>
      </c>
      <c r="W105" s="37">
        <v>4658770.08</v>
      </c>
      <c r="X105">
        <v>526.93100000000004</v>
      </c>
      <c r="Y105" s="37">
        <v>4615915.5600000005</v>
      </c>
      <c r="Z105" s="37">
        <v>4615915.5600000005</v>
      </c>
      <c r="AA105" s="37">
        <v>4628561.9040000001</v>
      </c>
      <c r="AB105" s="73">
        <v>0</v>
      </c>
      <c r="AC105" s="73">
        <v>0</v>
      </c>
      <c r="AD105" s="73">
        <v>3.4390000000000001</v>
      </c>
      <c r="AE105" s="73">
        <v>0</v>
      </c>
      <c r="AF105" s="73">
        <v>0</v>
      </c>
      <c r="AG105" s="73">
        <v>3.4390000000000001</v>
      </c>
      <c r="AH105" s="73">
        <v>0</v>
      </c>
      <c r="AI105" s="73">
        <v>0</v>
      </c>
      <c r="AJ105" s="73">
        <v>0</v>
      </c>
      <c r="AK105">
        <v>0</v>
      </c>
      <c r="AL105">
        <v>0</v>
      </c>
      <c r="AM105">
        <v>0</v>
      </c>
      <c r="AN105" s="73">
        <v>0</v>
      </c>
      <c r="AO105" s="73">
        <v>0</v>
      </c>
      <c r="AP105" s="73">
        <v>3.4390000000000001</v>
      </c>
      <c r="AQ105" s="74">
        <v>7.0330900000000002E-2</v>
      </c>
      <c r="AR105" s="74">
        <v>7.2275199999999998E-2</v>
      </c>
      <c r="AS105" s="74">
        <v>7.4115899999999998E-2</v>
      </c>
      <c r="AT105" s="74">
        <v>0</v>
      </c>
      <c r="AU105" s="74">
        <v>7.0330900000000002E-2</v>
      </c>
      <c r="AV105" s="74">
        <v>7.2275199999999998E-2</v>
      </c>
      <c r="AW105" s="74">
        <v>7.4115899999999998E-2</v>
      </c>
      <c r="AX105" s="74">
        <v>7.2240666666666675E-2</v>
      </c>
      <c r="AY105" s="74">
        <v>1</v>
      </c>
      <c r="AZ105" s="74">
        <v>1</v>
      </c>
      <c r="BA105" s="74">
        <v>0.99692460303036801</v>
      </c>
      <c r="BB105" s="74">
        <v>1</v>
      </c>
      <c r="BC105" s="74">
        <v>1</v>
      </c>
      <c r="BD105" s="74">
        <v>1.006526471207805</v>
      </c>
      <c r="BE105" s="74">
        <v>0</v>
      </c>
      <c r="BF105" s="74">
        <v>0</v>
      </c>
      <c r="BG105" s="74">
        <v>0</v>
      </c>
    </row>
    <row r="106" spans="1:59">
      <c r="A106">
        <v>10352</v>
      </c>
      <c r="B106" t="s">
        <v>111</v>
      </c>
      <c r="C106">
        <v>1</v>
      </c>
      <c r="D106">
        <v>0</v>
      </c>
      <c r="E106" s="73">
        <v>16.143999999999998</v>
      </c>
      <c r="F106" s="73">
        <v>17.474</v>
      </c>
      <c r="G106" s="73">
        <v>17.646000000000001</v>
      </c>
      <c r="H106" s="73">
        <v>17.827000000000002</v>
      </c>
      <c r="I106" s="73">
        <v>0</v>
      </c>
      <c r="J106" s="73">
        <v>0</v>
      </c>
      <c r="K106" s="73">
        <v>0</v>
      </c>
      <c r="L106" s="73">
        <v>0</v>
      </c>
      <c r="M106" s="73">
        <v>0</v>
      </c>
      <c r="N106" s="73">
        <v>0</v>
      </c>
      <c r="O106" s="37">
        <v>0</v>
      </c>
      <c r="P106" s="37">
        <v>0</v>
      </c>
      <c r="Q106" s="37">
        <v>0</v>
      </c>
      <c r="R106" s="73">
        <v>17.474</v>
      </c>
      <c r="S106" s="73">
        <v>17.646000000000001</v>
      </c>
      <c r="T106" s="73">
        <v>17.827000000000002</v>
      </c>
      <c r="U106" s="37">
        <v>153072.24</v>
      </c>
      <c r="V106" s="37">
        <v>154578.96000000002</v>
      </c>
      <c r="W106" s="37">
        <v>156592.36800000002</v>
      </c>
      <c r="X106">
        <v>15.997999999999999</v>
      </c>
      <c r="Y106" s="37">
        <v>140142.47999999998</v>
      </c>
      <c r="Z106" s="37">
        <v>140142.47999999998</v>
      </c>
      <c r="AA106" s="37">
        <v>140526.432</v>
      </c>
      <c r="AB106" s="73">
        <v>1.476</v>
      </c>
      <c r="AC106" s="73">
        <v>1.6479999999999999</v>
      </c>
      <c r="AD106" s="73">
        <v>1.829</v>
      </c>
      <c r="AE106" s="73">
        <v>1.476</v>
      </c>
      <c r="AF106" s="73">
        <v>1.6479999999999999</v>
      </c>
      <c r="AG106" s="73">
        <v>1.829</v>
      </c>
      <c r="AH106" s="73">
        <v>0</v>
      </c>
      <c r="AI106" s="73">
        <v>0</v>
      </c>
      <c r="AJ106" s="73">
        <v>0</v>
      </c>
      <c r="AK106">
        <v>0</v>
      </c>
      <c r="AL106">
        <v>0</v>
      </c>
      <c r="AM106">
        <v>0</v>
      </c>
      <c r="AN106" s="73">
        <v>1.476</v>
      </c>
      <c r="AO106" s="73">
        <v>1.6479999999999999</v>
      </c>
      <c r="AP106" s="73">
        <v>1.829</v>
      </c>
      <c r="AQ106" s="74">
        <v>2.2501999999999999E-3</v>
      </c>
      <c r="AR106" s="74">
        <v>2.2501999999999999E-3</v>
      </c>
      <c r="AS106" s="74">
        <v>2.2501999999999999E-3</v>
      </c>
      <c r="AT106" s="74">
        <v>0</v>
      </c>
      <c r="AU106" s="74">
        <v>2.2501999999999999E-3</v>
      </c>
      <c r="AV106" s="74">
        <v>2.2501999999999999E-3</v>
      </c>
      <c r="AW106" s="74">
        <v>2.2501999999999999E-3</v>
      </c>
      <c r="AX106" s="74">
        <v>2.2501999999999999E-3</v>
      </c>
      <c r="AY106" s="74">
        <v>0.91552672029300686</v>
      </c>
      <c r="AZ106" s="74">
        <v>0.90660285109373229</v>
      </c>
      <c r="BA106" s="74">
        <v>0.89739798678409155</v>
      </c>
      <c r="BB106" s="74">
        <v>1.0922615326915865</v>
      </c>
      <c r="BC106" s="74">
        <v>1.1030128766095764</v>
      </c>
      <c r="BD106" s="74">
        <v>1.1143267908488563</v>
      </c>
      <c r="BE106" s="74">
        <v>5.4613076634579323E-2</v>
      </c>
      <c r="BF106" s="74">
        <v>5.5150643830478817E-2</v>
      </c>
      <c r="BG106" s="74">
        <v>5.571633954244281E-2</v>
      </c>
    </row>
    <row r="107" spans="1:59">
      <c r="A107">
        <v>10354</v>
      </c>
      <c r="B107" t="s">
        <v>112</v>
      </c>
      <c r="C107">
        <v>1</v>
      </c>
      <c r="D107">
        <v>0</v>
      </c>
      <c r="E107" s="73">
        <v>810.99</v>
      </c>
      <c r="F107" s="73">
        <v>802.625</v>
      </c>
      <c r="G107" s="73">
        <v>812.28099999999995</v>
      </c>
      <c r="H107" s="73">
        <v>819.43299999999999</v>
      </c>
      <c r="I107" s="73">
        <v>0</v>
      </c>
      <c r="J107" s="73">
        <v>0</v>
      </c>
      <c r="K107" s="73">
        <v>0</v>
      </c>
      <c r="L107" s="73">
        <v>30.827999999999999</v>
      </c>
      <c r="M107" s="73">
        <v>30.827999999999999</v>
      </c>
      <c r="N107" s="73">
        <v>30.841999999999999</v>
      </c>
      <c r="O107" s="37">
        <v>270053.27999999997</v>
      </c>
      <c r="P107" s="37">
        <v>270053.27999999997</v>
      </c>
      <c r="Q107" s="37">
        <v>270916.12799999997</v>
      </c>
      <c r="R107" s="73">
        <v>771.79700000000003</v>
      </c>
      <c r="S107" s="73">
        <v>781.45299999999997</v>
      </c>
      <c r="T107" s="73">
        <v>788.59100000000001</v>
      </c>
      <c r="U107" s="37">
        <v>6760941.7200000007</v>
      </c>
      <c r="V107" s="37">
        <v>6845528.2799999993</v>
      </c>
      <c r="W107" s="37">
        <v>6926983.3440000005</v>
      </c>
      <c r="X107">
        <v>803.67499999999995</v>
      </c>
      <c r="Y107" s="37">
        <v>7040193</v>
      </c>
      <c r="Z107" s="37">
        <v>7040193</v>
      </c>
      <c r="AA107" s="37">
        <v>7059481.1999999993</v>
      </c>
      <c r="AB107" s="73">
        <v>0</v>
      </c>
      <c r="AC107" s="73">
        <v>0</v>
      </c>
      <c r="AD107" s="73">
        <v>0</v>
      </c>
      <c r="AE107" s="73">
        <v>0</v>
      </c>
      <c r="AF107" s="73">
        <v>0</v>
      </c>
      <c r="AG107" s="73">
        <v>0</v>
      </c>
      <c r="AH107" s="73">
        <v>0</v>
      </c>
      <c r="AI107" s="73">
        <v>0</v>
      </c>
      <c r="AJ107" s="73">
        <v>0</v>
      </c>
      <c r="AK107">
        <v>0</v>
      </c>
      <c r="AL107">
        <v>0</v>
      </c>
      <c r="AM107">
        <v>0</v>
      </c>
      <c r="AN107" s="73">
        <v>0</v>
      </c>
      <c r="AO107" s="73">
        <v>0</v>
      </c>
      <c r="AP107" s="73">
        <v>0</v>
      </c>
      <c r="AQ107" s="74">
        <v>0.1085578</v>
      </c>
      <c r="AR107" s="74">
        <v>0.109916</v>
      </c>
      <c r="AS107" s="74">
        <v>0.11092</v>
      </c>
      <c r="AT107" s="74">
        <v>0</v>
      </c>
      <c r="AU107" s="74">
        <v>0.1085578</v>
      </c>
      <c r="AV107" s="74">
        <v>0.109916</v>
      </c>
      <c r="AW107" s="74">
        <v>0.11092</v>
      </c>
      <c r="AX107" s="74">
        <v>0.10979793333333333</v>
      </c>
      <c r="AY107" s="74">
        <v>1</v>
      </c>
      <c r="AZ107" s="74">
        <v>1</v>
      </c>
      <c r="BA107" s="74">
        <v>1</v>
      </c>
      <c r="BB107" s="74">
        <v>1</v>
      </c>
      <c r="BC107" s="74">
        <v>1</v>
      </c>
      <c r="BD107" s="74">
        <v>1</v>
      </c>
      <c r="BE107" s="74">
        <v>0</v>
      </c>
      <c r="BF107" s="74">
        <v>0</v>
      </c>
      <c r="BG107" s="74">
        <v>0</v>
      </c>
    </row>
    <row r="108" spans="1:59">
      <c r="A108">
        <v>10360</v>
      </c>
      <c r="B108" t="s">
        <v>113</v>
      </c>
      <c r="C108">
        <v>1</v>
      </c>
      <c r="D108">
        <v>0</v>
      </c>
      <c r="E108" s="73">
        <v>6.8659999999999997</v>
      </c>
      <c r="F108" s="73">
        <v>7.4050000000000002</v>
      </c>
      <c r="G108" s="73">
        <v>7.4379999999999997</v>
      </c>
      <c r="H108" s="73">
        <v>7.4619999999999997</v>
      </c>
      <c r="I108" s="73">
        <v>0</v>
      </c>
      <c r="J108" s="73">
        <v>0</v>
      </c>
      <c r="K108" s="73">
        <v>0</v>
      </c>
      <c r="L108" s="73">
        <v>0</v>
      </c>
      <c r="M108" s="73">
        <v>0</v>
      </c>
      <c r="N108" s="73">
        <v>0</v>
      </c>
      <c r="O108" s="37">
        <v>0</v>
      </c>
      <c r="P108" s="37">
        <v>0</v>
      </c>
      <c r="Q108" s="37">
        <v>0</v>
      </c>
      <c r="R108" s="73">
        <v>7.4050000000000002</v>
      </c>
      <c r="S108" s="73">
        <v>7.4379999999999997</v>
      </c>
      <c r="T108" s="73">
        <v>7.4619999999999997</v>
      </c>
      <c r="U108" s="37">
        <v>64867.8</v>
      </c>
      <c r="V108" s="37">
        <v>65156.88</v>
      </c>
      <c r="W108" s="37">
        <v>65546.207999999999</v>
      </c>
      <c r="X108">
        <v>6.8040000000000003</v>
      </c>
      <c r="Y108" s="37">
        <v>59603.040000000001</v>
      </c>
      <c r="Z108" s="37">
        <v>59603.040000000001</v>
      </c>
      <c r="AA108" s="37">
        <v>59766.336000000003</v>
      </c>
      <c r="AB108" s="73">
        <v>0.60099999999999998</v>
      </c>
      <c r="AC108" s="73">
        <v>0.63400000000000001</v>
      </c>
      <c r="AD108" s="73">
        <v>0.65800000000000003</v>
      </c>
      <c r="AE108" s="73">
        <v>0</v>
      </c>
      <c r="AF108" s="73">
        <v>0</v>
      </c>
      <c r="AG108" s="73">
        <v>0</v>
      </c>
      <c r="AH108" s="73">
        <v>0.60099999999999998</v>
      </c>
      <c r="AI108" s="73">
        <v>0.63400000000000001</v>
      </c>
      <c r="AJ108" s="73">
        <v>0.65800000000000003</v>
      </c>
      <c r="AK108">
        <v>0</v>
      </c>
      <c r="AL108">
        <v>0</v>
      </c>
      <c r="AM108">
        <v>0</v>
      </c>
      <c r="AN108" s="73">
        <v>0</v>
      </c>
      <c r="AO108" s="73">
        <v>0</v>
      </c>
      <c r="AP108" s="73">
        <v>0</v>
      </c>
      <c r="AQ108" s="74">
        <v>9.5699999999999995E-4</v>
      </c>
      <c r="AR108" s="74">
        <v>9.5699999999999995E-4</v>
      </c>
      <c r="AS108" s="74">
        <v>9.5699999999999995E-4</v>
      </c>
      <c r="AT108" s="74">
        <v>0</v>
      </c>
      <c r="AU108" s="74">
        <v>9.5699999999999995E-4</v>
      </c>
      <c r="AV108" s="74">
        <v>9.5699999999999995E-4</v>
      </c>
      <c r="AW108" s="74">
        <v>9.5699999999999995E-4</v>
      </c>
      <c r="AX108" s="74">
        <v>9.5699999999999995E-4</v>
      </c>
      <c r="AY108" s="74">
        <v>0.91881718622552322</v>
      </c>
      <c r="AZ108" s="74">
        <v>0.91474069158375915</v>
      </c>
      <c r="BA108" s="74">
        <v>0.91179861484856606</v>
      </c>
      <c r="BB108" s="74">
        <v>1.0883303938859494</v>
      </c>
      <c r="BC108" s="74">
        <v>1.0931804820693709</v>
      </c>
      <c r="BD108" s="74">
        <v>1.096707818930041</v>
      </c>
      <c r="BE108" s="74">
        <v>4.897486772486772E-2</v>
      </c>
      <c r="BF108" s="74">
        <v>4.9193121693121691E-2</v>
      </c>
      <c r="BG108" s="74">
        <v>4.9351851851851841E-2</v>
      </c>
    </row>
    <row r="109" spans="1:59">
      <c r="A109">
        <v>10363</v>
      </c>
      <c r="B109" t="s">
        <v>114</v>
      </c>
      <c r="C109">
        <v>1</v>
      </c>
      <c r="D109">
        <v>0</v>
      </c>
      <c r="E109" s="73">
        <v>102.208</v>
      </c>
      <c r="F109" s="73">
        <v>89.85</v>
      </c>
      <c r="G109" s="73">
        <v>90.04</v>
      </c>
      <c r="H109" s="73">
        <v>90.234999999999999</v>
      </c>
      <c r="I109" s="73">
        <v>0</v>
      </c>
      <c r="J109" s="73">
        <v>0</v>
      </c>
      <c r="K109" s="73">
        <v>0</v>
      </c>
      <c r="L109" s="73">
        <v>0</v>
      </c>
      <c r="M109" s="73">
        <v>0</v>
      </c>
      <c r="N109" s="73">
        <v>0</v>
      </c>
      <c r="O109" s="37">
        <v>0</v>
      </c>
      <c r="P109" s="37">
        <v>0</v>
      </c>
      <c r="Q109" s="37">
        <v>0</v>
      </c>
      <c r="R109" s="73">
        <v>89.85</v>
      </c>
      <c r="S109" s="73">
        <v>90.04</v>
      </c>
      <c r="T109" s="73">
        <v>90.234999999999999</v>
      </c>
      <c r="U109" s="37">
        <v>787086</v>
      </c>
      <c r="V109" s="37">
        <v>788750.4</v>
      </c>
      <c r="W109" s="37">
        <v>792624.24</v>
      </c>
      <c r="X109">
        <v>101.286</v>
      </c>
      <c r="Y109" s="37">
        <v>887265.36</v>
      </c>
      <c r="Z109" s="37">
        <v>887265.36</v>
      </c>
      <c r="AA109" s="37">
        <v>889696.22400000005</v>
      </c>
      <c r="AB109" s="73">
        <v>0</v>
      </c>
      <c r="AC109" s="73">
        <v>0</v>
      </c>
      <c r="AD109" s="73">
        <v>0</v>
      </c>
      <c r="AE109" s="73">
        <v>0</v>
      </c>
      <c r="AF109" s="73">
        <v>0</v>
      </c>
      <c r="AG109" s="73">
        <v>0</v>
      </c>
      <c r="AH109" s="73">
        <v>0</v>
      </c>
      <c r="AI109" s="73">
        <v>0</v>
      </c>
      <c r="AJ109" s="73">
        <v>0</v>
      </c>
      <c r="AK109">
        <v>0</v>
      </c>
      <c r="AL109">
        <v>0</v>
      </c>
      <c r="AM109">
        <v>0</v>
      </c>
      <c r="AN109" s="73">
        <v>0</v>
      </c>
      <c r="AO109" s="73">
        <v>0</v>
      </c>
      <c r="AP109" s="73">
        <v>0</v>
      </c>
      <c r="AQ109" s="74">
        <v>1.2637900000000001E-2</v>
      </c>
      <c r="AR109" s="74">
        <v>1.2664699999999999E-2</v>
      </c>
      <c r="AS109" s="74">
        <v>1.26921E-2</v>
      </c>
      <c r="AT109" s="74">
        <v>0</v>
      </c>
      <c r="AU109" s="74">
        <v>1.2637900000000001E-2</v>
      </c>
      <c r="AV109" s="74">
        <v>1.2664699999999999E-2</v>
      </c>
      <c r="AW109" s="74">
        <v>1.26921E-2</v>
      </c>
      <c r="AX109" s="74">
        <v>1.26649E-2</v>
      </c>
      <c r="AY109" s="74">
        <v>0.99999785443294409</v>
      </c>
      <c r="AZ109" s="74">
        <v>1</v>
      </c>
      <c r="BA109" s="74">
        <v>1</v>
      </c>
      <c r="BB109" s="74">
        <v>1</v>
      </c>
      <c r="BC109" s="74">
        <v>1</v>
      </c>
      <c r="BD109" s="74">
        <v>1</v>
      </c>
      <c r="BE109" s="74">
        <v>0</v>
      </c>
      <c r="BF109" s="74">
        <v>0</v>
      </c>
      <c r="BG109" s="74">
        <v>0</v>
      </c>
    </row>
    <row r="110" spans="1:59">
      <c r="A110">
        <v>10369</v>
      </c>
      <c r="B110" t="s">
        <v>115</v>
      </c>
      <c r="C110">
        <v>1</v>
      </c>
      <c r="D110">
        <v>0</v>
      </c>
      <c r="E110" s="73">
        <v>16.677</v>
      </c>
      <c r="F110" s="73">
        <v>18.605</v>
      </c>
      <c r="G110" s="73">
        <v>18.605</v>
      </c>
      <c r="H110" s="73">
        <v>18.605</v>
      </c>
      <c r="I110" s="73">
        <v>0</v>
      </c>
      <c r="J110" s="73">
        <v>0</v>
      </c>
      <c r="K110" s="73">
        <v>0</v>
      </c>
      <c r="L110" s="73">
        <v>0</v>
      </c>
      <c r="M110" s="73">
        <v>0</v>
      </c>
      <c r="N110" s="73">
        <v>0</v>
      </c>
      <c r="O110" s="37">
        <v>0</v>
      </c>
      <c r="P110" s="37">
        <v>0</v>
      </c>
      <c r="Q110" s="37">
        <v>0</v>
      </c>
      <c r="R110" s="73">
        <v>18.605</v>
      </c>
      <c r="S110" s="73">
        <v>18.605</v>
      </c>
      <c r="T110" s="73">
        <v>18.605</v>
      </c>
      <c r="U110" s="37">
        <v>162979.80000000002</v>
      </c>
      <c r="V110" s="37">
        <v>162979.80000000002</v>
      </c>
      <c r="W110" s="37">
        <v>163426.32</v>
      </c>
      <c r="X110">
        <v>16.527000000000001</v>
      </c>
      <c r="Y110" s="37">
        <v>144776.52000000002</v>
      </c>
      <c r="Z110" s="37">
        <v>144776.52000000002</v>
      </c>
      <c r="AA110" s="37">
        <v>145173.16800000001</v>
      </c>
      <c r="AB110" s="73">
        <v>2.0779999999999998</v>
      </c>
      <c r="AC110" s="73">
        <v>2.0779999999999998</v>
      </c>
      <c r="AD110" s="73">
        <v>2.0779999999999998</v>
      </c>
      <c r="AE110" s="73">
        <v>2.0779999999999998</v>
      </c>
      <c r="AF110" s="73">
        <v>2.0779999999999998</v>
      </c>
      <c r="AG110" s="73">
        <v>2.0779999999999998</v>
      </c>
      <c r="AH110" s="73">
        <v>0</v>
      </c>
      <c r="AI110" s="73">
        <v>0</v>
      </c>
      <c r="AJ110" s="73">
        <v>0</v>
      </c>
      <c r="AK110">
        <v>0</v>
      </c>
      <c r="AL110">
        <v>0</v>
      </c>
      <c r="AM110">
        <v>0</v>
      </c>
      <c r="AN110" s="73">
        <v>2.0779999999999998</v>
      </c>
      <c r="AO110" s="73">
        <v>2.0779999999999998</v>
      </c>
      <c r="AP110" s="73">
        <v>2.0779999999999998</v>
      </c>
      <c r="AQ110" s="74">
        <v>2.3246E-3</v>
      </c>
      <c r="AR110" s="74">
        <v>2.3246E-3</v>
      </c>
      <c r="AS110" s="74">
        <v>2.3246E-3</v>
      </c>
      <c r="AT110" s="74">
        <v>0</v>
      </c>
      <c r="AU110" s="74">
        <v>2.3246E-3</v>
      </c>
      <c r="AV110" s="74">
        <v>2.3246E-3</v>
      </c>
      <c r="AW110" s="74">
        <v>2.3246E-3</v>
      </c>
      <c r="AX110" s="74">
        <v>2.3246E-3</v>
      </c>
      <c r="AY110" s="74">
        <v>0.88830231546358507</v>
      </c>
      <c r="AZ110" s="74">
        <v>0.88830231546358507</v>
      </c>
      <c r="BA110" s="74">
        <v>0.88830231546358507</v>
      </c>
      <c r="BB110" s="74">
        <v>1.1257336479699884</v>
      </c>
      <c r="BC110" s="74">
        <v>1.1257336479699884</v>
      </c>
      <c r="BD110" s="74">
        <v>1.1257336479699884</v>
      </c>
      <c r="BE110" s="74">
        <v>7.88013553578992E-2</v>
      </c>
      <c r="BF110" s="74">
        <v>7.88013553578992E-2</v>
      </c>
      <c r="BG110" s="74">
        <v>7.88013553578992E-2</v>
      </c>
    </row>
    <row r="111" spans="1:59">
      <c r="A111">
        <v>10370</v>
      </c>
      <c r="B111" t="s">
        <v>116</v>
      </c>
      <c r="C111">
        <v>1</v>
      </c>
      <c r="D111">
        <v>0</v>
      </c>
      <c r="E111" s="73">
        <v>408.39299999999997</v>
      </c>
      <c r="F111" s="73">
        <v>513.48900000000003</v>
      </c>
      <c r="G111" s="73">
        <v>506.697</v>
      </c>
      <c r="H111" s="73">
        <v>504.66800000000001</v>
      </c>
      <c r="I111" s="73">
        <v>0</v>
      </c>
      <c r="J111" s="73">
        <v>0</v>
      </c>
      <c r="K111" s="73">
        <v>0</v>
      </c>
      <c r="L111" s="73">
        <v>178.42599999999999</v>
      </c>
      <c r="M111" s="73">
        <v>178.41900000000001</v>
      </c>
      <c r="N111" s="73">
        <v>178.46899999999999</v>
      </c>
      <c r="O111" s="37">
        <v>1563011.7599999998</v>
      </c>
      <c r="P111" s="37">
        <v>1562950.4400000002</v>
      </c>
      <c r="Q111" s="37">
        <v>1567671.696</v>
      </c>
      <c r="R111" s="73">
        <v>335.06299999999999</v>
      </c>
      <c r="S111" s="73">
        <v>328.27800000000002</v>
      </c>
      <c r="T111" s="73">
        <v>326.19900000000001</v>
      </c>
      <c r="U111" s="37">
        <v>2935151.88</v>
      </c>
      <c r="V111" s="37">
        <v>2875715.2800000003</v>
      </c>
      <c r="W111" s="37">
        <v>2865332.0160000003</v>
      </c>
      <c r="X111">
        <v>404.709</v>
      </c>
      <c r="Y111" s="37">
        <v>3545250.84</v>
      </c>
      <c r="Z111" s="37">
        <v>3545250.84</v>
      </c>
      <c r="AA111" s="37">
        <v>3554963.8560000001</v>
      </c>
      <c r="AB111" s="73">
        <v>0</v>
      </c>
      <c r="AC111" s="73">
        <v>0</v>
      </c>
      <c r="AD111" s="73">
        <v>0</v>
      </c>
      <c r="AE111" s="73">
        <v>0</v>
      </c>
      <c r="AF111" s="73">
        <v>0</v>
      </c>
      <c r="AG111" s="73">
        <v>0</v>
      </c>
      <c r="AH111" s="73">
        <v>0</v>
      </c>
      <c r="AI111" s="73">
        <v>0</v>
      </c>
      <c r="AJ111" s="73">
        <v>0</v>
      </c>
      <c r="AK111">
        <v>0</v>
      </c>
      <c r="AL111">
        <v>0</v>
      </c>
      <c r="AM111">
        <v>0</v>
      </c>
      <c r="AN111" s="73">
        <v>0</v>
      </c>
      <c r="AO111" s="73">
        <v>0</v>
      </c>
      <c r="AP111" s="73">
        <v>0</v>
      </c>
      <c r="AQ111" s="74">
        <v>4.71286E-2</v>
      </c>
      <c r="AR111" s="74">
        <v>4.6174199999999999E-2</v>
      </c>
      <c r="AS111" s="74">
        <v>4.58818E-2</v>
      </c>
      <c r="AT111" s="74">
        <v>2.95821E-2</v>
      </c>
      <c r="AU111" s="74">
        <v>1.75465E-2</v>
      </c>
      <c r="AV111" s="74">
        <v>1.6592099999999999E-2</v>
      </c>
      <c r="AW111" s="74">
        <v>1.62997E-2</v>
      </c>
      <c r="AX111" s="74">
        <v>1.6812766666666666E-2</v>
      </c>
      <c r="AY111" s="74">
        <v>1</v>
      </c>
      <c r="AZ111" s="74">
        <v>0.99999975519570872</v>
      </c>
      <c r="BA111" s="74">
        <v>1</v>
      </c>
      <c r="BB111" s="74">
        <v>1</v>
      </c>
      <c r="BC111" s="74">
        <v>1</v>
      </c>
      <c r="BD111" s="74">
        <v>1</v>
      </c>
      <c r="BE111" s="74">
        <v>0</v>
      </c>
      <c r="BF111" s="74">
        <v>0</v>
      </c>
      <c r="BG111" s="74">
        <v>0</v>
      </c>
    </row>
    <row r="112" spans="1:59">
      <c r="A112">
        <v>10371</v>
      </c>
      <c r="B112" t="s">
        <v>117</v>
      </c>
      <c r="C112">
        <v>1</v>
      </c>
      <c r="D112">
        <v>0</v>
      </c>
      <c r="E112" s="73">
        <v>11.196999999999999</v>
      </c>
      <c r="F112" s="73">
        <v>14.084</v>
      </c>
      <c r="G112" s="73">
        <v>14.137</v>
      </c>
      <c r="H112" s="73">
        <v>14.218</v>
      </c>
      <c r="I112" s="73">
        <v>0</v>
      </c>
      <c r="J112" s="73">
        <v>0</v>
      </c>
      <c r="K112" s="73">
        <v>0</v>
      </c>
      <c r="L112" s="73">
        <v>0</v>
      </c>
      <c r="M112" s="73">
        <v>0</v>
      </c>
      <c r="N112" s="73">
        <v>0</v>
      </c>
      <c r="O112" s="37">
        <v>0</v>
      </c>
      <c r="P112" s="37">
        <v>0</v>
      </c>
      <c r="Q112" s="37">
        <v>0</v>
      </c>
      <c r="R112" s="73">
        <v>14.084</v>
      </c>
      <c r="S112" s="73">
        <v>14.137</v>
      </c>
      <c r="T112" s="73">
        <v>14.218</v>
      </c>
      <c r="U112" s="37">
        <v>123375.84</v>
      </c>
      <c r="V112" s="37">
        <v>123840.12000000001</v>
      </c>
      <c r="W112" s="37">
        <v>124890.912</v>
      </c>
      <c r="X112">
        <v>11.096</v>
      </c>
      <c r="Y112" s="37">
        <v>97200.960000000006</v>
      </c>
      <c r="Z112" s="37">
        <v>97200.960000000006</v>
      </c>
      <c r="AA112" s="37">
        <v>97467.263999999996</v>
      </c>
      <c r="AB112" s="73">
        <v>2.988</v>
      </c>
      <c r="AC112" s="73">
        <v>3.0409999999999999</v>
      </c>
      <c r="AD112" s="73">
        <v>3.1219999999999999</v>
      </c>
      <c r="AE112" s="73">
        <v>2.988</v>
      </c>
      <c r="AF112" s="73">
        <v>3.0409999999999999</v>
      </c>
      <c r="AG112" s="73">
        <v>3.1219999999999999</v>
      </c>
      <c r="AH112" s="73">
        <v>0</v>
      </c>
      <c r="AI112" s="73">
        <v>0</v>
      </c>
      <c r="AJ112" s="73">
        <v>0</v>
      </c>
      <c r="AK112">
        <v>0</v>
      </c>
      <c r="AL112">
        <v>0</v>
      </c>
      <c r="AM112">
        <v>0</v>
      </c>
      <c r="AN112" s="73">
        <v>2.988</v>
      </c>
      <c r="AO112" s="73">
        <v>3.0409999999999999</v>
      </c>
      <c r="AP112" s="73">
        <v>3.1219999999999999</v>
      </c>
      <c r="AQ112" s="74">
        <v>1.5606999999999999E-3</v>
      </c>
      <c r="AR112" s="74">
        <v>1.5606999999999999E-3</v>
      </c>
      <c r="AS112" s="74">
        <v>1.5606999999999999E-3</v>
      </c>
      <c r="AT112" s="74">
        <v>0</v>
      </c>
      <c r="AU112" s="74">
        <v>1.5606999999999999E-3</v>
      </c>
      <c r="AV112" s="74">
        <v>1.5606999999999999E-3</v>
      </c>
      <c r="AW112" s="74">
        <v>1.5606999999999999E-3</v>
      </c>
      <c r="AX112" s="74">
        <v>1.5606999999999999E-3</v>
      </c>
      <c r="AY112" s="74">
        <v>0.78783568633910828</v>
      </c>
      <c r="AZ112" s="74">
        <v>0.78488206878404188</v>
      </c>
      <c r="BA112" s="74">
        <v>0.78041059265719515</v>
      </c>
      <c r="BB112" s="74">
        <v>1.2692862292718097</v>
      </c>
      <c r="BC112" s="74">
        <v>1.2740627253064167</v>
      </c>
      <c r="BD112" s="74">
        <v>1.2813626532083633</v>
      </c>
      <c r="BE112" s="74">
        <v>0</v>
      </c>
      <c r="BF112" s="74">
        <v>0</v>
      </c>
      <c r="BG112" s="74">
        <v>0</v>
      </c>
    </row>
    <row r="113" spans="1:59">
      <c r="A113">
        <v>10376</v>
      </c>
      <c r="B113" t="s">
        <v>118</v>
      </c>
      <c r="C113">
        <v>1</v>
      </c>
      <c r="D113">
        <v>0</v>
      </c>
      <c r="E113" s="73">
        <v>56.865000000000002</v>
      </c>
      <c r="F113" s="73">
        <v>55.945999999999998</v>
      </c>
      <c r="G113" s="73">
        <v>56.228999999999999</v>
      </c>
      <c r="H113" s="73">
        <v>56.512999999999998</v>
      </c>
      <c r="I113" s="73">
        <v>0</v>
      </c>
      <c r="J113" s="73">
        <v>0</v>
      </c>
      <c r="K113" s="73">
        <v>0</v>
      </c>
      <c r="L113" s="73">
        <v>0.69699999999999995</v>
      </c>
      <c r="M113" s="73">
        <v>0.38600000000000001</v>
      </c>
      <c r="N113" s="73">
        <v>0</v>
      </c>
      <c r="O113" s="37">
        <v>6105.7199999999993</v>
      </c>
      <c r="P113" s="37">
        <v>3381.36</v>
      </c>
      <c r="Q113" s="37">
        <v>0</v>
      </c>
      <c r="R113" s="73">
        <v>55.249000000000002</v>
      </c>
      <c r="S113" s="73">
        <v>55.843000000000004</v>
      </c>
      <c r="T113" s="73">
        <v>56.512999999999998</v>
      </c>
      <c r="U113" s="37">
        <v>483981.24000000005</v>
      </c>
      <c r="V113" s="37">
        <v>489184.68000000005</v>
      </c>
      <c r="W113" s="37">
        <v>496410.19199999998</v>
      </c>
      <c r="X113">
        <v>56.351999999999997</v>
      </c>
      <c r="Y113" s="37">
        <v>493643.51999999996</v>
      </c>
      <c r="Z113" s="37">
        <v>493643.51999999996</v>
      </c>
      <c r="AA113" s="37">
        <v>494995.96799999999</v>
      </c>
      <c r="AB113" s="73">
        <v>0</v>
      </c>
      <c r="AC113" s="73">
        <v>0</v>
      </c>
      <c r="AD113" s="73">
        <v>0.161</v>
      </c>
      <c r="AE113" s="73">
        <v>0</v>
      </c>
      <c r="AF113" s="73">
        <v>0</v>
      </c>
      <c r="AG113" s="73">
        <v>0</v>
      </c>
      <c r="AH113" s="73">
        <v>0</v>
      </c>
      <c r="AI113" s="73">
        <v>0</v>
      </c>
      <c r="AJ113" s="73">
        <v>0.161</v>
      </c>
      <c r="AK113">
        <v>0</v>
      </c>
      <c r="AL113">
        <v>0</v>
      </c>
      <c r="AM113">
        <v>0</v>
      </c>
      <c r="AN113" s="73">
        <v>0</v>
      </c>
      <c r="AO113" s="73">
        <v>0</v>
      </c>
      <c r="AP113" s="73">
        <v>0</v>
      </c>
      <c r="AQ113" s="74">
        <v>7.7711000000000004E-3</v>
      </c>
      <c r="AR113" s="74">
        <v>7.8545999999999998E-3</v>
      </c>
      <c r="AS113" s="74">
        <v>7.9261999999999996E-3</v>
      </c>
      <c r="AT113" s="74">
        <v>0</v>
      </c>
      <c r="AU113" s="74">
        <v>7.7711000000000004E-3</v>
      </c>
      <c r="AV113" s="74">
        <v>7.8545999999999998E-3</v>
      </c>
      <c r="AW113" s="74">
        <v>7.9261999999999996E-3</v>
      </c>
      <c r="AX113" s="74">
        <v>7.8506333333333341E-3</v>
      </c>
      <c r="AY113" s="74">
        <v>1</v>
      </c>
      <c r="AZ113" s="74">
        <v>0.9999944359529781</v>
      </c>
      <c r="BA113" s="74">
        <v>0.99714633911489392</v>
      </c>
      <c r="BB113" s="74">
        <v>1</v>
      </c>
      <c r="BC113" s="74">
        <v>1</v>
      </c>
      <c r="BD113" s="74">
        <v>1.0028570414537195</v>
      </c>
      <c r="BE113" s="74">
        <v>0</v>
      </c>
      <c r="BF113" s="74">
        <v>0</v>
      </c>
      <c r="BG113" s="74">
        <v>0</v>
      </c>
    </row>
    <row r="114" spans="1:59">
      <c r="A114">
        <v>10378</v>
      </c>
      <c r="B114" t="s">
        <v>119</v>
      </c>
      <c r="C114">
        <v>1</v>
      </c>
      <c r="D114">
        <v>0</v>
      </c>
      <c r="E114" s="73">
        <v>2.0510000000000002</v>
      </c>
      <c r="F114" s="73">
        <v>2.0529999999999999</v>
      </c>
      <c r="G114" s="73">
        <v>2.0630000000000002</v>
      </c>
      <c r="H114" s="73">
        <v>2.0699999999999998</v>
      </c>
      <c r="I114" s="73">
        <v>0</v>
      </c>
      <c r="J114" s="73">
        <v>0</v>
      </c>
      <c r="K114" s="73">
        <v>0</v>
      </c>
      <c r="L114" s="73">
        <v>0</v>
      </c>
      <c r="M114" s="73">
        <v>0</v>
      </c>
      <c r="N114" s="73">
        <v>0</v>
      </c>
      <c r="O114" s="37">
        <v>0</v>
      </c>
      <c r="P114" s="37">
        <v>0</v>
      </c>
      <c r="Q114" s="37">
        <v>0</v>
      </c>
      <c r="R114" s="73">
        <v>2.0529999999999999</v>
      </c>
      <c r="S114" s="73">
        <v>2.0630000000000002</v>
      </c>
      <c r="T114" s="73">
        <v>2.0699999999999998</v>
      </c>
      <c r="U114" s="37">
        <v>17984.28</v>
      </c>
      <c r="V114" s="37">
        <v>18071.88</v>
      </c>
      <c r="W114" s="37">
        <v>18182.879999999997</v>
      </c>
      <c r="X114">
        <v>2.0329999999999999</v>
      </c>
      <c r="Y114" s="37">
        <v>17809.079999999998</v>
      </c>
      <c r="Z114" s="37">
        <v>17809.079999999998</v>
      </c>
      <c r="AA114" s="37">
        <v>17857.871999999999</v>
      </c>
      <c r="AB114" s="73">
        <v>0.02</v>
      </c>
      <c r="AC114" s="73">
        <v>0.03</v>
      </c>
      <c r="AD114" s="73">
        <v>3.6999999999999998E-2</v>
      </c>
      <c r="AE114" s="73">
        <v>0</v>
      </c>
      <c r="AF114" s="73">
        <v>0</v>
      </c>
      <c r="AG114" s="73">
        <v>0</v>
      </c>
      <c r="AH114" s="73">
        <v>0.02</v>
      </c>
      <c r="AI114" s="73">
        <v>0.03</v>
      </c>
      <c r="AJ114" s="73">
        <v>3.6999999999999998E-2</v>
      </c>
      <c r="AK114">
        <v>0</v>
      </c>
      <c r="AL114">
        <v>0</v>
      </c>
      <c r="AM114">
        <v>0</v>
      </c>
      <c r="AN114" s="73">
        <v>0</v>
      </c>
      <c r="AO114" s="73">
        <v>0</v>
      </c>
      <c r="AP114" s="73">
        <v>0</v>
      </c>
      <c r="AQ114" s="74">
        <v>2.8600000000000001E-4</v>
      </c>
      <c r="AR114" s="74">
        <v>2.8600000000000001E-4</v>
      </c>
      <c r="AS114" s="74">
        <v>2.8600000000000001E-4</v>
      </c>
      <c r="AT114" s="74">
        <v>0</v>
      </c>
      <c r="AU114" s="74">
        <v>2.8600000000000001E-4</v>
      </c>
      <c r="AV114" s="74">
        <v>2.8600000000000001E-4</v>
      </c>
      <c r="AW114" s="74">
        <v>2.8600000000000001E-4</v>
      </c>
      <c r="AX114" s="74">
        <v>2.8600000000000001E-4</v>
      </c>
      <c r="AY114" s="74">
        <v>0.99041981100828069</v>
      </c>
      <c r="AZ114" s="74">
        <v>0.98561893940862821</v>
      </c>
      <c r="BA114" s="74">
        <v>0.98228592850241558</v>
      </c>
      <c r="BB114" s="74">
        <v>1.0098376783079193</v>
      </c>
      <c r="BC114" s="74">
        <v>1.0147565174618791</v>
      </c>
      <c r="BD114" s="74">
        <v>1.0181997048696507</v>
      </c>
      <c r="BE114" s="74">
        <v>0</v>
      </c>
      <c r="BF114" s="74">
        <v>0</v>
      </c>
      <c r="BG114" s="74">
        <v>0</v>
      </c>
    </row>
    <row r="115" spans="1:59">
      <c r="A115">
        <v>10379</v>
      </c>
      <c r="B115" t="s">
        <v>120</v>
      </c>
      <c r="C115">
        <v>1</v>
      </c>
      <c r="D115">
        <v>0</v>
      </c>
      <c r="E115" s="73">
        <v>4.88</v>
      </c>
      <c r="F115" s="73">
        <v>4.6040000000000001</v>
      </c>
      <c r="G115" s="73">
        <v>4.6230000000000002</v>
      </c>
      <c r="H115" s="73">
        <v>4.6340000000000003</v>
      </c>
      <c r="I115" s="73">
        <v>0</v>
      </c>
      <c r="J115" s="73">
        <v>0</v>
      </c>
      <c r="K115" s="73">
        <v>0</v>
      </c>
      <c r="L115" s="73">
        <v>0</v>
      </c>
      <c r="M115" s="73">
        <v>0</v>
      </c>
      <c r="N115" s="73">
        <v>0</v>
      </c>
      <c r="O115" s="37">
        <v>0</v>
      </c>
      <c r="P115" s="37">
        <v>0</v>
      </c>
      <c r="Q115" s="37">
        <v>0</v>
      </c>
      <c r="R115" s="73">
        <v>4.6040000000000001</v>
      </c>
      <c r="S115" s="73">
        <v>4.6230000000000002</v>
      </c>
      <c r="T115" s="73">
        <v>4.6340000000000003</v>
      </c>
      <c r="U115" s="37">
        <v>40331.040000000001</v>
      </c>
      <c r="V115" s="37">
        <v>40497.480000000003</v>
      </c>
      <c r="W115" s="37">
        <v>40705.056000000004</v>
      </c>
      <c r="X115">
        <v>4.8360000000000003</v>
      </c>
      <c r="Y115" s="37">
        <v>42363.360000000001</v>
      </c>
      <c r="Z115" s="37">
        <v>42363.360000000001</v>
      </c>
      <c r="AA115" s="37">
        <v>42479.423999999999</v>
      </c>
      <c r="AB115" s="73">
        <v>0</v>
      </c>
      <c r="AC115" s="73">
        <v>0</v>
      </c>
      <c r="AD115" s="73">
        <v>0</v>
      </c>
      <c r="AE115" s="73">
        <v>0</v>
      </c>
      <c r="AF115" s="73">
        <v>0</v>
      </c>
      <c r="AG115" s="73">
        <v>0</v>
      </c>
      <c r="AH115" s="73">
        <v>0</v>
      </c>
      <c r="AI115" s="73">
        <v>0</v>
      </c>
      <c r="AJ115" s="73">
        <v>0</v>
      </c>
      <c r="AK115">
        <v>0</v>
      </c>
      <c r="AL115">
        <v>0</v>
      </c>
      <c r="AM115">
        <v>0</v>
      </c>
      <c r="AN115" s="73">
        <v>0</v>
      </c>
      <c r="AO115" s="73">
        <v>0</v>
      </c>
      <c r="AP115" s="73">
        <v>0</v>
      </c>
      <c r="AQ115" s="74">
        <v>6.4760000000000002E-4</v>
      </c>
      <c r="AR115" s="74">
        <v>6.5030000000000003E-4</v>
      </c>
      <c r="AS115" s="74">
        <v>6.5180000000000001E-4</v>
      </c>
      <c r="AT115" s="74">
        <v>0</v>
      </c>
      <c r="AU115" s="74">
        <v>6.4760000000000002E-4</v>
      </c>
      <c r="AV115" s="74">
        <v>6.5030000000000003E-4</v>
      </c>
      <c r="AW115" s="74">
        <v>6.5180000000000001E-4</v>
      </c>
      <c r="AX115" s="74">
        <v>6.4990000000000002E-4</v>
      </c>
      <c r="AY115" s="74">
        <v>1</v>
      </c>
      <c r="AZ115" s="74">
        <v>1</v>
      </c>
      <c r="BA115" s="74">
        <v>1</v>
      </c>
      <c r="BB115" s="74">
        <v>1</v>
      </c>
      <c r="BC115" s="74">
        <v>1</v>
      </c>
      <c r="BD115" s="74">
        <v>1</v>
      </c>
      <c r="BE115" s="74">
        <v>0</v>
      </c>
      <c r="BF115" s="74">
        <v>0</v>
      </c>
      <c r="BG115" s="74">
        <v>0</v>
      </c>
    </row>
    <row r="116" spans="1:59">
      <c r="A116">
        <v>10388</v>
      </c>
      <c r="B116" t="s">
        <v>121</v>
      </c>
      <c r="C116">
        <v>1</v>
      </c>
      <c r="D116">
        <v>0</v>
      </c>
      <c r="E116" s="73">
        <v>114.91200000000001</v>
      </c>
      <c r="F116" s="73">
        <v>1680.6880000000001</v>
      </c>
      <c r="G116" s="73">
        <v>1960.538</v>
      </c>
      <c r="H116" s="73">
        <v>2321.6489999999999</v>
      </c>
      <c r="I116" s="73">
        <v>1457.2249999999999</v>
      </c>
      <c r="J116" s="73">
        <v>1737.075</v>
      </c>
      <c r="K116" s="73">
        <v>2098.2629999999999</v>
      </c>
      <c r="L116" s="73">
        <v>0.23200000000000001</v>
      </c>
      <c r="M116" s="73">
        <v>0.23200000000000001</v>
      </c>
      <c r="N116" s="73">
        <v>0.23200000000000001</v>
      </c>
      <c r="O116" s="37">
        <v>2032.3200000000002</v>
      </c>
      <c r="P116" s="37">
        <v>2032.3200000000002</v>
      </c>
      <c r="Q116" s="37">
        <v>2037.8880000000001</v>
      </c>
      <c r="R116" s="73">
        <v>223.23099999999999</v>
      </c>
      <c r="S116" s="73">
        <v>223.23099999999999</v>
      </c>
      <c r="T116" s="73">
        <v>223.154</v>
      </c>
      <c r="U116" s="37">
        <v>1955503.56</v>
      </c>
      <c r="V116" s="37">
        <v>1955503.56</v>
      </c>
      <c r="W116" s="37">
        <v>1960184.736</v>
      </c>
      <c r="X116">
        <v>113.876</v>
      </c>
      <c r="Y116" s="37">
        <v>997553.76</v>
      </c>
      <c r="Z116" s="37">
        <v>997553.76</v>
      </c>
      <c r="AA116" s="37">
        <v>1000286.784</v>
      </c>
      <c r="AB116" s="73">
        <v>109.355</v>
      </c>
      <c r="AC116" s="73">
        <v>109.355</v>
      </c>
      <c r="AD116" s="73">
        <v>109.27800000000001</v>
      </c>
      <c r="AE116" s="73">
        <v>109.355</v>
      </c>
      <c r="AF116" s="73">
        <v>109.355</v>
      </c>
      <c r="AG116" s="73">
        <v>109.27800000000001</v>
      </c>
      <c r="AH116" s="73">
        <v>0</v>
      </c>
      <c r="AI116" s="73">
        <v>0</v>
      </c>
      <c r="AJ116" s="73">
        <v>0</v>
      </c>
      <c r="AK116">
        <v>0</v>
      </c>
      <c r="AL116">
        <v>0</v>
      </c>
      <c r="AM116">
        <v>0</v>
      </c>
      <c r="AN116" s="73">
        <v>109.355</v>
      </c>
      <c r="AO116" s="73">
        <v>109.355</v>
      </c>
      <c r="AP116" s="73">
        <v>109.27800000000001</v>
      </c>
      <c r="AQ116" s="74">
        <v>1.6017300000000002E-2</v>
      </c>
      <c r="AR116" s="74">
        <v>1.6017300000000002E-2</v>
      </c>
      <c r="AS116" s="74">
        <v>1.6017300000000002E-2</v>
      </c>
      <c r="AT116" s="74">
        <v>0</v>
      </c>
      <c r="AU116" s="74">
        <v>1.6017300000000002E-2</v>
      </c>
      <c r="AV116" s="74">
        <v>1.6017300000000002E-2</v>
      </c>
      <c r="AW116" s="74">
        <v>1.6017300000000002E-2</v>
      </c>
      <c r="AX116" s="74">
        <v>1.6017300000000002E-2</v>
      </c>
      <c r="AY116" s="74">
        <v>0.51063409714180841</v>
      </c>
      <c r="AZ116" s="74">
        <v>0.51063409714180885</v>
      </c>
      <c r="BA116" s="74">
        <v>0.51081011007672839</v>
      </c>
      <c r="BB116" s="74">
        <v>1.9602989216340581</v>
      </c>
      <c r="BC116" s="74">
        <v>1.9602989216340581</v>
      </c>
      <c r="BD116" s="74">
        <v>1.9596227475499666</v>
      </c>
      <c r="BE116" s="74">
        <v>7.8411956865362342E-2</v>
      </c>
      <c r="BF116" s="74">
        <v>7.8411956865362342E-2</v>
      </c>
      <c r="BG116" s="74">
        <v>7.8384909901998673E-2</v>
      </c>
    </row>
    <row r="117" spans="1:59">
      <c r="A117">
        <v>10391</v>
      </c>
      <c r="B117" t="s">
        <v>122</v>
      </c>
      <c r="C117">
        <v>1</v>
      </c>
      <c r="D117">
        <v>0</v>
      </c>
      <c r="E117" s="73">
        <v>30.423999999999999</v>
      </c>
      <c r="F117" s="73">
        <v>43.35</v>
      </c>
      <c r="G117" s="73">
        <v>43.853000000000002</v>
      </c>
      <c r="H117" s="73">
        <v>44.320999999999998</v>
      </c>
      <c r="I117" s="73">
        <v>0</v>
      </c>
      <c r="J117" s="73">
        <v>0</v>
      </c>
      <c r="K117" s="73">
        <v>0</v>
      </c>
      <c r="L117" s="73">
        <v>0</v>
      </c>
      <c r="M117" s="73">
        <v>0</v>
      </c>
      <c r="N117" s="73">
        <v>0</v>
      </c>
      <c r="O117" s="37">
        <v>0</v>
      </c>
      <c r="P117" s="37">
        <v>0</v>
      </c>
      <c r="Q117" s="37">
        <v>0</v>
      </c>
      <c r="R117" s="73">
        <v>43.35</v>
      </c>
      <c r="S117" s="73">
        <v>43.853000000000002</v>
      </c>
      <c r="T117" s="73">
        <v>44.320999999999998</v>
      </c>
      <c r="U117" s="37">
        <v>379746</v>
      </c>
      <c r="V117" s="37">
        <v>384152.28</v>
      </c>
      <c r="W117" s="37">
        <v>389315.66399999999</v>
      </c>
      <c r="X117">
        <v>30.15</v>
      </c>
      <c r="Y117" s="37">
        <v>264114</v>
      </c>
      <c r="Z117" s="37">
        <v>264114</v>
      </c>
      <c r="AA117" s="37">
        <v>264837.59999999998</v>
      </c>
      <c r="AB117" s="73">
        <v>13.2</v>
      </c>
      <c r="AC117" s="73">
        <v>13.702999999999999</v>
      </c>
      <c r="AD117" s="73">
        <v>14.170999999999999</v>
      </c>
      <c r="AE117" s="73">
        <v>13.2</v>
      </c>
      <c r="AF117" s="73">
        <v>13.702999999999999</v>
      </c>
      <c r="AG117" s="73">
        <v>14.170999999999999</v>
      </c>
      <c r="AH117" s="73">
        <v>0</v>
      </c>
      <c r="AI117" s="73">
        <v>0</v>
      </c>
      <c r="AJ117" s="73">
        <v>0</v>
      </c>
      <c r="AK117">
        <v>0</v>
      </c>
      <c r="AL117">
        <v>0</v>
      </c>
      <c r="AM117">
        <v>0</v>
      </c>
      <c r="AN117" s="73">
        <v>13.2</v>
      </c>
      <c r="AO117" s="73">
        <v>13.702999999999999</v>
      </c>
      <c r="AP117" s="73">
        <v>14.170999999999999</v>
      </c>
      <c r="AQ117" s="74">
        <v>4.2408000000000003E-3</v>
      </c>
      <c r="AR117" s="74">
        <v>4.2408000000000003E-3</v>
      </c>
      <c r="AS117" s="74">
        <v>4.2408000000000003E-3</v>
      </c>
      <c r="AT117" s="74">
        <v>0</v>
      </c>
      <c r="AU117" s="74">
        <v>4.2408000000000003E-3</v>
      </c>
      <c r="AV117" s="74">
        <v>4.2408000000000003E-3</v>
      </c>
      <c r="AW117" s="74">
        <v>4.2408000000000003E-3</v>
      </c>
      <c r="AX117" s="74">
        <v>4.2408000000000003E-3</v>
      </c>
      <c r="AY117" s="74">
        <v>0.69550606970242224</v>
      </c>
      <c r="AZ117" s="74">
        <v>0.68752851849588403</v>
      </c>
      <c r="BA117" s="74">
        <v>0.68026867899190013</v>
      </c>
      <c r="BB117" s="74">
        <v>1.4378109452736318</v>
      </c>
      <c r="BC117" s="74">
        <v>1.4544941956882256</v>
      </c>
      <c r="BD117" s="74">
        <v>1.4700165837479271</v>
      </c>
      <c r="BE117" s="74">
        <v>4.3134328358208962E-2</v>
      </c>
      <c r="BF117" s="74">
        <v>4.3634825870646772E-2</v>
      </c>
      <c r="BG117" s="74">
        <v>4.4100497512437817E-2</v>
      </c>
    </row>
    <row r="118" spans="1:59">
      <c r="A118">
        <v>10406</v>
      </c>
      <c r="B118" t="s">
        <v>123</v>
      </c>
      <c r="C118">
        <v>1</v>
      </c>
      <c r="D118">
        <v>0</v>
      </c>
      <c r="E118" s="73">
        <v>0.46500000000000002</v>
      </c>
      <c r="F118" s="73">
        <v>0.77900000000000003</v>
      </c>
      <c r="G118" s="73">
        <v>0.79600000000000004</v>
      </c>
      <c r="H118" s="73">
        <v>0.80100000000000005</v>
      </c>
      <c r="I118" s="73">
        <v>0</v>
      </c>
      <c r="J118" s="73">
        <v>0</v>
      </c>
      <c r="K118" s="73">
        <v>0</v>
      </c>
      <c r="L118" s="73">
        <v>0</v>
      </c>
      <c r="M118" s="73">
        <v>0</v>
      </c>
      <c r="N118" s="73">
        <v>0</v>
      </c>
      <c r="O118" s="37">
        <v>0</v>
      </c>
      <c r="P118" s="37">
        <v>0</v>
      </c>
      <c r="Q118" s="37">
        <v>0</v>
      </c>
      <c r="R118" s="73">
        <v>0.77900000000000003</v>
      </c>
      <c r="S118" s="73">
        <v>0.79600000000000004</v>
      </c>
      <c r="T118" s="73">
        <v>0.80100000000000005</v>
      </c>
      <c r="U118" s="37">
        <v>6824.04</v>
      </c>
      <c r="V118" s="37">
        <v>6972.96</v>
      </c>
      <c r="W118" s="37">
        <v>7035.9840000000004</v>
      </c>
      <c r="X118">
        <v>0.46100000000000002</v>
      </c>
      <c r="Y118" s="37">
        <v>4038.36</v>
      </c>
      <c r="Z118" s="37">
        <v>4038.36</v>
      </c>
      <c r="AA118" s="37">
        <v>4049.424</v>
      </c>
      <c r="AB118" s="73">
        <v>0.318</v>
      </c>
      <c r="AC118" s="73">
        <v>0.33500000000000002</v>
      </c>
      <c r="AD118" s="73">
        <v>0.34</v>
      </c>
      <c r="AE118" s="73">
        <v>0</v>
      </c>
      <c r="AF118" s="73">
        <v>0</v>
      </c>
      <c r="AG118" s="73">
        <v>0</v>
      </c>
      <c r="AH118" s="73">
        <v>0.318</v>
      </c>
      <c r="AI118" s="73">
        <v>0.33500000000000002</v>
      </c>
      <c r="AJ118" s="73">
        <v>0.34</v>
      </c>
      <c r="AK118">
        <v>0</v>
      </c>
      <c r="AL118">
        <v>0</v>
      </c>
      <c r="AM118">
        <v>0</v>
      </c>
      <c r="AN118" s="73">
        <v>0</v>
      </c>
      <c r="AO118" s="73">
        <v>0</v>
      </c>
      <c r="AP118" s="73">
        <v>0</v>
      </c>
      <c r="AQ118" s="74">
        <v>6.4800000000000003E-5</v>
      </c>
      <c r="AR118" s="74">
        <v>6.4800000000000003E-5</v>
      </c>
      <c r="AS118" s="74">
        <v>6.4800000000000003E-5</v>
      </c>
      <c r="AT118" s="74">
        <v>0</v>
      </c>
      <c r="AU118" s="74">
        <v>6.4800000000000003E-5</v>
      </c>
      <c r="AV118" s="74">
        <v>6.4800000000000003E-5</v>
      </c>
      <c r="AW118" s="74">
        <v>6.4800000000000003E-5</v>
      </c>
      <c r="AX118" s="74">
        <v>6.4800000000000003E-5</v>
      </c>
      <c r="AY118" s="74">
        <v>0.59139790706033379</v>
      </c>
      <c r="AZ118" s="74">
        <v>0.57876754974874378</v>
      </c>
      <c r="BA118" s="74">
        <v>0.5751547685393259</v>
      </c>
      <c r="BB118" s="74">
        <v>1.6898047722342733</v>
      </c>
      <c r="BC118" s="74">
        <v>1.7266811279826464</v>
      </c>
      <c r="BD118" s="74">
        <v>1.737527114967462</v>
      </c>
      <c r="BE118" s="74">
        <v>0</v>
      </c>
      <c r="BF118" s="74">
        <v>0</v>
      </c>
      <c r="BG118" s="74">
        <v>0</v>
      </c>
    </row>
    <row r="119" spans="1:59">
      <c r="A119">
        <v>10408</v>
      </c>
      <c r="B119" t="s">
        <v>124</v>
      </c>
      <c r="C119">
        <v>1</v>
      </c>
      <c r="D119">
        <v>0</v>
      </c>
      <c r="E119" s="73">
        <v>1.55</v>
      </c>
      <c r="F119" s="73">
        <v>1.796</v>
      </c>
      <c r="G119" s="73">
        <v>1.796</v>
      </c>
      <c r="H119" s="73">
        <v>1.796</v>
      </c>
      <c r="I119" s="73">
        <v>0</v>
      </c>
      <c r="J119" s="73">
        <v>0</v>
      </c>
      <c r="K119" s="73">
        <v>0</v>
      </c>
      <c r="L119" s="73">
        <v>0</v>
      </c>
      <c r="M119" s="73">
        <v>0</v>
      </c>
      <c r="N119" s="73">
        <v>0</v>
      </c>
      <c r="O119" s="37">
        <v>0</v>
      </c>
      <c r="P119" s="37">
        <v>0</v>
      </c>
      <c r="Q119" s="37">
        <v>0</v>
      </c>
      <c r="R119" s="73">
        <v>1.796</v>
      </c>
      <c r="S119" s="73">
        <v>1.796</v>
      </c>
      <c r="T119" s="73">
        <v>1.796</v>
      </c>
      <c r="U119" s="37">
        <v>15732.960000000001</v>
      </c>
      <c r="V119" s="37">
        <v>15732.960000000001</v>
      </c>
      <c r="W119" s="37">
        <v>15776.064</v>
      </c>
      <c r="X119">
        <v>1.536</v>
      </c>
      <c r="Y119" s="37">
        <v>13455.36</v>
      </c>
      <c r="Z119" s="37">
        <v>13455.36</v>
      </c>
      <c r="AA119" s="37">
        <v>13492.224</v>
      </c>
      <c r="AB119" s="73">
        <v>0.26</v>
      </c>
      <c r="AC119" s="73">
        <v>0.26</v>
      </c>
      <c r="AD119" s="73">
        <v>0.26</v>
      </c>
      <c r="AE119" s="73">
        <v>0</v>
      </c>
      <c r="AF119" s="73">
        <v>0</v>
      </c>
      <c r="AG119" s="73">
        <v>0</v>
      </c>
      <c r="AH119" s="73">
        <v>0.26</v>
      </c>
      <c r="AI119" s="73">
        <v>0.26</v>
      </c>
      <c r="AJ119" s="73">
        <v>0.26</v>
      </c>
      <c r="AK119">
        <v>0</v>
      </c>
      <c r="AL119">
        <v>0</v>
      </c>
      <c r="AM119">
        <v>0</v>
      </c>
      <c r="AN119" s="73">
        <v>0</v>
      </c>
      <c r="AO119" s="73">
        <v>0</v>
      </c>
      <c r="AP119" s="73">
        <v>0</v>
      </c>
      <c r="AQ119" s="74">
        <v>2.1599999999999999E-4</v>
      </c>
      <c r="AR119" s="74">
        <v>2.1599999999999999E-4</v>
      </c>
      <c r="AS119" s="74">
        <v>2.1599999999999999E-4</v>
      </c>
      <c r="AT119" s="74">
        <v>0</v>
      </c>
      <c r="AU119" s="74">
        <v>2.1599999999999999E-4</v>
      </c>
      <c r="AV119" s="74">
        <v>2.1599999999999999E-4</v>
      </c>
      <c r="AW119" s="74">
        <v>2.1599999999999999E-4</v>
      </c>
      <c r="AX119" s="74">
        <v>2.1599999999999996E-4</v>
      </c>
      <c r="AY119" s="74">
        <v>0.85504634298440985</v>
      </c>
      <c r="AZ119" s="74">
        <v>0.85504634298440985</v>
      </c>
      <c r="BA119" s="74">
        <v>0.85504634298440985</v>
      </c>
      <c r="BB119" s="74">
        <v>1.1692708333333333</v>
      </c>
      <c r="BC119" s="74">
        <v>1.1692708333333333</v>
      </c>
      <c r="BD119" s="74">
        <v>1.1692708333333333</v>
      </c>
      <c r="BE119" s="74">
        <v>0</v>
      </c>
      <c r="BF119" s="74">
        <v>0</v>
      </c>
      <c r="BG119" s="74">
        <v>0</v>
      </c>
    </row>
    <row r="120" spans="1:59">
      <c r="A120">
        <v>10409</v>
      </c>
      <c r="B120" t="s">
        <v>125</v>
      </c>
      <c r="C120">
        <v>1</v>
      </c>
      <c r="D120">
        <v>0</v>
      </c>
      <c r="E120" s="73">
        <v>20.725999999999999</v>
      </c>
      <c r="F120" s="73">
        <v>26.782</v>
      </c>
      <c r="G120" s="80">
        <v>26.782</v>
      </c>
      <c r="H120" s="80">
        <v>26.786000000000001</v>
      </c>
      <c r="I120" s="73">
        <v>0</v>
      </c>
      <c r="J120" s="73">
        <v>0</v>
      </c>
      <c r="K120" s="73">
        <v>0</v>
      </c>
      <c r="L120" s="73">
        <v>0</v>
      </c>
      <c r="M120" s="73">
        <v>0</v>
      </c>
      <c r="N120" s="73">
        <v>0</v>
      </c>
      <c r="O120" s="37">
        <v>0</v>
      </c>
      <c r="P120" s="37">
        <v>0</v>
      </c>
      <c r="Q120" s="37">
        <v>0</v>
      </c>
      <c r="R120" s="73">
        <v>26.782</v>
      </c>
      <c r="S120" s="73">
        <v>26.782</v>
      </c>
      <c r="T120" s="73">
        <v>26.786000000000001</v>
      </c>
      <c r="U120" s="37">
        <v>234610.32</v>
      </c>
      <c r="V120" s="37">
        <v>234610.32</v>
      </c>
      <c r="W120" s="37">
        <v>235288.22400000002</v>
      </c>
      <c r="X120">
        <v>20.539000000000001</v>
      </c>
      <c r="Y120" s="37">
        <v>179921.64</v>
      </c>
      <c r="Z120" s="37">
        <v>179921.64</v>
      </c>
      <c r="AA120" s="37">
        <v>180414.576</v>
      </c>
      <c r="AB120" s="73">
        <v>6.2430000000000003</v>
      </c>
      <c r="AC120" s="73">
        <v>6.2430000000000003</v>
      </c>
      <c r="AD120" s="73">
        <v>6.2469999999999999</v>
      </c>
      <c r="AE120" s="73">
        <v>6.2430000000000003</v>
      </c>
      <c r="AF120" s="73">
        <v>6.2430000000000003</v>
      </c>
      <c r="AG120" s="73">
        <v>6.2469999999999999</v>
      </c>
      <c r="AH120" s="73">
        <v>0</v>
      </c>
      <c r="AI120" s="73">
        <v>0</v>
      </c>
      <c r="AJ120" s="73">
        <v>0</v>
      </c>
      <c r="AK120">
        <v>0</v>
      </c>
      <c r="AL120">
        <v>0</v>
      </c>
      <c r="AM120">
        <v>0</v>
      </c>
      <c r="AN120" s="73">
        <v>6.2430000000000003</v>
      </c>
      <c r="AO120" s="73">
        <v>6.2430000000000003</v>
      </c>
      <c r="AP120" s="73">
        <v>6.2469999999999999</v>
      </c>
      <c r="AQ120" s="74">
        <v>2.8888999999999998E-3</v>
      </c>
      <c r="AR120" s="74">
        <v>2.8888999999999998E-3</v>
      </c>
      <c r="AS120" s="74">
        <v>2.8888999999999998E-3</v>
      </c>
      <c r="AT120" s="74">
        <v>0</v>
      </c>
      <c r="AU120" s="74">
        <v>2.8888999999999998E-3</v>
      </c>
      <c r="AV120" s="74">
        <v>2.8888999999999998E-3</v>
      </c>
      <c r="AW120" s="74">
        <v>2.8888999999999998E-3</v>
      </c>
      <c r="AX120" s="74">
        <v>2.8888999999999998E-3</v>
      </c>
      <c r="AY120" s="74">
        <v>0.76688763993727127</v>
      </c>
      <c r="AZ120" s="74">
        <v>0.76688763993727127</v>
      </c>
      <c r="BA120" s="74">
        <v>0.76677311927126102</v>
      </c>
      <c r="BB120" s="74">
        <v>1.3039583231900287</v>
      </c>
      <c r="BC120" s="74">
        <v>1.3039583231900287</v>
      </c>
      <c r="BD120" s="74">
        <v>1.3041530746384926</v>
      </c>
      <c r="BE120" s="74">
        <v>0</v>
      </c>
      <c r="BF120" s="74">
        <v>0</v>
      </c>
      <c r="BG120" s="74">
        <v>0</v>
      </c>
    </row>
    <row r="121" spans="1:59">
      <c r="A121">
        <v>10426</v>
      </c>
      <c r="B121" t="s">
        <v>126</v>
      </c>
      <c r="C121">
        <v>1</v>
      </c>
      <c r="D121">
        <v>0</v>
      </c>
      <c r="E121" s="80">
        <v>42.61</v>
      </c>
      <c r="F121" s="80">
        <v>39.036000000000001</v>
      </c>
      <c r="G121" s="80">
        <v>41.387999999999998</v>
      </c>
      <c r="H121" s="80">
        <v>42.61</v>
      </c>
      <c r="I121" s="73">
        <v>0</v>
      </c>
      <c r="J121" s="73">
        <v>0</v>
      </c>
      <c r="K121" s="73">
        <v>0</v>
      </c>
      <c r="L121" s="73">
        <v>0</v>
      </c>
      <c r="M121" s="73">
        <v>0</v>
      </c>
      <c r="N121" s="73">
        <v>0</v>
      </c>
      <c r="O121" s="37">
        <v>0</v>
      </c>
      <c r="P121" s="37">
        <v>0</v>
      </c>
      <c r="Q121" s="37">
        <v>0</v>
      </c>
      <c r="R121" s="73">
        <v>39.036000000000001</v>
      </c>
      <c r="S121" s="73">
        <v>41.387999999999998</v>
      </c>
      <c r="T121" s="73">
        <v>42.61</v>
      </c>
      <c r="U121" s="37">
        <v>341955.36</v>
      </c>
      <c r="V121" s="37">
        <v>362558.88</v>
      </c>
      <c r="W121" s="37">
        <v>374286.24</v>
      </c>
      <c r="X121">
        <v>42.225999999999999</v>
      </c>
      <c r="Y121" s="37">
        <v>369899.76</v>
      </c>
      <c r="Z121" s="37">
        <v>369899.76</v>
      </c>
      <c r="AA121" s="37">
        <v>370913.18400000001</v>
      </c>
      <c r="AB121" s="73">
        <v>0</v>
      </c>
      <c r="AC121" s="73">
        <v>0</v>
      </c>
      <c r="AD121" s="73">
        <v>0.38400000000000001</v>
      </c>
      <c r="AE121" s="73">
        <v>0</v>
      </c>
      <c r="AF121" s="73">
        <v>0</v>
      </c>
      <c r="AG121" s="73">
        <v>0</v>
      </c>
      <c r="AH121" s="73">
        <v>0</v>
      </c>
      <c r="AI121" s="73">
        <v>0</v>
      </c>
      <c r="AJ121" s="73">
        <v>0.38400000000000001</v>
      </c>
      <c r="AK121">
        <v>0</v>
      </c>
      <c r="AL121">
        <v>0</v>
      </c>
      <c r="AM121">
        <v>0</v>
      </c>
      <c r="AN121" s="73">
        <v>0</v>
      </c>
      <c r="AO121" s="73">
        <v>0</v>
      </c>
      <c r="AP121" s="73">
        <v>0</v>
      </c>
      <c r="AQ121" s="74">
        <v>5.4906E-3</v>
      </c>
      <c r="AR121" s="74">
        <v>5.8215000000000003E-3</v>
      </c>
      <c r="AS121" s="74">
        <v>5.9392999999999998E-3</v>
      </c>
      <c r="AT121" s="74">
        <v>0</v>
      </c>
      <c r="AU121" s="74">
        <v>5.4906E-3</v>
      </c>
      <c r="AV121" s="74">
        <v>5.8215000000000003E-3</v>
      </c>
      <c r="AW121" s="74">
        <v>5.9392999999999998E-3</v>
      </c>
      <c r="AX121" s="74">
        <v>5.7504666666666664E-3</v>
      </c>
      <c r="AY121" s="74">
        <v>0.99999247390101442</v>
      </c>
      <c r="AZ121" s="74">
        <v>1</v>
      </c>
      <c r="BA121" s="74">
        <v>0.9909824499788783</v>
      </c>
      <c r="BB121" s="74">
        <v>1</v>
      </c>
      <c r="BC121" s="74">
        <v>1</v>
      </c>
      <c r="BD121" s="74">
        <v>1.0090939231752949</v>
      </c>
      <c r="BE121" s="74">
        <v>0</v>
      </c>
      <c r="BF121" s="74">
        <v>0</v>
      </c>
      <c r="BG121" s="74">
        <v>0</v>
      </c>
    </row>
    <row r="122" spans="1:59">
      <c r="A122">
        <v>10434</v>
      </c>
      <c r="B122" t="s">
        <v>127</v>
      </c>
      <c r="C122">
        <v>1</v>
      </c>
      <c r="D122">
        <v>0</v>
      </c>
      <c r="E122" s="80">
        <v>27.562000000000001</v>
      </c>
      <c r="F122" s="80">
        <v>29.428000000000001</v>
      </c>
      <c r="G122" s="80">
        <v>29.643000000000001</v>
      </c>
      <c r="H122" s="80">
        <v>29.846</v>
      </c>
      <c r="I122" s="73">
        <v>0</v>
      </c>
      <c r="J122" s="73">
        <v>0</v>
      </c>
      <c r="K122" s="73">
        <v>0</v>
      </c>
      <c r="L122" s="73">
        <v>0</v>
      </c>
      <c r="M122" s="73">
        <v>0</v>
      </c>
      <c r="N122" s="73">
        <v>0</v>
      </c>
      <c r="O122" s="37">
        <v>0</v>
      </c>
      <c r="P122" s="37">
        <v>0</v>
      </c>
      <c r="Q122" s="37">
        <v>0</v>
      </c>
      <c r="R122" s="73">
        <v>29.428000000000001</v>
      </c>
      <c r="S122" s="73">
        <v>29.643000000000001</v>
      </c>
      <c r="T122" s="73">
        <v>29.846</v>
      </c>
      <c r="U122" s="37">
        <v>257789.28</v>
      </c>
      <c r="V122" s="37">
        <v>259672.68</v>
      </c>
      <c r="W122" s="37">
        <v>262167.26400000002</v>
      </c>
      <c r="X122">
        <v>27.312999999999999</v>
      </c>
      <c r="Y122" s="37">
        <v>239261.87999999998</v>
      </c>
      <c r="Z122" s="37">
        <v>239261.87999999998</v>
      </c>
      <c r="AA122" s="37">
        <v>239917.39199999999</v>
      </c>
      <c r="AB122" s="73">
        <v>2.1150000000000002</v>
      </c>
      <c r="AC122" s="73">
        <v>2.33</v>
      </c>
      <c r="AD122" s="73">
        <v>2.5329999999999999</v>
      </c>
      <c r="AE122" s="73">
        <v>2.1150000000000002</v>
      </c>
      <c r="AF122" s="73">
        <v>2.33</v>
      </c>
      <c r="AG122" s="73">
        <v>2.5329999999999999</v>
      </c>
      <c r="AH122" s="73">
        <v>0</v>
      </c>
      <c r="AI122" s="73">
        <v>0</v>
      </c>
      <c r="AJ122" s="73">
        <v>0</v>
      </c>
      <c r="AK122">
        <v>0</v>
      </c>
      <c r="AL122">
        <v>0</v>
      </c>
      <c r="AM122">
        <v>0</v>
      </c>
      <c r="AN122" s="73">
        <v>2.1150000000000002</v>
      </c>
      <c r="AO122" s="73">
        <v>2.33</v>
      </c>
      <c r="AP122" s="73">
        <v>2.5329999999999999</v>
      </c>
      <c r="AQ122" s="74">
        <v>3.8417E-3</v>
      </c>
      <c r="AR122" s="74">
        <v>3.8417E-3</v>
      </c>
      <c r="AS122" s="74">
        <v>3.8417E-3</v>
      </c>
      <c r="AT122" s="74">
        <v>0</v>
      </c>
      <c r="AU122" s="74">
        <v>3.8417E-3</v>
      </c>
      <c r="AV122" s="74">
        <v>3.8417E-3</v>
      </c>
      <c r="AW122" s="74">
        <v>3.8417E-3</v>
      </c>
      <c r="AX122" s="74">
        <v>3.8417E-3</v>
      </c>
      <c r="AY122" s="74">
        <v>0.92812171803724353</v>
      </c>
      <c r="AZ122" s="74">
        <v>0.92139007247579541</v>
      </c>
      <c r="BA122" s="74">
        <v>0.91512316284929318</v>
      </c>
      <c r="BB122" s="74">
        <v>1.0774356533518838</v>
      </c>
      <c r="BC122" s="74">
        <v>1.0853073627942738</v>
      </c>
      <c r="BD122" s="74">
        <v>1.0927397210119725</v>
      </c>
      <c r="BE122" s="74">
        <v>0</v>
      </c>
      <c r="BF122" s="74">
        <v>0</v>
      </c>
      <c r="BG122" s="74">
        <v>0</v>
      </c>
    </row>
    <row r="123" spans="1:59">
      <c r="A123">
        <v>10436</v>
      </c>
      <c r="B123" t="s">
        <v>128</v>
      </c>
      <c r="C123">
        <v>1</v>
      </c>
      <c r="D123">
        <v>0</v>
      </c>
      <c r="E123" s="80">
        <v>19.437999999999999</v>
      </c>
      <c r="F123" s="80">
        <v>25.757999999999999</v>
      </c>
      <c r="G123" s="80">
        <v>26.239000000000001</v>
      </c>
      <c r="H123" s="80">
        <v>26.678999999999998</v>
      </c>
      <c r="I123" s="73">
        <v>0</v>
      </c>
      <c r="J123" s="73">
        <v>0</v>
      </c>
      <c r="K123" s="73">
        <v>0</v>
      </c>
      <c r="L123" s="73">
        <v>0</v>
      </c>
      <c r="M123" s="73">
        <v>0</v>
      </c>
      <c r="N123" s="73">
        <v>0</v>
      </c>
      <c r="O123" s="37">
        <v>0</v>
      </c>
      <c r="P123" s="37">
        <v>0</v>
      </c>
      <c r="Q123" s="37">
        <v>0</v>
      </c>
      <c r="R123" s="73">
        <v>25.757999999999999</v>
      </c>
      <c r="S123" s="73">
        <v>26.239000000000001</v>
      </c>
      <c r="T123" s="73">
        <v>26.678999999999998</v>
      </c>
      <c r="U123" s="37">
        <v>225640.08</v>
      </c>
      <c r="V123" s="37">
        <v>229853.64</v>
      </c>
      <c r="W123" s="37">
        <v>234348.33599999998</v>
      </c>
      <c r="X123">
        <v>19.263000000000002</v>
      </c>
      <c r="Y123" s="37">
        <v>168743.88</v>
      </c>
      <c r="Z123" s="37">
        <v>168743.88</v>
      </c>
      <c r="AA123" s="37">
        <v>169206.19200000001</v>
      </c>
      <c r="AB123" s="73">
        <v>6.4950000000000001</v>
      </c>
      <c r="AC123" s="73">
        <v>6.976</v>
      </c>
      <c r="AD123" s="73">
        <v>7.4160000000000004</v>
      </c>
      <c r="AE123" s="73">
        <v>6.4950000000000001</v>
      </c>
      <c r="AF123" s="73">
        <v>6.976</v>
      </c>
      <c r="AG123" s="73">
        <v>7.4160000000000004</v>
      </c>
      <c r="AH123" s="73">
        <v>0</v>
      </c>
      <c r="AI123" s="73">
        <v>0</v>
      </c>
      <c r="AJ123" s="73">
        <v>0</v>
      </c>
      <c r="AK123">
        <v>0</v>
      </c>
      <c r="AL123">
        <v>0</v>
      </c>
      <c r="AM123">
        <v>0</v>
      </c>
      <c r="AN123" s="73">
        <v>6.4950000000000001</v>
      </c>
      <c r="AO123" s="73">
        <v>6.976</v>
      </c>
      <c r="AP123" s="73">
        <v>7.4160000000000004</v>
      </c>
      <c r="AQ123" s="74">
        <v>2.7095000000000001E-3</v>
      </c>
      <c r="AR123" s="74">
        <v>2.7095000000000001E-3</v>
      </c>
      <c r="AS123" s="74">
        <v>2.7095000000000001E-3</v>
      </c>
      <c r="AT123" s="74">
        <v>0</v>
      </c>
      <c r="AU123" s="74">
        <v>2.7095000000000001E-3</v>
      </c>
      <c r="AV123" s="74">
        <v>2.7095000000000001E-3</v>
      </c>
      <c r="AW123" s="74">
        <v>2.7095000000000001E-3</v>
      </c>
      <c r="AX123" s="74">
        <v>2.7095000000000001E-3</v>
      </c>
      <c r="AY123" s="74">
        <v>0.74785818557341421</v>
      </c>
      <c r="AZ123" s="74">
        <v>0.73414882975723161</v>
      </c>
      <c r="BA123" s="74">
        <v>0.72204097394954847</v>
      </c>
      <c r="BB123" s="74">
        <v>1.3371748948761872</v>
      </c>
      <c r="BC123" s="74">
        <v>1.3621450449047396</v>
      </c>
      <c r="BD123" s="74">
        <v>1.384986762186575</v>
      </c>
      <c r="BE123" s="74">
        <v>9.3602242641333114E-2</v>
      </c>
      <c r="BF123" s="74">
        <v>9.5350153143331784E-2</v>
      </c>
      <c r="BG123" s="74">
        <v>9.6949073353060258E-2</v>
      </c>
    </row>
    <row r="124" spans="1:59">
      <c r="A124">
        <v>10440</v>
      </c>
      <c r="B124" t="s">
        <v>129</v>
      </c>
      <c r="C124">
        <v>1</v>
      </c>
      <c r="D124">
        <v>0</v>
      </c>
      <c r="E124" s="80">
        <v>5.08</v>
      </c>
      <c r="F124" s="80">
        <v>5.4980000000000002</v>
      </c>
      <c r="G124" s="80">
        <v>5.508</v>
      </c>
      <c r="H124" s="80">
        <v>5.5</v>
      </c>
      <c r="I124" s="73">
        <v>0</v>
      </c>
      <c r="J124" s="73">
        <v>0</v>
      </c>
      <c r="K124" s="73">
        <v>0</v>
      </c>
      <c r="L124" s="73">
        <v>0</v>
      </c>
      <c r="M124" s="73">
        <v>0</v>
      </c>
      <c r="N124" s="73">
        <v>0</v>
      </c>
      <c r="O124" s="37">
        <v>0</v>
      </c>
      <c r="P124" s="37">
        <v>0</v>
      </c>
      <c r="Q124" s="37">
        <v>0</v>
      </c>
      <c r="R124" s="73">
        <v>5.4980000000000002</v>
      </c>
      <c r="S124" s="73">
        <v>5.508</v>
      </c>
      <c r="T124" s="73">
        <v>5.5</v>
      </c>
      <c r="U124" s="37">
        <v>48162.48</v>
      </c>
      <c r="V124" s="37">
        <v>48250.080000000002</v>
      </c>
      <c r="W124" s="37">
        <v>48312</v>
      </c>
      <c r="X124">
        <v>5.0339999999999998</v>
      </c>
      <c r="Y124" s="37">
        <v>44097.84</v>
      </c>
      <c r="Z124" s="37">
        <v>44097.84</v>
      </c>
      <c r="AA124" s="37">
        <v>44218.655999999995</v>
      </c>
      <c r="AB124" s="73">
        <v>0.46400000000000002</v>
      </c>
      <c r="AC124" s="73">
        <v>0.47399999999999998</v>
      </c>
      <c r="AD124" s="73">
        <v>0.46600000000000003</v>
      </c>
      <c r="AE124" s="73">
        <v>0</v>
      </c>
      <c r="AF124" s="73">
        <v>0</v>
      </c>
      <c r="AG124" s="73">
        <v>0</v>
      </c>
      <c r="AH124" s="73">
        <v>0.46400000000000002</v>
      </c>
      <c r="AI124" s="73">
        <v>0.47399999999999998</v>
      </c>
      <c r="AJ124" s="73">
        <v>0.46600000000000003</v>
      </c>
      <c r="AK124">
        <v>0</v>
      </c>
      <c r="AL124">
        <v>0</v>
      </c>
      <c r="AM124">
        <v>0</v>
      </c>
      <c r="AN124" s="73">
        <v>0</v>
      </c>
      <c r="AO124" s="73">
        <v>0</v>
      </c>
      <c r="AP124" s="73">
        <v>0</v>
      </c>
      <c r="AQ124" s="74">
        <v>7.0810000000000003E-4</v>
      </c>
      <c r="AR124" s="74">
        <v>7.0810000000000003E-4</v>
      </c>
      <c r="AS124" s="74">
        <v>7.0810000000000003E-4</v>
      </c>
      <c r="AT124" s="74">
        <v>0</v>
      </c>
      <c r="AU124" s="74">
        <v>7.0810000000000003E-4</v>
      </c>
      <c r="AV124" s="74">
        <v>7.0810000000000003E-4</v>
      </c>
      <c r="AW124" s="74">
        <v>7.0810000000000003E-4</v>
      </c>
      <c r="AX124" s="74">
        <v>7.0810000000000003E-4</v>
      </c>
      <c r="AY124" s="74">
        <v>0.91565546947981091</v>
      </c>
      <c r="AZ124" s="74">
        <v>0.91399305940450259</v>
      </c>
      <c r="BA124" s="74">
        <v>0.9153225038545455</v>
      </c>
      <c r="BB124" s="74">
        <v>1.0921732220897895</v>
      </c>
      <c r="BC124" s="74">
        <v>1.0941597139451729</v>
      </c>
      <c r="BD124" s="74">
        <v>1.0925705204608662</v>
      </c>
      <c r="BE124" s="74">
        <v>6.0069527214938426E-2</v>
      </c>
      <c r="BF124" s="74">
        <v>6.017878426698451E-2</v>
      </c>
      <c r="BG124" s="74">
        <v>6.0091378625347643E-2</v>
      </c>
    </row>
    <row r="125" spans="1:59">
      <c r="A125">
        <v>10442</v>
      </c>
      <c r="B125" t="s">
        <v>130</v>
      </c>
      <c r="C125">
        <v>1</v>
      </c>
      <c r="D125">
        <v>0</v>
      </c>
      <c r="E125" s="80">
        <v>13.596</v>
      </c>
      <c r="F125" s="80">
        <v>13.118</v>
      </c>
      <c r="G125" s="80">
        <v>13.132</v>
      </c>
      <c r="H125" s="80">
        <v>13.145</v>
      </c>
      <c r="I125" s="73">
        <v>0</v>
      </c>
      <c r="J125" s="73">
        <v>0</v>
      </c>
      <c r="K125" s="73">
        <v>0</v>
      </c>
      <c r="L125" s="73">
        <v>0</v>
      </c>
      <c r="M125" s="73">
        <v>0</v>
      </c>
      <c r="N125" s="73">
        <v>0</v>
      </c>
      <c r="O125" s="37">
        <v>0</v>
      </c>
      <c r="P125" s="37">
        <v>0</v>
      </c>
      <c r="Q125" s="37">
        <v>0</v>
      </c>
      <c r="R125" s="73">
        <v>13.118</v>
      </c>
      <c r="S125" s="73">
        <v>13.132</v>
      </c>
      <c r="T125" s="73">
        <v>13.145</v>
      </c>
      <c r="U125" s="37">
        <v>114913.68000000001</v>
      </c>
      <c r="V125" s="37">
        <v>115036.31999999999</v>
      </c>
      <c r="W125" s="37">
        <v>115465.68</v>
      </c>
      <c r="X125">
        <v>13.473000000000001</v>
      </c>
      <c r="Y125" s="37">
        <v>118023.48000000001</v>
      </c>
      <c r="Z125" s="37">
        <v>118023.48000000001</v>
      </c>
      <c r="AA125" s="37">
        <v>118346.83200000001</v>
      </c>
      <c r="AB125" s="73">
        <v>0</v>
      </c>
      <c r="AC125" s="73">
        <v>0</v>
      </c>
      <c r="AD125" s="73">
        <v>0</v>
      </c>
      <c r="AE125" s="73">
        <v>0</v>
      </c>
      <c r="AF125" s="73">
        <v>0</v>
      </c>
      <c r="AG125" s="73">
        <v>0</v>
      </c>
      <c r="AH125" s="73">
        <v>0</v>
      </c>
      <c r="AI125" s="73">
        <v>0</v>
      </c>
      <c r="AJ125" s="73">
        <v>0</v>
      </c>
      <c r="AK125">
        <v>0</v>
      </c>
      <c r="AL125">
        <v>0</v>
      </c>
      <c r="AM125">
        <v>0</v>
      </c>
      <c r="AN125" s="73">
        <v>0</v>
      </c>
      <c r="AO125" s="73">
        <v>0</v>
      </c>
      <c r="AP125" s="73">
        <v>0</v>
      </c>
      <c r="AQ125" s="74">
        <v>1.8450999999999999E-3</v>
      </c>
      <c r="AR125" s="74">
        <v>1.8471E-3</v>
      </c>
      <c r="AS125" s="74">
        <v>1.8488999999999999E-3</v>
      </c>
      <c r="AT125" s="74">
        <v>0</v>
      </c>
      <c r="AU125" s="74">
        <v>1.8450999999999999E-3</v>
      </c>
      <c r="AV125" s="74">
        <v>1.8471E-3</v>
      </c>
      <c r="AW125" s="74">
        <v>1.8488999999999999E-3</v>
      </c>
      <c r="AX125" s="74">
        <v>1.847033333333333E-3</v>
      </c>
      <c r="AY125" s="74">
        <v>0.99998737575849983</v>
      </c>
      <c r="AZ125" s="74">
        <v>1</v>
      </c>
      <c r="BA125" s="74">
        <v>0.99998864152149114</v>
      </c>
      <c r="BB125" s="74">
        <v>1</v>
      </c>
      <c r="BC125" s="74">
        <v>1</v>
      </c>
      <c r="BD125" s="74">
        <v>1</v>
      </c>
      <c r="BE125" s="74">
        <v>7.0000000000000007E-2</v>
      </c>
      <c r="BF125" s="74">
        <v>7.0000000000000007E-2</v>
      </c>
      <c r="BG125" s="74">
        <v>7.0000000000000007E-2</v>
      </c>
    </row>
    <row r="126" spans="1:59">
      <c r="A126">
        <v>10446</v>
      </c>
      <c r="B126" t="s">
        <v>131</v>
      </c>
      <c r="C126">
        <v>1</v>
      </c>
      <c r="D126">
        <v>0</v>
      </c>
      <c r="E126" s="80">
        <v>97.2</v>
      </c>
      <c r="F126" s="80">
        <v>86.025000000000006</v>
      </c>
      <c r="G126" s="80">
        <v>90.8</v>
      </c>
      <c r="H126" s="80">
        <v>94.44</v>
      </c>
      <c r="I126" s="73">
        <v>0</v>
      </c>
      <c r="J126" s="73">
        <v>0</v>
      </c>
      <c r="K126" s="73">
        <v>0</v>
      </c>
      <c r="L126" s="73">
        <v>0</v>
      </c>
      <c r="M126" s="73">
        <v>0</v>
      </c>
      <c r="N126" s="73">
        <v>0</v>
      </c>
      <c r="O126" s="37">
        <v>0</v>
      </c>
      <c r="P126" s="37">
        <v>0</v>
      </c>
      <c r="Q126" s="37">
        <v>0</v>
      </c>
      <c r="R126" s="73">
        <v>86.025000000000006</v>
      </c>
      <c r="S126" s="73">
        <v>90.8</v>
      </c>
      <c r="T126" s="73">
        <v>94.44</v>
      </c>
      <c r="U126" s="37">
        <v>753579</v>
      </c>
      <c r="V126" s="37">
        <v>795408</v>
      </c>
      <c r="W126" s="37">
        <v>829560.96</v>
      </c>
      <c r="X126">
        <v>96.322999999999993</v>
      </c>
      <c r="Y126" s="37">
        <v>843789.48</v>
      </c>
      <c r="Z126" s="37">
        <v>843789.48</v>
      </c>
      <c r="AA126" s="37">
        <v>846101.23199999996</v>
      </c>
      <c r="AB126" s="73">
        <v>0</v>
      </c>
      <c r="AC126" s="73">
        <v>0</v>
      </c>
      <c r="AD126" s="73">
        <v>0</v>
      </c>
      <c r="AE126" s="73">
        <v>0</v>
      </c>
      <c r="AF126" s="73">
        <v>0</v>
      </c>
      <c r="AG126" s="73">
        <v>0</v>
      </c>
      <c r="AH126" s="73">
        <v>0</v>
      </c>
      <c r="AI126" s="73">
        <v>0</v>
      </c>
      <c r="AJ126" s="73">
        <v>0</v>
      </c>
      <c r="AK126">
        <v>0</v>
      </c>
      <c r="AL126">
        <v>0</v>
      </c>
      <c r="AM126">
        <v>0</v>
      </c>
      <c r="AN126" s="73">
        <v>0</v>
      </c>
      <c r="AO126" s="73">
        <v>0</v>
      </c>
      <c r="AP126" s="73">
        <v>0</v>
      </c>
      <c r="AQ126" s="74">
        <v>1.20999E-2</v>
      </c>
      <c r="AR126" s="74">
        <v>1.2771599999999999E-2</v>
      </c>
      <c r="AS126" s="74">
        <v>1.32835E-2</v>
      </c>
      <c r="AT126" s="74">
        <v>0</v>
      </c>
      <c r="AU126" s="74">
        <v>1.20999E-2</v>
      </c>
      <c r="AV126" s="74">
        <v>1.2771599999999999E-2</v>
      </c>
      <c r="AW126" s="74">
        <v>1.32835E-2</v>
      </c>
      <c r="AX126" s="74">
        <v>1.2718333333333331E-2</v>
      </c>
      <c r="AY126" s="74">
        <v>0.99999846840802087</v>
      </c>
      <c r="AZ126" s="74">
        <v>1</v>
      </c>
      <c r="BA126" s="74">
        <v>0.99999718331215603</v>
      </c>
      <c r="BB126" s="74">
        <v>1</v>
      </c>
      <c r="BC126" s="74">
        <v>1</v>
      </c>
      <c r="BD126" s="74">
        <v>1</v>
      </c>
      <c r="BE126" s="74">
        <v>6.5000000000000002E-2</v>
      </c>
      <c r="BF126" s="74">
        <v>6.5000000000000002E-2</v>
      </c>
      <c r="BG126" s="74">
        <v>6.5000000000000002E-2</v>
      </c>
    </row>
    <row r="127" spans="1:59">
      <c r="A127">
        <v>10448</v>
      </c>
      <c r="B127" t="s">
        <v>132</v>
      </c>
      <c r="C127">
        <v>0</v>
      </c>
      <c r="D127">
        <v>1</v>
      </c>
      <c r="E127" s="80">
        <v>8.6079999999999988</v>
      </c>
      <c r="F127" s="80">
        <v>9.1</v>
      </c>
      <c r="G127" s="80">
        <v>9.1539999999999999</v>
      </c>
      <c r="H127" s="80">
        <v>9.2070000000000007</v>
      </c>
      <c r="I127" s="73">
        <v>0</v>
      </c>
      <c r="J127" s="73">
        <v>0</v>
      </c>
      <c r="K127" s="73">
        <v>0</v>
      </c>
      <c r="L127" s="73">
        <v>0</v>
      </c>
      <c r="M127" s="73">
        <v>0</v>
      </c>
      <c r="N127" s="73">
        <v>0</v>
      </c>
      <c r="O127" s="37">
        <v>0</v>
      </c>
      <c r="P127" s="37">
        <v>0</v>
      </c>
      <c r="Q127" s="37">
        <v>0</v>
      </c>
      <c r="R127" s="73">
        <v>9.1</v>
      </c>
      <c r="S127" s="73">
        <v>9.1539999999999999</v>
      </c>
      <c r="T127" s="73">
        <v>9.2070000000000007</v>
      </c>
      <c r="U127" s="37">
        <v>79716</v>
      </c>
      <c r="V127" s="37">
        <v>80189.039999999994</v>
      </c>
      <c r="W127" s="37">
        <v>80874.288</v>
      </c>
      <c r="X127">
        <v>8.5299999999999994</v>
      </c>
      <c r="Y127" s="37">
        <v>74722.799999999988</v>
      </c>
      <c r="Z127" s="37">
        <v>74722.799999999988</v>
      </c>
      <c r="AA127" s="37">
        <v>74927.51999999999</v>
      </c>
      <c r="AB127" s="73">
        <v>0.56999999999999995</v>
      </c>
      <c r="AC127" s="73">
        <v>0.624</v>
      </c>
      <c r="AD127" s="73">
        <v>0.67700000000000005</v>
      </c>
      <c r="AE127" s="73">
        <v>0.56999999999999995</v>
      </c>
      <c r="AF127" s="73">
        <v>0.624</v>
      </c>
      <c r="AG127" s="73">
        <v>0.67700000000000005</v>
      </c>
      <c r="AH127" s="73">
        <v>0</v>
      </c>
      <c r="AI127" s="73">
        <v>0</v>
      </c>
      <c r="AJ127" s="73">
        <v>0</v>
      </c>
      <c r="AK127">
        <v>0</v>
      </c>
      <c r="AL127">
        <v>0</v>
      </c>
      <c r="AM127">
        <v>0</v>
      </c>
      <c r="AN127" s="73">
        <v>0.56999999999999995</v>
      </c>
      <c r="AO127" s="73">
        <v>0.624</v>
      </c>
      <c r="AP127" s="73">
        <v>0.67700000000000005</v>
      </c>
      <c r="AQ127" s="74">
        <v>1.1998E-3</v>
      </c>
      <c r="AR127" s="74">
        <v>1.1998E-3</v>
      </c>
      <c r="AS127" s="74">
        <v>1.1998E-3</v>
      </c>
      <c r="AT127" s="74">
        <v>0</v>
      </c>
      <c r="AU127" s="74">
        <v>1.1998E-3</v>
      </c>
      <c r="AV127" s="74">
        <v>1.1998E-3</v>
      </c>
      <c r="AW127" s="74">
        <v>1.1998E-3</v>
      </c>
      <c r="AX127" s="74">
        <v>1.1998E-3</v>
      </c>
      <c r="AY127" s="74">
        <v>0.93736708676923097</v>
      </c>
      <c r="AZ127" s="74">
        <v>0.93183750159493128</v>
      </c>
      <c r="BA127" s="74">
        <v>0.92647338868252416</v>
      </c>
      <c r="BB127" s="74">
        <v>1.0668229777256741</v>
      </c>
      <c r="BC127" s="74">
        <v>1.0731535756154749</v>
      </c>
      <c r="BD127" s="74">
        <v>1.0793669402110202</v>
      </c>
      <c r="BE127" s="74">
        <v>7.4677608440797197E-2</v>
      </c>
      <c r="BF127" s="74">
        <v>7.5120750293083252E-2</v>
      </c>
      <c r="BG127" s="74">
        <v>7.5555685814771414E-2</v>
      </c>
    </row>
    <row r="128" spans="1:59">
      <c r="A128">
        <v>10451</v>
      </c>
      <c r="B128" t="s">
        <v>133</v>
      </c>
      <c r="C128">
        <v>1</v>
      </c>
      <c r="D128">
        <v>0</v>
      </c>
      <c r="E128" s="80">
        <v>27.233000000000001</v>
      </c>
      <c r="F128" s="80">
        <v>32.076000000000001</v>
      </c>
      <c r="G128" s="80">
        <v>31.957000000000001</v>
      </c>
      <c r="H128" s="80">
        <v>32.027999999999999</v>
      </c>
      <c r="I128" s="73">
        <v>0</v>
      </c>
      <c r="J128" s="73">
        <v>0</v>
      </c>
      <c r="K128" s="73">
        <v>0</v>
      </c>
      <c r="L128" s="73">
        <v>0</v>
      </c>
      <c r="M128" s="73">
        <v>0</v>
      </c>
      <c r="N128" s="73">
        <v>0</v>
      </c>
      <c r="O128" s="37">
        <v>0</v>
      </c>
      <c r="P128" s="37">
        <v>0</v>
      </c>
      <c r="Q128" s="37">
        <v>0</v>
      </c>
      <c r="R128" s="73">
        <v>32.076000000000001</v>
      </c>
      <c r="S128" s="73">
        <v>31.957000000000001</v>
      </c>
      <c r="T128" s="73">
        <v>32.027999999999999</v>
      </c>
      <c r="U128" s="37">
        <v>280985.76</v>
      </c>
      <c r="V128" s="37">
        <v>279943.32</v>
      </c>
      <c r="W128" s="37">
        <v>281333.95199999999</v>
      </c>
      <c r="X128">
        <v>26.986999999999998</v>
      </c>
      <c r="Y128" s="37">
        <v>236406.12</v>
      </c>
      <c r="Z128" s="37">
        <v>236406.12</v>
      </c>
      <c r="AA128" s="37">
        <v>237053.80799999999</v>
      </c>
      <c r="AB128" s="73">
        <v>5.0890000000000004</v>
      </c>
      <c r="AC128" s="73">
        <v>4.97</v>
      </c>
      <c r="AD128" s="73">
        <v>5.0410000000000004</v>
      </c>
      <c r="AE128" s="73">
        <v>5.0890000000000004</v>
      </c>
      <c r="AF128" s="73">
        <v>4.97</v>
      </c>
      <c r="AG128" s="73">
        <v>5.0410000000000004</v>
      </c>
      <c r="AH128" s="73">
        <v>0</v>
      </c>
      <c r="AI128" s="73">
        <v>0</v>
      </c>
      <c r="AJ128" s="73">
        <v>0</v>
      </c>
      <c r="AK128">
        <v>0</v>
      </c>
      <c r="AL128">
        <v>0</v>
      </c>
      <c r="AM128">
        <v>0</v>
      </c>
      <c r="AN128" s="73">
        <v>5.0890000000000004</v>
      </c>
      <c r="AO128" s="73">
        <v>4.97</v>
      </c>
      <c r="AP128" s="73">
        <v>5.0410000000000004</v>
      </c>
      <c r="AQ128" s="74">
        <v>3.7959000000000001E-3</v>
      </c>
      <c r="AR128" s="74">
        <v>3.7959000000000001E-3</v>
      </c>
      <c r="AS128" s="74">
        <v>3.7959000000000001E-3</v>
      </c>
      <c r="AT128" s="74">
        <v>0</v>
      </c>
      <c r="AU128" s="74">
        <v>3.7959000000000001E-3</v>
      </c>
      <c r="AV128" s="74">
        <v>3.7959000000000001E-3</v>
      </c>
      <c r="AW128" s="74">
        <v>3.7959000000000001E-3</v>
      </c>
      <c r="AX128" s="74">
        <v>3.7959000000000001E-3</v>
      </c>
      <c r="AY128" s="74">
        <v>0.8413501819678264</v>
      </c>
      <c r="AZ128" s="74">
        <v>0.84448316290014713</v>
      </c>
      <c r="BA128" s="74">
        <v>0.8426111039340578</v>
      </c>
      <c r="BB128" s="74">
        <v>1.1885722755400749</v>
      </c>
      <c r="BC128" s="74">
        <v>1.1841627450253827</v>
      </c>
      <c r="BD128" s="74">
        <v>1.1867936413828881</v>
      </c>
      <c r="BE128" s="74">
        <v>0</v>
      </c>
      <c r="BF128" s="74">
        <v>0</v>
      </c>
      <c r="BG128" s="74">
        <v>0</v>
      </c>
    </row>
    <row r="129" spans="1:69">
      <c r="A129">
        <v>10482</v>
      </c>
      <c r="B129" t="s">
        <v>134</v>
      </c>
      <c r="C129">
        <v>1</v>
      </c>
      <c r="D129">
        <v>0</v>
      </c>
      <c r="E129" s="80">
        <v>4.1749999999999998</v>
      </c>
      <c r="F129" s="80">
        <v>2.6890000000000001</v>
      </c>
      <c r="G129" s="80">
        <v>2.6890000000000001</v>
      </c>
      <c r="H129" s="80">
        <v>2.69</v>
      </c>
      <c r="I129" s="73">
        <v>0</v>
      </c>
      <c r="J129" s="73">
        <v>0</v>
      </c>
      <c r="K129" s="73">
        <v>0</v>
      </c>
      <c r="L129" s="73">
        <v>0</v>
      </c>
      <c r="M129" s="73">
        <v>0</v>
      </c>
      <c r="N129" s="73">
        <v>0</v>
      </c>
      <c r="O129" s="37">
        <v>0</v>
      </c>
      <c r="P129" s="37">
        <v>0</v>
      </c>
      <c r="Q129" s="37">
        <v>0</v>
      </c>
      <c r="R129" s="73">
        <v>2.6890000000000001</v>
      </c>
      <c r="S129" s="73">
        <v>2.6890000000000001</v>
      </c>
      <c r="T129" s="73">
        <v>2.69</v>
      </c>
      <c r="U129" s="37">
        <v>23555.64</v>
      </c>
      <c r="V129" s="37">
        <v>23555.64</v>
      </c>
      <c r="W129" s="37">
        <v>23628.959999999999</v>
      </c>
      <c r="X129">
        <v>4.1369999999999996</v>
      </c>
      <c r="Y129" s="37">
        <v>36240.119999999995</v>
      </c>
      <c r="Z129" s="37">
        <v>36240.119999999995</v>
      </c>
      <c r="AA129" s="37">
        <v>36339.407999999996</v>
      </c>
      <c r="AB129" s="73">
        <v>0</v>
      </c>
      <c r="AC129" s="73">
        <v>0</v>
      </c>
      <c r="AD129" s="73">
        <v>0</v>
      </c>
      <c r="AE129" s="73">
        <v>0</v>
      </c>
      <c r="AF129" s="73">
        <v>0</v>
      </c>
      <c r="AG129" s="73">
        <v>0</v>
      </c>
      <c r="AH129" s="73">
        <v>0</v>
      </c>
      <c r="AI129" s="73">
        <v>0</v>
      </c>
      <c r="AJ129" s="73">
        <v>0</v>
      </c>
      <c r="AK129">
        <v>0</v>
      </c>
      <c r="AL129">
        <v>0</v>
      </c>
      <c r="AM129">
        <v>0</v>
      </c>
      <c r="AN129" s="73">
        <v>0</v>
      </c>
      <c r="AO129" s="73">
        <v>0</v>
      </c>
      <c r="AP129" s="73">
        <v>0</v>
      </c>
      <c r="AQ129" s="74">
        <v>3.7819999999999998E-4</v>
      </c>
      <c r="AR129" s="74">
        <v>3.7819999999999998E-4</v>
      </c>
      <c r="AS129" s="74">
        <v>3.7839999999999998E-4</v>
      </c>
      <c r="AT129" s="74">
        <v>0</v>
      </c>
      <c r="AU129" s="74">
        <v>3.7819999999999998E-4</v>
      </c>
      <c r="AV129" s="74">
        <v>3.7819999999999998E-4</v>
      </c>
      <c r="AW129" s="74">
        <v>3.7839999999999998E-4</v>
      </c>
      <c r="AX129" s="74">
        <v>3.7826666666666668E-4</v>
      </c>
      <c r="AY129" s="74">
        <v>0.99993773387876528</v>
      </c>
      <c r="AZ129" s="74">
        <v>0.99993773387876528</v>
      </c>
      <c r="BA129" s="74">
        <v>1</v>
      </c>
      <c r="BB129" s="74">
        <v>1</v>
      </c>
      <c r="BC129" s="74">
        <v>1</v>
      </c>
      <c r="BD129" s="74">
        <v>1</v>
      </c>
      <c r="BE129" s="74">
        <v>0</v>
      </c>
      <c r="BF129" s="74">
        <v>0</v>
      </c>
      <c r="BG129" s="74">
        <v>0</v>
      </c>
    </row>
    <row r="130" spans="1:69">
      <c r="A130">
        <v>10502</v>
      </c>
      <c r="B130" t="s">
        <v>135</v>
      </c>
      <c r="C130">
        <v>1</v>
      </c>
      <c r="D130">
        <v>0</v>
      </c>
      <c r="E130" s="80">
        <v>18.986000000000001</v>
      </c>
      <c r="F130" s="80">
        <v>18.811</v>
      </c>
      <c r="G130" s="80">
        <v>18.855</v>
      </c>
      <c r="H130" s="80">
        <v>18.882999999999999</v>
      </c>
      <c r="I130" s="73">
        <v>0</v>
      </c>
      <c r="J130" s="73">
        <v>0</v>
      </c>
      <c r="K130" s="73">
        <v>0</v>
      </c>
      <c r="L130" s="73">
        <v>0</v>
      </c>
      <c r="M130" s="73">
        <v>0</v>
      </c>
      <c r="N130" s="73">
        <v>0</v>
      </c>
      <c r="O130" s="37">
        <v>0</v>
      </c>
      <c r="P130" s="37">
        <v>0</v>
      </c>
      <c r="Q130" s="37">
        <v>0</v>
      </c>
      <c r="R130" s="80">
        <v>18.811</v>
      </c>
      <c r="S130" s="80">
        <v>18.855</v>
      </c>
      <c r="T130" s="80">
        <v>18.882999999999999</v>
      </c>
      <c r="U130" s="37">
        <v>164784.35999999999</v>
      </c>
      <c r="V130" s="37">
        <v>165169.80000000002</v>
      </c>
      <c r="W130" s="37">
        <v>165868.272</v>
      </c>
      <c r="X130">
        <v>18.815000000000001</v>
      </c>
      <c r="Y130" s="37">
        <v>164819.40000000002</v>
      </c>
      <c r="Z130" s="37">
        <v>164819.40000000002</v>
      </c>
      <c r="AA130" s="37">
        <v>165270.96000000002</v>
      </c>
      <c r="AB130" s="73">
        <v>0</v>
      </c>
      <c r="AC130" s="73">
        <v>0.04</v>
      </c>
      <c r="AD130" s="73">
        <v>6.8000000000000005E-2</v>
      </c>
      <c r="AE130" s="73">
        <v>0</v>
      </c>
      <c r="AF130" s="73">
        <v>0</v>
      </c>
      <c r="AG130" s="73">
        <v>0</v>
      </c>
      <c r="AH130" s="73">
        <v>0</v>
      </c>
      <c r="AI130" s="73">
        <v>0.04</v>
      </c>
      <c r="AJ130" s="73">
        <v>6.8000000000000005E-2</v>
      </c>
      <c r="AK130">
        <v>0</v>
      </c>
      <c r="AL130">
        <v>0</v>
      </c>
      <c r="AM130">
        <v>0</v>
      </c>
      <c r="AN130" s="73">
        <v>0</v>
      </c>
      <c r="AO130" s="73">
        <v>0</v>
      </c>
      <c r="AP130" s="73">
        <v>0</v>
      </c>
      <c r="AQ130" s="74">
        <v>2.6459000000000001E-3</v>
      </c>
      <c r="AR130" s="74">
        <v>2.6464000000000001E-3</v>
      </c>
      <c r="AS130" s="74">
        <v>2.6464000000000001E-3</v>
      </c>
      <c r="AT130" s="74">
        <v>0</v>
      </c>
      <c r="AU130" s="74">
        <v>2.6459000000000001E-3</v>
      </c>
      <c r="AV130" s="74">
        <v>2.6464000000000001E-3</v>
      </c>
      <c r="AW130" s="74">
        <v>2.6464000000000001E-3</v>
      </c>
      <c r="AX130" s="74">
        <v>2.6462333333333332E-3</v>
      </c>
      <c r="AY130" s="74">
        <v>1</v>
      </c>
      <c r="AZ130" s="74">
        <v>0.99786361245293032</v>
      </c>
      <c r="BA130" s="74">
        <v>0.99638396509029292</v>
      </c>
      <c r="BB130" s="74">
        <v>1</v>
      </c>
      <c r="BC130" s="74">
        <v>1.0021259633271327</v>
      </c>
      <c r="BD130" s="74">
        <v>1.0036141376561254</v>
      </c>
      <c r="BE130" s="74">
        <v>7.0000000000000007E-2</v>
      </c>
      <c r="BF130" s="74">
        <v>7.0148817432899288E-2</v>
      </c>
      <c r="BG130" s="74">
        <v>7.0252989635928784E-2</v>
      </c>
    </row>
    <row r="131" spans="1:69">
      <c r="A131">
        <v>13927</v>
      </c>
      <c r="B131" t="s">
        <v>238</v>
      </c>
      <c r="C131">
        <v>1</v>
      </c>
      <c r="D131">
        <v>0</v>
      </c>
      <c r="E131" s="80">
        <v>4.1340000000000003</v>
      </c>
      <c r="F131" s="80">
        <v>4.4859999999999998</v>
      </c>
      <c r="G131" s="80">
        <v>4.5350000000000001</v>
      </c>
      <c r="H131" s="80">
        <v>4.5750000000000002</v>
      </c>
      <c r="I131" s="73">
        <v>0</v>
      </c>
      <c r="J131" s="73">
        <v>0</v>
      </c>
      <c r="K131" s="73">
        <v>0</v>
      </c>
      <c r="L131" s="73">
        <v>0</v>
      </c>
      <c r="M131" s="73">
        <v>0</v>
      </c>
      <c r="N131" s="73">
        <v>0</v>
      </c>
      <c r="O131" s="37">
        <v>0</v>
      </c>
      <c r="P131" s="37">
        <v>0</v>
      </c>
      <c r="Q131" s="37">
        <v>0</v>
      </c>
      <c r="R131" s="73">
        <v>4.4859999999999998</v>
      </c>
      <c r="S131" s="73">
        <v>4.5350000000000001</v>
      </c>
      <c r="T131" s="73">
        <v>4.5750000000000002</v>
      </c>
      <c r="U131" s="37">
        <v>39297.360000000001</v>
      </c>
      <c r="V131" s="37">
        <v>39726.6</v>
      </c>
      <c r="W131" s="37">
        <v>40186.800000000003</v>
      </c>
      <c r="X131">
        <v>4.0970000000000004</v>
      </c>
      <c r="Y131" s="37">
        <v>35889.72</v>
      </c>
      <c r="Z131" s="37">
        <v>35889.72</v>
      </c>
      <c r="AA131" s="37">
        <v>35988.048000000003</v>
      </c>
      <c r="AB131" s="73">
        <v>0.38900000000000001</v>
      </c>
      <c r="AC131" s="73">
        <v>0.438</v>
      </c>
      <c r="AD131" s="73">
        <v>0.47799999999999998</v>
      </c>
      <c r="AE131" s="73">
        <v>0</v>
      </c>
      <c r="AF131" s="73">
        <v>0</v>
      </c>
      <c r="AG131" s="73">
        <v>0</v>
      </c>
      <c r="AH131" s="73">
        <v>0.38900000000000001</v>
      </c>
      <c r="AI131" s="73">
        <v>0.438</v>
      </c>
      <c r="AJ131" s="73">
        <v>0.47799999999999998</v>
      </c>
      <c r="AK131">
        <v>0</v>
      </c>
      <c r="AL131">
        <v>0</v>
      </c>
      <c r="AM131">
        <v>0</v>
      </c>
      <c r="AN131" s="73">
        <v>0</v>
      </c>
      <c r="AO131" s="73">
        <v>0</v>
      </c>
      <c r="AP131" s="73">
        <v>0</v>
      </c>
      <c r="AQ131" s="74">
        <v>5.7629999999999997E-4</v>
      </c>
      <c r="AR131" s="74">
        <v>5.7629999999999997E-4</v>
      </c>
      <c r="AS131" s="74">
        <v>5.7629999999999997E-4</v>
      </c>
      <c r="AT131" s="74">
        <v>0</v>
      </c>
      <c r="AU131" s="74">
        <v>5.7629999999999997E-4</v>
      </c>
      <c r="AV131" s="74">
        <v>5.7629999999999997E-4</v>
      </c>
      <c r="AW131" s="74">
        <v>5.7629999999999997E-4</v>
      </c>
      <c r="AX131" s="74">
        <v>5.7629999999999997E-4</v>
      </c>
      <c r="AY131" s="74">
        <v>0.91333812251448965</v>
      </c>
      <c r="AZ131" s="74">
        <v>0.90346964004410146</v>
      </c>
      <c r="BA131" s="74">
        <v>0.8955704519344263</v>
      </c>
      <c r="BB131" s="74">
        <v>1.0949475225774956</v>
      </c>
      <c r="BC131" s="74">
        <v>1.1069074932877714</v>
      </c>
      <c r="BD131" s="74">
        <v>1.1166707346839151</v>
      </c>
      <c r="BE131" s="74">
        <v>0</v>
      </c>
      <c r="BF131" s="74">
        <v>0</v>
      </c>
      <c r="BG131" s="74">
        <v>0</v>
      </c>
    </row>
    <row r="132" spans="1:69">
      <c r="A132">
        <v>10597</v>
      </c>
      <c r="B132" t="s">
        <v>136</v>
      </c>
      <c r="C132">
        <v>1</v>
      </c>
      <c r="D132">
        <v>0</v>
      </c>
      <c r="E132" s="80">
        <v>13.13</v>
      </c>
      <c r="F132" s="80">
        <v>12.977</v>
      </c>
      <c r="G132" s="80">
        <v>13.032999999999999</v>
      </c>
      <c r="H132" s="80">
        <v>13.085000000000001</v>
      </c>
      <c r="I132" s="73">
        <v>0</v>
      </c>
      <c r="J132" s="73">
        <v>0</v>
      </c>
      <c r="K132" s="73">
        <v>0</v>
      </c>
      <c r="L132" s="73">
        <v>0</v>
      </c>
      <c r="M132" s="73">
        <v>0</v>
      </c>
      <c r="N132" s="73">
        <v>0</v>
      </c>
      <c r="O132" s="37">
        <v>0</v>
      </c>
      <c r="P132" s="37">
        <v>0</v>
      </c>
      <c r="Q132" s="37">
        <v>0</v>
      </c>
      <c r="R132" s="73">
        <v>12.977</v>
      </c>
      <c r="S132" s="73">
        <v>13.032999999999999</v>
      </c>
      <c r="T132" s="73">
        <v>13.085000000000001</v>
      </c>
      <c r="U132" s="37">
        <v>113678.52</v>
      </c>
      <c r="V132" s="37">
        <v>114169.08</v>
      </c>
      <c r="W132" s="37">
        <v>114938.64000000001</v>
      </c>
      <c r="X132">
        <v>13.012</v>
      </c>
      <c r="Y132" s="37">
        <v>113985.12000000001</v>
      </c>
      <c r="Z132" s="37">
        <v>113985.12000000001</v>
      </c>
      <c r="AA132" s="37">
        <v>114297.40800000001</v>
      </c>
      <c r="AB132" s="73">
        <v>0</v>
      </c>
      <c r="AC132" s="73">
        <v>2.1000000000000001E-2</v>
      </c>
      <c r="AD132" s="73">
        <v>7.2999999999999995E-2</v>
      </c>
      <c r="AE132" s="73">
        <v>0</v>
      </c>
      <c r="AF132" s="73">
        <v>0</v>
      </c>
      <c r="AG132" s="73">
        <v>0</v>
      </c>
      <c r="AH132" s="73">
        <v>0</v>
      </c>
      <c r="AI132" s="73">
        <v>2.1000000000000001E-2</v>
      </c>
      <c r="AJ132" s="73">
        <v>7.2999999999999995E-2</v>
      </c>
      <c r="AK132">
        <v>0</v>
      </c>
      <c r="AL132">
        <v>0</v>
      </c>
      <c r="AM132">
        <v>0</v>
      </c>
      <c r="AN132" s="73">
        <v>0</v>
      </c>
      <c r="AO132" s="73">
        <v>0</v>
      </c>
      <c r="AP132" s="73">
        <v>0</v>
      </c>
      <c r="AQ132" s="74">
        <v>1.8253E-3</v>
      </c>
      <c r="AR132" s="74">
        <v>1.8301999999999999E-3</v>
      </c>
      <c r="AS132" s="74">
        <v>1.8301999999999999E-3</v>
      </c>
      <c r="AT132" s="74">
        <v>0</v>
      </c>
      <c r="AU132" s="74">
        <v>1.8253E-3</v>
      </c>
      <c r="AV132" s="74">
        <v>1.8301999999999999E-3</v>
      </c>
      <c r="AW132" s="74">
        <v>1.8301999999999999E-3</v>
      </c>
      <c r="AX132" s="74">
        <v>1.8285666666666665E-3</v>
      </c>
      <c r="AY132" s="74">
        <v>1</v>
      </c>
      <c r="AZ132" s="74">
        <v>0.99838119162126915</v>
      </c>
      <c r="BA132" s="74">
        <v>0.99441360874283524</v>
      </c>
      <c r="BB132" s="74">
        <v>1</v>
      </c>
      <c r="BC132" s="74">
        <v>1.0016138948662772</v>
      </c>
      <c r="BD132" s="74">
        <v>1.0056102059637257</v>
      </c>
      <c r="BE132" s="74">
        <v>0</v>
      </c>
      <c r="BF132" s="74">
        <v>0</v>
      </c>
      <c r="BG132" s="74">
        <v>0</v>
      </c>
    </row>
    <row r="133" spans="1:69">
      <c r="A133">
        <v>10706</v>
      </c>
      <c r="B133" t="s">
        <v>137</v>
      </c>
      <c r="C133">
        <v>1</v>
      </c>
      <c r="D133">
        <v>0</v>
      </c>
      <c r="E133" s="80">
        <v>17.536000000000001</v>
      </c>
      <c r="F133" s="80">
        <v>16.832000000000001</v>
      </c>
      <c r="G133" s="80">
        <v>16.832000000000001</v>
      </c>
      <c r="H133" s="80">
        <v>16.829999999999998</v>
      </c>
      <c r="I133" s="73">
        <v>0</v>
      </c>
      <c r="J133" s="73">
        <v>0</v>
      </c>
      <c r="K133" s="73">
        <v>0</v>
      </c>
      <c r="L133" s="73">
        <v>0</v>
      </c>
      <c r="M133" s="73">
        <v>0</v>
      </c>
      <c r="N133" s="73">
        <v>0</v>
      </c>
      <c r="O133" s="37">
        <v>0</v>
      </c>
      <c r="P133" s="37">
        <v>0</v>
      </c>
      <c r="Q133" s="37">
        <v>0</v>
      </c>
      <c r="R133" s="73">
        <v>16.832000000000001</v>
      </c>
      <c r="S133" s="73">
        <v>16.832000000000001</v>
      </c>
      <c r="T133" s="73">
        <v>16.829999999999998</v>
      </c>
      <c r="U133" s="37">
        <v>147448.32000000001</v>
      </c>
      <c r="V133" s="37">
        <v>147448.32000000001</v>
      </c>
      <c r="W133" s="37">
        <v>147834.71999999997</v>
      </c>
      <c r="X133">
        <v>17.378</v>
      </c>
      <c r="Y133" s="37">
        <v>152231.28</v>
      </c>
      <c r="Z133" s="37">
        <v>152231.28</v>
      </c>
      <c r="AA133" s="37">
        <v>152648.35200000001</v>
      </c>
      <c r="AB133" s="73">
        <v>0</v>
      </c>
      <c r="AC133" s="73">
        <v>0</v>
      </c>
      <c r="AD133" s="73">
        <v>0</v>
      </c>
      <c r="AE133" s="73">
        <v>0</v>
      </c>
      <c r="AF133" s="73">
        <v>0</v>
      </c>
      <c r="AG133" s="73">
        <v>0</v>
      </c>
      <c r="AH133" s="73">
        <v>0</v>
      </c>
      <c r="AI133" s="73">
        <v>0</v>
      </c>
      <c r="AJ133" s="73">
        <v>0</v>
      </c>
      <c r="AK133">
        <v>0</v>
      </c>
      <c r="AL133">
        <v>0</v>
      </c>
      <c r="AM133">
        <v>0</v>
      </c>
      <c r="AN133" s="73">
        <v>0</v>
      </c>
      <c r="AO133" s="73">
        <v>0</v>
      </c>
      <c r="AP133" s="73">
        <v>0</v>
      </c>
      <c r="AQ133" s="74">
        <v>2.3674999999999998E-3</v>
      </c>
      <c r="AR133" s="74">
        <v>2.3674999999999998E-3</v>
      </c>
      <c r="AS133" s="74">
        <v>2.3671999999999999E-3</v>
      </c>
      <c r="AT133" s="74">
        <v>0</v>
      </c>
      <c r="AU133" s="74">
        <v>2.3674999999999998E-3</v>
      </c>
      <c r="AV133" s="74">
        <v>2.3674999999999998E-3</v>
      </c>
      <c r="AW133" s="74">
        <v>2.3671999999999999E-3</v>
      </c>
      <c r="AX133" s="74">
        <v>2.3674E-3</v>
      </c>
      <c r="AY133" s="74">
        <v>0.99999194153992399</v>
      </c>
      <c r="AZ133" s="74">
        <v>0.99999194153992399</v>
      </c>
      <c r="BA133" s="74">
        <v>0.999984046013072</v>
      </c>
      <c r="BB133" s="74">
        <v>1</v>
      </c>
      <c r="BC133" s="74">
        <v>1</v>
      </c>
      <c r="BD133" s="74">
        <v>1</v>
      </c>
      <c r="BE133" s="74">
        <v>0</v>
      </c>
      <c r="BF133" s="74">
        <v>0</v>
      </c>
      <c r="BG133" s="74">
        <v>0</v>
      </c>
    </row>
    <row r="134" spans="1:69">
      <c r="A134">
        <v>11680</v>
      </c>
      <c r="B134" t="s">
        <v>138</v>
      </c>
      <c r="C134">
        <v>1</v>
      </c>
      <c r="D134">
        <v>0</v>
      </c>
      <c r="E134" s="80">
        <v>6.423</v>
      </c>
      <c r="F134" s="80">
        <v>6.4770000000000003</v>
      </c>
      <c r="G134" s="80">
        <v>6.51</v>
      </c>
      <c r="H134" s="80">
        <v>6.5419999999999998</v>
      </c>
      <c r="I134" s="73">
        <v>0</v>
      </c>
      <c r="J134" s="73">
        <v>0</v>
      </c>
      <c r="K134" s="73">
        <v>0</v>
      </c>
      <c r="L134" s="73">
        <v>0</v>
      </c>
      <c r="M134" s="73">
        <v>0</v>
      </c>
      <c r="N134" s="73">
        <v>0</v>
      </c>
      <c r="O134" s="37">
        <v>0</v>
      </c>
      <c r="P134" s="37">
        <v>0</v>
      </c>
      <c r="Q134" s="37">
        <v>0</v>
      </c>
      <c r="R134" s="73">
        <v>6.4770000000000003</v>
      </c>
      <c r="S134" s="73">
        <v>6.51</v>
      </c>
      <c r="T134" s="73">
        <v>6.5419999999999998</v>
      </c>
      <c r="U134" s="37">
        <v>56738.520000000004</v>
      </c>
      <c r="V134" s="37">
        <v>57027.6</v>
      </c>
      <c r="W134" s="37">
        <v>57464.928</v>
      </c>
      <c r="X134">
        <v>6.3650000000000002</v>
      </c>
      <c r="Y134" s="37">
        <v>55757.4</v>
      </c>
      <c r="Z134" s="37">
        <v>55757.4</v>
      </c>
      <c r="AA134" s="37">
        <v>55910.16</v>
      </c>
      <c r="AB134" s="73">
        <v>0.112</v>
      </c>
      <c r="AC134" s="73">
        <v>0.14499999999999999</v>
      </c>
      <c r="AD134" s="73">
        <v>0.17699999999999999</v>
      </c>
      <c r="AE134" s="73">
        <v>0</v>
      </c>
      <c r="AF134" s="73">
        <v>0</v>
      </c>
      <c r="AG134" s="73">
        <v>0</v>
      </c>
      <c r="AH134" s="73">
        <v>0.112</v>
      </c>
      <c r="AI134" s="73">
        <v>0.14499999999999999</v>
      </c>
      <c r="AJ134" s="73">
        <v>0.17699999999999999</v>
      </c>
      <c r="AK134">
        <v>0</v>
      </c>
      <c r="AL134">
        <v>0</v>
      </c>
      <c r="AM134">
        <v>0</v>
      </c>
      <c r="AN134" s="73">
        <v>0</v>
      </c>
      <c r="AO134" s="73">
        <v>0</v>
      </c>
      <c r="AP134" s="73">
        <v>0</v>
      </c>
      <c r="AQ134" s="74">
        <v>8.9530000000000002E-4</v>
      </c>
      <c r="AR134" s="74">
        <v>8.9530000000000002E-4</v>
      </c>
      <c r="AS134" s="74">
        <v>8.9530000000000002E-4</v>
      </c>
      <c r="AT134" s="74">
        <v>0</v>
      </c>
      <c r="AU134" s="74">
        <v>8.9530000000000002E-4</v>
      </c>
      <c r="AV134" s="74">
        <v>8.9530000000000002E-4</v>
      </c>
      <c r="AW134" s="74">
        <v>8.9530000000000002E-4</v>
      </c>
      <c r="AX134" s="74">
        <v>8.9530000000000002E-4</v>
      </c>
      <c r="AY134" s="74">
        <v>0.98273612870155946</v>
      </c>
      <c r="AZ134" s="74">
        <v>0.97775451698924754</v>
      </c>
      <c r="BA134" s="74">
        <v>0.97297185961479682</v>
      </c>
      <c r="BB134" s="74">
        <v>1.0175962293794187</v>
      </c>
      <c r="BC134" s="74">
        <v>1.0227808326787116</v>
      </c>
      <c r="BD134" s="74">
        <v>1.027808326787117</v>
      </c>
      <c r="BE134" s="74">
        <v>0</v>
      </c>
      <c r="BF134" s="74">
        <v>0</v>
      </c>
      <c r="BG134" s="74">
        <v>0</v>
      </c>
    </row>
    <row r="135" spans="1:69">
      <c r="A135">
        <v>12026</v>
      </c>
      <c r="B135" t="s">
        <v>139</v>
      </c>
      <c r="C135">
        <v>1</v>
      </c>
      <c r="D135">
        <v>0</v>
      </c>
      <c r="E135" s="80">
        <v>45.847000000000001</v>
      </c>
      <c r="F135" s="80">
        <v>47.128</v>
      </c>
      <c r="G135" s="80">
        <v>47.238</v>
      </c>
      <c r="H135" s="80">
        <v>47.426000000000002</v>
      </c>
      <c r="I135" s="73">
        <v>0</v>
      </c>
      <c r="J135" s="73">
        <v>0</v>
      </c>
      <c r="K135" s="73">
        <v>0</v>
      </c>
      <c r="L135" s="73">
        <v>0</v>
      </c>
      <c r="M135" s="73">
        <v>0</v>
      </c>
      <c r="N135" s="73">
        <v>0</v>
      </c>
      <c r="O135" s="37">
        <v>0</v>
      </c>
      <c r="P135" s="37">
        <v>0</v>
      </c>
      <c r="Q135" s="37">
        <v>0</v>
      </c>
      <c r="R135" s="73">
        <v>47.128</v>
      </c>
      <c r="S135" s="73">
        <v>47.238</v>
      </c>
      <c r="T135" s="73">
        <v>47.426000000000002</v>
      </c>
      <c r="U135" s="37">
        <v>412841.28</v>
      </c>
      <c r="V135" s="37">
        <v>413804.88</v>
      </c>
      <c r="W135" s="37">
        <v>416589.984</v>
      </c>
      <c r="X135">
        <v>45.433</v>
      </c>
      <c r="Y135" s="37">
        <v>397993.08</v>
      </c>
      <c r="Z135" s="37">
        <v>397993.08</v>
      </c>
      <c r="AA135" s="37">
        <v>399083.47200000001</v>
      </c>
      <c r="AB135" s="73">
        <v>1.6950000000000001</v>
      </c>
      <c r="AC135" s="73">
        <v>1.8049999999999999</v>
      </c>
      <c r="AD135" s="73">
        <v>1.9930000000000001</v>
      </c>
      <c r="AE135" s="73">
        <v>1.6950000000000001</v>
      </c>
      <c r="AF135" s="73">
        <v>1.8049999999999999</v>
      </c>
      <c r="AG135" s="73">
        <v>1.9930000000000001</v>
      </c>
      <c r="AH135" s="73">
        <v>0</v>
      </c>
      <c r="AI135" s="73">
        <v>0</v>
      </c>
      <c r="AJ135" s="73">
        <v>0</v>
      </c>
      <c r="AK135">
        <v>0</v>
      </c>
      <c r="AL135">
        <v>0</v>
      </c>
      <c r="AM135">
        <v>0</v>
      </c>
      <c r="AN135" s="73">
        <v>1.6950000000000001</v>
      </c>
      <c r="AO135" s="73">
        <v>1.8049999999999999</v>
      </c>
      <c r="AP135" s="73">
        <v>1.9930000000000001</v>
      </c>
      <c r="AQ135" s="74">
        <v>6.3904000000000001E-3</v>
      </c>
      <c r="AR135" s="74">
        <v>6.3904000000000001E-3</v>
      </c>
      <c r="AS135" s="74">
        <v>6.3904000000000001E-3</v>
      </c>
      <c r="AT135" s="74">
        <v>0</v>
      </c>
      <c r="AU135" s="74">
        <v>6.3904000000000001E-3</v>
      </c>
      <c r="AV135" s="74">
        <v>6.3904000000000001E-3</v>
      </c>
      <c r="AW135" s="74">
        <v>6.3904000000000001E-3</v>
      </c>
      <c r="AX135" s="74">
        <v>6.3904000000000001E-3</v>
      </c>
      <c r="AY135" s="74">
        <v>0.9640315969444917</v>
      </c>
      <c r="AZ135" s="74">
        <v>0.96178672045387192</v>
      </c>
      <c r="BA135" s="74">
        <v>0.95797413024079625</v>
      </c>
      <c r="BB135" s="74">
        <v>1.0373076838421411</v>
      </c>
      <c r="BC135" s="74">
        <v>1.0397288314661148</v>
      </c>
      <c r="BD135" s="74">
        <v>1.0438667928598155</v>
      </c>
      <c r="BE135" s="74">
        <v>0</v>
      </c>
      <c r="BF135" s="74">
        <v>0</v>
      </c>
      <c r="BG135" s="74">
        <v>0</v>
      </c>
    </row>
    <row r="136" spans="1:69" s="17" customFormat="1">
      <c r="A136">
        <v>10298</v>
      </c>
      <c r="B136" t="s">
        <v>140</v>
      </c>
      <c r="C136">
        <v>1</v>
      </c>
      <c r="D136">
        <v>0</v>
      </c>
      <c r="E136" s="73">
        <v>769.47599999999989</v>
      </c>
      <c r="F136" s="73">
        <v>926.37800000000004</v>
      </c>
      <c r="G136" s="73">
        <v>939.44399999999996</v>
      </c>
      <c r="H136" s="73">
        <v>950.54</v>
      </c>
      <c r="I136" s="73">
        <v>0</v>
      </c>
      <c r="J136" s="73">
        <v>0</v>
      </c>
      <c r="K136" s="73">
        <v>0</v>
      </c>
      <c r="L136" s="73">
        <v>11.766999999999999</v>
      </c>
      <c r="M136" s="73">
        <v>12.045999999999999</v>
      </c>
      <c r="N136" s="73">
        <v>12.333</v>
      </c>
      <c r="O136" s="37">
        <v>103078.92</v>
      </c>
      <c r="P136" s="37">
        <v>105522.95999999999</v>
      </c>
      <c r="Q136" s="37">
        <v>108333.072</v>
      </c>
      <c r="R136" s="73">
        <v>914.60900000000004</v>
      </c>
      <c r="S136" s="73">
        <v>927.39700000000005</v>
      </c>
      <c r="T136" s="73">
        <v>938.20600000000002</v>
      </c>
      <c r="U136" s="37">
        <v>8011974.8400000008</v>
      </c>
      <c r="V136" s="37">
        <v>8123997.7200000007</v>
      </c>
      <c r="W136" s="37">
        <v>8241201.5039999997</v>
      </c>
      <c r="X136">
        <v>762.53699999999981</v>
      </c>
      <c r="Y136" s="37">
        <v>6679824.1199999982</v>
      </c>
      <c r="Z136" s="37">
        <v>6679824.1199999982</v>
      </c>
      <c r="AA136" s="37">
        <v>6698125.0079999985</v>
      </c>
      <c r="AB136" s="73">
        <v>153.15799999999999</v>
      </c>
      <c r="AC136" s="73">
        <v>165.89999999999998</v>
      </c>
      <c r="AD136" s="73">
        <v>176.65799999999999</v>
      </c>
      <c r="AE136" s="73">
        <v>153.15799999999999</v>
      </c>
      <c r="AF136" s="73">
        <v>165.89999999999998</v>
      </c>
      <c r="AG136" s="73">
        <v>176.65799999999999</v>
      </c>
      <c r="AH136" s="73">
        <v>0</v>
      </c>
      <c r="AI136" s="73">
        <v>0</v>
      </c>
      <c r="AJ136" s="73">
        <v>0</v>
      </c>
      <c r="AK136">
        <v>0</v>
      </c>
      <c r="AL136">
        <v>0</v>
      </c>
      <c r="AM136">
        <v>0</v>
      </c>
      <c r="AN136" s="73">
        <v>153.15799999999999</v>
      </c>
      <c r="AO136" s="73">
        <v>165.89999999999998</v>
      </c>
      <c r="AP136" s="73">
        <v>176.65799999999999</v>
      </c>
      <c r="AQ136" s="74">
        <v>0.1071025</v>
      </c>
      <c r="AR136" s="74">
        <v>0.107109</v>
      </c>
      <c r="AS136" s="74">
        <v>0.10711619999999999</v>
      </c>
      <c r="AT136" s="74">
        <v>0</v>
      </c>
      <c r="AU136" s="74">
        <v>0.1071025</v>
      </c>
      <c r="AV136" s="74">
        <v>0.107109</v>
      </c>
      <c r="AW136" s="74">
        <v>0.10711619999999999</v>
      </c>
      <c r="AX136" s="74">
        <v>0.10710923333333333</v>
      </c>
      <c r="AY136" s="74">
        <v>0.83466769836934818</v>
      </c>
      <c r="AZ136" s="74">
        <v>0.82340512597664162</v>
      </c>
      <c r="BA136" s="74">
        <v>0.81414900366360177</v>
      </c>
      <c r="BB136" s="74">
        <v>1.1994290113135497</v>
      </c>
      <c r="BC136" s="74">
        <v>1.2161993450809603</v>
      </c>
      <c r="BD136" s="74">
        <v>1.2303743949473931</v>
      </c>
      <c r="BE136" s="74">
        <v>0</v>
      </c>
      <c r="BF136" s="74">
        <v>0</v>
      </c>
      <c r="BG136" s="74">
        <v>0</v>
      </c>
      <c r="BH136"/>
      <c r="BI136"/>
      <c r="BJ136"/>
      <c r="BK136"/>
      <c r="BL136"/>
      <c r="BM136"/>
      <c r="BN136"/>
      <c r="BO136"/>
      <c r="BP136"/>
      <c r="BQ136"/>
    </row>
    <row r="137" spans="1:69" s="17" customForma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 s="73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</row>
    <row r="138" spans="1:69" s="17" customFormat="1" ht="42.75" customHeight="1">
      <c r="A138"/>
      <c r="B138"/>
      <c r="C138"/>
      <c r="D138"/>
      <c r="E138"/>
      <c r="F138"/>
      <c r="G138"/>
      <c r="H138"/>
      <c r="I138"/>
      <c r="J138"/>
      <c r="K138"/>
      <c r="L138" s="75"/>
      <c r="M138"/>
      <c r="N138"/>
      <c r="O138"/>
      <c r="P138"/>
      <c r="Q138"/>
      <c r="R138"/>
      <c r="S138" s="75"/>
      <c r="T138" s="75"/>
      <c r="U138"/>
      <c r="V138" s="75"/>
      <c r="W138" s="75"/>
      <c r="X138"/>
      <c r="Y138"/>
      <c r="Z138"/>
      <c r="AA138"/>
      <c r="AB138"/>
      <c r="AC138" s="79"/>
      <c r="AD138" s="79"/>
      <c r="AE138" s="75"/>
      <c r="AF138" s="75"/>
      <c r="AG138" s="75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</row>
    <row r="139" spans="1:69">
      <c r="L139" s="75"/>
      <c r="M139"/>
      <c r="N139"/>
      <c r="O139"/>
      <c r="V139"/>
      <c r="W139"/>
      <c r="Z139"/>
      <c r="AA139"/>
      <c r="AB139"/>
      <c r="AC139"/>
      <c r="AD139"/>
      <c r="AE139"/>
      <c r="AF139"/>
      <c r="AG139"/>
      <c r="AH139"/>
    </row>
    <row r="140" spans="1:69">
      <c r="A140" s="2"/>
      <c r="B140" s="3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7"/>
      <c r="N140" s="7"/>
      <c r="O140" s="7"/>
      <c r="P140" s="6"/>
      <c r="Q140" s="6"/>
      <c r="R140" s="6"/>
      <c r="S140" s="7"/>
      <c r="T140" s="7"/>
      <c r="U140" s="7"/>
      <c r="V140" s="5"/>
      <c r="W140" s="5"/>
      <c r="X140" s="6"/>
      <c r="Y140" s="6"/>
      <c r="Z140" s="8"/>
      <c r="AA140" s="8"/>
      <c r="AB140" s="8"/>
      <c r="AC140" s="61"/>
      <c r="AD140" s="61"/>
      <c r="AE140" s="61"/>
      <c r="AF140" s="62"/>
      <c r="AG140" s="62"/>
      <c r="AH140" s="62"/>
      <c r="AI140" s="6"/>
      <c r="AJ140" s="6"/>
      <c r="AK140" s="6"/>
      <c r="AL140" s="18"/>
      <c r="AM140" s="18"/>
      <c r="AN140" s="18"/>
      <c r="AO140" s="6"/>
      <c r="AP140" s="6"/>
      <c r="AQ140" s="6"/>
      <c r="AR140" s="9"/>
      <c r="AS140" s="9"/>
      <c r="AT140" s="15"/>
      <c r="AU140" s="15"/>
      <c r="AV140" s="15"/>
      <c r="AW140" s="15"/>
      <c r="AX140" s="10"/>
      <c r="AY140" s="10"/>
      <c r="AZ140" s="10"/>
      <c r="BA140" s="10"/>
      <c r="BB140" s="10"/>
      <c r="BC140" s="11"/>
      <c r="BD140" s="11"/>
      <c r="BE140" s="11"/>
      <c r="BF140" s="11"/>
      <c r="BG140" s="11"/>
    </row>
    <row r="141" spans="1:69">
      <c r="M141"/>
      <c r="N141"/>
      <c r="O141"/>
      <c r="V141"/>
      <c r="W141"/>
      <c r="Z141"/>
      <c r="AA141"/>
      <c r="AB141"/>
      <c r="AC141"/>
      <c r="AD141"/>
      <c r="AE141"/>
      <c r="AF141"/>
      <c r="AG141"/>
      <c r="AH141"/>
      <c r="AK141" s="76"/>
    </row>
    <row r="142" spans="1:69">
      <c r="M142"/>
      <c r="N142"/>
      <c r="O142"/>
      <c r="V142"/>
      <c r="W142"/>
      <c r="Z142"/>
      <c r="AA142"/>
      <c r="AB142"/>
      <c r="AC142"/>
      <c r="AD142"/>
      <c r="AE142"/>
      <c r="AF142"/>
      <c r="AG142"/>
      <c r="AH142"/>
      <c r="AK142" s="75"/>
    </row>
    <row r="143" spans="1:69">
      <c r="A143" s="2"/>
      <c r="B143" s="3"/>
      <c r="C143" s="4"/>
      <c r="D143" s="4"/>
      <c r="E143" s="6"/>
      <c r="L143" s="6"/>
      <c r="M143" s="7"/>
      <c r="N143" s="7"/>
      <c r="O143" s="7"/>
      <c r="P143" s="6"/>
      <c r="Q143" s="6"/>
      <c r="R143" s="6"/>
      <c r="S143" s="7"/>
      <c r="T143" s="7"/>
      <c r="U143" s="7"/>
      <c r="V143" s="5"/>
      <c r="W143" s="5"/>
      <c r="X143" s="6"/>
      <c r="Y143" s="6"/>
      <c r="Z143" s="8"/>
      <c r="AA143" s="8"/>
      <c r="AB143" s="8"/>
      <c r="AC143" s="61"/>
      <c r="AD143" s="61"/>
      <c r="AE143" s="61"/>
      <c r="AF143" s="62"/>
      <c r="AG143" s="62"/>
      <c r="AH143" s="62"/>
      <c r="AI143" s="6"/>
      <c r="AJ143" s="6"/>
      <c r="AK143" s="6"/>
      <c r="AL143" s="18"/>
      <c r="AM143" s="18"/>
      <c r="AN143" s="18"/>
      <c r="AO143" s="6"/>
      <c r="AP143" s="6"/>
      <c r="AQ143" s="6"/>
      <c r="AR143" s="9"/>
      <c r="AS143" s="9"/>
      <c r="AT143" s="15"/>
      <c r="AU143" s="15"/>
      <c r="AV143" s="15"/>
      <c r="AW143" s="15"/>
      <c r="AX143" s="10"/>
      <c r="AY143" s="10"/>
      <c r="AZ143" s="10"/>
      <c r="BA143" s="10"/>
      <c r="BB143" s="10"/>
      <c r="BC143" s="11"/>
      <c r="BD143" s="11"/>
      <c r="BE143" s="11"/>
      <c r="BF143" s="11"/>
      <c r="BG143" s="11"/>
    </row>
    <row r="144" spans="1:69">
      <c r="A144" s="2"/>
      <c r="B144" s="3"/>
      <c r="C144" s="4"/>
      <c r="D144" s="4"/>
      <c r="E144" s="6"/>
      <c r="M144"/>
      <c r="N144"/>
      <c r="O144"/>
      <c r="V144"/>
      <c r="W144"/>
      <c r="Z144"/>
      <c r="AA144"/>
      <c r="AB144"/>
      <c r="AC144"/>
      <c r="AD144"/>
      <c r="AE144"/>
      <c r="AF144"/>
      <c r="AG144"/>
      <c r="AH144"/>
    </row>
    <row r="145" spans="1:59">
      <c r="A145" s="2"/>
      <c r="B145" s="3"/>
      <c r="C145" s="4"/>
      <c r="D145" s="4"/>
      <c r="E145" s="6"/>
      <c r="L145" s="6"/>
      <c r="M145" s="7"/>
      <c r="N145" s="7"/>
      <c r="O145" s="7"/>
      <c r="P145" s="6"/>
      <c r="Q145" s="6"/>
      <c r="R145" s="6"/>
      <c r="S145" s="7"/>
      <c r="T145" s="7"/>
      <c r="U145" s="7"/>
      <c r="V145" s="5"/>
      <c r="W145" s="5"/>
      <c r="X145" s="6"/>
      <c r="Y145" s="6"/>
      <c r="Z145" s="8"/>
      <c r="AA145" s="8"/>
      <c r="AB145" s="8"/>
      <c r="AC145" s="61"/>
      <c r="AD145" s="61"/>
      <c r="AE145" s="61"/>
      <c r="AF145" s="62"/>
      <c r="AG145" s="62"/>
      <c r="AH145" s="62"/>
      <c r="AI145" s="6"/>
      <c r="AJ145" s="6"/>
      <c r="AK145" s="6"/>
      <c r="AL145" s="18"/>
      <c r="AM145" s="18"/>
      <c r="AN145" s="18"/>
      <c r="AO145" s="6"/>
      <c r="AP145" s="6"/>
      <c r="AQ145" s="6"/>
      <c r="AR145" s="9"/>
      <c r="AS145" s="9"/>
      <c r="AT145" s="15"/>
      <c r="AU145" s="15"/>
      <c r="AV145" s="15"/>
      <c r="AW145" s="15"/>
      <c r="AX145" s="10"/>
      <c r="AY145" s="10"/>
      <c r="AZ145" s="10"/>
      <c r="BA145" s="10"/>
      <c r="BB145" s="10"/>
      <c r="BC145" s="11"/>
      <c r="BD145" s="11"/>
      <c r="BE145" s="11"/>
      <c r="BF145" s="11"/>
      <c r="BG145" s="11"/>
    </row>
    <row r="146" spans="1:59">
      <c r="A146" s="2"/>
      <c r="B146" s="3"/>
      <c r="C146" s="4"/>
      <c r="D146" s="4"/>
      <c r="E146" s="6"/>
      <c r="L146" s="6"/>
      <c r="M146" s="7"/>
      <c r="N146" s="7"/>
      <c r="O146" s="7"/>
      <c r="P146" s="6"/>
      <c r="Q146" s="6"/>
      <c r="R146" s="6"/>
      <c r="S146" s="7"/>
      <c r="T146" s="7"/>
      <c r="U146" s="7"/>
      <c r="V146" s="5"/>
      <c r="W146" s="5"/>
      <c r="X146" s="6"/>
      <c r="Y146" s="6"/>
      <c r="Z146" s="8"/>
      <c r="AA146" s="8"/>
      <c r="AB146" s="8"/>
      <c r="AC146" s="61"/>
      <c r="AD146" s="61"/>
      <c r="AE146" s="61"/>
      <c r="AF146" s="62"/>
      <c r="AG146" s="62"/>
      <c r="AH146" s="62"/>
      <c r="AI146" s="6"/>
      <c r="AJ146" s="6"/>
      <c r="AK146" s="6"/>
      <c r="AL146" s="18"/>
      <c r="AM146" s="18"/>
      <c r="AN146" s="18"/>
      <c r="AO146" s="6"/>
      <c r="AP146" s="6"/>
      <c r="AQ146" s="6"/>
      <c r="AR146" s="9"/>
      <c r="AS146" s="9"/>
      <c r="AT146" s="15"/>
      <c r="AU146" s="15"/>
      <c r="AV146" s="15"/>
      <c r="AW146" s="15"/>
      <c r="AX146" s="10"/>
      <c r="AY146" s="10"/>
      <c r="AZ146" s="10"/>
      <c r="BA146" s="10"/>
      <c r="BB146" s="10"/>
      <c r="BC146" s="11"/>
      <c r="BD146" s="11"/>
      <c r="BE146" s="11"/>
      <c r="BF146" s="11"/>
      <c r="BG146" s="11"/>
    </row>
    <row r="147" spans="1:59">
      <c r="A147" s="2"/>
      <c r="B147" s="3"/>
      <c r="C147" s="4"/>
      <c r="D147" s="4"/>
      <c r="E147" s="6"/>
      <c r="L147" s="6"/>
      <c r="M147" s="7"/>
      <c r="N147" s="7"/>
      <c r="O147" s="7"/>
      <c r="P147" s="6"/>
      <c r="Q147" s="6"/>
      <c r="R147" s="6"/>
      <c r="S147" s="7"/>
      <c r="T147" s="7"/>
      <c r="U147" s="7"/>
      <c r="V147" s="5"/>
      <c r="W147" s="5"/>
      <c r="X147" s="6"/>
      <c r="Y147" s="6"/>
      <c r="Z147" s="8"/>
      <c r="AA147" s="8"/>
      <c r="AB147" s="8"/>
      <c r="AC147" s="61"/>
      <c r="AD147" s="61"/>
      <c r="AE147" s="61"/>
      <c r="AF147" s="62"/>
      <c r="AG147" s="62"/>
      <c r="AH147" s="62"/>
      <c r="AI147" s="6"/>
      <c r="AJ147" s="6"/>
      <c r="AK147" s="6"/>
      <c r="AL147" s="18"/>
      <c r="AM147" s="18"/>
      <c r="AN147" s="18"/>
      <c r="AO147" s="6"/>
      <c r="AP147" s="6"/>
      <c r="AQ147" s="6"/>
      <c r="AR147" s="9"/>
      <c r="AS147" s="9"/>
      <c r="AT147" s="15"/>
      <c r="AU147" s="15"/>
      <c r="AV147" s="15"/>
      <c r="AW147" s="15"/>
      <c r="AX147" s="10"/>
      <c r="AY147" s="10"/>
      <c r="AZ147" s="10"/>
      <c r="BA147" s="10"/>
      <c r="BB147" s="10"/>
      <c r="BC147" s="11"/>
      <c r="BD147" s="11"/>
      <c r="BE147" s="11"/>
      <c r="BF147" s="11"/>
      <c r="BG147" s="11"/>
    </row>
    <row r="148" spans="1:59">
      <c r="A148" s="2"/>
      <c r="B148" s="3"/>
      <c r="C148" s="4"/>
      <c r="D148" s="4"/>
      <c r="E148" s="6"/>
      <c r="L148" s="6"/>
      <c r="M148" s="7"/>
      <c r="N148" s="7"/>
      <c r="O148" s="7"/>
      <c r="P148" s="6"/>
      <c r="Q148" s="6"/>
      <c r="R148" s="6"/>
      <c r="S148" s="7"/>
      <c r="T148" s="7"/>
      <c r="U148" s="7"/>
      <c r="V148" s="5"/>
      <c r="W148" s="5"/>
      <c r="X148" s="6"/>
      <c r="Y148" s="6"/>
      <c r="Z148" s="8"/>
      <c r="AA148" s="8"/>
      <c r="AB148" s="8"/>
      <c r="AC148" s="61"/>
      <c r="AD148" s="61"/>
      <c r="AE148" s="61"/>
      <c r="AF148" s="62"/>
      <c r="AG148" s="62"/>
      <c r="AH148" s="62"/>
      <c r="AI148" s="6"/>
      <c r="AJ148" s="6"/>
      <c r="AK148" s="6"/>
      <c r="AL148" s="18"/>
      <c r="AM148" s="18"/>
      <c r="AN148" s="18"/>
      <c r="AO148" s="6"/>
      <c r="AP148" s="6"/>
      <c r="AQ148" s="6"/>
      <c r="AR148" s="9"/>
      <c r="AS148" s="9"/>
      <c r="AT148" s="15"/>
      <c r="AU148" s="15"/>
      <c r="AV148" s="15"/>
      <c r="AW148" s="15"/>
      <c r="AX148" s="10"/>
      <c r="AY148" s="10"/>
      <c r="AZ148" s="10"/>
      <c r="BA148" s="10"/>
      <c r="BB148" s="10"/>
      <c r="BC148" s="11"/>
      <c r="BD148" s="11"/>
      <c r="BE148" s="11"/>
      <c r="BF148" s="11"/>
      <c r="BG148" s="11"/>
    </row>
    <row r="149" spans="1:59">
      <c r="A149" s="2"/>
      <c r="B149" s="3"/>
      <c r="C149" s="4"/>
      <c r="D149" s="4"/>
      <c r="E149" s="6"/>
      <c r="L149" s="6"/>
      <c r="M149" s="7"/>
      <c r="N149" s="7"/>
      <c r="O149" s="7"/>
      <c r="P149" s="6"/>
      <c r="Q149" s="6"/>
      <c r="R149" s="6"/>
      <c r="S149" s="7"/>
      <c r="T149" s="7"/>
      <c r="U149" s="7"/>
      <c r="V149" s="5"/>
      <c r="W149" s="5"/>
      <c r="X149" s="6"/>
      <c r="Y149" s="6"/>
      <c r="Z149" s="8"/>
      <c r="AA149" s="8"/>
      <c r="AB149" s="8"/>
      <c r="AC149" s="61"/>
      <c r="AD149" s="61"/>
      <c r="AE149" s="61"/>
      <c r="AF149" s="62"/>
      <c r="AG149" s="62"/>
      <c r="AH149" s="62"/>
      <c r="AI149" s="6"/>
      <c r="AJ149" s="6"/>
      <c r="AK149" s="6"/>
      <c r="AL149" s="18"/>
      <c r="AM149" s="18"/>
      <c r="AN149" s="18"/>
      <c r="AO149" s="6"/>
      <c r="AP149" s="6"/>
      <c r="AQ149" s="6"/>
      <c r="AR149" s="9"/>
      <c r="AS149" s="9"/>
      <c r="AT149" s="15"/>
      <c r="AU149" s="15"/>
      <c r="AV149" s="15"/>
      <c r="AW149" s="15"/>
      <c r="AX149" s="10"/>
      <c r="AY149" s="10"/>
      <c r="AZ149" s="10"/>
      <c r="BA149" s="10"/>
      <c r="BB149" s="10"/>
      <c r="BC149" s="11"/>
      <c r="BD149" s="11"/>
      <c r="BE149" s="11"/>
      <c r="BF149" s="11"/>
      <c r="BG149" s="11"/>
    </row>
    <row r="150" spans="1:59">
      <c r="A150" s="2"/>
      <c r="B150" s="3"/>
      <c r="C150" s="4"/>
      <c r="D150" s="4"/>
      <c r="E150" s="6"/>
      <c r="L150" s="6"/>
      <c r="M150" s="7"/>
      <c r="N150" s="7"/>
      <c r="O150" s="7"/>
      <c r="P150" s="6"/>
      <c r="Q150" s="6"/>
      <c r="R150" s="6"/>
      <c r="S150" s="7"/>
      <c r="T150" s="7"/>
      <c r="U150" s="7"/>
      <c r="V150" s="5"/>
      <c r="W150" s="5"/>
      <c r="X150" s="6"/>
      <c r="Y150" s="6"/>
      <c r="Z150" s="8"/>
      <c r="AA150" s="8"/>
      <c r="AB150" s="8"/>
      <c r="AC150" s="61"/>
      <c r="AD150" s="61"/>
      <c r="AE150" s="61"/>
      <c r="AF150" s="62"/>
      <c r="AG150" s="62"/>
      <c r="AH150" s="62"/>
      <c r="AI150" s="6"/>
      <c r="AJ150" s="6"/>
      <c r="AK150" s="6"/>
      <c r="AL150" s="18"/>
      <c r="AM150" s="18"/>
      <c r="AN150" s="18"/>
      <c r="AO150" s="6"/>
      <c r="AP150" s="6"/>
      <c r="AQ150" s="6"/>
      <c r="AR150" s="9"/>
      <c r="AS150" s="9"/>
      <c r="AT150" s="15"/>
      <c r="AU150" s="15"/>
      <c r="AV150" s="15"/>
      <c r="AW150" s="15"/>
      <c r="AX150" s="10"/>
      <c r="AY150" s="10"/>
      <c r="AZ150" s="10"/>
      <c r="BA150" s="10"/>
      <c r="BB150" s="10"/>
      <c r="BC150" s="11"/>
      <c r="BD150" s="11"/>
      <c r="BE150" s="11"/>
      <c r="BF150" s="11"/>
      <c r="BG150" s="11"/>
    </row>
    <row r="151" spans="1:59">
      <c r="A151" s="2"/>
      <c r="B151" s="3"/>
      <c r="C151" s="4"/>
      <c r="D151" s="4"/>
      <c r="E151" s="6"/>
      <c r="L151" s="6"/>
      <c r="M151" s="7"/>
      <c r="N151" s="7"/>
      <c r="O151" s="7"/>
      <c r="P151" s="6"/>
      <c r="Q151" s="6"/>
      <c r="R151" s="6"/>
      <c r="S151" s="7"/>
      <c r="T151" s="7"/>
      <c r="U151" s="7"/>
      <c r="V151" s="5"/>
      <c r="W151" s="5"/>
      <c r="X151" s="6"/>
      <c r="Y151" s="6"/>
      <c r="Z151" s="8"/>
      <c r="AA151" s="8"/>
      <c r="AB151" s="8"/>
      <c r="AC151" s="61"/>
      <c r="AD151" s="61"/>
      <c r="AE151" s="61"/>
      <c r="AF151" s="62"/>
      <c r="AG151" s="62"/>
      <c r="AH151" s="62"/>
      <c r="AI151" s="6"/>
      <c r="AJ151" s="6"/>
      <c r="AK151" s="6"/>
      <c r="AL151" s="18"/>
      <c r="AM151" s="18"/>
      <c r="AN151" s="18"/>
      <c r="AO151" s="6"/>
      <c r="AP151" s="6"/>
      <c r="AQ151" s="6"/>
      <c r="AR151" s="9"/>
      <c r="AS151" s="9"/>
      <c r="AT151" s="15"/>
      <c r="AU151" s="15"/>
      <c r="AV151" s="15"/>
      <c r="AW151" s="15"/>
      <c r="AX151" s="10"/>
      <c r="AY151" s="10"/>
      <c r="AZ151" s="10"/>
      <c r="BA151" s="10"/>
      <c r="BB151" s="10"/>
      <c r="BC151" s="11"/>
      <c r="BD151" s="11"/>
      <c r="BE151" s="11"/>
      <c r="BF151" s="11"/>
      <c r="BG151" s="11"/>
    </row>
    <row r="152" spans="1:59">
      <c r="A152" s="2"/>
      <c r="B152" s="3"/>
      <c r="C152" s="4"/>
      <c r="D152" s="4"/>
      <c r="E152" s="6"/>
      <c r="L152" s="6"/>
      <c r="M152" s="7"/>
      <c r="N152" s="7"/>
      <c r="O152" s="7"/>
      <c r="P152" s="6"/>
      <c r="Q152" s="6"/>
      <c r="R152" s="6"/>
      <c r="S152" s="7"/>
      <c r="T152" s="7"/>
      <c r="U152" s="7"/>
      <c r="V152" s="5"/>
      <c r="W152" s="5"/>
      <c r="X152" s="6"/>
      <c r="Y152" s="6"/>
      <c r="Z152" s="8"/>
      <c r="AA152" s="8"/>
      <c r="AB152" s="8"/>
      <c r="AC152" s="61"/>
      <c r="AD152" s="61"/>
      <c r="AE152" s="61"/>
      <c r="AF152" s="62"/>
      <c r="AG152" s="62"/>
      <c r="AH152" s="62"/>
      <c r="AI152" s="6"/>
      <c r="AJ152" s="6"/>
      <c r="AK152" s="6"/>
      <c r="AL152" s="18"/>
      <c r="AM152" s="18"/>
      <c r="AN152" s="18"/>
      <c r="AO152" s="6"/>
      <c r="AP152" s="6"/>
      <c r="AQ152" s="6"/>
      <c r="AR152" s="9"/>
      <c r="AS152" s="9"/>
      <c r="AT152" s="15"/>
      <c r="AU152" s="15"/>
      <c r="AV152" s="15"/>
      <c r="AW152" s="15"/>
      <c r="AX152" s="10"/>
      <c r="AY152" s="10"/>
      <c r="AZ152" s="10"/>
      <c r="BA152" s="10"/>
      <c r="BB152" s="10"/>
      <c r="BC152" s="11"/>
      <c r="BD152" s="11"/>
      <c r="BE152" s="11"/>
      <c r="BF152" s="11"/>
      <c r="BG152" s="11"/>
    </row>
    <row r="153" spans="1:59">
      <c r="A153" s="2"/>
      <c r="B153" s="3"/>
      <c r="C153" s="4"/>
      <c r="D153" s="4"/>
      <c r="E153" s="6"/>
      <c r="M153"/>
      <c r="N153"/>
      <c r="O153"/>
      <c r="V153"/>
      <c r="W153"/>
      <c r="Z153"/>
      <c r="AA153"/>
      <c r="AB153"/>
      <c r="AC153"/>
      <c r="AD153"/>
      <c r="AE153"/>
      <c r="AF153"/>
      <c r="AG153"/>
      <c r="AH153"/>
      <c r="AO153" s="74"/>
      <c r="AP153" s="74"/>
    </row>
    <row r="154" spans="1:59">
      <c r="A154" s="2"/>
      <c r="B154" s="3"/>
      <c r="C154" s="4"/>
      <c r="D154" s="4"/>
      <c r="E154" s="6"/>
      <c r="M154"/>
      <c r="N154"/>
      <c r="O154"/>
      <c r="V154"/>
      <c r="W154"/>
      <c r="Z154"/>
      <c r="AA154"/>
      <c r="AB154"/>
      <c r="AC154"/>
      <c r="AD154"/>
      <c r="AE154"/>
      <c r="AF154"/>
      <c r="AG154"/>
      <c r="AH154"/>
      <c r="AO154" s="74"/>
      <c r="AP154" s="74"/>
    </row>
    <row r="155" spans="1:59">
      <c r="A155" s="2"/>
      <c r="B155" s="3"/>
      <c r="C155" s="4"/>
      <c r="D155" s="4"/>
      <c r="E155" s="6"/>
      <c r="M155"/>
      <c r="N155"/>
      <c r="O155"/>
      <c r="V155"/>
      <c r="W155"/>
      <c r="Z155"/>
      <c r="AA155"/>
      <c r="AB155"/>
      <c r="AC155"/>
      <c r="AD155"/>
      <c r="AE155"/>
      <c r="AF155"/>
      <c r="AG155"/>
      <c r="AH155"/>
      <c r="AO155" s="74"/>
      <c r="AP155" s="74"/>
    </row>
    <row r="156" spans="1:59">
      <c r="A156" s="2"/>
      <c r="B156" s="3"/>
      <c r="C156" s="4"/>
      <c r="D156" s="4"/>
      <c r="E156" s="6"/>
      <c r="M156"/>
      <c r="N156"/>
      <c r="O156"/>
      <c r="V156"/>
      <c r="W156"/>
      <c r="Z156"/>
      <c r="AA156"/>
      <c r="AB156"/>
      <c r="AC156"/>
      <c r="AD156"/>
      <c r="AE156"/>
      <c r="AF156"/>
      <c r="AG156"/>
      <c r="AH156"/>
      <c r="AO156" s="74"/>
      <c r="AP156" s="74"/>
    </row>
    <row r="157" spans="1:59">
      <c r="A157" s="2"/>
      <c r="B157" s="3"/>
      <c r="C157" s="4"/>
      <c r="D157" s="4"/>
      <c r="E157" s="6"/>
      <c r="M157"/>
      <c r="N157"/>
      <c r="O157"/>
      <c r="V157"/>
      <c r="W157"/>
      <c r="Z157"/>
      <c r="AA157"/>
      <c r="AB157"/>
      <c r="AC157"/>
      <c r="AD157"/>
      <c r="AE157"/>
      <c r="AF157"/>
      <c r="AG157"/>
      <c r="AH157"/>
      <c r="AO157" s="74"/>
      <c r="AP157" s="74"/>
    </row>
    <row r="158" spans="1:59">
      <c r="A158" s="2"/>
      <c r="B158" s="3"/>
      <c r="C158" s="4"/>
      <c r="D158" s="4"/>
      <c r="E158" s="6"/>
      <c r="M158"/>
      <c r="N158"/>
      <c r="O158"/>
      <c r="V158"/>
      <c r="W158"/>
      <c r="Z158"/>
      <c r="AA158"/>
      <c r="AB158"/>
      <c r="AC158"/>
      <c r="AD158"/>
      <c r="AE158"/>
      <c r="AF158"/>
      <c r="AG158"/>
      <c r="AH158"/>
      <c r="AO158" s="74"/>
      <c r="AP158" s="74"/>
    </row>
    <row r="159" spans="1:59">
      <c r="A159" s="2"/>
      <c r="B159" s="3"/>
      <c r="C159" s="4"/>
      <c r="D159" s="4"/>
      <c r="E159" s="6"/>
      <c r="L159" s="6"/>
      <c r="M159" s="7"/>
      <c r="N159" s="7"/>
      <c r="O159" s="7"/>
      <c r="P159" s="6"/>
      <c r="Q159" s="6"/>
      <c r="R159" s="6"/>
      <c r="S159" s="7"/>
      <c r="T159" s="7"/>
      <c r="U159" s="7"/>
      <c r="V159" s="5"/>
      <c r="W159" s="5"/>
      <c r="X159" s="6"/>
      <c r="Y159" s="6"/>
      <c r="Z159" s="8"/>
      <c r="AA159" s="8"/>
      <c r="AB159" s="8"/>
      <c r="AC159" s="61"/>
      <c r="AD159" s="61"/>
      <c r="AE159" s="61"/>
      <c r="AF159" s="62"/>
      <c r="AG159" s="62"/>
      <c r="AH159" s="62"/>
      <c r="AI159" s="6"/>
      <c r="AJ159" s="6"/>
      <c r="AK159" s="6"/>
      <c r="AL159" s="18"/>
      <c r="AM159" s="18"/>
      <c r="AO159" s="74"/>
      <c r="AP159" s="74"/>
      <c r="AQ159" s="6"/>
      <c r="AR159" s="9"/>
      <c r="AS159" s="9"/>
      <c r="AT159" s="15"/>
      <c r="AU159" s="15"/>
      <c r="AV159" s="15"/>
      <c r="AW159" s="15"/>
      <c r="AX159" s="10"/>
      <c r="AY159" s="10"/>
      <c r="AZ159" s="10"/>
      <c r="BA159" s="10"/>
      <c r="BB159" s="10"/>
      <c r="BC159" s="11"/>
      <c r="BD159" s="11"/>
      <c r="BE159" s="11"/>
      <c r="BF159" s="11"/>
      <c r="BG159" s="11"/>
    </row>
    <row r="160" spans="1:59">
      <c r="A160" s="2"/>
      <c r="B160" s="3"/>
      <c r="C160" s="4"/>
      <c r="D160" s="4"/>
      <c r="E160" s="6"/>
      <c r="L160" s="6"/>
      <c r="M160" s="7"/>
      <c r="N160" s="7"/>
      <c r="O160" s="7"/>
      <c r="P160" s="6"/>
      <c r="Q160" s="6"/>
      <c r="R160" s="6"/>
      <c r="S160" s="7"/>
      <c r="T160" s="7"/>
      <c r="U160" s="7"/>
      <c r="V160" s="5"/>
      <c r="W160" s="5"/>
      <c r="X160" s="6"/>
      <c r="Y160" s="6"/>
      <c r="Z160" s="8"/>
      <c r="AA160" s="8"/>
      <c r="AB160" s="8"/>
      <c r="AC160" s="61"/>
      <c r="AD160" s="61"/>
      <c r="AE160" s="61"/>
      <c r="AF160" s="62"/>
      <c r="AG160" s="62"/>
      <c r="AH160" s="62"/>
      <c r="AI160" s="6"/>
      <c r="AJ160" s="6"/>
      <c r="AK160" s="6"/>
      <c r="AL160" s="18"/>
      <c r="AM160" s="18"/>
      <c r="AO160" s="74"/>
      <c r="AP160" s="74"/>
      <c r="AQ160" s="6"/>
      <c r="AR160" s="9"/>
      <c r="AS160" s="9"/>
      <c r="AT160" s="15"/>
      <c r="AU160" s="15"/>
      <c r="AV160" s="15"/>
      <c r="AW160" s="15"/>
      <c r="AX160" s="10"/>
      <c r="AY160" s="10"/>
      <c r="AZ160" s="10"/>
      <c r="BA160" s="10"/>
      <c r="BB160" s="10"/>
      <c r="BC160" s="11"/>
      <c r="BD160" s="11"/>
      <c r="BE160" s="11"/>
      <c r="BF160" s="11"/>
      <c r="BG160" s="11"/>
    </row>
    <row r="161" spans="1:59">
      <c r="A161" s="2"/>
      <c r="B161" s="3"/>
      <c r="C161" s="4"/>
      <c r="D161" s="4"/>
      <c r="E161" s="6"/>
      <c r="L161" s="6"/>
      <c r="M161" s="7"/>
      <c r="N161" s="7"/>
      <c r="O161" s="7"/>
      <c r="P161" s="6"/>
      <c r="Q161" s="6"/>
      <c r="R161" s="6"/>
      <c r="S161" s="7"/>
      <c r="T161" s="7"/>
      <c r="U161" s="7"/>
      <c r="V161" s="5"/>
      <c r="W161" s="5"/>
      <c r="X161" s="6"/>
      <c r="Y161" s="6"/>
      <c r="Z161" s="8"/>
      <c r="AA161" s="8"/>
      <c r="AB161" s="8"/>
      <c r="AC161" s="61"/>
      <c r="AD161" s="61"/>
      <c r="AE161" s="61"/>
      <c r="AF161" s="62"/>
      <c r="AG161" s="62"/>
      <c r="AH161" s="62"/>
      <c r="AI161" s="6"/>
      <c r="AJ161" s="6"/>
      <c r="AK161" s="6"/>
      <c r="AL161" s="18"/>
      <c r="AM161" s="18"/>
      <c r="AO161" s="74"/>
      <c r="AP161" s="74"/>
      <c r="AQ161" s="6"/>
      <c r="AR161" s="9"/>
      <c r="AS161" s="9"/>
      <c r="AT161" s="15"/>
      <c r="AU161" s="15"/>
      <c r="AV161" s="15"/>
      <c r="AW161" s="15"/>
      <c r="AX161" s="10"/>
      <c r="AY161" s="10"/>
      <c r="AZ161" s="10"/>
      <c r="BA161" s="10"/>
      <c r="BB161" s="10"/>
      <c r="BC161" s="11"/>
      <c r="BD161" s="11"/>
      <c r="BE161" s="11"/>
      <c r="BF161" s="11"/>
      <c r="BG161" s="11"/>
    </row>
    <row r="162" spans="1:59">
      <c r="A162" s="2"/>
      <c r="B162" s="3"/>
      <c r="C162" s="4"/>
      <c r="D162" s="4"/>
      <c r="E162" s="6"/>
      <c r="L162" s="6"/>
      <c r="M162" s="7"/>
      <c r="N162" s="7"/>
      <c r="O162" s="7"/>
      <c r="P162" s="6"/>
      <c r="Q162" s="6"/>
      <c r="R162" s="6"/>
      <c r="S162" s="7"/>
      <c r="T162" s="7"/>
      <c r="U162" s="7"/>
      <c r="V162" s="5"/>
      <c r="W162" s="5"/>
      <c r="X162" s="6"/>
      <c r="Y162" s="6"/>
      <c r="Z162" s="8"/>
      <c r="AA162" s="8"/>
      <c r="AB162" s="8"/>
      <c r="AC162" s="61"/>
      <c r="AD162" s="61"/>
      <c r="AE162" s="61"/>
      <c r="AF162" s="62"/>
      <c r="AG162" s="62"/>
      <c r="AH162" s="62"/>
      <c r="AI162" s="6"/>
      <c r="AJ162" s="6"/>
      <c r="AK162" s="6"/>
      <c r="AL162" s="18"/>
      <c r="AM162" s="18"/>
      <c r="AO162" s="74"/>
      <c r="AP162" s="74"/>
      <c r="AQ162" s="6"/>
      <c r="AR162" s="9"/>
      <c r="AS162" s="9"/>
      <c r="AT162" s="15"/>
      <c r="AU162" s="15"/>
      <c r="AV162" s="15"/>
      <c r="AW162" s="15"/>
      <c r="AX162" s="10"/>
      <c r="AY162" s="10"/>
      <c r="AZ162" s="10"/>
      <c r="BA162" s="10"/>
      <c r="BB162" s="10"/>
      <c r="BC162" s="11"/>
      <c r="BD162" s="11"/>
      <c r="BE162" s="11"/>
      <c r="BF162" s="11"/>
      <c r="BG162" s="11"/>
    </row>
    <row r="163" spans="1:59">
      <c r="A163" s="2"/>
      <c r="B163" s="3"/>
      <c r="C163" s="4"/>
      <c r="D163" s="4"/>
      <c r="E163" s="6"/>
      <c r="L163" s="6"/>
      <c r="M163" s="7"/>
      <c r="N163" s="7"/>
      <c r="O163" s="7"/>
      <c r="P163" s="6"/>
      <c r="Q163" s="6"/>
      <c r="R163" s="6"/>
      <c r="S163" s="7"/>
      <c r="T163" s="7"/>
      <c r="U163" s="7"/>
      <c r="V163" s="5"/>
      <c r="W163" s="5"/>
      <c r="X163" s="6"/>
      <c r="Y163" s="6"/>
      <c r="Z163" s="8"/>
      <c r="AA163" s="8"/>
      <c r="AB163" s="8"/>
      <c r="AC163" s="61"/>
      <c r="AD163" s="61"/>
      <c r="AE163" s="61"/>
      <c r="AF163" s="62"/>
      <c r="AG163" s="62"/>
      <c r="AH163" s="62"/>
      <c r="AI163" s="6"/>
      <c r="AJ163" s="6"/>
      <c r="AK163" s="6"/>
      <c r="AL163" s="18"/>
      <c r="AM163" s="18"/>
      <c r="AO163" s="74"/>
      <c r="AP163" s="74"/>
      <c r="AQ163" s="6"/>
      <c r="AR163" s="9"/>
      <c r="AS163" s="9"/>
      <c r="AT163" s="15"/>
      <c r="AU163" s="15"/>
      <c r="AV163" s="15"/>
      <c r="AW163" s="15"/>
      <c r="AX163" s="10"/>
      <c r="AY163" s="10"/>
      <c r="AZ163" s="10"/>
      <c r="BA163" s="10"/>
      <c r="BB163" s="10"/>
      <c r="BC163" s="11"/>
      <c r="BD163" s="11"/>
      <c r="BE163" s="11"/>
      <c r="BF163" s="11"/>
      <c r="BG163" s="11"/>
    </row>
    <row r="164" spans="1:59">
      <c r="A164" s="19"/>
      <c r="B164" s="19"/>
      <c r="C164" s="4"/>
      <c r="D164" s="4"/>
      <c r="E164" s="6"/>
      <c r="L164" s="6"/>
      <c r="M164" s="7"/>
      <c r="N164" s="7"/>
      <c r="O164" s="7"/>
      <c r="P164" s="6"/>
      <c r="Q164" s="6"/>
      <c r="R164" s="6"/>
      <c r="S164" s="7"/>
      <c r="T164" s="7"/>
      <c r="U164" s="7"/>
      <c r="V164" s="5"/>
      <c r="W164" s="5"/>
      <c r="X164" s="6"/>
      <c r="Y164" s="6"/>
      <c r="Z164" s="8"/>
      <c r="AA164" s="8"/>
      <c r="AB164" s="8"/>
      <c r="AC164" s="61"/>
      <c r="AD164" s="61"/>
      <c r="AE164" s="61"/>
      <c r="AF164" s="62"/>
      <c r="AG164" s="62"/>
      <c r="AH164" s="62"/>
      <c r="AI164" s="6"/>
      <c r="AJ164" s="6"/>
      <c r="AK164" s="6"/>
      <c r="AL164" s="18"/>
      <c r="AM164" s="18"/>
      <c r="AO164" s="74"/>
      <c r="AP164" s="74"/>
      <c r="AQ164" s="6"/>
      <c r="AR164" s="9"/>
      <c r="AS164" s="9"/>
      <c r="AT164" s="15"/>
      <c r="AU164" s="15"/>
      <c r="AV164" s="15"/>
      <c r="AW164" s="15"/>
      <c r="AX164" s="10"/>
      <c r="AY164" s="10"/>
      <c r="AZ164" s="10"/>
      <c r="BA164" s="10"/>
      <c r="BB164" s="10"/>
      <c r="BC164" s="11"/>
      <c r="BD164" s="11"/>
      <c r="BE164" s="11"/>
      <c r="BF164" s="11"/>
      <c r="BG164" s="11"/>
    </row>
    <row r="165" spans="1:59">
      <c r="A165" s="19"/>
      <c r="B165" s="19"/>
      <c r="C165" s="4"/>
      <c r="D165" s="4"/>
      <c r="E165" s="6"/>
      <c r="L165" s="6"/>
      <c r="M165" s="7"/>
      <c r="N165" s="7"/>
      <c r="O165" s="7"/>
      <c r="P165" s="6"/>
      <c r="Q165" s="6"/>
      <c r="R165" s="6"/>
      <c r="S165" s="7"/>
      <c r="T165" s="7"/>
      <c r="U165" s="7"/>
      <c r="V165" s="5"/>
      <c r="W165" s="5"/>
      <c r="X165" s="6"/>
      <c r="Y165" s="6"/>
      <c r="Z165" s="8"/>
      <c r="AA165" s="8"/>
      <c r="AB165" s="8"/>
      <c r="AC165" s="61"/>
      <c r="AD165" s="61"/>
      <c r="AE165" s="61"/>
      <c r="AF165" s="62"/>
      <c r="AG165" s="62"/>
      <c r="AH165" s="62"/>
      <c r="AI165" s="6"/>
      <c r="AJ165" s="6"/>
      <c r="AK165" s="6"/>
      <c r="AL165" s="18"/>
      <c r="AM165" s="18"/>
      <c r="AO165" s="74"/>
      <c r="AP165" s="74"/>
      <c r="AQ165" s="6"/>
      <c r="AR165" s="9"/>
      <c r="AS165" s="9"/>
      <c r="AT165" s="15"/>
      <c r="AU165" s="15"/>
      <c r="AV165" s="15"/>
      <c r="AW165" s="15"/>
      <c r="AX165" s="10"/>
      <c r="AY165" s="10"/>
      <c r="AZ165" s="10"/>
      <c r="BA165" s="10"/>
      <c r="BB165" s="10"/>
      <c r="BC165" s="11"/>
      <c r="BD165" s="11"/>
      <c r="BE165" s="11"/>
      <c r="BF165" s="11"/>
      <c r="BG165" s="11"/>
    </row>
    <row r="166" spans="1:59">
      <c r="A166" s="19"/>
      <c r="B166" s="19"/>
      <c r="C166" s="4"/>
      <c r="D166" s="4"/>
      <c r="E166" s="6"/>
      <c r="L166" s="6"/>
      <c r="M166" s="7"/>
      <c r="N166" s="7"/>
      <c r="O166" s="7"/>
      <c r="P166" s="6"/>
      <c r="Q166" s="6"/>
      <c r="R166" s="6"/>
      <c r="S166" s="7"/>
      <c r="T166" s="7"/>
      <c r="U166" s="7"/>
      <c r="V166" s="5"/>
      <c r="W166" s="5"/>
      <c r="X166" s="6"/>
      <c r="Y166" s="6"/>
      <c r="Z166" s="8"/>
      <c r="AA166" s="8"/>
      <c r="AB166" s="8"/>
      <c r="AC166" s="61"/>
      <c r="AD166" s="61"/>
      <c r="AE166" s="61"/>
      <c r="AF166" s="62"/>
      <c r="AG166" s="62"/>
      <c r="AH166" s="62"/>
      <c r="AI166" s="6"/>
      <c r="AJ166" s="6"/>
      <c r="AK166" s="6"/>
      <c r="AL166" s="18"/>
      <c r="AM166" s="18"/>
      <c r="AO166" s="74"/>
      <c r="AP166" s="74"/>
      <c r="AQ166" s="6"/>
      <c r="AR166" s="9"/>
      <c r="AS166" s="9"/>
      <c r="AT166" s="15"/>
      <c r="AU166" s="15"/>
      <c r="AV166" s="15"/>
      <c r="AW166" s="15"/>
      <c r="AX166" s="10"/>
      <c r="AY166" s="10"/>
      <c r="AZ166" s="10"/>
      <c r="BA166" s="10"/>
      <c r="BB166" s="10"/>
      <c r="BC166" s="11"/>
      <c r="BD166" s="11"/>
      <c r="BE166" s="11"/>
      <c r="BF166" s="11"/>
      <c r="BG166" s="11"/>
    </row>
    <row r="167" spans="1:59">
      <c r="C167" s="4"/>
      <c r="D167" s="4"/>
      <c r="E167" s="6"/>
      <c r="L167" s="6"/>
      <c r="M167" s="7"/>
      <c r="N167" s="7"/>
      <c r="O167" s="7"/>
      <c r="P167" s="6"/>
      <c r="Q167" s="6"/>
      <c r="R167" s="6"/>
      <c r="S167" s="7"/>
      <c r="T167" s="7"/>
      <c r="U167" s="7"/>
      <c r="V167" s="5"/>
      <c r="W167" s="5"/>
      <c r="X167" s="6"/>
      <c r="Y167" s="6"/>
      <c r="Z167" s="8"/>
      <c r="AA167" s="8"/>
      <c r="AB167" s="8"/>
      <c r="AC167" s="61"/>
      <c r="AD167" s="61"/>
      <c r="AE167" s="61"/>
      <c r="AF167" s="62"/>
      <c r="AG167" s="62"/>
      <c r="AH167" s="62"/>
      <c r="AI167" s="6"/>
      <c r="AJ167" s="6"/>
      <c r="AK167" s="6"/>
      <c r="AL167" s="18"/>
      <c r="AM167" s="18"/>
      <c r="AN167" s="18"/>
      <c r="AO167" s="6"/>
      <c r="AP167" s="6"/>
      <c r="AQ167" s="6"/>
      <c r="AR167" s="9"/>
      <c r="AS167" s="9"/>
      <c r="AT167" s="15"/>
      <c r="AU167" s="15"/>
      <c r="AV167" s="15"/>
      <c r="AW167" s="15"/>
      <c r="AX167" s="10"/>
      <c r="AY167" s="10"/>
      <c r="AZ167" s="10"/>
      <c r="BA167" s="10"/>
      <c r="BB167" s="10"/>
      <c r="BC167" s="11"/>
      <c r="BD167" s="11"/>
      <c r="BE167" s="11"/>
      <c r="BF167" s="11"/>
      <c r="BG167" s="11"/>
    </row>
    <row r="168" spans="1:59">
      <c r="C168" s="6" t="s">
        <v>141</v>
      </c>
      <c r="D168" s="6" t="s">
        <v>141</v>
      </c>
      <c r="E168" s="6" t="s">
        <v>141</v>
      </c>
      <c r="L168" s="6" t="s">
        <v>141</v>
      </c>
      <c r="M168" s="7" t="s">
        <v>141</v>
      </c>
      <c r="N168" s="7"/>
      <c r="O168" s="7" t="s">
        <v>141</v>
      </c>
      <c r="P168" s="6" t="s">
        <v>141</v>
      </c>
      <c r="Q168" s="6"/>
      <c r="R168" s="6" t="s">
        <v>141</v>
      </c>
      <c r="S168" s="7" t="s">
        <v>141</v>
      </c>
      <c r="T168" s="7"/>
      <c r="U168" s="7" t="s">
        <v>141</v>
      </c>
      <c r="V168" s="5" t="s">
        <v>141</v>
      </c>
      <c r="W168" s="5"/>
      <c r="X168" s="6" t="s">
        <v>141</v>
      </c>
      <c r="Y168" s="6"/>
      <c r="Z168" s="8" t="s">
        <v>141</v>
      </c>
      <c r="AA168" s="8"/>
      <c r="AB168" s="8" t="s">
        <v>141</v>
      </c>
      <c r="AC168" s="61" t="s">
        <v>141</v>
      </c>
      <c r="AD168" s="61"/>
      <c r="AE168" s="61" t="s">
        <v>141</v>
      </c>
      <c r="AF168" s="62"/>
      <c r="AG168" s="62"/>
      <c r="AH168" s="62"/>
      <c r="AI168" s="6"/>
      <c r="AJ168" s="6"/>
      <c r="AK168" s="6"/>
      <c r="AL168" s="18"/>
      <c r="AM168" s="18"/>
      <c r="AN168" s="18"/>
      <c r="AO168" s="6"/>
      <c r="AP168" s="6"/>
      <c r="AQ168" s="6"/>
      <c r="AR168" s="9"/>
      <c r="AS168" s="9"/>
      <c r="AT168" s="15"/>
      <c r="AU168" s="15"/>
      <c r="AV168" s="15"/>
      <c r="AW168" s="15"/>
      <c r="AX168" s="10"/>
      <c r="AY168" s="10"/>
      <c r="AZ168" s="10"/>
      <c r="BA168" s="10"/>
      <c r="BB168" s="10"/>
      <c r="BC168" s="11"/>
      <c r="BD168" s="11"/>
      <c r="BE168" s="11"/>
      <c r="BF168" s="11"/>
      <c r="BG168" s="11"/>
    </row>
    <row r="169" spans="1:59">
      <c r="C169" s="6" t="s">
        <v>141</v>
      </c>
      <c r="D169" s="6" t="s">
        <v>141</v>
      </c>
      <c r="E169" s="6" t="s">
        <v>141</v>
      </c>
      <c r="L169" s="6" t="s">
        <v>141</v>
      </c>
      <c r="M169" s="7" t="s">
        <v>141</v>
      </c>
      <c r="N169" s="7"/>
      <c r="O169" s="7" t="s">
        <v>141</v>
      </c>
      <c r="P169" s="6" t="s">
        <v>141</v>
      </c>
      <c r="Q169" s="6"/>
      <c r="R169" s="6" t="s">
        <v>141</v>
      </c>
      <c r="S169" s="7" t="s">
        <v>141</v>
      </c>
      <c r="T169" s="7"/>
      <c r="U169" s="7" t="s">
        <v>141</v>
      </c>
      <c r="V169" s="5" t="s">
        <v>141</v>
      </c>
      <c r="W169" s="5"/>
      <c r="X169" s="6" t="s">
        <v>141</v>
      </c>
      <c r="Y169" s="6"/>
      <c r="Z169" s="8" t="s">
        <v>141</v>
      </c>
      <c r="AA169" s="8"/>
      <c r="AB169" s="8" t="s">
        <v>141</v>
      </c>
      <c r="AC169" s="61" t="s">
        <v>141</v>
      </c>
      <c r="AD169" s="61"/>
      <c r="AE169" s="61" t="s">
        <v>141</v>
      </c>
      <c r="AF169" s="62"/>
      <c r="AG169" s="62"/>
      <c r="AH169" s="62"/>
      <c r="AI169" s="6"/>
      <c r="AJ169" s="6"/>
      <c r="AK169" s="6"/>
      <c r="AL169" s="18"/>
      <c r="AM169" s="18"/>
      <c r="AN169" s="18"/>
      <c r="AO169" s="6"/>
      <c r="AP169" s="6"/>
      <c r="AQ169" s="6"/>
      <c r="AR169" s="9"/>
      <c r="AS169" s="9"/>
      <c r="AT169" s="15"/>
      <c r="AU169" s="15"/>
      <c r="AV169" s="15"/>
      <c r="AW169" s="15"/>
      <c r="AX169" s="10"/>
      <c r="AY169" s="10"/>
      <c r="AZ169" s="10"/>
      <c r="BA169" s="10"/>
      <c r="BB169" s="10"/>
      <c r="BC169" s="11"/>
      <c r="BD169" s="11"/>
      <c r="BE169" s="11"/>
      <c r="BF169" s="11"/>
      <c r="BG169" s="11"/>
    </row>
    <row r="170" spans="1:59">
      <c r="C170" s="6" t="s">
        <v>141</v>
      </c>
      <c r="D170" s="6" t="s">
        <v>141</v>
      </c>
      <c r="E170" s="6" t="s">
        <v>141</v>
      </c>
      <c r="L170" s="6" t="s">
        <v>141</v>
      </c>
      <c r="M170" s="7" t="s">
        <v>141</v>
      </c>
      <c r="N170" s="7"/>
      <c r="O170" s="7" t="s">
        <v>141</v>
      </c>
      <c r="P170" s="6" t="s">
        <v>141</v>
      </c>
      <c r="Q170" s="6"/>
      <c r="R170" s="6" t="s">
        <v>141</v>
      </c>
      <c r="S170" s="7" t="s">
        <v>141</v>
      </c>
      <c r="T170" s="7"/>
      <c r="U170" s="7" t="s">
        <v>141</v>
      </c>
      <c r="V170" s="5" t="s">
        <v>141</v>
      </c>
      <c r="W170" s="5"/>
      <c r="X170" s="6" t="s">
        <v>141</v>
      </c>
      <c r="Y170" s="6"/>
      <c r="Z170" s="8" t="s">
        <v>141</v>
      </c>
      <c r="AA170" s="8"/>
      <c r="AB170" s="8" t="s">
        <v>141</v>
      </c>
      <c r="AC170" s="61" t="s">
        <v>141</v>
      </c>
      <c r="AD170" s="61"/>
      <c r="AE170" s="61" t="s">
        <v>141</v>
      </c>
      <c r="AF170" s="62"/>
      <c r="AG170" s="62"/>
      <c r="AH170" s="62"/>
      <c r="AI170" s="6"/>
      <c r="AJ170" s="6"/>
      <c r="AK170" s="6"/>
      <c r="AL170" s="18"/>
      <c r="AM170" s="18"/>
      <c r="AN170" s="18"/>
      <c r="AO170" s="6"/>
      <c r="AP170" s="6"/>
      <c r="AQ170" s="6"/>
      <c r="AR170" s="9"/>
      <c r="AS170" s="9"/>
      <c r="AT170" s="15"/>
      <c r="AU170" s="15"/>
      <c r="AV170" s="15"/>
      <c r="AW170" s="15"/>
      <c r="AX170" s="10"/>
      <c r="AY170" s="10"/>
      <c r="AZ170" s="10"/>
      <c r="BA170" s="10"/>
      <c r="BB170" s="10"/>
      <c r="BC170" s="11"/>
      <c r="BD170" s="11"/>
      <c r="BE170" s="11"/>
      <c r="BF170" s="11"/>
      <c r="BG170" s="11"/>
    </row>
    <row r="171" spans="1:59">
      <c r="C171" s="6" t="s">
        <v>141</v>
      </c>
      <c r="D171" s="6" t="s">
        <v>141</v>
      </c>
      <c r="E171" s="6" t="s">
        <v>141</v>
      </c>
      <c r="L171" s="6" t="s">
        <v>141</v>
      </c>
      <c r="M171" s="7" t="s">
        <v>141</v>
      </c>
      <c r="N171" s="7"/>
      <c r="O171" s="7" t="s">
        <v>141</v>
      </c>
      <c r="P171" s="6" t="s">
        <v>141</v>
      </c>
      <c r="Q171" s="6"/>
      <c r="R171" s="6" t="s">
        <v>141</v>
      </c>
      <c r="S171" s="7" t="s">
        <v>141</v>
      </c>
      <c r="T171" s="7"/>
      <c r="U171" s="7" t="s">
        <v>141</v>
      </c>
      <c r="V171" s="5" t="s">
        <v>141</v>
      </c>
      <c r="W171" s="5"/>
      <c r="X171" s="6" t="s">
        <v>141</v>
      </c>
      <c r="Y171" s="6"/>
      <c r="Z171" s="8" t="s">
        <v>141</v>
      </c>
      <c r="AA171" s="8"/>
      <c r="AB171" s="8" t="s">
        <v>141</v>
      </c>
      <c r="AC171" s="61" t="s">
        <v>141</v>
      </c>
      <c r="AD171" s="61"/>
      <c r="AE171" s="61" t="s">
        <v>141</v>
      </c>
      <c r="AF171" s="62"/>
      <c r="AG171" s="62"/>
      <c r="AH171" s="62"/>
      <c r="AI171" s="6"/>
      <c r="AJ171" s="6"/>
      <c r="AK171" s="6"/>
      <c r="AL171" s="18"/>
      <c r="AM171" s="18"/>
      <c r="AN171" s="18"/>
      <c r="AO171" s="6"/>
      <c r="AP171" s="6"/>
      <c r="AQ171" s="6"/>
      <c r="AR171" s="9"/>
      <c r="AS171" s="9"/>
      <c r="AT171" s="15"/>
      <c r="AU171" s="15"/>
      <c r="AV171" s="15"/>
      <c r="AW171" s="15"/>
      <c r="AX171" s="10"/>
      <c r="AY171" s="10"/>
      <c r="AZ171" s="10"/>
      <c r="BA171" s="10"/>
      <c r="BB171" s="10"/>
      <c r="BC171" s="11"/>
      <c r="BD171" s="11"/>
      <c r="BE171" s="11"/>
      <c r="BF171" s="11"/>
      <c r="BG171" s="11"/>
    </row>
    <row r="172" spans="1:59">
      <c r="C172" s="6" t="s">
        <v>141</v>
      </c>
      <c r="D172" s="6" t="s">
        <v>141</v>
      </c>
      <c r="E172" s="6" t="s">
        <v>141</v>
      </c>
      <c r="L172" s="6" t="s">
        <v>141</v>
      </c>
      <c r="M172" s="7" t="s">
        <v>141</v>
      </c>
      <c r="N172" s="7"/>
      <c r="O172" s="7" t="s">
        <v>141</v>
      </c>
      <c r="P172" s="6" t="s">
        <v>141</v>
      </c>
      <c r="Q172" s="6"/>
      <c r="R172" s="6" t="s">
        <v>141</v>
      </c>
      <c r="S172" s="7" t="s">
        <v>141</v>
      </c>
      <c r="T172" s="7"/>
      <c r="U172" s="7" t="s">
        <v>141</v>
      </c>
      <c r="V172" s="5" t="s">
        <v>141</v>
      </c>
      <c r="W172" s="5"/>
      <c r="X172" s="6" t="s">
        <v>141</v>
      </c>
      <c r="Y172" s="6"/>
      <c r="Z172" s="8" t="s">
        <v>141</v>
      </c>
      <c r="AA172" s="8"/>
      <c r="AB172" s="8" t="s">
        <v>141</v>
      </c>
      <c r="AC172" s="61" t="s">
        <v>141</v>
      </c>
      <c r="AD172" s="61"/>
      <c r="AE172" s="61" t="s">
        <v>141</v>
      </c>
      <c r="AF172" s="62"/>
      <c r="AG172" s="62"/>
      <c r="AH172" s="62"/>
      <c r="AI172" s="6"/>
      <c r="AJ172" s="6"/>
      <c r="AK172" s="6"/>
      <c r="AL172" s="18"/>
      <c r="AM172" s="18"/>
      <c r="AN172" s="18"/>
      <c r="AO172" s="6"/>
      <c r="AP172" s="6"/>
      <c r="AQ172" s="6"/>
      <c r="AR172" s="9"/>
      <c r="AS172" s="9"/>
      <c r="AT172" s="15"/>
      <c r="AU172" s="15"/>
      <c r="AV172" s="15"/>
      <c r="AW172" s="15"/>
      <c r="AX172" s="10"/>
      <c r="AY172" s="10"/>
      <c r="AZ172" s="10"/>
      <c r="BA172" s="10"/>
      <c r="BB172" s="10"/>
      <c r="BC172" s="11"/>
      <c r="BD172" s="11"/>
      <c r="BE172" s="11"/>
      <c r="BF172" s="11"/>
      <c r="BG172" s="11"/>
    </row>
    <row r="173" spans="1:59">
      <c r="C173" s="6" t="s">
        <v>141</v>
      </c>
      <c r="D173" s="6" t="s">
        <v>141</v>
      </c>
      <c r="E173" s="6" t="s">
        <v>141</v>
      </c>
      <c r="L173" s="6" t="s">
        <v>141</v>
      </c>
      <c r="M173" s="7" t="s">
        <v>141</v>
      </c>
      <c r="N173" s="7"/>
      <c r="O173" s="7" t="s">
        <v>141</v>
      </c>
      <c r="P173" s="6" t="s">
        <v>141</v>
      </c>
      <c r="Q173" s="6"/>
      <c r="R173" s="6" t="s">
        <v>141</v>
      </c>
      <c r="S173" s="7" t="s">
        <v>141</v>
      </c>
      <c r="T173" s="7"/>
      <c r="U173" s="7" t="s">
        <v>141</v>
      </c>
      <c r="V173" s="5" t="s">
        <v>141</v>
      </c>
      <c r="W173" s="5"/>
      <c r="X173" s="6" t="s">
        <v>141</v>
      </c>
      <c r="Y173" s="6"/>
      <c r="Z173" s="8" t="s">
        <v>141</v>
      </c>
      <c r="AA173" s="8"/>
      <c r="AB173" s="8" t="s">
        <v>141</v>
      </c>
      <c r="AC173" s="61" t="s">
        <v>141</v>
      </c>
      <c r="AD173" s="61"/>
      <c r="AE173" s="61" t="s">
        <v>141</v>
      </c>
      <c r="AF173" s="62"/>
      <c r="AG173" s="62"/>
      <c r="AH173" s="62"/>
      <c r="AI173" s="6"/>
      <c r="AJ173" s="6"/>
      <c r="AK173" s="6"/>
      <c r="AL173" s="18"/>
      <c r="AM173" s="18"/>
      <c r="AN173" s="18"/>
      <c r="AO173" s="6"/>
      <c r="AP173" s="6"/>
      <c r="AQ173" s="6"/>
      <c r="AR173" s="9"/>
      <c r="AS173" s="9"/>
      <c r="AT173" s="15"/>
      <c r="AU173" s="15"/>
      <c r="AV173" s="15"/>
      <c r="AW173" s="15"/>
      <c r="AX173" s="10"/>
      <c r="AY173" s="10"/>
      <c r="AZ173" s="10"/>
      <c r="BA173" s="10"/>
      <c r="BB173" s="10"/>
      <c r="BC173" s="11"/>
      <c r="BD173" s="11"/>
      <c r="BE173" s="11"/>
      <c r="BF173" s="11"/>
      <c r="BG173" s="11"/>
    </row>
    <row r="174" spans="1:59">
      <c r="C174" s="6" t="s">
        <v>141</v>
      </c>
      <c r="D174" s="6" t="s">
        <v>141</v>
      </c>
      <c r="E174" s="6" t="s">
        <v>141</v>
      </c>
      <c r="L174" s="6" t="s">
        <v>141</v>
      </c>
      <c r="M174" s="7" t="s">
        <v>141</v>
      </c>
      <c r="N174" s="7"/>
      <c r="O174" s="7" t="s">
        <v>141</v>
      </c>
      <c r="P174" s="6" t="s">
        <v>141</v>
      </c>
      <c r="Q174" s="6"/>
      <c r="R174" s="6" t="s">
        <v>141</v>
      </c>
      <c r="S174" s="7" t="s">
        <v>141</v>
      </c>
      <c r="T174" s="7"/>
      <c r="U174" s="7" t="s">
        <v>141</v>
      </c>
      <c r="V174" s="5" t="s">
        <v>141</v>
      </c>
      <c r="W174" s="5"/>
      <c r="X174" s="6" t="s">
        <v>141</v>
      </c>
      <c r="Y174" s="6"/>
      <c r="Z174" s="8" t="s">
        <v>141</v>
      </c>
      <c r="AA174" s="8"/>
      <c r="AB174" s="8" t="s">
        <v>141</v>
      </c>
      <c r="AC174" s="61" t="s">
        <v>141</v>
      </c>
      <c r="AD174" s="61"/>
      <c r="AE174" s="61" t="s">
        <v>141</v>
      </c>
      <c r="AF174" s="62"/>
      <c r="AG174" s="62"/>
      <c r="AH174" s="62"/>
      <c r="AI174" s="6"/>
      <c r="AJ174" s="6"/>
      <c r="AK174" s="6"/>
      <c r="AL174" s="18"/>
      <c r="AM174" s="18"/>
      <c r="AN174" s="18"/>
      <c r="AO174" s="6"/>
      <c r="AP174" s="6"/>
      <c r="AQ174" s="6"/>
      <c r="AR174" s="9"/>
      <c r="AS174" s="9"/>
      <c r="AT174" s="15"/>
      <c r="AU174" s="15"/>
      <c r="AV174" s="15"/>
      <c r="AW174" s="15"/>
      <c r="AX174" s="10"/>
      <c r="AY174" s="10"/>
      <c r="AZ174" s="10"/>
      <c r="BA174" s="10"/>
      <c r="BB174" s="10"/>
      <c r="BC174" s="11"/>
      <c r="BD174" s="11"/>
      <c r="BE174" s="11"/>
      <c r="BF174" s="11"/>
      <c r="BG174" s="11"/>
    </row>
    <row r="175" spans="1:59">
      <c r="C175" s="6" t="s">
        <v>141</v>
      </c>
      <c r="D175" s="6" t="s">
        <v>141</v>
      </c>
      <c r="E175" s="6" t="s">
        <v>141</v>
      </c>
      <c r="L175" s="6" t="s">
        <v>141</v>
      </c>
      <c r="M175" s="7" t="s">
        <v>141</v>
      </c>
      <c r="N175" s="7"/>
      <c r="O175" s="7" t="s">
        <v>141</v>
      </c>
      <c r="P175" s="6" t="s">
        <v>141</v>
      </c>
      <c r="Q175" s="6"/>
      <c r="R175" s="6" t="s">
        <v>141</v>
      </c>
      <c r="S175" s="7" t="s">
        <v>141</v>
      </c>
      <c r="T175" s="7"/>
      <c r="U175" s="7" t="s">
        <v>141</v>
      </c>
      <c r="V175" s="5" t="s">
        <v>141</v>
      </c>
      <c r="W175" s="5"/>
      <c r="X175" s="6" t="s">
        <v>141</v>
      </c>
      <c r="Y175" s="6"/>
      <c r="Z175" s="8" t="s">
        <v>141</v>
      </c>
      <c r="AA175" s="8"/>
      <c r="AB175" s="8" t="s">
        <v>141</v>
      </c>
      <c r="AC175" s="61" t="s">
        <v>141</v>
      </c>
      <c r="AD175" s="61"/>
      <c r="AE175" s="61" t="s">
        <v>141</v>
      </c>
      <c r="AF175" s="62"/>
      <c r="AG175" s="62"/>
      <c r="AH175" s="62"/>
      <c r="AI175" s="6"/>
      <c r="AJ175" s="6"/>
      <c r="AK175" s="6"/>
      <c r="AL175" s="18"/>
      <c r="AM175" s="18"/>
      <c r="AN175" s="18"/>
      <c r="AO175" s="6"/>
      <c r="AP175" s="6"/>
      <c r="AQ175" s="6"/>
      <c r="AR175" s="9"/>
      <c r="AS175" s="9"/>
      <c r="AT175" s="15"/>
      <c r="AU175" s="15"/>
      <c r="AV175" s="15"/>
      <c r="AW175" s="15"/>
      <c r="AX175" s="10"/>
      <c r="AY175" s="10"/>
      <c r="AZ175" s="10"/>
      <c r="BA175" s="10"/>
      <c r="BB175" s="10"/>
      <c r="BC175" s="11"/>
      <c r="BD175" s="11"/>
      <c r="BE175" s="11"/>
      <c r="BF175" s="11"/>
      <c r="BG175" s="11"/>
    </row>
    <row r="176" spans="1:59">
      <c r="C176" s="6" t="s">
        <v>141</v>
      </c>
      <c r="D176" s="6" t="s">
        <v>141</v>
      </c>
      <c r="E176" s="6" t="s">
        <v>141</v>
      </c>
      <c r="L176" s="6" t="s">
        <v>141</v>
      </c>
      <c r="M176" s="7" t="s">
        <v>141</v>
      </c>
      <c r="N176" s="7"/>
      <c r="O176" s="7" t="s">
        <v>141</v>
      </c>
      <c r="P176" s="6" t="s">
        <v>141</v>
      </c>
      <c r="Q176" s="6"/>
      <c r="R176" s="6" t="s">
        <v>141</v>
      </c>
      <c r="S176" s="7" t="s">
        <v>141</v>
      </c>
      <c r="T176" s="7"/>
      <c r="U176" s="7" t="s">
        <v>141</v>
      </c>
      <c r="V176" s="5" t="s">
        <v>141</v>
      </c>
      <c r="W176" s="5"/>
      <c r="X176" s="6" t="s">
        <v>141</v>
      </c>
      <c r="Y176" s="6"/>
      <c r="Z176" s="8" t="s">
        <v>141</v>
      </c>
      <c r="AA176" s="8"/>
      <c r="AB176" s="8" t="s">
        <v>141</v>
      </c>
      <c r="AC176" s="61" t="s">
        <v>141</v>
      </c>
      <c r="AD176" s="61"/>
      <c r="AE176" s="61" t="s">
        <v>141</v>
      </c>
      <c r="AF176" s="62"/>
      <c r="AG176" s="62"/>
      <c r="AH176" s="62"/>
      <c r="AI176" s="6"/>
      <c r="AJ176" s="6"/>
      <c r="AK176" s="6"/>
      <c r="AL176" s="18"/>
      <c r="AM176" s="18"/>
      <c r="AN176" s="18"/>
      <c r="AO176" s="6"/>
      <c r="AP176" s="6"/>
      <c r="AQ176" s="6"/>
      <c r="AR176" s="9"/>
      <c r="AS176" s="9"/>
      <c r="AT176" s="15"/>
      <c r="AU176" s="15"/>
      <c r="AV176" s="15"/>
      <c r="AW176" s="15"/>
      <c r="AX176" s="10"/>
      <c r="AY176" s="10"/>
      <c r="AZ176" s="10"/>
      <c r="BA176" s="10"/>
      <c r="BB176" s="10"/>
      <c r="BC176" s="11"/>
      <c r="BD176" s="11"/>
      <c r="BE176" s="11"/>
      <c r="BF176" s="11"/>
      <c r="BG176" s="11"/>
    </row>
    <row r="177" spans="3:59">
      <c r="C177" s="6" t="s">
        <v>141</v>
      </c>
      <c r="D177" s="6" t="s">
        <v>141</v>
      </c>
      <c r="E177" s="6" t="s">
        <v>141</v>
      </c>
      <c r="L177" s="6" t="s">
        <v>141</v>
      </c>
      <c r="M177" s="7" t="s">
        <v>141</v>
      </c>
      <c r="N177" s="7"/>
      <c r="O177" s="7" t="s">
        <v>141</v>
      </c>
      <c r="P177" s="6" t="s">
        <v>141</v>
      </c>
      <c r="Q177" s="6"/>
      <c r="R177" s="6" t="s">
        <v>141</v>
      </c>
      <c r="S177" s="7" t="s">
        <v>141</v>
      </c>
      <c r="T177" s="7"/>
      <c r="U177" s="7" t="s">
        <v>141</v>
      </c>
      <c r="V177" s="5" t="s">
        <v>141</v>
      </c>
      <c r="W177" s="5"/>
      <c r="X177" s="6" t="s">
        <v>141</v>
      </c>
      <c r="Y177" s="6"/>
      <c r="Z177" s="8" t="s">
        <v>141</v>
      </c>
      <c r="AA177" s="8"/>
      <c r="AB177" s="8" t="s">
        <v>141</v>
      </c>
      <c r="AC177" s="61" t="s">
        <v>141</v>
      </c>
      <c r="AD177" s="61"/>
      <c r="AE177" s="61" t="s">
        <v>141</v>
      </c>
      <c r="AF177" s="62"/>
      <c r="AG177" s="62"/>
      <c r="AH177" s="62"/>
      <c r="AI177" s="6"/>
      <c r="AJ177" s="6"/>
      <c r="AK177" s="6"/>
      <c r="AL177" s="18"/>
      <c r="AM177" s="18"/>
      <c r="AN177" s="18"/>
      <c r="AO177" s="6"/>
      <c r="AP177" s="6"/>
      <c r="AQ177" s="6"/>
      <c r="AR177" s="9"/>
      <c r="AS177" s="9"/>
      <c r="AT177" s="15"/>
      <c r="AU177" s="15"/>
      <c r="AV177" s="15"/>
      <c r="AW177" s="15"/>
      <c r="AX177" s="10"/>
      <c r="AY177" s="10"/>
      <c r="AZ177" s="10"/>
      <c r="BA177" s="10"/>
      <c r="BB177" s="10"/>
      <c r="BC177" s="11"/>
      <c r="BD177" s="11"/>
      <c r="BE177" s="11"/>
      <c r="BF177" s="11"/>
      <c r="BG177" s="11"/>
    </row>
    <row r="178" spans="3:59">
      <c r="C178" s="6" t="s">
        <v>141</v>
      </c>
      <c r="D178" s="6" t="s">
        <v>141</v>
      </c>
      <c r="E178" s="6" t="s">
        <v>141</v>
      </c>
      <c r="L178" s="6" t="s">
        <v>141</v>
      </c>
      <c r="M178" s="7" t="s">
        <v>141</v>
      </c>
      <c r="N178" s="7"/>
      <c r="O178" s="7" t="s">
        <v>141</v>
      </c>
      <c r="P178" s="6" t="s">
        <v>141</v>
      </c>
      <c r="Q178" s="6"/>
      <c r="R178" s="6" t="s">
        <v>141</v>
      </c>
      <c r="S178" s="7" t="s">
        <v>141</v>
      </c>
      <c r="T178" s="7"/>
      <c r="U178" s="7" t="s">
        <v>141</v>
      </c>
      <c r="V178" s="5" t="s">
        <v>141</v>
      </c>
      <c r="W178" s="5"/>
      <c r="X178" s="6" t="s">
        <v>141</v>
      </c>
      <c r="Y178" s="6"/>
      <c r="Z178" s="8" t="s">
        <v>141</v>
      </c>
      <c r="AA178" s="8"/>
      <c r="AB178" s="8" t="s">
        <v>141</v>
      </c>
      <c r="AC178" s="61" t="s">
        <v>141</v>
      </c>
      <c r="AD178" s="61"/>
      <c r="AE178" s="61" t="s">
        <v>141</v>
      </c>
      <c r="AF178" s="62"/>
      <c r="AG178" s="62"/>
      <c r="AH178" s="62"/>
      <c r="AI178" s="6"/>
      <c r="AJ178" s="6"/>
      <c r="AK178" s="6"/>
      <c r="AL178" s="18"/>
      <c r="AM178" s="18"/>
      <c r="AN178" s="18"/>
      <c r="AO178" s="6"/>
      <c r="AP178" s="6"/>
      <c r="AQ178" s="6"/>
      <c r="AR178" s="9"/>
      <c r="AS178" s="9"/>
      <c r="AT178" s="15"/>
      <c r="AU178" s="15"/>
      <c r="AV178" s="15"/>
      <c r="AW178" s="15"/>
      <c r="AX178" s="10"/>
      <c r="AY178" s="10"/>
      <c r="AZ178" s="10"/>
      <c r="BA178" s="10"/>
      <c r="BB178" s="10"/>
      <c r="BC178" s="11"/>
      <c r="BD178" s="11"/>
      <c r="BE178" s="11"/>
      <c r="BF178" s="11"/>
      <c r="BG178" s="11"/>
    </row>
    <row r="179" spans="3:59">
      <c r="C179" s="6" t="s">
        <v>141</v>
      </c>
      <c r="D179" s="6" t="s">
        <v>141</v>
      </c>
      <c r="E179" s="6" t="s">
        <v>141</v>
      </c>
      <c r="L179" s="6" t="s">
        <v>141</v>
      </c>
      <c r="M179" s="7" t="s">
        <v>141</v>
      </c>
      <c r="N179" s="7"/>
      <c r="O179" s="7" t="s">
        <v>141</v>
      </c>
      <c r="P179" s="6" t="s">
        <v>141</v>
      </c>
      <c r="Q179" s="6"/>
      <c r="R179" s="6" t="s">
        <v>141</v>
      </c>
      <c r="S179" s="7" t="s">
        <v>141</v>
      </c>
      <c r="T179" s="7"/>
      <c r="U179" s="7" t="s">
        <v>141</v>
      </c>
      <c r="V179" s="5" t="s">
        <v>141</v>
      </c>
      <c r="W179" s="5"/>
      <c r="X179" s="6" t="s">
        <v>141</v>
      </c>
      <c r="Y179" s="6"/>
      <c r="Z179" s="8" t="s">
        <v>141</v>
      </c>
      <c r="AA179" s="8"/>
      <c r="AB179" s="8" t="s">
        <v>141</v>
      </c>
      <c r="AC179" s="61" t="s">
        <v>141</v>
      </c>
      <c r="AD179" s="61"/>
      <c r="AE179" s="61" t="s">
        <v>141</v>
      </c>
      <c r="AI179" s="6"/>
      <c r="AJ179" s="6"/>
      <c r="AK179" s="6"/>
      <c r="AL179" s="18"/>
      <c r="AM179" s="18"/>
      <c r="AN179" s="18"/>
      <c r="AO179" s="6"/>
      <c r="AP179" s="6"/>
      <c r="AQ179" s="6"/>
      <c r="AR179" s="9"/>
      <c r="AS179" s="9"/>
      <c r="AT179" s="15"/>
      <c r="AU179" s="15"/>
      <c r="AV179" s="15"/>
      <c r="AW179" s="15"/>
      <c r="AX179" s="10"/>
      <c r="AY179" s="10"/>
      <c r="AZ179" s="10"/>
      <c r="BA179" s="10"/>
      <c r="BB179" s="10"/>
      <c r="BC179" s="11"/>
      <c r="BD179" s="11"/>
      <c r="BE179" s="11"/>
      <c r="BF179" s="11"/>
      <c r="BG179" s="11"/>
    </row>
    <row r="180" spans="3:59">
      <c r="C180" s="6" t="s">
        <v>141</v>
      </c>
      <c r="D180" s="6" t="s">
        <v>141</v>
      </c>
      <c r="E180" s="6" t="s">
        <v>141</v>
      </c>
      <c r="L180" s="6" t="s">
        <v>141</v>
      </c>
      <c r="M180" s="7" t="s">
        <v>141</v>
      </c>
      <c r="N180" s="7"/>
      <c r="O180" s="7" t="s">
        <v>141</v>
      </c>
      <c r="P180" s="6" t="s">
        <v>141</v>
      </c>
      <c r="Q180" s="6"/>
      <c r="R180" s="6" t="s">
        <v>141</v>
      </c>
      <c r="S180" s="7" t="s">
        <v>141</v>
      </c>
      <c r="T180" s="7"/>
      <c r="U180" s="7" t="s">
        <v>141</v>
      </c>
      <c r="V180" s="5" t="s">
        <v>141</v>
      </c>
      <c r="W180" s="5"/>
      <c r="X180" s="6" t="s">
        <v>141</v>
      </c>
      <c r="Y180" s="6"/>
      <c r="Z180" s="8" t="s">
        <v>141</v>
      </c>
      <c r="AA180" s="8"/>
      <c r="AB180" s="8" t="s">
        <v>141</v>
      </c>
      <c r="AC180" s="61" t="s">
        <v>141</v>
      </c>
      <c r="AD180" s="61"/>
      <c r="AE180" s="61" t="s">
        <v>141</v>
      </c>
      <c r="AI180" s="6"/>
      <c r="AJ180" s="6"/>
      <c r="AK180" s="6"/>
      <c r="AL180" s="18"/>
      <c r="AM180" s="18"/>
      <c r="AN180" s="18"/>
      <c r="AO180" s="6"/>
      <c r="AP180" s="6"/>
      <c r="AQ180" s="6"/>
      <c r="AR180" s="9"/>
      <c r="AS180" s="9"/>
      <c r="AT180" s="15"/>
      <c r="AU180" s="15"/>
      <c r="AV180" s="15"/>
      <c r="AW180" s="15"/>
      <c r="AX180" s="10"/>
      <c r="AY180" s="10"/>
      <c r="AZ180" s="10"/>
      <c r="BA180" s="10"/>
      <c r="BB180" s="10"/>
      <c r="BC180" s="11"/>
      <c r="BD180" s="11"/>
      <c r="BE180" s="11"/>
      <c r="BF180" s="11"/>
      <c r="BG180" s="11"/>
    </row>
    <row r="181" spans="3:59">
      <c r="C181" s="6" t="s">
        <v>141</v>
      </c>
      <c r="D181" s="6" t="s">
        <v>141</v>
      </c>
      <c r="E181" s="6" t="s">
        <v>141</v>
      </c>
      <c r="L181" s="6" t="s">
        <v>141</v>
      </c>
      <c r="M181" s="7" t="s">
        <v>141</v>
      </c>
      <c r="N181" s="7"/>
      <c r="O181" s="7" t="s">
        <v>141</v>
      </c>
      <c r="P181" s="6" t="s">
        <v>141</v>
      </c>
      <c r="Q181" s="6"/>
      <c r="R181" s="6" t="s">
        <v>141</v>
      </c>
      <c r="S181" s="7" t="s">
        <v>141</v>
      </c>
      <c r="T181" s="7"/>
      <c r="U181" s="7" t="s">
        <v>141</v>
      </c>
      <c r="V181" s="5" t="s">
        <v>141</v>
      </c>
      <c r="W181" s="5"/>
      <c r="X181" s="6" t="s">
        <v>141</v>
      </c>
      <c r="Y181" s="6"/>
      <c r="Z181" s="8" t="s">
        <v>141</v>
      </c>
      <c r="AA181" s="8"/>
      <c r="AB181" s="8" t="s">
        <v>141</v>
      </c>
      <c r="AC181" s="61" t="s">
        <v>141</v>
      </c>
      <c r="AD181" s="61"/>
      <c r="AE181" s="61" t="s">
        <v>141</v>
      </c>
      <c r="AI181" s="6"/>
      <c r="AJ181" s="6"/>
      <c r="AK181" s="6"/>
      <c r="AL181" s="18"/>
      <c r="AM181" s="18"/>
      <c r="AN181" s="18"/>
      <c r="AO181" s="6"/>
      <c r="AP181" s="6"/>
      <c r="AQ181" s="6"/>
      <c r="AR181" s="9"/>
      <c r="AS181" s="9"/>
      <c r="AT181" s="15"/>
      <c r="AU181" s="15"/>
      <c r="AV181" s="15"/>
      <c r="AW181" s="15"/>
      <c r="AX181" s="10"/>
      <c r="AY181" s="10"/>
      <c r="AZ181" s="10"/>
      <c r="BA181" s="10"/>
      <c r="BB181" s="10"/>
      <c r="BC181" s="11"/>
      <c r="BD181" s="11"/>
      <c r="BE181" s="11"/>
      <c r="BF181" s="11"/>
      <c r="BG181" s="11"/>
    </row>
    <row r="273" customFormat="1"/>
    <row r="274" customFormat="1"/>
    <row r="275" customFormat="1"/>
    <row r="276" customFormat="1"/>
    <row r="277" customFormat="1"/>
    <row r="278" customFormat="1"/>
    <row r="279" customFormat="1"/>
    <row r="280" customFormat="1"/>
    <row r="281" customFormat="1"/>
    <row r="282" customFormat="1"/>
    <row r="283" customFormat="1"/>
    <row r="284" customFormat="1"/>
    <row r="285" customFormat="1"/>
    <row r="286" customFormat="1"/>
    <row r="287" customFormat="1"/>
    <row r="288" customFormat="1"/>
    <row r="289" customFormat="1"/>
    <row r="290" customFormat="1"/>
    <row r="291" customFormat="1"/>
    <row r="292" customFormat="1"/>
    <row r="293" customFormat="1"/>
    <row r="294" customFormat="1"/>
    <row r="295" customFormat="1"/>
    <row r="296" customFormat="1"/>
    <row r="297" customFormat="1"/>
    <row r="298" customFormat="1"/>
    <row r="299" customFormat="1"/>
    <row r="300" customFormat="1"/>
    <row r="301" customFormat="1"/>
    <row r="302" customFormat="1"/>
    <row r="303" customFormat="1"/>
    <row r="304" customFormat="1"/>
    <row r="305" customFormat="1"/>
    <row r="306" customFormat="1"/>
    <row r="307" customFormat="1"/>
    <row r="308" customFormat="1"/>
    <row r="309" customFormat="1"/>
    <row r="310" customFormat="1"/>
    <row r="311" customFormat="1"/>
    <row r="312" customFormat="1"/>
    <row r="313" customFormat="1"/>
    <row r="314" customFormat="1"/>
    <row r="315" customFormat="1"/>
    <row r="316" customFormat="1"/>
    <row r="317" customFormat="1"/>
    <row r="318" customFormat="1"/>
    <row r="319" customFormat="1"/>
    <row r="320" customFormat="1"/>
    <row r="321" customFormat="1"/>
    <row r="322" customFormat="1"/>
    <row r="323" customFormat="1"/>
    <row r="324" customFormat="1"/>
    <row r="325" customFormat="1"/>
    <row r="326" customFormat="1"/>
    <row r="327" customFormat="1"/>
    <row r="328" customFormat="1"/>
    <row r="329" customFormat="1"/>
    <row r="330" customFormat="1"/>
    <row r="331" customFormat="1"/>
    <row r="332" customFormat="1"/>
    <row r="333" customFormat="1"/>
    <row r="334" customFormat="1"/>
    <row r="335" customFormat="1"/>
    <row r="336" customFormat="1"/>
    <row r="337" customFormat="1"/>
    <row r="338" customFormat="1"/>
    <row r="339" customFormat="1"/>
    <row r="340" customFormat="1"/>
    <row r="341" customFormat="1"/>
    <row r="342" customFormat="1"/>
    <row r="343" customFormat="1"/>
    <row r="344" customFormat="1"/>
    <row r="345" customFormat="1"/>
    <row r="346" customFormat="1"/>
    <row r="347" customFormat="1"/>
    <row r="348" customFormat="1"/>
    <row r="349" customFormat="1"/>
    <row r="350" customFormat="1"/>
    <row r="351" customFormat="1"/>
    <row r="352" customFormat="1"/>
    <row r="353" customFormat="1"/>
    <row r="354" customFormat="1"/>
    <row r="355" customFormat="1"/>
    <row r="356" customFormat="1"/>
    <row r="357" customFormat="1"/>
    <row r="358" customFormat="1"/>
    <row r="359" customFormat="1"/>
    <row r="360" customFormat="1"/>
    <row r="361" customFormat="1"/>
    <row r="362" customFormat="1"/>
    <row r="363" customFormat="1"/>
    <row r="364" customFormat="1"/>
    <row r="365" customFormat="1"/>
    <row r="366" customFormat="1"/>
    <row r="367" customFormat="1"/>
    <row r="368" customFormat="1"/>
    <row r="369" customFormat="1"/>
    <row r="370" customFormat="1"/>
    <row r="371" customFormat="1"/>
    <row r="372" customFormat="1"/>
    <row r="373" customFormat="1"/>
    <row r="374" customFormat="1"/>
    <row r="375" customFormat="1"/>
    <row r="376" customFormat="1"/>
    <row r="377" customFormat="1"/>
    <row r="378" customFormat="1"/>
    <row r="379" customFormat="1"/>
    <row r="380" customFormat="1"/>
    <row r="381" customFormat="1"/>
    <row r="382" customFormat="1"/>
    <row r="383" customFormat="1"/>
    <row r="384" customFormat="1"/>
    <row r="385" customFormat="1"/>
    <row r="386" customFormat="1"/>
    <row r="387" customFormat="1"/>
    <row r="388" customFormat="1"/>
    <row r="389" customFormat="1"/>
    <row r="390" customFormat="1"/>
    <row r="391" customFormat="1"/>
    <row r="392" customFormat="1"/>
    <row r="393" customFormat="1"/>
    <row r="394" customFormat="1"/>
    <row r="395" customFormat="1"/>
    <row r="396" customFormat="1"/>
    <row r="397" customFormat="1"/>
    <row r="398" customFormat="1"/>
    <row r="399" customFormat="1"/>
    <row r="400" customFormat="1"/>
    <row r="401" customFormat="1"/>
    <row r="402" customFormat="1"/>
    <row r="403" customFormat="1"/>
    <row r="404" customFormat="1"/>
    <row r="405" customFormat="1"/>
    <row r="406" customFormat="1"/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00B0F0"/>
  </sheetPr>
  <dimension ref="A1:BB166"/>
  <sheetViews>
    <sheetView zoomScaleNormal="100" workbookViewId="0">
      <selection activeCell="D4" sqref="D4:AY137"/>
    </sheetView>
  </sheetViews>
  <sheetFormatPr defaultRowHeight="15"/>
  <cols>
    <col min="3" max="3" width="30.140625" bestFit="1" customWidth="1"/>
    <col min="259" max="259" width="30.140625" bestFit="1" customWidth="1"/>
    <col min="515" max="515" width="30.140625" bestFit="1" customWidth="1"/>
    <col min="771" max="771" width="30.140625" bestFit="1" customWidth="1"/>
    <col min="1027" max="1027" width="30.140625" bestFit="1" customWidth="1"/>
    <col min="1283" max="1283" width="30.140625" bestFit="1" customWidth="1"/>
    <col min="1539" max="1539" width="30.140625" bestFit="1" customWidth="1"/>
    <col min="1795" max="1795" width="30.140625" bestFit="1" customWidth="1"/>
    <col min="2051" max="2051" width="30.140625" bestFit="1" customWidth="1"/>
    <col min="2307" max="2307" width="30.140625" bestFit="1" customWidth="1"/>
    <col min="2563" max="2563" width="30.140625" bestFit="1" customWidth="1"/>
    <col min="2819" max="2819" width="30.140625" bestFit="1" customWidth="1"/>
    <col min="3075" max="3075" width="30.140625" bestFit="1" customWidth="1"/>
    <col min="3331" max="3331" width="30.140625" bestFit="1" customWidth="1"/>
    <col min="3587" max="3587" width="30.140625" bestFit="1" customWidth="1"/>
    <col min="3843" max="3843" width="30.140625" bestFit="1" customWidth="1"/>
    <col min="4099" max="4099" width="30.140625" bestFit="1" customWidth="1"/>
    <col min="4355" max="4355" width="30.140625" bestFit="1" customWidth="1"/>
    <col min="4611" max="4611" width="30.140625" bestFit="1" customWidth="1"/>
    <col min="4867" max="4867" width="30.140625" bestFit="1" customWidth="1"/>
    <col min="5123" max="5123" width="30.140625" bestFit="1" customWidth="1"/>
    <col min="5379" max="5379" width="30.140625" bestFit="1" customWidth="1"/>
    <col min="5635" max="5635" width="30.140625" bestFit="1" customWidth="1"/>
    <col min="5891" max="5891" width="30.140625" bestFit="1" customWidth="1"/>
    <col min="6147" max="6147" width="30.140625" bestFit="1" customWidth="1"/>
    <col min="6403" max="6403" width="30.140625" bestFit="1" customWidth="1"/>
    <col min="6659" max="6659" width="30.140625" bestFit="1" customWidth="1"/>
    <col min="6915" max="6915" width="30.140625" bestFit="1" customWidth="1"/>
    <col min="7171" max="7171" width="30.140625" bestFit="1" customWidth="1"/>
    <col min="7427" max="7427" width="30.140625" bestFit="1" customWidth="1"/>
    <col min="7683" max="7683" width="30.140625" bestFit="1" customWidth="1"/>
    <col min="7939" max="7939" width="30.140625" bestFit="1" customWidth="1"/>
    <col min="8195" max="8195" width="30.140625" bestFit="1" customWidth="1"/>
    <col min="8451" max="8451" width="30.140625" bestFit="1" customWidth="1"/>
    <col min="8707" max="8707" width="30.140625" bestFit="1" customWidth="1"/>
    <col min="8963" max="8963" width="30.140625" bestFit="1" customWidth="1"/>
    <col min="9219" max="9219" width="30.140625" bestFit="1" customWidth="1"/>
    <col min="9475" max="9475" width="30.140625" bestFit="1" customWidth="1"/>
    <col min="9731" max="9731" width="30.140625" bestFit="1" customWidth="1"/>
    <col min="9987" max="9987" width="30.140625" bestFit="1" customWidth="1"/>
    <col min="10243" max="10243" width="30.140625" bestFit="1" customWidth="1"/>
    <col min="10499" max="10499" width="30.140625" bestFit="1" customWidth="1"/>
    <col min="10755" max="10755" width="30.140625" bestFit="1" customWidth="1"/>
    <col min="11011" max="11011" width="30.140625" bestFit="1" customWidth="1"/>
    <col min="11267" max="11267" width="30.140625" bestFit="1" customWidth="1"/>
    <col min="11523" max="11523" width="30.140625" bestFit="1" customWidth="1"/>
    <col min="11779" max="11779" width="30.140625" bestFit="1" customWidth="1"/>
    <col min="12035" max="12035" width="30.140625" bestFit="1" customWidth="1"/>
    <col min="12291" max="12291" width="30.140625" bestFit="1" customWidth="1"/>
    <col min="12547" max="12547" width="30.140625" bestFit="1" customWidth="1"/>
    <col min="12803" max="12803" width="30.140625" bestFit="1" customWidth="1"/>
    <col min="13059" max="13059" width="30.140625" bestFit="1" customWidth="1"/>
    <col min="13315" max="13315" width="30.140625" bestFit="1" customWidth="1"/>
    <col min="13571" max="13571" width="30.140625" bestFit="1" customWidth="1"/>
    <col min="13827" max="13827" width="30.140625" bestFit="1" customWidth="1"/>
    <col min="14083" max="14083" width="30.140625" bestFit="1" customWidth="1"/>
    <col min="14339" max="14339" width="30.140625" bestFit="1" customWidth="1"/>
    <col min="14595" max="14595" width="30.140625" bestFit="1" customWidth="1"/>
    <col min="14851" max="14851" width="30.140625" bestFit="1" customWidth="1"/>
    <col min="15107" max="15107" width="30.140625" bestFit="1" customWidth="1"/>
    <col min="15363" max="15363" width="30.140625" bestFit="1" customWidth="1"/>
    <col min="15619" max="15619" width="30.140625" bestFit="1" customWidth="1"/>
    <col min="15875" max="15875" width="30.140625" bestFit="1" customWidth="1"/>
    <col min="16131" max="16131" width="30.140625" bestFit="1" customWidth="1"/>
  </cols>
  <sheetData>
    <row r="1" spans="1:54">
      <c r="B1" s="82" t="s">
        <v>241</v>
      </c>
    </row>
    <row r="2" spans="1:54">
      <c r="A2" s="83"/>
      <c r="D2" s="86">
        <v>45200</v>
      </c>
      <c r="E2" s="122">
        <v>45200</v>
      </c>
      <c r="F2" s="86">
        <v>45231</v>
      </c>
      <c r="G2" s="122">
        <v>45231</v>
      </c>
      <c r="H2" s="86">
        <v>45261</v>
      </c>
      <c r="I2" s="122">
        <v>45261</v>
      </c>
      <c r="J2" s="86">
        <v>45292</v>
      </c>
      <c r="K2" s="122">
        <v>45292</v>
      </c>
      <c r="L2" s="86">
        <v>45323</v>
      </c>
      <c r="M2" s="122">
        <v>45323</v>
      </c>
      <c r="N2" s="86">
        <v>45352</v>
      </c>
      <c r="O2" s="122">
        <v>45352</v>
      </c>
      <c r="P2" s="86">
        <v>45383</v>
      </c>
      <c r="Q2" s="122">
        <v>45383</v>
      </c>
      <c r="R2" s="86">
        <v>45413</v>
      </c>
      <c r="S2" s="122">
        <v>45413</v>
      </c>
      <c r="T2" s="86">
        <v>45444</v>
      </c>
      <c r="U2" s="122">
        <v>45444</v>
      </c>
      <c r="V2" s="86">
        <v>45474</v>
      </c>
      <c r="W2" s="122">
        <v>45474</v>
      </c>
      <c r="X2" s="86">
        <v>45505</v>
      </c>
      <c r="Y2" s="122">
        <v>45505</v>
      </c>
      <c r="Z2" s="86">
        <v>45536</v>
      </c>
      <c r="AA2" s="122">
        <v>45536</v>
      </c>
      <c r="AB2" s="86">
        <v>45566</v>
      </c>
      <c r="AC2" s="122">
        <v>45566</v>
      </c>
      <c r="AD2" s="86">
        <v>45597</v>
      </c>
      <c r="AE2" s="122">
        <v>45597</v>
      </c>
      <c r="AF2" s="86">
        <v>45627</v>
      </c>
      <c r="AG2" s="122">
        <v>45627</v>
      </c>
      <c r="AH2" s="86">
        <v>45658</v>
      </c>
      <c r="AI2" s="122">
        <v>45658</v>
      </c>
      <c r="AJ2" s="86">
        <v>45689</v>
      </c>
      <c r="AK2" s="122">
        <v>45689</v>
      </c>
      <c r="AL2" s="86">
        <v>45717</v>
      </c>
      <c r="AM2" s="122">
        <v>45717</v>
      </c>
      <c r="AN2" s="86">
        <v>45748</v>
      </c>
      <c r="AO2" s="122">
        <v>45748</v>
      </c>
      <c r="AP2" s="86">
        <v>45778</v>
      </c>
      <c r="AQ2" s="122">
        <v>45778</v>
      </c>
      <c r="AR2" s="86">
        <v>45809</v>
      </c>
      <c r="AS2" s="122">
        <v>45809</v>
      </c>
      <c r="AT2" s="86">
        <v>45839</v>
      </c>
      <c r="AU2" s="122">
        <v>45839</v>
      </c>
      <c r="AV2" s="86">
        <v>45870</v>
      </c>
      <c r="AW2" s="122">
        <v>45870</v>
      </c>
      <c r="AX2" s="86">
        <v>45901</v>
      </c>
      <c r="AY2" s="122">
        <v>45901</v>
      </c>
      <c r="BA2" s="67"/>
    </row>
    <row r="3" spans="1:54">
      <c r="B3" s="38" t="s">
        <v>2</v>
      </c>
      <c r="C3" s="38" t="s">
        <v>147</v>
      </c>
      <c r="D3" s="123" t="s">
        <v>143</v>
      </c>
      <c r="E3" s="124" t="s">
        <v>144</v>
      </c>
      <c r="F3" s="123" t="s">
        <v>143</v>
      </c>
      <c r="G3" s="124" t="s">
        <v>144</v>
      </c>
      <c r="H3" s="123" t="s">
        <v>143</v>
      </c>
      <c r="I3" s="124" t="s">
        <v>144</v>
      </c>
      <c r="J3" s="123" t="s">
        <v>143</v>
      </c>
      <c r="K3" s="124" t="s">
        <v>144</v>
      </c>
      <c r="L3" s="123" t="s">
        <v>143</v>
      </c>
      <c r="M3" s="124" t="s">
        <v>144</v>
      </c>
      <c r="N3" s="123" t="s">
        <v>143</v>
      </c>
      <c r="O3" s="124" t="s">
        <v>144</v>
      </c>
      <c r="P3" s="123" t="s">
        <v>143</v>
      </c>
      <c r="Q3" s="124" t="s">
        <v>144</v>
      </c>
      <c r="R3" s="123" t="s">
        <v>143</v>
      </c>
      <c r="S3" s="124" t="s">
        <v>144</v>
      </c>
      <c r="T3" s="123" t="s">
        <v>143</v>
      </c>
      <c r="U3" s="124" t="s">
        <v>144</v>
      </c>
      <c r="V3" s="123" t="s">
        <v>143</v>
      </c>
      <c r="W3" s="124" t="s">
        <v>144</v>
      </c>
      <c r="X3" s="123" t="s">
        <v>143</v>
      </c>
      <c r="Y3" s="124" t="s">
        <v>144</v>
      </c>
      <c r="Z3" s="123" t="s">
        <v>143</v>
      </c>
      <c r="AA3" s="124" t="s">
        <v>144</v>
      </c>
      <c r="AB3" s="123" t="s">
        <v>143</v>
      </c>
      <c r="AC3" s="124" t="s">
        <v>144</v>
      </c>
      <c r="AD3" s="123" t="s">
        <v>143</v>
      </c>
      <c r="AE3" s="124" t="s">
        <v>144</v>
      </c>
      <c r="AF3" s="123" t="s">
        <v>143</v>
      </c>
      <c r="AG3" s="124" t="s">
        <v>144</v>
      </c>
      <c r="AH3" s="123" t="s">
        <v>143</v>
      </c>
      <c r="AI3" s="124" t="s">
        <v>144</v>
      </c>
      <c r="AJ3" s="123" t="s">
        <v>143</v>
      </c>
      <c r="AK3" s="124" t="s">
        <v>144</v>
      </c>
      <c r="AL3" s="123" t="s">
        <v>143</v>
      </c>
      <c r="AM3" s="124" t="s">
        <v>144</v>
      </c>
      <c r="AN3" s="123" t="s">
        <v>143</v>
      </c>
      <c r="AO3" s="124" t="s">
        <v>144</v>
      </c>
      <c r="AP3" s="123" t="s">
        <v>143</v>
      </c>
      <c r="AQ3" s="124" t="s">
        <v>144</v>
      </c>
      <c r="AR3" s="123" t="s">
        <v>143</v>
      </c>
      <c r="AS3" s="124" t="s">
        <v>144</v>
      </c>
      <c r="AT3" s="123" t="s">
        <v>143</v>
      </c>
      <c r="AU3" s="124" t="s">
        <v>144</v>
      </c>
      <c r="AV3" s="123" t="s">
        <v>143</v>
      </c>
      <c r="AW3" s="124" t="s">
        <v>144</v>
      </c>
      <c r="AX3" s="123" t="s">
        <v>143</v>
      </c>
      <c r="AY3" s="124" t="s">
        <v>144</v>
      </c>
      <c r="BA3" s="65"/>
      <c r="BB3" s="68"/>
    </row>
    <row r="4" spans="1:54">
      <c r="B4">
        <v>10015</v>
      </c>
      <c r="C4" t="s">
        <v>8</v>
      </c>
      <c r="D4" s="37">
        <v>20.352145011999994</v>
      </c>
      <c r="E4" s="37">
        <v>52.848142783500009</v>
      </c>
      <c r="F4" s="37">
        <v>-101.53344822400001</v>
      </c>
      <c r="G4" s="37">
        <v>-51.745926372999989</v>
      </c>
      <c r="H4" s="37">
        <v>-120.25531633700001</v>
      </c>
      <c r="I4" s="37">
        <v>-56.713476767999992</v>
      </c>
      <c r="J4" s="37">
        <v>-118.60241234499998</v>
      </c>
      <c r="K4" s="37">
        <v>-72.751456407000006</v>
      </c>
      <c r="L4" s="37">
        <v>-120.19565795699998</v>
      </c>
      <c r="M4" s="37">
        <v>-39.526862597000004</v>
      </c>
      <c r="N4" s="37">
        <v>-91.265286379000003</v>
      </c>
      <c r="O4" s="37">
        <v>-68.580007573999993</v>
      </c>
      <c r="P4" s="37">
        <v>14.962154467500028</v>
      </c>
      <c r="Q4" s="37">
        <v>8.1882826747500133</v>
      </c>
      <c r="R4" s="37">
        <v>50.805201615999977</v>
      </c>
      <c r="S4" s="37">
        <v>130.95825984449999</v>
      </c>
      <c r="T4" s="37">
        <v>142.08934214200002</v>
      </c>
      <c r="U4" s="37">
        <v>205.09217047649997</v>
      </c>
      <c r="V4" s="37">
        <v>341.59336358800005</v>
      </c>
      <c r="W4" s="37">
        <v>381.93102191750006</v>
      </c>
      <c r="X4" s="37">
        <v>323.1689157655</v>
      </c>
      <c r="Y4" s="37">
        <v>339.57373937245001</v>
      </c>
      <c r="Z4" s="37">
        <v>125.630123258</v>
      </c>
      <c r="AA4" s="37">
        <v>224.89636436799998</v>
      </c>
      <c r="AB4" s="37">
        <v>20.352145011999994</v>
      </c>
      <c r="AC4" s="37">
        <v>52.848142783500009</v>
      </c>
      <c r="AD4" s="37">
        <v>-101.53344822400001</v>
      </c>
      <c r="AE4" s="37">
        <v>-51.745926372999989</v>
      </c>
      <c r="AF4" s="37">
        <v>-120.25531633700001</v>
      </c>
      <c r="AG4" s="37">
        <v>-56.713476767999992</v>
      </c>
      <c r="AH4" s="37">
        <v>-118.60241234499998</v>
      </c>
      <c r="AI4" s="37">
        <v>-72.751456407000006</v>
      </c>
      <c r="AJ4" s="37">
        <v>-110.81550923699996</v>
      </c>
      <c r="AK4" s="37">
        <v>-34.836788237000022</v>
      </c>
      <c r="AL4" s="37">
        <v>-91.265286379000003</v>
      </c>
      <c r="AM4" s="37">
        <v>-68.580007573999993</v>
      </c>
      <c r="AN4" s="37">
        <v>14.962154467500028</v>
      </c>
      <c r="AO4" s="37">
        <v>8.1882826747500133</v>
      </c>
      <c r="AP4" s="37">
        <v>50.805201615999977</v>
      </c>
      <c r="AQ4" s="37">
        <v>130.95825984449999</v>
      </c>
      <c r="AR4" s="37">
        <v>142.08934214200002</v>
      </c>
      <c r="AS4" s="37">
        <v>205.09217047649997</v>
      </c>
      <c r="AT4" s="37">
        <v>341.59336358800005</v>
      </c>
      <c r="AU4" s="37">
        <v>381.93102191750006</v>
      </c>
      <c r="AV4" s="37">
        <v>323.1689157655</v>
      </c>
      <c r="AW4" s="37">
        <v>339.57373937245001</v>
      </c>
      <c r="AX4" s="37">
        <v>125.630123258</v>
      </c>
      <c r="AY4" s="37">
        <v>224.89636436799998</v>
      </c>
      <c r="BA4" s="66"/>
      <c r="BB4" s="66"/>
    </row>
    <row r="5" spans="1:54">
      <c r="B5">
        <v>10024</v>
      </c>
      <c r="C5" t="s">
        <v>9</v>
      </c>
      <c r="D5" s="37">
        <v>-1348.4856303608103</v>
      </c>
      <c r="E5" s="37">
        <v>-3430.2314233989018</v>
      </c>
      <c r="F5" s="37">
        <v>-26827.073499398408</v>
      </c>
      <c r="G5" s="37">
        <v>-12326.523442801801</v>
      </c>
      <c r="H5" s="37">
        <v>-19766.262078884203</v>
      </c>
      <c r="I5" s="37">
        <v>-6211.9864305087976</v>
      </c>
      <c r="J5" s="37">
        <v>-29412.174467577002</v>
      </c>
      <c r="K5" s="37">
        <v>-9325.9913599462016</v>
      </c>
      <c r="L5" s="37">
        <v>-22234.095129176203</v>
      </c>
      <c r="M5" s="37">
        <v>-4085.0802030002087</v>
      </c>
      <c r="N5" s="37">
        <v>-27942.889175121396</v>
      </c>
      <c r="O5" s="37">
        <v>-16674.223394108398</v>
      </c>
      <c r="P5" s="37">
        <v>-4674.7159503644943</v>
      </c>
      <c r="Q5" s="37">
        <v>-4702.0901326916428</v>
      </c>
      <c r="R5" s="37">
        <v>-7592.4801112544083</v>
      </c>
      <c r="S5" s="37">
        <v>64.495731383693055</v>
      </c>
      <c r="T5" s="37">
        <v>15617.039450097189</v>
      </c>
      <c r="U5" s="37">
        <v>11180.968069714894</v>
      </c>
      <c r="V5" s="37">
        <v>45034.789455120816</v>
      </c>
      <c r="W5" s="37">
        <v>36212.73015580549</v>
      </c>
      <c r="X5" s="37">
        <v>33887.882149442288</v>
      </c>
      <c r="Y5" s="37">
        <v>22206.36668093918</v>
      </c>
      <c r="Z5" s="37">
        <v>1571.2294735428004</v>
      </c>
      <c r="AA5" s="37">
        <v>-283.65982333120337</v>
      </c>
      <c r="AB5" s="37">
        <v>-1579.2416303608188</v>
      </c>
      <c r="AC5" s="37">
        <v>-3358.1544233988971</v>
      </c>
      <c r="AD5" s="37">
        <v>-26952.385499398413</v>
      </c>
      <c r="AE5" s="37">
        <v>-12454.292442801801</v>
      </c>
      <c r="AF5" s="37">
        <v>-20198.754078884202</v>
      </c>
      <c r="AG5" s="37">
        <v>-6590.8154305087955</v>
      </c>
      <c r="AH5" s="37">
        <v>-29795.507467577001</v>
      </c>
      <c r="AI5" s="37">
        <v>-9659.7913599462045</v>
      </c>
      <c r="AJ5" s="37">
        <v>-18915.574154024202</v>
      </c>
      <c r="AK5" s="37">
        <v>-2478.2082154242016</v>
      </c>
      <c r="AL5" s="37">
        <v>-28046.698175121404</v>
      </c>
      <c r="AM5" s="37">
        <v>-16786.998394108399</v>
      </c>
      <c r="AN5" s="37">
        <v>-4713.0569503644947</v>
      </c>
      <c r="AO5" s="37">
        <v>-4779.0011326916429</v>
      </c>
      <c r="AP5" s="37">
        <v>-7619.6101112544129</v>
      </c>
      <c r="AQ5" s="37">
        <v>3.3037313836975954</v>
      </c>
      <c r="AR5" s="37">
        <v>15657.499450097195</v>
      </c>
      <c r="AS5" s="37">
        <v>11115.904069714896</v>
      </c>
      <c r="AT5" s="37">
        <v>45081.0354551208</v>
      </c>
      <c r="AU5" s="37">
        <v>36186.663155805509</v>
      </c>
      <c r="AV5" s="37">
        <v>34073.094149442288</v>
      </c>
      <c r="AW5" s="37">
        <v>21961.271680939179</v>
      </c>
      <c r="AX5" s="37">
        <v>1363.2004735427909</v>
      </c>
      <c r="AY5" s="37">
        <v>-213.68782333120907</v>
      </c>
      <c r="BA5" s="66"/>
      <c r="BB5" s="66"/>
    </row>
    <row r="6" spans="1:54">
      <c r="B6">
        <v>10025</v>
      </c>
      <c r="C6" t="s">
        <v>10</v>
      </c>
      <c r="D6" s="37">
        <v>6996.4671054716018</v>
      </c>
      <c r="E6" s="37">
        <v>4215.5086868290546</v>
      </c>
      <c r="F6" s="37">
        <v>-4657.032603203199</v>
      </c>
      <c r="G6" s="37">
        <v>1697.6708519161002</v>
      </c>
      <c r="H6" s="37">
        <v>1683.1357208308982</v>
      </c>
      <c r="I6" s="37">
        <v>3226.4540470176034</v>
      </c>
      <c r="J6" s="37">
        <v>-1730.8987732834976</v>
      </c>
      <c r="K6" s="37">
        <v>2555.4216573299018</v>
      </c>
      <c r="L6" s="37">
        <v>-5550.2424073350958</v>
      </c>
      <c r="M6" s="37">
        <v>11.038770312901761</v>
      </c>
      <c r="N6" s="37">
        <v>-6373.0783870696941</v>
      </c>
      <c r="O6" s="37">
        <v>-1544.6522544082</v>
      </c>
      <c r="P6" s="37">
        <v>2745.5792665102563</v>
      </c>
      <c r="Q6" s="37">
        <v>2364.7653522114288</v>
      </c>
      <c r="R6" s="37">
        <v>94.055065508800908</v>
      </c>
      <c r="S6" s="37">
        <v>3580.401384951354</v>
      </c>
      <c r="T6" s="37">
        <v>4929.7085439306065</v>
      </c>
      <c r="U6" s="37">
        <v>3810.3292817889487</v>
      </c>
      <c r="V6" s="37">
        <v>12690.1393575084</v>
      </c>
      <c r="W6" s="37">
        <v>10229.181138545253</v>
      </c>
      <c r="X6" s="37">
        <v>10755.065617771656</v>
      </c>
      <c r="Y6" s="37">
        <v>9745.2051781435384</v>
      </c>
      <c r="Z6" s="37">
        <v>7206.8066212894009</v>
      </c>
      <c r="AA6" s="37">
        <v>5371.1993856624031</v>
      </c>
      <c r="AB6" s="37">
        <v>7187.3651054716029</v>
      </c>
      <c r="AC6" s="37">
        <v>4469.6336868290509</v>
      </c>
      <c r="AD6" s="37">
        <v>-4468.1686032032012</v>
      </c>
      <c r="AE6" s="37">
        <v>1860.8308519161001</v>
      </c>
      <c r="AF6" s="37">
        <v>1765.2987208309023</v>
      </c>
      <c r="AG6" s="37">
        <v>3274.4440470176014</v>
      </c>
      <c r="AH6" s="37">
        <v>-3069.6917732834991</v>
      </c>
      <c r="AI6" s="37">
        <v>3975.7046573298976</v>
      </c>
      <c r="AJ6" s="37">
        <v>-4369.5351726390982</v>
      </c>
      <c r="AK6" s="37">
        <v>624.5523876608986</v>
      </c>
      <c r="AL6" s="37">
        <v>-5108.3913870696961</v>
      </c>
      <c r="AM6" s="37">
        <v>-2530.8482544081962</v>
      </c>
      <c r="AN6" s="37">
        <v>2957.170266510253</v>
      </c>
      <c r="AO6" s="37">
        <v>2501.3453522114269</v>
      </c>
      <c r="AP6" s="37">
        <v>330.52106550879762</v>
      </c>
      <c r="AQ6" s="37">
        <v>3760.0883849513521</v>
      </c>
      <c r="AR6" s="37">
        <v>5223.4375439306059</v>
      </c>
      <c r="AS6" s="37">
        <v>3979.9192817889489</v>
      </c>
      <c r="AT6" s="37">
        <v>12996.503357508402</v>
      </c>
      <c r="AU6" s="37">
        <v>10426.360138545253</v>
      </c>
      <c r="AV6" s="37">
        <v>11100.065617771648</v>
      </c>
      <c r="AW6" s="37">
        <v>9829.7911781435378</v>
      </c>
      <c r="AX6" s="37">
        <v>7306.2926212894017</v>
      </c>
      <c r="AY6" s="37">
        <v>5573.5953856624037</v>
      </c>
      <c r="BA6" s="66"/>
      <c r="BB6" s="66"/>
    </row>
    <row r="7" spans="1:54">
      <c r="B7">
        <v>10027</v>
      </c>
      <c r="C7" t="s">
        <v>11</v>
      </c>
      <c r="D7" s="37">
        <v>1623.3960406723963</v>
      </c>
      <c r="E7" s="37">
        <v>1915.2995558229504</v>
      </c>
      <c r="F7" s="37">
        <v>-12919.3716874848</v>
      </c>
      <c r="G7" s="37">
        <v>-6660.9873798921017</v>
      </c>
      <c r="H7" s="37">
        <v>-13185.731210374903</v>
      </c>
      <c r="I7" s="37">
        <v>-6752.0277522336</v>
      </c>
      <c r="J7" s="37">
        <v>-15406.177472356499</v>
      </c>
      <c r="K7" s="37">
        <v>-6877.9356127138999</v>
      </c>
      <c r="L7" s="37">
        <v>-15434.035491648894</v>
      </c>
      <c r="M7" s="37">
        <v>-6772.462444976898</v>
      </c>
      <c r="N7" s="37">
        <v>-15460.891413978299</v>
      </c>
      <c r="O7" s="37">
        <v>-9371.3341734797978</v>
      </c>
      <c r="P7" s="37">
        <v>83.540258349752548</v>
      </c>
      <c r="Q7" s="37">
        <v>941.45592101057446</v>
      </c>
      <c r="R7" s="37">
        <v>7839.4163618832026</v>
      </c>
      <c r="S7" s="37">
        <v>9459.3106179326533</v>
      </c>
      <c r="T7" s="37">
        <v>16952.975782773396</v>
      </c>
      <c r="U7" s="37">
        <v>14896.626364679047</v>
      </c>
      <c r="V7" s="37">
        <v>22324.455899547604</v>
      </c>
      <c r="W7" s="37">
        <v>21208.615770714754</v>
      </c>
      <c r="X7" s="37">
        <v>14721.386541664346</v>
      </c>
      <c r="Y7" s="37">
        <v>12880.605376800868</v>
      </c>
      <c r="Z7" s="37">
        <v>5545.6903368065978</v>
      </c>
      <c r="AA7" s="37">
        <v>6448.9197707535986</v>
      </c>
      <c r="AB7" s="37">
        <v>1832.7430406723943</v>
      </c>
      <c r="AC7" s="37">
        <v>2227.1435558229514</v>
      </c>
      <c r="AD7" s="37">
        <v>-12743.719687484801</v>
      </c>
      <c r="AE7" s="37">
        <v>-6542.8853798921009</v>
      </c>
      <c r="AF7" s="37">
        <v>-12973.358210374903</v>
      </c>
      <c r="AG7" s="37">
        <v>-6615.1947522336013</v>
      </c>
      <c r="AH7" s="37">
        <v>-15204.420472356498</v>
      </c>
      <c r="AI7" s="37">
        <v>-6736.5596127138997</v>
      </c>
      <c r="AJ7" s="37">
        <v>-14185.215581704899</v>
      </c>
      <c r="AK7" s="37">
        <v>-6128.4219900048993</v>
      </c>
      <c r="AL7" s="37">
        <v>-15306.055413978296</v>
      </c>
      <c r="AM7" s="37">
        <v>-9288.7981734797995</v>
      </c>
      <c r="AN7" s="37">
        <v>404.49925834975511</v>
      </c>
      <c r="AO7" s="37">
        <v>1144.1439210105764</v>
      </c>
      <c r="AP7" s="37">
        <v>8407.0343618831976</v>
      </c>
      <c r="AQ7" s="37">
        <v>9879.6956179326517</v>
      </c>
      <c r="AR7" s="37">
        <v>17722.600782773396</v>
      </c>
      <c r="AS7" s="37">
        <v>15407.720364679044</v>
      </c>
      <c r="AT7" s="37">
        <v>23107.436899547603</v>
      </c>
      <c r="AU7" s="37">
        <v>21791.536770714749</v>
      </c>
      <c r="AV7" s="37">
        <v>15465.384541664345</v>
      </c>
      <c r="AW7" s="37">
        <v>13184.860376800865</v>
      </c>
      <c r="AX7" s="37">
        <v>5846.0243368066003</v>
      </c>
      <c r="AY7" s="37">
        <v>6857.4367707535985</v>
      </c>
      <c r="BA7" s="66"/>
      <c r="BB7" s="66"/>
    </row>
    <row r="8" spans="1:54">
      <c r="B8">
        <v>10029</v>
      </c>
      <c r="C8" t="s">
        <v>12</v>
      </c>
      <c r="D8" s="37">
        <v>0</v>
      </c>
      <c r="E8" s="37">
        <v>0</v>
      </c>
      <c r="F8" s="37">
        <v>0</v>
      </c>
      <c r="G8" s="37">
        <v>0</v>
      </c>
      <c r="H8" s="37">
        <v>0</v>
      </c>
      <c r="I8" s="37">
        <v>0</v>
      </c>
      <c r="J8" s="37">
        <v>0</v>
      </c>
      <c r="K8" s="37">
        <v>0</v>
      </c>
      <c r="L8" s="37">
        <v>0</v>
      </c>
      <c r="M8" s="37">
        <v>0</v>
      </c>
      <c r="N8" s="37">
        <v>0</v>
      </c>
      <c r="O8" s="37">
        <v>0</v>
      </c>
      <c r="P8" s="37">
        <v>0</v>
      </c>
      <c r="Q8" s="37">
        <v>0</v>
      </c>
      <c r="R8" s="37">
        <v>0</v>
      </c>
      <c r="S8" s="37">
        <v>0</v>
      </c>
      <c r="T8" s="37">
        <v>0</v>
      </c>
      <c r="U8" s="37">
        <v>0</v>
      </c>
      <c r="V8" s="37">
        <v>0</v>
      </c>
      <c r="W8" s="37">
        <v>0</v>
      </c>
      <c r="X8" s="37">
        <v>0</v>
      </c>
      <c r="Y8" s="37">
        <v>0</v>
      </c>
      <c r="Z8" s="37">
        <v>0</v>
      </c>
      <c r="AA8" s="37">
        <v>0</v>
      </c>
      <c r="AB8" s="37">
        <v>0</v>
      </c>
      <c r="AC8" s="37">
        <v>0</v>
      </c>
      <c r="AD8" s="37">
        <v>0</v>
      </c>
      <c r="AE8" s="37">
        <v>0</v>
      </c>
      <c r="AF8" s="37">
        <v>0</v>
      </c>
      <c r="AG8" s="37">
        <v>0</v>
      </c>
      <c r="AH8" s="37">
        <v>0</v>
      </c>
      <c r="AI8" s="37">
        <v>0</v>
      </c>
      <c r="AJ8" s="37">
        <v>0</v>
      </c>
      <c r="AK8" s="37">
        <v>0</v>
      </c>
      <c r="AL8" s="37">
        <v>0</v>
      </c>
      <c r="AM8" s="37">
        <v>0</v>
      </c>
      <c r="AN8" s="37">
        <v>0</v>
      </c>
      <c r="AO8" s="37">
        <v>0</v>
      </c>
      <c r="AP8" s="37">
        <v>0</v>
      </c>
      <c r="AQ8" s="37">
        <v>0</v>
      </c>
      <c r="AR8" s="37">
        <v>0</v>
      </c>
      <c r="AS8" s="37">
        <v>0</v>
      </c>
      <c r="AT8" s="37">
        <v>0</v>
      </c>
      <c r="AU8" s="37">
        <v>0</v>
      </c>
      <c r="AV8" s="37">
        <v>0</v>
      </c>
      <c r="AW8" s="37">
        <v>0</v>
      </c>
      <c r="AX8" s="37">
        <v>0</v>
      </c>
      <c r="AY8" s="37">
        <v>0</v>
      </c>
      <c r="BA8" s="66"/>
      <c r="BB8" s="66"/>
    </row>
    <row r="9" spans="1:54">
      <c r="B9">
        <v>10044</v>
      </c>
      <c r="C9" t="s">
        <v>13</v>
      </c>
      <c r="D9" s="37">
        <v>1043.9972897563985</v>
      </c>
      <c r="E9" s="37">
        <v>-672.93722894255006</v>
      </c>
      <c r="F9" s="37">
        <v>-1332.7711930528003</v>
      </c>
      <c r="G9" s="37">
        <v>-744.54276300310084</v>
      </c>
      <c r="H9" s="37">
        <v>331.78287876610011</v>
      </c>
      <c r="I9" s="37">
        <v>-553.27306560960005</v>
      </c>
      <c r="J9" s="37">
        <v>-563.69921127149973</v>
      </c>
      <c r="K9" s="37">
        <v>-667.32661906290105</v>
      </c>
      <c r="L9" s="37">
        <v>-1077.438883847899</v>
      </c>
      <c r="M9" s="37">
        <v>-823.21174965590035</v>
      </c>
      <c r="N9" s="37">
        <v>-1206.4211841313008</v>
      </c>
      <c r="O9" s="37">
        <v>-1301.4136694978006</v>
      </c>
      <c r="P9" s="37">
        <v>242.22289337224993</v>
      </c>
      <c r="Q9" s="37">
        <v>-861.47259889117504</v>
      </c>
      <c r="R9" s="37">
        <v>-2545.7417148048007</v>
      </c>
      <c r="S9" s="37">
        <v>-1991.5900329058495</v>
      </c>
      <c r="T9" s="37">
        <v>-2201.3473032326001</v>
      </c>
      <c r="U9" s="37">
        <v>-2038.4845877354501</v>
      </c>
      <c r="V9" s="37">
        <v>138.50991066359893</v>
      </c>
      <c r="W9" s="37">
        <v>-477.34899711275011</v>
      </c>
      <c r="X9" s="37">
        <v>371.1320667728487</v>
      </c>
      <c r="Y9" s="37">
        <v>119.56607143301517</v>
      </c>
      <c r="Z9" s="37">
        <v>-6.2990193874011311</v>
      </c>
      <c r="AA9" s="37">
        <v>-1030.0875026704007</v>
      </c>
      <c r="AB9" s="37">
        <v>955.7162897563976</v>
      </c>
      <c r="AC9" s="37">
        <v>-649.12922894255007</v>
      </c>
      <c r="AD9" s="37">
        <v>-1364.3091930528008</v>
      </c>
      <c r="AE9" s="37">
        <v>-775.59276300310103</v>
      </c>
      <c r="AF9" s="37">
        <v>304.08187876609918</v>
      </c>
      <c r="AG9" s="37">
        <v>-590.04606560959928</v>
      </c>
      <c r="AH9" s="37">
        <v>-1013.7232112714992</v>
      </c>
      <c r="AI9" s="37">
        <v>-281.78161906290097</v>
      </c>
      <c r="AJ9" s="37">
        <v>-717.00489286390075</v>
      </c>
      <c r="AK9" s="37">
        <v>-658.46775416390028</v>
      </c>
      <c r="AL9" s="37">
        <v>-869.17518413129983</v>
      </c>
      <c r="AM9" s="37">
        <v>-1702.9386694978002</v>
      </c>
      <c r="AN9" s="37">
        <v>211.56589337225068</v>
      </c>
      <c r="AO9" s="37">
        <v>-893.21559889117543</v>
      </c>
      <c r="AP9" s="37">
        <v>-2577.2537148048023</v>
      </c>
      <c r="AQ9" s="37">
        <v>-2024.5530329058492</v>
      </c>
      <c r="AR9" s="37">
        <v>-2228.664303232601</v>
      </c>
      <c r="AS9" s="37">
        <v>-2073.5635877354507</v>
      </c>
      <c r="AT9" s="37">
        <v>108.71491066360068</v>
      </c>
      <c r="AU9" s="37">
        <v>-512.02399711275029</v>
      </c>
      <c r="AV9" s="37">
        <v>397.64506677284953</v>
      </c>
      <c r="AW9" s="37">
        <v>28.583071433015903</v>
      </c>
      <c r="AX9" s="37">
        <v>-91.73101938740092</v>
      </c>
      <c r="AY9" s="37">
        <v>-1007.0455026704012</v>
      </c>
      <c r="BA9" s="66"/>
      <c r="BB9" s="66"/>
    </row>
    <row r="10" spans="1:54">
      <c r="B10">
        <v>10046</v>
      </c>
      <c r="C10" t="s">
        <v>14</v>
      </c>
      <c r="D10" s="37">
        <v>0</v>
      </c>
      <c r="E10" s="37">
        <v>0</v>
      </c>
      <c r="F10" s="37">
        <v>0</v>
      </c>
      <c r="G10" s="37">
        <v>0</v>
      </c>
      <c r="H10" s="37">
        <v>0</v>
      </c>
      <c r="I10" s="37">
        <v>0</v>
      </c>
      <c r="J10" s="37">
        <v>0</v>
      </c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7">
        <v>0</v>
      </c>
      <c r="V10" s="37">
        <v>0</v>
      </c>
      <c r="W10" s="37">
        <v>0</v>
      </c>
      <c r="X10" s="37">
        <v>0</v>
      </c>
      <c r="Y10" s="37">
        <v>0</v>
      </c>
      <c r="Z10" s="37">
        <v>0</v>
      </c>
      <c r="AA10" s="37">
        <v>0</v>
      </c>
      <c r="AB10" s="37">
        <v>0</v>
      </c>
      <c r="AC10" s="37">
        <v>0</v>
      </c>
      <c r="AD10" s="37">
        <v>0</v>
      </c>
      <c r="AE10" s="37">
        <v>0</v>
      </c>
      <c r="AF10" s="37">
        <v>0</v>
      </c>
      <c r="AG10" s="37">
        <v>0</v>
      </c>
      <c r="AH10" s="37">
        <v>0</v>
      </c>
      <c r="AI10" s="37">
        <v>0</v>
      </c>
      <c r="AJ10" s="37">
        <v>0</v>
      </c>
      <c r="AK10" s="37">
        <v>0</v>
      </c>
      <c r="AL10" s="37">
        <v>0</v>
      </c>
      <c r="AM10" s="37">
        <v>0</v>
      </c>
      <c r="AN10" s="37">
        <v>0</v>
      </c>
      <c r="AO10" s="37">
        <v>0</v>
      </c>
      <c r="AP10" s="37">
        <v>0</v>
      </c>
      <c r="AQ10" s="37">
        <v>0</v>
      </c>
      <c r="AR10" s="37">
        <v>0</v>
      </c>
      <c r="AS10" s="37">
        <v>0</v>
      </c>
      <c r="AT10" s="37">
        <v>0</v>
      </c>
      <c r="AU10" s="37">
        <v>0</v>
      </c>
      <c r="AV10" s="37">
        <v>0</v>
      </c>
      <c r="AW10" s="37">
        <v>0</v>
      </c>
      <c r="AX10" s="37">
        <v>0</v>
      </c>
      <c r="AY10" s="37">
        <v>0</v>
      </c>
      <c r="BA10" s="66"/>
      <c r="BB10" s="66"/>
    </row>
    <row r="11" spans="1:54">
      <c r="B11">
        <v>10047</v>
      </c>
      <c r="C11" t="s">
        <v>15</v>
      </c>
      <c r="D11" s="37">
        <v>10673.668784181988</v>
      </c>
      <c r="E11" s="37">
        <v>6402.2048728622467</v>
      </c>
      <c r="F11" s="37">
        <v>-6622.3318260640081</v>
      </c>
      <c r="G11" s="37">
        <v>5509.9312471344965</v>
      </c>
      <c r="H11" s="37">
        <v>1220.927212180497</v>
      </c>
      <c r="I11" s="37">
        <v>5183.8520063520045</v>
      </c>
      <c r="J11" s="37">
        <v>-5256.9791616074945</v>
      </c>
      <c r="K11" s="37">
        <v>4214.3763915354939</v>
      </c>
      <c r="L11" s="37">
        <v>-5324.6761298894999</v>
      </c>
      <c r="M11" s="37">
        <v>3822.2438530704967</v>
      </c>
      <c r="N11" s="37">
        <v>-4580.1444012064894</v>
      </c>
      <c r="O11" s="37">
        <v>2220.404584210999</v>
      </c>
      <c r="P11" s="37">
        <v>5546.7813022362461</v>
      </c>
      <c r="Q11" s="37">
        <v>5269.9100616816286</v>
      </c>
      <c r="R11" s="37">
        <v>-16835.173406824011</v>
      </c>
      <c r="S11" s="37">
        <v>-2917.092479504252</v>
      </c>
      <c r="T11" s="37">
        <v>-22659.681772263008</v>
      </c>
      <c r="U11" s="37">
        <v>-9491.4915892522549</v>
      </c>
      <c r="V11" s="37">
        <v>-11038.571912081999</v>
      </c>
      <c r="W11" s="37">
        <v>-352.42029768874636</v>
      </c>
      <c r="X11" s="37">
        <v>-8682.9484266607615</v>
      </c>
      <c r="Y11" s="37">
        <v>2850.8824702675774</v>
      </c>
      <c r="Z11" s="37">
        <v>-1618.9734108370103</v>
      </c>
      <c r="AA11" s="37">
        <v>1663.8525722479972</v>
      </c>
      <c r="AB11" s="37">
        <v>10685.156015389999</v>
      </c>
      <c r="AC11" s="37">
        <v>6409.1269589012518</v>
      </c>
      <c r="AD11" s="37">
        <v>-6628.783547280007</v>
      </c>
      <c r="AE11" s="37">
        <v>5515.5579172524958</v>
      </c>
      <c r="AF11" s="37">
        <v>1222.4925259225129</v>
      </c>
      <c r="AG11" s="37">
        <v>5189.271145040002</v>
      </c>
      <c r="AH11" s="37">
        <v>-8208.1963793374889</v>
      </c>
      <c r="AI11" s="37">
        <v>7165.0783548975014</v>
      </c>
      <c r="AJ11" s="37">
        <v>-2835.2940558275004</v>
      </c>
      <c r="AK11" s="37">
        <v>5073.439001672501</v>
      </c>
      <c r="AL11" s="37">
        <v>-1844.7456216924911</v>
      </c>
      <c r="AM11" s="37">
        <v>-516.89569490499707</v>
      </c>
      <c r="AN11" s="37">
        <v>5552.5843311312492</v>
      </c>
      <c r="AO11" s="37">
        <v>5275.3353655231331</v>
      </c>
      <c r="AP11" s="37">
        <v>-16851.794377479993</v>
      </c>
      <c r="AQ11" s="37">
        <v>-2919.8790009912409</v>
      </c>
      <c r="AR11" s="37">
        <v>-22682.094946634992</v>
      </c>
      <c r="AS11" s="37">
        <v>-9500.836640451249</v>
      </c>
      <c r="AT11" s="37">
        <v>-11049.394610889991</v>
      </c>
      <c r="AU11" s="37">
        <v>-352.63119549374824</v>
      </c>
      <c r="AV11" s="37">
        <v>-8691.4128104337506</v>
      </c>
      <c r="AW11" s="37">
        <v>2853.8732325108795</v>
      </c>
      <c r="AX11" s="37">
        <v>-1620.4440528650011</v>
      </c>
      <c r="AY11" s="37">
        <v>1665.6214519600035</v>
      </c>
      <c r="BA11" s="66"/>
      <c r="BB11" s="66"/>
    </row>
    <row r="12" spans="1:54">
      <c r="B12">
        <v>10055</v>
      </c>
      <c r="C12" t="s">
        <v>16</v>
      </c>
      <c r="D12" s="37">
        <v>46.383667562399978</v>
      </c>
      <c r="E12" s="37">
        <v>29.281039536699993</v>
      </c>
      <c r="F12" s="37">
        <v>7.0990172351999945</v>
      </c>
      <c r="G12" s="37">
        <v>42.586269485399995</v>
      </c>
      <c r="H12" s="37">
        <v>91.660507172600006</v>
      </c>
      <c r="I12" s="37">
        <v>90.45575680639999</v>
      </c>
      <c r="J12" s="37">
        <v>64.747848930999993</v>
      </c>
      <c r="K12" s="37">
        <v>85.812387558599994</v>
      </c>
      <c r="L12" s="37">
        <v>38.237233248600006</v>
      </c>
      <c r="M12" s="37">
        <v>58.313549120600015</v>
      </c>
      <c r="N12" s="37">
        <v>15.550578204200008</v>
      </c>
      <c r="O12" s="37">
        <v>36.388527365199991</v>
      </c>
      <c r="P12" s="37">
        <v>31.792719793499998</v>
      </c>
      <c r="Q12" s="37">
        <v>28.979918064950013</v>
      </c>
      <c r="R12" s="37">
        <v>-37.957833596800015</v>
      </c>
      <c r="S12" s="37">
        <v>-6.0501143710999941</v>
      </c>
      <c r="T12" s="37">
        <v>-40.589448611599977</v>
      </c>
      <c r="U12" s="37">
        <v>-24.896968084700006</v>
      </c>
      <c r="V12" s="37">
        <v>6.7410021576000076</v>
      </c>
      <c r="W12" s="37">
        <v>1.3316992835000008</v>
      </c>
      <c r="X12" s="37">
        <v>-1.4472237069000187</v>
      </c>
      <c r="Y12" s="37">
        <v>0.83982468049001113</v>
      </c>
      <c r="Z12" s="37">
        <v>4.391493691599976</v>
      </c>
      <c r="AA12" s="37">
        <v>-1.2106912864000066</v>
      </c>
      <c r="AB12" s="37">
        <v>47.918911965999996</v>
      </c>
      <c r="AC12" s="37">
        <v>30.276675509250012</v>
      </c>
      <c r="AD12" s="37">
        <v>8.531465967999992</v>
      </c>
      <c r="AE12" s="37">
        <v>43.73385734850001</v>
      </c>
      <c r="AF12" s="37">
        <v>93.213555746499992</v>
      </c>
      <c r="AG12" s="37">
        <v>91.59235617600001</v>
      </c>
      <c r="AH12" s="37">
        <v>55.57141810249999</v>
      </c>
      <c r="AI12" s="37">
        <v>97.701201361499983</v>
      </c>
      <c r="AJ12" s="37">
        <v>46.050514796500011</v>
      </c>
      <c r="AK12" s="37">
        <v>62.502180296500001</v>
      </c>
      <c r="AL12" s="37">
        <v>25.239570115500015</v>
      </c>
      <c r="AM12" s="37">
        <v>29.375169543000013</v>
      </c>
      <c r="AN12" s="37">
        <v>33.273960571250029</v>
      </c>
      <c r="AO12" s="37">
        <v>29.987939411125012</v>
      </c>
      <c r="AP12" s="37">
        <v>-36.426651912000011</v>
      </c>
      <c r="AQ12" s="37">
        <v>-4.917407455249986</v>
      </c>
      <c r="AR12" s="37">
        <v>-38.94744781899999</v>
      </c>
      <c r="AS12" s="37">
        <v>-23.931040579250009</v>
      </c>
      <c r="AT12" s="37">
        <v>8.3747053340000264</v>
      </c>
      <c r="AU12" s="37">
        <v>2.2991715462500082</v>
      </c>
      <c r="AV12" s="37">
        <v>0.18360531025001592</v>
      </c>
      <c r="AW12" s="37">
        <v>1.7927984884750003</v>
      </c>
      <c r="AX12" s="37">
        <v>5.8919875189999971</v>
      </c>
      <c r="AY12" s="37">
        <v>-0.23235437600000353</v>
      </c>
      <c r="BA12" s="66"/>
      <c r="BB12" s="66"/>
    </row>
    <row r="13" spans="1:54">
      <c r="B13">
        <v>10057</v>
      </c>
      <c r="C13" t="s">
        <v>17</v>
      </c>
      <c r="D13" s="37">
        <v>756.58773779799867</v>
      </c>
      <c r="E13" s="37">
        <v>-404.45922545974918</v>
      </c>
      <c r="F13" s="37">
        <v>-1057.4105708960014</v>
      </c>
      <c r="G13" s="37">
        <v>-239.34069742950032</v>
      </c>
      <c r="H13" s="37">
        <v>1122.9490284645017</v>
      </c>
      <c r="I13" s="37">
        <v>349.79224692800017</v>
      </c>
      <c r="J13" s="37">
        <v>71.60733093250019</v>
      </c>
      <c r="K13" s="37">
        <v>138.37247505949927</v>
      </c>
      <c r="L13" s="37">
        <v>-635.68507176549792</v>
      </c>
      <c r="M13" s="37">
        <v>-123.63122032550018</v>
      </c>
      <c r="N13" s="37">
        <v>-1173.8448725785001</v>
      </c>
      <c r="O13" s="37">
        <v>-762.50883642099961</v>
      </c>
      <c r="P13" s="37">
        <v>-159.44931197374899</v>
      </c>
      <c r="Q13" s="37">
        <v>-651.50286503537427</v>
      </c>
      <c r="R13" s="37">
        <v>-2910.2778665360001</v>
      </c>
      <c r="S13" s="37">
        <v>-1718.6366792782492</v>
      </c>
      <c r="T13" s="37">
        <v>-2402.9089418069998</v>
      </c>
      <c r="U13" s="37">
        <v>-1872.0866452502505</v>
      </c>
      <c r="V13" s="37">
        <v>649.17155910200017</v>
      </c>
      <c r="W13" s="37">
        <v>-98.065645298749587</v>
      </c>
      <c r="X13" s="37">
        <v>467.80109859325057</v>
      </c>
      <c r="Y13" s="37">
        <v>197.25512787417483</v>
      </c>
      <c r="Z13" s="37">
        <v>-106.77083409300121</v>
      </c>
      <c r="AA13" s="37">
        <v>-675.73487152799953</v>
      </c>
      <c r="AB13" s="37">
        <v>757.8639598159989</v>
      </c>
      <c r="AC13" s="37">
        <v>-403.62604559699957</v>
      </c>
      <c r="AD13" s="37">
        <v>-1055.7783272320012</v>
      </c>
      <c r="AE13" s="37">
        <v>-238.28275811399999</v>
      </c>
      <c r="AF13" s="37">
        <v>1124.7092713340007</v>
      </c>
      <c r="AG13" s="37">
        <v>350.93524377599988</v>
      </c>
      <c r="AH13" s="37">
        <v>-351.80482320999909</v>
      </c>
      <c r="AI13" s="37">
        <v>564.80154407400005</v>
      </c>
      <c r="AJ13" s="37">
        <v>-306.97302086599848</v>
      </c>
      <c r="AK13" s="37">
        <v>40.844757133999337</v>
      </c>
      <c r="AL13" s="37">
        <v>-823.54691302199899</v>
      </c>
      <c r="AM13" s="37">
        <v>-1109.9726255319993</v>
      </c>
      <c r="AN13" s="37">
        <v>-158.08810808499857</v>
      </c>
      <c r="AO13" s="37">
        <v>-650.62775830449937</v>
      </c>
      <c r="AP13" s="37">
        <v>-2908.5919581119997</v>
      </c>
      <c r="AQ13" s="37">
        <v>-1717.5481446989988</v>
      </c>
      <c r="AR13" s="37">
        <v>-2401.1289378439997</v>
      </c>
      <c r="AS13" s="37">
        <v>-1871.0320077229999</v>
      </c>
      <c r="AT13" s="37">
        <v>650.70507498400002</v>
      </c>
      <c r="AU13" s="37">
        <v>-97.138283984999362</v>
      </c>
      <c r="AV13" s="37">
        <v>469.31024367899954</v>
      </c>
      <c r="AW13" s="37">
        <v>198.12499691409994</v>
      </c>
      <c r="AX13" s="37">
        <v>-105.46336495600099</v>
      </c>
      <c r="AY13" s="37">
        <v>-674.85318697599905</v>
      </c>
      <c r="BA13" s="66"/>
      <c r="BB13" s="66"/>
    </row>
    <row r="14" spans="1:54">
      <c r="B14">
        <v>10059</v>
      </c>
      <c r="C14" t="s">
        <v>18</v>
      </c>
      <c r="D14" s="37">
        <v>547.91760517119974</v>
      </c>
      <c r="E14" s="37">
        <v>0.47721416959984708</v>
      </c>
      <c r="F14" s="37">
        <v>-198.57465066240047</v>
      </c>
      <c r="G14" s="37">
        <v>133.74680299519969</v>
      </c>
      <c r="H14" s="37">
        <v>688.28629850879952</v>
      </c>
      <c r="I14" s="37">
        <v>321.77913944319971</v>
      </c>
      <c r="J14" s="37">
        <v>694.68956012800027</v>
      </c>
      <c r="K14" s="37">
        <v>518.69165767679988</v>
      </c>
      <c r="L14" s="37">
        <v>488.0845363968001</v>
      </c>
      <c r="M14" s="37">
        <v>458.79692353279961</v>
      </c>
      <c r="N14" s="37">
        <v>-52.668959590400391</v>
      </c>
      <c r="O14" s="37">
        <v>55.995906777599885</v>
      </c>
      <c r="P14" s="37">
        <v>647.44551852799987</v>
      </c>
      <c r="Q14" s="37">
        <v>293.88102130560014</v>
      </c>
      <c r="R14" s="37">
        <v>-822.71898627840073</v>
      </c>
      <c r="S14" s="37">
        <v>-369.80672967680016</v>
      </c>
      <c r="T14" s="37">
        <v>-1025.2527249408004</v>
      </c>
      <c r="U14" s="37">
        <v>-673.60297999360023</v>
      </c>
      <c r="V14" s="37">
        <v>-596.24656581120007</v>
      </c>
      <c r="W14" s="37">
        <v>-370.71466835200022</v>
      </c>
      <c r="X14" s="37">
        <v>-577.2468207872007</v>
      </c>
      <c r="Y14" s="37">
        <v>-271.59567829887988</v>
      </c>
      <c r="Z14" s="37">
        <v>-142.8010520192006</v>
      </c>
      <c r="AA14" s="37">
        <v>-289.79870968320029</v>
      </c>
      <c r="AB14" s="37">
        <v>549.70431599640006</v>
      </c>
      <c r="AC14" s="37">
        <v>1.643665977450155</v>
      </c>
      <c r="AD14" s="37">
        <v>-196.28950953279991</v>
      </c>
      <c r="AE14" s="37">
        <v>135.22791803690006</v>
      </c>
      <c r="AF14" s="37">
        <v>690.75063852609992</v>
      </c>
      <c r="AG14" s="37">
        <v>323.3793350304004</v>
      </c>
      <c r="AH14" s="37">
        <v>496.11754432850103</v>
      </c>
      <c r="AI14" s="37">
        <v>721.48735429709996</v>
      </c>
      <c r="AJ14" s="37">
        <v>614.72105889610066</v>
      </c>
      <c r="AK14" s="37">
        <v>522.28311759610006</v>
      </c>
      <c r="AL14" s="37">
        <v>109.7959837887006</v>
      </c>
      <c r="AM14" s="37">
        <v>-102.50359797779947</v>
      </c>
      <c r="AN14" s="37">
        <v>649.35120397225046</v>
      </c>
      <c r="AO14" s="37">
        <v>295.10617072882542</v>
      </c>
      <c r="AP14" s="37">
        <v>-820.3587144848002</v>
      </c>
      <c r="AQ14" s="37">
        <v>-368.28278126584951</v>
      </c>
      <c r="AR14" s="37">
        <v>-1022.7607193925996</v>
      </c>
      <c r="AS14" s="37">
        <v>-672.12648745544971</v>
      </c>
      <c r="AT14" s="37">
        <v>-594.09964357639956</v>
      </c>
      <c r="AU14" s="37">
        <v>-369.41636251274986</v>
      </c>
      <c r="AV14" s="37">
        <v>-575.13401766715015</v>
      </c>
      <c r="AW14" s="37">
        <v>-270.37786164298473</v>
      </c>
      <c r="AX14" s="37">
        <v>-140.97059522739983</v>
      </c>
      <c r="AY14" s="37">
        <v>-288.56435131039984</v>
      </c>
      <c r="BA14" s="66"/>
      <c r="BB14" s="66"/>
    </row>
    <row r="15" spans="1:54">
      <c r="B15">
        <v>10061</v>
      </c>
      <c r="C15" t="s">
        <v>19</v>
      </c>
      <c r="D15" s="37">
        <v>1844.5201172132001</v>
      </c>
      <c r="E15" s="37">
        <v>845.64167959935048</v>
      </c>
      <c r="F15" s="37">
        <v>1222.8916965536</v>
      </c>
      <c r="G15" s="37">
        <v>1155.7438895647001</v>
      </c>
      <c r="H15" s="37">
        <v>1551.5009087042999</v>
      </c>
      <c r="I15" s="37">
        <v>983.71318275520025</v>
      </c>
      <c r="J15" s="37">
        <v>1652.8305812955005</v>
      </c>
      <c r="K15" s="37">
        <v>1316.8508138773004</v>
      </c>
      <c r="L15" s="37">
        <v>1311.2922184223007</v>
      </c>
      <c r="M15" s="37">
        <v>1060.5921493183</v>
      </c>
      <c r="N15" s="37">
        <v>1179.1764272081009</v>
      </c>
      <c r="O15" s="37">
        <v>825.91410251859998</v>
      </c>
      <c r="P15" s="37">
        <v>1746.6060313517505</v>
      </c>
      <c r="Q15" s="37">
        <v>942.68869338597551</v>
      </c>
      <c r="R15" s="37">
        <v>399.39432537760058</v>
      </c>
      <c r="S15" s="37">
        <v>543.73932459144999</v>
      </c>
      <c r="T15" s="37">
        <v>250.20696330620012</v>
      </c>
      <c r="U15" s="37">
        <v>158.99599848665002</v>
      </c>
      <c r="V15" s="37">
        <v>1061.4866772468004</v>
      </c>
      <c r="W15" s="37">
        <v>863.59973679675022</v>
      </c>
      <c r="X15" s="37">
        <v>1092.1331558295506</v>
      </c>
      <c r="Y15" s="37">
        <v>870.96166948594555</v>
      </c>
      <c r="Z15" s="37">
        <v>1363.6726636337999</v>
      </c>
      <c r="AA15" s="37">
        <v>757.79970360480002</v>
      </c>
      <c r="AB15" s="37">
        <v>1640.8921172131995</v>
      </c>
      <c r="AC15" s="37">
        <v>672.84067959935055</v>
      </c>
      <c r="AD15" s="37">
        <v>1102.8446965535995</v>
      </c>
      <c r="AE15" s="37">
        <v>1016.6608895646996</v>
      </c>
      <c r="AF15" s="37">
        <v>1409.4379087042998</v>
      </c>
      <c r="AG15" s="37">
        <v>804.70318275520003</v>
      </c>
      <c r="AH15" s="37">
        <v>1285.5555812954999</v>
      </c>
      <c r="AI15" s="37">
        <v>1403.3798138773</v>
      </c>
      <c r="AJ15" s="37">
        <v>1330.5926440143003</v>
      </c>
      <c r="AK15" s="37">
        <v>1002.7448621142998</v>
      </c>
      <c r="AL15" s="37">
        <v>1244.6444272081008</v>
      </c>
      <c r="AM15" s="37">
        <v>491.81010251859971</v>
      </c>
      <c r="AN15" s="37">
        <v>1615.3450313517501</v>
      </c>
      <c r="AO15" s="37">
        <v>811.47069338597566</v>
      </c>
      <c r="AP15" s="37">
        <v>257.74532537760024</v>
      </c>
      <c r="AQ15" s="37">
        <v>410.79132459145012</v>
      </c>
      <c r="AR15" s="37">
        <v>122.92296330620047</v>
      </c>
      <c r="AS15" s="37">
        <v>-2.3980015133497545</v>
      </c>
      <c r="AT15" s="37">
        <v>896.44267724679958</v>
      </c>
      <c r="AU15" s="37">
        <v>705.26673679675014</v>
      </c>
      <c r="AV15" s="37">
        <v>957.82615582954986</v>
      </c>
      <c r="AW15" s="37">
        <v>698.27966948594531</v>
      </c>
      <c r="AX15" s="37">
        <v>1199.4846636337998</v>
      </c>
      <c r="AY15" s="37">
        <v>587.40770360480019</v>
      </c>
      <c r="BA15" s="66"/>
      <c r="BB15" s="66"/>
    </row>
    <row r="16" spans="1:54">
      <c r="B16">
        <v>10062</v>
      </c>
      <c r="C16" t="s">
        <v>20</v>
      </c>
      <c r="D16" s="37">
        <v>867.50360347279957</v>
      </c>
      <c r="E16" s="37">
        <v>2.1739419900313806E-2</v>
      </c>
      <c r="F16" s="37">
        <v>522.50585997439975</v>
      </c>
      <c r="G16" s="37">
        <v>-0.16172159620009552</v>
      </c>
      <c r="H16" s="37">
        <v>1442.3398838222001</v>
      </c>
      <c r="I16" s="37">
        <v>677.10765534079974</v>
      </c>
      <c r="J16" s="37">
        <v>1334.3912411070005</v>
      </c>
      <c r="K16" s="37">
        <v>798.85709006420029</v>
      </c>
      <c r="L16" s="37">
        <v>916.41817399420052</v>
      </c>
      <c r="M16" s="37">
        <v>496.65851117820011</v>
      </c>
      <c r="N16" s="37">
        <v>598.54129916740021</v>
      </c>
      <c r="O16" s="37">
        <v>-106.7650534155996</v>
      </c>
      <c r="P16" s="37">
        <v>13.554529769500277</v>
      </c>
      <c r="Q16" s="37">
        <v>-445.30540823984938</v>
      </c>
      <c r="R16" s="37">
        <v>-1469.9453363295997</v>
      </c>
      <c r="S16" s="37">
        <v>-1664.7636658767001</v>
      </c>
      <c r="T16" s="37">
        <v>-1521.3111046051999</v>
      </c>
      <c r="U16" s="37">
        <v>-1599.6706469758999</v>
      </c>
      <c r="V16" s="37">
        <v>-462.40986463279978</v>
      </c>
      <c r="W16" s="37">
        <v>-836.32136770049965</v>
      </c>
      <c r="X16" s="37">
        <v>484.15190991069994</v>
      </c>
      <c r="Y16" s="37">
        <v>-226.17326910046995</v>
      </c>
      <c r="Z16" s="37">
        <v>529.39454136519998</v>
      </c>
      <c r="AA16" s="37">
        <v>-230.03088390080006</v>
      </c>
      <c r="AB16" s="37">
        <v>856.94660347279978</v>
      </c>
      <c r="AC16" s="37">
        <v>32.878739419900285</v>
      </c>
      <c r="AD16" s="37">
        <v>539.44985997440017</v>
      </c>
      <c r="AE16" s="37">
        <v>4.3922784037999918</v>
      </c>
      <c r="AF16" s="37">
        <v>1460.5258838221998</v>
      </c>
      <c r="AG16" s="37">
        <v>681.22265534079952</v>
      </c>
      <c r="AH16" s="37">
        <v>1358.0262411070007</v>
      </c>
      <c r="AI16" s="37">
        <v>797.5220900641998</v>
      </c>
      <c r="AJ16" s="37">
        <v>1047.7814335621997</v>
      </c>
      <c r="AK16" s="37">
        <v>559.34614096219957</v>
      </c>
      <c r="AL16" s="37">
        <v>591.18629916740019</v>
      </c>
      <c r="AM16" s="37">
        <v>-77.027053415599767</v>
      </c>
      <c r="AN16" s="37">
        <v>30.828529769500165</v>
      </c>
      <c r="AO16" s="37">
        <v>-440.9984082398496</v>
      </c>
      <c r="AP16" s="37">
        <v>-1451.3453363295998</v>
      </c>
      <c r="AQ16" s="37">
        <v>-1661.0636658767003</v>
      </c>
      <c r="AR16" s="37">
        <v>-1500.7411046051998</v>
      </c>
      <c r="AS16" s="37">
        <v>-1598.6606469758999</v>
      </c>
      <c r="AT16" s="37">
        <v>-442.87786463280008</v>
      </c>
      <c r="AU16" s="37">
        <v>-833.55336770050008</v>
      </c>
      <c r="AV16" s="37">
        <v>534.41890991070022</v>
      </c>
      <c r="AW16" s="37">
        <v>-254.14026910046982</v>
      </c>
      <c r="AX16" s="37">
        <v>519.3445413651998</v>
      </c>
      <c r="AY16" s="37">
        <v>-198.40088390079995</v>
      </c>
      <c r="BA16" s="66"/>
      <c r="BB16" s="66"/>
    </row>
    <row r="17" spans="2:54">
      <c r="B17">
        <v>10064</v>
      </c>
      <c r="C17" t="s">
        <v>21</v>
      </c>
      <c r="D17" s="37">
        <v>2246.926698300399</v>
      </c>
      <c r="E17" s="37">
        <v>611.11996290945035</v>
      </c>
      <c r="F17" s="37">
        <v>305.46335145919966</v>
      </c>
      <c r="G17" s="37">
        <v>503.27451942090011</v>
      </c>
      <c r="H17" s="37">
        <v>1922.9389868221006</v>
      </c>
      <c r="I17" s="37">
        <v>1090.4312355743996</v>
      </c>
      <c r="J17" s="37">
        <v>1340.6660990885002</v>
      </c>
      <c r="K17" s="37">
        <v>1167.7101591531</v>
      </c>
      <c r="L17" s="37">
        <v>1123.0543907681003</v>
      </c>
      <c r="M17" s="37">
        <v>931.20462128009967</v>
      </c>
      <c r="N17" s="37">
        <v>747.72769402070026</v>
      </c>
      <c r="O17" s="37">
        <v>314.5246178141997</v>
      </c>
      <c r="P17" s="37">
        <v>1737.7955242322505</v>
      </c>
      <c r="Q17" s="37">
        <v>486.08837053082561</v>
      </c>
      <c r="R17" s="37">
        <v>-239.06428421280089</v>
      </c>
      <c r="S17" s="37">
        <v>-222.75451362184958</v>
      </c>
      <c r="T17" s="37">
        <v>99.091861871400397</v>
      </c>
      <c r="U17" s="37">
        <v>-648.3149384674507</v>
      </c>
      <c r="V17" s="37">
        <v>1844.4846253195992</v>
      </c>
      <c r="W17" s="37">
        <v>619.51325814724987</v>
      </c>
      <c r="X17" s="37">
        <v>1807.0883818088487</v>
      </c>
      <c r="Y17" s="37">
        <v>775.6922956174144</v>
      </c>
      <c r="Z17" s="37">
        <v>1401.1731803085995</v>
      </c>
      <c r="AA17" s="37">
        <v>100.95516734559942</v>
      </c>
      <c r="AB17" s="37">
        <v>1822.1926983003996</v>
      </c>
      <c r="AC17" s="37">
        <v>372.08096290945059</v>
      </c>
      <c r="AD17" s="37">
        <v>-49.94464854079979</v>
      </c>
      <c r="AE17" s="37">
        <v>217.08451942090051</v>
      </c>
      <c r="AF17" s="37">
        <v>1571.588986822102</v>
      </c>
      <c r="AG17" s="37">
        <v>785.02723557440004</v>
      </c>
      <c r="AH17" s="37">
        <v>670.76909908850121</v>
      </c>
      <c r="AI17" s="37">
        <v>1180.8451591531002</v>
      </c>
      <c r="AJ17" s="37">
        <v>1054.4698703921013</v>
      </c>
      <c r="AK17" s="37">
        <v>810.43436109210006</v>
      </c>
      <c r="AL17" s="37">
        <v>627.2476940207016</v>
      </c>
      <c r="AM17" s="37">
        <v>-225.78038218579968</v>
      </c>
      <c r="AN17" s="37">
        <v>1367.7305242322509</v>
      </c>
      <c r="AO17" s="37">
        <v>213.84537053082568</v>
      </c>
      <c r="AP17" s="37">
        <v>-610.26928421280081</v>
      </c>
      <c r="AQ17" s="37">
        <v>-516.83751362184921</v>
      </c>
      <c r="AR17" s="37">
        <v>-256.13313812859815</v>
      </c>
      <c r="AS17" s="37">
        <v>-935.66193846744954</v>
      </c>
      <c r="AT17" s="37">
        <v>1476.1946253196011</v>
      </c>
      <c r="AU17" s="37">
        <v>326.17525814725013</v>
      </c>
      <c r="AV17" s="37">
        <v>1479.0093818088508</v>
      </c>
      <c r="AW17" s="37">
        <v>441.73229561741528</v>
      </c>
      <c r="AX17" s="37">
        <v>1004.2841803085994</v>
      </c>
      <c r="AY17" s="37">
        <v>-145.9018326544001</v>
      </c>
      <c r="BA17" s="66"/>
      <c r="BB17" s="66"/>
    </row>
    <row r="18" spans="2:54">
      <c r="B18">
        <v>10065</v>
      </c>
      <c r="C18" t="s">
        <v>22</v>
      </c>
      <c r="D18" s="37">
        <v>307.34751840519982</v>
      </c>
      <c r="E18" s="37">
        <v>-24.709653489650123</v>
      </c>
      <c r="F18" s="37">
        <v>250.6000129695999</v>
      </c>
      <c r="G18" s="37">
        <v>291.98998734669999</v>
      </c>
      <c r="H18" s="37">
        <v>691.5707600623</v>
      </c>
      <c r="I18" s="37">
        <v>362.21337046719987</v>
      </c>
      <c r="J18" s="37">
        <v>395.37134252550004</v>
      </c>
      <c r="K18" s="37">
        <v>267.04607661529997</v>
      </c>
      <c r="L18" s="37">
        <v>427.73041886030001</v>
      </c>
      <c r="M18" s="37">
        <v>317.76275551629988</v>
      </c>
      <c r="N18" s="37">
        <v>442.92384939410022</v>
      </c>
      <c r="O18" s="37">
        <v>333.66798183459991</v>
      </c>
      <c r="P18" s="37">
        <v>373.10500220675033</v>
      </c>
      <c r="Q18" s="37">
        <v>170.43350511947494</v>
      </c>
      <c r="R18" s="37">
        <v>-153.29254076640018</v>
      </c>
      <c r="S18" s="37">
        <v>1.5000887284498958</v>
      </c>
      <c r="T18" s="37">
        <v>-104.66672892179986</v>
      </c>
      <c r="U18" s="37">
        <v>-132.92940126434996</v>
      </c>
      <c r="V18" s="37">
        <v>101.53996365479998</v>
      </c>
      <c r="W18" s="37">
        <v>46.891999351750087</v>
      </c>
      <c r="X18" s="37">
        <v>-58.728306047450246</v>
      </c>
      <c r="Y18" s="37">
        <v>29.737179107645034</v>
      </c>
      <c r="Z18" s="37">
        <v>145.6837522617999</v>
      </c>
      <c r="AA18" s="37">
        <v>-72.793982507200099</v>
      </c>
      <c r="AB18" s="37">
        <v>412.68951840519992</v>
      </c>
      <c r="AC18" s="37">
        <v>91.947346510349917</v>
      </c>
      <c r="AD18" s="37">
        <v>376.83101296959967</v>
      </c>
      <c r="AE18" s="37">
        <v>382.12898734669989</v>
      </c>
      <c r="AF18" s="37">
        <v>834.08776006230028</v>
      </c>
      <c r="AG18" s="37">
        <v>457.1073704672001</v>
      </c>
      <c r="AH18" s="37">
        <v>436.57934252550012</v>
      </c>
      <c r="AI18" s="37">
        <v>466.29707661529972</v>
      </c>
      <c r="AJ18" s="37">
        <v>631.58908397230016</v>
      </c>
      <c r="AK18" s="37">
        <v>438.13608807229991</v>
      </c>
      <c r="AL18" s="37">
        <v>684.20984939410027</v>
      </c>
      <c r="AM18" s="37">
        <v>326.51898183460003</v>
      </c>
      <c r="AN18" s="37">
        <v>504.46000220674989</v>
      </c>
      <c r="AO18" s="37">
        <v>253.29050511947491</v>
      </c>
      <c r="AP18" s="37">
        <v>-51.314540766400341</v>
      </c>
      <c r="AQ18" s="37">
        <v>96.079088728450074</v>
      </c>
      <c r="AR18" s="37">
        <v>-85.737728921799999</v>
      </c>
      <c r="AS18" s="37">
        <v>-122.4194012643502</v>
      </c>
      <c r="AT18" s="37">
        <v>121.1349636548</v>
      </c>
      <c r="AU18" s="37">
        <v>58.629999351750143</v>
      </c>
      <c r="AV18" s="37">
        <v>-7.1673060474504382</v>
      </c>
      <c r="AW18" s="37">
        <v>6.2001791076451127</v>
      </c>
      <c r="AX18" s="37">
        <v>128.22175226179991</v>
      </c>
      <c r="AY18" s="37">
        <v>-28.52198250720005</v>
      </c>
      <c r="BA18" s="66"/>
      <c r="BB18" s="66"/>
    </row>
    <row r="19" spans="2:54">
      <c r="B19">
        <v>10066</v>
      </c>
      <c r="C19" t="s">
        <v>23</v>
      </c>
      <c r="D19" s="37">
        <v>1704.5529521847984</v>
      </c>
      <c r="E19" s="37">
        <v>-742.6363835091006</v>
      </c>
      <c r="F19" s="37">
        <v>1911.7278093503992</v>
      </c>
      <c r="G19" s="37">
        <v>1490.8280141057994</v>
      </c>
      <c r="H19" s="37">
        <v>4821.5512156601981</v>
      </c>
      <c r="I19" s="37">
        <v>2522.6750417728008</v>
      </c>
      <c r="J19" s="37">
        <v>4680.318491136999</v>
      </c>
      <c r="K19" s="37">
        <v>2985.9884060822005</v>
      </c>
      <c r="L19" s="37">
        <v>3551.5915397121989</v>
      </c>
      <c r="M19" s="37">
        <v>2314.1489082562002</v>
      </c>
      <c r="N19" s="37">
        <v>2733.4383855134001</v>
      </c>
      <c r="O19" s="37">
        <v>1500.6536828604003</v>
      </c>
      <c r="P19" s="37">
        <v>2056.0548794245005</v>
      </c>
      <c r="Q19" s="37">
        <v>106.83986425365038</v>
      </c>
      <c r="R19" s="37">
        <v>-2493.643203113601</v>
      </c>
      <c r="S19" s="37">
        <v>-2077.0834050197</v>
      </c>
      <c r="T19" s="37">
        <v>-3287.5769645131986</v>
      </c>
      <c r="U19" s="37">
        <v>-2956.5622472869009</v>
      </c>
      <c r="V19" s="37">
        <v>-496.68446974479957</v>
      </c>
      <c r="W19" s="37">
        <v>-1347.6723743454995</v>
      </c>
      <c r="X19" s="37">
        <v>-1670.6843830862999</v>
      </c>
      <c r="Y19" s="37">
        <v>-1762.1248933267689</v>
      </c>
      <c r="Z19" s="37">
        <v>-916.17021832680075</v>
      </c>
      <c r="AA19" s="37">
        <v>-2093.7398727328</v>
      </c>
      <c r="AB19" s="37">
        <v>1740.6609521847986</v>
      </c>
      <c r="AC19" s="37">
        <v>-722.74038350909996</v>
      </c>
      <c r="AD19" s="37">
        <v>1950.5958093503996</v>
      </c>
      <c r="AE19" s="37">
        <v>1518.2030141057994</v>
      </c>
      <c r="AF19" s="37">
        <v>4867.2972156602009</v>
      </c>
      <c r="AG19" s="37">
        <v>2551.6230417728011</v>
      </c>
      <c r="AH19" s="37">
        <v>4047.8714911369989</v>
      </c>
      <c r="AI19" s="37">
        <v>3694.9914060821993</v>
      </c>
      <c r="AJ19" s="37">
        <v>3991.1079700002028</v>
      </c>
      <c r="AK19" s="37">
        <v>2538.3856234001987</v>
      </c>
      <c r="AL19" s="37">
        <v>3344.3253855134026</v>
      </c>
      <c r="AM19" s="37">
        <v>956.58868286039979</v>
      </c>
      <c r="AN19" s="37">
        <v>2091.1298794244994</v>
      </c>
      <c r="AO19" s="37">
        <v>127.16786425365171</v>
      </c>
      <c r="AP19" s="37">
        <v>-2465.4962031136001</v>
      </c>
      <c r="AQ19" s="37">
        <v>-2058.7554050196995</v>
      </c>
      <c r="AR19" s="37">
        <v>-3258.3799645131985</v>
      </c>
      <c r="AS19" s="37">
        <v>-2940.6652472869</v>
      </c>
      <c r="AT19" s="37">
        <v>-464.34646974479983</v>
      </c>
      <c r="AU19" s="37">
        <v>-1329.1613743454991</v>
      </c>
      <c r="AV19" s="37">
        <v>-1640.1193830862994</v>
      </c>
      <c r="AW19" s="37">
        <v>-1744.4458933267688</v>
      </c>
      <c r="AX19" s="37">
        <v>-887.9492183268012</v>
      </c>
      <c r="AY19" s="37">
        <v>-2077.1538727328007</v>
      </c>
      <c r="BA19" s="66"/>
      <c r="BB19" s="66"/>
    </row>
    <row r="20" spans="2:54">
      <c r="B20">
        <v>10067</v>
      </c>
      <c r="C20" t="s">
        <v>24</v>
      </c>
      <c r="D20" s="37">
        <v>738.72664636719946</v>
      </c>
      <c r="E20" s="37">
        <v>-247.78049944989925</v>
      </c>
      <c r="F20" s="37">
        <v>-887.87508365440044</v>
      </c>
      <c r="G20" s="37">
        <v>-94.242889263799952</v>
      </c>
      <c r="H20" s="37">
        <v>388.76775483780148</v>
      </c>
      <c r="I20" s="37">
        <v>340.41763489919958</v>
      </c>
      <c r="J20" s="37">
        <v>200.76211099300053</v>
      </c>
      <c r="K20" s="37">
        <v>480.88154119580031</v>
      </c>
      <c r="L20" s="37">
        <v>-221.95456373419893</v>
      </c>
      <c r="M20" s="37">
        <v>233.58349428180009</v>
      </c>
      <c r="N20" s="37">
        <v>-832.32578494739937</v>
      </c>
      <c r="O20" s="37">
        <v>-482.76758726439948</v>
      </c>
      <c r="P20" s="37">
        <v>233.64667108050071</v>
      </c>
      <c r="Q20" s="37">
        <v>-320.21278471514916</v>
      </c>
      <c r="R20" s="37">
        <v>-2034.7812185503999</v>
      </c>
      <c r="S20" s="37">
        <v>-1319.0679591332992</v>
      </c>
      <c r="T20" s="37">
        <v>-2208.5451489547995</v>
      </c>
      <c r="U20" s="37">
        <v>-1668.4780197941</v>
      </c>
      <c r="V20" s="37">
        <v>-709.00133320719942</v>
      </c>
      <c r="W20" s="37">
        <v>-593.05187244949957</v>
      </c>
      <c r="X20" s="37">
        <v>-670.47683470069933</v>
      </c>
      <c r="Y20" s="37">
        <v>-318.3472552405301</v>
      </c>
      <c r="Z20" s="37">
        <v>-417.27165980520022</v>
      </c>
      <c r="AA20" s="37">
        <v>-824.57657433919985</v>
      </c>
      <c r="AB20" s="37">
        <v>575.39864636719904</v>
      </c>
      <c r="AC20" s="37">
        <v>-330.66749944989988</v>
      </c>
      <c r="AD20" s="37">
        <v>-1018.0490836544004</v>
      </c>
      <c r="AE20" s="37">
        <v>-202.77888926380001</v>
      </c>
      <c r="AF20" s="37">
        <v>262.27975483780028</v>
      </c>
      <c r="AG20" s="37">
        <v>220.72363489920008</v>
      </c>
      <c r="AH20" s="37">
        <v>-297.04488900700017</v>
      </c>
      <c r="AI20" s="37">
        <v>732.5065411957994</v>
      </c>
      <c r="AJ20" s="37">
        <v>-60.456472902199494</v>
      </c>
      <c r="AK20" s="37">
        <v>277.04103969779953</v>
      </c>
      <c r="AL20" s="37">
        <v>-666.5907849473997</v>
      </c>
      <c r="AM20" s="37">
        <v>-894.220587264399</v>
      </c>
      <c r="AN20" s="37">
        <v>101.24667108050016</v>
      </c>
      <c r="AO20" s="37">
        <v>-425.71778471514926</v>
      </c>
      <c r="AP20" s="37">
        <v>-2167.9862185503998</v>
      </c>
      <c r="AQ20" s="37">
        <v>-1431.7229591332998</v>
      </c>
      <c r="AR20" s="37">
        <v>-2332.5141489547996</v>
      </c>
      <c r="AS20" s="37">
        <v>-1782.4440197941003</v>
      </c>
      <c r="AT20" s="37">
        <v>-839.95233320719944</v>
      </c>
      <c r="AU20" s="37">
        <v>-707.97987244949945</v>
      </c>
      <c r="AV20" s="37">
        <v>-775.40383470069992</v>
      </c>
      <c r="AW20" s="37">
        <v>-459.29425524053022</v>
      </c>
      <c r="AX20" s="37">
        <v>-569.24765980520078</v>
      </c>
      <c r="AY20" s="37">
        <v>-910.6355743392005</v>
      </c>
      <c r="BA20" s="66"/>
      <c r="BB20" s="66"/>
    </row>
    <row r="21" spans="2:54">
      <c r="B21">
        <v>10068</v>
      </c>
      <c r="C21" t="s">
        <v>25</v>
      </c>
      <c r="D21" s="37">
        <v>147.09368245639996</v>
      </c>
      <c r="E21" s="37">
        <v>22.628064219950033</v>
      </c>
      <c r="F21" s="37">
        <v>-9.000323452800103</v>
      </c>
      <c r="G21" s="37">
        <v>20.113711821899983</v>
      </c>
      <c r="H21" s="37">
        <v>192.07365669110004</v>
      </c>
      <c r="I21" s="37">
        <v>182.0877015904</v>
      </c>
      <c r="J21" s="37">
        <v>117.7109548535002</v>
      </c>
      <c r="K21" s="37">
        <v>167.73080561209997</v>
      </c>
      <c r="L21" s="37">
        <v>42.533504577100302</v>
      </c>
      <c r="M21" s="37">
        <v>90.665794769099989</v>
      </c>
      <c r="N21" s="37">
        <v>-28.963468156299768</v>
      </c>
      <c r="O21" s="37">
        <v>-33.732591147800008</v>
      </c>
      <c r="P21" s="37">
        <v>44.262920434750072</v>
      </c>
      <c r="Q21" s="37">
        <v>-3.8399348849249009</v>
      </c>
      <c r="R21" s="37">
        <v>-334.37833120479991</v>
      </c>
      <c r="S21" s="37">
        <v>-229.07894976834996</v>
      </c>
      <c r="T21" s="37">
        <v>-354.95289378259986</v>
      </c>
      <c r="U21" s="37">
        <v>-227.01232239795002</v>
      </c>
      <c r="V21" s="37">
        <v>-64.725297036399979</v>
      </c>
      <c r="W21" s="37">
        <v>-30.520231300249975</v>
      </c>
      <c r="X21" s="37">
        <v>-57.128741614650153</v>
      </c>
      <c r="Y21" s="37">
        <v>-54.730372953234905</v>
      </c>
      <c r="Z21" s="37">
        <v>-83.016963837399999</v>
      </c>
      <c r="AA21" s="37">
        <v>-89.809059870400006</v>
      </c>
      <c r="AB21" s="37">
        <v>147.85941566719998</v>
      </c>
      <c r="AC21" s="37">
        <v>23.127972137600068</v>
      </c>
      <c r="AD21" s="37">
        <v>-8.0209772543998952</v>
      </c>
      <c r="AE21" s="37">
        <v>20.748475411200047</v>
      </c>
      <c r="AF21" s="37">
        <v>193.12980241280002</v>
      </c>
      <c r="AG21" s="37">
        <v>182.77349969919999</v>
      </c>
      <c r="AH21" s="37">
        <v>118.83166236800025</v>
      </c>
      <c r="AI21" s="37">
        <v>168.42024702079993</v>
      </c>
      <c r="AJ21" s="37">
        <v>84.750952172800226</v>
      </c>
      <c r="AK21" s="37">
        <v>111.84648977279994</v>
      </c>
      <c r="AL21" s="37">
        <v>-27.928492422399813</v>
      </c>
      <c r="AM21" s="37">
        <v>-33.067664614399973</v>
      </c>
      <c r="AN21" s="37">
        <v>45.079642768000099</v>
      </c>
      <c r="AO21" s="37">
        <v>-3.3148708463999128</v>
      </c>
      <c r="AP21" s="37">
        <v>-333.3667861504</v>
      </c>
      <c r="AQ21" s="37">
        <v>-228.42582902079994</v>
      </c>
      <c r="AR21" s="37">
        <v>-353.88489140479987</v>
      </c>
      <c r="AS21" s="37">
        <v>-226.37953988160007</v>
      </c>
      <c r="AT21" s="37">
        <v>-63.805187507199889</v>
      </c>
      <c r="AU21" s="37">
        <v>-29.963814511999885</v>
      </c>
      <c r="AV21" s="37">
        <v>-56.223254563200044</v>
      </c>
      <c r="AW21" s="37">
        <v>-54.208451529279955</v>
      </c>
      <c r="AX21" s="37">
        <v>-82.232482355199977</v>
      </c>
      <c r="AY21" s="37">
        <v>-89.280049139200059</v>
      </c>
      <c r="BA21" s="66"/>
      <c r="BB21" s="66"/>
    </row>
    <row r="22" spans="2:54">
      <c r="B22">
        <v>10070</v>
      </c>
      <c r="C22" t="s">
        <v>26</v>
      </c>
      <c r="D22" s="37">
        <v>47.961910127999971</v>
      </c>
      <c r="E22" s="37">
        <v>17.272294274000004</v>
      </c>
      <c r="F22" s="37">
        <v>9.7826589439999907</v>
      </c>
      <c r="G22" s="37">
        <v>23.567311187999991</v>
      </c>
      <c r="H22" s="37">
        <v>54.794741572000021</v>
      </c>
      <c r="I22" s="37">
        <v>48.155327807999996</v>
      </c>
      <c r="J22" s="37">
        <v>46.299030820000013</v>
      </c>
      <c r="K22" s="37">
        <v>47.531822492000003</v>
      </c>
      <c r="L22" s="37">
        <v>29.752214292000019</v>
      </c>
      <c r="M22" s="37">
        <v>33.428098132000002</v>
      </c>
      <c r="N22" s="37">
        <v>9.2202061240000432</v>
      </c>
      <c r="O22" s="37">
        <v>16.194067544000021</v>
      </c>
      <c r="P22" s="37">
        <v>34.570795570000001</v>
      </c>
      <c r="Q22" s="37">
        <v>16.862899989000013</v>
      </c>
      <c r="R22" s="37">
        <v>-18.88947609600001</v>
      </c>
      <c r="S22" s="37">
        <v>-4.0305962419999872</v>
      </c>
      <c r="T22" s="37">
        <v>-24.951412151999989</v>
      </c>
      <c r="U22" s="37">
        <v>-12.104302833999995</v>
      </c>
      <c r="V22" s="37">
        <v>18.394348272000002</v>
      </c>
      <c r="W22" s="37">
        <v>13.271423370000008</v>
      </c>
      <c r="X22" s="37">
        <v>20.116911082000001</v>
      </c>
      <c r="Y22" s="37">
        <v>16.530619847800011</v>
      </c>
      <c r="Z22" s="37">
        <v>25.186209751999996</v>
      </c>
      <c r="AA22" s="37">
        <v>5.4358065920000058</v>
      </c>
      <c r="AB22" s="37">
        <v>48.125910127999987</v>
      </c>
      <c r="AC22" s="37">
        <v>17.367294274000002</v>
      </c>
      <c r="AD22" s="37">
        <v>9.946658943999978</v>
      </c>
      <c r="AE22" s="37">
        <v>23.689311188000005</v>
      </c>
      <c r="AF22" s="37">
        <v>55.017741572000006</v>
      </c>
      <c r="AG22" s="37">
        <v>48.311327808000001</v>
      </c>
      <c r="AH22" s="37">
        <v>37.678030820000004</v>
      </c>
      <c r="AI22" s="37">
        <v>56.532822492000008</v>
      </c>
      <c r="AJ22" s="37">
        <v>35.814933972000034</v>
      </c>
      <c r="AK22" s="37">
        <v>36.487457972000016</v>
      </c>
      <c r="AL22" s="37">
        <v>16.348206124000029</v>
      </c>
      <c r="AM22" s="37">
        <v>9.3590675440000126</v>
      </c>
      <c r="AN22" s="37">
        <v>34.730795569999998</v>
      </c>
      <c r="AO22" s="37">
        <v>16.960899989000012</v>
      </c>
      <c r="AP22" s="37">
        <v>-18.74847609599999</v>
      </c>
      <c r="AQ22" s="37">
        <v>-3.9325962419999883</v>
      </c>
      <c r="AR22" s="37">
        <v>-24.808412151999988</v>
      </c>
      <c r="AS22" s="37">
        <v>-12.016302834000001</v>
      </c>
      <c r="AT22" s="37">
        <v>18.555348272000003</v>
      </c>
      <c r="AU22" s="37">
        <v>13.371423370000002</v>
      </c>
      <c r="AV22" s="37">
        <v>20.276911081999998</v>
      </c>
      <c r="AW22" s="37">
        <v>16.627619847800005</v>
      </c>
      <c r="AX22" s="37">
        <v>25.330209751999973</v>
      </c>
      <c r="AY22" s="37">
        <v>5.5238065919999997</v>
      </c>
      <c r="BA22" s="66"/>
      <c r="BB22" s="66"/>
    </row>
    <row r="23" spans="2:54">
      <c r="B23">
        <v>10071</v>
      </c>
      <c r="C23" t="s">
        <v>27</v>
      </c>
      <c r="D23" s="37">
        <v>132.60411027999987</v>
      </c>
      <c r="E23" s="37">
        <v>14.14587411499997</v>
      </c>
      <c r="F23" s="37">
        <v>-79.61857856000006</v>
      </c>
      <c r="G23" s="37">
        <v>3.8497696299999689</v>
      </c>
      <c r="H23" s="37">
        <v>237.59485046999998</v>
      </c>
      <c r="I23" s="37">
        <v>132.87770207999995</v>
      </c>
      <c r="J23" s="37">
        <v>188.32023695000009</v>
      </c>
      <c r="K23" s="37">
        <v>144.80073216999995</v>
      </c>
      <c r="L23" s="37">
        <v>50.018112670000164</v>
      </c>
      <c r="M23" s="37">
        <v>79.64047106999999</v>
      </c>
      <c r="N23" s="37">
        <v>45.38583949000008</v>
      </c>
      <c r="O23" s="37">
        <v>50.053119939999988</v>
      </c>
      <c r="P23" s="37">
        <v>131.64990007500012</v>
      </c>
      <c r="Q23" s="37">
        <v>44.548365327500051</v>
      </c>
      <c r="R23" s="37">
        <v>-208.53354896000008</v>
      </c>
      <c r="S23" s="37">
        <v>-123.52567279499999</v>
      </c>
      <c r="T23" s="37">
        <v>-250.72614002</v>
      </c>
      <c r="U23" s="37">
        <v>-184.94026471499996</v>
      </c>
      <c r="V23" s="37">
        <v>-118.65857627999992</v>
      </c>
      <c r="W23" s="37">
        <v>-93.740109424999957</v>
      </c>
      <c r="X23" s="37">
        <v>-104.67234630500013</v>
      </c>
      <c r="Y23" s="37">
        <v>-54.29628155949996</v>
      </c>
      <c r="Z23" s="37">
        <v>-57.752333980000117</v>
      </c>
      <c r="AA23" s="37">
        <v>-93.346658080000054</v>
      </c>
      <c r="AB23" s="37">
        <v>136.50235468359995</v>
      </c>
      <c r="AC23" s="37">
        <v>16.369510087549997</v>
      </c>
      <c r="AD23" s="37">
        <v>-75.973129827200069</v>
      </c>
      <c r="AE23" s="37">
        <v>6.4423574930999621</v>
      </c>
      <c r="AF23" s="37">
        <v>237.94689904389998</v>
      </c>
      <c r="AG23" s="37">
        <v>133.10630144959998</v>
      </c>
      <c r="AH23" s="37">
        <v>147.49680612150007</v>
      </c>
      <c r="AI23" s="37">
        <v>186.22754597289997</v>
      </c>
      <c r="AJ23" s="37">
        <v>80.85054767390011</v>
      </c>
      <c r="AK23" s="37">
        <v>95.080678973899978</v>
      </c>
      <c r="AL23" s="37">
        <v>79.900831401300024</v>
      </c>
      <c r="AM23" s="37">
        <v>16.104762117800078</v>
      </c>
      <c r="AN23" s="37">
        <v>131.92214085275009</v>
      </c>
      <c r="AO23" s="37">
        <v>44.723386673675066</v>
      </c>
      <c r="AP23" s="37">
        <v>-208.19636727520015</v>
      </c>
      <c r="AQ23" s="37">
        <v>-123.30796587914995</v>
      </c>
      <c r="AR23" s="37">
        <v>-250.37013922740005</v>
      </c>
      <c r="AS23" s="37">
        <v>-184.72933720955001</v>
      </c>
      <c r="AT23" s="37">
        <v>-118.35187310359993</v>
      </c>
      <c r="AU23" s="37">
        <v>-93.554637162249946</v>
      </c>
      <c r="AV23" s="37">
        <v>-104.37051728785013</v>
      </c>
      <c r="AW23" s="37">
        <v>-54.122307751514995</v>
      </c>
      <c r="AX23" s="37">
        <v>-57.490840152600072</v>
      </c>
      <c r="AY23" s="37">
        <v>-93.170321169600015</v>
      </c>
      <c r="BA23" s="66"/>
      <c r="BB23" s="66"/>
    </row>
    <row r="24" spans="2:54">
      <c r="B24">
        <v>10072</v>
      </c>
      <c r="C24" t="s">
        <v>28</v>
      </c>
      <c r="D24" s="37">
        <v>2368.2805514115989</v>
      </c>
      <c r="E24" s="37">
        <v>700.52466903655022</v>
      </c>
      <c r="F24" s="37">
        <v>-286.8935540832008</v>
      </c>
      <c r="G24" s="37">
        <v>-66.72301896890076</v>
      </c>
      <c r="H24" s="37">
        <v>1580.1315627659005</v>
      </c>
      <c r="I24" s="37">
        <v>1689.7744868576001</v>
      </c>
      <c r="J24" s="37">
        <v>1432.8279346915006</v>
      </c>
      <c r="K24" s="37">
        <v>1876.8395771149007</v>
      </c>
      <c r="L24" s="37">
        <v>-143.66069230009816</v>
      </c>
      <c r="M24" s="37">
        <v>268.9433885478993</v>
      </c>
      <c r="N24" s="37">
        <v>-395.43616842469964</v>
      </c>
      <c r="O24" s="37">
        <v>-529.91477103819943</v>
      </c>
      <c r="P24" s="37">
        <v>1002.2814372977518</v>
      </c>
      <c r="Q24" s="37">
        <v>240.76488215017616</v>
      </c>
      <c r="R24" s="37">
        <v>-2354.0889145712008</v>
      </c>
      <c r="S24" s="37">
        <v>-1718.2994113961495</v>
      </c>
      <c r="T24" s="37">
        <v>-2909.7955182793994</v>
      </c>
      <c r="U24" s="37">
        <v>-1950.5800617185505</v>
      </c>
      <c r="V24" s="37">
        <v>-532.8465814316005</v>
      </c>
      <c r="W24" s="37">
        <v>-191.78949041724991</v>
      </c>
      <c r="X24" s="37">
        <v>-9.9226464308521827</v>
      </c>
      <c r="Y24" s="37">
        <v>-293.01363943121487</v>
      </c>
      <c r="Z24" s="37">
        <v>481.54180649939917</v>
      </c>
      <c r="AA24" s="37">
        <v>-56.463192177599922</v>
      </c>
      <c r="AB24" s="37">
        <v>2827.0195514115985</v>
      </c>
      <c r="AC24" s="37">
        <v>1018.0626690365507</v>
      </c>
      <c r="AD24" s="37">
        <v>337.70044591680016</v>
      </c>
      <c r="AE24" s="37">
        <v>362.45498103109912</v>
      </c>
      <c r="AF24" s="37">
        <v>2161.2275627659001</v>
      </c>
      <c r="AG24" s="37">
        <v>2076.9184868576003</v>
      </c>
      <c r="AH24" s="37">
        <v>2022.2169346914998</v>
      </c>
      <c r="AI24" s="37">
        <v>2317.7945771148989</v>
      </c>
      <c r="AJ24" s="37">
        <v>829.14405879590049</v>
      </c>
      <c r="AK24" s="37">
        <v>824.67076409589936</v>
      </c>
      <c r="AL24" s="37">
        <v>71.233831575300428</v>
      </c>
      <c r="AM24" s="37">
        <v>-249.52777103820063</v>
      </c>
      <c r="AN24" s="37">
        <v>1380.5374372977512</v>
      </c>
      <c r="AO24" s="37">
        <v>487.77288215017597</v>
      </c>
      <c r="AP24" s="37">
        <v>-2046.1119145712019</v>
      </c>
      <c r="AQ24" s="37">
        <v>-1544.118411396149</v>
      </c>
      <c r="AR24" s="37">
        <v>-2670.8325182793997</v>
      </c>
      <c r="AS24" s="37">
        <v>-1841.797061718551</v>
      </c>
      <c r="AT24" s="37">
        <v>-358.75558143160197</v>
      </c>
      <c r="AU24" s="37">
        <v>-90.552490417249828</v>
      </c>
      <c r="AV24" s="37">
        <v>76.54435356914837</v>
      </c>
      <c r="AW24" s="37">
        <v>-305.97363943121491</v>
      </c>
      <c r="AX24" s="37">
        <v>416.58880649939965</v>
      </c>
      <c r="AY24" s="37">
        <v>-69.587192177600627</v>
      </c>
      <c r="BA24" s="66"/>
      <c r="BB24" s="66"/>
    </row>
    <row r="25" spans="2:54">
      <c r="B25">
        <v>10074</v>
      </c>
      <c r="C25" t="s">
        <v>29</v>
      </c>
      <c r="D25" s="37">
        <v>3779.9181777391987</v>
      </c>
      <c r="E25" s="37">
        <v>483.15965233860061</v>
      </c>
      <c r="F25" s="37">
        <v>232.45234940159753</v>
      </c>
      <c r="G25" s="37">
        <v>331.75402417319947</v>
      </c>
      <c r="H25" s="37">
        <v>2151.5566873907974</v>
      </c>
      <c r="I25" s="37">
        <v>547.97655109120024</v>
      </c>
      <c r="J25" s="37">
        <v>1127.6360432980018</v>
      </c>
      <c r="K25" s="37">
        <v>536.49442157880003</v>
      </c>
      <c r="L25" s="37">
        <v>2234.1829185988008</v>
      </c>
      <c r="M25" s="37">
        <v>1222.4647127747985</v>
      </c>
      <c r="N25" s="37">
        <v>1495.4674503036022</v>
      </c>
      <c r="O25" s="37">
        <v>441.52195594160003</v>
      </c>
      <c r="P25" s="37">
        <v>3204.9172370730012</v>
      </c>
      <c r="Q25" s="37">
        <v>707.72143995210081</v>
      </c>
      <c r="R25" s="37">
        <v>-2103.7801204544012</v>
      </c>
      <c r="S25" s="37">
        <v>-1850.8817454537984</v>
      </c>
      <c r="T25" s="37">
        <v>-2526.7266165527999</v>
      </c>
      <c r="U25" s="37">
        <v>-2637.1046805226006</v>
      </c>
      <c r="V25" s="37">
        <v>923.06970202080083</v>
      </c>
      <c r="W25" s="37">
        <v>-399.91156550699907</v>
      </c>
      <c r="X25" s="37">
        <v>1411.9297255297988</v>
      </c>
      <c r="Y25" s="37">
        <v>302.90374515542135</v>
      </c>
      <c r="Z25" s="37">
        <v>1634.9814351927998</v>
      </c>
      <c r="AA25" s="37">
        <v>-417.26617493120011</v>
      </c>
      <c r="AB25" s="37">
        <v>3874.6931777392001</v>
      </c>
      <c r="AC25" s="37">
        <v>582.52365233860019</v>
      </c>
      <c r="AD25" s="37">
        <v>364.76934940159845</v>
      </c>
      <c r="AE25" s="37">
        <v>413.67602417319995</v>
      </c>
      <c r="AF25" s="37">
        <v>2336.1606873908004</v>
      </c>
      <c r="AG25" s="37">
        <v>642.62855109120028</v>
      </c>
      <c r="AH25" s="37">
        <v>683.20004329799849</v>
      </c>
      <c r="AI25" s="37">
        <v>1250.1094215787998</v>
      </c>
      <c r="AJ25" s="37">
        <v>2879.8287797508019</v>
      </c>
      <c r="AK25" s="37">
        <v>1546.8356433507997</v>
      </c>
      <c r="AL25" s="37">
        <v>2240.8914503036012</v>
      </c>
      <c r="AM25" s="37">
        <v>-67.067044058399915</v>
      </c>
      <c r="AN25" s="37">
        <v>3337.9522370729992</v>
      </c>
      <c r="AO25" s="37">
        <v>767.38043995210046</v>
      </c>
      <c r="AP25" s="37">
        <v>-2006.047120454401</v>
      </c>
      <c r="AQ25" s="37">
        <v>-1802.0447454537989</v>
      </c>
      <c r="AR25" s="37">
        <v>-2413.0236165527986</v>
      </c>
      <c r="AS25" s="37">
        <v>-2599.2976805226008</v>
      </c>
      <c r="AT25" s="37">
        <v>1052.8837020207993</v>
      </c>
      <c r="AU25" s="37">
        <v>-346.5555655069993</v>
      </c>
      <c r="AV25" s="37">
        <v>1590.778725529799</v>
      </c>
      <c r="AW25" s="37">
        <v>318.55174515542058</v>
      </c>
      <c r="AX25" s="37">
        <v>1703.9864351928009</v>
      </c>
      <c r="AY25" s="37">
        <v>-328.87517493119958</v>
      </c>
      <c r="BA25" s="66"/>
      <c r="BB25" s="66"/>
    </row>
    <row r="26" spans="2:54">
      <c r="B26">
        <v>10076</v>
      </c>
      <c r="C26" t="s">
        <v>30</v>
      </c>
      <c r="D26" s="37">
        <v>171.5545292935999</v>
      </c>
      <c r="E26" s="37">
        <v>-40.757272563699871</v>
      </c>
      <c r="F26" s="37">
        <v>-500.90946254720029</v>
      </c>
      <c r="G26" s="37">
        <v>18.139242740600139</v>
      </c>
      <c r="H26" s="37">
        <v>102.39524562139968</v>
      </c>
      <c r="I26" s="37">
        <v>112.61799640959998</v>
      </c>
      <c r="J26" s="37">
        <v>-92.852402041000005</v>
      </c>
      <c r="K26" s="37">
        <v>231.42353857539979</v>
      </c>
      <c r="L26" s="37">
        <v>-250.11312601459986</v>
      </c>
      <c r="M26" s="37">
        <v>110.75937379339985</v>
      </c>
      <c r="N26" s="37">
        <v>-403.63458940619989</v>
      </c>
      <c r="O26" s="37">
        <v>-107.84554797720011</v>
      </c>
      <c r="P26" s="37">
        <v>-99.239184028499722</v>
      </c>
      <c r="Q26" s="37">
        <v>-72.843868224449807</v>
      </c>
      <c r="R26" s="37">
        <v>-743.4940697952004</v>
      </c>
      <c r="S26" s="37">
        <v>-289.68003113789973</v>
      </c>
      <c r="T26" s="37">
        <v>-587.9185275924001</v>
      </c>
      <c r="U26" s="37">
        <v>-433.35142300829989</v>
      </c>
      <c r="V26" s="37">
        <v>-137.05095221360011</v>
      </c>
      <c r="W26" s="37">
        <v>-62.957560418499725</v>
      </c>
      <c r="X26" s="37">
        <v>-373.73756560410015</v>
      </c>
      <c r="Y26" s="37">
        <v>-89.684336887390145</v>
      </c>
      <c r="Z26" s="37">
        <v>-191.28995228760027</v>
      </c>
      <c r="AA26" s="37">
        <v>-276.58361312960028</v>
      </c>
      <c r="AB26" s="37">
        <v>100.15952929359969</v>
      </c>
      <c r="AC26" s="37">
        <v>-4.9962725637001313</v>
      </c>
      <c r="AD26" s="37">
        <v>-520.33446254720047</v>
      </c>
      <c r="AE26" s="37">
        <v>2.9832427405999624</v>
      </c>
      <c r="AF26" s="37">
        <v>84.675245621399881</v>
      </c>
      <c r="AG26" s="37">
        <v>94.701996409599815</v>
      </c>
      <c r="AH26" s="37">
        <v>-254.47340204099964</v>
      </c>
      <c r="AI26" s="37">
        <v>357.40853857539969</v>
      </c>
      <c r="AJ26" s="37">
        <v>-137.78427399859993</v>
      </c>
      <c r="AK26" s="37">
        <v>161.72329980139966</v>
      </c>
      <c r="AL26" s="37">
        <v>-300.20058940619992</v>
      </c>
      <c r="AM26" s="37">
        <v>-246.81854797720007</v>
      </c>
      <c r="AN26" s="37">
        <v>-118.51618402849999</v>
      </c>
      <c r="AO26" s="37">
        <v>-88.050868224449914</v>
      </c>
      <c r="AP26" s="37">
        <v>-763.24906979520028</v>
      </c>
      <c r="AQ26" s="37">
        <v>-305.56603113789993</v>
      </c>
      <c r="AR26" s="37">
        <v>-605.33152759240011</v>
      </c>
      <c r="AS26" s="37">
        <v>-450.42942300830009</v>
      </c>
      <c r="AT26" s="37">
        <v>-155.74295221360035</v>
      </c>
      <c r="AU26" s="37">
        <v>-79.908560418499974</v>
      </c>
      <c r="AV26" s="37">
        <v>-340.8755656041003</v>
      </c>
      <c r="AW26" s="37">
        <v>-158.18633688738987</v>
      </c>
      <c r="AX26" s="37">
        <v>-260.93095228760035</v>
      </c>
      <c r="AY26" s="37">
        <v>-241.43261312959999</v>
      </c>
      <c r="BA26" s="66"/>
      <c r="BB26" s="66"/>
    </row>
    <row r="27" spans="2:54">
      <c r="B27">
        <v>10078</v>
      </c>
      <c r="C27" t="s">
        <v>31</v>
      </c>
      <c r="D27" s="37">
        <v>456.84437542119986</v>
      </c>
      <c r="E27" s="37">
        <v>-49.267440236649918</v>
      </c>
      <c r="F27" s="37">
        <v>140.56347133759982</v>
      </c>
      <c r="G27" s="37">
        <v>8.0865329327000381</v>
      </c>
      <c r="H27" s="37">
        <v>424.50952669629987</v>
      </c>
      <c r="I27" s="37">
        <v>83.331593443200063</v>
      </c>
      <c r="J27" s="37">
        <v>199.20414981549993</v>
      </c>
      <c r="K27" s="37">
        <v>-18.583701010700224</v>
      </c>
      <c r="L27" s="37">
        <v>244.96721833430001</v>
      </c>
      <c r="M27" s="37">
        <v>81.758775470300066</v>
      </c>
      <c r="N27" s="37">
        <v>204.54654147209999</v>
      </c>
      <c r="O27" s="37">
        <v>-35.400843097399957</v>
      </c>
      <c r="P27" s="37">
        <v>348.95989337175001</v>
      </c>
      <c r="Q27" s="37">
        <v>-32.408906460024923</v>
      </c>
      <c r="R27" s="37">
        <v>-334.48100927840028</v>
      </c>
      <c r="S27" s="37">
        <v>-379.67732802055002</v>
      </c>
      <c r="T27" s="37">
        <v>-456.35026656580021</v>
      </c>
      <c r="U27" s="37">
        <v>-486.25076183734996</v>
      </c>
      <c r="V27" s="37">
        <v>-235.84219856119989</v>
      </c>
      <c r="W27" s="37">
        <v>-331.85319038325008</v>
      </c>
      <c r="X27" s="37">
        <v>-153.56559931845004</v>
      </c>
      <c r="Y27" s="37">
        <v>-240.97600838325502</v>
      </c>
      <c r="Z27" s="37">
        <v>19.063727105799671</v>
      </c>
      <c r="AA27" s="37">
        <v>-269.36258868319999</v>
      </c>
      <c r="AB27" s="37">
        <v>-9.5446245788000397</v>
      </c>
      <c r="AC27" s="37">
        <v>-387.37944023664994</v>
      </c>
      <c r="AD27" s="37">
        <v>-290.76652866240011</v>
      </c>
      <c r="AE27" s="37">
        <v>-339.06046706730012</v>
      </c>
      <c r="AF27" s="37">
        <v>-5.7674733037001715</v>
      </c>
      <c r="AG27" s="37">
        <v>-288.50440655680006</v>
      </c>
      <c r="AH27" s="37">
        <v>-317.58985018450016</v>
      </c>
      <c r="AI27" s="37">
        <v>-304.44170101070017</v>
      </c>
      <c r="AJ27" s="37">
        <v>-107.76043159369988</v>
      </c>
      <c r="AK27" s="37">
        <v>-199.1055494937001</v>
      </c>
      <c r="AL27" s="37">
        <v>-179.11845852789975</v>
      </c>
      <c r="AM27" s="37">
        <v>-453.71684309739999</v>
      </c>
      <c r="AN27" s="37">
        <v>-100.02010662825001</v>
      </c>
      <c r="AO27" s="37">
        <v>-361.62790646002486</v>
      </c>
      <c r="AP27" s="37">
        <v>-784.32300927840015</v>
      </c>
      <c r="AQ27" s="37">
        <v>-735.37732802055007</v>
      </c>
      <c r="AR27" s="37">
        <v>-888.79326656579997</v>
      </c>
      <c r="AS27" s="37">
        <v>-833.61076183734997</v>
      </c>
      <c r="AT27" s="37">
        <v>-685.85819856119997</v>
      </c>
      <c r="AU27" s="37">
        <v>-687.89219038325018</v>
      </c>
      <c r="AV27" s="37">
        <v>-603.44059931845004</v>
      </c>
      <c r="AW27" s="37">
        <v>-596.94100838325494</v>
      </c>
      <c r="AX27" s="37">
        <v>-413.47227289420027</v>
      </c>
      <c r="AY27" s="37">
        <v>-616.64058868320001</v>
      </c>
      <c r="BA27" s="66"/>
      <c r="BB27" s="66"/>
    </row>
    <row r="28" spans="2:54">
      <c r="B28">
        <v>10079</v>
      </c>
      <c r="C28" t="s">
        <v>32</v>
      </c>
      <c r="D28" s="37">
        <v>9482.5897686212011</v>
      </c>
      <c r="E28" s="37">
        <v>1808.9036616133526</v>
      </c>
      <c r="F28" s="37">
        <v>-1243.9293350623993</v>
      </c>
      <c r="G28" s="37">
        <v>-873.34899736729858</v>
      </c>
      <c r="H28" s="37">
        <v>1589.7856759963033</v>
      </c>
      <c r="I28" s="37">
        <v>-635.3101713567994</v>
      </c>
      <c r="J28" s="37">
        <v>-1609.2472296845008</v>
      </c>
      <c r="K28" s="37">
        <v>-1291.0084287106984</v>
      </c>
      <c r="L28" s="37">
        <v>2040.2637856343063</v>
      </c>
      <c r="M28" s="37">
        <v>1812.5466387703018</v>
      </c>
      <c r="N28" s="37">
        <v>471.81856457210233</v>
      </c>
      <c r="O28" s="37">
        <v>-651.74393449740091</v>
      </c>
      <c r="P28" s="37">
        <v>5923.7380076217523</v>
      </c>
      <c r="Q28" s="37">
        <v>798.67797576497833</v>
      </c>
      <c r="R28" s="37">
        <v>-5872.4343916784055</v>
      </c>
      <c r="S28" s="37">
        <v>-4684.5538190705483</v>
      </c>
      <c r="T28" s="37">
        <v>-6069.5868303657917</v>
      </c>
      <c r="U28" s="37">
        <v>-5413.8988776873521</v>
      </c>
      <c r="V28" s="37">
        <v>197.5738682388037</v>
      </c>
      <c r="W28" s="37">
        <v>-1540.0188811332482</v>
      </c>
      <c r="X28" s="37">
        <v>4053.10646273155</v>
      </c>
      <c r="Y28" s="37">
        <v>2400.1536893117482</v>
      </c>
      <c r="Z28" s="37">
        <v>3966.0562309058005</v>
      </c>
      <c r="AA28" s="37">
        <v>-282.56946388319921</v>
      </c>
      <c r="AB28" s="37">
        <v>9275.1492828307928</v>
      </c>
      <c r="AC28" s="37">
        <v>1664.3123895651515</v>
      </c>
      <c r="AD28" s="37">
        <v>-1523.5836600416005</v>
      </c>
      <c r="AE28" s="37">
        <v>-1053.7252700157005</v>
      </c>
      <c r="AF28" s="37">
        <v>1310.3091359766986</v>
      </c>
      <c r="AG28" s="37">
        <v>-820.60083757120083</v>
      </c>
      <c r="AH28" s="37">
        <v>-3096.2417453105008</v>
      </c>
      <c r="AI28" s="37">
        <v>-310.53469528630376</v>
      </c>
      <c r="AJ28" s="37">
        <v>3126.1018183667038</v>
      </c>
      <c r="AK28" s="37">
        <v>2338.8393272666945</v>
      </c>
      <c r="AL28" s="37">
        <v>1330.8999798189034</v>
      </c>
      <c r="AM28" s="37">
        <v>-1990.6984294566028</v>
      </c>
      <c r="AN28" s="37">
        <v>5700.9587423207522</v>
      </c>
      <c r="AO28" s="37">
        <v>648.54512881727715</v>
      </c>
      <c r="AP28" s="37">
        <v>-6184.1878727856019</v>
      </c>
      <c r="AQ28" s="37">
        <v>-4887.0546691199525</v>
      </c>
      <c r="AR28" s="37">
        <v>-6402.8737529521968</v>
      </c>
      <c r="AS28" s="37">
        <v>-5614.5474940311506</v>
      </c>
      <c r="AT28" s="37">
        <v>-67.487629090799601</v>
      </c>
      <c r="AU28" s="37">
        <v>-1703.4745949742501</v>
      </c>
      <c r="AV28" s="37">
        <v>3797.5434867689473</v>
      </c>
      <c r="AW28" s="37">
        <v>2253.9921768172062</v>
      </c>
      <c r="AX28" s="37">
        <v>3740.9394158121941</v>
      </c>
      <c r="AY28" s="37">
        <v>-440.37862758880146</v>
      </c>
      <c r="BA28" s="66"/>
      <c r="BB28" s="66"/>
    </row>
    <row r="29" spans="2:54">
      <c r="B29">
        <v>10080</v>
      </c>
      <c r="C29" t="s">
        <v>33</v>
      </c>
      <c r="D29" s="37">
        <v>657.48203516239982</v>
      </c>
      <c r="E29" s="37">
        <v>192.28928658669997</v>
      </c>
      <c r="F29" s="37">
        <v>139.99542203519968</v>
      </c>
      <c r="G29" s="37">
        <v>343.03350158540002</v>
      </c>
      <c r="H29" s="37">
        <v>480.09434207259983</v>
      </c>
      <c r="I29" s="37">
        <v>313.13843040639995</v>
      </c>
      <c r="J29" s="37">
        <v>357.10430543099983</v>
      </c>
      <c r="K29" s="37">
        <v>385.91316145859992</v>
      </c>
      <c r="L29" s="37">
        <v>244.49394214860013</v>
      </c>
      <c r="M29" s="37">
        <v>319.69478602059962</v>
      </c>
      <c r="N29" s="37">
        <v>-34.148623495800166</v>
      </c>
      <c r="O29" s="37">
        <v>39.356927165199522</v>
      </c>
      <c r="P29" s="37">
        <v>335.12772004349972</v>
      </c>
      <c r="Q29" s="37">
        <v>100.22080248995007</v>
      </c>
      <c r="R29" s="37">
        <v>-913.11999679680048</v>
      </c>
      <c r="S29" s="37">
        <v>-463.12435702109997</v>
      </c>
      <c r="T29" s="37">
        <v>-1125.6055820115998</v>
      </c>
      <c r="U29" s="37">
        <v>-676.84251713470007</v>
      </c>
      <c r="V29" s="37">
        <v>-478.34758544240049</v>
      </c>
      <c r="W29" s="37">
        <v>-210.96666546649999</v>
      </c>
      <c r="X29" s="37">
        <v>-421.64037805690032</v>
      </c>
      <c r="Y29" s="37">
        <v>-100.00544718450988</v>
      </c>
      <c r="Z29" s="37">
        <v>-211.82995290840063</v>
      </c>
      <c r="AA29" s="37">
        <v>-238.09388488640025</v>
      </c>
      <c r="AB29" s="37">
        <v>661.09330195159964</v>
      </c>
      <c r="AC29" s="37">
        <v>194.31237866905008</v>
      </c>
      <c r="AD29" s="37">
        <v>143.07107583679954</v>
      </c>
      <c r="AE29" s="37">
        <v>345.34073799609996</v>
      </c>
      <c r="AF29" s="37">
        <v>482.99319635090023</v>
      </c>
      <c r="AG29" s="37">
        <v>315.02263229759956</v>
      </c>
      <c r="AH29" s="37">
        <v>216.67859791650017</v>
      </c>
      <c r="AI29" s="37">
        <v>531.04072004989985</v>
      </c>
      <c r="AJ29" s="37">
        <v>355.44588688090016</v>
      </c>
      <c r="AK29" s="37">
        <v>375.57628718090018</v>
      </c>
      <c r="AL29" s="37">
        <v>88.399400770299962</v>
      </c>
      <c r="AM29" s="37">
        <v>-78.066999368199731</v>
      </c>
      <c r="AN29" s="37">
        <v>338.4189977102501</v>
      </c>
      <c r="AO29" s="37">
        <v>102.1757384514251</v>
      </c>
      <c r="AP29" s="37">
        <v>-916.47054185119987</v>
      </c>
      <c r="AQ29" s="37">
        <v>-465.41547776865013</v>
      </c>
      <c r="AR29" s="37">
        <v>-1128.9705843893998</v>
      </c>
      <c r="AS29" s="37">
        <v>-678.82629965105002</v>
      </c>
      <c r="AT29" s="37">
        <v>-481.68669497159999</v>
      </c>
      <c r="AU29" s="37">
        <v>-213.06308225475004</v>
      </c>
      <c r="AV29" s="37">
        <v>-424.96386510835055</v>
      </c>
      <c r="AW29" s="37">
        <v>-102.06136860846482</v>
      </c>
      <c r="AX29" s="37">
        <v>-214.90443439060027</v>
      </c>
      <c r="AY29" s="37">
        <v>-240.07189561759992</v>
      </c>
      <c r="BA29" s="66"/>
      <c r="BB29" s="66"/>
    </row>
    <row r="30" spans="2:54">
      <c r="B30">
        <v>10081</v>
      </c>
      <c r="C30" t="s">
        <v>34</v>
      </c>
      <c r="D30" s="37">
        <v>414.63058330519925</v>
      </c>
      <c r="E30" s="37">
        <v>-275.11138585214985</v>
      </c>
      <c r="F30" s="37">
        <v>-194.13713183039999</v>
      </c>
      <c r="G30" s="37">
        <v>117.8343221217001</v>
      </c>
      <c r="H30" s="37">
        <v>1164.1191645373001</v>
      </c>
      <c r="I30" s="37">
        <v>736.95951686719991</v>
      </c>
      <c r="J30" s="37">
        <v>908.09792040049979</v>
      </c>
      <c r="K30" s="37">
        <v>762.92849834029994</v>
      </c>
      <c r="L30" s="37">
        <v>272.09743683530087</v>
      </c>
      <c r="M30" s="37">
        <v>422.50334549130002</v>
      </c>
      <c r="N30" s="37">
        <v>-267.87028578089939</v>
      </c>
      <c r="O30" s="37">
        <v>-76.537251715399634</v>
      </c>
      <c r="P30" s="37">
        <v>683.93541914425032</v>
      </c>
      <c r="Q30" s="37">
        <v>99.838379913225253</v>
      </c>
      <c r="R30" s="37">
        <v>-1340.7999675664005</v>
      </c>
      <c r="S30" s="37">
        <v>-1082.2593408090502</v>
      </c>
      <c r="T30" s="37">
        <v>-1477.2924567718001</v>
      </c>
      <c r="U30" s="37">
        <v>-1443.6855794018502</v>
      </c>
      <c r="V30" s="37">
        <v>651.52299375480015</v>
      </c>
      <c r="W30" s="37">
        <v>-143.25856246075</v>
      </c>
      <c r="X30" s="37">
        <v>455.43777674004969</v>
      </c>
      <c r="Y30" s="37">
        <v>-81.402448746105165</v>
      </c>
      <c r="Z30" s="37">
        <v>88.898935111799801</v>
      </c>
      <c r="AA30" s="37">
        <v>-394.40185890720022</v>
      </c>
      <c r="AB30" s="37">
        <v>415.39631651599893</v>
      </c>
      <c r="AC30" s="37">
        <v>-274.61147793450027</v>
      </c>
      <c r="AD30" s="37">
        <v>-193.15778563200092</v>
      </c>
      <c r="AE30" s="37">
        <v>118.46908571099993</v>
      </c>
      <c r="AF30" s="37">
        <v>1165.1753102589992</v>
      </c>
      <c r="AG30" s="37">
        <v>737.64531497600001</v>
      </c>
      <c r="AH30" s="37">
        <v>653.35062791499968</v>
      </c>
      <c r="AI30" s="37">
        <v>1019.485939748999</v>
      </c>
      <c r="AJ30" s="37">
        <v>422.15269055899989</v>
      </c>
      <c r="AK30" s="37">
        <v>497.60294355899987</v>
      </c>
      <c r="AL30" s="37">
        <v>-79.878310047000923</v>
      </c>
      <c r="AM30" s="37">
        <v>-262.82932518200005</v>
      </c>
      <c r="AN30" s="37">
        <v>684.75214147750012</v>
      </c>
      <c r="AO30" s="37">
        <v>100.36344395175001</v>
      </c>
      <c r="AP30" s="37">
        <v>-1339.7884225120006</v>
      </c>
      <c r="AQ30" s="37">
        <v>-1081.6062200615002</v>
      </c>
      <c r="AR30" s="37">
        <v>-1476.2244543939996</v>
      </c>
      <c r="AS30" s="37">
        <v>-1443.0527968855004</v>
      </c>
      <c r="AT30" s="37">
        <v>652.44310328399979</v>
      </c>
      <c r="AU30" s="37">
        <v>-142.70214567250014</v>
      </c>
      <c r="AV30" s="37">
        <v>456.34326379149934</v>
      </c>
      <c r="AW30" s="37">
        <v>-80.880527322150101</v>
      </c>
      <c r="AX30" s="37">
        <v>89.683416593999937</v>
      </c>
      <c r="AY30" s="37">
        <v>-393.87284817600039</v>
      </c>
      <c r="BA30" s="66"/>
      <c r="BB30" s="66"/>
    </row>
    <row r="31" spans="2:54">
      <c r="B31">
        <v>10082</v>
      </c>
      <c r="C31" t="s">
        <v>35</v>
      </c>
      <c r="D31" s="37">
        <v>8.307050285199999</v>
      </c>
      <c r="E31" s="37">
        <v>7.5150559253500013</v>
      </c>
      <c r="F31" s="37">
        <v>1.7658312095999946</v>
      </c>
      <c r="G31" s="37">
        <v>8.3869355766999973</v>
      </c>
      <c r="H31" s="37">
        <v>25.621053932299994</v>
      </c>
      <c r="I31" s="37">
        <v>26.225290147199999</v>
      </c>
      <c r="J31" s="37">
        <v>22.797608475500006</v>
      </c>
      <c r="K31" s="37">
        <v>26.457626185299993</v>
      </c>
      <c r="L31" s="37">
        <v>12.957058930300001</v>
      </c>
      <c r="M31" s="37">
        <v>17.0684019863</v>
      </c>
      <c r="N31" s="37">
        <v>4.9341566841000031</v>
      </c>
      <c r="O31" s="37">
        <v>8.1301685746000025</v>
      </c>
      <c r="P31" s="37">
        <v>5.2515687817500023</v>
      </c>
      <c r="Q31" s="37">
        <v>7.6099474969749998</v>
      </c>
      <c r="R31" s="37">
        <v>-14.207980926400005</v>
      </c>
      <c r="S31" s="37">
        <v>-4.8860889665500018</v>
      </c>
      <c r="T31" s="37">
        <v>-16.072113341800005</v>
      </c>
      <c r="U31" s="37">
        <v>-6.6516332793500013</v>
      </c>
      <c r="V31" s="37">
        <v>-6.3865542252000012</v>
      </c>
      <c r="W31" s="37">
        <v>1.0744664267499999</v>
      </c>
      <c r="X31" s="37">
        <v>-5.109549452450004</v>
      </c>
      <c r="Y31" s="37">
        <v>0.36974545814500104</v>
      </c>
      <c r="Z31" s="37">
        <v>-5.6286173181999999</v>
      </c>
      <c r="AA31" s="37">
        <v>-0.90517818720000065</v>
      </c>
      <c r="AB31" s="37">
        <v>8.307050285199999</v>
      </c>
      <c r="AC31" s="37">
        <v>7.5150559253500013</v>
      </c>
      <c r="AD31" s="37">
        <v>1.7658312095999946</v>
      </c>
      <c r="AE31" s="37">
        <v>8.3869355766999973</v>
      </c>
      <c r="AF31" s="37">
        <v>25.621053932299994</v>
      </c>
      <c r="AG31" s="37">
        <v>26.225290147199999</v>
      </c>
      <c r="AH31" s="37">
        <v>22.797608475500006</v>
      </c>
      <c r="AI31" s="37">
        <v>26.457626185299993</v>
      </c>
      <c r="AJ31" s="37">
        <v>14.573156842300001</v>
      </c>
      <c r="AK31" s="37">
        <v>17.8764509423</v>
      </c>
      <c r="AL31" s="37">
        <v>4.9341566841000031</v>
      </c>
      <c r="AM31" s="37">
        <v>8.1301685746000025</v>
      </c>
      <c r="AN31" s="37">
        <v>5.2515687817500023</v>
      </c>
      <c r="AO31" s="37">
        <v>7.6099474969749998</v>
      </c>
      <c r="AP31" s="37">
        <v>-14.207980926400005</v>
      </c>
      <c r="AQ31" s="37">
        <v>-4.8860889665500018</v>
      </c>
      <c r="AR31" s="37">
        <v>-16.072113341800005</v>
      </c>
      <c r="AS31" s="37">
        <v>-6.6516332793500013</v>
      </c>
      <c r="AT31" s="37">
        <v>-6.3865542252000012</v>
      </c>
      <c r="AU31" s="37">
        <v>1.0744664267499999</v>
      </c>
      <c r="AV31" s="37">
        <v>-5.109549452450004</v>
      </c>
      <c r="AW31" s="37">
        <v>0.36974545814500104</v>
      </c>
      <c r="AX31" s="37">
        <v>-5.6286173181999999</v>
      </c>
      <c r="AY31" s="37">
        <v>-0.90517818720000065</v>
      </c>
      <c r="BA31" s="66"/>
      <c r="BB31" s="66"/>
    </row>
    <row r="32" spans="2:54">
      <c r="B32">
        <v>10083</v>
      </c>
      <c r="C32" t="s">
        <v>36</v>
      </c>
      <c r="D32" s="37">
        <v>894.33600561479943</v>
      </c>
      <c r="E32" s="37">
        <v>158.6632803371499</v>
      </c>
      <c r="F32" s="37">
        <v>91.528191990399137</v>
      </c>
      <c r="G32" s="37">
        <v>310.40774144829948</v>
      </c>
      <c r="H32" s="37">
        <v>836.58691579269907</v>
      </c>
      <c r="I32" s="37">
        <v>518.83543225279982</v>
      </c>
      <c r="J32" s="37">
        <v>798.73904064949966</v>
      </c>
      <c r="K32" s="37">
        <v>705.32628828969928</v>
      </c>
      <c r="L32" s="37">
        <v>439.32798929469982</v>
      </c>
      <c r="M32" s="37">
        <v>412.41369823869991</v>
      </c>
      <c r="N32" s="37">
        <v>-49.989070109099885</v>
      </c>
      <c r="O32" s="37">
        <v>-12.737846624600024</v>
      </c>
      <c r="P32" s="37">
        <v>613.49190378074991</v>
      </c>
      <c r="Q32" s="37">
        <v>150.68456185927516</v>
      </c>
      <c r="R32" s="37">
        <v>-591.38165787360049</v>
      </c>
      <c r="S32" s="37">
        <v>-319.55763019595042</v>
      </c>
      <c r="T32" s="37">
        <v>-689.17659600820025</v>
      </c>
      <c r="U32" s="37">
        <v>-575.48430848315024</v>
      </c>
      <c r="V32" s="37">
        <v>211.76664332519977</v>
      </c>
      <c r="W32" s="37">
        <v>33.165314885749922</v>
      </c>
      <c r="X32" s="37">
        <v>197.55808936494941</v>
      </c>
      <c r="Y32" s="37">
        <v>117.72010672560509</v>
      </c>
      <c r="Z32" s="37">
        <v>355.08123166819951</v>
      </c>
      <c r="AA32" s="37">
        <v>-25.418974212800094</v>
      </c>
      <c r="AB32" s="37">
        <v>900.55600561479969</v>
      </c>
      <c r="AC32" s="37">
        <v>162.05928033715008</v>
      </c>
      <c r="AD32" s="37">
        <v>96.970191990399144</v>
      </c>
      <c r="AE32" s="37">
        <v>314.27274144829971</v>
      </c>
      <c r="AF32" s="37">
        <v>842.43391579269883</v>
      </c>
      <c r="AG32" s="37">
        <v>522.60443225280005</v>
      </c>
      <c r="AH32" s="37">
        <v>590.70104064949919</v>
      </c>
      <c r="AI32" s="37">
        <v>922.98028828969927</v>
      </c>
      <c r="AJ32" s="37">
        <v>581.55284538270007</v>
      </c>
      <c r="AK32" s="37">
        <v>484.11362628269944</v>
      </c>
      <c r="AL32" s="37">
        <v>121.13692989089941</v>
      </c>
      <c r="AM32" s="37">
        <v>-174.24684662460004</v>
      </c>
      <c r="AN32" s="37">
        <v>619.37890378075008</v>
      </c>
      <c r="AO32" s="37">
        <v>154.10356185927503</v>
      </c>
      <c r="AP32" s="37">
        <v>-562.64365787360066</v>
      </c>
      <c r="AQ32" s="37">
        <v>-300.49063019595042</v>
      </c>
      <c r="AR32" s="37">
        <v>-659.25859600820058</v>
      </c>
      <c r="AS32" s="37">
        <v>-559.13930848315022</v>
      </c>
      <c r="AT32" s="37">
        <v>242.01264332519986</v>
      </c>
      <c r="AU32" s="37">
        <v>50.724314885750118</v>
      </c>
      <c r="AV32" s="37">
        <v>227.86408936494945</v>
      </c>
      <c r="AW32" s="37">
        <v>135.21910672560489</v>
      </c>
      <c r="AX32" s="37">
        <v>384.01123166819934</v>
      </c>
      <c r="AY32" s="37">
        <v>-8.0859742128004655</v>
      </c>
      <c r="BA32" s="66"/>
      <c r="BB32" s="66"/>
    </row>
    <row r="33" spans="2:54">
      <c r="B33">
        <v>10086</v>
      </c>
      <c r="C33" t="s">
        <v>37</v>
      </c>
      <c r="D33" s="37">
        <v>-233.51590456360032</v>
      </c>
      <c r="E33" s="37">
        <v>-265.68108225254991</v>
      </c>
      <c r="F33" s="37">
        <v>-676.41135241280017</v>
      </c>
      <c r="G33" s="37">
        <v>-312.28062122309996</v>
      </c>
      <c r="H33" s="37">
        <v>-377.12306241390002</v>
      </c>
      <c r="I33" s="37">
        <v>-265.82506912960002</v>
      </c>
      <c r="J33" s="37">
        <v>-456.26692957149999</v>
      </c>
      <c r="K33" s="37">
        <v>-193.46111004289992</v>
      </c>
      <c r="L33" s="37">
        <v>-510.07269182789969</v>
      </c>
      <c r="M33" s="37">
        <v>-188.39908723589997</v>
      </c>
      <c r="N33" s="37">
        <v>-564.0616951912998</v>
      </c>
      <c r="O33" s="37">
        <v>-331.46783785779985</v>
      </c>
      <c r="P33" s="37">
        <v>-459.55459617774977</v>
      </c>
      <c r="Q33" s="37">
        <v>-319.73755992617487</v>
      </c>
      <c r="R33" s="37">
        <v>-972.86961656480025</v>
      </c>
      <c r="S33" s="37">
        <v>-561.42643567584992</v>
      </c>
      <c r="T33" s="37">
        <v>-1150.4274393525998</v>
      </c>
      <c r="U33" s="37">
        <v>-708.16495802545001</v>
      </c>
      <c r="V33" s="37">
        <v>-864.11549101640003</v>
      </c>
      <c r="W33" s="37">
        <v>-550.21014366275006</v>
      </c>
      <c r="X33" s="37">
        <v>-888.46232505715022</v>
      </c>
      <c r="Y33" s="37">
        <v>-437.22029852398498</v>
      </c>
      <c r="Z33" s="37">
        <v>-643.85192726740013</v>
      </c>
      <c r="AA33" s="37">
        <v>-472.10403515040002</v>
      </c>
      <c r="AB33" s="37">
        <v>-231.82661538880006</v>
      </c>
      <c r="AC33" s="37">
        <v>-264.80953406039998</v>
      </c>
      <c r="AD33" s="37">
        <v>-675.21649354240003</v>
      </c>
      <c r="AE33" s="37">
        <v>-311.20273626479991</v>
      </c>
      <c r="AF33" s="37">
        <v>-375.11340243120003</v>
      </c>
      <c r="AG33" s="37">
        <v>-264.42526471680003</v>
      </c>
      <c r="AH33" s="37">
        <v>-532.90291377199969</v>
      </c>
      <c r="AI33" s="37">
        <v>-113.50380666320007</v>
      </c>
      <c r="AJ33" s="37">
        <v>-445.10352747119987</v>
      </c>
      <c r="AK33" s="37">
        <v>-155.51793787119993</v>
      </c>
      <c r="AL33" s="37">
        <v>-494.32463857039966</v>
      </c>
      <c r="AM33" s="37">
        <v>-398.59533310239976</v>
      </c>
      <c r="AN33" s="37">
        <v>-458.11728162199984</v>
      </c>
      <c r="AO33" s="37">
        <v>-318.89170934939978</v>
      </c>
      <c r="AP33" s="37">
        <v>-972.36288835840003</v>
      </c>
      <c r="AQ33" s="37">
        <v>-560.96138408679997</v>
      </c>
      <c r="AR33" s="37">
        <v>-1150.0264449008</v>
      </c>
      <c r="AS33" s="37">
        <v>-708.00745056360006</v>
      </c>
      <c r="AT33" s="37">
        <v>-863.38641325119988</v>
      </c>
      <c r="AU33" s="37">
        <v>-549.79144950199998</v>
      </c>
      <c r="AV33" s="37">
        <v>-887.66712817720008</v>
      </c>
      <c r="AW33" s="37">
        <v>-436.72411517987985</v>
      </c>
      <c r="AX33" s="37">
        <v>-642.9173840592</v>
      </c>
      <c r="AY33" s="37">
        <v>-471.6513935232</v>
      </c>
      <c r="BA33" s="66"/>
      <c r="BB33" s="66"/>
    </row>
    <row r="34" spans="2:54">
      <c r="B34">
        <v>10087</v>
      </c>
      <c r="C34" t="s">
        <v>38</v>
      </c>
      <c r="D34" s="37">
        <v>3029.2751001359975</v>
      </c>
      <c r="E34" s="37">
        <v>3148.6242194630013</v>
      </c>
      <c r="F34" s="37">
        <v>-272.55715987199801</v>
      </c>
      <c r="G34" s="37">
        <v>2264.751153606001</v>
      </c>
      <c r="H34" s="37">
        <v>1334.2686040139997</v>
      </c>
      <c r="I34" s="37">
        <v>4564.7607032959986</v>
      </c>
      <c r="J34" s="37">
        <v>1181.9323225900043</v>
      </c>
      <c r="K34" s="37">
        <v>4021.4769915539982</v>
      </c>
      <c r="L34" s="37">
        <v>1206.9709156540048</v>
      </c>
      <c r="M34" s="37">
        <v>4079.1401297339999</v>
      </c>
      <c r="N34" s="37">
        <v>767.06392853800207</v>
      </c>
      <c r="O34" s="37">
        <v>2311.5328758280011</v>
      </c>
      <c r="P34" s="37">
        <v>1993.6657152150037</v>
      </c>
      <c r="Q34" s="37">
        <v>2909.4600101055021</v>
      </c>
      <c r="R34" s="37">
        <v>-5085.1713283520003</v>
      </c>
      <c r="S34" s="37">
        <v>-1277.1474796789989</v>
      </c>
      <c r="T34" s="37">
        <v>-6997.7846907239982</v>
      </c>
      <c r="U34" s="37">
        <v>-2637.599219183001</v>
      </c>
      <c r="V34" s="37">
        <v>-4488.0721693359992</v>
      </c>
      <c r="W34" s="37">
        <v>44.921921315000873</v>
      </c>
      <c r="X34" s="37">
        <v>-3252.2296217410003</v>
      </c>
      <c r="Y34" s="37">
        <v>-108.47775290389836</v>
      </c>
      <c r="Z34" s="37">
        <v>-1552.6798680760003</v>
      </c>
      <c r="AA34" s="37">
        <v>693.32668950399966</v>
      </c>
      <c r="AB34" s="37">
        <v>3040.5058538943958</v>
      </c>
      <c r="AC34" s="37">
        <v>3155.9562022552018</v>
      </c>
      <c r="AD34" s="37">
        <v>-258.19341562879708</v>
      </c>
      <c r="AE34" s="37">
        <v>2274.0610195823992</v>
      </c>
      <c r="AF34" s="37">
        <v>1349.7587412655994</v>
      </c>
      <c r="AG34" s="37">
        <v>4574.8190755583983</v>
      </c>
      <c r="AH34" s="37">
        <v>1198.3693661360048</v>
      </c>
      <c r="AI34" s="37">
        <v>4031.5887988815975</v>
      </c>
      <c r="AJ34" s="37">
        <v>1986.5493887856028</v>
      </c>
      <c r="AK34" s="37">
        <v>4469.9849439855989</v>
      </c>
      <c r="AL34" s="37">
        <v>782.24357263520142</v>
      </c>
      <c r="AM34" s="37">
        <v>2321.2851316512024</v>
      </c>
      <c r="AN34" s="37">
        <v>2005.6443094360038</v>
      </c>
      <c r="AO34" s="37">
        <v>2917.1609493372034</v>
      </c>
      <c r="AP34" s="37">
        <v>-5070.3353342208029</v>
      </c>
      <c r="AQ34" s="37">
        <v>-1267.5683753815993</v>
      </c>
      <c r="AR34" s="37">
        <v>-6982.1206558496015</v>
      </c>
      <c r="AS34" s="37">
        <v>-2628.3184089432016</v>
      </c>
      <c r="AT34" s="37">
        <v>-4474.5772295743991</v>
      </c>
      <c r="AU34" s="37">
        <v>53.082700876000672</v>
      </c>
      <c r="AV34" s="37">
        <v>-3238.9491449863999</v>
      </c>
      <c r="AW34" s="37">
        <v>-100.82290535255925</v>
      </c>
      <c r="AX34" s="37">
        <v>-1541.1741396704019</v>
      </c>
      <c r="AY34" s="37">
        <v>701.08551356159842</v>
      </c>
      <c r="BA34" s="66"/>
      <c r="BB34" s="66"/>
    </row>
    <row r="35" spans="2:54">
      <c r="B35">
        <v>10089</v>
      </c>
      <c r="C35" t="s">
        <v>39</v>
      </c>
      <c r="D35" s="37">
        <v>3486.4038288679949</v>
      </c>
      <c r="E35" s="37">
        <v>-994.92317861849733</v>
      </c>
      <c r="F35" s="37">
        <v>-8508.7723175360006</v>
      </c>
      <c r="G35" s="37">
        <v>-473.20690589700098</v>
      </c>
      <c r="H35" s="37">
        <v>5041.2886557070015</v>
      </c>
      <c r="I35" s="37">
        <v>5069.837108447995</v>
      </c>
      <c r="J35" s="37">
        <v>1510.7420957950017</v>
      </c>
      <c r="K35" s="37">
        <v>5252.1385564769953</v>
      </c>
      <c r="L35" s="37">
        <v>-5710.6068264729911</v>
      </c>
      <c r="M35" s="37">
        <v>850.29914456700135</v>
      </c>
      <c r="N35" s="37">
        <v>-8927.9276578309946</v>
      </c>
      <c r="O35" s="37">
        <v>-3671.867364685997</v>
      </c>
      <c r="P35" s="37">
        <v>-1957.3391391424957</v>
      </c>
      <c r="Q35" s="37">
        <v>-2961.7674974222464</v>
      </c>
      <c r="R35" s="37">
        <v>-9859.2627857760017</v>
      </c>
      <c r="S35" s="37">
        <v>-4779.7563942894994</v>
      </c>
      <c r="T35" s="37">
        <v>-6357.1505795620033</v>
      </c>
      <c r="U35" s="37">
        <v>-5694.1927472415009</v>
      </c>
      <c r="V35" s="37">
        <v>8108.3267765320052</v>
      </c>
      <c r="W35" s="37">
        <v>3910.3957189075009</v>
      </c>
      <c r="X35" s="37">
        <v>7451.3981825794981</v>
      </c>
      <c r="Y35" s="37">
        <v>5237.6125893030512</v>
      </c>
      <c r="Z35" s="37">
        <v>1997.572260162</v>
      </c>
      <c r="AA35" s="37">
        <v>-805.94467204800094</v>
      </c>
      <c r="AB35" s="37">
        <v>3149.1728288679951</v>
      </c>
      <c r="AC35" s="37">
        <v>-1057.9961786184977</v>
      </c>
      <c r="AD35" s="37">
        <v>-8745.8663175360052</v>
      </c>
      <c r="AE35" s="37">
        <v>-666.33290589700118</v>
      </c>
      <c r="AF35" s="37">
        <v>4635.3306557069955</v>
      </c>
      <c r="AG35" s="37">
        <v>4732.4851084480033</v>
      </c>
      <c r="AH35" s="37">
        <v>-1333.640904205</v>
      </c>
      <c r="AI35" s="37">
        <v>7414.7325564769999</v>
      </c>
      <c r="AJ35" s="37">
        <v>-4120.3260223929901</v>
      </c>
      <c r="AK35" s="37">
        <v>1580.4180466069993</v>
      </c>
      <c r="AL35" s="37">
        <v>-7303.6236578309981</v>
      </c>
      <c r="AM35" s="37">
        <v>-5752.3713646859978</v>
      </c>
      <c r="AN35" s="37">
        <v>-2186.3831391424974</v>
      </c>
      <c r="AO35" s="37">
        <v>-3143.994497422249</v>
      </c>
      <c r="AP35" s="37">
        <v>-10117.314785776005</v>
      </c>
      <c r="AQ35" s="37">
        <v>-4992.2053942895</v>
      </c>
      <c r="AR35" s="37">
        <v>-6616.5575795620025</v>
      </c>
      <c r="AS35" s="37">
        <v>-5919.9137472415023</v>
      </c>
      <c r="AT35" s="37">
        <v>7823.3997765320019</v>
      </c>
      <c r="AU35" s="37">
        <v>3673.1537189075025</v>
      </c>
      <c r="AV35" s="37">
        <v>7270.8701825794997</v>
      </c>
      <c r="AW35" s="37">
        <v>4877.952589303055</v>
      </c>
      <c r="AX35" s="37">
        <v>1610.2472601619957</v>
      </c>
      <c r="AY35" s="37">
        <v>-917.94967204800196</v>
      </c>
      <c r="BA35" s="66"/>
      <c r="BB35" s="66"/>
    </row>
    <row r="36" spans="2:54">
      <c r="B36">
        <v>10091</v>
      </c>
      <c r="C36" t="s">
        <v>40</v>
      </c>
      <c r="D36" s="37">
        <v>523.98620091199973</v>
      </c>
      <c r="E36" s="37">
        <v>205.4774790460001</v>
      </c>
      <c r="F36" s="37">
        <v>-211.16642502400055</v>
      </c>
      <c r="G36" s="37">
        <v>120.38075065199973</v>
      </c>
      <c r="H36" s="37">
        <v>769.14265338800033</v>
      </c>
      <c r="I36" s="37">
        <v>955.33124563200045</v>
      </c>
      <c r="J36" s="37">
        <v>622.8082367800007</v>
      </c>
      <c r="K36" s="37">
        <v>962.55245806799985</v>
      </c>
      <c r="L36" s="37">
        <v>292.58339026800058</v>
      </c>
      <c r="M36" s="37">
        <v>644.76823762800041</v>
      </c>
      <c r="N36" s="37">
        <v>-130.56419980399914</v>
      </c>
      <c r="O36" s="37">
        <v>54.658314375999907</v>
      </c>
      <c r="P36" s="37">
        <v>260.43762703000084</v>
      </c>
      <c r="Q36" s="37">
        <v>137.30779203100019</v>
      </c>
      <c r="R36" s="37">
        <v>-971.74743718399986</v>
      </c>
      <c r="S36" s="37">
        <v>-612.18445931799988</v>
      </c>
      <c r="T36" s="37">
        <v>-944.22436720799988</v>
      </c>
      <c r="U36" s="37">
        <v>-574.33677128599993</v>
      </c>
      <c r="V36" s="37">
        <v>-1.3335473119996095</v>
      </c>
      <c r="W36" s="37">
        <v>104.66880323000032</v>
      </c>
      <c r="X36" s="37">
        <v>-87.285544322000078</v>
      </c>
      <c r="Y36" s="37">
        <v>-84.191408443799901</v>
      </c>
      <c r="Z36" s="37">
        <v>-156.28426239200007</v>
      </c>
      <c r="AA36" s="37">
        <v>-179.04778803199997</v>
      </c>
      <c r="AB36" s="37">
        <v>526.28340054439968</v>
      </c>
      <c r="AC36" s="37">
        <v>206.9772027989502</v>
      </c>
      <c r="AD36" s="37">
        <v>-208.2283864288006</v>
      </c>
      <c r="AE36" s="37">
        <v>122.2850414198997</v>
      </c>
      <c r="AF36" s="37">
        <v>772.31109055310026</v>
      </c>
      <c r="AG36" s="37">
        <v>957.38863995839984</v>
      </c>
      <c r="AH36" s="37">
        <v>626.17035932349972</v>
      </c>
      <c r="AI36" s="37">
        <v>964.62078229409963</v>
      </c>
      <c r="AJ36" s="37">
        <v>443.27377682309998</v>
      </c>
      <c r="AK36" s="37">
        <v>720.32934452310019</v>
      </c>
      <c r="AL36" s="37">
        <v>-127.45927260230019</v>
      </c>
      <c r="AM36" s="37">
        <v>56.653093976199671</v>
      </c>
      <c r="AN36" s="37">
        <v>262.88779402975024</v>
      </c>
      <c r="AO36" s="37">
        <v>138.88298414657538</v>
      </c>
      <c r="AP36" s="37">
        <v>-968.71280202080015</v>
      </c>
      <c r="AQ36" s="37">
        <v>-610.22509707534982</v>
      </c>
      <c r="AR36" s="37">
        <v>-941.02036007460038</v>
      </c>
      <c r="AS36" s="37">
        <v>-572.43842373695043</v>
      </c>
      <c r="AT36" s="37">
        <v>1.4267812755997511</v>
      </c>
      <c r="AU36" s="37">
        <v>106.33805359475036</v>
      </c>
      <c r="AV36" s="37">
        <v>-84.56908316765066</v>
      </c>
      <c r="AW36" s="37">
        <v>-82.625644171935164</v>
      </c>
      <c r="AX36" s="37">
        <v>-153.93081794540058</v>
      </c>
      <c r="AY36" s="37">
        <v>-177.46075583840047</v>
      </c>
      <c r="BA36" s="66"/>
      <c r="BB36" s="66"/>
    </row>
    <row r="37" spans="2:54">
      <c r="B37">
        <v>10094</v>
      </c>
      <c r="C37" t="s">
        <v>41</v>
      </c>
      <c r="D37" s="37">
        <v>51.200312599600011</v>
      </c>
      <c r="E37" s="37">
        <v>34.186716478050016</v>
      </c>
      <c r="F37" s="37">
        <v>-193.82348825920008</v>
      </c>
      <c r="G37" s="37">
        <v>-66.388131145900047</v>
      </c>
      <c r="H37" s="37">
        <v>54.19380915290003</v>
      </c>
      <c r="I37" s="37">
        <v>70.289366825600155</v>
      </c>
      <c r="J37" s="37">
        <v>-127.98809371349989</v>
      </c>
      <c r="K37" s="37">
        <v>117.90621907189995</v>
      </c>
      <c r="L37" s="37">
        <v>-113.99519129309988</v>
      </c>
      <c r="M37" s="37">
        <v>48.343030194900052</v>
      </c>
      <c r="N37" s="37">
        <v>-139.58149869570002</v>
      </c>
      <c r="O37" s="37">
        <v>-98.465518364199966</v>
      </c>
      <c r="P37" s="37">
        <v>-22.879773544749924</v>
      </c>
      <c r="Q37" s="37">
        <v>55.195311637925101</v>
      </c>
      <c r="R37" s="37">
        <v>-400.10941458720004</v>
      </c>
      <c r="S37" s="37">
        <v>-292.11465366564994</v>
      </c>
      <c r="T37" s="37">
        <v>-561.77947872139976</v>
      </c>
      <c r="U37" s="37">
        <v>-386.52182142004995</v>
      </c>
      <c r="V37" s="37">
        <v>-228.23824121959979</v>
      </c>
      <c r="W37" s="37">
        <v>-132.01876120974998</v>
      </c>
      <c r="X37" s="37">
        <v>-114.17755627135011</v>
      </c>
      <c r="Y37" s="37">
        <v>-161.11504324616487</v>
      </c>
      <c r="Z37" s="37">
        <v>-73.218408458599924</v>
      </c>
      <c r="AA37" s="37">
        <v>-129.73969974559998</v>
      </c>
      <c r="AB37" s="37">
        <v>55.16155700319996</v>
      </c>
      <c r="AC37" s="37">
        <v>36.784352450599954</v>
      </c>
      <c r="AD37" s="37">
        <v>-190.01003952640008</v>
      </c>
      <c r="AE37" s="37">
        <v>-63.737543282799948</v>
      </c>
      <c r="AF37" s="37">
        <v>58.190857726800004</v>
      </c>
      <c r="AG37" s="37">
        <v>72.982966195199992</v>
      </c>
      <c r="AH37" s="37">
        <v>-122.12352454200004</v>
      </c>
      <c r="AI37" s="37">
        <v>118.74203287479997</v>
      </c>
      <c r="AJ37" s="37">
        <v>-60.766718713199907</v>
      </c>
      <c r="AK37" s="37">
        <v>75.513256886799923</v>
      </c>
      <c r="AL37" s="37">
        <v>-136.53650678439999</v>
      </c>
      <c r="AM37" s="37">
        <v>-93.874876186399888</v>
      </c>
      <c r="AN37" s="37">
        <v>-19.166532767000035</v>
      </c>
      <c r="AO37" s="37">
        <v>57.789332984100156</v>
      </c>
      <c r="AP37" s="37">
        <v>-396.03723290240009</v>
      </c>
      <c r="AQ37" s="37">
        <v>-289.58894674980002</v>
      </c>
      <c r="AR37" s="37">
        <v>-557.6654779288001</v>
      </c>
      <c r="AS37" s="37">
        <v>-384.2338939146</v>
      </c>
      <c r="AT37" s="37">
        <v>-224.22153804319987</v>
      </c>
      <c r="AU37" s="37">
        <v>-129.52728894699987</v>
      </c>
      <c r="AV37" s="37">
        <v>-109.89472725420001</v>
      </c>
      <c r="AW37" s="37">
        <v>-158.91806943817983</v>
      </c>
      <c r="AX37" s="37">
        <v>-69.337914631199965</v>
      </c>
      <c r="AY37" s="37">
        <v>-127.38436283520002</v>
      </c>
      <c r="BA37" s="66"/>
      <c r="BB37" s="66"/>
    </row>
    <row r="38" spans="2:54">
      <c r="B38">
        <v>10095</v>
      </c>
      <c r="C38" t="s">
        <v>42</v>
      </c>
      <c r="D38" s="37">
        <v>384.03401541359972</v>
      </c>
      <c r="E38" s="37">
        <v>44.642880771299929</v>
      </c>
      <c r="F38" s="37">
        <v>-74.269616787200221</v>
      </c>
      <c r="G38" s="37">
        <v>-27.165389989399955</v>
      </c>
      <c r="H38" s="37">
        <v>-96.45217874860009</v>
      </c>
      <c r="I38" s="37">
        <v>-143.3930752704</v>
      </c>
      <c r="J38" s="37">
        <v>2.3731895089999853</v>
      </c>
      <c r="K38" s="37">
        <v>-16.741996494600016</v>
      </c>
      <c r="L38" s="37">
        <v>83.050173415400195</v>
      </c>
      <c r="M38" s="37">
        <v>26.508706823399962</v>
      </c>
      <c r="N38" s="37">
        <v>64.639659803799987</v>
      </c>
      <c r="O38" s="37">
        <v>-70.723845717199993</v>
      </c>
      <c r="P38" s="37">
        <v>237.18113814649996</v>
      </c>
      <c r="Q38" s="37">
        <v>8.8154202730501083</v>
      </c>
      <c r="R38" s="37">
        <v>-152.04620563520029</v>
      </c>
      <c r="S38" s="37">
        <v>-149.01427419290007</v>
      </c>
      <c r="T38" s="37">
        <v>-205.81218017240008</v>
      </c>
      <c r="U38" s="37">
        <v>-223.67766374330006</v>
      </c>
      <c r="V38" s="37">
        <v>42.148447666399989</v>
      </c>
      <c r="W38" s="37">
        <v>-24.489713743500033</v>
      </c>
      <c r="X38" s="37">
        <v>29.851763550899932</v>
      </c>
      <c r="Y38" s="37">
        <v>6.6971366871100599</v>
      </c>
      <c r="Z38" s="37">
        <v>168.07855429239976</v>
      </c>
      <c r="AA38" s="37">
        <v>-38.13386544960008</v>
      </c>
      <c r="AB38" s="37">
        <v>377.8190154135998</v>
      </c>
      <c r="AC38" s="37">
        <v>41.325880771299921</v>
      </c>
      <c r="AD38" s="37">
        <v>-79.268616787200244</v>
      </c>
      <c r="AE38" s="37">
        <v>-30.468389989400066</v>
      </c>
      <c r="AF38" s="37">
        <v>-101.66417874860008</v>
      </c>
      <c r="AG38" s="37">
        <v>-146.53907527039996</v>
      </c>
      <c r="AH38" s="37">
        <v>-56.547810491000064</v>
      </c>
      <c r="AI38" s="37">
        <v>34.970003505399973</v>
      </c>
      <c r="AJ38" s="37">
        <v>139.65067263139986</v>
      </c>
      <c r="AK38" s="37">
        <v>54.625456431399925</v>
      </c>
      <c r="AL38" s="37">
        <v>112.37365980380014</v>
      </c>
      <c r="AM38" s="37">
        <v>-124.15384571720006</v>
      </c>
      <c r="AN38" s="37">
        <v>233.3951381464999</v>
      </c>
      <c r="AO38" s="37">
        <v>6.706420273050071</v>
      </c>
      <c r="AP38" s="37">
        <v>-156.60420563520029</v>
      </c>
      <c r="AQ38" s="37">
        <v>-151.81427419290014</v>
      </c>
      <c r="AR38" s="37">
        <v>-210.86018017240008</v>
      </c>
      <c r="AS38" s="37">
        <v>-226.36166374330003</v>
      </c>
      <c r="AT38" s="37">
        <v>37.165447666400041</v>
      </c>
      <c r="AU38" s="37">
        <v>-27.35271374350009</v>
      </c>
      <c r="AV38" s="37">
        <v>24.268763550899848</v>
      </c>
      <c r="AW38" s="37">
        <v>3.5151366871100436</v>
      </c>
      <c r="AX38" s="37">
        <v>163.24355429239995</v>
      </c>
      <c r="AY38" s="37">
        <v>-40.920865449600001</v>
      </c>
      <c r="BA38" s="66"/>
      <c r="BB38" s="66"/>
    </row>
    <row r="39" spans="2:54">
      <c r="B39">
        <v>10097</v>
      </c>
      <c r="C39" t="s">
        <v>43</v>
      </c>
      <c r="D39" s="37">
        <v>130.03342919240004</v>
      </c>
      <c r="E39" s="37">
        <v>64.046403357950112</v>
      </c>
      <c r="F39" s="37">
        <v>3.4867134751999629</v>
      </c>
      <c r="G39" s="37">
        <v>66.191487777900079</v>
      </c>
      <c r="H39" s="37">
        <v>263.23057285510004</v>
      </c>
      <c r="I39" s="37">
        <v>292.18022248640011</v>
      </c>
      <c r="J39" s="37">
        <v>228.01852519350018</v>
      </c>
      <c r="K39" s="37">
        <v>310.36429581610003</v>
      </c>
      <c r="L39" s="37">
        <v>101.87519138110019</v>
      </c>
      <c r="M39" s="37">
        <v>151.96834365310008</v>
      </c>
      <c r="N39" s="37">
        <v>30.284384431700005</v>
      </c>
      <c r="O39" s="37">
        <v>60.370463980200043</v>
      </c>
      <c r="P39" s="37">
        <v>60.92391152475011</v>
      </c>
      <c r="Q39" s="37">
        <v>71.154288208075059</v>
      </c>
      <c r="R39" s="37">
        <v>-338.63325075679995</v>
      </c>
      <c r="S39" s="37">
        <v>-195.02069372234996</v>
      </c>
      <c r="T39" s="37">
        <v>-407.23029140660003</v>
      </c>
      <c r="U39" s="37">
        <v>-238.93741825595004</v>
      </c>
      <c r="V39" s="37">
        <v>-251.40488297239995</v>
      </c>
      <c r="W39" s="37">
        <v>-140.30031161024999</v>
      </c>
      <c r="X39" s="37">
        <v>-231.79768858065006</v>
      </c>
      <c r="Y39" s="37">
        <v>-142.38527888463494</v>
      </c>
      <c r="Z39" s="37">
        <v>-160.88965501339999</v>
      </c>
      <c r="AA39" s="37">
        <v>-114.14500796639999</v>
      </c>
      <c r="AB39" s="37">
        <v>130.74645157799989</v>
      </c>
      <c r="AC39" s="37">
        <v>64.47085946774996</v>
      </c>
      <c r="AD39" s="37">
        <v>4.0729185440000037</v>
      </c>
      <c r="AE39" s="37">
        <v>66.700136325500011</v>
      </c>
      <c r="AF39" s="37">
        <v>264.38137855949992</v>
      </c>
      <c r="AG39" s="37">
        <v>293.16982500800009</v>
      </c>
      <c r="AH39" s="37">
        <v>229.14924850750003</v>
      </c>
      <c r="AI39" s="37">
        <v>311.40204060449992</v>
      </c>
      <c r="AJ39" s="37">
        <v>135.39169970950002</v>
      </c>
      <c r="AK39" s="37">
        <v>168.97313620950001</v>
      </c>
      <c r="AL39" s="37">
        <v>30.96641678650019</v>
      </c>
      <c r="AM39" s="37">
        <v>60.889895269000021</v>
      </c>
      <c r="AN39" s="37">
        <v>61.527948413749982</v>
      </c>
      <c r="AO39" s="37">
        <v>71.606202823375099</v>
      </c>
      <c r="AP39" s="37">
        <v>-338.71297749600001</v>
      </c>
      <c r="AQ39" s="37">
        <v>-195.02452138574989</v>
      </c>
      <c r="AR39" s="37">
        <v>-407.4132945770001</v>
      </c>
      <c r="AS39" s="37">
        <v>-239.04112827775003</v>
      </c>
      <c r="AT39" s="37">
        <v>-251.36469567799986</v>
      </c>
      <c r="AU39" s="37">
        <v>-140.25220066125001</v>
      </c>
      <c r="AV39" s="37">
        <v>-231.72100464925006</v>
      </c>
      <c r="AW39" s="37">
        <v>-142.35817411657496</v>
      </c>
      <c r="AX39" s="37">
        <v>-160.74263032299996</v>
      </c>
      <c r="AY39" s="37">
        <v>-114.05735560800002</v>
      </c>
      <c r="BA39" s="66"/>
      <c r="BB39" s="66"/>
    </row>
    <row r="40" spans="2:54">
      <c r="B40">
        <v>10101</v>
      </c>
      <c r="C40" t="s">
        <v>44</v>
      </c>
      <c r="D40" s="37">
        <v>5486.3114733623988</v>
      </c>
      <c r="E40" s="37">
        <v>1438.670045311701</v>
      </c>
      <c r="F40" s="37">
        <v>4861.1167756352006</v>
      </c>
      <c r="G40" s="37">
        <v>4221.6722600354005</v>
      </c>
      <c r="H40" s="37">
        <v>12604.573665122603</v>
      </c>
      <c r="I40" s="37">
        <v>9093.6307856063977</v>
      </c>
      <c r="J40" s="37">
        <v>10661.355569681007</v>
      </c>
      <c r="K40" s="37">
        <v>9610.1549700085998</v>
      </c>
      <c r="L40" s="37">
        <v>8458.3593581985988</v>
      </c>
      <c r="M40" s="37">
        <v>7758.5050980705964</v>
      </c>
      <c r="N40" s="37">
        <v>4284.9472908542084</v>
      </c>
      <c r="O40" s="37">
        <v>2195.8910582651988</v>
      </c>
      <c r="P40" s="37">
        <v>3247.7135561685027</v>
      </c>
      <c r="Q40" s="37">
        <v>1678.5365119024536</v>
      </c>
      <c r="R40" s="37">
        <v>-9653.2343191967993</v>
      </c>
      <c r="S40" s="37">
        <v>-5590.0453999460951</v>
      </c>
      <c r="T40" s="37">
        <v>-14261.831238311599</v>
      </c>
      <c r="U40" s="37">
        <v>-8459.6048148597001</v>
      </c>
      <c r="V40" s="37">
        <v>-9801.6978136424004</v>
      </c>
      <c r="W40" s="37">
        <v>-4913.4180718414991</v>
      </c>
      <c r="X40" s="37">
        <v>-8173.076601631903</v>
      </c>
      <c r="Y40" s="37">
        <v>-4897.284149677007</v>
      </c>
      <c r="Z40" s="37">
        <v>-3793.9866066084032</v>
      </c>
      <c r="AA40" s="37">
        <v>-3522.4963800864007</v>
      </c>
      <c r="AB40" s="37">
        <v>5465.0554733623976</v>
      </c>
      <c r="AC40" s="37">
        <v>1463.3590453117031</v>
      </c>
      <c r="AD40" s="37">
        <v>4862.6267756352026</v>
      </c>
      <c r="AE40" s="37">
        <v>4222.9982600353978</v>
      </c>
      <c r="AF40" s="37">
        <v>12585.774665122604</v>
      </c>
      <c r="AG40" s="37">
        <v>9081.5117856064062</v>
      </c>
      <c r="AH40" s="37">
        <v>10645.269569681004</v>
      </c>
      <c r="AI40" s="37">
        <v>9599.5769700085984</v>
      </c>
      <c r="AJ40" s="37">
        <v>9718.8864895426013</v>
      </c>
      <c r="AK40" s="37">
        <v>8388.1161637426012</v>
      </c>
      <c r="AL40" s="37">
        <v>4285.5212908542089</v>
      </c>
      <c r="AM40" s="37">
        <v>2196.6420582652026</v>
      </c>
      <c r="AN40" s="37">
        <v>3250.0065561685005</v>
      </c>
      <c r="AO40" s="37">
        <v>1680.239511902455</v>
      </c>
      <c r="AP40" s="37">
        <v>-9650.0933191968033</v>
      </c>
      <c r="AQ40" s="37">
        <v>-5587.6423999461003</v>
      </c>
      <c r="AR40" s="37">
        <v>-14257.185238311598</v>
      </c>
      <c r="AS40" s="37">
        <v>-8456.3418148597011</v>
      </c>
      <c r="AT40" s="37">
        <v>-9797.9888136424015</v>
      </c>
      <c r="AU40" s="37">
        <v>-4910.6600718414975</v>
      </c>
      <c r="AV40" s="37">
        <v>-8146.4886016319033</v>
      </c>
      <c r="AW40" s="37">
        <v>-4918.0041496770082</v>
      </c>
      <c r="AX40" s="37">
        <v>-3812.4316066084029</v>
      </c>
      <c r="AY40" s="37">
        <v>-3495.8683800864001</v>
      </c>
      <c r="BA40" s="66"/>
      <c r="BB40" s="66"/>
    </row>
    <row r="41" spans="2:54">
      <c r="B41">
        <v>10103</v>
      </c>
      <c r="C41" t="s">
        <v>45</v>
      </c>
      <c r="D41" s="37">
        <v>23383.167921690372</v>
      </c>
      <c r="E41" s="37">
        <v>-12645.014039189293</v>
      </c>
      <c r="F41" s="37">
        <v>-1610.0274118208035</v>
      </c>
      <c r="G41" s="37">
        <v>-2339.8864453265996</v>
      </c>
      <c r="H41" s="37">
        <v>43686.181254744588</v>
      </c>
      <c r="I41" s="37">
        <v>12918.720068614391</v>
      </c>
      <c r="J41" s="37">
        <v>28776.398989751004</v>
      </c>
      <c r="K41" s="37">
        <v>12421.10387605062</v>
      </c>
      <c r="L41" s="37">
        <v>25074.223013540613</v>
      </c>
      <c r="M41" s="37">
        <v>11225.013533252597</v>
      </c>
      <c r="N41" s="37">
        <v>5102.1295863281994</v>
      </c>
      <c r="O41" s="37">
        <v>-6390.9531930907979</v>
      </c>
      <c r="P41" s="37">
        <v>14757.127750363492</v>
      </c>
      <c r="Q41" s="37">
        <v>-10053.051422446049</v>
      </c>
      <c r="R41" s="37">
        <v>13809.393682307185</v>
      </c>
      <c r="S41" s="37">
        <v>9438.3099983869033</v>
      </c>
      <c r="T41" s="37">
        <v>-30643.568456763605</v>
      </c>
      <c r="U41" s="37">
        <v>-34863.53377791871</v>
      </c>
      <c r="V41" s="37">
        <v>5844.2792064295791</v>
      </c>
      <c r="W41" s="37">
        <v>-12717.757742346483</v>
      </c>
      <c r="X41" s="37">
        <v>16547.077798375103</v>
      </c>
      <c r="Y41" s="37">
        <v>-2377.686228571707</v>
      </c>
      <c r="Z41" s="37">
        <v>2520.1120994435914</v>
      </c>
      <c r="AA41" s="37">
        <v>-20916.761668694395</v>
      </c>
      <c r="AB41" s="37">
        <v>25855.30492169036</v>
      </c>
      <c r="AC41" s="37">
        <v>-11263.288039189298</v>
      </c>
      <c r="AD41" s="37">
        <v>1302.9975881791906</v>
      </c>
      <c r="AE41" s="37">
        <v>-291.48544532661617</v>
      </c>
      <c r="AF41" s="37">
        <v>47957.644254744635</v>
      </c>
      <c r="AG41" s="37">
        <v>15432.121068614404</v>
      </c>
      <c r="AH41" s="37">
        <v>24325.932989751047</v>
      </c>
      <c r="AI41" s="37">
        <v>23339.433876050578</v>
      </c>
      <c r="AJ41" s="37">
        <v>33911.053956564574</v>
      </c>
      <c r="AK41" s="37">
        <v>15935.682504764583</v>
      </c>
      <c r="AL41" s="37">
        <v>15269.882586328225</v>
      </c>
      <c r="AM41" s="37">
        <v>-11442.947193090804</v>
      </c>
      <c r="AN41" s="37">
        <v>17274.442750363523</v>
      </c>
      <c r="AO41" s="37">
        <v>-8701.0464224460447</v>
      </c>
      <c r="AP41" s="37">
        <v>15831.271682307211</v>
      </c>
      <c r="AQ41" s="37">
        <v>10728.296998386897</v>
      </c>
      <c r="AR41" s="37">
        <v>-28404.184456763614</v>
      </c>
      <c r="AS41" s="37">
        <v>-33827.597777918709</v>
      </c>
      <c r="AT41" s="37">
        <v>8386.4532064296072</v>
      </c>
      <c r="AU41" s="37">
        <v>-11378.067742346509</v>
      </c>
      <c r="AV41" s="37">
        <v>19348.203798375122</v>
      </c>
      <c r="AW41" s="37">
        <v>-1048.948228571724</v>
      </c>
      <c r="AX41" s="37">
        <v>4548.7950994435814</v>
      </c>
      <c r="AY41" s="37">
        <v>-19672.124668694407</v>
      </c>
      <c r="BA41" s="66"/>
      <c r="BB41" s="66"/>
    </row>
    <row r="42" spans="2:54">
      <c r="B42">
        <v>10105</v>
      </c>
      <c r="C42" t="s">
        <v>46</v>
      </c>
      <c r="D42" s="37">
        <v>820.23107589358005</v>
      </c>
      <c r="E42" s="37">
        <v>2463.493240374748</v>
      </c>
      <c r="F42" s="37">
        <v>-3027.7259212929603</v>
      </c>
      <c r="G42" s="37">
        <v>214.87488776279315</v>
      </c>
      <c r="H42" s="37">
        <v>-3325.1310236452809</v>
      </c>
      <c r="I42" s="37">
        <v>1032.8752535947024</v>
      </c>
      <c r="J42" s="37">
        <v>-4191.1395366515608</v>
      </c>
      <c r="K42" s="37">
        <v>92.925278425118449</v>
      </c>
      <c r="L42" s="37">
        <v>-2707.4056470267606</v>
      </c>
      <c r="M42" s="37">
        <v>894.24559337715255</v>
      </c>
      <c r="N42" s="37">
        <v>-2498.9655647644322</v>
      </c>
      <c r="O42" s="37">
        <v>635.89712857297309</v>
      </c>
      <c r="P42" s="37">
        <v>933.05497920880589</v>
      </c>
      <c r="Q42" s="37">
        <v>1937.5144078785961</v>
      </c>
      <c r="R42" s="37">
        <v>-6220.9534204936244</v>
      </c>
      <c r="S42" s="37">
        <v>-2377.893185212979</v>
      </c>
      <c r="T42" s="37">
        <v>-4389.0122853722405</v>
      </c>
      <c r="U42" s="37">
        <v>366.09520097638779</v>
      </c>
      <c r="V42" s="37">
        <v>-2394.501139910466</v>
      </c>
      <c r="W42" s="37">
        <v>1069.6872950230627</v>
      </c>
      <c r="X42" s="37">
        <v>-1433.7558107369077</v>
      </c>
      <c r="Y42" s="37">
        <v>1274.6188132200623</v>
      </c>
      <c r="Z42" s="37">
        <v>-654.09502260199406</v>
      </c>
      <c r="AA42" s="37">
        <v>2181.617172770706</v>
      </c>
      <c r="AB42" s="37">
        <v>1551.8882444586616</v>
      </c>
      <c r="AC42" s="37">
        <v>2057.2715697333333</v>
      </c>
      <c r="AD42" s="37">
        <v>-2884.1375096231623</v>
      </c>
      <c r="AE42" s="37">
        <v>350.25948611660351</v>
      </c>
      <c r="AF42" s="37">
        <v>-3171.4481624208784</v>
      </c>
      <c r="AG42" s="37">
        <v>1194.7074758292874</v>
      </c>
      <c r="AH42" s="37">
        <v>-4040.9431354970129</v>
      </c>
      <c r="AI42" s="37">
        <v>237.24181226389737</v>
      </c>
      <c r="AJ42" s="37">
        <v>-2042.8301330205977</v>
      </c>
      <c r="AK42" s="37">
        <v>1412.7893055707009</v>
      </c>
      <c r="AL42" s="37">
        <v>-2333.6013599609014</v>
      </c>
      <c r="AM42" s="37">
        <v>785.69948093565108</v>
      </c>
      <c r="AN42" s="37">
        <v>1120.0096940220101</v>
      </c>
      <c r="AO42" s="37">
        <v>2083.7046960374773</v>
      </c>
      <c r="AP42" s="37">
        <v>-6132.7726202630001</v>
      </c>
      <c r="AQ42" s="37">
        <v>-2289.1068661649861</v>
      </c>
      <c r="AR42" s="37">
        <v>-4253.5560932808403</v>
      </c>
      <c r="AS42" s="37">
        <v>504.00940610150792</v>
      </c>
      <c r="AT42" s="37">
        <v>-2250.8499040219813</v>
      </c>
      <c r="AU42" s="37">
        <v>1205.4913276997522</v>
      </c>
      <c r="AV42" s="37">
        <v>-1818.4569393881047</v>
      </c>
      <c r="AW42" s="37">
        <v>1951.2783240952667</v>
      </c>
      <c r="AX42" s="37">
        <v>50.543943326198132</v>
      </c>
      <c r="AY42" s="37">
        <v>1778.1713559476775</v>
      </c>
      <c r="BA42" s="66"/>
      <c r="BB42" s="66"/>
    </row>
    <row r="43" spans="2:54">
      <c r="B43">
        <v>10106</v>
      </c>
      <c r="C43" t="s">
        <v>47</v>
      </c>
      <c r="D43" s="37">
        <v>0</v>
      </c>
      <c r="E43" s="37">
        <v>0</v>
      </c>
      <c r="F43" s="37">
        <v>0</v>
      </c>
      <c r="G43" s="37">
        <v>0</v>
      </c>
      <c r="H43" s="37">
        <v>0</v>
      </c>
      <c r="I43" s="37">
        <v>0</v>
      </c>
      <c r="J43" s="37">
        <v>0</v>
      </c>
      <c r="K43" s="37">
        <v>0</v>
      </c>
      <c r="L43" s="37">
        <v>0</v>
      </c>
      <c r="M43" s="37">
        <v>0</v>
      </c>
      <c r="N43" s="37">
        <v>0</v>
      </c>
      <c r="O43" s="37">
        <v>0</v>
      </c>
      <c r="P43" s="37">
        <v>0</v>
      </c>
      <c r="Q43" s="37">
        <v>0</v>
      </c>
      <c r="R43" s="37">
        <v>0</v>
      </c>
      <c r="S43" s="37">
        <v>0</v>
      </c>
      <c r="T43" s="37">
        <v>0</v>
      </c>
      <c r="U43" s="37">
        <v>0</v>
      </c>
      <c r="V43" s="37">
        <v>0</v>
      </c>
      <c r="W43" s="37">
        <v>0</v>
      </c>
      <c r="X43" s="37">
        <v>0</v>
      </c>
      <c r="Y43" s="37">
        <v>0</v>
      </c>
      <c r="Z43" s="37">
        <v>0</v>
      </c>
      <c r="AA43" s="37">
        <v>0</v>
      </c>
      <c r="AB43" s="37">
        <v>0</v>
      </c>
      <c r="AC43" s="37">
        <v>0</v>
      </c>
      <c r="AD43" s="37">
        <v>0</v>
      </c>
      <c r="AE43" s="37">
        <v>0</v>
      </c>
      <c r="AF43" s="37">
        <v>0</v>
      </c>
      <c r="AG43" s="37">
        <v>0</v>
      </c>
      <c r="AH43" s="37">
        <v>0</v>
      </c>
      <c r="AI43" s="37">
        <v>0</v>
      </c>
      <c r="AJ43" s="37">
        <v>0</v>
      </c>
      <c r="AK43" s="37">
        <v>0</v>
      </c>
      <c r="AL43" s="37">
        <v>0</v>
      </c>
      <c r="AM43" s="37">
        <v>0</v>
      </c>
      <c r="AN43" s="37">
        <v>0</v>
      </c>
      <c r="AO43" s="37">
        <v>0</v>
      </c>
      <c r="AP43" s="37">
        <v>0</v>
      </c>
      <c r="AQ43" s="37">
        <v>0</v>
      </c>
      <c r="AR43" s="37">
        <v>0</v>
      </c>
      <c r="AS43" s="37">
        <v>0</v>
      </c>
      <c r="AT43" s="37">
        <v>0</v>
      </c>
      <c r="AU43" s="37">
        <v>0</v>
      </c>
      <c r="AV43" s="37">
        <v>0</v>
      </c>
      <c r="AW43" s="37">
        <v>0</v>
      </c>
      <c r="AX43" s="37">
        <v>0</v>
      </c>
      <c r="AY43" s="37">
        <v>0</v>
      </c>
      <c r="BA43" s="66"/>
      <c r="BB43" s="66"/>
    </row>
    <row r="44" spans="2:54">
      <c r="B44">
        <v>10109</v>
      </c>
      <c r="C44" t="s">
        <v>48</v>
      </c>
      <c r="D44" s="37">
        <v>3217.9344276451993</v>
      </c>
      <c r="E44" s="37">
        <v>2207.6321335553498</v>
      </c>
      <c r="F44" s="37">
        <v>1803.9798804896</v>
      </c>
      <c r="G44" s="37">
        <v>1649.5671176366991</v>
      </c>
      <c r="H44" s="37">
        <v>3619.481868072301</v>
      </c>
      <c r="I44" s="37">
        <v>3039.6522591071994</v>
      </c>
      <c r="J44" s="37">
        <v>3630.4500243755001</v>
      </c>
      <c r="K44" s="37">
        <v>3970.113455725299</v>
      </c>
      <c r="L44" s="37">
        <v>2808.4092294703005</v>
      </c>
      <c r="M44" s="37">
        <v>2611.2119933263002</v>
      </c>
      <c r="N44" s="37">
        <v>4556.4309000640997</v>
      </c>
      <c r="O44" s="37">
        <v>3442.3702748546011</v>
      </c>
      <c r="P44" s="37">
        <v>6965.7940359317499</v>
      </c>
      <c r="Q44" s="37">
        <v>5209.6225240519743</v>
      </c>
      <c r="R44" s="37">
        <v>6910.3357035536001</v>
      </c>
      <c r="S44" s="37">
        <v>5725.7895752434506</v>
      </c>
      <c r="T44" s="37">
        <v>7336.5980954181996</v>
      </c>
      <c r="U44" s="37">
        <v>5544.9287718906489</v>
      </c>
      <c r="V44" s="37">
        <v>8071.6201764147991</v>
      </c>
      <c r="W44" s="37">
        <v>6691.16209457675</v>
      </c>
      <c r="X44" s="37">
        <v>8810.9315521375502</v>
      </c>
      <c r="Y44" s="37">
        <v>6061.3454865191452</v>
      </c>
      <c r="Z44" s="37">
        <v>6752.6197859218009</v>
      </c>
      <c r="AA44" s="37">
        <v>5608.7785808528006</v>
      </c>
      <c r="AB44" s="37">
        <v>7210.6814276451987</v>
      </c>
      <c r="AC44" s="37">
        <v>5119.301133555351</v>
      </c>
      <c r="AD44" s="37">
        <v>5242.7298804895981</v>
      </c>
      <c r="AE44" s="37">
        <v>4181.3301176366986</v>
      </c>
      <c r="AF44" s="37">
        <v>6537.0818680722996</v>
      </c>
      <c r="AG44" s="37">
        <v>4799.1702591071989</v>
      </c>
      <c r="AH44" s="37">
        <v>5351.2880243754998</v>
      </c>
      <c r="AI44" s="37">
        <v>5438.1024557253004</v>
      </c>
      <c r="AJ44" s="37">
        <v>4747.2654089823</v>
      </c>
      <c r="AK44" s="37">
        <v>3911.5270830822997</v>
      </c>
      <c r="AL44" s="37">
        <v>5555.5189000641012</v>
      </c>
      <c r="AM44" s="37">
        <v>4138.3002748545996</v>
      </c>
      <c r="AN44" s="37">
        <v>7087.6520359317501</v>
      </c>
      <c r="AO44" s="37">
        <v>5292.7575240519764</v>
      </c>
      <c r="AP44" s="37">
        <v>7034.3137035535992</v>
      </c>
      <c r="AQ44" s="37">
        <v>5815.2035752434513</v>
      </c>
      <c r="AR44" s="37">
        <v>7445.9780954181988</v>
      </c>
      <c r="AS44" s="37">
        <v>5644.4487718906494</v>
      </c>
      <c r="AT44" s="37">
        <v>8201.3481764148</v>
      </c>
      <c r="AU44" s="37">
        <v>6750.6260945767499</v>
      </c>
      <c r="AV44" s="37">
        <v>8976.4055521375485</v>
      </c>
      <c r="AW44" s="37">
        <v>6058.6534865191461</v>
      </c>
      <c r="AX44" s="37">
        <v>6765.7737859217996</v>
      </c>
      <c r="AY44" s="37">
        <v>5722.4335808527994</v>
      </c>
      <c r="BA44" s="66"/>
      <c r="BB44" s="66"/>
    </row>
    <row r="45" spans="2:54">
      <c r="B45">
        <v>10111</v>
      </c>
      <c r="C45" t="s">
        <v>49</v>
      </c>
      <c r="D45" s="37">
        <v>-131.73183674760003</v>
      </c>
      <c r="E45" s="37">
        <v>-102.76295134954989</v>
      </c>
      <c r="F45" s="37">
        <v>-287.8506956448</v>
      </c>
      <c r="G45" s="37">
        <v>38.161513662900006</v>
      </c>
      <c r="H45" s="37">
        <v>-75.484574079900085</v>
      </c>
      <c r="I45" s="37">
        <v>96.516262646400037</v>
      </c>
      <c r="J45" s="37">
        <v>-191.40360778149989</v>
      </c>
      <c r="K45" s="37">
        <v>82.394521031100112</v>
      </c>
      <c r="L45" s="37">
        <v>-133.2061286538999</v>
      </c>
      <c r="M45" s="37">
        <v>120.34352041810007</v>
      </c>
      <c r="N45" s="37">
        <v>-323.41726921329996</v>
      </c>
      <c r="O45" s="37">
        <v>-57.910129389799863</v>
      </c>
      <c r="P45" s="37">
        <v>-37.681371762749905</v>
      </c>
      <c r="Q45" s="37">
        <v>5.6330670193251535</v>
      </c>
      <c r="R45" s="37">
        <v>-356.95803067680004</v>
      </c>
      <c r="S45" s="37">
        <v>-74.348104874849923</v>
      </c>
      <c r="T45" s="37">
        <v>-242.26259919659992</v>
      </c>
      <c r="U45" s="37">
        <v>-81.385802248449977</v>
      </c>
      <c r="V45" s="37">
        <v>488.42487596759997</v>
      </c>
      <c r="W45" s="37">
        <v>449.84745485225005</v>
      </c>
      <c r="X45" s="37">
        <v>292.52943312184993</v>
      </c>
      <c r="Y45" s="37">
        <v>366.26993794011514</v>
      </c>
      <c r="Z45" s="37">
        <v>59.960529776599969</v>
      </c>
      <c r="AA45" s="37">
        <v>98.656089873600081</v>
      </c>
      <c r="AB45" s="37">
        <v>-133.05605876560003</v>
      </c>
      <c r="AC45" s="37">
        <v>-103.62613121230004</v>
      </c>
      <c r="AD45" s="37">
        <v>-289.51293930880024</v>
      </c>
      <c r="AE45" s="37">
        <v>37.079574347400012</v>
      </c>
      <c r="AF45" s="37">
        <v>-77.543816949400025</v>
      </c>
      <c r="AG45" s="37">
        <v>95.150265798400142</v>
      </c>
      <c r="AH45" s="37">
        <v>-260.28745363899975</v>
      </c>
      <c r="AI45" s="37">
        <v>148.62445201659989</v>
      </c>
      <c r="AJ45" s="37">
        <v>-83.478034929399882</v>
      </c>
      <c r="AK45" s="37">
        <v>145.08861527059992</v>
      </c>
      <c r="AL45" s="37">
        <v>-269.13922876979996</v>
      </c>
      <c r="AM45" s="37">
        <v>-115.13234027880003</v>
      </c>
      <c r="AN45" s="37">
        <v>-38.870575651499848</v>
      </c>
      <c r="AO45" s="37">
        <v>4.8729602884501446</v>
      </c>
      <c r="AP45" s="37">
        <v>-358.78593910080008</v>
      </c>
      <c r="AQ45" s="37">
        <v>-75.547639454099908</v>
      </c>
      <c r="AR45" s="37">
        <v>-243.77760315959995</v>
      </c>
      <c r="AS45" s="37">
        <v>-82.271439775699946</v>
      </c>
      <c r="AT45" s="37">
        <v>486.82436008560012</v>
      </c>
      <c r="AU45" s="37">
        <v>448.87409353850001</v>
      </c>
      <c r="AV45" s="37">
        <v>290.73928803609988</v>
      </c>
      <c r="AW45" s="37">
        <v>365.20506890018999</v>
      </c>
      <c r="AX45" s="37">
        <v>58.675060639599906</v>
      </c>
      <c r="AY45" s="37">
        <v>97.790405321600019</v>
      </c>
      <c r="BA45" s="66"/>
      <c r="BB45" s="66"/>
    </row>
    <row r="46" spans="2:54">
      <c r="B46">
        <v>10112</v>
      </c>
      <c r="C46" t="s">
        <v>50</v>
      </c>
      <c r="D46" s="37">
        <v>3692.4436888155979</v>
      </c>
      <c r="E46" s="37">
        <v>742.60207083104979</v>
      </c>
      <c r="F46" s="37">
        <v>-1809.2451882912028</v>
      </c>
      <c r="G46" s="37">
        <v>-582.34090735990321</v>
      </c>
      <c r="H46" s="37">
        <v>2535.8638115868998</v>
      </c>
      <c r="I46" s="37">
        <v>2531.0177610015999</v>
      </c>
      <c r="J46" s="37">
        <v>1020.6403365765</v>
      </c>
      <c r="K46" s="37">
        <v>2980.4748152458997</v>
      </c>
      <c r="L46" s="37">
        <v>289.58375198089925</v>
      </c>
      <c r="M46" s="37">
        <v>1472.711769948899</v>
      </c>
      <c r="N46" s="37">
        <v>54.435111982300441</v>
      </c>
      <c r="O46" s="37">
        <v>-779.79321169620016</v>
      </c>
      <c r="P46" s="37">
        <v>2893.9594531202529</v>
      </c>
      <c r="Q46" s="37">
        <v>1116.6268984084272</v>
      </c>
      <c r="R46" s="37">
        <v>-4438.1692974992002</v>
      </c>
      <c r="S46" s="37">
        <v>-2635.7465067146495</v>
      </c>
      <c r="T46" s="37">
        <v>-5437.3728391654004</v>
      </c>
      <c r="U46" s="37">
        <v>-3376.1026070930511</v>
      </c>
      <c r="V46" s="37">
        <v>-294.30616263559932</v>
      </c>
      <c r="W46" s="37">
        <v>735.08055455525027</v>
      </c>
      <c r="X46" s="37">
        <v>2481.8968127576481</v>
      </c>
      <c r="Y46" s="37">
        <v>1070.4187464329352</v>
      </c>
      <c r="Z46" s="37">
        <v>1345.6570291853968</v>
      </c>
      <c r="AA46" s="37">
        <v>240.7686828784008</v>
      </c>
      <c r="AB46" s="37">
        <v>3846.8676888155969</v>
      </c>
      <c r="AC46" s="37">
        <v>833.19907083104954</v>
      </c>
      <c r="AD46" s="37">
        <v>-1658.4501882912009</v>
      </c>
      <c r="AE46" s="37">
        <v>-481.14290735990289</v>
      </c>
      <c r="AF46" s="37">
        <v>2732.6168115869004</v>
      </c>
      <c r="AG46" s="37">
        <v>2664.1777610015997</v>
      </c>
      <c r="AH46" s="37">
        <v>1220.1053365765001</v>
      </c>
      <c r="AI46" s="37">
        <v>3117.6118152459021</v>
      </c>
      <c r="AJ46" s="37">
        <v>1396.3061633169018</v>
      </c>
      <c r="AK46" s="37">
        <v>2044.3929756168982</v>
      </c>
      <c r="AL46" s="37">
        <v>233.36111198229992</v>
      </c>
      <c r="AM46" s="37">
        <v>-669.84521169619984</v>
      </c>
      <c r="AN46" s="37">
        <v>3044.9004531202518</v>
      </c>
      <c r="AO46" s="37">
        <v>1209.3198984084265</v>
      </c>
      <c r="AP46" s="37">
        <v>-4295.0892974992021</v>
      </c>
      <c r="AQ46" s="37">
        <v>-2541.9955067146493</v>
      </c>
      <c r="AR46" s="37">
        <v>-5296.0288391653994</v>
      </c>
      <c r="AS46" s="37">
        <v>-3293.2476070930497</v>
      </c>
      <c r="AT46" s="37">
        <v>-141.66316263559929</v>
      </c>
      <c r="AU46" s="37">
        <v>832.83655455524786</v>
      </c>
      <c r="AV46" s="37">
        <v>2649.9048127576498</v>
      </c>
      <c r="AW46" s="37">
        <v>1165.0937464329345</v>
      </c>
      <c r="AX46" s="37">
        <v>1480.0420291853989</v>
      </c>
      <c r="AY46" s="37">
        <v>327.56168287840046</v>
      </c>
      <c r="BA46" s="66"/>
      <c r="BB46" s="66"/>
    </row>
    <row r="47" spans="2:54">
      <c r="B47">
        <v>10113</v>
      </c>
      <c r="C47" t="s">
        <v>51</v>
      </c>
      <c r="D47" s="37">
        <v>381.49838435519632</v>
      </c>
      <c r="E47" s="37">
        <v>-1037.1607501084</v>
      </c>
      <c r="F47" s="37">
        <v>-8934.5634514304038</v>
      </c>
      <c r="G47" s="37">
        <v>-4841.5135136408007</v>
      </c>
      <c r="H47" s="37">
        <v>-9198.1265805752009</v>
      </c>
      <c r="I47" s="37">
        <v>-6022.2324003328004</v>
      </c>
      <c r="J47" s="37">
        <v>-10602.795550412</v>
      </c>
      <c r="K47" s="37">
        <v>-6186.5485966472006</v>
      </c>
      <c r="L47" s="37">
        <v>-10252.197512527202</v>
      </c>
      <c r="M47" s="37">
        <v>-5480.8840098712017</v>
      </c>
      <c r="N47" s="37">
        <v>-8957.1676158184</v>
      </c>
      <c r="O47" s="37">
        <v>-5705.9333581904002</v>
      </c>
      <c r="P47" s="37">
        <v>-641.59876026200072</v>
      </c>
      <c r="Q47" s="37">
        <v>-1229.1048180773996</v>
      </c>
      <c r="R47" s="37">
        <v>2999.4148238335947</v>
      </c>
      <c r="S47" s="37">
        <v>3514.1850158971993</v>
      </c>
      <c r="T47" s="37">
        <v>9236.2167494032001</v>
      </c>
      <c r="U47" s="37">
        <v>5857.1238826043991</v>
      </c>
      <c r="V47" s="37">
        <v>17198.873070204794</v>
      </c>
      <c r="W47" s="37">
        <v>12633.316566258001</v>
      </c>
      <c r="X47" s="37">
        <v>13249.766192158797</v>
      </c>
      <c r="Y47" s="37">
        <v>10291.719245874523</v>
      </c>
      <c r="Z47" s="37">
        <v>2692.6428264367969</v>
      </c>
      <c r="AA47" s="37">
        <v>805.45447329280069</v>
      </c>
      <c r="AB47" s="37">
        <v>238.42638435519621</v>
      </c>
      <c r="AC47" s="37">
        <v>-1001.3217501084009</v>
      </c>
      <c r="AD47" s="37">
        <v>-9006.2624514304043</v>
      </c>
      <c r="AE47" s="37">
        <v>-4904.0205136408013</v>
      </c>
      <c r="AF47" s="37">
        <v>-9255.4005805752004</v>
      </c>
      <c r="AG47" s="37">
        <v>-6097.1434003328004</v>
      </c>
      <c r="AH47" s="37">
        <v>-11128.629550411999</v>
      </c>
      <c r="AI47" s="37">
        <v>-5790.5445966472016</v>
      </c>
      <c r="AJ47" s="37">
        <v>-9600.3855904152006</v>
      </c>
      <c r="AK47" s="37">
        <v>-5183.2820488152011</v>
      </c>
      <c r="AL47" s="37">
        <v>-8555.1716158184026</v>
      </c>
      <c r="AM47" s="37">
        <v>-6238.1873581904001</v>
      </c>
      <c r="AN47" s="37">
        <v>-673.6587602619984</v>
      </c>
      <c r="AO47" s="37">
        <v>-1274.8888180773993</v>
      </c>
      <c r="AP47" s="37">
        <v>3012.805823833598</v>
      </c>
      <c r="AQ47" s="37">
        <v>3510.7530158972004</v>
      </c>
      <c r="AR47" s="37">
        <v>9311.7637494032024</v>
      </c>
      <c r="AS47" s="37">
        <v>5867.3928826043993</v>
      </c>
      <c r="AT47" s="37">
        <v>17306.416070204799</v>
      </c>
      <c r="AU47" s="37">
        <v>12682.922566258001</v>
      </c>
      <c r="AV47" s="37">
        <v>13418.487192158798</v>
      </c>
      <c r="AW47" s="37">
        <v>10223.785245874522</v>
      </c>
      <c r="AX47" s="37">
        <v>2585.9998264367969</v>
      </c>
      <c r="AY47" s="37">
        <v>858.62847329279975</v>
      </c>
      <c r="BA47" s="66"/>
      <c r="BB47" s="66"/>
    </row>
    <row r="48" spans="2:54">
      <c r="B48">
        <v>10116</v>
      </c>
      <c r="C48" t="s">
        <v>52</v>
      </c>
      <c r="D48" s="37">
        <v>25.843346811999979</v>
      </c>
      <c r="E48" s="37">
        <v>26.527129058499995</v>
      </c>
      <c r="F48" s="37">
        <v>-0.51908182400001124</v>
      </c>
      <c r="G48" s="37">
        <v>13.352005176999995</v>
      </c>
      <c r="H48" s="37">
        <v>-8.1029387000015163E-2</v>
      </c>
      <c r="I48" s="37">
        <v>13.358208032000007</v>
      </c>
      <c r="J48" s="37">
        <v>-2.2928265950000082</v>
      </c>
      <c r="K48" s="37">
        <v>17.792445042999987</v>
      </c>
      <c r="L48" s="37">
        <v>5.5611359929999935</v>
      </c>
      <c r="M48" s="37">
        <v>18.616235353</v>
      </c>
      <c r="N48" s="37">
        <v>9.1236692709999971</v>
      </c>
      <c r="O48" s="37">
        <v>11.472081325999994</v>
      </c>
      <c r="P48" s="37">
        <v>27.849543342499985</v>
      </c>
      <c r="Q48" s="37">
        <v>24.34895576225</v>
      </c>
      <c r="R48" s="37">
        <v>-13.913955984000026</v>
      </c>
      <c r="S48" s="37">
        <v>-0.6632822305000019</v>
      </c>
      <c r="T48" s="37">
        <v>-14.855261558000009</v>
      </c>
      <c r="U48" s="37">
        <v>3.0379232014999928</v>
      </c>
      <c r="V48" s="37">
        <v>-4.2330482120000141</v>
      </c>
      <c r="W48" s="37">
        <v>3.0611532924999949</v>
      </c>
      <c r="X48" s="37">
        <v>-12.555575659500008</v>
      </c>
      <c r="Y48" s="37">
        <v>0.26964336494999941</v>
      </c>
      <c r="Z48" s="37">
        <v>11.418036957999988</v>
      </c>
      <c r="AA48" s="37">
        <v>9.9568195679999931</v>
      </c>
      <c r="AB48" s="37">
        <v>25.843346811999979</v>
      </c>
      <c r="AC48" s="37">
        <v>26.527129058499995</v>
      </c>
      <c r="AD48" s="37">
        <v>-0.51908182400001124</v>
      </c>
      <c r="AE48" s="37">
        <v>13.352005176999995</v>
      </c>
      <c r="AF48" s="37">
        <v>-8.1029387000015163E-2</v>
      </c>
      <c r="AG48" s="37">
        <v>13.358208032000007</v>
      </c>
      <c r="AH48" s="37">
        <v>-2.2928265950000082</v>
      </c>
      <c r="AI48" s="37">
        <v>17.792445042999987</v>
      </c>
      <c r="AJ48" s="37">
        <v>9.2905927129999952</v>
      </c>
      <c r="AK48" s="37">
        <v>20.480963712999994</v>
      </c>
      <c r="AL48" s="37">
        <v>9.1236692709999971</v>
      </c>
      <c r="AM48" s="37">
        <v>11.472081325999994</v>
      </c>
      <c r="AN48" s="37">
        <v>27.849543342499985</v>
      </c>
      <c r="AO48" s="37">
        <v>24.34895576225</v>
      </c>
      <c r="AP48" s="37">
        <v>-13.913955984000026</v>
      </c>
      <c r="AQ48" s="37">
        <v>-0.6632822305000019</v>
      </c>
      <c r="AR48" s="37">
        <v>-14.855261558000009</v>
      </c>
      <c r="AS48" s="37">
        <v>3.0379232014999928</v>
      </c>
      <c r="AT48" s="37">
        <v>-4.2330482120000141</v>
      </c>
      <c r="AU48" s="37">
        <v>3.0611532924999949</v>
      </c>
      <c r="AV48" s="37">
        <v>-12.555575659500008</v>
      </c>
      <c r="AW48" s="37">
        <v>0.26964336494999941</v>
      </c>
      <c r="AX48" s="37">
        <v>11.418036957999988</v>
      </c>
      <c r="AY48" s="37">
        <v>9.9568195679999931</v>
      </c>
      <c r="BA48" s="66"/>
      <c r="BB48" s="66"/>
    </row>
    <row r="49" spans="2:54">
      <c r="B49">
        <v>10118</v>
      </c>
      <c r="C49" t="s">
        <v>53</v>
      </c>
      <c r="D49" s="37">
        <v>0</v>
      </c>
      <c r="E49" s="37">
        <v>0</v>
      </c>
      <c r="F49" s="37">
        <v>0</v>
      </c>
      <c r="G49" s="37">
        <v>0</v>
      </c>
      <c r="H49" s="37">
        <v>0</v>
      </c>
      <c r="I49" s="37">
        <v>0</v>
      </c>
      <c r="J49" s="37">
        <v>0</v>
      </c>
      <c r="K49" s="37">
        <v>0</v>
      </c>
      <c r="L49" s="37">
        <v>0</v>
      </c>
      <c r="M49" s="37">
        <v>0</v>
      </c>
      <c r="N49" s="37">
        <v>0</v>
      </c>
      <c r="O49" s="37">
        <v>0</v>
      </c>
      <c r="P49" s="37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0</v>
      </c>
      <c r="W49" s="37">
        <v>0</v>
      </c>
      <c r="X49" s="37">
        <v>0</v>
      </c>
      <c r="Y49" s="37">
        <v>0</v>
      </c>
      <c r="Z49" s="37">
        <v>0</v>
      </c>
      <c r="AA49" s="37">
        <v>0</v>
      </c>
      <c r="AB49" s="37">
        <v>0</v>
      </c>
      <c r="AC49" s="37">
        <v>0</v>
      </c>
      <c r="AD49" s="37">
        <v>0</v>
      </c>
      <c r="AE49" s="37">
        <v>0</v>
      </c>
      <c r="AF49" s="37">
        <v>0</v>
      </c>
      <c r="AG49" s="37">
        <v>0</v>
      </c>
      <c r="AH49" s="37">
        <v>0</v>
      </c>
      <c r="AI49" s="37">
        <v>0</v>
      </c>
      <c r="AJ49" s="37">
        <v>0</v>
      </c>
      <c r="AK49" s="37">
        <v>0</v>
      </c>
      <c r="AL49" s="37">
        <v>0</v>
      </c>
      <c r="AM49" s="37">
        <v>0</v>
      </c>
      <c r="AN49" s="37">
        <v>0</v>
      </c>
      <c r="AO49" s="37">
        <v>0</v>
      </c>
      <c r="AP49" s="37">
        <v>0</v>
      </c>
      <c r="AQ49" s="37">
        <v>0</v>
      </c>
      <c r="AR49" s="37">
        <v>0</v>
      </c>
      <c r="AS49" s="37">
        <v>0</v>
      </c>
      <c r="AT49" s="37">
        <v>0</v>
      </c>
      <c r="AU49" s="37">
        <v>0</v>
      </c>
      <c r="AV49" s="37">
        <v>0</v>
      </c>
      <c r="AW49" s="37">
        <v>0</v>
      </c>
      <c r="AX49" s="37">
        <v>0</v>
      </c>
      <c r="AY49" s="37">
        <v>0</v>
      </c>
      <c r="BA49" s="66"/>
      <c r="BB49" s="66"/>
    </row>
    <row r="50" spans="2:54">
      <c r="B50">
        <v>10121</v>
      </c>
      <c r="C50" t="s">
        <v>54</v>
      </c>
      <c r="D50" s="37">
        <v>0</v>
      </c>
      <c r="E50" s="37">
        <v>0</v>
      </c>
      <c r="F50" s="37">
        <v>0</v>
      </c>
      <c r="G50" s="37">
        <v>0</v>
      </c>
      <c r="H50" s="37">
        <v>0</v>
      </c>
      <c r="I50" s="37">
        <v>0</v>
      </c>
      <c r="J50" s="37">
        <v>0</v>
      </c>
      <c r="K50" s="37">
        <v>0</v>
      </c>
      <c r="L50" s="37">
        <v>0</v>
      </c>
      <c r="M50" s="37">
        <v>0</v>
      </c>
      <c r="N50" s="37">
        <v>0</v>
      </c>
      <c r="O50" s="37">
        <v>0</v>
      </c>
      <c r="P50" s="37">
        <v>0</v>
      </c>
      <c r="Q50" s="37">
        <v>0</v>
      </c>
      <c r="R50" s="37">
        <v>0</v>
      </c>
      <c r="S50" s="37">
        <v>0</v>
      </c>
      <c r="T50" s="37">
        <v>0</v>
      </c>
      <c r="U50" s="37">
        <v>0</v>
      </c>
      <c r="V50" s="37">
        <v>0</v>
      </c>
      <c r="W50" s="37">
        <v>0</v>
      </c>
      <c r="X50" s="37">
        <v>0</v>
      </c>
      <c r="Y50" s="37">
        <v>0</v>
      </c>
      <c r="Z50" s="37">
        <v>0</v>
      </c>
      <c r="AA50" s="37">
        <v>0</v>
      </c>
      <c r="AB50" s="37">
        <v>0</v>
      </c>
      <c r="AC50" s="37">
        <v>0</v>
      </c>
      <c r="AD50" s="37">
        <v>0</v>
      </c>
      <c r="AE50" s="37">
        <v>0</v>
      </c>
      <c r="AF50" s="37">
        <v>0</v>
      </c>
      <c r="AG50" s="37">
        <v>0</v>
      </c>
      <c r="AH50" s="37">
        <v>0</v>
      </c>
      <c r="AI50" s="37">
        <v>0</v>
      </c>
      <c r="AJ50" s="37">
        <v>0</v>
      </c>
      <c r="AK50" s="37">
        <v>0</v>
      </c>
      <c r="AL50" s="37">
        <v>0</v>
      </c>
      <c r="AM50" s="37">
        <v>0</v>
      </c>
      <c r="AN50" s="37">
        <v>0</v>
      </c>
      <c r="AO50" s="37">
        <v>0</v>
      </c>
      <c r="AP50" s="37">
        <v>0</v>
      </c>
      <c r="AQ50" s="37">
        <v>0</v>
      </c>
      <c r="AR50" s="37">
        <v>0</v>
      </c>
      <c r="AS50" s="37">
        <v>0</v>
      </c>
      <c r="AT50" s="37">
        <v>0</v>
      </c>
      <c r="AU50" s="37">
        <v>0</v>
      </c>
      <c r="AV50" s="37">
        <v>0</v>
      </c>
      <c r="AW50" s="37">
        <v>0</v>
      </c>
      <c r="AX50" s="37">
        <v>0</v>
      </c>
      <c r="AY50" s="37">
        <v>0</v>
      </c>
      <c r="BA50" s="66"/>
      <c r="BB50" s="66"/>
    </row>
    <row r="51" spans="2:54">
      <c r="B51">
        <v>10123</v>
      </c>
      <c r="C51" t="s">
        <v>55</v>
      </c>
      <c r="D51" s="37">
        <v>3948.2639814738504</v>
      </c>
      <c r="E51" s="37">
        <v>12364.866393430355</v>
      </c>
      <c r="F51" s="37">
        <v>-13057.203239833587</v>
      </c>
      <c r="G51" s="37">
        <v>2989.1980106396441</v>
      </c>
      <c r="H51" s="37">
        <v>-17176.809056885366</v>
      </c>
      <c r="I51" s="37">
        <v>5050.219864711602</v>
      </c>
      <c r="J51" s="37">
        <v>-20721.623990013497</v>
      </c>
      <c r="K51" s="37">
        <v>963.2598944519923</v>
      </c>
      <c r="L51" s="37">
        <v>-17597.363890137771</v>
      </c>
      <c r="M51" s="37">
        <v>1734.456072039211</v>
      </c>
      <c r="N51" s="37">
        <v>-19071.80108841577</v>
      </c>
      <c r="O51" s="37">
        <v>-1750.0200670079576</v>
      </c>
      <c r="P51" s="37">
        <v>912.61417842484661</v>
      </c>
      <c r="Q51" s="37">
        <v>7061.3215133077465</v>
      </c>
      <c r="R51" s="37">
        <v>-19691.144572814723</v>
      </c>
      <c r="S51" s="37">
        <v>-2656.6500618378996</v>
      </c>
      <c r="T51" s="37">
        <v>-27764.487624846777</v>
      </c>
      <c r="U51" s="37">
        <v>-2466.6325333937712</v>
      </c>
      <c r="V51" s="37">
        <v>-10675.263810350822</v>
      </c>
      <c r="W51" s="37">
        <v>6644.6787821151302</v>
      </c>
      <c r="X51" s="37">
        <v>-6630.143601377189</v>
      </c>
      <c r="Y51" s="37">
        <v>6975.6635922987043</v>
      </c>
      <c r="Z51" s="37">
        <v>-3541.2172018430865</v>
      </c>
      <c r="AA51" s="37">
        <v>10925.771891090459</v>
      </c>
      <c r="AB51" s="37">
        <v>7739.4458953312569</v>
      </c>
      <c r="AC51" s="37">
        <v>10352.20125948522</v>
      </c>
      <c r="AD51" s="37">
        <v>-12176.025594899213</v>
      </c>
      <c r="AE51" s="37">
        <v>3781.094416742395</v>
      </c>
      <c r="AF51" s="37">
        <v>-16286.204397523994</v>
      </c>
      <c r="AG51" s="37">
        <v>5940.881035213024</v>
      </c>
      <c r="AH51" s="37">
        <v>-19824.668487205126</v>
      </c>
      <c r="AI51" s="37">
        <v>1779.3525552843057</v>
      </c>
      <c r="AJ51" s="37">
        <v>-14162.955273109998</v>
      </c>
      <c r="AK51" s="37">
        <v>4354.8150035275903</v>
      </c>
      <c r="AL51" s="37">
        <v>-18242.214337317462</v>
      </c>
      <c r="AM51" s="37">
        <v>-1014.5884391278814</v>
      </c>
      <c r="AN51" s="37">
        <v>1874.9651444063056</v>
      </c>
      <c r="AO51" s="37">
        <v>7804.8178832330304</v>
      </c>
      <c r="AP51" s="37">
        <v>-18900.600575538701</v>
      </c>
      <c r="AQ51" s="37">
        <v>-1952.3518013073044</v>
      </c>
      <c r="AR51" s="37">
        <v>-27064.262707246817</v>
      </c>
      <c r="AS51" s="37">
        <v>-1782.1979969581225</v>
      </c>
      <c r="AT51" s="37">
        <v>-9816.6934361297317</v>
      </c>
      <c r="AU51" s="37">
        <v>7416.4115475919752</v>
      </c>
      <c r="AV51" s="37">
        <v>-8505.7200676127395</v>
      </c>
      <c r="AW51" s="37">
        <v>10509.081935005437</v>
      </c>
      <c r="AX51" s="37">
        <v>115.91725705239514</v>
      </c>
      <c r="AY51" s="37">
        <v>8930.3936710671987</v>
      </c>
      <c r="BA51" s="66"/>
      <c r="BB51" s="66"/>
    </row>
    <row r="52" spans="2:54">
      <c r="B52">
        <v>10136</v>
      </c>
      <c r="C52" t="s">
        <v>56</v>
      </c>
      <c r="D52" s="37">
        <v>0</v>
      </c>
      <c r="E52" s="37">
        <v>0</v>
      </c>
      <c r="F52" s="37">
        <v>0</v>
      </c>
      <c r="G52" s="37">
        <v>0</v>
      </c>
      <c r="H52" s="37">
        <v>0</v>
      </c>
      <c r="I52" s="37">
        <v>0</v>
      </c>
      <c r="J52" s="37">
        <v>0</v>
      </c>
      <c r="K52" s="37">
        <v>0</v>
      </c>
      <c r="L52" s="37">
        <v>0</v>
      </c>
      <c r="M52" s="37">
        <v>0</v>
      </c>
      <c r="N52" s="37">
        <v>0</v>
      </c>
      <c r="O52" s="37">
        <v>0</v>
      </c>
      <c r="P52" s="37">
        <v>0</v>
      </c>
      <c r="Q52" s="37">
        <v>0</v>
      </c>
      <c r="R52" s="37">
        <v>0</v>
      </c>
      <c r="S52" s="37">
        <v>0</v>
      </c>
      <c r="T52" s="37">
        <v>0</v>
      </c>
      <c r="U52" s="37">
        <v>0</v>
      </c>
      <c r="V52" s="37">
        <v>0</v>
      </c>
      <c r="W52" s="37">
        <v>0</v>
      </c>
      <c r="X52" s="37">
        <v>0</v>
      </c>
      <c r="Y52" s="37">
        <v>0</v>
      </c>
      <c r="Z52" s="37">
        <v>0</v>
      </c>
      <c r="AA52" s="37">
        <v>0</v>
      </c>
      <c r="AB52" s="37">
        <v>0</v>
      </c>
      <c r="AC52" s="37">
        <v>0</v>
      </c>
      <c r="AD52" s="37">
        <v>0</v>
      </c>
      <c r="AE52" s="37">
        <v>0</v>
      </c>
      <c r="AF52" s="37">
        <v>0</v>
      </c>
      <c r="AG52" s="37">
        <v>0</v>
      </c>
      <c r="AH52" s="37">
        <v>0</v>
      </c>
      <c r="AI52" s="37">
        <v>0</v>
      </c>
      <c r="AJ52" s="37">
        <v>0</v>
      </c>
      <c r="AK52" s="37">
        <v>0</v>
      </c>
      <c r="AL52" s="37">
        <v>0</v>
      </c>
      <c r="AM52" s="37">
        <v>0</v>
      </c>
      <c r="AN52" s="37">
        <v>0</v>
      </c>
      <c r="AO52" s="37">
        <v>0</v>
      </c>
      <c r="AP52" s="37">
        <v>0</v>
      </c>
      <c r="AQ52" s="37">
        <v>0</v>
      </c>
      <c r="AR52" s="37">
        <v>0</v>
      </c>
      <c r="AS52" s="37">
        <v>0</v>
      </c>
      <c r="AT52" s="37">
        <v>0</v>
      </c>
      <c r="AU52" s="37">
        <v>0</v>
      </c>
      <c r="AV52" s="37">
        <v>0</v>
      </c>
      <c r="AW52" s="37">
        <v>0</v>
      </c>
      <c r="AX52" s="37">
        <v>0</v>
      </c>
      <c r="AY52" s="37">
        <v>0</v>
      </c>
      <c r="BA52" s="66"/>
      <c r="BB52" s="66"/>
    </row>
    <row r="53" spans="2:54">
      <c r="B53">
        <v>10142</v>
      </c>
      <c r="C53" t="s">
        <v>57</v>
      </c>
      <c r="D53" s="37">
        <v>223.78926999599992</v>
      </c>
      <c r="E53" s="37">
        <v>109.18006678049994</v>
      </c>
      <c r="F53" s="37">
        <v>-163.34357059200033</v>
      </c>
      <c r="G53" s="37">
        <v>65.520212540999864</v>
      </c>
      <c r="H53" s="37">
        <v>138.90604752899981</v>
      </c>
      <c r="I53" s="37">
        <v>199.03245225600006</v>
      </c>
      <c r="J53" s="37">
        <v>30.004922865000026</v>
      </c>
      <c r="K53" s="37">
        <v>198.82430671899988</v>
      </c>
      <c r="L53" s="37">
        <v>-64.412396930999876</v>
      </c>
      <c r="M53" s="37">
        <v>108.11113794899995</v>
      </c>
      <c r="N53" s="37">
        <v>-213.99853495699995</v>
      </c>
      <c r="O53" s="37">
        <v>-55.231071642000074</v>
      </c>
      <c r="P53" s="37">
        <v>149.20837455249989</v>
      </c>
      <c r="Q53" s="37">
        <v>61.847963379250132</v>
      </c>
      <c r="R53" s="37">
        <v>370.52624612799991</v>
      </c>
      <c r="S53" s="37">
        <v>301.91209734349991</v>
      </c>
      <c r="T53" s="37">
        <v>873.00491678599997</v>
      </c>
      <c r="U53" s="37">
        <v>528.05400379949981</v>
      </c>
      <c r="V53" s="37">
        <v>1109.1646438039998</v>
      </c>
      <c r="W53" s="37">
        <v>763.26589790249989</v>
      </c>
      <c r="X53" s="37">
        <v>917.02312328649987</v>
      </c>
      <c r="Y53" s="37">
        <v>590.65288693835009</v>
      </c>
      <c r="Z53" s="37">
        <v>471.84801141399987</v>
      </c>
      <c r="AA53" s="37">
        <v>254.90741854399994</v>
      </c>
      <c r="AB53" s="37">
        <v>245.01726999599975</v>
      </c>
      <c r="AC53" s="37">
        <v>123.26806678049991</v>
      </c>
      <c r="AD53" s="37">
        <v>-143.49157059200024</v>
      </c>
      <c r="AE53" s="37">
        <v>79.869212540999911</v>
      </c>
      <c r="AF53" s="37">
        <v>159.41004752899971</v>
      </c>
      <c r="AG53" s="37">
        <v>213.84345225599998</v>
      </c>
      <c r="AH53" s="37">
        <v>-1.964077135000025</v>
      </c>
      <c r="AI53" s="37">
        <v>266.10830671899998</v>
      </c>
      <c r="AJ53" s="37">
        <v>-1.841013170999986</v>
      </c>
      <c r="AK53" s="37">
        <v>143.38132982899992</v>
      </c>
      <c r="AL53" s="37">
        <v>-154.61853495699984</v>
      </c>
      <c r="AM53" s="37">
        <v>-79.321071642000106</v>
      </c>
      <c r="AN53" s="37">
        <v>170.43237455250005</v>
      </c>
      <c r="AO53" s="37">
        <v>74.79996337925013</v>
      </c>
      <c r="AP53" s="37">
        <v>414.62224612799992</v>
      </c>
      <c r="AQ53" s="37">
        <v>334.12109734349997</v>
      </c>
      <c r="AR53" s="37">
        <v>919.23291678600003</v>
      </c>
      <c r="AS53" s="37">
        <v>555.66900379949982</v>
      </c>
      <c r="AT53" s="37">
        <v>1151.0956438039998</v>
      </c>
      <c r="AU53" s="37">
        <v>792.19689790249993</v>
      </c>
      <c r="AV53" s="37">
        <v>958.87412328649998</v>
      </c>
      <c r="AW53" s="37">
        <v>614.21788693835015</v>
      </c>
      <c r="AX53" s="37">
        <v>507.32801141399989</v>
      </c>
      <c r="AY53" s="37">
        <v>277.46541854400004</v>
      </c>
      <c r="BA53" s="66"/>
      <c r="BB53" s="66"/>
    </row>
    <row r="54" spans="2:54">
      <c r="B54">
        <v>10144</v>
      </c>
      <c r="C54" t="s">
        <v>58</v>
      </c>
      <c r="D54" s="37">
        <v>291.98363702599977</v>
      </c>
      <c r="E54" s="37">
        <v>49.901389426750029</v>
      </c>
      <c r="F54" s="37">
        <v>14.820224847999953</v>
      </c>
      <c r="G54" s="37">
        <v>143.74722548349996</v>
      </c>
      <c r="H54" s="37">
        <v>453.59097406149999</v>
      </c>
      <c r="I54" s="37">
        <v>288.95697233600004</v>
      </c>
      <c r="J54" s="37">
        <v>440.5093563774999</v>
      </c>
      <c r="K54" s="37">
        <v>344.73891932649985</v>
      </c>
      <c r="L54" s="37">
        <v>202.58894305150011</v>
      </c>
      <c r="M54" s="37">
        <v>213.82122633150004</v>
      </c>
      <c r="N54" s="37">
        <v>8.271138220499779</v>
      </c>
      <c r="O54" s="37">
        <v>49.205131673000096</v>
      </c>
      <c r="P54" s="37">
        <v>193.50173290875</v>
      </c>
      <c r="Q54" s="37">
        <v>62.44335278487506</v>
      </c>
      <c r="R54" s="37">
        <v>-539.15064383200001</v>
      </c>
      <c r="S54" s="37">
        <v>-322.40210823274992</v>
      </c>
      <c r="T54" s="37">
        <v>-542.51073710900027</v>
      </c>
      <c r="U54" s="37">
        <v>-366.63018819675005</v>
      </c>
      <c r="V54" s="37">
        <v>-234.40647672599994</v>
      </c>
      <c r="W54" s="37">
        <v>-153.93971886625002</v>
      </c>
      <c r="X54" s="37">
        <v>-232.35581586225021</v>
      </c>
      <c r="Y54" s="37">
        <v>-121.50350464927499</v>
      </c>
      <c r="Z54" s="37">
        <v>-192.03339619100007</v>
      </c>
      <c r="AA54" s="37">
        <v>-213.57053253600009</v>
      </c>
      <c r="AB54" s="37">
        <v>291.47314821879991</v>
      </c>
      <c r="AC54" s="37">
        <v>49.56811748165012</v>
      </c>
      <c r="AD54" s="37">
        <v>14.167327382400117</v>
      </c>
      <c r="AE54" s="37">
        <v>143.32404975730003</v>
      </c>
      <c r="AF54" s="37">
        <v>452.88687691370001</v>
      </c>
      <c r="AG54" s="37">
        <v>288.4997735968002</v>
      </c>
      <c r="AH54" s="37">
        <v>346.72821803450006</v>
      </c>
      <c r="AI54" s="37">
        <v>437.31329172070014</v>
      </c>
      <c r="AJ54" s="37">
        <v>255.23757220370021</v>
      </c>
      <c r="AK54" s="37">
        <v>240.09756010370006</v>
      </c>
      <c r="AL54" s="37">
        <v>77.618154397900071</v>
      </c>
      <c r="AM54" s="37">
        <v>-21.27515268259981</v>
      </c>
      <c r="AN54" s="37">
        <v>192.95725135325006</v>
      </c>
      <c r="AO54" s="37">
        <v>62.093310092525144</v>
      </c>
      <c r="AP54" s="37">
        <v>-539.82500720159987</v>
      </c>
      <c r="AQ54" s="37">
        <v>-322.83752206444979</v>
      </c>
      <c r="AR54" s="37">
        <v>-543.22273869419996</v>
      </c>
      <c r="AS54" s="37">
        <v>-367.05204320764994</v>
      </c>
      <c r="AT54" s="37">
        <v>-235.01988307879992</v>
      </c>
      <c r="AU54" s="37">
        <v>-154.31066339174993</v>
      </c>
      <c r="AV54" s="37">
        <v>-232.95947389654998</v>
      </c>
      <c r="AW54" s="37">
        <v>-121.85145226524492</v>
      </c>
      <c r="AX54" s="37">
        <v>-192.55638384579993</v>
      </c>
      <c r="AY54" s="37">
        <v>-213.92320635680005</v>
      </c>
      <c r="BA54" s="66"/>
      <c r="BB54" s="66"/>
    </row>
    <row r="55" spans="2:54">
      <c r="B55">
        <v>10156</v>
      </c>
      <c r="C55" t="s">
        <v>59</v>
      </c>
      <c r="D55" s="37">
        <v>2155.822439584399</v>
      </c>
      <c r="E55" s="37">
        <v>1027.8355251189496</v>
      </c>
      <c r="F55" s="37">
        <v>810.5271914911973</v>
      </c>
      <c r="G55" s="37">
        <v>1780.2338412598983</v>
      </c>
      <c r="H55" s="37">
        <v>3818.8340075130982</v>
      </c>
      <c r="I55" s="37">
        <v>3772.182821398399</v>
      </c>
      <c r="J55" s="37">
        <v>3208.6711969235002</v>
      </c>
      <c r="K55" s="37">
        <v>3747.2020048540999</v>
      </c>
      <c r="L55" s="37">
        <v>1793.1632331191013</v>
      </c>
      <c r="M55" s="37">
        <v>2721.4775671510997</v>
      </c>
      <c r="N55" s="37">
        <v>376.54650771769957</v>
      </c>
      <c r="O55" s="37">
        <v>563.58991989619972</v>
      </c>
      <c r="P55" s="37">
        <v>755.77866162974897</v>
      </c>
      <c r="Q55" s="37">
        <v>720.48875266657524</v>
      </c>
      <c r="R55" s="37">
        <v>-4644.8614113008025</v>
      </c>
      <c r="S55" s="37">
        <v>-2303.2204696353501</v>
      </c>
      <c r="T55" s="37">
        <v>-5976.5039914346016</v>
      </c>
      <c r="U55" s="37">
        <v>-3179.8996068569513</v>
      </c>
      <c r="V55" s="37">
        <v>-2883.8309457644009</v>
      </c>
      <c r="W55" s="37">
        <v>-985.42697480525021</v>
      </c>
      <c r="X55" s="37">
        <v>-2119.6800594076522</v>
      </c>
      <c r="Y55" s="37">
        <v>-618.92459246793533</v>
      </c>
      <c r="Z55" s="37">
        <v>-1880.8644185854009</v>
      </c>
      <c r="AA55" s="37">
        <v>-1324.1379452784013</v>
      </c>
      <c r="AB55" s="37">
        <v>2228.1504395843986</v>
      </c>
      <c r="AC55" s="37">
        <v>1073.1045251189498</v>
      </c>
      <c r="AD55" s="37">
        <v>866.2811914911963</v>
      </c>
      <c r="AE55" s="37">
        <v>1820.7298412598975</v>
      </c>
      <c r="AF55" s="37">
        <v>3815.471007513097</v>
      </c>
      <c r="AG55" s="37">
        <v>3769.7838213983996</v>
      </c>
      <c r="AH55" s="37">
        <v>3204.5831969235005</v>
      </c>
      <c r="AI55" s="37">
        <v>3744.3340048540995</v>
      </c>
      <c r="AJ55" s="37">
        <v>2353.2701257830995</v>
      </c>
      <c r="AK55" s="37">
        <v>3007.1260134830973</v>
      </c>
      <c r="AL55" s="37">
        <v>436.7675077176973</v>
      </c>
      <c r="AM55" s="37">
        <v>603.45091989619868</v>
      </c>
      <c r="AN55" s="37">
        <v>819.52466162974815</v>
      </c>
      <c r="AO55" s="37">
        <v>762.58175266657599</v>
      </c>
      <c r="AP55" s="37">
        <v>-4573.3464113008031</v>
      </c>
      <c r="AQ55" s="37">
        <v>-2252.5604696353503</v>
      </c>
      <c r="AR55" s="37">
        <v>-5905.6249914346008</v>
      </c>
      <c r="AS55" s="37">
        <v>-3135.4976068569513</v>
      </c>
      <c r="AT55" s="37">
        <v>-2802.6179457644012</v>
      </c>
      <c r="AU55" s="37">
        <v>-930.92297480525031</v>
      </c>
      <c r="AV55" s="37">
        <v>-2035.9880594076512</v>
      </c>
      <c r="AW55" s="37">
        <v>-566.4685924679352</v>
      </c>
      <c r="AX55" s="37">
        <v>-1812.3894185854006</v>
      </c>
      <c r="AY55" s="37">
        <v>-1278.3339452784012</v>
      </c>
      <c r="BA55" s="66"/>
      <c r="BB55" s="66"/>
    </row>
    <row r="56" spans="2:54">
      <c r="B56">
        <v>10157</v>
      </c>
      <c r="C56" t="s">
        <v>60</v>
      </c>
      <c r="D56" s="37">
        <v>4682.5885096299971</v>
      </c>
      <c r="E56" s="37">
        <v>1614.3502853212522</v>
      </c>
      <c r="F56" s="37">
        <v>546.15840024000136</v>
      </c>
      <c r="G56" s="37">
        <v>524.51980129249932</v>
      </c>
      <c r="H56" s="37">
        <v>5926.6778926824991</v>
      </c>
      <c r="I56" s="37">
        <v>3990.1305936800018</v>
      </c>
      <c r="J56" s="37">
        <v>3513.7226712625015</v>
      </c>
      <c r="K56" s="37">
        <v>5174.5107052575004</v>
      </c>
      <c r="L56" s="37">
        <v>2142.8568051324983</v>
      </c>
      <c r="M56" s="37">
        <v>2034.5440815325001</v>
      </c>
      <c r="N56" s="37">
        <v>1289.0320152275017</v>
      </c>
      <c r="O56" s="37">
        <v>-71.214509385003112</v>
      </c>
      <c r="P56" s="37">
        <v>2953.5137492312533</v>
      </c>
      <c r="Q56" s="37">
        <v>1369.8881378931237</v>
      </c>
      <c r="R56" s="37">
        <v>-3753.76135316</v>
      </c>
      <c r="S56" s="37">
        <v>-2755.9206888512472</v>
      </c>
      <c r="T56" s="37">
        <v>-4528.7523247949975</v>
      </c>
      <c r="U56" s="37">
        <v>-3058.9248316712528</v>
      </c>
      <c r="V56" s="37">
        <v>121.09576686999571</v>
      </c>
      <c r="W56" s="37">
        <v>583.56259660625074</v>
      </c>
      <c r="X56" s="37">
        <v>1875.4833346262531</v>
      </c>
      <c r="Y56" s="37">
        <v>-227.4416625151207</v>
      </c>
      <c r="Z56" s="37">
        <v>734.76293329499458</v>
      </c>
      <c r="AA56" s="37">
        <v>-642.40104468000027</v>
      </c>
      <c r="AB56" s="37">
        <v>4369.180509629994</v>
      </c>
      <c r="AC56" s="37">
        <v>1504.0142853212492</v>
      </c>
      <c r="AD56" s="37">
        <v>326.83140023999658</v>
      </c>
      <c r="AE56" s="37">
        <v>333.27680129250075</v>
      </c>
      <c r="AF56" s="37">
        <v>5617.2808926825019</v>
      </c>
      <c r="AG56" s="37">
        <v>3706.1915936800033</v>
      </c>
      <c r="AH56" s="37">
        <v>3680.7966712624984</v>
      </c>
      <c r="AI56" s="37">
        <v>4672.2217052574997</v>
      </c>
      <c r="AJ56" s="37">
        <v>2957.2404029324971</v>
      </c>
      <c r="AK56" s="37">
        <v>2392.2213804324965</v>
      </c>
      <c r="AL56" s="37">
        <v>885.16301522750291</v>
      </c>
      <c r="AM56" s="37">
        <v>99.421490614999129</v>
      </c>
      <c r="AN56" s="37">
        <v>2860.1967492312506</v>
      </c>
      <c r="AO56" s="37">
        <v>1280.4511378931256</v>
      </c>
      <c r="AP56" s="37">
        <v>-3843.5553531600017</v>
      </c>
      <c r="AQ56" s="37">
        <v>-2852.1836888512498</v>
      </c>
      <c r="AR56" s="37">
        <v>-4589.5943247950017</v>
      </c>
      <c r="AS56" s="37">
        <v>-3163.2818316712492</v>
      </c>
      <c r="AT56" s="37">
        <v>30.71276687000136</v>
      </c>
      <c r="AU56" s="37">
        <v>480.87259660624841</v>
      </c>
      <c r="AV56" s="37">
        <v>1875.7123346262524</v>
      </c>
      <c r="AW56" s="37">
        <v>-426.58566251512457</v>
      </c>
      <c r="AX56" s="37">
        <v>583.66393329499988</v>
      </c>
      <c r="AY56" s="37">
        <v>-659.84604467999998</v>
      </c>
      <c r="BA56" s="66"/>
      <c r="BB56" s="66"/>
    </row>
    <row r="57" spans="2:54">
      <c r="B57">
        <v>10158</v>
      </c>
      <c r="C57" t="s">
        <v>61</v>
      </c>
      <c r="D57" s="37">
        <v>-24.833865826000192</v>
      </c>
      <c r="E57" s="37">
        <v>26.376830173249914</v>
      </c>
      <c r="F57" s="37">
        <v>-157.91308724800001</v>
      </c>
      <c r="G57" s="37">
        <v>122.59986971650005</v>
      </c>
      <c r="H57" s="37">
        <v>186.82243473849985</v>
      </c>
      <c r="I57" s="37">
        <v>312.37307086399983</v>
      </c>
      <c r="J57" s="37">
        <v>148.34927162249983</v>
      </c>
      <c r="K57" s="37">
        <v>321.48365747349999</v>
      </c>
      <c r="L57" s="37">
        <v>-70.560646251499975</v>
      </c>
      <c r="M57" s="37">
        <v>169.33520646850002</v>
      </c>
      <c r="N57" s="37">
        <v>-105.89142862050016</v>
      </c>
      <c r="O57" s="37">
        <v>125.48444592699991</v>
      </c>
      <c r="P57" s="37">
        <v>-27.782954908749957</v>
      </c>
      <c r="Q57" s="37">
        <v>77.759877815125037</v>
      </c>
      <c r="R57" s="37">
        <v>-323.84383456800015</v>
      </c>
      <c r="S57" s="37">
        <v>-75.939218567250009</v>
      </c>
      <c r="T57" s="37">
        <v>-374.28260369100019</v>
      </c>
      <c r="U57" s="37">
        <v>-170.21785540325004</v>
      </c>
      <c r="V57" s="37">
        <v>-183.366934474</v>
      </c>
      <c r="W57" s="37">
        <v>-46.552383133749913</v>
      </c>
      <c r="X57" s="37">
        <v>-166.0173213377501</v>
      </c>
      <c r="Y57" s="37">
        <v>-8.947959230724905</v>
      </c>
      <c r="Z57" s="37">
        <v>-183.60922300900006</v>
      </c>
      <c r="AA57" s="37">
        <v>-84.270750664000047</v>
      </c>
      <c r="AB57" s="37">
        <v>-24.323377018800102</v>
      </c>
      <c r="AC57" s="37">
        <v>26.710102118349937</v>
      </c>
      <c r="AD57" s="37">
        <v>-157.26018978240018</v>
      </c>
      <c r="AE57" s="37">
        <v>123.02304544269998</v>
      </c>
      <c r="AF57" s="37">
        <v>187.52653188629984</v>
      </c>
      <c r="AG57" s="37">
        <v>312.83026960319989</v>
      </c>
      <c r="AH57" s="37">
        <v>96.177409965499919</v>
      </c>
      <c r="AI57" s="37">
        <v>374.8622850792998</v>
      </c>
      <c r="AJ57" s="37">
        <v>-32.798203403699972</v>
      </c>
      <c r="AK57" s="37">
        <v>188.26440869629994</v>
      </c>
      <c r="AL57" s="37">
        <v>-64.5504447978999</v>
      </c>
      <c r="AM57" s="37">
        <v>85.277730282599919</v>
      </c>
      <c r="AN57" s="37">
        <v>-27.238473353250015</v>
      </c>
      <c r="AO57" s="37">
        <v>78.109920507475067</v>
      </c>
      <c r="AP57" s="37">
        <v>-323.16947119840006</v>
      </c>
      <c r="AQ57" s="37">
        <v>-75.503804735550034</v>
      </c>
      <c r="AR57" s="37">
        <v>-373.57060210580005</v>
      </c>
      <c r="AS57" s="37">
        <v>-169.79600039235004</v>
      </c>
      <c r="AT57" s="37">
        <v>-182.75352812120002</v>
      </c>
      <c r="AU57" s="37">
        <v>-46.181438608250005</v>
      </c>
      <c r="AV57" s="37">
        <v>-165.41366330345011</v>
      </c>
      <c r="AW57" s="37">
        <v>-8.6000116147549761</v>
      </c>
      <c r="AX57" s="37">
        <v>-183.08623535420008</v>
      </c>
      <c r="AY57" s="37">
        <v>-83.918076843200083</v>
      </c>
      <c r="BA57" s="66"/>
      <c r="BB57" s="66"/>
    </row>
    <row r="58" spans="2:54">
      <c r="B58">
        <v>10170</v>
      </c>
      <c r="C58" t="s">
        <v>62</v>
      </c>
      <c r="D58" s="37">
        <v>2160.9803832327598</v>
      </c>
      <c r="E58" s="37">
        <v>7930.4999406806419</v>
      </c>
      <c r="F58" s="37">
        <v>-13377.739160142402</v>
      </c>
      <c r="G58" s="37">
        <v>-1671.6757269810842</v>
      </c>
      <c r="H58" s="37">
        <v>-6829.1838178398102</v>
      </c>
      <c r="I58" s="37">
        <v>7467.6801143270131</v>
      </c>
      <c r="J58" s="37">
        <v>-4879.2850613829432</v>
      </c>
      <c r="K58" s="37">
        <v>7797.0937870249836</v>
      </c>
      <c r="L58" s="37">
        <v>-2626.7276716826018</v>
      </c>
      <c r="M58" s="37">
        <v>7987.6374863322271</v>
      </c>
      <c r="N58" s="37">
        <v>-7381.0250423000252</v>
      </c>
      <c r="O58" s="37">
        <v>3109.8869874818265</v>
      </c>
      <c r="P58" s="37">
        <v>706.09979519310582</v>
      </c>
      <c r="Q58" s="37">
        <v>4819.5594484663525</v>
      </c>
      <c r="R58" s="37">
        <v>-21481.329228862829</v>
      </c>
      <c r="S58" s="37">
        <v>-8276.0734137110048</v>
      </c>
      <c r="T58" s="37">
        <v>-25117.731814336876</v>
      </c>
      <c r="U58" s="37">
        <v>-6805.4438347333235</v>
      </c>
      <c r="V58" s="37">
        <v>-7095.732420668035</v>
      </c>
      <c r="W58" s="37">
        <v>4542.1150417634417</v>
      </c>
      <c r="X58" s="37">
        <v>-3137.152540000694</v>
      </c>
      <c r="Y58" s="37">
        <v>5651.7479383422178</v>
      </c>
      <c r="Z58" s="37">
        <v>-4012.7683227846283</v>
      </c>
      <c r="AA58" s="37">
        <v>5927.4800595659035</v>
      </c>
      <c r="AB58" s="37">
        <v>4510.3525527697784</v>
      </c>
      <c r="AC58" s="37">
        <v>6520.1538363899199</v>
      </c>
      <c r="AD58" s="37">
        <v>-13336.890747963611</v>
      </c>
      <c r="AE58" s="37">
        <v>-1418.6522284349921</v>
      </c>
      <c r="AF58" s="37">
        <v>-6539.2117255527119</v>
      </c>
      <c r="AG58" s="37">
        <v>8041.219981376853</v>
      </c>
      <c r="AH58" s="37">
        <v>-4494.9601136318233</v>
      </c>
      <c r="AI58" s="37">
        <v>8383.0589555391343</v>
      </c>
      <c r="AJ58" s="37">
        <v>-485.07369504256349</v>
      </c>
      <c r="AK58" s="37">
        <v>9896.3889756174976</v>
      </c>
      <c r="AL58" s="37">
        <v>-7119.1581420757575</v>
      </c>
      <c r="AM58" s="37">
        <v>3532.274797685619</v>
      </c>
      <c r="AN58" s="37">
        <v>1124.1285761891922</v>
      </c>
      <c r="AO58" s="37">
        <v>5229.6131131925649</v>
      </c>
      <c r="AP58" s="37">
        <v>-21687.198729686075</v>
      </c>
      <c r="AQ58" s="37">
        <v>-8227.9392394117422</v>
      </c>
      <c r="AR58" s="37">
        <v>-25413.987530504215</v>
      </c>
      <c r="AS58" s="37">
        <v>-6719.5489624254624</v>
      </c>
      <c r="AT58" s="37">
        <v>-6880.2095332211175</v>
      </c>
      <c r="AU58" s="37">
        <v>4958.3584991898097</v>
      </c>
      <c r="AV58" s="37">
        <v>-4756.6301490660917</v>
      </c>
      <c r="AW58" s="37">
        <v>8043.2742471386227</v>
      </c>
      <c r="AX58" s="37">
        <v>-1912.2887782546095</v>
      </c>
      <c r="AY58" s="37">
        <v>4524.5134020169535</v>
      </c>
      <c r="BA58" s="66"/>
      <c r="BB58" s="66"/>
    </row>
    <row r="59" spans="2:54">
      <c r="B59">
        <v>10172</v>
      </c>
      <c r="C59" t="s">
        <v>63</v>
      </c>
      <c r="D59" s="37">
        <v>324.47722291759965</v>
      </c>
      <c r="E59" s="37">
        <v>95.963985553300063</v>
      </c>
      <c r="F59" s="37">
        <v>-347.88062619520042</v>
      </c>
      <c r="G59" s="37">
        <v>-140.36274690540017</v>
      </c>
      <c r="H59" s="37">
        <v>-110.52781315260017</v>
      </c>
      <c r="I59" s="37">
        <v>44.381412473599994</v>
      </c>
      <c r="J59" s="37">
        <v>-297.86305523100009</v>
      </c>
      <c r="K59" s="37">
        <v>-5.5025713386000916</v>
      </c>
      <c r="L59" s="37">
        <v>-262.59285402859996</v>
      </c>
      <c r="M59" s="37">
        <v>22.515844499399918</v>
      </c>
      <c r="N59" s="37">
        <v>-385.49525086419999</v>
      </c>
      <c r="O59" s="37">
        <v>-269.86438532519992</v>
      </c>
      <c r="P59" s="37">
        <v>101.90490265649987</v>
      </c>
      <c r="Q59" s="37">
        <v>28.108043300050213</v>
      </c>
      <c r="R59" s="37">
        <v>-387.31098176320029</v>
      </c>
      <c r="S59" s="37">
        <v>-234.7095955988998</v>
      </c>
      <c r="T59" s="37">
        <v>-405.39605070840025</v>
      </c>
      <c r="U59" s="37">
        <v>-250.32957660529996</v>
      </c>
      <c r="V59" s="37">
        <v>152.7069513624001</v>
      </c>
      <c r="W59" s="37">
        <v>142.06574616650005</v>
      </c>
      <c r="X59" s="37">
        <v>225.40828307689981</v>
      </c>
      <c r="Y59" s="37">
        <v>115.8589498425099</v>
      </c>
      <c r="Z59" s="37">
        <v>132.57712162839971</v>
      </c>
      <c r="AA59" s="37">
        <v>38.093026006399896</v>
      </c>
      <c r="AB59" s="37">
        <v>339.14295796639954</v>
      </c>
      <c r="AC59" s="37">
        <v>105.6922747061999</v>
      </c>
      <c r="AD59" s="37">
        <v>-337.72347297280021</v>
      </c>
      <c r="AE59" s="37">
        <v>-133.21543715560006</v>
      </c>
      <c r="AF59" s="37">
        <v>-101.31685325640046</v>
      </c>
      <c r="AG59" s="37">
        <v>51.827238950399988</v>
      </c>
      <c r="AH59" s="37">
        <v>-290.71496043399975</v>
      </c>
      <c r="AI59" s="37">
        <v>1.7022489395999401</v>
      </c>
      <c r="AJ59" s="37">
        <v>-169.26441313639998</v>
      </c>
      <c r="AK59" s="37">
        <v>71.682968063599901</v>
      </c>
      <c r="AL59" s="37">
        <v>-378.15891113880025</v>
      </c>
      <c r="AM59" s="37">
        <v>-265.65835679280008</v>
      </c>
      <c r="AN59" s="37">
        <v>109.97178999100015</v>
      </c>
      <c r="AO59" s="37">
        <v>34.050146760700045</v>
      </c>
      <c r="AP59" s="37">
        <v>-380.10961252480001</v>
      </c>
      <c r="AQ59" s="37">
        <v>-233.05328606459989</v>
      </c>
      <c r="AR59" s="37">
        <v>-401.50708399759969</v>
      </c>
      <c r="AS59" s="37">
        <v>-248.23553183419995</v>
      </c>
      <c r="AT59" s="37">
        <v>157.95941795360022</v>
      </c>
      <c r="AU59" s="37">
        <v>146.551911131</v>
      </c>
      <c r="AV59" s="37">
        <v>231.40146435659972</v>
      </c>
      <c r="AW59" s="37">
        <v>118.69204990714002</v>
      </c>
      <c r="AX59" s="37">
        <v>137.0433808775997</v>
      </c>
      <c r="AY59" s="37">
        <v>40.904875769600039</v>
      </c>
      <c r="BA59" s="66"/>
      <c r="BB59" s="66"/>
    </row>
    <row r="60" spans="2:54">
      <c r="B60">
        <v>10173</v>
      </c>
      <c r="C60" t="s">
        <v>64</v>
      </c>
      <c r="D60" s="37">
        <v>0</v>
      </c>
      <c r="E60" s="37">
        <v>0</v>
      </c>
      <c r="F60" s="37">
        <v>0</v>
      </c>
      <c r="G60" s="37">
        <v>0</v>
      </c>
      <c r="H60" s="37">
        <v>0</v>
      </c>
      <c r="I60" s="37">
        <v>0</v>
      </c>
      <c r="J60" s="37">
        <v>0</v>
      </c>
      <c r="K60" s="37">
        <v>0</v>
      </c>
      <c r="L60" s="37">
        <v>0</v>
      </c>
      <c r="M60" s="37">
        <v>0</v>
      </c>
      <c r="N60" s="37">
        <v>0</v>
      </c>
      <c r="O60" s="37">
        <v>0</v>
      </c>
      <c r="P60" s="37">
        <v>0</v>
      </c>
      <c r="Q60" s="37">
        <v>0</v>
      </c>
      <c r="R60" s="37">
        <v>0</v>
      </c>
      <c r="S60" s="37">
        <v>0</v>
      </c>
      <c r="T60" s="37">
        <v>0</v>
      </c>
      <c r="U60" s="37">
        <v>0</v>
      </c>
      <c r="V60" s="37">
        <v>0</v>
      </c>
      <c r="W60" s="37">
        <v>0</v>
      </c>
      <c r="X60" s="37">
        <v>0</v>
      </c>
      <c r="Y60" s="37">
        <v>0</v>
      </c>
      <c r="Z60" s="37">
        <v>0</v>
      </c>
      <c r="AA60" s="37">
        <v>0</v>
      </c>
      <c r="AB60" s="37">
        <v>0</v>
      </c>
      <c r="AC60" s="37">
        <v>0</v>
      </c>
      <c r="AD60" s="37">
        <v>0</v>
      </c>
      <c r="AE60" s="37">
        <v>0</v>
      </c>
      <c r="AF60" s="37">
        <v>0</v>
      </c>
      <c r="AG60" s="37">
        <v>0</v>
      </c>
      <c r="AH60" s="37">
        <v>0</v>
      </c>
      <c r="AI60" s="37">
        <v>0</v>
      </c>
      <c r="AJ60" s="37">
        <v>0</v>
      </c>
      <c r="AK60" s="37">
        <v>0</v>
      </c>
      <c r="AL60" s="37">
        <v>0</v>
      </c>
      <c r="AM60" s="37">
        <v>0</v>
      </c>
      <c r="AN60" s="37">
        <v>0</v>
      </c>
      <c r="AO60" s="37">
        <v>0</v>
      </c>
      <c r="AP60" s="37">
        <v>0</v>
      </c>
      <c r="AQ60" s="37">
        <v>0</v>
      </c>
      <c r="AR60" s="37">
        <v>0</v>
      </c>
      <c r="AS60" s="37">
        <v>0</v>
      </c>
      <c r="AT60" s="37">
        <v>0</v>
      </c>
      <c r="AU60" s="37">
        <v>0</v>
      </c>
      <c r="AV60" s="37">
        <v>0</v>
      </c>
      <c r="AW60" s="37">
        <v>0</v>
      </c>
      <c r="AX60" s="37">
        <v>0</v>
      </c>
      <c r="AY60" s="37">
        <v>0</v>
      </c>
      <c r="BA60" s="66"/>
      <c r="BB60" s="66"/>
    </row>
    <row r="61" spans="2:54">
      <c r="B61">
        <v>10174</v>
      </c>
      <c r="C61" t="s">
        <v>65</v>
      </c>
      <c r="D61" s="37">
        <v>53.698518215199982</v>
      </c>
      <c r="E61" s="37">
        <v>43.372371709100008</v>
      </c>
      <c r="F61" s="37">
        <v>9.747809849600003</v>
      </c>
      <c r="G61" s="37">
        <v>55.370914294199991</v>
      </c>
      <c r="H61" s="37">
        <v>101.46712393980002</v>
      </c>
      <c r="I61" s="37">
        <v>107.91565262720002</v>
      </c>
      <c r="J61" s="37">
        <v>76.457334863000028</v>
      </c>
      <c r="K61" s="37">
        <v>105.49168951779998</v>
      </c>
      <c r="L61" s="37">
        <v>49.750295887800036</v>
      </c>
      <c r="M61" s="37">
        <v>76.8130393438</v>
      </c>
      <c r="N61" s="37">
        <v>12.233807686600016</v>
      </c>
      <c r="O61" s="37">
        <v>48.042916339599998</v>
      </c>
      <c r="P61" s="37">
        <v>38.850121575499998</v>
      </c>
      <c r="Q61" s="37">
        <v>41.21867344635001</v>
      </c>
      <c r="R61" s="37">
        <v>-26.518449686400004</v>
      </c>
      <c r="S61" s="37">
        <v>10.390434419700028</v>
      </c>
      <c r="T61" s="37">
        <v>-8.9745690867999883</v>
      </c>
      <c r="U61" s="37">
        <v>0.76205108689998724</v>
      </c>
      <c r="V61" s="37">
        <v>42.489119344800002</v>
      </c>
      <c r="W61" s="37">
        <v>32.824915345500017</v>
      </c>
      <c r="X61" s="37">
        <v>27.297765686299982</v>
      </c>
      <c r="Y61" s="37">
        <v>28.03080586677001</v>
      </c>
      <c r="Z61" s="37">
        <v>23.786431926799992</v>
      </c>
      <c r="AA61" s="37">
        <v>17.097098332800002</v>
      </c>
      <c r="AB61" s="37">
        <v>54.51951821519998</v>
      </c>
      <c r="AC61" s="37">
        <v>43.936371709100001</v>
      </c>
      <c r="AD61" s="37">
        <v>10.472809849599997</v>
      </c>
      <c r="AE61" s="37">
        <v>55.985914294200001</v>
      </c>
      <c r="AF61" s="37">
        <v>102.25012393980003</v>
      </c>
      <c r="AG61" s="37">
        <v>108.51665262720002</v>
      </c>
      <c r="AH61" s="37">
        <v>63.330334863000019</v>
      </c>
      <c r="AI61" s="37">
        <v>120.00268951780001</v>
      </c>
      <c r="AJ61" s="37">
        <v>58.58368959980001</v>
      </c>
      <c r="AK61" s="37">
        <v>81.403236199800006</v>
      </c>
      <c r="AL61" s="37">
        <v>23.582807686600006</v>
      </c>
      <c r="AM61" s="37">
        <v>38.078916339599999</v>
      </c>
      <c r="AN61" s="37">
        <v>39.632121575500008</v>
      </c>
      <c r="AO61" s="37">
        <v>41.775673446350027</v>
      </c>
      <c r="AP61" s="37">
        <v>-25.737449686399998</v>
      </c>
      <c r="AQ61" s="37">
        <v>10.994434419700013</v>
      </c>
      <c r="AR61" s="37">
        <v>-8.1465690867999854</v>
      </c>
      <c r="AS61" s="37">
        <v>1.2740510868999877</v>
      </c>
      <c r="AT61" s="37">
        <v>43.338119344799992</v>
      </c>
      <c r="AU61" s="37">
        <v>33.360915345500018</v>
      </c>
      <c r="AV61" s="37">
        <v>28.148765686299981</v>
      </c>
      <c r="AW61" s="37">
        <v>28.563805866770025</v>
      </c>
      <c r="AX61" s="37">
        <v>24.584431926799994</v>
      </c>
      <c r="AY61" s="37">
        <v>17.639098332800003</v>
      </c>
      <c r="BA61" s="66"/>
      <c r="BB61" s="66"/>
    </row>
    <row r="62" spans="2:54">
      <c r="B62">
        <v>10177</v>
      </c>
      <c r="C62" t="s">
        <v>66</v>
      </c>
      <c r="D62" s="37">
        <v>603.28588968119993</v>
      </c>
      <c r="E62" s="37">
        <v>430.40535603084982</v>
      </c>
      <c r="F62" s="37">
        <v>202.44903181759992</v>
      </c>
      <c r="G62" s="37">
        <v>520.9893117677002</v>
      </c>
      <c r="H62" s="37">
        <v>1178.9482233113004</v>
      </c>
      <c r="I62" s="37">
        <v>1331.4801008031995</v>
      </c>
      <c r="J62" s="37">
        <v>982.11257359050069</v>
      </c>
      <c r="K62" s="37">
        <v>1352.3816082542999</v>
      </c>
      <c r="L62" s="37">
        <v>757.87116484930084</v>
      </c>
      <c r="M62" s="37">
        <v>1116.4768747853</v>
      </c>
      <c r="N62" s="37">
        <v>289.01537567710056</v>
      </c>
      <c r="O62" s="37">
        <v>459.81458563260003</v>
      </c>
      <c r="P62" s="37">
        <v>604.28633245925039</v>
      </c>
      <c r="Q62" s="37">
        <v>603.12346838872554</v>
      </c>
      <c r="R62" s="37">
        <v>-873.17205559839977</v>
      </c>
      <c r="S62" s="37">
        <v>-299.81577634804989</v>
      </c>
      <c r="T62" s="37">
        <v>-1138.6669336558002</v>
      </c>
      <c r="U62" s="37">
        <v>-488.67542580484997</v>
      </c>
      <c r="V62" s="37">
        <v>-289.40590982119966</v>
      </c>
      <c r="W62" s="37">
        <v>124.30813095424992</v>
      </c>
      <c r="X62" s="37">
        <v>-284.95707194094985</v>
      </c>
      <c r="Y62" s="37">
        <v>-21.923735476004822</v>
      </c>
      <c r="Z62" s="37">
        <v>-230.74213880420029</v>
      </c>
      <c r="AA62" s="37">
        <v>-41.183498043199961</v>
      </c>
      <c r="AB62" s="37">
        <v>93.260440650799865</v>
      </c>
      <c r="AC62" s="37">
        <v>97.477708687649738</v>
      </c>
      <c r="AD62" s="37">
        <v>-452.11015268160008</v>
      </c>
      <c r="AE62" s="37">
        <v>98.465962329300055</v>
      </c>
      <c r="AF62" s="37">
        <v>477.84696678169985</v>
      </c>
      <c r="AG62" s="37">
        <v>878.62200194880006</v>
      </c>
      <c r="AH62" s="37">
        <v>237.31780361450001</v>
      </c>
      <c r="AI62" s="37">
        <v>897.45991906869949</v>
      </c>
      <c r="AJ62" s="37">
        <v>264.22231767170069</v>
      </c>
      <c r="AK62" s="37">
        <v>824.94026157169992</v>
      </c>
      <c r="AL62" s="37">
        <v>-402.2629292460997</v>
      </c>
      <c r="AM62" s="37">
        <v>16.983130653400167</v>
      </c>
      <c r="AN62" s="37">
        <v>60.632367183250153</v>
      </c>
      <c r="AO62" s="37">
        <v>254.50940988352522</v>
      </c>
      <c r="AP62" s="37">
        <v>-1554.7880530256007</v>
      </c>
      <c r="AQ62" s="37">
        <v>-738.8328506624498</v>
      </c>
      <c r="AR62" s="37">
        <v>-1859.4335695821997</v>
      </c>
      <c r="AS62" s="37">
        <v>-914.84679705365033</v>
      </c>
      <c r="AT62" s="37">
        <v>-906.97626591080052</v>
      </c>
      <c r="AU62" s="37">
        <v>-247.93261936174986</v>
      </c>
      <c r="AV62" s="37">
        <v>-892.92116333854983</v>
      </c>
      <c r="AW62" s="37">
        <v>-371.62467515704475</v>
      </c>
      <c r="AX62" s="37">
        <v>-757.63139855780037</v>
      </c>
      <c r="AY62" s="37">
        <v>-395.86688110880004</v>
      </c>
      <c r="BA62" s="66"/>
      <c r="BB62" s="66"/>
    </row>
    <row r="63" spans="2:54">
      <c r="B63">
        <v>10179</v>
      </c>
      <c r="C63" t="s">
        <v>67</v>
      </c>
      <c r="D63" s="37">
        <v>0</v>
      </c>
      <c r="E63" s="37">
        <v>0</v>
      </c>
      <c r="F63" s="37">
        <v>0</v>
      </c>
      <c r="G63" s="37">
        <v>0</v>
      </c>
      <c r="H63" s="37">
        <v>0</v>
      </c>
      <c r="I63" s="37">
        <v>0</v>
      </c>
      <c r="J63" s="37">
        <v>0</v>
      </c>
      <c r="K63" s="37">
        <v>0</v>
      </c>
      <c r="L63" s="37">
        <v>0</v>
      </c>
      <c r="M63" s="37">
        <v>0</v>
      </c>
      <c r="N63" s="37">
        <v>0</v>
      </c>
      <c r="O63" s="37">
        <v>0</v>
      </c>
      <c r="P63" s="37">
        <v>0</v>
      </c>
      <c r="Q63" s="37">
        <v>0</v>
      </c>
      <c r="R63" s="37">
        <v>0</v>
      </c>
      <c r="S63" s="37">
        <v>0</v>
      </c>
      <c r="T63" s="37">
        <v>0</v>
      </c>
      <c r="U63" s="37">
        <v>0</v>
      </c>
      <c r="V63" s="37">
        <v>0</v>
      </c>
      <c r="W63" s="37">
        <v>0</v>
      </c>
      <c r="X63" s="37">
        <v>0</v>
      </c>
      <c r="Y63" s="37">
        <v>0</v>
      </c>
      <c r="Z63" s="37">
        <v>0</v>
      </c>
      <c r="AA63" s="37">
        <v>0</v>
      </c>
      <c r="AB63" s="37">
        <v>0</v>
      </c>
      <c r="AC63" s="37">
        <v>0</v>
      </c>
      <c r="AD63" s="37">
        <v>0</v>
      </c>
      <c r="AE63" s="37">
        <v>0</v>
      </c>
      <c r="AF63" s="37">
        <v>0</v>
      </c>
      <c r="AG63" s="37">
        <v>0</v>
      </c>
      <c r="AH63" s="37">
        <v>0</v>
      </c>
      <c r="AI63" s="37">
        <v>0</v>
      </c>
      <c r="AJ63" s="37">
        <v>0</v>
      </c>
      <c r="AK63" s="37">
        <v>0</v>
      </c>
      <c r="AL63" s="37">
        <v>0</v>
      </c>
      <c r="AM63" s="37">
        <v>0</v>
      </c>
      <c r="AN63" s="37">
        <v>0</v>
      </c>
      <c r="AO63" s="37">
        <v>0</v>
      </c>
      <c r="AP63" s="37">
        <v>0</v>
      </c>
      <c r="AQ63" s="37">
        <v>0</v>
      </c>
      <c r="AR63" s="37">
        <v>0</v>
      </c>
      <c r="AS63" s="37">
        <v>0</v>
      </c>
      <c r="AT63" s="37">
        <v>0</v>
      </c>
      <c r="AU63" s="37">
        <v>0</v>
      </c>
      <c r="AV63" s="37">
        <v>0</v>
      </c>
      <c r="AW63" s="37">
        <v>0</v>
      </c>
      <c r="AX63" s="37">
        <v>0</v>
      </c>
      <c r="AY63" s="37">
        <v>0</v>
      </c>
      <c r="BA63" s="66"/>
      <c r="BB63" s="66"/>
    </row>
    <row r="64" spans="2:54">
      <c r="B64">
        <v>10183</v>
      </c>
      <c r="C64" t="s">
        <v>68</v>
      </c>
      <c r="D64" s="37">
        <v>-619.35303021557775</v>
      </c>
      <c r="E64" s="37">
        <v>2697.1946540468543</v>
      </c>
      <c r="F64" s="37">
        <v>-8560.601386018523</v>
      </c>
      <c r="G64" s="37">
        <v>-2232.7948447516719</v>
      </c>
      <c r="H64" s="37">
        <v>-8062.0841348639406</v>
      </c>
      <c r="I64" s="37">
        <v>-108.30048250032269</v>
      </c>
      <c r="J64" s="37">
        <v>-7239.4967133960781</v>
      </c>
      <c r="K64" s="37">
        <v>249.07559817886431</v>
      </c>
      <c r="L64" s="37">
        <v>-8429.1876055940957</v>
      </c>
      <c r="M64" s="37">
        <v>-1156.7238312324007</v>
      </c>
      <c r="N64" s="37">
        <v>-10680.050320406252</v>
      </c>
      <c r="O64" s="37">
        <v>-3835.8931656811656</v>
      </c>
      <c r="P64" s="37">
        <v>-3311.7920335078743</v>
      </c>
      <c r="Q64" s="37">
        <v>-218.46886948943393</v>
      </c>
      <c r="R64" s="37">
        <v>-6940.197258373606</v>
      </c>
      <c r="S64" s="37">
        <v>-1041.0779030767735</v>
      </c>
      <c r="T64" s="37">
        <v>-5190.6973924882768</v>
      </c>
      <c r="U64" s="37">
        <v>2645.9122406996466</v>
      </c>
      <c r="V64" s="37">
        <v>5927.744434193075</v>
      </c>
      <c r="W64" s="37">
        <v>9859.7610786774785</v>
      </c>
      <c r="X64" s="37">
        <v>6106.5534171754953</v>
      </c>
      <c r="Y64" s="37">
        <v>8460.8360068454949</v>
      </c>
      <c r="Z64" s="37">
        <v>658.61844013159134</v>
      </c>
      <c r="AA64" s="37">
        <v>5405.0701194838202</v>
      </c>
      <c r="AB64" s="37">
        <v>399.91683768141229</v>
      </c>
      <c r="AC64" s="37">
        <v>1918.4054563969166</v>
      </c>
      <c r="AD64" s="37">
        <v>-8434.3017829669625</v>
      </c>
      <c r="AE64" s="37">
        <v>-2131.4394133027963</v>
      </c>
      <c r="AF64" s="37">
        <v>-7919.0024457564177</v>
      </c>
      <c r="AG64" s="37">
        <v>14.749770132144477</v>
      </c>
      <c r="AH64" s="37">
        <v>-7079.9347719046054</v>
      </c>
      <c r="AI64" s="37">
        <v>374.88405204713854</v>
      </c>
      <c r="AJ64" s="37">
        <v>-7386.2495769602283</v>
      </c>
      <c r="AK64" s="37">
        <v>-415.13063209844768</v>
      </c>
      <c r="AL64" s="37">
        <v>-10556.178500598824</v>
      </c>
      <c r="AM64" s="37">
        <v>-3738.5227688613559</v>
      </c>
      <c r="AN64" s="37">
        <v>-3183.9631972343705</v>
      </c>
      <c r="AO64" s="37">
        <v>-125.05548913571874</v>
      </c>
      <c r="AP64" s="37">
        <v>-6798.5636249148847</v>
      </c>
      <c r="AQ64" s="37">
        <v>-929.40523054201549</v>
      </c>
      <c r="AR64" s="37">
        <v>-5028.5956073588386</v>
      </c>
      <c r="AS64" s="37">
        <v>2775.5936688031943</v>
      </c>
      <c r="AT64" s="37">
        <v>6128.541484159854</v>
      </c>
      <c r="AU64" s="37">
        <v>10018.081829612856</v>
      </c>
      <c r="AV64" s="37">
        <v>5043.4390525158196</v>
      </c>
      <c r="AW64" s="37">
        <v>9867.0361277242064</v>
      </c>
      <c r="AX64" s="37">
        <v>1840.1836072192345</v>
      </c>
      <c r="AY64" s="37">
        <v>4496.0497120094387</v>
      </c>
      <c r="BA64" s="66"/>
      <c r="BB64" s="66"/>
    </row>
    <row r="65" spans="2:54">
      <c r="B65">
        <v>10186</v>
      </c>
      <c r="C65" t="s">
        <v>69</v>
      </c>
      <c r="D65" s="37">
        <v>609.62797682719884</v>
      </c>
      <c r="E65" s="37">
        <v>562.84717329260002</v>
      </c>
      <c r="F65" s="37">
        <v>-142.50022557440025</v>
      </c>
      <c r="G65" s="37">
        <v>608.8482735212001</v>
      </c>
      <c r="H65" s="37">
        <v>808.72003400280119</v>
      </c>
      <c r="I65" s="37">
        <v>1557.7123054591993</v>
      </c>
      <c r="J65" s="37">
        <v>-91.044193481999173</v>
      </c>
      <c r="K65" s="37">
        <v>1424.9719635107995</v>
      </c>
      <c r="L65" s="37">
        <v>532.44652833080181</v>
      </c>
      <c r="M65" s="37">
        <v>1325.4094751468001</v>
      </c>
      <c r="N65" s="37">
        <v>-103.45834989239847</v>
      </c>
      <c r="O65" s="37">
        <v>303.7196415656008</v>
      </c>
      <c r="P65" s="37">
        <v>462.37161004300015</v>
      </c>
      <c r="Q65" s="37">
        <v>737.76964792110084</v>
      </c>
      <c r="R65" s="37">
        <v>-1571.6456832703998</v>
      </c>
      <c r="S65" s="37">
        <v>-425.33328613579943</v>
      </c>
      <c r="T65" s="37">
        <v>-1915.1312493447986</v>
      </c>
      <c r="U65" s="37">
        <v>-842.50890923659972</v>
      </c>
      <c r="V65" s="37">
        <v>-234.60875066719927</v>
      </c>
      <c r="W65" s="37">
        <v>445.72363126300024</v>
      </c>
      <c r="X65" s="37">
        <v>-313.49573014819998</v>
      </c>
      <c r="Y65" s="37">
        <v>-40.067846400779672</v>
      </c>
      <c r="Z65" s="37">
        <v>-247.61530241519995</v>
      </c>
      <c r="AA65" s="37">
        <v>15.760613100799674</v>
      </c>
      <c r="AB65" s="37">
        <v>592.56235738239957</v>
      </c>
      <c r="AC65" s="37">
        <v>551.71592715919996</v>
      </c>
      <c r="AD65" s="37">
        <v>-164.75273940479929</v>
      </c>
      <c r="AE65" s="37">
        <v>594.41929883040029</v>
      </c>
      <c r="AF65" s="37">
        <v>785.17973097759932</v>
      </c>
      <c r="AG65" s="37">
        <v>1542.4695483264013</v>
      </c>
      <c r="AH65" s="37">
        <v>-56.259897143998387</v>
      </c>
      <c r="AI65" s="37">
        <v>1349.4896249136</v>
      </c>
      <c r="AJ65" s="37">
        <v>799.74580889760091</v>
      </c>
      <c r="AK65" s="37">
        <v>1457.4762680976</v>
      </c>
      <c r="AL65" s="37">
        <v>-179.97279986079957</v>
      </c>
      <c r="AM65" s="37">
        <v>341.6089734752004</v>
      </c>
      <c r="AN65" s="37">
        <v>443.59123715600072</v>
      </c>
      <c r="AO65" s="37">
        <v>725.67819638120091</v>
      </c>
      <c r="AP65" s="37">
        <v>-1594.3990378367998</v>
      </c>
      <c r="AQ65" s="37">
        <v>-440.00735641359915</v>
      </c>
      <c r="AR65" s="37">
        <v>-1939.2763032415987</v>
      </c>
      <c r="AS65" s="37">
        <v>-856.80997960719924</v>
      </c>
      <c r="AT65" s="37">
        <v>-255.56456666239956</v>
      </c>
      <c r="AU65" s="37">
        <v>433.04251739600113</v>
      </c>
      <c r="AV65" s="37">
        <v>-334.33210331440023</v>
      </c>
      <c r="AW65" s="37">
        <v>-52.092065343758804</v>
      </c>
      <c r="AX65" s="37">
        <v>-265.3488826783996</v>
      </c>
      <c r="AY65" s="37">
        <v>3.8047031936002895</v>
      </c>
      <c r="BA65" s="66"/>
      <c r="BB65" s="66"/>
    </row>
    <row r="66" spans="2:54">
      <c r="B66">
        <v>10190</v>
      </c>
      <c r="C66" t="s">
        <v>70</v>
      </c>
      <c r="D66" s="37">
        <v>169.49706254239959</v>
      </c>
      <c r="E66" s="37">
        <v>172.11903031420002</v>
      </c>
      <c r="F66" s="37">
        <v>496.13232427520006</v>
      </c>
      <c r="G66" s="37">
        <v>526.16962094039991</v>
      </c>
      <c r="H66" s="37">
        <v>1250.3039185676002</v>
      </c>
      <c r="I66" s="37">
        <v>1029.3921380864001</v>
      </c>
      <c r="J66" s="37">
        <v>1033.2831070059997</v>
      </c>
      <c r="K66" s="37">
        <v>1140.2714574036002</v>
      </c>
      <c r="L66" s="37">
        <v>741.30909734360011</v>
      </c>
      <c r="M66" s="37">
        <v>898.66168761560016</v>
      </c>
      <c r="N66" s="37">
        <v>239.47179466920034</v>
      </c>
      <c r="O66" s="37">
        <v>332.09239165520034</v>
      </c>
      <c r="P66" s="37">
        <v>-30.287685568999905</v>
      </c>
      <c r="Q66" s="37">
        <v>178.45156214870008</v>
      </c>
      <c r="R66" s="37">
        <v>-700.60554295680004</v>
      </c>
      <c r="S66" s="37">
        <v>-416.08917952859997</v>
      </c>
      <c r="T66" s="37">
        <v>-745.39395718159994</v>
      </c>
      <c r="U66" s="37">
        <v>-529.76713096219987</v>
      </c>
      <c r="V66" s="37">
        <v>-45.404073822399823</v>
      </c>
      <c r="W66" s="37">
        <v>21.985473170999967</v>
      </c>
      <c r="X66" s="37">
        <v>-10.82589289940006</v>
      </c>
      <c r="Y66" s="37">
        <v>3.1738591847401949</v>
      </c>
      <c r="Z66" s="37">
        <v>-171.54660673840021</v>
      </c>
      <c r="AA66" s="37">
        <v>-244.94221856640002</v>
      </c>
      <c r="AB66" s="37">
        <v>136.42506254239993</v>
      </c>
      <c r="AC66" s="37">
        <v>209.65503031420008</v>
      </c>
      <c r="AD66" s="37">
        <v>498.53232427520015</v>
      </c>
      <c r="AE66" s="37">
        <v>528.09562094039984</v>
      </c>
      <c r="AF66" s="37">
        <v>1252.7039185676003</v>
      </c>
      <c r="AG66" s="37">
        <v>1031.4561380864</v>
      </c>
      <c r="AH66" s="37">
        <v>1035.7791070059998</v>
      </c>
      <c r="AI66" s="37">
        <v>1142.2394574036005</v>
      </c>
      <c r="AJ66" s="37">
        <v>864.21829948759978</v>
      </c>
      <c r="AK66" s="37">
        <v>960.69228868760047</v>
      </c>
      <c r="AL66" s="37">
        <v>241.96779466920043</v>
      </c>
      <c r="AM66" s="37">
        <v>334.05439165520056</v>
      </c>
      <c r="AN66" s="37">
        <v>-27.79168556899981</v>
      </c>
      <c r="AO66" s="37">
        <v>180.27556214870015</v>
      </c>
      <c r="AP66" s="37">
        <v>-698.10954295679994</v>
      </c>
      <c r="AQ66" s="37">
        <v>-414.1211795285999</v>
      </c>
      <c r="AR66" s="37">
        <v>-742.99395718159985</v>
      </c>
      <c r="AS66" s="37">
        <v>-527.8471309621998</v>
      </c>
      <c r="AT66" s="37">
        <v>-42.908073822399729</v>
      </c>
      <c r="AU66" s="37">
        <v>23.953473171000041</v>
      </c>
      <c r="AV66" s="37">
        <v>27.334107100599795</v>
      </c>
      <c r="AW66" s="37">
        <v>-30.522140815259718</v>
      </c>
      <c r="AX66" s="37">
        <v>-204.81060673839988</v>
      </c>
      <c r="AY66" s="37">
        <v>-207.35821856639996</v>
      </c>
      <c r="BA66" s="66"/>
      <c r="BB66" s="66"/>
    </row>
    <row r="67" spans="2:54">
      <c r="B67">
        <v>10191</v>
      </c>
      <c r="C67" t="s">
        <v>71</v>
      </c>
      <c r="D67" s="37">
        <v>10770.804767756395</v>
      </c>
      <c r="E67" s="37">
        <v>4331.5627513074505</v>
      </c>
      <c r="F67" s="37">
        <v>982.17055094720126</v>
      </c>
      <c r="G67" s="37">
        <v>6990.6150874969026</v>
      </c>
      <c r="H67" s="37">
        <v>11593.743663266097</v>
      </c>
      <c r="I67" s="37">
        <v>9215.0333423904012</v>
      </c>
      <c r="J67" s="37">
        <v>1155.2799212285026</v>
      </c>
      <c r="K67" s="37">
        <v>4994.8759604371007</v>
      </c>
      <c r="L67" s="37">
        <v>5472.9568706521022</v>
      </c>
      <c r="M67" s="37">
        <v>8120.9798448440997</v>
      </c>
      <c r="N67" s="37">
        <v>3618.077677368703</v>
      </c>
      <c r="O67" s="37">
        <v>5411.8865495022037</v>
      </c>
      <c r="P67" s="37">
        <v>7457.3071196222518</v>
      </c>
      <c r="Q67" s="37">
        <v>4373.9342057338326</v>
      </c>
      <c r="R67" s="37">
        <v>-11826.835010804803</v>
      </c>
      <c r="S67" s="37">
        <v>-3242.7058311558503</v>
      </c>
      <c r="T67" s="37">
        <v>-15486.941230232602</v>
      </c>
      <c r="U67" s="37">
        <v>-8070.3348779854496</v>
      </c>
      <c r="V67" s="37">
        <v>-6416.3206673364039</v>
      </c>
      <c r="W67" s="37">
        <v>-1131.5440958627478</v>
      </c>
      <c r="X67" s="37">
        <v>-4316.3024199771535</v>
      </c>
      <c r="Y67" s="37">
        <v>1281.570913608015</v>
      </c>
      <c r="Z67" s="37">
        <v>-384.69099238740455</v>
      </c>
      <c r="AA67" s="37">
        <v>-672.42751067040081</v>
      </c>
      <c r="AB67" s="37">
        <v>10808.57693948919</v>
      </c>
      <c r="AC67" s="37">
        <v>4356.220875244846</v>
      </c>
      <c r="AD67" s="37">
        <v>1030.4849634015918</v>
      </c>
      <c r="AE67" s="37">
        <v>7021.9300912356994</v>
      </c>
      <c r="AF67" s="37">
        <v>11645.862852203296</v>
      </c>
      <c r="AG67" s="37">
        <v>9248.874049091195</v>
      </c>
      <c r="AH67" s="37">
        <v>-1296.6578413894968</v>
      </c>
      <c r="AI67" s="37">
        <v>7536.2004032662953</v>
      </c>
      <c r="AJ67" s="37">
        <v>7491.0968758132949</v>
      </c>
      <c r="AK67" s="37">
        <v>9133.6004269132973</v>
      </c>
      <c r="AL67" s="37">
        <v>6100.2574802410963</v>
      </c>
      <c r="AM67" s="37">
        <v>3013.6235918165985</v>
      </c>
      <c r="AN67" s="37">
        <v>7497.5907547292445</v>
      </c>
      <c r="AO67" s="37">
        <v>4399.8373649677305</v>
      </c>
      <c r="AP67" s="37">
        <v>-11776.936121454411</v>
      </c>
      <c r="AQ67" s="37">
        <v>-3210.4892076100514</v>
      </c>
      <c r="AR67" s="37">
        <v>-15434.2571129278</v>
      </c>
      <c r="AS67" s="37">
        <v>-8039.1216071788513</v>
      </c>
      <c r="AT67" s="37">
        <v>-6370.932597229199</v>
      </c>
      <c r="AU67" s="37">
        <v>-1104.0982009757499</v>
      </c>
      <c r="AV67" s="37">
        <v>-4271.6427254389564</v>
      </c>
      <c r="AW67" s="37">
        <v>1307.3150371897973</v>
      </c>
      <c r="AX67" s="37">
        <v>-345.99390593221324</v>
      </c>
      <c r="AY67" s="37">
        <v>-646.33364793120563</v>
      </c>
      <c r="BA67" s="66"/>
      <c r="BB67" s="66"/>
    </row>
    <row r="68" spans="2:54">
      <c r="B68">
        <v>10197</v>
      </c>
      <c r="C68" t="s">
        <v>72</v>
      </c>
      <c r="D68" s="37">
        <v>-4676.3546545840009</v>
      </c>
      <c r="E68" s="37">
        <v>-3183.5599357969995</v>
      </c>
      <c r="F68" s="37">
        <v>-9415.6582584320004</v>
      </c>
      <c r="G68" s="37">
        <v>-5529.9632105139999</v>
      </c>
      <c r="H68" s="37">
        <v>-9298.8070242659996</v>
      </c>
      <c r="I68" s="37">
        <v>-5902.148234624</v>
      </c>
      <c r="J68" s="37">
        <v>-10185.406509210001</v>
      </c>
      <c r="K68" s="37">
        <v>-5814.1976675260012</v>
      </c>
      <c r="L68" s="37">
        <v>-9423.2204254259996</v>
      </c>
      <c r="M68" s="37">
        <v>-5093.3890529460004</v>
      </c>
      <c r="N68" s="37">
        <v>-9765.1095582220005</v>
      </c>
      <c r="O68" s="37">
        <v>-6018.2813367319995</v>
      </c>
      <c r="P68" s="37">
        <v>-2024.607219085</v>
      </c>
      <c r="Q68" s="37">
        <v>-1498.3521430045002</v>
      </c>
      <c r="R68" s="37">
        <v>4736.3063026879991</v>
      </c>
      <c r="S68" s="37">
        <v>5670.8631919010013</v>
      </c>
      <c r="T68" s="37">
        <v>4931.6718917560029</v>
      </c>
      <c r="U68" s="37">
        <v>4174.673970476998</v>
      </c>
      <c r="V68" s="37">
        <v>11541.266369384002</v>
      </c>
      <c r="W68" s="37">
        <v>10217.655665015</v>
      </c>
      <c r="X68" s="37">
        <v>10553.784175078999</v>
      </c>
      <c r="Y68" s="37">
        <v>9915.3367649741012</v>
      </c>
      <c r="Z68" s="37">
        <v>3675.0623254439979</v>
      </c>
      <c r="AA68" s="37">
        <v>3612.7921714240019</v>
      </c>
      <c r="AB68" s="37">
        <v>-4706.1356545839999</v>
      </c>
      <c r="AC68" s="37">
        <v>-3274.1659357970002</v>
      </c>
      <c r="AD68" s="37">
        <v>-9344.5672584320018</v>
      </c>
      <c r="AE68" s="37">
        <v>-5717.7752105139998</v>
      </c>
      <c r="AF68" s="37">
        <v>-9002.6150242660005</v>
      </c>
      <c r="AG68" s="37">
        <v>-6317.9632346239996</v>
      </c>
      <c r="AH68" s="37">
        <v>-10103.260509210002</v>
      </c>
      <c r="AI68" s="37">
        <v>-6016.0876675259997</v>
      </c>
      <c r="AJ68" s="37">
        <v>-8989.2608364660009</v>
      </c>
      <c r="AK68" s="37">
        <v>-4947.0342584660002</v>
      </c>
      <c r="AL68" s="37">
        <v>-9619.0205582219969</v>
      </c>
      <c r="AM68" s="37">
        <v>-6285.4533367320009</v>
      </c>
      <c r="AN68" s="37">
        <v>-2018.2572190849996</v>
      </c>
      <c r="AO68" s="37">
        <v>-1621.3701430044985</v>
      </c>
      <c r="AP68" s="37">
        <v>4729.7353026879991</v>
      </c>
      <c r="AQ68" s="37">
        <v>5556.5341919009998</v>
      </c>
      <c r="AR68" s="37">
        <v>4941.2288917560036</v>
      </c>
      <c r="AS68" s="37">
        <v>4048.0519704769986</v>
      </c>
      <c r="AT68" s="37">
        <v>11768.245369383994</v>
      </c>
      <c r="AU68" s="37">
        <v>9869.5776650149983</v>
      </c>
      <c r="AV68" s="37">
        <v>10828.530175078999</v>
      </c>
      <c r="AW68" s="37">
        <v>9519.2797649741005</v>
      </c>
      <c r="AX68" s="37">
        <v>3539.8673254440018</v>
      </c>
      <c r="AY68" s="37">
        <v>3630.4501714240014</v>
      </c>
      <c r="BA68" s="66"/>
      <c r="BB68" s="66"/>
    </row>
    <row r="69" spans="2:54">
      <c r="B69">
        <v>10202</v>
      </c>
      <c r="C69" t="s">
        <v>73</v>
      </c>
      <c r="D69" s="37">
        <v>1514.1471301296006</v>
      </c>
      <c r="E69" s="37">
        <v>179.59041656179988</v>
      </c>
      <c r="F69" s="37">
        <v>123.92223118079983</v>
      </c>
      <c r="G69" s="37">
        <v>431.82576417160089</v>
      </c>
      <c r="H69" s="37">
        <v>1030.3238445604002</v>
      </c>
      <c r="I69" s="37">
        <v>416.14155490560006</v>
      </c>
      <c r="J69" s="37">
        <v>1041.1672316740014</v>
      </c>
      <c r="K69" s="37">
        <v>725.70404180439982</v>
      </c>
      <c r="L69" s="37">
        <v>563.40281506439987</v>
      </c>
      <c r="M69" s="37">
        <v>466.9639249524007</v>
      </c>
      <c r="N69" s="37">
        <v>-316.99060589319924</v>
      </c>
      <c r="O69" s="37">
        <v>-395.83225979919962</v>
      </c>
      <c r="P69" s="37">
        <v>224.15989074900062</v>
      </c>
      <c r="Q69" s="37">
        <v>-389.85780886269913</v>
      </c>
      <c r="R69" s="37">
        <v>-1995.2524705471997</v>
      </c>
      <c r="S69" s="37">
        <v>-1465.7159521794001</v>
      </c>
      <c r="T69" s="37">
        <v>-2152.5020308663998</v>
      </c>
      <c r="U69" s="37">
        <v>-1800.9572133537999</v>
      </c>
      <c r="V69" s="37">
        <v>-1246.4970372495991</v>
      </c>
      <c r="W69" s="37">
        <v>-1140.7689907909999</v>
      </c>
      <c r="X69" s="37">
        <v>79.42351876740031</v>
      </c>
      <c r="Y69" s="37">
        <v>0.41470537246050299</v>
      </c>
      <c r="Z69" s="37">
        <v>1270.8870571863999</v>
      </c>
      <c r="AA69" s="37">
        <v>238.42283117440047</v>
      </c>
      <c r="AB69" s="37">
        <v>1461.2581301295995</v>
      </c>
      <c r="AC69" s="37">
        <v>201.30341656180008</v>
      </c>
      <c r="AD69" s="37">
        <v>112.67523118080044</v>
      </c>
      <c r="AE69" s="37">
        <v>419.68376417160016</v>
      </c>
      <c r="AF69" s="37">
        <v>1026.0358445604006</v>
      </c>
      <c r="AG69" s="37">
        <v>403.07255490559965</v>
      </c>
      <c r="AH69" s="37">
        <v>699.17723167400072</v>
      </c>
      <c r="AI69" s="37">
        <v>1054.0960418043996</v>
      </c>
      <c r="AJ69" s="37">
        <v>809.13926124040063</v>
      </c>
      <c r="AK69" s="37">
        <v>582.75564804039959</v>
      </c>
      <c r="AL69" s="37">
        <v>-63.667605893199834</v>
      </c>
      <c r="AM69" s="37">
        <v>-678.53125979919969</v>
      </c>
      <c r="AN69" s="37">
        <v>206.56289074899996</v>
      </c>
      <c r="AO69" s="37">
        <v>-407.75480886269906</v>
      </c>
      <c r="AP69" s="37">
        <v>-2017.7914705471994</v>
      </c>
      <c r="AQ69" s="37">
        <v>-1487.5169521793996</v>
      </c>
      <c r="AR69" s="37">
        <v>-2172.3310308663995</v>
      </c>
      <c r="AS69" s="37">
        <v>-1824.2202133537999</v>
      </c>
      <c r="AT69" s="37">
        <v>-1268.1830372495988</v>
      </c>
      <c r="AU69" s="37">
        <v>-1164.0009907909998</v>
      </c>
      <c r="AV69" s="37">
        <v>102.31751876739963</v>
      </c>
      <c r="AW69" s="37">
        <v>-56.618294627539399</v>
      </c>
      <c r="AX69" s="37">
        <v>1220.8020571863999</v>
      </c>
      <c r="AY69" s="37">
        <v>260.49383117439993</v>
      </c>
      <c r="BA69" s="66"/>
      <c r="BB69" s="66"/>
    </row>
    <row r="70" spans="2:54">
      <c r="B70">
        <v>10203</v>
      </c>
      <c r="C70" t="s">
        <v>74</v>
      </c>
      <c r="D70" s="37">
        <v>1286.0065896179995</v>
      </c>
      <c r="E70" s="37">
        <v>573.49842691275012</v>
      </c>
      <c r="F70" s="37">
        <v>1159.1576484639995</v>
      </c>
      <c r="G70" s="37">
        <v>1233.7611714155</v>
      </c>
      <c r="H70" s="37">
        <v>2451.8310777694996</v>
      </c>
      <c r="I70" s="37">
        <v>1757.0386704479997</v>
      </c>
      <c r="J70" s="37">
        <v>2213.7673023574998</v>
      </c>
      <c r="K70" s="37">
        <v>1795.5348429145001</v>
      </c>
      <c r="L70" s="37">
        <v>1358.8047068394999</v>
      </c>
      <c r="M70" s="37">
        <v>1150.8901878795</v>
      </c>
      <c r="N70" s="37">
        <v>1285.2917578564998</v>
      </c>
      <c r="O70" s="37">
        <v>1058.0836106890001</v>
      </c>
      <c r="P70" s="37">
        <v>819.19620413875009</v>
      </c>
      <c r="Q70" s="37">
        <v>437.6999911558753</v>
      </c>
      <c r="R70" s="37">
        <v>-520.50125477600022</v>
      </c>
      <c r="S70" s="37">
        <v>-186.90970807074996</v>
      </c>
      <c r="T70" s="37">
        <v>-619.82912943700012</v>
      </c>
      <c r="U70" s="37">
        <v>-496.21091152274994</v>
      </c>
      <c r="V70" s="37">
        <v>315.74992828199993</v>
      </c>
      <c r="W70" s="37">
        <v>45.590996563749968</v>
      </c>
      <c r="X70" s="37">
        <v>180.79599073574991</v>
      </c>
      <c r="Y70" s="37">
        <v>69.801597174925064</v>
      </c>
      <c r="Z70" s="37">
        <v>0.96302253699968787</v>
      </c>
      <c r="AA70" s="37">
        <v>-139.93350904799991</v>
      </c>
      <c r="AB70" s="37">
        <v>1392.2535896179998</v>
      </c>
      <c r="AC70" s="37">
        <v>634.96842691274992</v>
      </c>
      <c r="AD70" s="37">
        <v>1249.9456484639995</v>
      </c>
      <c r="AE70" s="37">
        <v>1303.3001714154998</v>
      </c>
      <c r="AF70" s="37">
        <v>2549.3030777694994</v>
      </c>
      <c r="AG70" s="37">
        <v>1823.1926704479997</v>
      </c>
      <c r="AH70" s="37">
        <v>2063.2403023574998</v>
      </c>
      <c r="AI70" s="37">
        <v>2107.6478429145004</v>
      </c>
      <c r="AJ70" s="37">
        <v>1547.3316559195</v>
      </c>
      <c r="AK70" s="37">
        <v>1258.9511624195</v>
      </c>
      <c r="AL70" s="37">
        <v>1573.1597578565002</v>
      </c>
      <c r="AM70" s="37">
        <v>927.72261068899979</v>
      </c>
      <c r="AN70" s="37">
        <v>839.36320413875001</v>
      </c>
      <c r="AO70" s="37">
        <v>450.11599115587524</v>
      </c>
      <c r="AP70" s="37">
        <v>-501.01525477599989</v>
      </c>
      <c r="AQ70" s="37">
        <v>-173.1717080707499</v>
      </c>
      <c r="AR70" s="37">
        <v>-599.26312943700032</v>
      </c>
      <c r="AS70" s="37">
        <v>-485.05291152275004</v>
      </c>
      <c r="AT70" s="37">
        <v>336.69792828199979</v>
      </c>
      <c r="AU70" s="37">
        <v>57.267996563749875</v>
      </c>
      <c r="AV70" s="37">
        <v>201.54999073574982</v>
      </c>
      <c r="AW70" s="37">
        <v>81.517597174925186</v>
      </c>
      <c r="AX70" s="37">
        <v>20.33202253699983</v>
      </c>
      <c r="AY70" s="37">
        <v>-128.02950904799991</v>
      </c>
      <c r="BA70" s="66"/>
      <c r="BB70" s="66"/>
    </row>
    <row r="71" spans="2:54">
      <c r="B71">
        <v>10204</v>
      </c>
      <c r="C71" t="s">
        <v>75</v>
      </c>
      <c r="D71" s="37">
        <v>-632.31759095117013</v>
      </c>
      <c r="E71" s="37">
        <v>1588.8646541034068</v>
      </c>
      <c r="F71" s="37">
        <v>-2864.2569410018441</v>
      </c>
      <c r="G71" s="37">
        <v>740.03661288248077</v>
      </c>
      <c r="H71" s="37">
        <v>-1092.2877202528616</v>
      </c>
      <c r="I71" s="37">
        <v>3532.9963310285111</v>
      </c>
      <c r="J71" s="37">
        <v>-986.18096622831217</v>
      </c>
      <c r="K71" s="37">
        <v>3126.0444769663973</v>
      </c>
      <c r="L71" s="37">
        <v>-1654.0746662332203</v>
      </c>
      <c r="M71" s="37">
        <v>2105.3935929869458</v>
      </c>
      <c r="N71" s="37">
        <v>-4227.1002793069856</v>
      </c>
      <c r="O71" s="37">
        <v>-335.15250182967247</v>
      </c>
      <c r="P71" s="37">
        <v>-1577.4990899147506</v>
      </c>
      <c r="Q71" s="37">
        <v>289.93922790435681</v>
      </c>
      <c r="R71" s="37">
        <v>-4576.2347818153412</v>
      </c>
      <c r="S71" s="37">
        <v>-704.6275695266504</v>
      </c>
      <c r="T71" s="37">
        <v>-6803.0482716996812</v>
      </c>
      <c r="U71" s="37">
        <v>-987.51959532759429</v>
      </c>
      <c r="V71" s="37">
        <v>-1940.3798912318816</v>
      </c>
      <c r="W71" s="37">
        <v>1868.3559953299973</v>
      </c>
      <c r="X71" s="37">
        <v>-1423.9667483902522</v>
      </c>
      <c r="Y71" s="37">
        <v>1625.8327150716013</v>
      </c>
      <c r="Z71" s="37">
        <v>-3022.2220841258204</v>
      </c>
      <c r="AA71" s="37">
        <v>519.77039840528232</v>
      </c>
      <c r="AB71" s="37">
        <v>35.710809015570703</v>
      </c>
      <c r="AC71" s="37">
        <v>1093.6243078987191</v>
      </c>
      <c r="AD71" s="37">
        <v>-2754.1472242438031</v>
      </c>
      <c r="AE71" s="37">
        <v>828.3996605808079</v>
      </c>
      <c r="AF71" s="37">
        <v>-960.47468883022157</v>
      </c>
      <c r="AG71" s="37">
        <v>3646.3555380519811</v>
      </c>
      <c r="AH71" s="37">
        <v>-845.17868347220792</v>
      </c>
      <c r="AI71" s="37">
        <v>3237.2193537548683</v>
      </c>
      <c r="AJ71" s="37">
        <v>-958.06061586547003</v>
      </c>
      <c r="AK71" s="37">
        <v>2639.4871450535247</v>
      </c>
      <c r="AL71" s="37">
        <v>-4118.5915688145251</v>
      </c>
      <c r="AM71" s="37">
        <v>-249.8583952646859</v>
      </c>
      <c r="AN71" s="37">
        <v>-1480.3641840160944</v>
      </c>
      <c r="AO71" s="37">
        <v>360.92242836875994</v>
      </c>
      <c r="AP71" s="37">
        <v>-4473.0942231326189</v>
      </c>
      <c r="AQ71" s="37">
        <v>-623.30520594988957</v>
      </c>
      <c r="AR71" s="37">
        <v>-6707.0549084985214</v>
      </c>
      <c r="AS71" s="37">
        <v>-910.72490476666644</v>
      </c>
      <c r="AT71" s="37">
        <v>-1832.0170257804384</v>
      </c>
      <c r="AU71" s="37">
        <v>1953.7959469359412</v>
      </c>
      <c r="AV71" s="37">
        <v>-1939.616226354301</v>
      </c>
      <c r="AW71" s="37">
        <v>2330.615062694118</v>
      </c>
      <c r="AX71" s="37">
        <v>-2404.1773751491601</v>
      </c>
      <c r="AY71" s="37">
        <v>58.168927294271271</v>
      </c>
      <c r="BA71" s="66"/>
      <c r="BB71" s="66"/>
    </row>
    <row r="72" spans="2:54">
      <c r="B72">
        <v>10209</v>
      </c>
      <c r="C72" t="s">
        <v>76</v>
      </c>
      <c r="D72" s="37">
        <v>0</v>
      </c>
      <c r="E72" s="37">
        <v>0</v>
      </c>
      <c r="F72" s="37">
        <v>0</v>
      </c>
      <c r="G72" s="37">
        <v>0</v>
      </c>
      <c r="H72" s="37">
        <v>0</v>
      </c>
      <c r="I72" s="37">
        <v>0</v>
      </c>
      <c r="J72" s="37">
        <v>0</v>
      </c>
      <c r="K72" s="37">
        <v>0</v>
      </c>
      <c r="L72" s="37">
        <v>0</v>
      </c>
      <c r="M72" s="37">
        <v>0</v>
      </c>
      <c r="N72" s="37">
        <v>0</v>
      </c>
      <c r="O72" s="37">
        <v>0</v>
      </c>
      <c r="P72" s="37">
        <v>0</v>
      </c>
      <c r="Q72" s="37">
        <v>0</v>
      </c>
      <c r="R72" s="37">
        <v>0</v>
      </c>
      <c r="S72" s="37">
        <v>0</v>
      </c>
      <c r="T72" s="37">
        <v>0</v>
      </c>
      <c r="U72" s="37">
        <v>0</v>
      </c>
      <c r="V72" s="37">
        <v>0</v>
      </c>
      <c r="W72" s="37">
        <v>0</v>
      </c>
      <c r="X72" s="37">
        <v>0</v>
      </c>
      <c r="Y72" s="37">
        <v>0</v>
      </c>
      <c r="Z72" s="37">
        <v>0</v>
      </c>
      <c r="AA72" s="37">
        <v>0</v>
      </c>
      <c r="AB72" s="37">
        <v>0</v>
      </c>
      <c r="AC72" s="37">
        <v>0</v>
      </c>
      <c r="AD72" s="37">
        <v>0</v>
      </c>
      <c r="AE72" s="37">
        <v>0</v>
      </c>
      <c r="AF72" s="37">
        <v>0</v>
      </c>
      <c r="AG72" s="37">
        <v>0</v>
      </c>
      <c r="AH72" s="37">
        <v>0</v>
      </c>
      <c r="AI72" s="37">
        <v>0</v>
      </c>
      <c r="AJ72" s="37">
        <v>0</v>
      </c>
      <c r="AK72" s="37">
        <v>0</v>
      </c>
      <c r="AL72" s="37">
        <v>0</v>
      </c>
      <c r="AM72" s="37">
        <v>0</v>
      </c>
      <c r="AN72" s="37">
        <v>0</v>
      </c>
      <c r="AO72" s="37">
        <v>0</v>
      </c>
      <c r="AP72" s="37">
        <v>0</v>
      </c>
      <c r="AQ72" s="37">
        <v>0</v>
      </c>
      <c r="AR72" s="37">
        <v>0</v>
      </c>
      <c r="AS72" s="37">
        <v>0</v>
      </c>
      <c r="AT72" s="37">
        <v>0</v>
      </c>
      <c r="AU72" s="37">
        <v>0</v>
      </c>
      <c r="AV72" s="37">
        <v>0</v>
      </c>
      <c r="AW72" s="37">
        <v>0</v>
      </c>
      <c r="AX72" s="37">
        <v>0</v>
      </c>
      <c r="AY72" s="37">
        <v>0</v>
      </c>
      <c r="BA72" s="66"/>
      <c r="BB72" s="66"/>
    </row>
    <row r="73" spans="2:54">
      <c r="B73">
        <v>10230</v>
      </c>
      <c r="C73" t="s">
        <v>77</v>
      </c>
      <c r="D73" s="37">
        <v>825.72010703439946</v>
      </c>
      <c r="E73" s="37">
        <v>92.692129562699847</v>
      </c>
      <c r="F73" s="37">
        <v>623.36909909119913</v>
      </c>
      <c r="G73" s="37">
        <v>373.1988748974004</v>
      </c>
      <c r="H73" s="37">
        <v>2075.5237310006014</v>
      </c>
      <c r="I73" s="37">
        <v>1716.0602545984007</v>
      </c>
      <c r="J73" s="37">
        <v>1934.3974171110003</v>
      </c>
      <c r="K73" s="37">
        <v>1542.6033244666</v>
      </c>
      <c r="L73" s="37">
        <v>557.27178835660015</v>
      </c>
      <c r="M73" s="37">
        <v>769.55470838859992</v>
      </c>
      <c r="N73" s="37">
        <v>616.35261388020081</v>
      </c>
      <c r="O73" s="37">
        <v>346.93497062119968</v>
      </c>
      <c r="P73" s="37">
        <v>1047.0680357234996</v>
      </c>
      <c r="Q73" s="37">
        <v>553.57117162595023</v>
      </c>
      <c r="R73" s="37">
        <v>-702.12294470080087</v>
      </c>
      <c r="S73" s="37">
        <v>-617.23134002910001</v>
      </c>
      <c r="T73" s="37">
        <v>-1241.4431328596002</v>
      </c>
      <c r="U73" s="37">
        <v>-1063.7047415507</v>
      </c>
      <c r="V73" s="37">
        <v>70.385184285600189</v>
      </c>
      <c r="W73" s="37">
        <v>-148.5534025865004</v>
      </c>
      <c r="X73" s="37">
        <v>359.06462511110021</v>
      </c>
      <c r="Y73" s="37">
        <v>-201.05110695730991</v>
      </c>
      <c r="Z73" s="37">
        <v>-57.17029966040036</v>
      </c>
      <c r="AA73" s="37">
        <v>-457.23124347839985</v>
      </c>
      <c r="AB73" s="37">
        <v>884.02510703439975</v>
      </c>
      <c r="AC73" s="37">
        <v>195.70812956269992</v>
      </c>
      <c r="AD73" s="37">
        <v>737.7910990911987</v>
      </c>
      <c r="AE73" s="37">
        <v>447.55187489739956</v>
      </c>
      <c r="AF73" s="37">
        <v>2189.5687310005997</v>
      </c>
      <c r="AG73" s="37">
        <v>1791.3372545983998</v>
      </c>
      <c r="AH73" s="37">
        <v>2062.1664171109996</v>
      </c>
      <c r="AI73" s="37">
        <v>1601.4333244666</v>
      </c>
      <c r="AJ73" s="37">
        <v>853.69402802059994</v>
      </c>
      <c r="AK73" s="37">
        <v>933.97032822060009</v>
      </c>
      <c r="AL73" s="37">
        <v>707.67161388020031</v>
      </c>
      <c r="AM73" s="37">
        <v>424.40797062119964</v>
      </c>
      <c r="AN73" s="37">
        <v>1157.3100357234998</v>
      </c>
      <c r="AO73" s="37">
        <v>623.18117162595036</v>
      </c>
      <c r="AP73" s="37">
        <v>-630.40094470080021</v>
      </c>
      <c r="AQ73" s="37">
        <v>-565.80134002909972</v>
      </c>
      <c r="AR73" s="37">
        <v>-1161.9041328596004</v>
      </c>
      <c r="AS73" s="37">
        <v>-1023.9587415506999</v>
      </c>
      <c r="AT73" s="37">
        <v>134.73018428560135</v>
      </c>
      <c r="AU73" s="37">
        <v>-114.11640258650004</v>
      </c>
      <c r="AV73" s="37">
        <v>485.89462511110014</v>
      </c>
      <c r="AW73" s="37">
        <v>-208.31910695730994</v>
      </c>
      <c r="AX73" s="37">
        <v>-35.799299660400266</v>
      </c>
      <c r="AY73" s="37">
        <v>-380.2342434784</v>
      </c>
      <c r="BA73" s="66"/>
      <c r="BB73" s="66"/>
    </row>
    <row r="74" spans="2:54">
      <c r="B74">
        <v>10231</v>
      </c>
      <c r="C74" t="s">
        <v>78</v>
      </c>
      <c r="D74" s="37">
        <v>793.59925654439758</v>
      </c>
      <c r="E74" s="37">
        <v>-2013.1276992010517</v>
      </c>
      <c r="F74" s="37">
        <v>-4645.9406984288071</v>
      </c>
      <c r="G74" s="37">
        <v>-2127.7664825801021</v>
      </c>
      <c r="H74" s="37">
        <v>-696.1648654469027</v>
      </c>
      <c r="I74" s="37">
        <v>-1620.7771440416036</v>
      </c>
      <c r="J74" s="37">
        <v>-967.72350067650405</v>
      </c>
      <c r="K74" s="37">
        <v>-207.13933370590348</v>
      </c>
      <c r="L74" s="37">
        <v>-5438.6341294409031</v>
      </c>
      <c r="M74" s="37">
        <v>-2986.8756866089025</v>
      </c>
      <c r="N74" s="37">
        <v>-5292.4647246023014</v>
      </c>
      <c r="O74" s="37">
        <v>-3828.0180180238021</v>
      </c>
      <c r="P74" s="37">
        <v>-2483.7643159702529</v>
      </c>
      <c r="Q74" s="37">
        <v>-3175.1208628534259</v>
      </c>
      <c r="R74" s="37">
        <v>-7817.9521940208033</v>
      </c>
      <c r="S74" s="37">
        <v>-5454.8407310753519</v>
      </c>
      <c r="T74" s="37">
        <v>-6705.5540640746003</v>
      </c>
      <c r="U74" s="37">
        <v>-6119.8406417369515</v>
      </c>
      <c r="V74" s="37">
        <v>-217.32027472440313</v>
      </c>
      <c r="W74" s="37">
        <v>-1445.2764564052522</v>
      </c>
      <c r="X74" s="37">
        <v>-369.69176916765173</v>
      </c>
      <c r="Y74" s="37">
        <v>-53.938963571936256</v>
      </c>
      <c r="Z74" s="37">
        <v>206.90108605459682</v>
      </c>
      <c r="AA74" s="37">
        <v>-2109.6161718384028</v>
      </c>
      <c r="AB74" s="37">
        <v>464.89025654439683</v>
      </c>
      <c r="AC74" s="37">
        <v>-1740.5516992010489</v>
      </c>
      <c r="AD74" s="37">
        <v>-4701.1506984288062</v>
      </c>
      <c r="AE74" s="37">
        <v>-2185.2114825801018</v>
      </c>
      <c r="AF74" s="37">
        <v>-823.19986544690255</v>
      </c>
      <c r="AG74" s="37">
        <v>-1774.0151440416012</v>
      </c>
      <c r="AH74" s="37">
        <v>-2227.7535006765029</v>
      </c>
      <c r="AI74" s="37">
        <v>789.9546662940993</v>
      </c>
      <c r="AJ74" s="37">
        <v>-4570.7303791769009</v>
      </c>
      <c r="AK74" s="37">
        <v>-2595.3088114768998</v>
      </c>
      <c r="AL74" s="37">
        <v>-4439.4987246023011</v>
      </c>
      <c r="AM74" s="37">
        <v>-4792.6010180238009</v>
      </c>
      <c r="AN74" s="37">
        <v>-2501.1893159702522</v>
      </c>
      <c r="AO74" s="37">
        <v>-3231.0628628534232</v>
      </c>
      <c r="AP74" s="37">
        <v>-7830.1351940208042</v>
      </c>
      <c r="AQ74" s="37">
        <v>-5495.5997310753519</v>
      </c>
      <c r="AR74" s="37">
        <v>-6688.0880640746</v>
      </c>
      <c r="AS74" s="37">
        <v>-6189.4046417369518</v>
      </c>
      <c r="AT74" s="37">
        <v>-199.81327472440171</v>
      </c>
      <c r="AU74" s="37">
        <v>-1496.27445640525</v>
      </c>
      <c r="AV74" s="37">
        <v>-36.546769167651291</v>
      </c>
      <c r="AW74" s="37">
        <v>-425.82896357193385</v>
      </c>
      <c r="AX74" s="37">
        <v>-115.70991394540397</v>
      </c>
      <c r="AY74" s="37">
        <v>-1839.0331718384023</v>
      </c>
      <c r="BA74" s="66"/>
      <c r="BB74" s="66"/>
    </row>
    <row r="75" spans="2:54">
      <c r="B75">
        <v>10234</v>
      </c>
      <c r="C75" t="s">
        <v>79</v>
      </c>
      <c r="D75" s="37">
        <v>0</v>
      </c>
      <c r="E75" s="37">
        <v>0</v>
      </c>
      <c r="F75" s="37">
        <v>0</v>
      </c>
      <c r="G75" s="37">
        <v>0</v>
      </c>
      <c r="H75" s="37">
        <v>0</v>
      </c>
      <c r="I75" s="37">
        <v>0</v>
      </c>
      <c r="J75" s="37">
        <v>0</v>
      </c>
      <c r="K75" s="37">
        <v>0</v>
      </c>
      <c r="L75" s="37">
        <v>0</v>
      </c>
      <c r="M75" s="37">
        <v>0</v>
      </c>
      <c r="N75" s="37">
        <v>0</v>
      </c>
      <c r="O75" s="37">
        <v>0</v>
      </c>
      <c r="P75" s="37">
        <v>0</v>
      </c>
      <c r="Q75" s="37">
        <v>0</v>
      </c>
      <c r="R75" s="37">
        <v>0</v>
      </c>
      <c r="S75" s="37">
        <v>0</v>
      </c>
      <c r="T75" s="37">
        <v>0</v>
      </c>
      <c r="U75" s="37">
        <v>0</v>
      </c>
      <c r="V75" s="37">
        <v>0</v>
      </c>
      <c r="W75" s="37">
        <v>0</v>
      </c>
      <c r="X75" s="37">
        <v>0</v>
      </c>
      <c r="Y75" s="37">
        <v>0</v>
      </c>
      <c r="Z75" s="37">
        <v>0</v>
      </c>
      <c r="AA75" s="37">
        <v>0</v>
      </c>
      <c r="AB75" s="37">
        <v>0</v>
      </c>
      <c r="AC75" s="37">
        <v>0</v>
      </c>
      <c r="AD75" s="37">
        <v>0</v>
      </c>
      <c r="AE75" s="37">
        <v>0</v>
      </c>
      <c r="AF75" s="37">
        <v>0</v>
      </c>
      <c r="AG75" s="37">
        <v>0</v>
      </c>
      <c r="AH75" s="37">
        <v>0</v>
      </c>
      <c r="AI75" s="37">
        <v>0</v>
      </c>
      <c r="AJ75" s="37">
        <v>0</v>
      </c>
      <c r="AK75" s="37">
        <v>0</v>
      </c>
      <c r="AL75" s="37">
        <v>0</v>
      </c>
      <c r="AM75" s="37">
        <v>0</v>
      </c>
      <c r="AN75" s="37">
        <v>0</v>
      </c>
      <c r="AO75" s="37">
        <v>0</v>
      </c>
      <c r="AP75" s="37">
        <v>0</v>
      </c>
      <c r="AQ75" s="37">
        <v>0</v>
      </c>
      <c r="AR75" s="37">
        <v>0</v>
      </c>
      <c r="AS75" s="37">
        <v>0</v>
      </c>
      <c r="AT75" s="37">
        <v>0</v>
      </c>
      <c r="AU75" s="37">
        <v>0</v>
      </c>
      <c r="AV75" s="37">
        <v>0</v>
      </c>
      <c r="AW75" s="37">
        <v>0</v>
      </c>
      <c r="AX75" s="37">
        <v>0</v>
      </c>
      <c r="AY75" s="37">
        <v>0</v>
      </c>
      <c r="BA75" s="66"/>
      <c r="BB75" s="66"/>
    </row>
    <row r="76" spans="2:54">
      <c r="B76">
        <v>10235</v>
      </c>
      <c r="C76" t="s">
        <v>80</v>
      </c>
      <c r="D76" s="37">
        <v>2674.9197212172003</v>
      </c>
      <c r="E76" s="37">
        <v>449.15857356885044</v>
      </c>
      <c r="F76" s="37">
        <v>197.57561914560029</v>
      </c>
      <c r="G76" s="37">
        <v>887.69946852370049</v>
      </c>
      <c r="H76" s="37">
        <v>1763.8597746752985</v>
      </c>
      <c r="I76" s="37">
        <v>952.45779449920155</v>
      </c>
      <c r="J76" s="37">
        <v>1423.1156559305018</v>
      </c>
      <c r="K76" s="37">
        <v>1349.995405658301</v>
      </c>
      <c r="L76" s="37">
        <v>1016.1070388533026</v>
      </c>
      <c r="M76" s="37">
        <v>1157.6731548693006</v>
      </c>
      <c r="N76" s="37">
        <v>-441.22493333489911</v>
      </c>
      <c r="O76" s="37">
        <v>-372.61704883940001</v>
      </c>
      <c r="P76" s="37">
        <v>1134.9444355492506</v>
      </c>
      <c r="Q76" s="37">
        <v>-8.754386118273942</v>
      </c>
      <c r="R76" s="37">
        <v>-3469.0218887503997</v>
      </c>
      <c r="S76" s="37">
        <v>-1964.2018275020491</v>
      </c>
      <c r="T76" s="37">
        <v>-3904.9266944797982</v>
      </c>
      <c r="U76" s="37">
        <v>-2707.9426960628507</v>
      </c>
      <c r="V76" s="37">
        <v>-1298.5101405571986</v>
      </c>
      <c r="W76" s="37">
        <v>-906.45235735574897</v>
      </c>
      <c r="X76" s="37">
        <v>-996.04356770695085</v>
      </c>
      <c r="Y76" s="37">
        <v>-340.27049692740366</v>
      </c>
      <c r="Z76" s="37">
        <v>-161.26130678019945</v>
      </c>
      <c r="AA76" s="37">
        <v>-901.80657893920034</v>
      </c>
      <c r="AB76" s="37">
        <v>2688.3460346155971</v>
      </c>
      <c r="AC76" s="37">
        <v>455.32695910604889</v>
      </c>
      <c r="AD76" s="37">
        <v>208.29649010879803</v>
      </c>
      <c r="AE76" s="37">
        <v>896.16854819009859</v>
      </c>
      <c r="AF76" s="37">
        <v>1778.5260545368983</v>
      </c>
      <c r="AG76" s="37">
        <v>961.59422980159979</v>
      </c>
      <c r="AH76" s="37">
        <v>797.38578232649888</v>
      </c>
      <c r="AI76" s="37">
        <v>2000.3588326958998</v>
      </c>
      <c r="AJ76" s="37">
        <v>1523.9074212668984</v>
      </c>
      <c r="AK76" s="37">
        <v>1413.6318835668981</v>
      </c>
      <c r="AL76" s="37">
        <v>95.899519632299416</v>
      </c>
      <c r="AM76" s="37">
        <v>-893.45001079619942</v>
      </c>
      <c r="AN76" s="37">
        <v>1145.8279519952503</v>
      </c>
      <c r="AO76" s="37">
        <v>-3.2365815040739108</v>
      </c>
      <c r="AP76" s="37">
        <v>-3465.3030630992034</v>
      </c>
      <c r="AQ76" s="37">
        <v>-1961.2494147896505</v>
      </c>
      <c r="AR76" s="37">
        <v>-3901.4837388654014</v>
      </c>
      <c r="AS76" s="37">
        <v>-2706.6916363680511</v>
      </c>
      <c r="AT76" s="37">
        <v>-1291.4095184355992</v>
      </c>
      <c r="AU76" s="37">
        <v>-902.39980406975064</v>
      </c>
      <c r="AV76" s="37">
        <v>-988.49199266735195</v>
      </c>
      <c r="AW76" s="37">
        <v>-335.44903017456454</v>
      </c>
      <c r="AX76" s="37">
        <v>-153.31496111460183</v>
      </c>
      <c r="AY76" s="37">
        <v>-898.03444592160031</v>
      </c>
      <c r="BA76" s="66"/>
      <c r="BB76" s="66"/>
    </row>
    <row r="77" spans="2:54">
      <c r="B77">
        <v>10236</v>
      </c>
      <c r="C77" t="s">
        <v>81</v>
      </c>
      <c r="D77" s="37">
        <v>0</v>
      </c>
      <c r="E77" s="37">
        <v>0</v>
      </c>
      <c r="F77" s="37">
        <v>0</v>
      </c>
      <c r="G77" s="37">
        <v>0</v>
      </c>
      <c r="H77" s="37">
        <v>0</v>
      </c>
      <c r="I77" s="37">
        <v>0</v>
      </c>
      <c r="J77" s="37">
        <v>0</v>
      </c>
      <c r="K77" s="37">
        <v>0</v>
      </c>
      <c r="L77" s="37">
        <v>0</v>
      </c>
      <c r="M77" s="37">
        <v>0</v>
      </c>
      <c r="N77" s="37">
        <v>0</v>
      </c>
      <c r="O77" s="37">
        <v>0</v>
      </c>
      <c r="P77" s="37">
        <v>0</v>
      </c>
      <c r="Q77" s="37">
        <v>0</v>
      </c>
      <c r="R77" s="37">
        <v>0</v>
      </c>
      <c r="S77" s="37">
        <v>0</v>
      </c>
      <c r="T77" s="37">
        <v>0</v>
      </c>
      <c r="U77" s="37">
        <v>0</v>
      </c>
      <c r="V77" s="37">
        <v>0</v>
      </c>
      <c r="W77" s="37">
        <v>0</v>
      </c>
      <c r="X77" s="37">
        <v>0</v>
      </c>
      <c r="Y77" s="37">
        <v>0</v>
      </c>
      <c r="Z77" s="37">
        <v>0</v>
      </c>
      <c r="AA77" s="37">
        <v>0</v>
      </c>
      <c r="AB77" s="37">
        <v>0</v>
      </c>
      <c r="AC77" s="37">
        <v>0</v>
      </c>
      <c r="AD77" s="37">
        <v>0</v>
      </c>
      <c r="AE77" s="37">
        <v>0</v>
      </c>
      <c r="AF77" s="37">
        <v>0</v>
      </c>
      <c r="AG77" s="37">
        <v>0</v>
      </c>
      <c r="AH77" s="37">
        <v>0</v>
      </c>
      <c r="AI77" s="37">
        <v>0</v>
      </c>
      <c r="AJ77" s="37">
        <v>0</v>
      </c>
      <c r="AK77" s="37">
        <v>0</v>
      </c>
      <c r="AL77" s="37">
        <v>0</v>
      </c>
      <c r="AM77" s="37">
        <v>0</v>
      </c>
      <c r="AN77" s="37">
        <v>0</v>
      </c>
      <c r="AO77" s="37">
        <v>0</v>
      </c>
      <c r="AP77" s="37">
        <v>0</v>
      </c>
      <c r="AQ77" s="37">
        <v>0</v>
      </c>
      <c r="AR77" s="37">
        <v>0</v>
      </c>
      <c r="AS77" s="37">
        <v>0</v>
      </c>
      <c r="AT77" s="37">
        <v>0</v>
      </c>
      <c r="AU77" s="37">
        <v>0</v>
      </c>
      <c r="AV77" s="37">
        <v>0</v>
      </c>
      <c r="AW77" s="37">
        <v>0</v>
      </c>
      <c r="AX77" s="37">
        <v>0</v>
      </c>
      <c r="AY77" s="37">
        <v>0</v>
      </c>
      <c r="BA77" s="66"/>
      <c r="BB77" s="66"/>
    </row>
    <row r="78" spans="2:54">
      <c r="B78">
        <v>10237</v>
      </c>
      <c r="C78" t="s">
        <v>82</v>
      </c>
      <c r="D78" s="37">
        <v>391.66607493535776</v>
      </c>
      <c r="E78" s="37">
        <v>2684.9206751197071</v>
      </c>
      <c r="F78" s="37">
        <v>-1303.1530742014766</v>
      </c>
      <c r="G78" s="37">
        <v>2413.0520890562548</v>
      </c>
      <c r="H78" s="37">
        <v>593.06781298298301</v>
      </c>
      <c r="I78" s="37">
        <v>5600.916538587695</v>
      </c>
      <c r="J78" s="37">
        <v>-3028.5966005451191</v>
      </c>
      <c r="K78" s="37">
        <v>2055.5358510827209</v>
      </c>
      <c r="L78" s="37">
        <v>-2169.6730030076578</v>
      </c>
      <c r="M78" s="37">
        <v>2184.2980466515019</v>
      </c>
      <c r="N78" s="37">
        <v>-3727.02713869933</v>
      </c>
      <c r="O78" s="37">
        <v>471.10884502466615</v>
      </c>
      <c r="P78" s="37">
        <v>747.54801501346083</v>
      </c>
      <c r="Q78" s="37">
        <v>2188.5369175702817</v>
      </c>
      <c r="R78" s="37">
        <v>-6352.4759780422573</v>
      </c>
      <c r="S78" s="37">
        <v>-1703.5721658846887</v>
      </c>
      <c r="T78" s="37">
        <v>-9309.2964106708769</v>
      </c>
      <c r="U78" s="37">
        <v>-2376.4162137303538</v>
      </c>
      <c r="V78" s="37">
        <v>-6051.5705849299557</v>
      </c>
      <c r="W78" s="37">
        <v>-903.18910491664064</v>
      </c>
      <c r="X78" s="37">
        <v>-4907.4578140572667</v>
      </c>
      <c r="Y78" s="37">
        <v>-522.9467220937513</v>
      </c>
      <c r="Z78" s="37">
        <v>-3213.4238032719622</v>
      </c>
      <c r="AA78" s="37">
        <v>790.0702668679096</v>
      </c>
      <c r="AB78" s="37">
        <v>1298.8005847736677</v>
      </c>
      <c r="AC78" s="37">
        <v>2153.5339258965669</v>
      </c>
      <c r="AD78" s="37">
        <v>-1055.6077395381981</v>
      </c>
      <c r="AE78" s="37">
        <v>2611.7072201235351</v>
      </c>
      <c r="AF78" s="37">
        <v>883.46426775954387</v>
      </c>
      <c r="AG78" s="37">
        <v>5850.657489695539</v>
      </c>
      <c r="AH78" s="37">
        <v>-2763.3510039387693</v>
      </c>
      <c r="AI78" s="37">
        <v>2264.6718022531131</v>
      </c>
      <c r="AJ78" s="37">
        <v>-1272.0678431273482</v>
      </c>
      <c r="AK78" s="37">
        <v>2868.3875274756119</v>
      </c>
      <c r="AL78" s="37">
        <v>-3492.9812926525992</v>
      </c>
      <c r="AM78" s="37">
        <v>655.08238266236185</v>
      </c>
      <c r="AN78" s="37">
        <v>975.50165645335073</v>
      </c>
      <c r="AO78" s="37">
        <v>2355.118424776354</v>
      </c>
      <c r="AP78" s="37">
        <v>-6155.5114261068338</v>
      </c>
      <c r="AQ78" s="37">
        <v>-1548.2731922433304</v>
      </c>
      <c r="AR78" s="37">
        <v>-9131.8599681581163</v>
      </c>
      <c r="AS78" s="37">
        <v>-2234.4670597201457</v>
      </c>
      <c r="AT78" s="37">
        <v>-5875.6155852010215</v>
      </c>
      <c r="AU78" s="37">
        <v>-764.45535513036521</v>
      </c>
      <c r="AV78" s="37">
        <v>-5314.4912524582414</v>
      </c>
      <c r="AW78" s="37">
        <v>203.47231283013571</v>
      </c>
      <c r="AX78" s="37">
        <v>-2419.343835535481</v>
      </c>
      <c r="AY78" s="37">
        <v>320.07274266201603</v>
      </c>
      <c r="BA78" s="66"/>
      <c r="BB78" s="66"/>
    </row>
    <row r="79" spans="2:54">
      <c r="B79">
        <v>10239</v>
      </c>
      <c r="C79" t="s">
        <v>83</v>
      </c>
      <c r="D79" s="37">
        <v>0</v>
      </c>
      <c r="E79" s="37">
        <v>0</v>
      </c>
      <c r="F79" s="37">
        <v>0</v>
      </c>
      <c r="G79" s="37">
        <v>0</v>
      </c>
      <c r="H79" s="37">
        <v>0</v>
      </c>
      <c r="I79" s="37">
        <v>0</v>
      </c>
      <c r="J79" s="37">
        <v>0</v>
      </c>
      <c r="K79" s="37">
        <v>0</v>
      </c>
      <c r="L79" s="37">
        <v>0</v>
      </c>
      <c r="M79" s="37">
        <v>0</v>
      </c>
      <c r="N79" s="37">
        <v>0</v>
      </c>
      <c r="O79" s="37">
        <v>0</v>
      </c>
      <c r="P79" s="37">
        <v>0</v>
      </c>
      <c r="Q79" s="37">
        <v>0</v>
      </c>
      <c r="R79" s="37">
        <v>0</v>
      </c>
      <c r="S79" s="37">
        <v>0</v>
      </c>
      <c r="T79" s="37">
        <v>0</v>
      </c>
      <c r="U79" s="37">
        <v>0</v>
      </c>
      <c r="V79" s="37">
        <v>0</v>
      </c>
      <c r="W79" s="37">
        <v>0</v>
      </c>
      <c r="X79" s="37">
        <v>0</v>
      </c>
      <c r="Y79" s="37">
        <v>0</v>
      </c>
      <c r="Z79" s="37">
        <v>0</v>
      </c>
      <c r="AA79" s="37">
        <v>0</v>
      </c>
      <c r="AB79" s="37">
        <v>0</v>
      </c>
      <c r="AC79" s="37">
        <v>0</v>
      </c>
      <c r="AD79" s="37">
        <v>0</v>
      </c>
      <c r="AE79" s="37">
        <v>0</v>
      </c>
      <c r="AF79" s="37">
        <v>0</v>
      </c>
      <c r="AG79" s="37">
        <v>0</v>
      </c>
      <c r="AH79" s="37">
        <v>0</v>
      </c>
      <c r="AI79" s="37">
        <v>0</v>
      </c>
      <c r="AJ79" s="37">
        <v>0</v>
      </c>
      <c r="AK79" s="37">
        <v>0</v>
      </c>
      <c r="AL79" s="37">
        <v>0</v>
      </c>
      <c r="AM79" s="37">
        <v>0</v>
      </c>
      <c r="AN79" s="37">
        <v>0</v>
      </c>
      <c r="AO79" s="37">
        <v>0</v>
      </c>
      <c r="AP79" s="37">
        <v>0</v>
      </c>
      <c r="AQ79" s="37">
        <v>0</v>
      </c>
      <c r="AR79" s="37">
        <v>0</v>
      </c>
      <c r="AS79" s="37">
        <v>0</v>
      </c>
      <c r="AT79" s="37">
        <v>0</v>
      </c>
      <c r="AU79" s="37">
        <v>0</v>
      </c>
      <c r="AV79" s="37">
        <v>0</v>
      </c>
      <c r="AW79" s="37">
        <v>0</v>
      </c>
      <c r="AX79" s="37">
        <v>0</v>
      </c>
      <c r="AY79" s="37">
        <v>0</v>
      </c>
      <c r="BA79" s="66"/>
      <c r="BB79" s="66"/>
    </row>
    <row r="80" spans="2:54">
      <c r="B80">
        <v>10242</v>
      </c>
      <c r="C80" t="s">
        <v>84</v>
      </c>
      <c r="D80" s="37">
        <v>-1621.8685700476008</v>
      </c>
      <c r="E80" s="37">
        <v>-1077.02469743705</v>
      </c>
      <c r="F80" s="37">
        <v>-2695.4414740448001</v>
      </c>
      <c r="G80" s="37">
        <v>-1431.2062200120999</v>
      </c>
      <c r="H80" s="37">
        <v>-2279.7538826549007</v>
      </c>
      <c r="I80" s="37">
        <v>-1158.3309061536002</v>
      </c>
      <c r="J80" s="37">
        <v>-2559.3484441565006</v>
      </c>
      <c r="K80" s="37">
        <v>-1069.7341557939008</v>
      </c>
      <c r="L80" s="37">
        <v>-2363.4753167289</v>
      </c>
      <c r="M80" s="37">
        <v>-902.31979165689995</v>
      </c>
      <c r="N80" s="37">
        <v>-2879.4694487382999</v>
      </c>
      <c r="O80" s="37">
        <v>-1665.9282740397998</v>
      </c>
      <c r="P80" s="37">
        <v>-2214.7105659502499</v>
      </c>
      <c r="Q80" s="37">
        <v>-1347.014385099425</v>
      </c>
      <c r="R80" s="37">
        <v>-424.66261507680065</v>
      </c>
      <c r="S80" s="37">
        <v>260.74492351264962</v>
      </c>
      <c r="T80" s="37">
        <v>1892.3300692533994</v>
      </c>
      <c r="U80" s="37">
        <v>1860.2967723390493</v>
      </c>
      <c r="V80" s="37">
        <v>3701.5684942675998</v>
      </c>
      <c r="W80" s="37">
        <v>3649.9930244147504</v>
      </c>
      <c r="X80" s="37">
        <v>2793.2700244843491</v>
      </c>
      <c r="Y80" s="37">
        <v>2029.4872140788652</v>
      </c>
      <c r="Z80" s="37">
        <v>77.237626326599639</v>
      </c>
      <c r="AA80" s="37">
        <v>459.42366867359988</v>
      </c>
      <c r="AB80" s="37">
        <v>-1686.9015700476007</v>
      </c>
      <c r="AC80" s="37">
        <v>-1076.37169743705</v>
      </c>
      <c r="AD80" s="37">
        <v>-2729.7774740448003</v>
      </c>
      <c r="AE80" s="37">
        <v>-1458.2952200121003</v>
      </c>
      <c r="AF80" s="37">
        <v>-2314.134882654901</v>
      </c>
      <c r="AG80" s="37">
        <v>-1190.0199061536002</v>
      </c>
      <c r="AH80" s="37">
        <v>-2597.0594441565004</v>
      </c>
      <c r="AI80" s="37">
        <v>-1098.9531557939004</v>
      </c>
      <c r="AJ80" s="37">
        <v>-2211.4679299848999</v>
      </c>
      <c r="AK80" s="37">
        <v>-833.78309828490046</v>
      </c>
      <c r="AL80" s="37">
        <v>-2917.2304487382994</v>
      </c>
      <c r="AM80" s="37">
        <v>-1696.6222740397998</v>
      </c>
      <c r="AN80" s="37">
        <v>-2252.09056595025</v>
      </c>
      <c r="AO80" s="37">
        <v>-1375.1333850994249</v>
      </c>
      <c r="AP80" s="37">
        <v>-463.76261507680101</v>
      </c>
      <c r="AQ80" s="37">
        <v>229.52392351265007</v>
      </c>
      <c r="AR80" s="37">
        <v>1856.4970692533998</v>
      </c>
      <c r="AS80" s="37">
        <v>1828.9287723390507</v>
      </c>
      <c r="AT80" s="37">
        <v>3661.7184942676004</v>
      </c>
      <c r="AU80" s="37">
        <v>3618.4440244147504</v>
      </c>
      <c r="AV80" s="37">
        <v>2784.0460244843489</v>
      </c>
      <c r="AW80" s="37">
        <v>1967.0902140788653</v>
      </c>
      <c r="AX80" s="37">
        <v>11.136626326599526</v>
      </c>
      <c r="AY80" s="37">
        <v>457.6246686735999</v>
      </c>
      <c r="BA80" s="66"/>
      <c r="BB80" s="66"/>
    </row>
    <row r="81" spans="2:54">
      <c r="B81">
        <v>10244</v>
      </c>
      <c r="C81" t="s">
        <v>85</v>
      </c>
      <c r="D81" s="37">
        <v>7278.4065763912004</v>
      </c>
      <c r="E81" s="37">
        <v>6182.8385311171005</v>
      </c>
      <c r="F81" s="37">
        <v>5108.7397398975954</v>
      </c>
      <c r="G81" s="37">
        <v>9982.1329479901979</v>
      </c>
      <c r="H81" s="37">
        <v>22128.563732163799</v>
      </c>
      <c r="I81" s="37">
        <v>22231.536721363202</v>
      </c>
      <c r="J81" s="37">
        <v>17552.489136302996</v>
      </c>
      <c r="K81" s="37">
        <v>22635.577338381798</v>
      </c>
      <c r="L81" s="37">
        <v>15509.722330351804</v>
      </c>
      <c r="M81" s="37">
        <v>17881.546179087803</v>
      </c>
      <c r="N81" s="37">
        <v>9791.215512294606</v>
      </c>
      <c r="O81" s="37">
        <v>10083.981617587604</v>
      </c>
      <c r="P81" s="37">
        <v>8648.6652050155026</v>
      </c>
      <c r="Q81" s="37">
        <v>9520.5621631343529</v>
      </c>
      <c r="R81" s="37">
        <v>-16479.8352953184</v>
      </c>
      <c r="S81" s="37">
        <v>-7683.5090244442981</v>
      </c>
      <c r="T81" s="37">
        <v>-17660.287724670801</v>
      </c>
      <c r="U81" s="37">
        <v>-10659.098223841098</v>
      </c>
      <c r="V81" s="37">
        <v>-11069.284246031195</v>
      </c>
      <c r="W81" s="37">
        <v>-5442.8441036144977</v>
      </c>
      <c r="X81" s="37">
        <v>-9584.3987181697012</v>
      </c>
      <c r="Y81" s="37">
        <v>-5754.003574995626</v>
      </c>
      <c r="Z81" s="37">
        <v>-7551.3671532892004</v>
      </c>
      <c r="AA81" s="37">
        <v>-5389.7948856032017</v>
      </c>
      <c r="AB81" s="37">
        <v>7396.196576391194</v>
      </c>
      <c r="AC81" s="37">
        <v>6633.152531117099</v>
      </c>
      <c r="AD81" s="37">
        <v>5450.4517398976022</v>
      </c>
      <c r="AE81" s="37">
        <v>10233.807947990201</v>
      </c>
      <c r="AF81" s="37">
        <v>22460.286732163797</v>
      </c>
      <c r="AG81" s="37">
        <v>22454.705721363203</v>
      </c>
      <c r="AH81" s="37">
        <v>17864.935136303007</v>
      </c>
      <c r="AI81" s="37">
        <v>22871.422338381799</v>
      </c>
      <c r="AJ81" s="37">
        <v>17515.885118623795</v>
      </c>
      <c r="AK81" s="37">
        <v>18962.669073223795</v>
      </c>
      <c r="AL81" s="37">
        <v>10114.254512294603</v>
      </c>
      <c r="AM81" s="37">
        <v>10297.401617587602</v>
      </c>
      <c r="AN81" s="37">
        <v>9547.1702050155</v>
      </c>
      <c r="AO81" s="37">
        <v>10183.824163134355</v>
      </c>
      <c r="AP81" s="37">
        <v>-16538.130295318399</v>
      </c>
      <c r="AQ81" s="37">
        <v>-7773.4310244443004</v>
      </c>
      <c r="AR81" s="37">
        <v>-17702.231724670801</v>
      </c>
      <c r="AS81" s="37">
        <v>-10738.677223841099</v>
      </c>
      <c r="AT81" s="37">
        <v>-11124.690246031198</v>
      </c>
      <c r="AU81" s="37">
        <v>-5543.5661036144993</v>
      </c>
      <c r="AV81" s="37">
        <v>-9392.2507181697001</v>
      </c>
      <c r="AW81" s="37">
        <v>-6103.5875749956285</v>
      </c>
      <c r="AX81" s="37">
        <v>-7816.0241532892032</v>
      </c>
      <c r="AY81" s="37">
        <v>-5250.6098856031967</v>
      </c>
      <c r="BA81" s="66"/>
      <c r="BB81" s="66"/>
    </row>
    <row r="82" spans="2:54">
      <c r="B82">
        <v>10246</v>
      </c>
      <c r="C82" t="s">
        <v>86</v>
      </c>
      <c r="D82" s="37">
        <v>752.15106476040046</v>
      </c>
      <c r="E82" s="37">
        <v>306.96636115195042</v>
      </c>
      <c r="F82" s="37">
        <v>636.89153753919982</v>
      </c>
      <c r="G82" s="37">
        <v>1029.8903132059004</v>
      </c>
      <c r="H82" s="37">
        <v>1877.6640049871003</v>
      </c>
      <c r="I82" s="37">
        <v>1386.3336021344007</v>
      </c>
      <c r="J82" s="37">
        <v>931.83550961350102</v>
      </c>
      <c r="K82" s="37">
        <v>1041.5816104681003</v>
      </c>
      <c r="L82" s="37">
        <v>1178.5773618331004</v>
      </c>
      <c r="M82" s="37">
        <v>1180.1135611451</v>
      </c>
      <c r="N82" s="37">
        <v>597.77524207570059</v>
      </c>
      <c r="O82" s="37">
        <v>744.9776246442002</v>
      </c>
      <c r="P82" s="37">
        <v>731.92024069475065</v>
      </c>
      <c r="Q82" s="37">
        <v>475.61426491707562</v>
      </c>
      <c r="R82" s="37">
        <v>-1291.3669009328</v>
      </c>
      <c r="S82" s="37">
        <v>-472.50768212434969</v>
      </c>
      <c r="T82" s="37">
        <v>-1729.5833125186</v>
      </c>
      <c r="U82" s="37">
        <v>-951.75177340994992</v>
      </c>
      <c r="V82" s="37">
        <v>-870.02202814039993</v>
      </c>
      <c r="W82" s="37">
        <v>-356.37061064024965</v>
      </c>
      <c r="X82" s="37">
        <v>-925.56734213864956</v>
      </c>
      <c r="Y82" s="37">
        <v>-319.42521569283485</v>
      </c>
      <c r="Z82" s="37">
        <v>-491.47318830140011</v>
      </c>
      <c r="AA82" s="37">
        <v>-316.04954121440005</v>
      </c>
      <c r="AB82" s="37">
        <v>767.87206476040001</v>
      </c>
      <c r="AC82" s="37">
        <v>316.53536115195038</v>
      </c>
      <c r="AD82" s="37">
        <v>655.19653753920011</v>
      </c>
      <c r="AE82" s="37">
        <v>1044.0453132059001</v>
      </c>
      <c r="AF82" s="37">
        <v>1904.3030049871004</v>
      </c>
      <c r="AG82" s="37">
        <v>1404.4286021344001</v>
      </c>
      <c r="AH82" s="37">
        <v>697.79750961350055</v>
      </c>
      <c r="AI82" s="37">
        <v>1317.1376104680999</v>
      </c>
      <c r="AJ82" s="37">
        <v>1343.1046690571002</v>
      </c>
      <c r="AK82" s="37">
        <v>1265.3787147571002</v>
      </c>
      <c r="AL82" s="37">
        <v>844.80924207570024</v>
      </c>
      <c r="AM82" s="37">
        <v>534.62362464419994</v>
      </c>
      <c r="AN82" s="37">
        <v>747.85924069475095</v>
      </c>
      <c r="AO82" s="37">
        <v>486.00426491707549</v>
      </c>
      <c r="AP82" s="37">
        <v>-1278.5679009328001</v>
      </c>
      <c r="AQ82" s="37">
        <v>-462.76068212434984</v>
      </c>
      <c r="AR82" s="37">
        <v>-1719.2533125186001</v>
      </c>
      <c r="AS82" s="37">
        <v>-945.32977340994989</v>
      </c>
      <c r="AT82" s="37">
        <v>-857.28202814039969</v>
      </c>
      <c r="AU82" s="37">
        <v>-347.94361064024997</v>
      </c>
      <c r="AV82" s="37">
        <v>-913.87134213864965</v>
      </c>
      <c r="AW82" s="37">
        <v>-311.84021569283482</v>
      </c>
      <c r="AX82" s="37">
        <v>-481.70218830139993</v>
      </c>
      <c r="AY82" s="37">
        <v>-309.40854121439997</v>
      </c>
      <c r="BA82" s="66"/>
      <c r="BB82" s="66"/>
    </row>
    <row r="83" spans="2:54">
      <c r="B83">
        <v>10247</v>
      </c>
      <c r="C83" t="s">
        <v>87</v>
      </c>
      <c r="D83" s="37">
        <v>5647.8190818295916</v>
      </c>
      <c r="E83" s="37">
        <v>3872.975072349298</v>
      </c>
      <c r="F83" s="37">
        <v>3195.1813327807977</v>
      </c>
      <c r="G83" s="37">
        <v>2453.2370092465935</v>
      </c>
      <c r="H83" s="37">
        <v>9346.7013197353954</v>
      </c>
      <c r="I83" s="37">
        <v>6481.2425461055973</v>
      </c>
      <c r="J83" s="37">
        <v>8329.1168890489935</v>
      </c>
      <c r="K83" s="37">
        <v>7322.8956112293963</v>
      </c>
      <c r="L83" s="37">
        <v>4663.4476857393965</v>
      </c>
      <c r="M83" s="37">
        <v>6329.4184716273994</v>
      </c>
      <c r="N83" s="37">
        <v>1579.985975831798</v>
      </c>
      <c r="O83" s="37">
        <v>1657.6120380508</v>
      </c>
      <c r="P83" s="37">
        <v>4798.3206434364984</v>
      </c>
      <c r="Q83" s="37">
        <v>3632.4799487060518</v>
      </c>
      <c r="R83" s="37">
        <v>-8652.1714749472048</v>
      </c>
      <c r="S83" s="37">
        <v>-6353.2680606669019</v>
      </c>
      <c r="T83" s="37">
        <v>-12916.955714916403</v>
      </c>
      <c r="U83" s="37">
        <v>-6811.2553656413038</v>
      </c>
      <c r="V83" s="37">
        <v>-6488.7813539496055</v>
      </c>
      <c r="W83" s="37">
        <v>-3413.5674118535026</v>
      </c>
      <c r="X83" s="37">
        <v>-5543.6628904951067</v>
      </c>
      <c r="Y83" s="37">
        <v>-1830.455217176288</v>
      </c>
      <c r="Z83" s="37">
        <v>-2092.3667437636032</v>
      </c>
      <c r="AA83" s="37">
        <v>-2856.1692500256031</v>
      </c>
      <c r="AB83" s="37">
        <v>5851.5990818295904</v>
      </c>
      <c r="AC83" s="37">
        <v>3994.4850723493</v>
      </c>
      <c r="AD83" s="37">
        <v>3415.7213327807985</v>
      </c>
      <c r="AE83" s="37">
        <v>2570.5320092465954</v>
      </c>
      <c r="AF83" s="37">
        <v>9597.3613197353916</v>
      </c>
      <c r="AG83" s="37">
        <v>6607.2025461055964</v>
      </c>
      <c r="AH83" s="37">
        <v>8584.216889048992</v>
      </c>
      <c r="AI83" s="37">
        <v>7448.0856112293986</v>
      </c>
      <c r="AJ83" s="37">
        <v>6180.2960339154088</v>
      </c>
      <c r="AK83" s="37">
        <v>7103.8926457153975</v>
      </c>
      <c r="AL83" s="37">
        <v>1794.8859758317994</v>
      </c>
      <c r="AM83" s="37">
        <v>1784.9970380507984</v>
      </c>
      <c r="AN83" s="37">
        <v>4997.630643436496</v>
      </c>
      <c r="AO83" s="37">
        <v>3749.1499487060501</v>
      </c>
      <c r="AP83" s="37">
        <v>-8448.1214749472019</v>
      </c>
      <c r="AQ83" s="37">
        <v>-6259.0680606668975</v>
      </c>
      <c r="AR83" s="37">
        <v>-12721.295714916403</v>
      </c>
      <c r="AS83" s="37">
        <v>-6723.2553656413038</v>
      </c>
      <c r="AT83" s="37">
        <v>-6289.5013539496067</v>
      </c>
      <c r="AU83" s="37">
        <v>-3322.3474118535014</v>
      </c>
      <c r="AV83" s="37">
        <v>-5344.1028904951054</v>
      </c>
      <c r="AW83" s="37">
        <v>-1739.695217176286</v>
      </c>
      <c r="AX83" s="37">
        <v>-1900.1767437636045</v>
      </c>
      <c r="AY83" s="37">
        <v>-2769.6892500256035</v>
      </c>
      <c r="BA83" s="66"/>
      <c r="BB83" s="66"/>
    </row>
    <row r="84" spans="2:54">
      <c r="B84">
        <v>10256</v>
      </c>
      <c r="C84" t="s">
        <v>88</v>
      </c>
      <c r="D84" s="37">
        <v>3007.0582307736004</v>
      </c>
      <c r="E84" s="37">
        <v>1956.3691936513023</v>
      </c>
      <c r="F84" s="37">
        <v>668.2854564927984</v>
      </c>
      <c r="G84" s="37">
        <v>2539.0979525706007</v>
      </c>
      <c r="H84" s="37">
        <v>7479.5738098913971</v>
      </c>
      <c r="I84" s="37">
        <v>7066.9522616895993</v>
      </c>
      <c r="J84" s="37">
        <v>4325.4368879090071</v>
      </c>
      <c r="K84" s="37">
        <v>6958.077702545399</v>
      </c>
      <c r="L84" s="37">
        <v>2210.8288884554022</v>
      </c>
      <c r="M84" s="37">
        <v>4053.6264826634015</v>
      </c>
      <c r="N84" s="37">
        <v>2849.9953946838032</v>
      </c>
      <c r="O84" s="37">
        <v>2825.2762595627992</v>
      </c>
      <c r="P84" s="37">
        <v>5220.2546065465031</v>
      </c>
      <c r="Q84" s="37">
        <v>3948.8204189530534</v>
      </c>
      <c r="R84" s="37">
        <v>-1339.5643371551996</v>
      </c>
      <c r="S84" s="37">
        <v>-59.973823232900031</v>
      </c>
      <c r="T84" s="37">
        <v>-3904.6986384123993</v>
      </c>
      <c r="U84" s="37">
        <v>-2447.544003823301</v>
      </c>
      <c r="V84" s="37">
        <v>849.22924030640206</v>
      </c>
      <c r="W84" s="37">
        <v>2380.1730906565008</v>
      </c>
      <c r="X84" s="37">
        <v>1317.6390933908988</v>
      </c>
      <c r="Y84" s="37">
        <v>1657.2225184231102</v>
      </c>
      <c r="Z84" s="37">
        <v>-502.28627546760254</v>
      </c>
      <c r="AA84" s="37">
        <v>-715.21507440960158</v>
      </c>
      <c r="AB84" s="37">
        <v>3035.0022307735999</v>
      </c>
      <c r="AC84" s="37">
        <v>2260.9811936513015</v>
      </c>
      <c r="AD84" s="37">
        <v>898.53745649279881</v>
      </c>
      <c r="AE84" s="37">
        <v>2661.6899525706012</v>
      </c>
      <c r="AF84" s="37">
        <v>7689.9778098913994</v>
      </c>
      <c r="AG84" s="37">
        <v>7184.3482616895999</v>
      </c>
      <c r="AH84" s="37">
        <v>4516.2528879090059</v>
      </c>
      <c r="AI84" s="37">
        <v>7092.7147025454015</v>
      </c>
      <c r="AJ84" s="37">
        <v>3392.1637492713999</v>
      </c>
      <c r="AK84" s="37">
        <v>4673.925413071398</v>
      </c>
      <c r="AL84" s="37">
        <v>3064.1583946838</v>
      </c>
      <c r="AM84" s="37">
        <v>2932.8612595628019</v>
      </c>
      <c r="AN84" s="37">
        <v>5429.2536065465029</v>
      </c>
      <c r="AO84" s="37">
        <v>4081.9024189530501</v>
      </c>
      <c r="AP84" s="37">
        <v>-1426.0593371552022</v>
      </c>
      <c r="AQ84" s="37">
        <v>-180.7158232328984</v>
      </c>
      <c r="AR84" s="37">
        <v>-3972.7616384124012</v>
      </c>
      <c r="AS84" s="37">
        <v>-2564.2360038233001</v>
      </c>
      <c r="AT84" s="37">
        <v>746.70524030640081</v>
      </c>
      <c r="AU84" s="37">
        <v>2273.1480906564993</v>
      </c>
      <c r="AV84" s="37">
        <v>1403.5940933909005</v>
      </c>
      <c r="AW84" s="37">
        <v>1360.5815184231105</v>
      </c>
      <c r="AX84" s="37">
        <v>-754.02727546760434</v>
      </c>
      <c r="AY84" s="37">
        <v>-651.65807440960089</v>
      </c>
      <c r="BA84" s="66"/>
      <c r="BB84" s="66"/>
    </row>
    <row r="85" spans="2:54">
      <c r="B85">
        <v>10258</v>
      </c>
      <c r="C85" t="s">
        <v>89</v>
      </c>
      <c r="D85" s="37">
        <v>3934.3117330052009</v>
      </c>
      <c r="E85" s="37">
        <v>2129.5487601853511</v>
      </c>
      <c r="F85" s="37">
        <v>5136.6282737696019</v>
      </c>
      <c r="G85" s="37">
        <v>5231.6830376967027</v>
      </c>
      <c r="H85" s="37">
        <v>9535.8792042123023</v>
      </c>
      <c r="I85" s="37">
        <v>8439.4508360671989</v>
      </c>
      <c r="J85" s="37">
        <v>6110.442010275503</v>
      </c>
      <c r="K85" s="37">
        <v>7346.1032272652992</v>
      </c>
      <c r="L85" s="37">
        <v>10900.031642010304</v>
      </c>
      <c r="M85" s="37">
        <v>10172.3956666663</v>
      </c>
      <c r="N85" s="37">
        <v>6141.5604174441032</v>
      </c>
      <c r="O85" s="37">
        <v>5187.6028251346015</v>
      </c>
      <c r="P85" s="37">
        <v>4012.0679480817525</v>
      </c>
      <c r="Q85" s="37">
        <v>3227.3561771069762</v>
      </c>
      <c r="R85" s="37">
        <v>-3043.3743079663982</v>
      </c>
      <c r="S85" s="37">
        <v>-1387.6510775465467</v>
      </c>
      <c r="T85" s="37">
        <v>-4632.5765478217945</v>
      </c>
      <c r="U85" s="37">
        <v>-2959.5889319393482</v>
      </c>
      <c r="V85" s="37">
        <v>5189.5613790548014</v>
      </c>
      <c r="W85" s="37">
        <v>4104.2434677267538</v>
      </c>
      <c r="X85" s="37">
        <v>4674.9823107275515</v>
      </c>
      <c r="Y85" s="37">
        <v>2940.7220678801477</v>
      </c>
      <c r="Z85" s="37">
        <v>-204.07235883820067</v>
      </c>
      <c r="AA85" s="37">
        <v>-92.311868107199189</v>
      </c>
      <c r="AB85" s="37">
        <v>4026.5937330052002</v>
      </c>
      <c r="AC85" s="37">
        <v>2266.7017601853513</v>
      </c>
      <c r="AD85" s="37">
        <v>5384.0122737696001</v>
      </c>
      <c r="AE85" s="37">
        <v>5406.1170376967002</v>
      </c>
      <c r="AF85" s="37">
        <v>9900.6172042122998</v>
      </c>
      <c r="AG85" s="37">
        <v>8691.5858360672009</v>
      </c>
      <c r="AH85" s="37">
        <v>6496.4270102754999</v>
      </c>
      <c r="AI85" s="37">
        <v>7639.2182272653008</v>
      </c>
      <c r="AJ85" s="37">
        <v>12014.268583122303</v>
      </c>
      <c r="AK85" s="37">
        <v>10817.4386372223</v>
      </c>
      <c r="AL85" s="37">
        <v>6596.2154174441021</v>
      </c>
      <c r="AM85" s="37">
        <v>5497.4538251346003</v>
      </c>
      <c r="AN85" s="37">
        <v>4445.3039480817497</v>
      </c>
      <c r="AO85" s="37">
        <v>3524.957177106975</v>
      </c>
      <c r="AP85" s="37">
        <v>-2570.2243079664004</v>
      </c>
      <c r="AQ85" s="37">
        <v>-1064.2520775465473</v>
      </c>
      <c r="AR85" s="37">
        <v>-4070.4145478217979</v>
      </c>
      <c r="AS85" s="37">
        <v>-2648.485931939349</v>
      </c>
      <c r="AT85" s="37">
        <v>5907.3873790547987</v>
      </c>
      <c r="AU85" s="37">
        <v>4582.0844677267523</v>
      </c>
      <c r="AV85" s="37">
        <v>5540.7533107275522</v>
      </c>
      <c r="AW85" s="37">
        <v>3348.2510678801464</v>
      </c>
      <c r="AX85" s="37">
        <v>448.462641161801</v>
      </c>
      <c r="AY85" s="37">
        <v>427.89113189280033</v>
      </c>
      <c r="BA85" s="66"/>
      <c r="BB85" s="66"/>
    </row>
    <row r="86" spans="2:54">
      <c r="B86">
        <v>10259</v>
      </c>
      <c r="C86" t="s">
        <v>90</v>
      </c>
      <c r="D86" s="37">
        <v>1568.9721289623994</v>
      </c>
      <c r="E86" s="37">
        <v>-184.05690363829854</v>
      </c>
      <c r="F86" s="37">
        <v>-1147.2461955647996</v>
      </c>
      <c r="G86" s="37">
        <v>606.04354013540251</v>
      </c>
      <c r="H86" s="37">
        <v>2802.1704120226004</v>
      </c>
      <c r="I86" s="37">
        <v>1819.5770272064001</v>
      </c>
      <c r="J86" s="37">
        <v>1656.7367461810009</v>
      </c>
      <c r="K86" s="37">
        <v>1982.0039759085994</v>
      </c>
      <c r="L86" s="37">
        <v>-398.18390090139837</v>
      </c>
      <c r="M86" s="37">
        <v>801.17900697060031</v>
      </c>
      <c r="N86" s="37">
        <v>-848.76400684579858</v>
      </c>
      <c r="O86" s="37">
        <v>82.201682065200657</v>
      </c>
      <c r="P86" s="37">
        <v>645.72177641850067</v>
      </c>
      <c r="Q86" s="37">
        <v>15.252090327449878</v>
      </c>
      <c r="R86" s="37">
        <v>-5412.8196983967991</v>
      </c>
      <c r="S86" s="37">
        <v>-2915.1343745960985</v>
      </c>
      <c r="T86" s="37">
        <v>-4514.5069637115976</v>
      </c>
      <c r="U86" s="37">
        <v>-3422.017927909701</v>
      </c>
      <c r="V86" s="37">
        <v>-1126.3562892423997</v>
      </c>
      <c r="W86" s="37">
        <v>-1251.8924165914996</v>
      </c>
      <c r="X86" s="37">
        <v>-1663.0923839819006</v>
      </c>
      <c r="Y86" s="37">
        <v>-681.32278274200962</v>
      </c>
      <c r="Z86" s="37">
        <v>-2223.9778612083992</v>
      </c>
      <c r="AA86" s="37">
        <v>-2210.7807416863989</v>
      </c>
      <c r="AB86" s="37">
        <v>1691.8281289623992</v>
      </c>
      <c r="AC86" s="37">
        <v>32.349096361701413</v>
      </c>
      <c r="AD86" s="37">
        <v>-960.1561955647976</v>
      </c>
      <c r="AE86" s="37">
        <v>743.64154013540065</v>
      </c>
      <c r="AF86" s="37">
        <v>3018.6104120226028</v>
      </c>
      <c r="AG86" s="37">
        <v>1937.7390272064022</v>
      </c>
      <c r="AH86" s="37">
        <v>1024.6847461810012</v>
      </c>
      <c r="AI86" s="37">
        <v>2947.1279759085992</v>
      </c>
      <c r="AJ86" s="37">
        <v>334.35796644260154</v>
      </c>
      <c r="AK86" s="37">
        <v>1186.1229406426</v>
      </c>
      <c r="AL86" s="37">
        <v>45.40399315419927</v>
      </c>
      <c r="AM86" s="37">
        <v>-481.29231793479903</v>
      </c>
      <c r="AN86" s="37">
        <v>850.8697764184999</v>
      </c>
      <c r="AO86" s="37">
        <v>127.44309032745241</v>
      </c>
      <c r="AP86" s="37">
        <v>-5411.1016983968002</v>
      </c>
      <c r="AQ86" s="37">
        <v>-2923.5233745960986</v>
      </c>
      <c r="AR86" s="37">
        <v>-4495.9269637115976</v>
      </c>
      <c r="AS86" s="37">
        <v>-3447.1199279097</v>
      </c>
      <c r="AT86" s="37">
        <v>-1111.1882892424001</v>
      </c>
      <c r="AU86" s="37">
        <v>-1274.0654165914984</v>
      </c>
      <c r="AV86" s="37">
        <v>-1546.844383981901</v>
      </c>
      <c r="AW86" s="37">
        <v>-805.29578274200776</v>
      </c>
      <c r="AX86" s="37">
        <v>-2318.6978612083985</v>
      </c>
      <c r="AY86" s="37">
        <v>-2125.0237416863984</v>
      </c>
      <c r="BA86" s="66"/>
      <c r="BB86" s="66"/>
    </row>
    <row r="87" spans="2:54">
      <c r="B87">
        <v>10260</v>
      </c>
      <c r="C87" t="s">
        <v>91</v>
      </c>
      <c r="D87" s="37">
        <v>1825.0897098091991</v>
      </c>
      <c r="E87" s="37">
        <v>363.98933655485052</v>
      </c>
      <c r="F87" s="37">
        <v>-302.33462923840125</v>
      </c>
      <c r="G87" s="37">
        <v>166.81704545570028</v>
      </c>
      <c r="H87" s="37">
        <v>1461.1056173833003</v>
      </c>
      <c r="I87" s="37">
        <v>1474.2361886111994</v>
      </c>
      <c r="J87" s="37">
        <v>649.04831691050094</v>
      </c>
      <c r="K87" s="37">
        <v>1335.4383582462997</v>
      </c>
      <c r="L87" s="37">
        <v>120.6786816413005</v>
      </c>
      <c r="M87" s="37">
        <v>905.14107541729936</v>
      </c>
      <c r="N87" s="37">
        <v>-234.12620069889999</v>
      </c>
      <c r="O87" s="37">
        <v>-389.28679182339965</v>
      </c>
      <c r="P87" s="37">
        <v>946.4426842792509</v>
      </c>
      <c r="Q87" s="37">
        <v>226.77871400272579</v>
      </c>
      <c r="R87" s="37">
        <v>-2421.7976516944</v>
      </c>
      <c r="S87" s="37">
        <v>-1659.862268840051</v>
      </c>
      <c r="T87" s="37">
        <v>-2358.5511608078014</v>
      </c>
      <c r="U87" s="37">
        <v>-1659.0673648888505</v>
      </c>
      <c r="V87" s="37">
        <v>543.92702845080021</v>
      </c>
      <c r="W87" s="37">
        <v>249.40198557424992</v>
      </c>
      <c r="X87" s="37">
        <v>1147.4444103910482</v>
      </c>
      <c r="Y87" s="37">
        <v>328.8506847467952</v>
      </c>
      <c r="Z87" s="37">
        <v>394.76438594779756</v>
      </c>
      <c r="AA87" s="37">
        <v>-91.91545145120017</v>
      </c>
      <c r="AB87" s="37">
        <v>1884.7697098091976</v>
      </c>
      <c r="AC87" s="37">
        <v>398.67033655485011</v>
      </c>
      <c r="AD87" s="37">
        <v>-247.91662923840158</v>
      </c>
      <c r="AE87" s="37">
        <v>203.71704545569992</v>
      </c>
      <c r="AF87" s="37">
        <v>1517.1176173832991</v>
      </c>
      <c r="AG87" s="37">
        <v>1512.5861886111979</v>
      </c>
      <c r="AH87" s="37">
        <v>705.27331691049949</v>
      </c>
      <c r="AI87" s="37">
        <v>1373.5713582462995</v>
      </c>
      <c r="AJ87" s="37">
        <v>602.74324699329918</v>
      </c>
      <c r="AK87" s="37">
        <v>1153.3838580932998</v>
      </c>
      <c r="AL87" s="37">
        <v>-176.01820069889982</v>
      </c>
      <c r="AM87" s="37">
        <v>-353.03179182339954</v>
      </c>
      <c r="AN87" s="37">
        <v>1003.1896842792503</v>
      </c>
      <c r="AO87" s="37">
        <v>261.34771400272621</v>
      </c>
      <c r="AP87" s="37">
        <v>-2364.1346516944013</v>
      </c>
      <c r="AQ87" s="37">
        <v>-1623.1642688400507</v>
      </c>
      <c r="AR87" s="37">
        <v>-2300.3541608078012</v>
      </c>
      <c r="AS87" s="37">
        <v>-1625.9453648888502</v>
      </c>
      <c r="AT87" s="37">
        <v>602.97002845079987</v>
      </c>
      <c r="AU87" s="37">
        <v>284.72198557424963</v>
      </c>
      <c r="AV87" s="37">
        <v>1208.3174103910478</v>
      </c>
      <c r="AW87" s="37">
        <v>362.33568474679487</v>
      </c>
      <c r="AX87" s="37">
        <v>450.45338594779787</v>
      </c>
      <c r="AY87" s="37">
        <v>-56.289451451199966</v>
      </c>
      <c r="BA87" s="66"/>
      <c r="BB87" s="66"/>
    </row>
    <row r="88" spans="2:54">
      <c r="B88">
        <v>10273</v>
      </c>
      <c r="C88" t="s">
        <v>92</v>
      </c>
      <c r="D88" s="37">
        <v>201.32014774959998</v>
      </c>
      <c r="E88" s="37">
        <v>-54.045670290699945</v>
      </c>
      <c r="F88" s="37">
        <v>-1104.7035110592001</v>
      </c>
      <c r="G88" s="37">
        <v>-472.44706643339987</v>
      </c>
      <c r="H88" s="37">
        <v>-682.25355818460002</v>
      </c>
      <c r="I88" s="37">
        <v>-290.82503277439969</v>
      </c>
      <c r="J88" s="37">
        <v>-833.11592615100017</v>
      </c>
      <c r="K88" s="37">
        <v>-219.93371789060029</v>
      </c>
      <c r="L88" s="37">
        <v>-1018.2784913805995</v>
      </c>
      <c r="M88" s="37">
        <v>-311.78552789259993</v>
      </c>
      <c r="N88" s="37">
        <v>-1342.8301328081998</v>
      </c>
      <c r="O88" s="37">
        <v>-685.00150178919989</v>
      </c>
      <c r="P88" s="37">
        <v>-500.19698176349993</v>
      </c>
      <c r="Q88" s="37">
        <v>-308.69874133394978</v>
      </c>
      <c r="R88" s="37">
        <v>-359.72586438720055</v>
      </c>
      <c r="S88" s="37">
        <v>-230.81368154689972</v>
      </c>
      <c r="T88" s="37">
        <v>192.98525180360002</v>
      </c>
      <c r="U88" s="37">
        <v>319.62521859870003</v>
      </c>
      <c r="V88" s="37">
        <v>1634.9291561304008</v>
      </c>
      <c r="W88" s="37">
        <v>1353.1061549464998</v>
      </c>
      <c r="X88" s="37">
        <v>1847.1527479849001</v>
      </c>
      <c r="Y88" s="37">
        <v>1237.96499881571</v>
      </c>
      <c r="Z88" s="37">
        <v>652.77055351639956</v>
      </c>
      <c r="AA88" s="37">
        <v>597.42854485439943</v>
      </c>
      <c r="AB88" s="37">
        <v>138.4281477495997</v>
      </c>
      <c r="AC88" s="37">
        <v>-40.045670290699945</v>
      </c>
      <c r="AD88" s="37">
        <v>-1130.9645110592</v>
      </c>
      <c r="AE88" s="37">
        <v>-493.58606643340022</v>
      </c>
      <c r="AF88" s="37">
        <v>-707.78755818460013</v>
      </c>
      <c r="AG88" s="37">
        <v>-314.17103277439992</v>
      </c>
      <c r="AH88" s="37">
        <v>-860.06692615099973</v>
      </c>
      <c r="AI88" s="37">
        <v>-241.86371789060036</v>
      </c>
      <c r="AJ88" s="37">
        <v>-911.87650800460028</v>
      </c>
      <c r="AK88" s="37">
        <v>-265.11053620460029</v>
      </c>
      <c r="AL88" s="37">
        <v>-1370.0081328081999</v>
      </c>
      <c r="AM88" s="37">
        <v>-706.60450178919996</v>
      </c>
      <c r="AN88" s="37">
        <v>-527.09898176350021</v>
      </c>
      <c r="AO88" s="37">
        <v>-329.1167413339499</v>
      </c>
      <c r="AP88" s="37">
        <v>-386.21886438720003</v>
      </c>
      <c r="AQ88" s="37">
        <v>-253.22668154689995</v>
      </c>
      <c r="AR88" s="37">
        <v>167.51625180359997</v>
      </c>
      <c r="AS88" s="37">
        <v>297.75621859869989</v>
      </c>
      <c r="AT88" s="37">
        <v>1608.1821561303996</v>
      </c>
      <c r="AU88" s="37">
        <v>1330.9321549465003</v>
      </c>
      <c r="AV88" s="37">
        <v>1856.2737479848993</v>
      </c>
      <c r="AW88" s="37">
        <v>1179.9259988157103</v>
      </c>
      <c r="AX88" s="37">
        <v>591.46955351639963</v>
      </c>
      <c r="AY88" s="37">
        <v>611.39554485439953</v>
      </c>
      <c r="BA88" s="66"/>
      <c r="BB88" s="66"/>
    </row>
    <row r="89" spans="2:54">
      <c r="B89">
        <v>10278</v>
      </c>
      <c r="C89" t="s">
        <v>93</v>
      </c>
      <c r="D89" s="37">
        <v>0</v>
      </c>
      <c r="E89" s="37">
        <v>0</v>
      </c>
      <c r="F89" s="37">
        <v>0</v>
      </c>
      <c r="G89" s="37">
        <v>0</v>
      </c>
      <c r="H89" s="37">
        <v>0</v>
      </c>
      <c r="I89" s="37">
        <v>0</v>
      </c>
      <c r="J89" s="37">
        <v>0</v>
      </c>
      <c r="K89" s="37">
        <v>0</v>
      </c>
      <c r="L89" s="37">
        <v>0</v>
      </c>
      <c r="M89" s="37">
        <v>0</v>
      </c>
      <c r="N89" s="37">
        <v>0</v>
      </c>
      <c r="O89" s="37">
        <v>0</v>
      </c>
      <c r="P89" s="37">
        <v>0</v>
      </c>
      <c r="Q89" s="37">
        <v>0</v>
      </c>
      <c r="R89" s="37">
        <v>0</v>
      </c>
      <c r="S89" s="37">
        <v>0</v>
      </c>
      <c r="T89" s="37">
        <v>0</v>
      </c>
      <c r="U89" s="37">
        <v>0</v>
      </c>
      <c r="V89" s="37">
        <v>0</v>
      </c>
      <c r="W89" s="37">
        <v>0</v>
      </c>
      <c r="X89" s="37">
        <v>0</v>
      </c>
      <c r="Y89" s="37">
        <v>0</v>
      </c>
      <c r="Z89" s="37">
        <v>0</v>
      </c>
      <c r="AA89" s="37">
        <v>0</v>
      </c>
      <c r="AB89" s="37">
        <v>0</v>
      </c>
      <c r="AC89" s="37">
        <v>0</v>
      </c>
      <c r="AD89" s="37">
        <v>0</v>
      </c>
      <c r="AE89" s="37">
        <v>0</v>
      </c>
      <c r="AF89" s="37">
        <v>0</v>
      </c>
      <c r="AG89" s="37">
        <v>0</v>
      </c>
      <c r="AH89" s="37">
        <v>0</v>
      </c>
      <c r="AI89" s="37">
        <v>0</v>
      </c>
      <c r="AJ89" s="37">
        <v>0</v>
      </c>
      <c r="AK89" s="37">
        <v>0</v>
      </c>
      <c r="AL89" s="37">
        <v>0</v>
      </c>
      <c r="AM89" s="37">
        <v>0</v>
      </c>
      <c r="AN89" s="37">
        <v>0</v>
      </c>
      <c r="AO89" s="37">
        <v>0</v>
      </c>
      <c r="AP89" s="37">
        <v>0</v>
      </c>
      <c r="AQ89" s="37">
        <v>0</v>
      </c>
      <c r="AR89" s="37">
        <v>0</v>
      </c>
      <c r="AS89" s="37">
        <v>0</v>
      </c>
      <c r="AT89" s="37">
        <v>0</v>
      </c>
      <c r="AU89" s="37">
        <v>0</v>
      </c>
      <c r="AV89" s="37">
        <v>0</v>
      </c>
      <c r="AW89" s="37">
        <v>0</v>
      </c>
      <c r="AX89" s="37">
        <v>0</v>
      </c>
      <c r="AY89" s="37">
        <v>0</v>
      </c>
      <c r="BA89" s="66"/>
      <c r="BB89" s="66"/>
    </row>
    <row r="90" spans="2:54">
      <c r="B90">
        <v>10279</v>
      </c>
      <c r="C90" t="s">
        <v>94</v>
      </c>
      <c r="D90" s="37">
        <v>5812.0394740603915</v>
      </c>
      <c r="E90" s="37">
        <v>1767.7075777394512</v>
      </c>
      <c r="F90" s="37">
        <v>-2613.0616360608037</v>
      </c>
      <c r="G90" s="37">
        <v>2256.8513678808886</v>
      </c>
      <c r="H90" s="37">
        <v>1297.453662562104</v>
      </c>
      <c r="I90" s="37">
        <v>1258.7425069344026</v>
      </c>
      <c r="J90" s="37">
        <v>340.71991098849685</v>
      </c>
      <c r="K90" s="37">
        <v>2448.8480262930971</v>
      </c>
      <c r="L90" s="37">
        <v>-11907.516361091901</v>
      </c>
      <c r="M90" s="37">
        <v>13119.8762422201</v>
      </c>
      <c r="N90" s="37">
        <v>14824.442404600693</v>
      </c>
      <c r="O90" s="37">
        <v>-17623.860232705792</v>
      </c>
      <c r="P90" s="37">
        <v>21373.403437382243</v>
      </c>
      <c r="Q90" s="37">
        <v>-16390.37243871417</v>
      </c>
      <c r="R90" s="37">
        <v>-4405.1859485328059</v>
      </c>
      <c r="S90" s="37">
        <v>-1734.4741370118609</v>
      </c>
      <c r="T90" s="37">
        <v>-3177.8923149686016</v>
      </c>
      <c r="U90" s="37">
        <v>-3504.3948384974501</v>
      </c>
      <c r="V90" s="37">
        <v>3640.8614775596106</v>
      </c>
      <c r="W90" s="37">
        <v>1128.4721722972463</v>
      </c>
      <c r="X90" s="37">
        <v>3007.5435229988507</v>
      </c>
      <c r="Y90" s="37">
        <v>2354.4967895184182</v>
      </c>
      <c r="Z90" s="37">
        <v>3179.24924914859</v>
      </c>
      <c r="AA90" s="37">
        <v>534.80394398561111</v>
      </c>
      <c r="AB90" s="37">
        <v>6158.6064740604161</v>
      </c>
      <c r="AC90" s="37">
        <v>1699.6225777394448</v>
      </c>
      <c r="AD90" s="37">
        <v>-2232.0156360608016</v>
      </c>
      <c r="AE90" s="37">
        <v>2145.9133678809012</v>
      </c>
      <c r="AF90" s="37">
        <v>1818.0226625620926</v>
      </c>
      <c r="AG90" s="37">
        <v>1017.0485069343995</v>
      </c>
      <c r="AH90" s="37">
        <v>-951.65208901150618</v>
      </c>
      <c r="AI90" s="37">
        <v>4019.8910262931022</v>
      </c>
      <c r="AJ90" s="37">
        <v>-11898.164295867904</v>
      </c>
      <c r="AK90" s="37">
        <v>15260.581774832088</v>
      </c>
      <c r="AL90" s="37">
        <v>17791.117404600696</v>
      </c>
      <c r="AM90" s="37">
        <v>-20311.836232705802</v>
      </c>
      <c r="AN90" s="37">
        <v>22166.038437382253</v>
      </c>
      <c r="AO90" s="37">
        <v>-16912.779438714162</v>
      </c>
      <c r="AP90" s="37">
        <v>-4189.3619485327981</v>
      </c>
      <c r="AQ90" s="37">
        <v>-1671.1511370118569</v>
      </c>
      <c r="AR90" s="37">
        <v>-2981.4093149685941</v>
      </c>
      <c r="AS90" s="37">
        <v>-3430.6008384974557</v>
      </c>
      <c r="AT90" s="37">
        <v>3811.8494775595937</v>
      </c>
      <c r="AU90" s="37">
        <v>1236.8121722972573</v>
      </c>
      <c r="AV90" s="37">
        <v>3374.8085229988355</v>
      </c>
      <c r="AW90" s="37">
        <v>2266.5597895184128</v>
      </c>
      <c r="AX90" s="37">
        <v>3127.8302491485956</v>
      </c>
      <c r="AY90" s="37">
        <v>856.43694398559819</v>
      </c>
      <c r="BA90" s="66"/>
      <c r="BB90" s="66"/>
    </row>
    <row r="91" spans="2:54">
      <c r="B91">
        <v>10284</v>
      </c>
      <c r="C91" t="s">
        <v>95</v>
      </c>
      <c r="D91" s="37">
        <v>1308.2629886035993</v>
      </c>
      <c r="E91" s="37">
        <v>746.98106144755002</v>
      </c>
      <c r="F91" s="37">
        <v>408.75809033279893</v>
      </c>
      <c r="G91" s="37">
        <v>1106.2757098131001</v>
      </c>
      <c r="H91" s="37">
        <v>2082.8471531238993</v>
      </c>
      <c r="I91" s="37">
        <v>1637.9653705695996</v>
      </c>
      <c r="J91" s="37">
        <v>1993.4234109215004</v>
      </c>
      <c r="K91" s="37">
        <v>1875.0808688528996</v>
      </c>
      <c r="L91" s="37">
        <v>1023.9033871378997</v>
      </c>
      <c r="M91" s="37">
        <v>1281.8049537458996</v>
      </c>
      <c r="N91" s="37">
        <v>401.13736676129975</v>
      </c>
      <c r="O91" s="37">
        <v>825.19588627779967</v>
      </c>
      <c r="P91" s="37">
        <v>898.24118565274966</v>
      </c>
      <c r="Q91" s="37">
        <v>715.98715563367523</v>
      </c>
      <c r="R91" s="37">
        <v>-1472.7559327152012</v>
      </c>
      <c r="S91" s="37">
        <v>-548.15348875915015</v>
      </c>
      <c r="T91" s="37">
        <v>-1681.1352845074002</v>
      </c>
      <c r="U91" s="37">
        <v>-912.4884069695504</v>
      </c>
      <c r="V91" s="37">
        <v>-649.43053102360045</v>
      </c>
      <c r="W91" s="37">
        <v>-260.6416003622503</v>
      </c>
      <c r="X91" s="37">
        <v>-501.87993680785075</v>
      </c>
      <c r="Y91" s="37">
        <v>-57.444049959514814</v>
      </c>
      <c r="Z91" s="37">
        <v>-383.35983087260092</v>
      </c>
      <c r="AA91" s="37">
        <v>-280.6407742895999</v>
      </c>
      <c r="AB91" s="37">
        <v>1365.1949886035991</v>
      </c>
      <c r="AC91" s="37">
        <v>782.99006144755003</v>
      </c>
      <c r="AD91" s="37">
        <v>458.53909033279888</v>
      </c>
      <c r="AE91" s="37">
        <v>1146.2007098130994</v>
      </c>
      <c r="AF91" s="37">
        <v>2137.6631531239</v>
      </c>
      <c r="AG91" s="37">
        <v>1675.6353705695997</v>
      </c>
      <c r="AH91" s="37">
        <v>1703.8874109215003</v>
      </c>
      <c r="AI91" s="37">
        <v>2256.9008688528993</v>
      </c>
      <c r="AJ91" s="37">
        <v>1248.3935377539001</v>
      </c>
      <c r="AK91" s="37">
        <v>1403.2240290538994</v>
      </c>
      <c r="AL91" s="37">
        <v>715.15036676129967</v>
      </c>
      <c r="AM91" s="37">
        <v>603.0568862778</v>
      </c>
      <c r="AN91" s="37">
        <v>951.36418565274926</v>
      </c>
      <c r="AO91" s="37">
        <v>751.57815563367512</v>
      </c>
      <c r="AP91" s="37">
        <v>-1420.5749327152012</v>
      </c>
      <c r="AQ91" s="37">
        <v>-508.86248875914998</v>
      </c>
      <c r="AR91" s="37">
        <v>-1626.4192845074003</v>
      </c>
      <c r="AS91" s="37">
        <v>-878.87840696955072</v>
      </c>
      <c r="AT91" s="37">
        <v>-591.01153102360058</v>
      </c>
      <c r="AU91" s="37">
        <v>-223.43360036225022</v>
      </c>
      <c r="AV91" s="37">
        <v>-443.34493680784999</v>
      </c>
      <c r="AW91" s="37">
        <v>-20.455049959514781</v>
      </c>
      <c r="AX91" s="37">
        <v>-330.76183087260097</v>
      </c>
      <c r="AY91" s="37">
        <v>-245.48877428960031</v>
      </c>
      <c r="BA91" s="66"/>
      <c r="BB91" s="66"/>
    </row>
    <row r="92" spans="2:54">
      <c r="B92">
        <v>10285</v>
      </c>
      <c r="C92" t="s">
        <v>96</v>
      </c>
      <c r="D92" s="37">
        <v>0</v>
      </c>
      <c r="E92" s="37">
        <v>0</v>
      </c>
      <c r="F92" s="37">
        <v>0</v>
      </c>
      <c r="G92" s="37">
        <v>0</v>
      </c>
      <c r="H92" s="37">
        <v>0</v>
      </c>
      <c r="I92" s="37">
        <v>0</v>
      </c>
      <c r="J92" s="37">
        <v>0</v>
      </c>
      <c r="K92" s="37">
        <v>0</v>
      </c>
      <c r="L92" s="37">
        <v>0</v>
      </c>
      <c r="M92" s="37">
        <v>0</v>
      </c>
      <c r="N92" s="37">
        <v>0</v>
      </c>
      <c r="O92" s="37">
        <v>0</v>
      </c>
      <c r="P92" s="37">
        <v>0</v>
      </c>
      <c r="Q92" s="37">
        <v>0</v>
      </c>
      <c r="R92" s="37">
        <v>0</v>
      </c>
      <c r="S92" s="37">
        <v>0</v>
      </c>
      <c r="T92" s="37">
        <v>0</v>
      </c>
      <c r="U92" s="37">
        <v>0</v>
      </c>
      <c r="V92" s="37">
        <v>0</v>
      </c>
      <c r="W92" s="37">
        <v>0</v>
      </c>
      <c r="X92" s="37">
        <v>0</v>
      </c>
      <c r="Y92" s="37">
        <v>0</v>
      </c>
      <c r="Z92" s="37">
        <v>0</v>
      </c>
      <c r="AA92" s="37">
        <v>0</v>
      </c>
      <c r="AB92" s="37">
        <v>0</v>
      </c>
      <c r="AC92" s="37">
        <v>0</v>
      </c>
      <c r="AD92" s="37">
        <v>0</v>
      </c>
      <c r="AE92" s="37">
        <v>0</v>
      </c>
      <c r="AF92" s="37">
        <v>0</v>
      </c>
      <c r="AG92" s="37">
        <v>0</v>
      </c>
      <c r="AH92" s="37">
        <v>0</v>
      </c>
      <c r="AI92" s="37">
        <v>0</v>
      </c>
      <c r="AJ92" s="37">
        <v>0</v>
      </c>
      <c r="AK92" s="37">
        <v>0</v>
      </c>
      <c r="AL92" s="37">
        <v>0</v>
      </c>
      <c r="AM92" s="37">
        <v>0</v>
      </c>
      <c r="AN92" s="37">
        <v>0</v>
      </c>
      <c r="AO92" s="37">
        <v>0</v>
      </c>
      <c r="AP92" s="37">
        <v>0</v>
      </c>
      <c r="AQ92" s="37">
        <v>0</v>
      </c>
      <c r="AR92" s="37">
        <v>0</v>
      </c>
      <c r="AS92" s="37">
        <v>0</v>
      </c>
      <c r="AT92" s="37">
        <v>0</v>
      </c>
      <c r="AU92" s="37">
        <v>0</v>
      </c>
      <c r="AV92" s="37">
        <v>0</v>
      </c>
      <c r="AW92" s="37">
        <v>0</v>
      </c>
      <c r="AX92" s="37">
        <v>0</v>
      </c>
      <c r="AY92" s="37">
        <v>0</v>
      </c>
      <c r="BA92" s="66"/>
      <c r="BB92" s="66"/>
    </row>
    <row r="93" spans="2:54">
      <c r="B93">
        <v>10286</v>
      </c>
      <c r="C93" t="s">
        <v>97</v>
      </c>
      <c r="D93" s="37">
        <v>1666.5642191223815</v>
      </c>
      <c r="E93" s="37">
        <v>1345.4659476917041</v>
      </c>
      <c r="F93" s="37">
        <v>-888.37871588480266</v>
      </c>
      <c r="G93" s="37">
        <v>-190.49040320458698</v>
      </c>
      <c r="H93" s="37">
        <v>5395.0902807625971</v>
      </c>
      <c r="I93" s="37">
        <v>4002.1481625664037</v>
      </c>
      <c r="J93" s="37">
        <v>6868.3342534810181</v>
      </c>
      <c r="K93" s="37">
        <v>5857.1843140485944</v>
      </c>
      <c r="L93" s="37">
        <v>4198.9355058385991</v>
      </c>
      <c r="M93" s="37">
        <v>4860.369716110612</v>
      </c>
      <c r="N93" s="37">
        <v>2960.4864043342168</v>
      </c>
      <c r="O93" s="37">
        <v>2528.8101975452173</v>
      </c>
      <c r="P93" s="37">
        <v>-914.93279153151161</v>
      </c>
      <c r="Q93" s="37">
        <v>-179.75363326755178</v>
      </c>
      <c r="R93" s="37">
        <v>-9102.8044699167876</v>
      </c>
      <c r="S93" s="37">
        <v>-5597.8989408861107</v>
      </c>
      <c r="T93" s="37">
        <v>-14467.113973751599</v>
      </c>
      <c r="U93" s="37">
        <v>-7889.6177724396994</v>
      </c>
      <c r="V93" s="37">
        <v>-1027.7865706024058</v>
      </c>
      <c r="W93" s="37">
        <v>577.43175205850275</v>
      </c>
      <c r="X93" s="37">
        <v>-5301.2380554919018</v>
      </c>
      <c r="Y93" s="37">
        <v>-1723.2568559310184</v>
      </c>
      <c r="Z93" s="37">
        <v>-1168.5033271684006</v>
      </c>
      <c r="AA93" s="37">
        <v>-912.44548344637951</v>
      </c>
      <c r="AB93" s="37">
        <v>1615.6581023224135</v>
      </c>
      <c r="AC93" s="37">
        <v>1311.5285364917145</v>
      </c>
      <c r="AD93" s="37">
        <v>-945.2348982848016</v>
      </c>
      <c r="AE93" s="37">
        <v>-228.39452480460568</v>
      </c>
      <c r="AF93" s="37">
        <v>5316.4171911625999</v>
      </c>
      <c r="AG93" s="37">
        <v>3949.6994361663947</v>
      </c>
      <c r="AH93" s="37">
        <v>6781.72774308101</v>
      </c>
      <c r="AI93" s="37">
        <v>5799.4466404486047</v>
      </c>
      <c r="AJ93" s="37">
        <v>4878.6925075826002</v>
      </c>
      <c r="AK93" s="37">
        <v>5188.3480857825998</v>
      </c>
      <c r="AL93" s="37">
        <v>2889.7467355341869</v>
      </c>
      <c r="AM93" s="37">
        <v>2481.6504183452107</v>
      </c>
      <c r="AN93" s="37">
        <v>-961.8721979315269</v>
      </c>
      <c r="AO93" s="37">
        <v>-211.04657086754014</v>
      </c>
      <c r="AP93" s="37">
        <v>-9139.1659819168144</v>
      </c>
      <c r="AQ93" s="37">
        <v>-5622.1399488861043</v>
      </c>
      <c r="AR93" s="37">
        <v>-14492.236472951598</v>
      </c>
      <c r="AS93" s="37">
        <v>-7906.3661052397001</v>
      </c>
      <c r="AT93" s="37">
        <v>-1080.6760426023829</v>
      </c>
      <c r="AU93" s="37">
        <v>542.17210405849255</v>
      </c>
      <c r="AV93" s="37">
        <v>-5341.5662778918977</v>
      </c>
      <c r="AW93" s="37">
        <v>-1750.1423375310187</v>
      </c>
      <c r="AX93" s="37">
        <v>-1212.7982599684019</v>
      </c>
      <c r="AY93" s="37">
        <v>-941.9754386463992</v>
      </c>
      <c r="BA93" s="66"/>
      <c r="BB93" s="66"/>
    </row>
    <row r="94" spans="2:54">
      <c r="B94">
        <v>10288</v>
      </c>
      <c r="C94" t="s">
        <v>98</v>
      </c>
      <c r="D94" s="37">
        <v>0</v>
      </c>
      <c r="E94" s="37">
        <v>0</v>
      </c>
      <c r="F94" s="37">
        <v>0</v>
      </c>
      <c r="G94" s="37">
        <v>0</v>
      </c>
      <c r="H94" s="37">
        <v>0</v>
      </c>
      <c r="I94" s="37">
        <v>0</v>
      </c>
      <c r="J94" s="37">
        <v>0</v>
      </c>
      <c r="K94" s="37">
        <v>0</v>
      </c>
      <c r="L94" s="37">
        <v>0</v>
      </c>
      <c r="M94" s="37">
        <v>0</v>
      </c>
      <c r="N94" s="37">
        <v>0</v>
      </c>
      <c r="O94" s="37">
        <v>0</v>
      </c>
      <c r="P94" s="37">
        <v>0</v>
      </c>
      <c r="Q94" s="37">
        <v>0</v>
      </c>
      <c r="R94" s="37">
        <v>0</v>
      </c>
      <c r="S94" s="37">
        <v>0</v>
      </c>
      <c r="T94" s="37">
        <v>0</v>
      </c>
      <c r="U94" s="37">
        <v>0</v>
      </c>
      <c r="V94" s="37">
        <v>0</v>
      </c>
      <c r="W94" s="37">
        <v>0</v>
      </c>
      <c r="X94" s="37">
        <v>0</v>
      </c>
      <c r="Y94" s="37">
        <v>0</v>
      </c>
      <c r="Z94" s="37">
        <v>0</v>
      </c>
      <c r="AA94" s="37">
        <v>0</v>
      </c>
      <c r="AB94" s="37">
        <v>0</v>
      </c>
      <c r="AC94" s="37">
        <v>0</v>
      </c>
      <c r="AD94" s="37">
        <v>0</v>
      </c>
      <c r="AE94" s="37">
        <v>0</v>
      </c>
      <c r="AF94" s="37">
        <v>0</v>
      </c>
      <c r="AG94" s="37">
        <v>0</v>
      </c>
      <c r="AH94" s="37">
        <v>0</v>
      </c>
      <c r="AI94" s="37">
        <v>0</v>
      </c>
      <c r="AJ94" s="37">
        <v>0</v>
      </c>
      <c r="AK94" s="37">
        <v>0</v>
      </c>
      <c r="AL94" s="37">
        <v>0</v>
      </c>
      <c r="AM94" s="37">
        <v>0</v>
      </c>
      <c r="AN94" s="37">
        <v>0</v>
      </c>
      <c r="AO94" s="37">
        <v>0</v>
      </c>
      <c r="AP94" s="37">
        <v>0</v>
      </c>
      <c r="AQ94" s="37">
        <v>0</v>
      </c>
      <c r="AR94" s="37">
        <v>0</v>
      </c>
      <c r="AS94" s="37">
        <v>0</v>
      </c>
      <c r="AT94" s="37">
        <v>0</v>
      </c>
      <c r="AU94" s="37">
        <v>0</v>
      </c>
      <c r="AV94" s="37">
        <v>0</v>
      </c>
      <c r="AW94" s="37">
        <v>0</v>
      </c>
      <c r="AX94" s="37">
        <v>0</v>
      </c>
      <c r="AY94" s="37">
        <v>0</v>
      </c>
      <c r="BA94" s="66"/>
      <c r="BB94" s="66"/>
    </row>
    <row r="95" spans="2:54">
      <c r="B95">
        <v>10291</v>
      </c>
      <c r="C95" t="s">
        <v>99</v>
      </c>
      <c r="D95" s="37">
        <v>5934.2216897267972</v>
      </c>
      <c r="E95" s="37">
        <v>1359.0741749831504</v>
      </c>
      <c r="F95" s="37">
        <v>493.29728056640306</v>
      </c>
      <c r="G95" s="37">
        <v>3564.504539300302</v>
      </c>
      <c r="H95" s="37">
        <v>4283.1680659807025</v>
      </c>
      <c r="I95" s="37">
        <v>3599.3831530848038</v>
      </c>
      <c r="J95" s="37">
        <v>-128.99381457049458</v>
      </c>
      <c r="K95" s="37">
        <v>2243.6850911576985</v>
      </c>
      <c r="L95" s="37">
        <v>1682.9866443627106</v>
      </c>
      <c r="M95" s="37">
        <v>3470.0866966667018</v>
      </c>
      <c r="N95" s="37">
        <v>288.51053568690259</v>
      </c>
      <c r="O95" s="37">
        <v>1344.5368213514012</v>
      </c>
      <c r="P95" s="37">
        <v>4494.6830888107579</v>
      </c>
      <c r="Q95" s="37">
        <v>1637.5988904902806</v>
      </c>
      <c r="R95" s="37">
        <v>-3994.0733574576007</v>
      </c>
      <c r="S95" s="37">
        <v>-717.83268431394754</v>
      </c>
      <c r="T95" s="37">
        <v>-28.431712016194069</v>
      </c>
      <c r="U95" s="37">
        <v>-583.83155936915136</v>
      </c>
      <c r="V95" s="37">
        <v>10138.497572813198</v>
      </c>
      <c r="W95" s="37">
        <v>6460.0509961157513</v>
      </c>
      <c r="X95" s="37">
        <v>5840.1990358429466</v>
      </c>
      <c r="Y95" s="37">
        <v>4603.1465956018073</v>
      </c>
      <c r="Z95" s="37">
        <v>1014.1781580761999</v>
      </c>
      <c r="AA95" s="37">
        <v>-750.06587744479839</v>
      </c>
      <c r="AB95" s="37">
        <v>6244.5750794719934</v>
      </c>
      <c r="AC95" s="37">
        <v>1537.0098350260014</v>
      </c>
      <c r="AD95" s="37">
        <v>739.07780185600132</v>
      </c>
      <c r="AE95" s="37">
        <v>3750.0292954119977</v>
      </c>
      <c r="AF95" s="37">
        <v>4516.7178338279991</v>
      </c>
      <c r="AG95" s="37">
        <v>3756.3835377920004</v>
      </c>
      <c r="AH95" s="37">
        <v>-1496.1195818199994</v>
      </c>
      <c r="AI95" s="37">
        <v>3968.7196469080009</v>
      </c>
      <c r="AJ95" s="37">
        <v>3165.4578214280045</v>
      </c>
      <c r="AK95" s="37">
        <v>4245.3430974279981</v>
      </c>
      <c r="AL95" s="37">
        <v>1955.6579056759947</v>
      </c>
      <c r="AM95" s="37">
        <v>9.6656632559970603</v>
      </c>
      <c r="AN95" s="37">
        <v>4680.2465409299984</v>
      </c>
      <c r="AO95" s="37">
        <v>1747.7376360610033</v>
      </c>
      <c r="AP95" s="37">
        <v>-3836.6875911040042</v>
      </c>
      <c r="AQ95" s="37">
        <v>-601.29081065799983</v>
      </c>
      <c r="AR95" s="37">
        <v>172.85005575200194</v>
      </c>
      <c r="AS95" s="37">
        <v>-469.83331846600049</v>
      </c>
      <c r="AT95" s="37">
        <v>10391.203542127994</v>
      </c>
      <c r="AU95" s="37">
        <v>6613.707623129998</v>
      </c>
      <c r="AV95" s="37">
        <v>6053.7431338180031</v>
      </c>
      <c r="AW95" s="37">
        <v>4736.6122698622021</v>
      </c>
      <c r="AX95" s="37">
        <v>1165.8004666479937</v>
      </c>
      <c r="AY95" s="37">
        <v>-658.35259219200088</v>
      </c>
      <c r="BA95" s="66"/>
      <c r="BB95" s="66"/>
    </row>
    <row r="96" spans="2:54">
      <c r="B96">
        <v>10294</v>
      </c>
      <c r="C96" t="s">
        <v>100</v>
      </c>
      <c r="D96" s="37">
        <v>1470.731570272399</v>
      </c>
      <c r="E96" s="37">
        <v>951.80956762294954</v>
      </c>
      <c r="F96" s="37">
        <v>1897.4046933151985</v>
      </c>
      <c r="G96" s="37">
        <v>2087.3426917078996</v>
      </c>
      <c r="H96" s="37">
        <v>4948.4934500251002</v>
      </c>
      <c r="I96" s="37">
        <v>4367.2105533663998</v>
      </c>
      <c r="J96" s="37">
        <v>2585.6237016435007</v>
      </c>
      <c r="K96" s="37">
        <v>4424.1822916860983</v>
      </c>
      <c r="L96" s="37">
        <v>2853.3716727511019</v>
      </c>
      <c r="M96" s="37">
        <v>3627.3866074230991</v>
      </c>
      <c r="N96" s="37">
        <v>2545.6303928216985</v>
      </c>
      <c r="O96" s="37">
        <v>1958.9362273202005</v>
      </c>
      <c r="P96" s="37">
        <v>2253.7252573497499</v>
      </c>
      <c r="Q96" s="37">
        <v>1958.6023833105755</v>
      </c>
      <c r="R96" s="37">
        <v>-4733.3519853168018</v>
      </c>
      <c r="S96" s="37">
        <v>-2371.8204114673499</v>
      </c>
      <c r="T96" s="37">
        <v>-6433.3476836265982</v>
      </c>
      <c r="U96" s="37">
        <v>-3361.5224391209504</v>
      </c>
      <c r="V96" s="37">
        <v>-4749.9867500523997</v>
      </c>
      <c r="W96" s="37">
        <v>-2006.7007702852497</v>
      </c>
      <c r="X96" s="37">
        <v>-3503.909840935652</v>
      </c>
      <c r="Y96" s="37">
        <v>-2156.7525357391351</v>
      </c>
      <c r="Z96" s="37">
        <v>-2202.3018767934009</v>
      </c>
      <c r="AA96" s="37">
        <v>-1859.191454846401</v>
      </c>
      <c r="AB96" s="37">
        <v>1577.7915702723985</v>
      </c>
      <c r="AC96" s="37">
        <v>1021.6415676229499</v>
      </c>
      <c r="AD96" s="37">
        <v>2034.3946933152001</v>
      </c>
      <c r="AE96" s="37">
        <v>2182.2926917079003</v>
      </c>
      <c r="AF96" s="37">
        <v>5117.0934500250987</v>
      </c>
      <c r="AG96" s="37">
        <v>4484.9805533664003</v>
      </c>
      <c r="AH96" s="37">
        <v>2745.433701643502</v>
      </c>
      <c r="AI96" s="37">
        <v>4542.8622916860986</v>
      </c>
      <c r="AJ96" s="37">
        <v>3592.9527586951008</v>
      </c>
      <c r="AK96" s="37">
        <v>4022.0621503950988</v>
      </c>
      <c r="AL96" s="37">
        <v>2694.2603928216995</v>
      </c>
      <c r="AM96" s="37">
        <v>2056.7462273202</v>
      </c>
      <c r="AN96" s="37">
        <v>2372.8352573497505</v>
      </c>
      <c r="AO96" s="37">
        <v>2038.8423833105753</v>
      </c>
      <c r="AP96" s="37">
        <v>-4639.9119853168031</v>
      </c>
      <c r="AQ96" s="37">
        <v>-2306.5724114673485</v>
      </c>
      <c r="AR96" s="37">
        <v>-6345.0276836265984</v>
      </c>
      <c r="AS96" s="37">
        <v>-3305.9574391209508</v>
      </c>
      <c r="AT96" s="37">
        <v>-4668.1967500524006</v>
      </c>
      <c r="AU96" s="37">
        <v>-1951.0147702852491</v>
      </c>
      <c r="AV96" s="37">
        <v>-3415.0098409356524</v>
      </c>
      <c r="AW96" s="37">
        <v>-2106.4925357391348</v>
      </c>
      <c r="AX96" s="37">
        <v>-2119.2818767934004</v>
      </c>
      <c r="AY96" s="37">
        <v>-1805.8974548464003</v>
      </c>
      <c r="BA96" s="66"/>
      <c r="BB96" s="66"/>
    </row>
    <row r="97" spans="2:54">
      <c r="B97">
        <v>10304</v>
      </c>
      <c r="C97" t="s">
        <v>101</v>
      </c>
      <c r="D97" s="37">
        <v>859.85868208799911</v>
      </c>
      <c r="E97" s="37">
        <v>345.98641307900016</v>
      </c>
      <c r="F97" s="37">
        <v>519.61160902400024</v>
      </c>
      <c r="G97" s="37">
        <v>574.4546985979996</v>
      </c>
      <c r="H97" s="37">
        <v>930.53269486199952</v>
      </c>
      <c r="I97" s="37">
        <v>990.04324236800039</v>
      </c>
      <c r="J97" s="37">
        <v>782.40768947000106</v>
      </c>
      <c r="K97" s="37">
        <v>1033.319947682</v>
      </c>
      <c r="L97" s="37">
        <v>607.67900298200038</v>
      </c>
      <c r="M97" s="37">
        <v>943.64939562200016</v>
      </c>
      <c r="N97" s="37">
        <v>260.53508255400084</v>
      </c>
      <c r="O97" s="37">
        <v>76.977907124000922</v>
      </c>
      <c r="P97" s="37">
        <v>472.21909609500108</v>
      </c>
      <c r="Q97" s="37">
        <v>281.19545728150069</v>
      </c>
      <c r="R97" s="37">
        <v>-1815.3873188160005</v>
      </c>
      <c r="S97" s="37">
        <v>-1063.7893058069999</v>
      </c>
      <c r="T97" s="37">
        <v>-2295.7893922919993</v>
      </c>
      <c r="U97" s="37">
        <v>-1287.0621558389998</v>
      </c>
      <c r="V97" s="37">
        <v>-1150.1046856880002</v>
      </c>
      <c r="W97" s="37">
        <v>-354.83534260499982</v>
      </c>
      <c r="X97" s="37">
        <v>-831.78451305300041</v>
      </c>
      <c r="Y97" s="37">
        <v>-336.21735106869983</v>
      </c>
      <c r="Z97" s="37">
        <v>-660.85112810800001</v>
      </c>
      <c r="AA97" s="37">
        <v>-550.36279996800022</v>
      </c>
      <c r="AB97" s="37">
        <v>862.27692832959929</v>
      </c>
      <c r="AC97" s="37">
        <v>347.06043028680006</v>
      </c>
      <c r="AD97" s="37">
        <v>518.85086478079938</v>
      </c>
      <c r="AE97" s="37">
        <v>574.43183262159982</v>
      </c>
      <c r="AF97" s="37">
        <v>927.96355761040013</v>
      </c>
      <c r="AG97" s="37">
        <v>989.01787010559929</v>
      </c>
      <c r="AH97" s="37">
        <v>778.97864592400038</v>
      </c>
      <c r="AI97" s="37">
        <v>1032.1041403543995</v>
      </c>
      <c r="AJ97" s="37">
        <v>825.63415929040002</v>
      </c>
      <c r="AK97" s="37">
        <v>1053.5428960903996</v>
      </c>
      <c r="AL97" s="37">
        <v>259.40743845680026</v>
      </c>
      <c r="AM97" s="37">
        <v>76.071651300800113</v>
      </c>
      <c r="AN97" s="37">
        <v>473.09150187399973</v>
      </c>
      <c r="AO97" s="37">
        <v>281.70551804980005</v>
      </c>
      <c r="AP97" s="37">
        <v>-1817.9883129472</v>
      </c>
      <c r="AQ97" s="37">
        <v>-1065.1894101043999</v>
      </c>
      <c r="AR97" s="37">
        <v>-2298.4164271663994</v>
      </c>
      <c r="AS97" s="37">
        <v>-1288.4119660788001</v>
      </c>
      <c r="AT97" s="37">
        <v>-1149.7286254496003</v>
      </c>
      <c r="AU97" s="37">
        <v>-353.62512216599998</v>
      </c>
      <c r="AV97" s="37">
        <v>-830.61498980760007</v>
      </c>
      <c r="AW97" s="37">
        <v>-335.13119862003987</v>
      </c>
      <c r="AX97" s="37">
        <v>-660.3668565136004</v>
      </c>
      <c r="AY97" s="37">
        <v>-550.32062402560041</v>
      </c>
      <c r="BA97" s="66"/>
      <c r="BB97" s="66"/>
    </row>
    <row r="98" spans="2:54">
      <c r="B98">
        <v>10306</v>
      </c>
      <c r="C98" t="s">
        <v>102</v>
      </c>
      <c r="D98" s="37">
        <v>-3084.2757785562972</v>
      </c>
      <c r="E98" s="37">
        <v>-1668.688650422753</v>
      </c>
      <c r="F98" s="37">
        <v>3860.7370009958404</v>
      </c>
      <c r="G98" s="37">
        <v>4209.1290331968448</v>
      </c>
      <c r="H98" s="37">
        <v>1947.6094783234594</v>
      </c>
      <c r="I98" s="37">
        <v>3310.0026713320121</v>
      </c>
      <c r="J98" s="37">
        <v>5975.3481714233658</v>
      </c>
      <c r="K98" s="37">
        <v>6138.4592319798239</v>
      </c>
      <c r="L98" s="37">
        <v>5640.3715269480217</v>
      </c>
      <c r="M98" s="37">
        <v>5391.078757613398</v>
      </c>
      <c r="N98" s="37">
        <v>4302.6907571193678</v>
      </c>
      <c r="O98" s="37">
        <v>4474.401704492926</v>
      </c>
      <c r="P98" s="37">
        <v>-5229.1902190542496</v>
      </c>
      <c r="Q98" s="37">
        <v>-3293.8824671202242</v>
      </c>
      <c r="R98" s="37">
        <v>-7433.8446047856005</v>
      </c>
      <c r="S98" s="37">
        <v>-4799.7843737449493</v>
      </c>
      <c r="T98" s="37">
        <v>-7848.7494744522</v>
      </c>
      <c r="U98" s="37">
        <v>-4650.3187126561497</v>
      </c>
      <c r="V98" s="37">
        <v>-3919.5993909940262</v>
      </c>
      <c r="W98" s="37">
        <v>-1848.0741479460248</v>
      </c>
      <c r="X98" s="37">
        <v>-3625.1463323318553</v>
      </c>
      <c r="Y98" s="37">
        <v>-1647.7886494194868</v>
      </c>
      <c r="Z98" s="37">
        <v>-200.25851508780124</v>
      </c>
      <c r="AA98" s="37">
        <v>981.58404681119964</v>
      </c>
      <c r="AB98" s="37">
        <v>-3001.9863870468648</v>
      </c>
      <c r="AC98" s="37">
        <v>-1776.6303288773349</v>
      </c>
      <c r="AD98" s="37">
        <v>3841.0240033297187</v>
      </c>
      <c r="AE98" s="37">
        <v>4196.3829745130761</v>
      </c>
      <c r="AF98" s="37">
        <v>1926.3104507994403</v>
      </c>
      <c r="AG98" s="37">
        <v>3296.2094143025515</v>
      </c>
      <c r="AH98" s="37">
        <v>5952.8179693812363</v>
      </c>
      <c r="AI98" s="37">
        <v>6124.6436325835803</v>
      </c>
      <c r="AJ98" s="37">
        <v>5796.5202681787987</v>
      </c>
      <c r="AK98" s="37">
        <v>5578.455367778799</v>
      </c>
      <c r="AL98" s="37">
        <v>4281.862041991707</v>
      </c>
      <c r="AM98" s="37">
        <v>4461.0511561854828</v>
      </c>
      <c r="AN98" s="37">
        <v>-5245.782901163665</v>
      </c>
      <c r="AO98" s="37">
        <v>-3304.5485345702318</v>
      </c>
      <c r="AP98" s="37">
        <v>-7454.4126875584016</v>
      </c>
      <c r="AQ98" s="37">
        <v>-4813.0644956118003</v>
      </c>
      <c r="AR98" s="37">
        <v>-7870.4655228008005</v>
      </c>
      <c r="AS98" s="37">
        <v>-4663.1852904886009</v>
      </c>
      <c r="AT98" s="37">
        <v>-3938.2567812705538</v>
      </c>
      <c r="AU98" s="37">
        <v>-1859.347347457644</v>
      </c>
      <c r="AV98" s="37">
        <v>-3755.7005253457519</v>
      </c>
      <c r="AW98" s="37">
        <v>-1546.1638927388299</v>
      </c>
      <c r="AX98" s="37">
        <v>15.766063840799688</v>
      </c>
      <c r="AY98" s="37">
        <v>739.04086487679933</v>
      </c>
      <c r="BA98" s="66"/>
      <c r="BB98" s="66"/>
    </row>
    <row r="99" spans="2:54">
      <c r="B99">
        <v>10307</v>
      </c>
      <c r="C99" t="s">
        <v>103</v>
      </c>
      <c r="D99" s="37">
        <v>5519.3315713347984</v>
      </c>
      <c r="E99" s="37">
        <v>559.36987672214673</v>
      </c>
      <c r="F99" s="37">
        <v>2050.8868185503961</v>
      </c>
      <c r="G99" s="37">
        <v>3259.6212928183013</v>
      </c>
      <c r="H99" s="37">
        <v>7169.3724143226937</v>
      </c>
      <c r="I99" s="37">
        <v>3708.229466172801</v>
      </c>
      <c r="J99" s="37">
        <v>5163.2653686995036</v>
      </c>
      <c r="K99" s="37">
        <v>3924.9132951196989</v>
      </c>
      <c r="L99" s="37">
        <v>4833.6139656247033</v>
      </c>
      <c r="M99" s="37">
        <v>3961.9895961686962</v>
      </c>
      <c r="N99" s="37">
        <v>594.8810734009021</v>
      </c>
      <c r="O99" s="37">
        <v>502.14803143540121</v>
      </c>
      <c r="P99" s="37">
        <v>2430.7590062057534</v>
      </c>
      <c r="Q99" s="37">
        <v>71.587040781778342</v>
      </c>
      <c r="R99" s="37">
        <v>-10428.295740913607</v>
      </c>
      <c r="S99" s="37">
        <v>-5627.7533839009484</v>
      </c>
      <c r="T99" s="37">
        <v>-11445.437789988198</v>
      </c>
      <c r="U99" s="37">
        <v>-7164.8455342681518</v>
      </c>
      <c r="V99" s="37">
        <v>-4343.4626563948004</v>
      </c>
      <c r="W99" s="37">
        <v>-1999.6512231892484</v>
      </c>
      <c r="X99" s="37">
        <v>-3285.7981078300545</v>
      </c>
      <c r="Y99" s="37">
        <v>-679.89833036489654</v>
      </c>
      <c r="Z99" s="37">
        <v>-2391.8109003518002</v>
      </c>
      <c r="AA99" s="37">
        <v>-2949.4692521328016</v>
      </c>
      <c r="AB99" s="37">
        <v>5546.2188623475959</v>
      </c>
      <c r="AC99" s="37">
        <v>572.96480614954999</v>
      </c>
      <c r="AD99" s="37">
        <v>2071.9384844447959</v>
      </c>
      <c r="AE99" s="37">
        <v>3275.3877239370995</v>
      </c>
      <c r="AF99" s="37">
        <v>7189.2648884798909</v>
      </c>
      <c r="AG99" s="37">
        <v>3720.286298953597</v>
      </c>
      <c r="AH99" s="37">
        <v>3597.136771781501</v>
      </c>
      <c r="AI99" s="37">
        <v>5521.6759773688973</v>
      </c>
      <c r="AJ99" s="37">
        <v>5977.9153383099001</v>
      </c>
      <c r="AK99" s="37">
        <v>4536.7992816098958</v>
      </c>
      <c r="AL99" s="37">
        <v>1935.5234940133014</v>
      </c>
      <c r="AM99" s="37">
        <v>-803.76636181019785</v>
      </c>
      <c r="AN99" s="37">
        <v>2454.0324857627529</v>
      </c>
      <c r="AO99" s="37">
        <v>84.656930780674884</v>
      </c>
      <c r="AP99" s="37">
        <v>-10410.456188523203</v>
      </c>
      <c r="AQ99" s="37">
        <v>-5614.5411435251517</v>
      </c>
      <c r="AR99" s="37">
        <v>-11426.310831203402</v>
      </c>
      <c r="AS99" s="37">
        <v>-7154.1157645515541</v>
      </c>
      <c r="AT99" s="37">
        <v>-4318.0942215676041</v>
      </c>
      <c r="AU99" s="37">
        <v>-1983.3227808522533</v>
      </c>
      <c r="AV99" s="37">
        <v>-3260.0892167218517</v>
      </c>
      <c r="AW99" s="37">
        <v>-663.20196838011179</v>
      </c>
      <c r="AX99" s="37">
        <v>-2368.9695793766041</v>
      </c>
      <c r="AY99" s="37">
        <v>-2936.1257714736003</v>
      </c>
      <c r="BA99" s="66"/>
      <c r="BB99" s="66"/>
    </row>
    <row r="100" spans="2:54">
      <c r="B100">
        <v>10326</v>
      </c>
      <c r="C100" t="s">
        <v>104</v>
      </c>
      <c r="D100" s="37">
        <v>838.59453445079816</v>
      </c>
      <c r="E100" s="37">
        <v>423.34351846265145</v>
      </c>
      <c r="F100" s="37">
        <v>-4536.4877702815993</v>
      </c>
      <c r="G100" s="37">
        <v>-1397.9739991207007</v>
      </c>
      <c r="H100" s="37">
        <v>-6446.912963268298</v>
      </c>
      <c r="I100" s="37">
        <v>-3739.7194012512</v>
      </c>
      <c r="J100" s="37">
        <v>-5020.4597556354984</v>
      </c>
      <c r="K100" s="37">
        <v>-2103.062266481299</v>
      </c>
      <c r="L100" s="37">
        <v>-2735.4738276262979</v>
      </c>
      <c r="M100" s="37">
        <v>-269.78766860230007</v>
      </c>
      <c r="N100" s="37">
        <v>-2320.0533125960992</v>
      </c>
      <c r="O100" s="37">
        <v>-397.17111444660077</v>
      </c>
      <c r="P100" s="37">
        <v>-968.31557644174791</v>
      </c>
      <c r="Q100" s="37">
        <v>-336.15230227897428</v>
      </c>
      <c r="R100" s="37">
        <v>-4198.9607546255993</v>
      </c>
      <c r="S100" s="37">
        <v>-1347.5958682374494</v>
      </c>
      <c r="T100" s="37">
        <v>-4302.2459512821988</v>
      </c>
      <c r="U100" s="37">
        <v>-2062.7902078286497</v>
      </c>
      <c r="V100" s="37">
        <v>-2376.4319697107985</v>
      </c>
      <c r="W100" s="37">
        <v>-454.39437048674881</v>
      </c>
      <c r="X100" s="37">
        <v>-2719.2511692635508</v>
      </c>
      <c r="Y100" s="37">
        <v>-189.01801071454338</v>
      </c>
      <c r="Z100" s="37">
        <v>-4011.2703068578012</v>
      </c>
      <c r="AA100" s="37">
        <v>-2626.3757379088001</v>
      </c>
      <c r="AB100" s="37">
        <v>152.72653445079959</v>
      </c>
      <c r="AC100" s="37">
        <v>31.767518462651424</v>
      </c>
      <c r="AD100" s="37">
        <v>-5117.5057702815993</v>
      </c>
      <c r="AE100" s="37">
        <v>-1864.1969991206997</v>
      </c>
      <c r="AF100" s="37">
        <v>-7029.5859632682987</v>
      </c>
      <c r="AG100" s="37">
        <v>-4243.9314012512004</v>
      </c>
      <c r="AH100" s="37">
        <v>-6145.597755635501</v>
      </c>
      <c r="AI100" s="37">
        <v>-2056.1722664813005</v>
      </c>
      <c r="AJ100" s="37">
        <v>-2728.4566973782985</v>
      </c>
      <c r="AK100" s="37">
        <v>-406.17010347830001</v>
      </c>
      <c r="AL100" s="37">
        <v>-2329.2783125960996</v>
      </c>
      <c r="AM100" s="37">
        <v>-1458.7711144465993</v>
      </c>
      <c r="AN100" s="37">
        <v>-1570.9115764417493</v>
      </c>
      <c r="AO100" s="37">
        <v>-777.96230227897286</v>
      </c>
      <c r="AP100" s="37">
        <v>-4802.3357546256011</v>
      </c>
      <c r="AQ100" s="37">
        <v>-1823.6728682374487</v>
      </c>
      <c r="AR100" s="37">
        <v>-4879.9989512821994</v>
      </c>
      <c r="AS100" s="37">
        <v>-2528.9812078286486</v>
      </c>
      <c r="AT100" s="37">
        <v>-2978.7889697108003</v>
      </c>
      <c r="AU100" s="37">
        <v>-931.59137048674984</v>
      </c>
      <c r="AV100" s="37">
        <v>-3261.3461692635519</v>
      </c>
      <c r="AW100" s="37">
        <v>-728.16801071454393</v>
      </c>
      <c r="AX100" s="37">
        <v>-4658.6943068578021</v>
      </c>
      <c r="AY100" s="37">
        <v>-3035.5567379087997</v>
      </c>
      <c r="BA100" s="66"/>
      <c r="BB100" s="66"/>
    </row>
    <row r="101" spans="2:54">
      <c r="B101">
        <v>10331</v>
      </c>
      <c r="C101" t="s">
        <v>105</v>
      </c>
      <c r="D101" s="37">
        <v>0</v>
      </c>
      <c r="E101" s="37">
        <v>0</v>
      </c>
      <c r="F101" s="37">
        <v>0</v>
      </c>
      <c r="G101" s="37">
        <v>0</v>
      </c>
      <c r="H101" s="37">
        <v>0</v>
      </c>
      <c r="I101" s="37">
        <v>0</v>
      </c>
      <c r="J101" s="37">
        <v>0</v>
      </c>
      <c r="K101" s="37">
        <v>0</v>
      </c>
      <c r="L101" s="37">
        <v>0</v>
      </c>
      <c r="M101" s="37">
        <v>0</v>
      </c>
      <c r="N101" s="37">
        <v>0</v>
      </c>
      <c r="O101" s="37">
        <v>0</v>
      </c>
      <c r="P101" s="37">
        <v>0</v>
      </c>
      <c r="Q101" s="37">
        <v>0</v>
      </c>
      <c r="R101" s="37">
        <v>0</v>
      </c>
      <c r="S101" s="37">
        <v>0</v>
      </c>
      <c r="T101" s="37">
        <v>0</v>
      </c>
      <c r="U101" s="37">
        <v>0</v>
      </c>
      <c r="V101" s="37">
        <v>0</v>
      </c>
      <c r="W101" s="37">
        <v>0</v>
      </c>
      <c r="X101" s="37">
        <v>0</v>
      </c>
      <c r="Y101" s="37">
        <v>0</v>
      </c>
      <c r="Z101" s="37">
        <v>0</v>
      </c>
      <c r="AA101" s="37">
        <v>0</v>
      </c>
      <c r="AB101" s="37">
        <v>0</v>
      </c>
      <c r="AC101" s="37">
        <v>0</v>
      </c>
      <c r="AD101" s="37">
        <v>0</v>
      </c>
      <c r="AE101" s="37">
        <v>0</v>
      </c>
      <c r="AF101" s="37">
        <v>0</v>
      </c>
      <c r="AG101" s="37">
        <v>0</v>
      </c>
      <c r="AH101" s="37">
        <v>0</v>
      </c>
      <c r="AI101" s="37">
        <v>0</v>
      </c>
      <c r="AJ101" s="37">
        <v>0</v>
      </c>
      <c r="AK101" s="37">
        <v>0</v>
      </c>
      <c r="AL101" s="37">
        <v>0</v>
      </c>
      <c r="AM101" s="37">
        <v>0</v>
      </c>
      <c r="AN101" s="37">
        <v>0</v>
      </c>
      <c r="AO101" s="37">
        <v>0</v>
      </c>
      <c r="AP101" s="37">
        <v>0</v>
      </c>
      <c r="AQ101" s="37">
        <v>0</v>
      </c>
      <c r="AR101" s="37">
        <v>0</v>
      </c>
      <c r="AS101" s="37">
        <v>0</v>
      </c>
      <c r="AT101" s="37">
        <v>0</v>
      </c>
      <c r="AU101" s="37">
        <v>0</v>
      </c>
      <c r="AV101" s="37">
        <v>0</v>
      </c>
      <c r="AW101" s="37">
        <v>0</v>
      </c>
      <c r="AX101" s="37">
        <v>0</v>
      </c>
      <c r="AY101" s="37">
        <v>0</v>
      </c>
      <c r="BA101" s="66"/>
      <c r="BB101" s="66"/>
    </row>
    <row r="102" spans="2:54">
      <c r="B102">
        <v>10333</v>
      </c>
      <c r="C102" t="s">
        <v>106</v>
      </c>
      <c r="D102" s="37">
        <v>0</v>
      </c>
      <c r="E102" s="37">
        <v>0</v>
      </c>
      <c r="F102" s="37">
        <v>0</v>
      </c>
      <c r="G102" s="37">
        <v>0</v>
      </c>
      <c r="H102" s="37">
        <v>0</v>
      </c>
      <c r="I102" s="37">
        <v>0</v>
      </c>
      <c r="J102" s="37">
        <v>0</v>
      </c>
      <c r="K102" s="37">
        <v>0</v>
      </c>
      <c r="L102" s="37">
        <v>0</v>
      </c>
      <c r="M102" s="37">
        <v>0</v>
      </c>
      <c r="N102" s="37">
        <v>0</v>
      </c>
      <c r="O102" s="37">
        <v>0</v>
      </c>
      <c r="P102" s="37">
        <v>0</v>
      </c>
      <c r="Q102" s="37">
        <v>0</v>
      </c>
      <c r="R102" s="37">
        <v>0</v>
      </c>
      <c r="S102" s="37">
        <v>0</v>
      </c>
      <c r="T102" s="37">
        <v>0</v>
      </c>
      <c r="U102" s="37">
        <v>0</v>
      </c>
      <c r="V102" s="37">
        <v>0</v>
      </c>
      <c r="W102" s="37">
        <v>0</v>
      </c>
      <c r="X102" s="37">
        <v>0</v>
      </c>
      <c r="Y102" s="37">
        <v>0</v>
      </c>
      <c r="Z102" s="37">
        <v>0</v>
      </c>
      <c r="AA102" s="37">
        <v>0</v>
      </c>
      <c r="AB102" s="37">
        <v>0</v>
      </c>
      <c r="AC102" s="37">
        <v>0</v>
      </c>
      <c r="AD102" s="37">
        <v>0</v>
      </c>
      <c r="AE102" s="37">
        <v>0</v>
      </c>
      <c r="AF102" s="37">
        <v>0</v>
      </c>
      <c r="AG102" s="37">
        <v>0</v>
      </c>
      <c r="AH102" s="37">
        <v>0</v>
      </c>
      <c r="AI102" s="37">
        <v>0</v>
      </c>
      <c r="AJ102" s="37">
        <v>0</v>
      </c>
      <c r="AK102" s="37">
        <v>0</v>
      </c>
      <c r="AL102" s="37">
        <v>0</v>
      </c>
      <c r="AM102" s="37">
        <v>0</v>
      </c>
      <c r="AN102" s="37">
        <v>0</v>
      </c>
      <c r="AO102" s="37">
        <v>0</v>
      </c>
      <c r="AP102" s="37">
        <v>0</v>
      </c>
      <c r="AQ102" s="37">
        <v>0</v>
      </c>
      <c r="AR102" s="37">
        <v>0</v>
      </c>
      <c r="AS102" s="37">
        <v>0</v>
      </c>
      <c r="AT102" s="37">
        <v>0</v>
      </c>
      <c r="AU102" s="37">
        <v>0</v>
      </c>
      <c r="AV102" s="37">
        <v>0</v>
      </c>
      <c r="AW102" s="37">
        <v>0</v>
      </c>
      <c r="AX102" s="37">
        <v>0</v>
      </c>
      <c r="AY102" s="37">
        <v>0</v>
      </c>
      <c r="BA102" s="66"/>
      <c r="BB102" s="66"/>
    </row>
    <row r="103" spans="2:54">
      <c r="B103">
        <v>10338</v>
      </c>
      <c r="C103" t="s">
        <v>107</v>
      </c>
      <c r="D103" s="37">
        <v>6.7194736339998826</v>
      </c>
      <c r="E103" s="37">
        <v>10.032434290750075</v>
      </c>
      <c r="F103" s="37">
        <v>-282.70639716800019</v>
      </c>
      <c r="G103" s="37">
        <v>-16.352309748500033</v>
      </c>
      <c r="H103" s="37">
        <v>124.27614865350006</v>
      </c>
      <c r="I103" s="37">
        <v>231.57916542399994</v>
      </c>
      <c r="J103" s="37">
        <v>45.570895897499895</v>
      </c>
      <c r="K103" s="37">
        <v>250.88258703849988</v>
      </c>
      <c r="L103" s="37">
        <v>-80.36558443649983</v>
      </c>
      <c r="M103" s="37">
        <v>124.9486770835</v>
      </c>
      <c r="N103" s="37">
        <v>-253.19721531549988</v>
      </c>
      <c r="O103" s="37">
        <v>-37.03788074299996</v>
      </c>
      <c r="P103" s="37">
        <v>122.8599284287501</v>
      </c>
      <c r="Q103" s="37">
        <v>116.77767588887502</v>
      </c>
      <c r="R103" s="37">
        <v>135.80891271199994</v>
      </c>
      <c r="S103" s="37">
        <v>215.01574405525014</v>
      </c>
      <c r="T103" s="37">
        <v>448.19227741899999</v>
      </c>
      <c r="U103" s="37">
        <v>294.30301877925001</v>
      </c>
      <c r="V103" s="37">
        <v>623.8445890659998</v>
      </c>
      <c r="W103" s="37">
        <v>474.87077745375007</v>
      </c>
      <c r="X103" s="37">
        <v>503.63232608974999</v>
      </c>
      <c r="Y103" s="37">
        <v>401.19496957152501</v>
      </c>
      <c r="Z103" s="37">
        <v>103.29670288099999</v>
      </c>
      <c r="AA103" s="37">
        <v>82.573712775999979</v>
      </c>
      <c r="AB103" s="37">
        <v>15.791473633999885</v>
      </c>
      <c r="AC103" s="37">
        <v>16.01343429075007</v>
      </c>
      <c r="AD103" s="37">
        <v>-272.14939716800018</v>
      </c>
      <c r="AE103" s="37">
        <v>-7.4083097485000735</v>
      </c>
      <c r="AF103" s="37">
        <v>136.99214865349995</v>
      </c>
      <c r="AG103" s="37">
        <v>241.27516542399985</v>
      </c>
      <c r="AH103" s="37">
        <v>5.7228958974999387</v>
      </c>
      <c r="AI103" s="37">
        <v>313.20258703850004</v>
      </c>
      <c r="AJ103" s="37">
        <v>-30.396330396499934</v>
      </c>
      <c r="AK103" s="37">
        <v>152.55380410350006</v>
      </c>
      <c r="AL103" s="37">
        <v>-204.93321531549987</v>
      </c>
      <c r="AM103" s="37">
        <v>-64.960880742999962</v>
      </c>
      <c r="AN103" s="37">
        <v>134.89492842874995</v>
      </c>
      <c r="AO103" s="37">
        <v>124.94467588887505</v>
      </c>
      <c r="AP103" s="37">
        <v>148.51091271199994</v>
      </c>
      <c r="AQ103" s="37">
        <v>224.46574405525007</v>
      </c>
      <c r="AR103" s="37">
        <v>462.45127741900001</v>
      </c>
      <c r="AS103" s="37">
        <v>302.99701877924986</v>
      </c>
      <c r="AT103" s="37">
        <v>638.13158906599983</v>
      </c>
      <c r="AU103" s="37">
        <v>484.34177745375007</v>
      </c>
      <c r="AV103" s="37">
        <v>517.59232608975003</v>
      </c>
      <c r="AW103" s="37">
        <v>410.24596957152505</v>
      </c>
      <c r="AX103" s="37">
        <v>115.127702881</v>
      </c>
      <c r="AY103" s="37">
        <v>90.704712775999951</v>
      </c>
      <c r="BA103" s="66"/>
      <c r="BB103" s="66"/>
    </row>
    <row r="104" spans="2:54">
      <c r="B104">
        <v>10342</v>
      </c>
      <c r="C104" t="s">
        <v>108</v>
      </c>
      <c r="D104" s="37">
        <v>3655.0848820227966</v>
      </c>
      <c r="E104" s="37">
        <v>146.4505467261497</v>
      </c>
      <c r="F104" s="37">
        <v>70.502960374400573</v>
      </c>
      <c r="G104" s="37">
        <v>627.86029826629965</v>
      </c>
      <c r="H104" s="37">
        <v>2055.9545518347004</v>
      </c>
      <c r="I104" s="37">
        <v>539.36967814079981</v>
      </c>
      <c r="J104" s="37">
        <v>-277.60455158049808</v>
      </c>
      <c r="K104" s="37">
        <v>-186.46227304830063</v>
      </c>
      <c r="L104" s="37">
        <v>968.01080025670308</v>
      </c>
      <c r="M104" s="37">
        <v>738.38243144070111</v>
      </c>
      <c r="N104" s="37">
        <v>-504.92847649510077</v>
      </c>
      <c r="O104" s="37">
        <v>-745.18077114059997</v>
      </c>
      <c r="P104" s="37">
        <v>1939.0864894257502</v>
      </c>
      <c r="Q104" s="37">
        <v>-283.56501982422378</v>
      </c>
      <c r="R104" s="37">
        <v>-3131.8120749296013</v>
      </c>
      <c r="S104" s="37">
        <v>-2060.9295332329493</v>
      </c>
      <c r="T104" s="37">
        <v>-2844.1138521801986</v>
      </c>
      <c r="U104" s="37">
        <v>-2683.0210940321504</v>
      </c>
      <c r="V104" s="37">
        <v>2689.7603593171989</v>
      </c>
      <c r="W104" s="37">
        <v>747.98011883075014</v>
      </c>
      <c r="X104" s="37">
        <v>3382.1959681419503</v>
      </c>
      <c r="Y104" s="37">
        <v>1632.8941256139078</v>
      </c>
      <c r="Z104" s="37">
        <v>1730.008011440199</v>
      </c>
      <c r="AA104" s="37">
        <v>-318.0252417007996</v>
      </c>
      <c r="AB104" s="37">
        <v>3699.9373110251981</v>
      </c>
      <c r="AC104" s="37">
        <v>164.74497528285065</v>
      </c>
      <c r="AD104" s="37">
        <v>105.97847072960212</v>
      </c>
      <c r="AE104" s="37">
        <v>653.73371299169958</v>
      </c>
      <c r="AF104" s="37">
        <v>2100.7474885673</v>
      </c>
      <c r="AG104" s="37">
        <v>564.64018278719959</v>
      </c>
      <c r="AH104" s="37">
        <v>-1039.7610340495012</v>
      </c>
      <c r="AI104" s="37">
        <v>629.39163567029937</v>
      </c>
      <c r="AJ104" s="37">
        <v>1634.3925709772993</v>
      </c>
      <c r="AK104" s="37">
        <v>1075.3219100772985</v>
      </c>
      <c r="AL104" s="37">
        <v>257.44986622910073</v>
      </c>
      <c r="AM104" s="37">
        <v>-1453.9363726554002</v>
      </c>
      <c r="AN104" s="37">
        <v>1976.226520319251</v>
      </c>
      <c r="AO104" s="37">
        <v>-267.09656328927485</v>
      </c>
      <c r="AP104" s="37">
        <v>-3111.446234606401</v>
      </c>
      <c r="AQ104" s="37">
        <v>-2047.9708812640492</v>
      </c>
      <c r="AR104" s="37">
        <v>-2820.4619837518003</v>
      </c>
      <c r="AS104" s="37">
        <v>-2673.9050599368511</v>
      </c>
      <c r="AT104" s="37">
        <v>2736.0016320348004</v>
      </c>
      <c r="AU104" s="37">
        <v>771.60072321425105</v>
      </c>
      <c r="AV104" s="37">
        <v>3431.7233512950479</v>
      </c>
      <c r="AW104" s="37">
        <v>1659.8704734883959</v>
      </c>
      <c r="AX104" s="37">
        <v>1766.1590360917999</v>
      </c>
      <c r="AY104" s="37">
        <v>-300.93716882720037</v>
      </c>
      <c r="BA104" s="66"/>
      <c r="BB104" s="66"/>
    </row>
    <row r="105" spans="2:54">
      <c r="B105">
        <v>10343</v>
      </c>
      <c r="C105" t="s">
        <v>109</v>
      </c>
      <c r="D105" s="37">
        <v>-288.07135952680073</v>
      </c>
      <c r="E105" s="37">
        <v>54.220407241849898</v>
      </c>
      <c r="F105" s="37">
        <v>-1272.4599109664005</v>
      </c>
      <c r="G105" s="37">
        <v>-259.11267385029987</v>
      </c>
      <c r="H105" s="37">
        <v>-7.5859599307004828</v>
      </c>
      <c r="I105" s="37">
        <v>710.59711411519947</v>
      </c>
      <c r="J105" s="37">
        <v>-514.60206617950007</v>
      </c>
      <c r="K105" s="37">
        <v>846.52563039230017</v>
      </c>
      <c r="L105" s="37">
        <v>-812.62186531269981</v>
      </c>
      <c r="M105" s="37">
        <v>446.32173838329982</v>
      </c>
      <c r="N105" s="37">
        <v>-1189.7109603368999</v>
      </c>
      <c r="O105" s="37">
        <v>-284.36202425139982</v>
      </c>
      <c r="P105" s="37">
        <v>-440.83158518574965</v>
      </c>
      <c r="Q105" s="37">
        <v>129.0444336722253</v>
      </c>
      <c r="R105" s="37">
        <v>-963.84250894240085</v>
      </c>
      <c r="S105" s="37">
        <v>82.727165888950367</v>
      </c>
      <c r="T105" s="37">
        <v>-1161.0157222837997</v>
      </c>
      <c r="U105" s="37">
        <v>-80.24290185585005</v>
      </c>
      <c r="V105" s="37">
        <v>-49.167093013200429</v>
      </c>
      <c r="W105" s="37">
        <v>801.55471500924978</v>
      </c>
      <c r="X105" s="37">
        <v>-250.38777391795065</v>
      </c>
      <c r="Y105" s="37">
        <v>465.09446235569521</v>
      </c>
      <c r="Z105" s="37">
        <v>-441.14463377620086</v>
      </c>
      <c r="AA105" s="37">
        <v>97.100070244800008</v>
      </c>
      <c r="AB105" s="37">
        <v>-1460.6641496652001</v>
      </c>
      <c r="AC105" s="37">
        <v>-711.30525065284974</v>
      </c>
      <c r="AD105" s="37">
        <v>-2771.1653894496003</v>
      </c>
      <c r="AE105" s="37">
        <v>-1232.1473169316996</v>
      </c>
      <c r="AF105" s="37">
        <v>-1625.8971084272998</v>
      </c>
      <c r="AG105" s="37">
        <v>-338.58838982719953</v>
      </c>
      <c r="AH105" s="37">
        <v>-2230.7788400504987</v>
      </c>
      <c r="AI105" s="37">
        <v>-209.23898013029975</v>
      </c>
      <c r="AJ105" s="37">
        <v>-2081.0605528372989</v>
      </c>
      <c r="AK105" s="37">
        <v>-298.10951193729989</v>
      </c>
      <c r="AL105" s="37">
        <v>-2774.6038008490996</v>
      </c>
      <c r="AM105" s="37">
        <v>-1302.5861890645992</v>
      </c>
      <c r="AN105" s="37">
        <v>-1691.5057181692491</v>
      </c>
      <c r="AO105" s="37">
        <v>-675.00363065572446</v>
      </c>
      <c r="AP105" s="37">
        <v>-2510.8551689136002</v>
      </c>
      <c r="AQ105" s="37">
        <v>-919.41840552594886</v>
      </c>
      <c r="AR105" s="37">
        <v>-2799.4833634881988</v>
      </c>
      <c r="AS105" s="37">
        <v>-1046.2438618931501</v>
      </c>
      <c r="AT105" s="37">
        <v>-1458.1614853947995</v>
      </c>
      <c r="AU105" s="37">
        <v>-50.504860064249442</v>
      </c>
      <c r="AV105" s="37">
        <v>-1636.9902787050496</v>
      </c>
      <c r="AW105" s="37">
        <v>-334.14121152739426</v>
      </c>
      <c r="AX105" s="37">
        <v>-1642.4472768517999</v>
      </c>
      <c r="AY105" s="37">
        <v>-712.99169613279946</v>
      </c>
      <c r="BA105" s="66"/>
      <c r="BB105" s="66"/>
    </row>
    <row r="106" spans="2:54">
      <c r="B106">
        <v>10349</v>
      </c>
      <c r="C106" t="s">
        <v>110</v>
      </c>
      <c r="D106" s="37">
        <v>25986.438534738583</v>
      </c>
      <c r="E106" s="37">
        <v>19870.428240319772</v>
      </c>
      <c r="F106" s="37">
        <v>98104.837723283184</v>
      </c>
      <c r="G106" s="37">
        <v>69766.876516931457</v>
      </c>
      <c r="H106" s="37">
        <v>84880.381458146643</v>
      </c>
      <c r="I106" s="37">
        <v>60990.316321542428</v>
      </c>
      <c r="J106" s="37">
        <v>98253.757359121111</v>
      </c>
      <c r="K106" s="37">
        <v>79386.425923672621</v>
      </c>
      <c r="L106" s="37">
        <v>74516.563625462673</v>
      </c>
      <c r="M106" s="37">
        <v>72063.674390614615</v>
      </c>
      <c r="N106" s="37">
        <v>82090.29459306231</v>
      </c>
      <c r="O106" s="37">
        <v>60756.532201113121</v>
      </c>
      <c r="P106" s="37">
        <v>-36217.460870391456</v>
      </c>
      <c r="Q106" s="37">
        <v>-19472.43324380953</v>
      </c>
      <c r="R106" s="37">
        <v>-190851.25510722896</v>
      </c>
      <c r="S106" s="37">
        <v>-122122.44463360998</v>
      </c>
      <c r="T106" s="37">
        <v>-256999.10818269558</v>
      </c>
      <c r="U106" s="37">
        <v>-152269.8317493877</v>
      </c>
      <c r="V106" s="37">
        <v>-95261.520286218321</v>
      </c>
      <c r="W106" s="37">
        <v>-49793.977328801542</v>
      </c>
      <c r="X106" s="37">
        <v>-68089.83367068792</v>
      </c>
      <c r="Y106" s="37">
        <v>-25724.505971219492</v>
      </c>
      <c r="Z106" s="37">
        <v>55640.389052975632</v>
      </c>
      <c r="AA106" s="37">
        <v>35644.227704777557</v>
      </c>
      <c r="AB106" s="37">
        <v>26186.089503977855</v>
      </c>
      <c r="AC106" s="37">
        <v>20081.083279917817</v>
      </c>
      <c r="AD106" s="37">
        <v>100153.45604174401</v>
      </c>
      <c r="AE106" s="37">
        <v>71265.537331225409</v>
      </c>
      <c r="AF106" s="37">
        <v>86511.390374659502</v>
      </c>
      <c r="AG106" s="37">
        <v>62211.781455407996</v>
      </c>
      <c r="AH106" s="37">
        <v>100210.73012700747</v>
      </c>
      <c r="AI106" s="37">
        <v>81113.973731704464</v>
      </c>
      <c r="AJ106" s="37">
        <v>84312.9232258095</v>
      </c>
      <c r="AK106" s="37">
        <v>77875.275490309403</v>
      </c>
      <c r="AL106" s="37">
        <v>83658.514207486587</v>
      </c>
      <c r="AM106" s="37">
        <v>61985.673521468998</v>
      </c>
      <c r="AN106" s="37">
        <v>-37771.945460336137</v>
      </c>
      <c r="AO106" s="37">
        <v>-20366.432376851692</v>
      </c>
      <c r="AP106" s="37">
        <v>-196812.48813429606</v>
      </c>
      <c r="AQ106" s="37">
        <v>-125940.89864623564</v>
      </c>
      <c r="AR106" s="37">
        <v>-264827.20961117698</v>
      </c>
      <c r="AS106" s="37">
        <v>-156907.91666672775</v>
      </c>
      <c r="AT106" s="37">
        <v>-98518.284336077893</v>
      </c>
      <c r="AU106" s="37">
        <v>-51547.438850411156</v>
      </c>
      <c r="AV106" s="37">
        <v>-70585.545064799051</v>
      </c>
      <c r="AW106" s="37">
        <v>-26789.21145900141</v>
      </c>
      <c r="AX106" s="37">
        <v>56647.107218277</v>
      </c>
      <c r="AY106" s="37">
        <v>36271.226005992008</v>
      </c>
      <c r="BA106" s="66"/>
      <c r="BB106" s="66"/>
    </row>
    <row r="107" spans="2:54">
      <c r="B107">
        <v>10352</v>
      </c>
      <c r="C107" t="s">
        <v>111</v>
      </c>
      <c r="D107" s="37">
        <v>1671.5474504107997</v>
      </c>
      <c r="E107" s="37">
        <v>133.40653926765026</v>
      </c>
      <c r="F107" s="37">
        <v>576.5614917983994</v>
      </c>
      <c r="G107" s="37">
        <v>741.28291228929993</v>
      </c>
      <c r="H107" s="37">
        <v>2645.3779460217002</v>
      </c>
      <c r="I107" s="37">
        <v>1557.9752973087998</v>
      </c>
      <c r="J107" s="37">
        <v>1880.8517630144997</v>
      </c>
      <c r="K107" s="37">
        <v>1269.5239747086998</v>
      </c>
      <c r="L107" s="37">
        <v>1851.6444770637008</v>
      </c>
      <c r="M107" s="37">
        <v>1407.5744648876998</v>
      </c>
      <c r="N107" s="37">
        <v>1284.4220158338994</v>
      </c>
      <c r="O107" s="37">
        <v>836.32183713339964</v>
      </c>
      <c r="P107" s="37">
        <v>1704.4848340832505</v>
      </c>
      <c r="Q107" s="37">
        <v>488.77510201352561</v>
      </c>
      <c r="R107" s="37">
        <v>-1577.0822053456004</v>
      </c>
      <c r="S107" s="37">
        <v>-1129.0819438024496</v>
      </c>
      <c r="T107" s="37">
        <v>-1845.3612274221996</v>
      </c>
      <c r="U107" s="37">
        <v>-1561.9478428336502</v>
      </c>
      <c r="V107" s="37">
        <v>-435.38294767079969</v>
      </c>
      <c r="W107" s="37">
        <v>-601.37962646174992</v>
      </c>
      <c r="X107" s="37">
        <v>35.72709260144984</v>
      </c>
      <c r="Y107" s="37">
        <v>-118.16766223104469</v>
      </c>
      <c r="Z107" s="37">
        <v>152.50845128219953</v>
      </c>
      <c r="AA107" s="37">
        <v>-577.76792846879971</v>
      </c>
      <c r="AB107" s="37">
        <v>1737.3426294955989</v>
      </c>
      <c r="AC107" s="37">
        <v>166.96718814604992</v>
      </c>
      <c r="AD107" s="37">
        <v>645.40813234879897</v>
      </c>
      <c r="AE107" s="37">
        <v>789.51110067009904</v>
      </c>
      <c r="AF107" s="37">
        <v>2739.4973916568997</v>
      </c>
      <c r="AG107" s="37">
        <v>1617.5231174815999</v>
      </c>
      <c r="AH107" s="37">
        <v>1554.6665495265006</v>
      </c>
      <c r="AI107" s="37">
        <v>1743.6139330158994</v>
      </c>
      <c r="AJ107" s="37">
        <v>2193.928062386899</v>
      </c>
      <c r="AK107" s="37">
        <v>1588.0825646868989</v>
      </c>
      <c r="AL107" s="37">
        <v>1735.4112746722994</v>
      </c>
      <c r="AM107" s="37">
        <v>515.76428744380064</v>
      </c>
      <c r="AN107" s="37">
        <v>1773.9141291952501</v>
      </c>
      <c r="AO107" s="37">
        <v>527.45541893592508</v>
      </c>
      <c r="AP107" s="37">
        <v>-1527.2750192592011</v>
      </c>
      <c r="AQ107" s="37">
        <v>-1098.0105651096501</v>
      </c>
      <c r="AR107" s="37">
        <v>-1794.5542527854004</v>
      </c>
      <c r="AS107" s="37">
        <v>-1536.4405230080501</v>
      </c>
      <c r="AT107" s="37">
        <v>-380.30744931560002</v>
      </c>
      <c r="AU107" s="37">
        <v>-571.38773886975014</v>
      </c>
      <c r="AV107" s="37">
        <v>94.468564052649526</v>
      </c>
      <c r="AW107" s="37">
        <v>-85.669824086564859</v>
      </c>
      <c r="AX107" s="37">
        <v>204.60064880539994</v>
      </c>
      <c r="AY107" s="37">
        <v>-549.31270960160009</v>
      </c>
      <c r="BA107" s="66"/>
      <c r="BB107" s="66"/>
    </row>
    <row r="108" spans="2:54">
      <c r="B108">
        <v>10354</v>
      </c>
      <c r="C108" t="s">
        <v>112</v>
      </c>
      <c r="D108" s="37">
        <v>71025.716559169115</v>
      </c>
      <c r="E108" s="37">
        <v>19816.082315184845</v>
      </c>
      <c r="F108" s="37">
        <v>23716.480276041548</v>
      </c>
      <c r="G108" s="37">
        <v>10812.81238951569</v>
      </c>
      <c r="H108" s="37">
        <v>49149.648009523284</v>
      </c>
      <c r="I108" s="37">
        <v>28904.596949571191</v>
      </c>
      <c r="J108" s="37">
        <v>44185.880662810523</v>
      </c>
      <c r="K108" s="37">
        <v>39167.408345786273</v>
      </c>
      <c r="L108" s="37">
        <v>36812.036710181274</v>
      </c>
      <c r="M108" s="37">
        <v>33869.434684757289</v>
      </c>
      <c r="N108" s="37">
        <v>36463.390468681057</v>
      </c>
      <c r="O108" s="37">
        <v>4073.6420704566117</v>
      </c>
      <c r="P108" s="37">
        <v>51131.369956429291</v>
      </c>
      <c r="Q108" s="37">
        <v>15887.722039057728</v>
      </c>
      <c r="R108" s="37">
        <v>-48431.087071214453</v>
      </c>
      <c r="S108" s="37">
        <v>-34769.979137630056</v>
      </c>
      <c r="T108" s="37">
        <v>-64034.288700047822</v>
      </c>
      <c r="U108" s="37">
        <v>-42797.318300718849</v>
      </c>
      <c r="V108" s="37">
        <v>-1048.1241129092523</v>
      </c>
      <c r="W108" s="37">
        <v>6298.5891187242232</v>
      </c>
      <c r="X108" s="37">
        <v>18020.53870498098</v>
      </c>
      <c r="Y108" s="37">
        <v>7347.9986005077953</v>
      </c>
      <c r="Z108" s="37">
        <v>27832.331937187759</v>
      </c>
      <c r="AA108" s="37">
        <v>3083.5171155887947</v>
      </c>
      <c r="AB108" s="37">
        <v>76213.392680616758</v>
      </c>
      <c r="AC108" s="37">
        <v>22821.073383196897</v>
      </c>
      <c r="AD108" s="37">
        <v>29403.476857286354</v>
      </c>
      <c r="AE108" s="37">
        <v>14487.584457677789</v>
      </c>
      <c r="AF108" s="37">
        <v>55722.594144528208</v>
      </c>
      <c r="AG108" s="37">
        <v>33177.619366124796</v>
      </c>
      <c r="AH108" s="37">
        <v>50010.089291717042</v>
      </c>
      <c r="AI108" s="37">
        <v>41706.78416243018</v>
      </c>
      <c r="AJ108" s="37">
        <v>52929.42985446821</v>
      </c>
      <c r="AK108" s="37">
        <v>42417.212463868171</v>
      </c>
      <c r="AL108" s="37">
        <v>40588.883114869415</v>
      </c>
      <c r="AM108" s="37">
        <v>7250.0399441964109</v>
      </c>
      <c r="AN108" s="37">
        <v>54998.292022754496</v>
      </c>
      <c r="AO108" s="37">
        <v>18197.053250794677</v>
      </c>
      <c r="AP108" s="37">
        <v>-44900.867200937646</v>
      </c>
      <c r="AQ108" s="37">
        <v>-32503.726425117697</v>
      </c>
      <c r="AR108" s="37">
        <v>-60475.692469401227</v>
      </c>
      <c r="AS108" s="37">
        <v>-40728.838396632927</v>
      </c>
      <c r="AT108" s="37">
        <v>2622.6265114231501</v>
      </c>
      <c r="AU108" s="37">
        <v>8612.0615471845085</v>
      </c>
      <c r="AV108" s="37">
        <v>21840.970948971692</v>
      </c>
      <c r="AW108" s="37">
        <v>9536.024978631438</v>
      </c>
      <c r="AX108" s="37">
        <v>31284.626640961156</v>
      </c>
      <c r="AY108" s="37">
        <v>5249.6311565151846</v>
      </c>
      <c r="BA108" s="66"/>
      <c r="BB108" s="66"/>
    </row>
    <row r="109" spans="2:54">
      <c r="B109">
        <v>10360</v>
      </c>
      <c r="C109" t="s">
        <v>113</v>
      </c>
      <c r="D109" s="37">
        <v>-472.81768885840052</v>
      </c>
      <c r="E109" s="37">
        <v>-271.21171515470019</v>
      </c>
      <c r="F109" s="37">
        <v>-1485.6508890432003</v>
      </c>
      <c r="G109" s="37">
        <v>-597.79553120140008</v>
      </c>
      <c r="H109" s="37">
        <v>-906.25973277660023</v>
      </c>
      <c r="I109" s="37">
        <v>-289.59222586240003</v>
      </c>
      <c r="J109" s="37">
        <v>-1165.3994656710001</v>
      </c>
      <c r="K109" s="37">
        <v>-293.42338560260032</v>
      </c>
      <c r="L109" s="37">
        <v>-1223.5349638925998</v>
      </c>
      <c r="M109" s="37">
        <v>-359.01497864460021</v>
      </c>
      <c r="N109" s="37">
        <v>-1570.2207792722002</v>
      </c>
      <c r="O109" s="37">
        <v>-750.33348937320011</v>
      </c>
      <c r="P109" s="37">
        <v>-372.55517728349969</v>
      </c>
      <c r="Q109" s="37">
        <v>-146.27906443794973</v>
      </c>
      <c r="R109" s="37">
        <v>-30.78642093120061</v>
      </c>
      <c r="S109" s="37">
        <v>412.63646616510005</v>
      </c>
      <c r="T109" s="37">
        <v>1975.2772372755994</v>
      </c>
      <c r="U109" s="37">
        <v>1641.1630116226997</v>
      </c>
      <c r="V109" s="37">
        <v>2842.2620903384</v>
      </c>
      <c r="W109" s="37">
        <v>2516.4746586265001</v>
      </c>
      <c r="X109" s="37">
        <v>2067.5506060328994</v>
      </c>
      <c r="Y109" s="37">
        <v>1952.4225245949101</v>
      </c>
      <c r="Z109" s="37">
        <v>235.93845444439967</v>
      </c>
      <c r="AA109" s="37">
        <v>390.97829954239978</v>
      </c>
      <c r="AB109" s="37">
        <v>-445.34868885840069</v>
      </c>
      <c r="AC109" s="37">
        <v>-252.77171515470013</v>
      </c>
      <c r="AD109" s="37">
        <v>-1461.9158890432002</v>
      </c>
      <c r="AE109" s="37">
        <v>-577.34653120140024</v>
      </c>
      <c r="AF109" s="37">
        <v>-878.39473277660045</v>
      </c>
      <c r="AG109" s="37">
        <v>-268.22122586239993</v>
      </c>
      <c r="AH109" s="37">
        <v>-1233.1074656710002</v>
      </c>
      <c r="AI109" s="37">
        <v>-176.58738560260053</v>
      </c>
      <c r="AJ109" s="37">
        <v>-1088.2682089966002</v>
      </c>
      <c r="AK109" s="37">
        <v>-285.41210119660036</v>
      </c>
      <c r="AL109" s="37">
        <v>-1475.3677792722003</v>
      </c>
      <c r="AM109" s="37">
        <v>-799.72948937320007</v>
      </c>
      <c r="AN109" s="37">
        <v>-345.09617728349986</v>
      </c>
      <c r="AO109" s="37">
        <v>-127.51006443794995</v>
      </c>
      <c r="AP109" s="37">
        <v>-37.753420931200708</v>
      </c>
      <c r="AQ109" s="37">
        <v>407.21646616509997</v>
      </c>
      <c r="AR109" s="37">
        <v>1974.4682372756001</v>
      </c>
      <c r="AS109" s="37">
        <v>1640.6140116226998</v>
      </c>
      <c r="AT109" s="37">
        <v>2842.6700903383994</v>
      </c>
      <c r="AU109" s="37">
        <v>2516.7766586265006</v>
      </c>
      <c r="AV109" s="37">
        <v>2065.3476060328999</v>
      </c>
      <c r="AW109" s="37">
        <v>1950.81952459491</v>
      </c>
      <c r="AX109" s="37">
        <v>227.89145444439964</v>
      </c>
      <c r="AY109" s="37">
        <v>384.88529954239993</v>
      </c>
      <c r="BA109" s="66"/>
      <c r="BB109" s="66"/>
    </row>
    <row r="110" spans="2:54">
      <c r="B110">
        <v>10363</v>
      </c>
      <c r="C110" t="s">
        <v>114</v>
      </c>
      <c r="D110" s="37">
        <v>5416.1121838695981</v>
      </c>
      <c r="E110" s="37">
        <v>-73.013085705701087</v>
      </c>
      <c r="F110" s="37">
        <v>-4946.0012652992009</v>
      </c>
      <c r="G110" s="37">
        <v>-137.85758666340189</v>
      </c>
      <c r="H110" s="37">
        <v>5297.9322799454021</v>
      </c>
      <c r="I110" s="37">
        <v>3462.5666955455999</v>
      </c>
      <c r="J110" s="37">
        <v>2209.2942278990013</v>
      </c>
      <c r="K110" s="37">
        <v>3423.0143845393977</v>
      </c>
      <c r="L110" s="37">
        <v>194.75032054940675</v>
      </c>
      <c r="M110" s="37">
        <v>2405.6783176374011</v>
      </c>
      <c r="N110" s="37">
        <v>-2338.4867960981937</v>
      </c>
      <c r="O110" s="37">
        <v>-906.29402452919749</v>
      </c>
      <c r="P110" s="37">
        <v>3035.6701216615038</v>
      </c>
      <c r="Q110" s="37">
        <v>-356.70272471144563</v>
      </c>
      <c r="R110" s="37">
        <v>-10940.754600227199</v>
      </c>
      <c r="S110" s="37">
        <v>-6230.1414058518967</v>
      </c>
      <c r="T110" s="37">
        <v>-11373.290475776397</v>
      </c>
      <c r="U110" s="37">
        <v>-8121.6022033862973</v>
      </c>
      <c r="V110" s="37">
        <v>-2423.7064939896009</v>
      </c>
      <c r="W110" s="37">
        <v>-2180.1238421284979</v>
      </c>
      <c r="X110" s="37">
        <v>-1606.5990666100988</v>
      </c>
      <c r="Y110" s="37">
        <v>-340.4865257347883</v>
      </c>
      <c r="Z110" s="37">
        <v>-1183.805364903601</v>
      </c>
      <c r="AA110" s="37">
        <v>-3037.1325074655979</v>
      </c>
      <c r="AB110" s="37">
        <v>5433.8099281083923</v>
      </c>
      <c r="AC110" s="37">
        <v>-69.384890376550175</v>
      </c>
      <c r="AD110" s="37">
        <v>-4959.8660769568014</v>
      </c>
      <c r="AE110" s="37">
        <v>-140.93954611110166</v>
      </c>
      <c r="AF110" s="37">
        <v>5235.7013107140956</v>
      </c>
      <c r="AG110" s="37">
        <v>3422.1676638623976</v>
      </c>
      <c r="AH110" s="37">
        <v>103.9772591084984</v>
      </c>
      <c r="AI110" s="37">
        <v>5471.6270991650963</v>
      </c>
      <c r="AJ110" s="37">
        <v>1671.7295306841042</v>
      </c>
      <c r="AK110" s="37">
        <v>3146.8269853840975</v>
      </c>
      <c r="AL110" s="37">
        <v>-608.58763641530095</v>
      </c>
      <c r="AM110" s="37">
        <v>-2649.8614860017988</v>
      </c>
      <c r="AN110" s="37">
        <v>3043.5608340022445</v>
      </c>
      <c r="AO110" s="37">
        <v>-356.41042414017284</v>
      </c>
      <c r="AP110" s="37">
        <v>-10952.626110068806</v>
      </c>
      <c r="AQ110" s="37">
        <v>-6235.8651523838525</v>
      </c>
      <c r="AR110" s="37">
        <v>-11383.581687400605</v>
      </c>
      <c r="AS110" s="37">
        <v>-8130.9958473414517</v>
      </c>
      <c r="AT110" s="37">
        <v>-2354.4282420884047</v>
      </c>
      <c r="AU110" s="37">
        <v>-2141.068936282747</v>
      </c>
      <c r="AV110" s="37">
        <v>-1538.0814141891533</v>
      </c>
      <c r="AW110" s="37">
        <v>-298.70253246678476</v>
      </c>
      <c r="AX110" s="37">
        <v>-1172.1862168194057</v>
      </c>
      <c r="AY110" s="37">
        <v>-3034.7754625424022</v>
      </c>
      <c r="BA110" s="66"/>
      <c r="BB110" s="66"/>
    </row>
    <row r="111" spans="2:54">
      <c r="B111">
        <v>10369</v>
      </c>
      <c r="C111" t="s">
        <v>115</v>
      </c>
      <c r="D111" s="37">
        <v>-1340.4451172404006</v>
      </c>
      <c r="E111" s="37">
        <v>-1042.7351509919504</v>
      </c>
      <c r="F111" s="37">
        <v>-4119.204904579201</v>
      </c>
      <c r="G111" s="37">
        <v>-2031.5066752859002</v>
      </c>
      <c r="H111" s="37">
        <v>-3433.2235245071006</v>
      </c>
      <c r="I111" s="37">
        <v>-1892.4064034144012</v>
      </c>
      <c r="J111" s="37">
        <v>-3726.9590208135005</v>
      </c>
      <c r="K111" s="37">
        <v>-1701.8275571881013</v>
      </c>
      <c r="L111" s="37">
        <v>-3809.4311965530997</v>
      </c>
      <c r="M111" s="37">
        <v>-1646.8857702651003</v>
      </c>
      <c r="N111" s="37">
        <v>-4065.1685779157006</v>
      </c>
      <c r="O111" s="37">
        <v>-2246.1697676842</v>
      </c>
      <c r="P111" s="37">
        <v>-1522.3508618947508</v>
      </c>
      <c r="Q111" s="37">
        <v>-1021.4498041570751</v>
      </c>
      <c r="R111" s="37">
        <v>385.5809002927972</v>
      </c>
      <c r="S111" s="37">
        <v>1338.0391788443503</v>
      </c>
      <c r="T111" s="37">
        <v>1463.4371448385991</v>
      </c>
      <c r="U111" s="37">
        <v>1323.5035728499497</v>
      </c>
      <c r="V111" s="37">
        <v>6424.4011366203995</v>
      </c>
      <c r="W111" s="37">
        <v>5455.4173414402485</v>
      </c>
      <c r="X111" s="37">
        <v>5996.8895110186495</v>
      </c>
      <c r="Y111" s="37">
        <v>5459.7840818448349</v>
      </c>
      <c r="Z111" s="37">
        <v>2141.2273399813994</v>
      </c>
      <c r="AA111" s="37">
        <v>1904.7652384943995</v>
      </c>
      <c r="AB111" s="37">
        <v>-1378.9091172404005</v>
      </c>
      <c r="AC111" s="37">
        <v>-1016.9191509919501</v>
      </c>
      <c r="AD111" s="37">
        <v>-4126.0049045792011</v>
      </c>
      <c r="AE111" s="37">
        <v>-2036.9636752859005</v>
      </c>
      <c r="AF111" s="37">
        <v>-3440.0235245071008</v>
      </c>
      <c r="AG111" s="37">
        <v>-1898.2544034144012</v>
      </c>
      <c r="AH111" s="37">
        <v>-3973.1430208134998</v>
      </c>
      <c r="AI111" s="37">
        <v>-1468.2915571881013</v>
      </c>
      <c r="AJ111" s="37">
        <v>-3515.9905725771</v>
      </c>
      <c r="AK111" s="37">
        <v>-1501.7974582771003</v>
      </c>
      <c r="AL111" s="37">
        <v>-3873.4055779157006</v>
      </c>
      <c r="AM111" s="37">
        <v>-2450.5637676842002</v>
      </c>
      <c r="AN111" s="37">
        <v>-1529.4228618947509</v>
      </c>
      <c r="AO111" s="37">
        <v>-1026.6178041570747</v>
      </c>
      <c r="AP111" s="37">
        <v>378.50890029279708</v>
      </c>
      <c r="AQ111" s="37">
        <v>1332.4631788443503</v>
      </c>
      <c r="AR111" s="37">
        <v>1456.6371448385999</v>
      </c>
      <c r="AS111" s="37">
        <v>1318.0635728499492</v>
      </c>
      <c r="AT111" s="37">
        <v>6417.3291366204012</v>
      </c>
      <c r="AU111" s="37">
        <v>5449.8413414402494</v>
      </c>
      <c r="AV111" s="37">
        <v>6020.9375110186502</v>
      </c>
      <c r="AW111" s="37">
        <v>5423.088081844835</v>
      </c>
      <c r="AX111" s="37">
        <v>2103.3073399813993</v>
      </c>
      <c r="AY111" s="37">
        <v>1930.4452384943988</v>
      </c>
      <c r="BA111" s="66"/>
      <c r="BB111" s="66"/>
    </row>
    <row r="112" spans="2:54">
      <c r="B112">
        <v>10370</v>
      </c>
      <c r="C112" t="s">
        <v>116</v>
      </c>
      <c r="D112" s="37">
        <v>-6490.1311233550732</v>
      </c>
      <c r="E112" s="37">
        <v>1382.1582884291747</v>
      </c>
      <c r="F112" s="37">
        <v>-8090.4342119375942</v>
      </c>
      <c r="G112" s="37">
        <v>2968.3875970876688</v>
      </c>
      <c r="H112" s="37">
        <v>-2237.7802757418976</v>
      </c>
      <c r="I112" s="37">
        <v>12000.612741284778</v>
      </c>
      <c r="J112" s="37">
        <v>-7380.1135041136877</v>
      </c>
      <c r="K112" s="37">
        <v>6335.3032462879637</v>
      </c>
      <c r="L112" s="37">
        <v>-6846.0537632422929</v>
      </c>
      <c r="M112" s="37">
        <v>5300.3318223493843</v>
      </c>
      <c r="N112" s="37">
        <v>-3150.1729492408704</v>
      </c>
      <c r="O112" s="37">
        <v>6825.9172576262354</v>
      </c>
      <c r="P112" s="37">
        <v>2403.9963606282545</v>
      </c>
      <c r="Q112" s="37">
        <v>6248.8259316927797</v>
      </c>
      <c r="R112" s="37">
        <v>-17000.280690390784</v>
      </c>
      <c r="S112" s="37">
        <v>-4363.5818892035168</v>
      </c>
      <c r="T112" s="37">
        <v>-25674.26882649499</v>
      </c>
      <c r="U112" s="37">
        <v>-6668.6270639843715</v>
      </c>
      <c r="V112" s="37">
        <v>-13105.535074720712</v>
      </c>
      <c r="W112" s="37">
        <v>247.60944095849845</v>
      </c>
      <c r="X112" s="37">
        <v>-13010.618088682488</v>
      </c>
      <c r="Y112" s="37">
        <v>-1132.3034388404994</v>
      </c>
      <c r="Z112" s="37">
        <v>-7251.0707646057999</v>
      </c>
      <c r="AA112" s="37">
        <v>3507.3780387548031</v>
      </c>
      <c r="AB112" s="37">
        <v>-4170.2429888567713</v>
      </c>
      <c r="AC112" s="37">
        <v>162.49357425128983</v>
      </c>
      <c r="AD112" s="37">
        <v>-7100.3594986487951</v>
      </c>
      <c r="AE112" s="37">
        <v>3334.7821339748407</v>
      </c>
      <c r="AF112" s="37">
        <v>-1387.5514750423899</v>
      </c>
      <c r="AG112" s="37">
        <v>12101.651563489213</v>
      </c>
      <c r="AH112" s="37">
        <v>-6310.0946396284126</v>
      </c>
      <c r="AI112" s="37">
        <v>6628.9516330723491</v>
      </c>
      <c r="AJ112" s="37">
        <v>-4168.2941258156497</v>
      </c>
      <c r="AK112" s="37">
        <v>6856.1654330519596</v>
      </c>
      <c r="AL112" s="37">
        <v>-2284.893882845412</v>
      </c>
      <c r="AM112" s="37">
        <v>7085.1235210417581</v>
      </c>
      <c r="AN112" s="37">
        <v>2922.8693732956381</v>
      </c>
      <c r="AO112" s="37">
        <v>6424.7215162335669</v>
      </c>
      <c r="AP112" s="37">
        <v>-15687.860315781334</v>
      </c>
      <c r="AQ112" s="37">
        <v>-3737.9013876603422</v>
      </c>
      <c r="AR112" s="37">
        <v>-24029.60461167639</v>
      </c>
      <c r="AS112" s="37">
        <v>-5980.5956660982702</v>
      </c>
      <c r="AT112" s="37">
        <v>-11990.803254362414</v>
      </c>
      <c r="AU112" s="37">
        <v>647.7147988911529</v>
      </c>
      <c r="AV112" s="37">
        <v>-13472.708050509267</v>
      </c>
      <c r="AW112" s="37">
        <v>851.65231386452433</v>
      </c>
      <c r="AX112" s="37">
        <v>-4746.9449461943877</v>
      </c>
      <c r="AY112" s="37">
        <v>2092.8591497318448</v>
      </c>
      <c r="BA112" s="66"/>
      <c r="BB112" s="66"/>
    </row>
    <row r="113" spans="2:54">
      <c r="B113">
        <v>10371</v>
      </c>
      <c r="C113" t="s">
        <v>117</v>
      </c>
      <c r="D113" s="37">
        <v>2002.1816301043991</v>
      </c>
      <c r="E113" s="37">
        <v>1015.9628824039501</v>
      </c>
      <c r="F113" s="37">
        <v>1270.8892884511997</v>
      </c>
      <c r="G113" s="37">
        <v>764.80323842990038</v>
      </c>
      <c r="H113" s="37">
        <v>1924.1442262431001</v>
      </c>
      <c r="I113" s="37">
        <v>1269.2774681184005</v>
      </c>
      <c r="J113" s="37">
        <v>1740.7337619734999</v>
      </c>
      <c r="K113" s="37">
        <v>1633.1437538841001</v>
      </c>
      <c r="L113" s="37">
        <v>1614.7345816491006</v>
      </c>
      <c r="M113" s="37">
        <v>1350.1435812811005</v>
      </c>
      <c r="N113" s="37">
        <v>1502.0561846276996</v>
      </c>
      <c r="O113" s="37">
        <v>780.98877835620033</v>
      </c>
      <c r="P113" s="37">
        <v>1655.1675385547505</v>
      </c>
      <c r="Q113" s="37">
        <v>986.15108023907533</v>
      </c>
      <c r="R113" s="37">
        <v>-28.425687940799435</v>
      </c>
      <c r="S113" s="37">
        <v>168.2078469596504</v>
      </c>
      <c r="T113" s="37">
        <v>-303.35165861459973</v>
      </c>
      <c r="U113" s="37">
        <v>-70.915189541949985</v>
      </c>
      <c r="V113" s="37">
        <v>700.02556971559989</v>
      </c>
      <c r="W113" s="37">
        <v>787.96649161974983</v>
      </c>
      <c r="X113" s="37">
        <v>1074.6537670973503</v>
      </c>
      <c r="Y113" s="37">
        <v>761.88731267156527</v>
      </c>
      <c r="Z113" s="37">
        <v>1043.0090825945999</v>
      </c>
      <c r="AA113" s="37">
        <v>637.55220400160033</v>
      </c>
      <c r="AB113" s="37">
        <v>2020.4486301043999</v>
      </c>
      <c r="AC113" s="37">
        <v>1026.8028824039502</v>
      </c>
      <c r="AD113" s="37">
        <v>1292.3172884511996</v>
      </c>
      <c r="AE113" s="37">
        <v>779.14523842990002</v>
      </c>
      <c r="AF113" s="37">
        <v>1945.4412262430997</v>
      </c>
      <c r="AG113" s="37">
        <v>1283.0844681184003</v>
      </c>
      <c r="AH113" s="37">
        <v>1767.9317619735002</v>
      </c>
      <c r="AI113" s="37">
        <v>1651.6327538840997</v>
      </c>
      <c r="AJ113" s="37">
        <v>1822.8949855130995</v>
      </c>
      <c r="AK113" s="37">
        <v>1457.9157832131</v>
      </c>
      <c r="AL113" s="37">
        <v>1529.9891846276996</v>
      </c>
      <c r="AM113" s="37">
        <v>798.17277835620052</v>
      </c>
      <c r="AN113" s="37">
        <v>1679.5175385547509</v>
      </c>
      <c r="AO113" s="37">
        <v>1001.2420802390752</v>
      </c>
      <c r="AP113" s="37">
        <v>-5.6056879407997258</v>
      </c>
      <c r="AQ113" s="37">
        <v>183.84884695965047</v>
      </c>
      <c r="AR113" s="37">
        <v>-280.63265861460059</v>
      </c>
      <c r="AS113" s="37">
        <v>-56.925189541950203</v>
      </c>
      <c r="AT113" s="37">
        <v>725.13756971559997</v>
      </c>
      <c r="AU113" s="37">
        <v>804.58249161975027</v>
      </c>
      <c r="AV113" s="37">
        <v>1100.2777670973501</v>
      </c>
      <c r="AW113" s="37">
        <v>777.34731267156531</v>
      </c>
      <c r="AX113" s="37">
        <v>1065.0370825945993</v>
      </c>
      <c r="AY113" s="37">
        <v>652.11220400160028</v>
      </c>
      <c r="BA113" s="66"/>
      <c r="BB113" s="66"/>
    </row>
    <row r="114" spans="2:54">
      <c r="B114">
        <v>10376</v>
      </c>
      <c r="C114" t="s">
        <v>118</v>
      </c>
      <c r="D114" s="37">
        <v>3168.4954463895992</v>
      </c>
      <c r="E114" s="37">
        <v>302.8097225793008</v>
      </c>
      <c r="F114" s="37">
        <v>-3817.2925123392015</v>
      </c>
      <c r="G114" s="37">
        <v>-124.54792749340049</v>
      </c>
      <c r="H114" s="37">
        <v>3787.5919766754014</v>
      </c>
      <c r="I114" s="37">
        <v>3082.6407342656021</v>
      </c>
      <c r="J114" s="37">
        <v>2318.5602229490032</v>
      </c>
      <c r="K114" s="37">
        <v>3686.8431915693982</v>
      </c>
      <c r="L114" s="37">
        <v>-581.14657292059928</v>
      </c>
      <c r="M114" s="37">
        <v>1608.8492497673997</v>
      </c>
      <c r="N114" s="37">
        <v>-2021.7438931881989</v>
      </c>
      <c r="O114" s="37">
        <v>-430.4136100691976</v>
      </c>
      <c r="P114" s="37">
        <v>2610.9815535865018</v>
      </c>
      <c r="Q114" s="37">
        <v>1111.0285263610513</v>
      </c>
      <c r="R114" s="37">
        <v>-6930.7851808672021</v>
      </c>
      <c r="S114" s="37">
        <v>-2809.2587722568969</v>
      </c>
      <c r="T114" s="37">
        <v>-8198.2182909563962</v>
      </c>
      <c r="U114" s="37">
        <v>-4717.1636770712994</v>
      </c>
      <c r="V114" s="37">
        <v>-3633.6814505095972</v>
      </c>
      <c r="W114" s="37">
        <v>-1529.2171207034989</v>
      </c>
      <c r="X114" s="37">
        <v>-3222.7288971050984</v>
      </c>
      <c r="Y114" s="37">
        <v>-493.17146089528796</v>
      </c>
      <c r="Z114" s="37">
        <v>-1105.0803157236005</v>
      </c>
      <c r="AA114" s="37">
        <v>-1354.2921501855999</v>
      </c>
      <c r="AB114" s="37">
        <v>3290.7654463895997</v>
      </c>
      <c r="AC114" s="37">
        <v>373.88972257930072</v>
      </c>
      <c r="AD114" s="37">
        <v>-3690.4525123392013</v>
      </c>
      <c r="AE114" s="37">
        <v>-48.467927493398747</v>
      </c>
      <c r="AF114" s="37">
        <v>3940.9319766754015</v>
      </c>
      <c r="AG114" s="37">
        <v>3203.8507342656012</v>
      </c>
      <c r="AH114" s="37">
        <v>1078.1002229490041</v>
      </c>
      <c r="AI114" s="37">
        <v>5206.4031915693995</v>
      </c>
      <c r="AJ114" s="37">
        <v>469.12388885539985</v>
      </c>
      <c r="AK114" s="37">
        <v>2153.7094806554014</v>
      </c>
      <c r="AL114" s="37">
        <v>-769.16389318820075</v>
      </c>
      <c r="AM114" s="37">
        <v>-1460.2636100691961</v>
      </c>
      <c r="AN114" s="37">
        <v>2737.1115535865029</v>
      </c>
      <c r="AO114" s="37">
        <v>1189.3785263610516</v>
      </c>
      <c r="AP114" s="37">
        <v>-6815.0051808671997</v>
      </c>
      <c r="AQ114" s="37">
        <v>-2744.0387722568958</v>
      </c>
      <c r="AR114" s="37">
        <v>-8103.3782909563961</v>
      </c>
      <c r="AS114" s="37">
        <v>-4642.3736770713003</v>
      </c>
      <c r="AT114" s="37">
        <v>-3524.5614505095982</v>
      </c>
      <c r="AU114" s="37">
        <v>-1459.5271207034984</v>
      </c>
      <c r="AV114" s="37">
        <v>-3113.7888971050997</v>
      </c>
      <c r="AW114" s="37">
        <v>-423.26146089528811</v>
      </c>
      <c r="AX114" s="37">
        <v>-1002.0003157235988</v>
      </c>
      <c r="AY114" s="37">
        <v>-1287.6821501856011</v>
      </c>
      <c r="BA114" s="66"/>
      <c r="BB114" s="66"/>
    </row>
    <row r="115" spans="2:54">
      <c r="B115">
        <v>10378</v>
      </c>
      <c r="C115" t="s">
        <v>119</v>
      </c>
      <c r="D115" s="37">
        <v>11.5098750663999</v>
      </c>
      <c r="E115" s="37">
        <v>-31.749855681300005</v>
      </c>
      <c r="F115" s="37">
        <v>37.339007827199907</v>
      </c>
      <c r="G115" s="37">
        <v>90.505912569399925</v>
      </c>
      <c r="H115" s="37">
        <v>406.76287276859989</v>
      </c>
      <c r="I115" s="37">
        <v>368.43924455039985</v>
      </c>
      <c r="J115" s="37">
        <v>285.45460419100004</v>
      </c>
      <c r="K115" s="37">
        <v>323.25681271459996</v>
      </c>
      <c r="L115" s="37">
        <v>178.06620580460003</v>
      </c>
      <c r="M115" s="37">
        <v>234.05568679660007</v>
      </c>
      <c r="N115" s="37">
        <v>7.4876675361999787</v>
      </c>
      <c r="O115" s="37">
        <v>41.3059877572</v>
      </c>
      <c r="P115" s="37">
        <v>-7.0175156965000269</v>
      </c>
      <c r="Q115" s="37">
        <v>-3.076458908049915</v>
      </c>
      <c r="R115" s="37">
        <v>-387.7236097248001</v>
      </c>
      <c r="S115" s="37">
        <v>-257.13143577710002</v>
      </c>
      <c r="T115" s="37">
        <v>-396.75931914759997</v>
      </c>
      <c r="U115" s="37">
        <v>-252.25588094670002</v>
      </c>
      <c r="V115" s="37">
        <v>-163.33349414639997</v>
      </c>
      <c r="W115" s="37">
        <v>-90.799840806499958</v>
      </c>
      <c r="X115" s="37">
        <v>-157.01370418090005</v>
      </c>
      <c r="Y115" s="37">
        <v>-103.06936216410998</v>
      </c>
      <c r="Z115" s="37">
        <v>-167.45893897240012</v>
      </c>
      <c r="AA115" s="37">
        <v>-137.15679983040008</v>
      </c>
      <c r="AB115" s="37">
        <v>15.971875066399889</v>
      </c>
      <c r="AC115" s="37">
        <v>-29.067855681299989</v>
      </c>
      <c r="AD115" s="37">
        <v>41.371007827199833</v>
      </c>
      <c r="AE115" s="37">
        <v>93.388912569399963</v>
      </c>
      <c r="AF115" s="37">
        <v>410.91187276860001</v>
      </c>
      <c r="AG115" s="37">
        <v>371.43424455039997</v>
      </c>
      <c r="AH115" s="37">
        <v>289.60260419099995</v>
      </c>
      <c r="AI115" s="37">
        <v>326.25381271459992</v>
      </c>
      <c r="AJ115" s="37">
        <v>214.95605538860013</v>
      </c>
      <c r="AK115" s="37">
        <v>253.21961158859995</v>
      </c>
      <c r="AL115" s="37">
        <v>11.744667536200041</v>
      </c>
      <c r="AM115" s="37">
        <v>44.192987757199944</v>
      </c>
      <c r="AN115" s="37">
        <v>-2.8135156964999624</v>
      </c>
      <c r="AO115" s="37">
        <v>-0.36645890804993542</v>
      </c>
      <c r="AP115" s="37">
        <v>-383.35260972480012</v>
      </c>
      <c r="AQ115" s="37">
        <v>-254.35843577710006</v>
      </c>
      <c r="AR115" s="37">
        <v>-392.3443191476</v>
      </c>
      <c r="AS115" s="37">
        <v>-249.75788094670003</v>
      </c>
      <c r="AT115" s="37">
        <v>-158.91149414640006</v>
      </c>
      <c r="AU115" s="37">
        <v>-88.077840806499978</v>
      </c>
      <c r="AV115" s="37">
        <v>-152.43170418090006</v>
      </c>
      <c r="AW115" s="37">
        <v>-100.50736216410996</v>
      </c>
      <c r="AX115" s="37">
        <v>-163.22693897240015</v>
      </c>
      <c r="AY115" s="37">
        <v>-134.47579983040009</v>
      </c>
      <c r="BA115" s="66"/>
      <c r="BB115" s="66"/>
    </row>
    <row r="116" spans="2:54">
      <c r="B116">
        <v>10379</v>
      </c>
      <c r="C116" t="s">
        <v>120</v>
      </c>
      <c r="D116" s="37">
        <v>313.34493807799959</v>
      </c>
      <c r="E116" s="37">
        <v>94.702962405249991</v>
      </c>
      <c r="F116" s="37">
        <v>217.55317054399939</v>
      </c>
      <c r="G116" s="37">
        <v>236.78964970049969</v>
      </c>
      <c r="H116" s="37">
        <v>373.85322643449945</v>
      </c>
      <c r="I116" s="37">
        <v>249.25018900799978</v>
      </c>
      <c r="J116" s="37">
        <v>257.86285538250013</v>
      </c>
      <c r="K116" s="37">
        <v>357.94027972949993</v>
      </c>
      <c r="L116" s="37">
        <v>132.99073840450001</v>
      </c>
      <c r="M116" s="37">
        <v>234.12214824449984</v>
      </c>
      <c r="N116" s="37">
        <v>-13.459250588499799</v>
      </c>
      <c r="O116" s="37">
        <v>-45.967271481000125</v>
      </c>
      <c r="P116" s="37">
        <v>120.90603185124996</v>
      </c>
      <c r="Q116" s="37">
        <v>55.899154667125003</v>
      </c>
      <c r="R116" s="37">
        <v>-609.81129549600018</v>
      </c>
      <c r="S116" s="37">
        <v>-320.61745582324988</v>
      </c>
      <c r="T116" s="37">
        <v>-827.39426682700037</v>
      </c>
      <c r="U116" s="37">
        <v>-460.73727371525024</v>
      </c>
      <c r="V116" s="37">
        <v>-401.41360717800012</v>
      </c>
      <c r="W116" s="37">
        <v>-102.34118597375004</v>
      </c>
      <c r="X116" s="37">
        <v>-294.17081896175023</v>
      </c>
      <c r="Y116" s="37">
        <v>-88.639954060324953</v>
      </c>
      <c r="Z116" s="37">
        <v>-199.31348307300027</v>
      </c>
      <c r="AA116" s="37">
        <v>-176.21376960800023</v>
      </c>
      <c r="AB116" s="37">
        <v>318.85160596999981</v>
      </c>
      <c r="AC116" s="37">
        <v>97.577883228750125</v>
      </c>
      <c r="AD116" s="37">
        <v>220.71670855999992</v>
      </c>
      <c r="AE116" s="37">
        <v>239.35901380750011</v>
      </c>
      <c r="AF116" s="37">
        <v>374.28376921749987</v>
      </c>
      <c r="AG116" s="37">
        <v>249.55620792000013</v>
      </c>
      <c r="AH116" s="37">
        <v>254.67978023749993</v>
      </c>
      <c r="AI116" s="37">
        <v>356.56486564249985</v>
      </c>
      <c r="AJ116" s="37">
        <v>206.3854889674999</v>
      </c>
      <c r="AK116" s="37">
        <v>271.20381146749969</v>
      </c>
      <c r="AL116" s="37">
        <v>-15.487007927500144</v>
      </c>
      <c r="AM116" s="37">
        <v>-47.406536814999981</v>
      </c>
      <c r="AN116" s="37">
        <v>120.19180851874989</v>
      </c>
      <c r="AO116" s="37">
        <v>55.35551428187523</v>
      </c>
      <c r="AP116" s="37">
        <v>-613.05074604000015</v>
      </c>
      <c r="AQ116" s="37">
        <v>-322.40166329875001</v>
      </c>
      <c r="AR116" s="37">
        <v>-831.27029060500013</v>
      </c>
      <c r="AS116" s="37">
        <v>-462.90409887875012</v>
      </c>
      <c r="AT116" s="37">
        <v>-403.85770247000005</v>
      </c>
      <c r="AU116" s="37">
        <v>-103.23935385625009</v>
      </c>
      <c r="AV116" s="37">
        <v>-296.83868947625024</v>
      </c>
      <c r="AW116" s="37">
        <v>-89.875168299874758</v>
      </c>
      <c r="AX116" s="37">
        <v>-202.01429789500003</v>
      </c>
      <c r="AY116" s="37">
        <v>-178.17487692000009</v>
      </c>
      <c r="BA116" s="66"/>
      <c r="BB116" s="66"/>
    </row>
    <row r="117" spans="2:54">
      <c r="B117">
        <v>10388</v>
      </c>
      <c r="C117" t="s">
        <v>121</v>
      </c>
      <c r="D117" s="37">
        <v>28955.311828309561</v>
      </c>
      <c r="E117" s="37">
        <v>-17435.799804560706</v>
      </c>
      <c r="F117" s="37">
        <v>-37036.754588179283</v>
      </c>
      <c r="G117" s="37">
        <v>17094.420007826571</v>
      </c>
      <c r="H117" s="37">
        <v>5911.4470577553875</v>
      </c>
      <c r="I117" s="37">
        <v>-26475.100068614389</v>
      </c>
      <c r="J117" s="37">
        <v>11657.600822748973</v>
      </c>
      <c r="K117" s="37">
        <v>-41944.87468855059</v>
      </c>
      <c r="L117" s="37">
        <v>-5768.8524510406423</v>
      </c>
      <c r="M117" s="37">
        <v>-18611.95597075258</v>
      </c>
      <c r="N117" s="37">
        <v>-38116.373148828265</v>
      </c>
      <c r="O117" s="37">
        <v>16693.047068090753</v>
      </c>
      <c r="P117" s="37">
        <v>9435.74315588647</v>
      </c>
      <c r="Q117" s="37">
        <v>-8910.4569369289784</v>
      </c>
      <c r="R117" s="37">
        <v>-15594.105682307236</v>
      </c>
      <c r="S117" s="37">
        <v>12771.582595363092</v>
      </c>
      <c r="T117" s="37">
        <v>19355.624081763519</v>
      </c>
      <c r="U117" s="37">
        <v>-7458.4541283313083</v>
      </c>
      <c r="V117" s="37">
        <v>41990.185543570406</v>
      </c>
      <c r="W117" s="37">
        <v>-5760.3314764035058</v>
      </c>
      <c r="X117" s="37">
        <v>-853.25251712515455</v>
      </c>
      <c r="Y117" s="37">
        <v>33466.87123794666</v>
      </c>
      <c r="Z117" s="37">
        <v>23456.70777555633</v>
      </c>
      <c r="AA117" s="37">
        <v>-12276.110331305597</v>
      </c>
      <c r="AB117" s="37">
        <v>33221.633828309605</v>
      </c>
      <c r="AC117" s="37">
        <v>-21797.728804560709</v>
      </c>
      <c r="AD117" s="37">
        <v>-44500.704588179236</v>
      </c>
      <c r="AE117" s="37">
        <v>24466.207007826641</v>
      </c>
      <c r="AF117" s="37">
        <v>11566.498057755365</v>
      </c>
      <c r="AG117" s="37">
        <v>-32226.132068614395</v>
      </c>
      <c r="AH117" s="37">
        <v>-21791.459177251083</v>
      </c>
      <c r="AI117" s="37">
        <v>-8590.9516885506964</v>
      </c>
      <c r="AJ117" s="37">
        <v>-1389.2293940645832</v>
      </c>
      <c r="AK117" s="37">
        <v>-17693.05744226461</v>
      </c>
      <c r="AL117" s="37">
        <v>-1270.1841488282516</v>
      </c>
      <c r="AM117" s="37">
        <v>-20248.277931909201</v>
      </c>
      <c r="AN117" s="37">
        <v>12086.495155886449</v>
      </c>
      <c r="AO117" s="37">
        <v>-11653.180936929024</v>
      </c>
      <c r="AP117" s="37">
        <v>-19388.228682307257</v>
      </c>
      <c r="AQ117" s="37">
        <v>16471.223595363153</v>
      </c>
      <c r="AR117" s="37">
        <v>22592.4860817636</v>
      </c>
      <c r="AS117" s="37">
        <v>-10787.821128331278</v>
      </c>
      <c r="AT117" s="37">
        <v>48679.813543570315</v>
      </c>
      <c r="AU117" s="37">
        <v>-12544.815476403561</v>
      </c>
      <c r="AV117" s="37">
        <v>-4603.1815171251583</v>
      </c>
      <c r="AW117" s="37">
        <v>37121.942237946772</v>
      </c>
      <c r="AX117" s="37">
        <v>25569.750775556393</v>
      </c>
      <c r="AY117" s="37">
        <v>-14482.000331305611</v>
      </c>
      <c r="BA117" s="66"/>
      <c r="BB117" s="66"/>
    </row>
    <row r="118" spans="2:54">
      <c r="B118">
        <v>10391</v>
      </c>
      <c r="C118" t="s">
        <v>122</v>
      </c>
      <c r="D118" s="37">
        <v>1896.5553725671962</v>
      </c>
      <c r="E118" s="37">
        <v>965.56306327509901</v>
      </c>
      <c r="F118" s="37">
        <v>-2345.3241060544005</v>
      </c>
      <c r="G118" s="37">
        <v>-541.5090828138018</v>
      </c>
      <c r="H118" s="37">
        <v>229.52898988779816</v>
      </c>
      <c r="I118" s="37">
        <v>1435.030558099199</v>
      </c>
      <c r="J118" s="37">
        <v>-911.55390475699824</v>
      </c>
      <c r="K118" s="37">
        <v>1421.4875817457996</v>
      </c>
      <c r="L118" s="37">
        <v>-1721.7401156842025</v>
      </c>
      <c r="M118" s="37">
        <v>667.53047833180062</v>
      </c>
      <c r="N118" s="37">
        <v>-2315.2579665974008</v>
      </c>
      <c r="O118" s="37">
        <v>-1157.4102321644004</v>
      </c>
      <c r="P118" s="37">
        <v>1561.0787272054986</v>
      </c>
      <c r="Q118" s="37">
        <v>1135.11861869735</v>
      </c>
      <c r="R118" s="37">
        <v>561.70724304959913</v>
      </c>
      <c r="S118" s="37">
        <v>1140.8032659416986</v>
      </c>
      <c r="T118" s="37">
        <v>4764.8316027451983</v>
      </c>
      <c r="U118" s="37">
        <v>3603.1321184808985</v>
      </c>
      <c r="V118" s="37">
        <v>6840.9875505927994</v>
      </c>
      <c r="W118" s="37">
        <v>6388.9367411754993</v>
      </c>
      <c r="X118" s="37">
        <v>7144.9483137243005</v>
      </c>
      <c r="Y118" s="37">
        <v>5189.9976810669714</v>
      </c>
      <c r="Z118" s="37">
        <v>2214.020878494799</v>
      </c>
      <c r="AA118" s="37">
        <v>1369.9157624607997</v>
      </c>
      <c r="AB118" s="37">
        <v>1754.215372567196</v>
      </c>
      <c r="AC118" s="37">
        <v>1069.6600632751006</v>
      </c>
      <c r="AD118" s="37">
        <v>-2360.005106054401</v>
      </c>
      <c r="AE118" s="37">
        <v>-564.38608281380039</v>
      </c>
      <c r="AF118" s="37">
        <v>222.0659898877966</v>
      </c>
      <c r="AG118" s="37">
        <v>1404.2675580991981</v>
      </c>
      <c r="AH118" s="37">
        <v>-928.55090475700126</v>
      </c>
      <c r="AI118" s="37">
        <v>1400.2585817458003</v>
      </c>
      <c r="AJ118" s="37">
        <v>-1116.6736528521997</v>
      </c>
      <c r="AK118" s="37">
        <v>957.47420974780016</v>
      </c>
      <c r="AL118" s="37">
        <v>-2323.8569665974028</v>
      </c>
      <c r="AM118" s="37">
        <v>-1186.4502321643995</v>
      </c>
      <c r="AN118" s="37">
        <v>1549.0217272055015</v>
      </c>
      <c r="AO118" s="37">
        <v>1110.1746186973505</v>
      </c>
      <c r="AP118" s="37">
        <v>549.65324304959904</v>
      </c>
      <c r="AQ118" s="37">
        <v>1114.5922659416974</v>
      </c>
      <c r="AR118" s="37">
        <v>4762.3576027451963</v>
      </c>
      <c r="AS118" s="37">
        <v>3568.5701184808986</v>
      </c>
      <c r="AT118" s="37">
        <v>6827.3925505927982</v>
      </c>
      <c r="AU118" s="37">
        <v>6364.2617411754982</v>
      </c>
      <c r="AV118" s="37">
        <v>7272.2773137242984</v>
      </c>
      <c r="AW118" s="37">
        <v>5024.393681066972</v>
      </c>
      <c r="AX118" s="37">
        <v>2075.5938784947975</v>
      </c>
      <c r="AY118" s="37">
        <v>1471.3097624607981</v>
      </c>
      <c r="BA118" s="66"/>
      <c r="BB118" s="66"/>
    </row>
    <row r="119" spans="2:54">
      <c r="B119">
        <v>10406</v>
      </c>
      <c r="C119" t="s">
        <v>123</v>
      </c>
      <c r="D119" s="37">
        <v>135.96296041319999</v>
      </c>
      <c r="E119" s="37">
        <v>104.31235019935001</v>
      </c>
      <c r="F119" s="37">
        <v>112.52349015359999</v>
      </c>
      <c r="G119" s="37">
        <v>149.9002467647</v>
      </c>
      <c r="H119" s="37">
        <v>208.36979550430001</v>
      </c>
      <c r="I119" s="37">
        <v>192.06161795520001</v>
      </c>
      <c r="J119" s="37">
        <v>216.19163929550001</v>
      </c>
      <c r="K119" s="37">
        <v>215.46644867730004</v>
      </c>
      <c r="L119" s="37">
        <v>161.31427322230002</v>
      </c>
      <c r="M119" s="37">
        <v>164.4085001183</v>
      </c>
      <c r="N119" s="37">
        <v>121.38936280810003</v>
      </c>
      <c r="O119" s="37">
        <v>136.07223611860002</v>
      </c>
      <c r="P119" s="37">
        <v>145.44036435174999</v>
      </c>
      <c r="Q119" s="37">
        <v>130.01484748597503</v>
      </c>
      <c r="R119" s="37">
        <v>31.32754297759999</v>
      </c>
      <c r="S119" s="37">
        <v>66.840314791450027</v>
      </c>
      <c r="T119" s="37">
        <v>11.860474506200006</v>
      </c>
      <c r="U119" s="37">
        <v>30.983063886650001</v>
      </c>
      <c r="V119" s="37">
        <v>52.147794046799987</v>
      </c>
      <c r="W119" s="37">
        <v>57.573889796750009</v>
      </c>
      <c r="X119" s="37">
        <v>65.083361629550012</v>
      </c>
      <c r="Y119" s="37">
        <v>68.855365305945</v>
      </c>
      <c r="Z119" s="37">
        <v>71.423592433799996</v>
      </c>
      <c r="AA119" s="37">
        <v>63.901628404799993</v>
      </c>
      <c r="AB119" s="37">
        <v>146.94296041320001</v>
      </c>
      <c r="AC119" s="37">
        <v>113.63335019935001</v>
      </c>
      <c r="AD119" s="37">
        <v>122.91549015359999</v>
      </c>
      <c r="AE119" s="37">
        <v>158.81324676470001</v>
      </c>
      <c r="AF119" s="37">
        <v>219.39479550429999</v>
      </c>
      <c r="AG119" s="37">
        <v>200.50461795519999</v>
      </c>
      <c r="AH119" s="37">
        <v>208.38563929550003</v>
      </c>
      <c r="AI119" s="37">
        <v>240.72944867730001</v>
      </c>
      <c r="AJ119" s="37">
        <v>176.54909081430003</v>
      </c>
      <c r="AK119" s="37">
        <v>174.13390891429998</v>
      </c>
      <c r="AL119" s="37">
        <v>141.65536280809999</v>
      </c>
      <c r="AM119" s="37">
        <v>128.73823611860001</v>
      </c>
      <c r="AN119" s="37">
        <v>151.01336435175003</v>
      </c>
      <c r="AO119" s="37">
        <v>134.45784748597504</v>
      </c>
      <c r="AP119" s="37">
        <v>35.87354297760001</v>
      </c>
      <c r="AQ119" s="37">
        <v>70.502314791450033</v>
      </c>
      <c r="AR119" s="37">
        <v>15.671474506199985</v>
      </c>
      <c r="AS119" s="37">
        <v>33.640063886650012</v>
      </c>
      <c r="AT119" s="37">
        <v>55.678794046800022</v>
      </c>
      <c r="AU119" s="37">
        <v>60.141889796750021</v>
      </c>
      <c r="AV119" s="37">
        <v>68.165361629550006</v>
      </c>
      <c r="AW119" s="37">
        <v>70.982365305945009</v>
      </c>
      <c r="AX119" s="37">
        <v>73.823592433799973</v>
      </c>
      <c r="AY119" s="37">
        <v>65.670628404799999</v>
      </c>
      <c r="BA119" s="66"/>
      <c r="BB119" s="66"/>
    </row>
    <row r="120" spans="2:54">
      <c r="B120">
        <v>10408</v>
      </c>
      <c r="C120" t="s">
        <v>124</v>
      </c>
      <c r="D120" s="37">
        <v>242.99462364039994</v>
      </c>
      <c r="E120" s="37">
        <v>238.55086469194993</v>
      </c>
      <c r="F120" s="37">
        <v>12.69685177919996</v>
      </c>
      <c r="G120" s="37">
        <v>199.12923468590003</v>
      </c>
      <c r="H120" s="37">
        <v>65.866603107099991</v>
      </c>
      <c r="I120" s="37">
        <v>186.2397938144</v>
      </c>
      <c r="J120" s="37">
        <v>-5.8954381864999732</v>
      </c>
      <c r="K120" s="37">
        <v>210.57568178809993</v>
      </c>
      <c r="L120" s="37">
        <v>26.695911153100042</v>
      </c>
      <c r="M120" s="37">
        <v>172.55867686510004</v>
      </c>
      <c r="N120" s="37">
        <v>19.600884115700069</v>
      </c>
      <c r="O120" s="37">
        <v>161.75114488420002</v>
      </c>
      <c r="P120" s="37">
        <v>167.40864039475002</v>
      </c>
      <c r="Q120" s="37">
        <v>206.39380360707503</v>
      </c>
      <c r="R120" s="37">
        <v>-84.539705092799977</v>
      </c>
      <c r="S120" s="37">
        <v>126.03500905564999</v>
      </c>
      <c r="T120" s="37">
        <v>-108.72075243860002</v>
      </c>
      <c r="U120" s="37">
        <v>60.525285450049921</v>
      </c>
      <c r="V120" s="37">
        <v>-1.9997230203999834</v>
      </c>
      <c r="W120" s="37">
        <v>153.64482705975007</v>
      </c>
      <c r="X120" s="37">
        <v>-20.39095691865009</v>
      </c>
      <c r="Y120" s="37">
        <v>144.00091054516508</v>
      </c>
      <c r="Z120" s="37">
        <v>-144.12285238140004</v>
      </c>
      <c r="AA120" s="37">
        <v>-16.742908894400045</v>
      </c>
      <c r="AB120" s="37">
        <v>242.99462364039994</v>
      </c>
      <c r="AC120" s="37">
        <v>238.55086469194993</v>
      </c>
      <c r="AD120" s="37">
        <v>12.69685177919996</v>
      </c>
      <c r="AE120" s="37">
        <v>199.12923468590003</v>
      </c>
      <c r="AF120" s="37">
        <v>65.866603107099991</v>
      </c>
      <c r="AG120" s="37">
        <v>186.2397938144</v>
      </c>
      <c r="AH120" s="37">
        <v>-44.80043818650006</v>
      </c>
      <c r="AI120" s="37">
        <v>249.48068178810001</v>
      </c>
      <c r="AJ120" s="37">
        <v>51.683271177100096</v>
      </c>
      <c r="AK120" s="37">
        <v>185.05235687710001</v>
      </c>
      <c r="AL120" s="37">
        <v>55.924884115700024</v>
      </c>
      <c r="AM120" s="37">
        <v>125.42714488419995</v>
      </c>
      <c r="AN120" s="37">
        <v>167.40864039475002</v>
      </c>
      <c r="AO120" s="37">
        <v>206.39380360707503</v>
      </c>
      <c r="AP120" s="37">
        <v>-84.539705092799977</v>
      </c>
      <c r="AQ120" s="37">
        <v>126.03500905564999</v>
      </c>
      <c r="AR120" s="37">
        <v>-108.72075243860002</v>
      </c>
      <c r="AS120" s="37">
        <v>60.525285450049921</v>
      </c>
      <c r="AT120" s="37">
        <v>-1.9997230203999834</v>
      </c>
      <c r="AU120" s="37">
        <v>153.64482705975007</v>
      </c>
      <c r="AV120" s="37">
        <v>-20.39095691865009</v>
      </c>
      <c r="AW120" s="37">
        <v>144.00091054516508</v>
      </c>
      <c r="AX120" s="37">
        <v>-144.12285238140004</v>
      </c>
      <c r="AY120" s="37">
        <v>-16.742908894400045</v>
      </c>
      <c r="BA120" s="66"/>
      <c r="BB120" s="66"/>
    </row>
    <row r="121" spans="2:54">
      <c r="B121">
        <v>10409</v>
      </c>
      <c r="C121" t="s">
        <v>125</v>
      </c>
      <c r="D121" s="37">
        <v>1576.0474519695999</v>
      </c>
      <c r="E121" s="37">
        <v>1035.3531075318006</v>
      </c>
      <c r="F121" s="37">
        <v>-795.32633649920172</v>
      </c>
      <c r="G121" s="37">
        <v>479.06741531159878</v>
      </c>
      <c r="H121" s="37">
        <v>-182.74303877960119</v>
      </c>
      <c r="I121" s="37">
        <v>481.42923714560038</v>
      </c>
      <c r="J121" s="37">
        <v>-834.04798622599992</v>
      </c>
      <c r="K121" s="37">
        <v>790.74873106439918</v>
      </c>
      <c r="L121" s="37">
        <v>-987.09481667559885</v>
      </c>
      <c r="M121" s="37">
        <v>478.27484841239948</v>
      </c>
      <c r="N121" s="37">
        <v>-958.1408656732001</v>
      </c>
      <c r="O121" s="37">
        <v>-23.026344479198997</v>
      </c>
      <c r="P121" s="37">
        <v>707.99964659899979</v>
      </c>
      <c r="Q121" s="37">
        <v>770.59292168230058</v>
      </c>
      <c r="R121" s="37">
        <v>-2317.1533294272012</v>
      </c>
      <c r="S121" s="37">
        <v>-242.16326018939981</v>
      </c>
      <c r="T121" s="37">
        <v>-2336.3584324263993</v>
      </c>
      <c r="U121" s="37">
        <v>-1043.0717711238003</v>
      </c>
      <c r="V121" s="37">
        <v>-950.17070708959909</v>
      </c>
      <c r="W121" s="37">
        <v>159.09002405899992</v>
      </c>
      <c r="X121" s="37">
        <v>-793.51006302260157</v>
      </c>
      <c r="Y121" s="37">
        <v>672.86234073146079</v>
      </c>
      <c r="Z121" s="37">
        <v>132.91348674639812</v>
      </c>
      <c r="AA121" s="37">
        <v>148.75958093439931</v>
      </c>
      <c r="AB121" s="37">
        <v>1477.2154519695996</v>
      </c>
      <c r="AC121" s="37">
        <v>1137.1611075318006</v>
      </c>
      <c r="AD121" s="37">
        <v>-793.72633649920135</v>
      </c>
      <c r="AE121" s="37">
        <v>480.35141531159934</v>
      </c>
      <c r="AF121" s="37">
        <v>-181.14303877960083</v>
      </c>
      <c r="AG121" s="37">
        <v>482.80523714560059</v>
      </c>
      <c r="AH121" s="37">
        <v>-1183.6539862259979</v>
      </c>
      <c r="AI121" s="37">
        <v>1143.3307310643995</v>
      </c>
      <c r="AJ121" s="37">
        <v>-550.88470009959929</v>
      </c>
      <c r="AK121" s="37">
        <v>696.76390670039927</v>
      </c>
      <c r="AL121" s="37">
        <v>-647.72586567319922</v>
      </c>
      <c r="AM121" s="37">
        <v>-330.46934447919921</v>
      </c>
      <c r="AN121" s="37">
        <v>709.66364659899864</v>
      </c>
      <c r="AO121" s="37">
        <v>771.80892168230093</v>
      </c>
      <c r="AP121" s="37">
        <v>-2315.4893294272015</v>
      </c>
      <c r="AQ121" s="37">
        <v>-240.85126018939991</v>
      </c>
      <c r="AR121" s="37">
        <v>-2334.7584324263989</v>
      </c>
      <c r="AS121" s="37">
        <v>-1041.7917711238006</v>
      </c>
      <c r="AT121" s="37">
        <v>-948.50670708959933</v>
      </c>
      <c r="AU121" s="37">
        <v>160.40202405899981</v>
      </c>
      <c r="AV121" s="37">
        <v>-691.2860630226005</v>
      </c>
      <c r="AW121" s="37">
        <v>573.6143407314612</v>
      </c>
      <c r="AX121" s="37">
        <v>33.953486746398994</v>
      </c>
      <c r="AY121" s="37">
        <v>250.59958093439946</v>
      </c>
      <c r="BA121" s="66"/>
      <c r="BB121" s="66"/>
    </row>
    <row r="122" spans="2:54">
      <c r="B122">
        <v>10426</v>
      </c>
      <c r="C122" t="s">
        <v>126</v>
      </c>
      <c r="D122" s="37">
        <v>2138.6670520067964</v>
      </c>
      <c r="E122" s="37">
        <v>2951.5081275981511</v>
      </c>
      <c r="F122" s="37">
        <v>2277.0219980063994</v>
      </c>
      <c r="G122" s="37">
        <v>4950.0927259302989</v>
      </c>
      <c r="H122" s="37">
        <v>4646.2420894506977</v>
      </c>
      <c r="I122" s="37">
        <v>7104.5657271647997</v>
      </c>
      <c r="J122" s="37">
        <v>4252.5784273794998</v>
      </c>
      <c r="K122" s="37">
        <v>7416.9870263277007</v>
      </c>
      <c r="L122" s="37">
        <v>4058.1289100326994</v>
      </c>
      <c r="M122" s="37">
        <v>6655.9868807367002</v>
      </c>
      <c r="N122" s="37">
        <v>1133.5861661768995</v>
      </c>
      <c r="O122" s="37">
        <v>3530.2753872914</v>
      </c>
      <c r="P122" s="37">
        <v>1078.4284313857497</v>
      </c>
      <c r="Q122" s="37">
        <v>2721.0544880677753</v>
      </c>
      <c r="R122" s="37">
        <v>-3035.0109704176011</v>
      </c>
      <c r="S122" s="37">
        <v>181.83775239104943</v>
      </c>
      <c r="T122" s="37">
        <v>-3042.4073700362005</v>
      </c>
      <c r="U122" s="37">
        <v>-501.2314425841505</v>
      </c>
      <c r="V122" s="37">
        <v>752.54034453319946</v>
      </c>
      <c r="W122" s="37">
        <v>2235.005279190751</v>
      </c>
      <c r="X122" s="37">
        <v>1514.8198900379484</v>
      </c>
      <c r="Y122" s="37">
        <v>2240.015872992305</v>
      </c>
      <c r="Z122" s="37">
        <v>366.87374209619702</v>
      </c>
      <c r="AA122" s="37">
        <v>1619.3871924752002</v>
      </c>
      <c r="AB122" s="37">
        <v>1183.6465383671984</v>
      </c>
      <c r="AC122" s="37">
        <v>2421.7253240500995</v>
      </c>
      <c r="AD122" s="37">
        <v>1028.0439323455976</v>
      </c>
      <c r="AE122" s="37">
        <v>4349.8962177361991</v>
      </c>
      <c r="AF122" s="37">
        <v>3431.6525378377992</v>
      </c>
      <c r="AG122" s="37">
        <v>6562.2325468992003</v>
      </c>
      <c r="AH122" s="37">
        <v>2922.9109659930036</v>
      </c>
      <c r="AI122" s="37">
        <v>6888.3364541957981</v>
      </c>
      <c r="AJ122" s="37">
        <v>3498.9654100978005</v>
      </c>
      <c r="AK122" s="37">
        <v>6553.2439226978004</v>
      </c>
      <c r="AL122" s="37">
        <v>-263.37012394739941</v>
      </c>
      <c r="AM122" s="37">
        <v>2801.5600787355997</v>
      </c>
      <c r="AN122" s="37">
        <v>-12.313661419499113</v>
      </c>
      <c r="AO122" s="37">
        <v>2142.041830034852</v>
      </c>
      <c r="AP122" s="37">
        <v>-4649.753762550401</v>
      </c>
      <c r="AQ122" s="37">
        <v>-731.74343463329933</v>
      </c>
      <c r="AR122" s="37">
        <v>-4737.3289269547986</v>
      </c>
      <c r="AS122" s="37">
        <v>-1427.0441832940996</v>
      </c>
      <c r="AT122" s="37">
        <v>-504.30862520720075</v>
      </c>
      <c r="AU122" s="37">
        <v>1582.2122450505012</v>
      </c>
      <c r="AV122" s="37">
        <v>324.62065079930107</v>
      </c>
      <c r="AW122" s="37">
        <v>1636.3615052094701</v>
      </c>
      <c r="AX122" s="37">
        <v>-720.92448180520114</v>
      </c>
      <c r="AY122" s="37">
        <v>968.55411366080079</v>
      </c>
      <c r="BA122" s="66"/>
      <c r="BB122" s="66"/>
    </row>
    <row r="123" spans="2:54">
      <c r="B123">
        <v>10434</v>
      </c>
      <c r="C123" t="s">
        <v>127</v>
      </c>
      <c r="D123" s="37">
        <v>1944.3132724659972</v>
      </c>
      <c r="E123" s="37">
        <v>425.7837391967505</v>
      </c>
      <c r="F123" s="37">
        <v>237.37306996799816</v>
      </c>
      <c r="G123" s="37">
        <v>616.85116222350007</v>
      </c>
      <c r="H123" s="37">
        <v>2874.5853171214985</v>
      </c>
      <c r="I123" s="37">
        <v>2256.7497841759996</v>
      </c>
      <c r="J123" s="37">
        <v>1707.9870224775004</v>
      </c>
      <c r="K123" s="37">
        <v>2034.9423389864987</v>
      </c>
      <c r="L123" s="37">
        <v>998.94020171150078</v>
      </c>
      <c r="M123" s="37">
        <v>1285.2704481914998</v>
      </c>
      <c r="N123" s="37">
        <v>193.82800724049957</v>
      </c>
      <c r="O123" s="37">
        <v>-47.956220206999205</v>
      </c>
      <c r="P123" s="37">
        <v>1170.1338227587512</v>
      </c>
      <c r="Q123" s="37">
        <v>343.73177512987604</v>
      </c>
      <c r="R123" s="37">
        <v>-2380.3619379120009</v>
      </c>
      <c r="S123" s="37">
        <v>-1522.8613966427492</v>
      </c>
      <c r="T123" s="37">
        <v>-2074.2721610690005</v>
      </c>
      <c r="U123" s="37">
        <v>-1584.458876766751</v>
      </c>
      <c r="V123" s="37">
        <v>1841.0016198339999</v>
      </c>
      <c r="W123" s="37">
        <v>925.7419899837505</v>
      </c>
      <c r="X123" s="37">
        <v>1814.2721907477498</v>
      </c>
      <c r="Y123" s="37">
        <v>642.72973906972584</v>
      </c>
      <c r="Z123" s="37">
        <v>310.3611757689996</v>
      </c>
      <c r="AA123" s="37">
        <v>-150.89463237600012</v>
      </c>
      <c r="AB123" s="37">
        <v>2087.276272465997</v>
      </c>
      <c r="AC123" s="37">
        <v>509.04973919675012</v>
      </c>
      <c r="AD123" s="37">
        <v>388.3300699679985</v>
      </c>
      <c r="AE123" s="37">
        <v>720.04016222350037</v>
      </c>
      <c r="AF123" s="37">
        <v>3061.5893171214993</v>
      </c>
      <c r="AG123" s="37">
        <v>2382.5427841759993</v>
      </c>
      <c r="AH123" s="37">
        <v>1891.8680224775017</v>
      </c>
      <c r="AI123" s="37">
        <v>2159.1023389864986</v>
      </c>
      <c r="AJ123" s="37">
        <v>1602.0591136715011</v>
      </c>
      <c r="AK123" s="37">
        <v>1606.4824041715001</v>
      </c>
      <c r="AL123" s="37">
        <v>353.07700724049937</v>
      </c>
      <c r="AM123" s="37">
        <v>52.359779792999689</v>
      </c>
      <c r="AN123" s="37">
        <v>1196.5798227587511</v>
      </c>
      <c r="AO123" s="37">
        <v>359.82277512987639</v>
      </c>
      <c r="AP123" s="37">
        <v>-2353.6729379120006</v>
      </c>
      <c r="AQ123" s="37">
        <v>-1505.5943966427494</v>
      </c>
      <c r="AR123" s="37">
        <v>-2047.0501610690008</v>
      </c>
      <c r="AS123" s="37">
        <v>-1569.1428767667512</v>
      </c>
      <c r="AT123" s="37">
        <v>1868.6266198339999</v>
      </c>
      <c r="AU123" s="37">
        <v>942.07298998375063</v>
      </c>
      <c r="AV123" s="37">
        <v>1842.6921907477499</v>
      </c>
      <c r="AW123" s="37">
        <v>658.2727390697255</v>
      </c>
      <c r="AX123" s="37">
        <v>336.2991757689997</v>
      </c>
      <c r="AY123" s="37">
        <v>-134.28663237599994</v>
      </c>
      <c r="BA123" s="66"/>
      <c r="BB123" s="66"/>
    </row>
    <row r="124" spans="2:54">
      <c r="B124">
        <v>10436</v>
      </c>
      <c r="C124" t="s">
        <v>128</v>
      </c>
      <c r="D124" s="37">
        <v>-927.15833421360094</v>
      </c>
      <c r="E124" s="37">
        <v>-715.97597492129989</v>
      </c>
      <c r="F124" s="37">
        <v>-2814.5115656128019</v>
      </c>
      <c r="G124" s="37">
        <v>-992.42209231060042</v>
      </c>
      <c r="H124" s="37">
        <v>-465.68675995140075</v>
      </c>
      <c r="I124" s="37">
        <v>649.77787847040054</v>
      </c>
      <c r="J124" s="37">
        <v>-1462.7878490089988</v>
      </c>
      <c r="K124" s="37">
        <v>597.37150079460025</v>
      </c>
      <c r="L124" s="37">
        <v>-2232.5215741153988</v>
      </c>
      <c r="M124" s="37">
        <v>-238.70117152340026</v>
      </c>
      <c r="N124" s="37">
        <v>-2589.0777327037986</v>
      </c>
      <c r="O124" s="37">
        <v>-1190.2240216827995</v>
      </c>
      <c r="P124" s="37">
        <v>-1593.7188038965005</v>
      </c>
      <c r="Q124" s="37">
        <v>-727.74384404805005</v>
      </c>
      <c r="R124" s="37">
        <v>-1356.7703927648008</v>
      </c>
      <c r="S124" s="37">
        <v>134.10605114289956</v>
      </c>
      <c r="T124" s="37">
        <v>1773.8650243724005</v>
      </c>
      <c r="U124" s="37">
        <v>1892.941983893299</v>
      </c>
      <c r="V124" s="37">
        <v>4577.6337311335992</v>
      </c>
      <c r="W124" s="37">
        <v>4445.0950429935001</v>
      </c>
      <c r="X124" s="37">
        <v>2768.6776704990971</v>
      </c>
      <c r="Y124" s="37">
        <v>2728.0191998078908</v>
      </c>
      <c r="Z124" s="37">
        <v>283.80914150759872</v>
      </c>
      <c r="AA124" s="37">
        <v>597.85382224959994</v>
      </c>
      <c r="AB124" s="37">
        <v>-910.84433421360154</v>
      </c>
      <c r="AC124" s="37">
        <v>-555.61397492129981</v>
      </c>
      <c r="AD124" s="37">
        <v>-2718.3005656128007</v>
      </c>
      <c r="AE124" s="37">
        <v>-918.29509231060092</v>
      </c>
      <c r="AF124" s="37">
        <v>-361.96275995140059</v>
      </c>
      <c r="AG124" s="37">
        <v>721.34687847040004</v>
      </c>
      <c r="AH124" s="37">
        <v>-1364.6068490089983</v>
      </c>
      <c r="AI124" s="37">
        <v>673.85450079460043</v>
      </c>
      <c r="AJ124" s="37">
        <v>-1735.008401331399</v>
      </c>
      <c r="AK124" s="37">
        <v>28.830914868599393</v>
      </c>
      <c r="AL124" s="37">
        <v>-2485.4717327037988</v>
      </c>
      <c r="AM124" s="37">
        <v>-1120.4840216827997</v>
      </c>
      <c r="AN124" s="37">
        <v>-1494.0908038964999</v>
      </c>
      <c r="AO124" s="37">
        <v>-660.50684404804906</v>
      </c>
      <c r="AP124" s="37">
        <v>-1259.9273927648001</v>
      </c>
      <c r="AQ124" s="37">
        <v>207.82105114289971</v>
      </c>
      <c r="AR124" s="37">
        <v>1877.7200243724001</v>
      </c>
      <c r="AS124" s="37">
        <v>1952.9569838932985</v>
      </c>
      <c r="AT124" s="37">
        <v>4677.0217311335982</v>
      </c>
      <c r="AU124" s="37">
        <v>4513.8150429934994</v>
      </c>
      <c r="AV124" s="37">
        <v>2966.3356704991002</v>
      </c>
      <c r="AW124" s="37">
        <v>2697.9731998078905</v>
      </c>
      <c r="AX124" s="37">
        <v>285.96414150759938</v>
      </c>
      <c r="AY124" s="37">
        <v>757.56582224959948</v>
      </c>
      <c r="BA124" s="66"/>
      <c r="BB124" s="66"/>
    </row>
    <row r="125" spans="2:54">
      <c r="B125">
        <v>10440</v>
      </c>
      <c r="C125" t="s">
        <v>129</v>
      </c>
      <c r="D125" s="37">
        <v>278.85705151439993</v>
      </c>
      <c r="E125" s="37">
        <v>178.69874290269991</v>
      </c>
      <c r="F125" s="37">
        <v>187.0114821311995</v>
      </c>
      <c r="G125" s="37">
        <v>260.64534397739976</v>
      </c>
      <c r="H125" s="37">
        <v>1122.6060335205998</v>
      </c>
      <c r="I125" s="37">
        <v>939.06296787840006</v>
      </c>
      <c r="J125" s="37">
        <v>546.20278331100008</v>
      </c>
      <c r="K125" s="37">
        <v>778.95318418660008</v>
      </c>
      <c r="L125" s="37">
        <v>842.75298607659988</v>
      </c>
      <c r="M125" s="37">
        <v>809.88304050859983</v>
      </c>
      <c r="N125" s="37">
        <v>743.20961072020009</v>
      </c>
      <c r="O125" s="37">
        <v>545.1677796611998</v>
      </c>
      <c r="P125" s="37">
        <v>368.04132442349987</v>
      </c>
      <c r="Q125" s="37">
        <v>308.9643256159502</v>
      </c>
      <c r="R125" s="37">
        <v>-680.41348806080009</v>
      </c>
      <c r="S125" s="37">
        <v>-352.20031224909985</v>
      </c>
      <c r="T125" s="37">
        <v>-910.51074317960047</v>
      </c>
      <c r="U125" s="37">
        <v>-485.86970449070009</v>
      </c>
      <c r="V125" s="37">
        <v>-636.06721619439986</v>
      </c>
      <c r="W125" s="37">
        <v>-310.07401588650009</v>
      </c>
      <c r="X125" s="37">
        <v>-465.43405826890034</v>
      </c>
      <c r="Y125" s="37">
        <v>-314.8082126593099</v>
      </c>
      <c r="Z125" s="37">
        <v>-290.06927334040029</v>
      </c>
      <c r="AA125" s="37">
        <v>-263.74725275840001</v>
      </c>
      <c r="AB125" s="37">
        <v>285.35005151439987</v>
      </c>
      <c r="AC125" s="37">
        <v>182.92774290269995</v>
      </c>
      <c r="AD125" s="37">
        <v>194.79848213119976</v>
      </c>
      <c r="AE125" s="37">
        <v>266.11734397739974</v>
      </c>
      <c r="AF125" s="37">
        <v>1122.6060335205998</v>
      </c>
      <c r="AG125" s="37">
        <v>939.06296787840006</v>
      </c>
      <c r="AH125" s="37">
        <v>556.12878331100001</v>
      </c>
      <c r="AI125" s="37">
        <v>786.41018418659996</v>
      </c>
      <c r="AJ125" s="37">
        <v>924.64281454059983</v>
      </c>
      <c r="AK125" s="37">
        <v>850.82795474059981</v>
      </c>
      <c r="AL125" s="37">
        <v>743.20961072020009</v>
      </c>
      <c r="AM125" s="37">
        <v>545.1677796611998</v>
      </c>
      <c r="AN125" s="37">
        <v>375.1813244235002</v>
      </c>
      <c r="AO125" s="37">
        <v>313.77532561595012</v>
      </c>
      <c r="AP125" s="37">
        <v>-675.03348806080021</v>
      </c>
      <c r="AQ125" s="37">
        <v>-348.46031224909984</v>
      </c>
      <c r="AR125" s="37">
        <v>-905.41974317960035</v>
      </c>
      <c r="AS125" s="37">
        <v>-482.68870449070005</v>
      </c>
      <c r="AT125" s="37">
        <v>-631.22621619439997</v>
      </c>
      <c r="AU125" s="37">
        <v>-306.9200158865001</v>
      </c>
      <c r="AV125" s="37">
        <v>-460.18105826890019</v>
      </c>
      <c r="AW125" s="37">
        <v>-311.92221265930993</v>
      </c>
      <c r="AX125" s="37">
        <v>-285.1732733404001</v>
      </c>
      <c r="AY125" s="37">
        <v>-260.65325275840007</v>
      </c>
      <c r="BA125" s="66"/>
      <c r="BB125" s="66"/>
    </row>
    <row r="126" spans="2:54">
      <c r="B126">
        <v>10442</v>
      </c>
      <c r="C126" t="s">
        <v>130</v>
      </c>
      <c r="D126" s="37">
        <v>-123.91178918839978</v>
      </c>
      <c r="E126" s="37">
        <v>-144.70678388844999</v>
      </c>
      <c r="F126" s="37">
        <v>-999.5784628832007</v>
      </c>
      <c r="G126" s="37">
        <v>254.88372218109998</v>
      </c>
      <c r="H126" s="37">
        <v>338.04903211589954</v>
      </c>
      <c r="I126" s="37">
        <v>759.4450852575992</v>
      </c>
      <c r="J126" s="37">
        <v>-194.07373555849972</v>
      </c>
      <c r="K126" s="37">
        <v>677.7843249648995</v>
      </c>
      <c r="L126" s="37">
        <v>-358.20349195009931</v>
      </c>
      <c r="M126" s="37">
        <v>556.34262089789991</v>
      </c>
      <c r="N126" s="37">
        <v>-1189.3886319746998</v>
      </c>
      <c r="O126" s="37">
        <v>-200.39083733819962</v>
      </c>
      <c r="P126" s="37">
        <v>-122.40472982724987</v>
      </c>
      <c r="Q126" s="37">
        <v>18.216094037675248</v>
      </c>
      <c r="R126" s="37">
        <v>-1260.8201153712007</v>
      </c>
      <c r="S126" s="37">
        <v>-278.94229987114977</v>
      </c>
      <c r="T126" s="37">
        <v>-513.31344037940016</v>
      </c>
      <c r="U126" s="37">
        <v>-252.13022179355039</v>
      </c>
      <c r="V126" s="37">
        <v>1492.7298291684001</v>
      </c>
      <c r="W126" s="37">
        <v>1079.3828449577504</v>
      </c>
      <c r="X126" s="37">
        <v>1077.0501365441496</v>
      </c>
      <c r="Y126" s="37">
        <v>1026.5671923212853</v>
      </c>
      <c r="Z126" s="37">
        <v>104.23295859939935</v>
      </c>
      <c r="AA126" s="37">
        <v>131.99582942239977</v>
      </c>
      <c r="AB126" s="37">
        <v>-138.21763065120103</v>
      </c>
      <c r="AC126" s="37">
        <v>-154.1072098845998</v>
      </c>
      <c r="AD126" s="37">
        <v>-1018.5272203776012</v>
      </c>
      <c r="AE126" s="37">
        <v>243.49280817479985</v>
      </c>
      <c r="AF126" s="37">
        <v>319.34048622120008</v>
      </c>
      <c r="AG126" s="37">
        <v>747.85633127680012</v>
      </c>
      <c r="AH126" s="37">
        <v>-501.8432850779991</v>
      </c>
      <c r="AI126" s="37">
        <v>953.09691735319939</v>
      </c>
      <c r="AJ126" s="37">
        <v>-170.03054573880036</v>
      </c>
      <c r="AK126" s="37">
        <v>649.82779466119973</v>
      </c>
      <c r="AL126" s="37">
        <v>-985.51504149959965</v>
      </c>
      <c r="AM126" s="37">
        <v>-436.49171631760009</v>
      </c>
      <c r="AN126" s="37">
        <v>-137.34730660300011</v>
      </c>
      <c r="AO126" s="37">
        <v>8.7075357669000368</v>
      </c>
      <c r="AP126" s="37">
        <v>-1280.5003783616003</v>
      </c>
      <c r="AQ126" s="37">
        <v>-291.10790472820008</v>
      </c>
      <c r="AR126" s="37">
        <v>-533.53349823919962</v>
      </c>
      <c r="AS126" s="37">
        <v>-264.05992969140016</v>
      </c>
      <c r="AT126" s="37">
        <v>1477.4064972912001</v>
      </c>
      <c r="AU126" s="37">
        <v>1070.2933697770004</v>
      </c>
      <c r="AV126" s="37">
        <v>1061.5226182921997</v>
      </c>
      <c r="AW126" s="37">
        <v>1018.0191043383802</v>
      </c>
      <c r="AX126" s="37">
        <v>89.856909199199436</v>
      </c>
      <c r="AY126" s="37">
        <v>122.36023496319967</v>
      </c>
      <c r="BA126" s="66"/>
      <c r="BB126" s="66"/>
    </row>
    <row r="127" spans="2:54">
      <c r="B127">
        <v>10446</v>
      </c>
      <c r="C127" t="s">
        <v>131</v>
      </c>
      <c r="D127" s="37">
        <v>-1064.4150703328123</v>
      </c>
      <c r="E127" s="37">
        <v>1782.6276778876054</v>
      </c>
      <c r="F127" s="37">
        <v>-14149.671905254403</v>
      </c>
      <c r="G127" s="37">
        <v>-1298.2630430888021</v>
      </c>
      <c r="H127" s="37">
        <v>-12256.069674087194</v>
      </c>
      <c r="I127" s="37">
        <v>-2637.7443963007972</v>
      </c>
      <c r="J127" s="37">
        <v>-15264.997490132002</v>
      </c>
      <c r="K127" s="37">
        <v>-2612.8021444791993</v>
      </c>
      <c r="L127" s="37">
        <v>-13312.990863159201</v>
      </c>
      <c r="M127" s="37">
        <v>-1367.1226811432025</v>
      </c>
      <c r="N127" s="37">
        <v>-14019.481517922402</v>
      </c>
      <c r="O127" s="37">
        <v>-3497.6996676144008</v>
      </c>
      <c r="P127" s="37">
        <v>-5872.7923534819929</v>
      </c>
      <c r="Q127" s="37">
        <v>-811.29960447139456</v>
      </c>
      <c r="R127" s="37">
        <v>-13197.469234150405</v>
      </c>
      <c r="S127" s="37">
        <v>-239.75846877079675</v>
      </c>
      <c r="T127" s="37">
        <v>-11858.204892404799</v>
      </c>
      <c r="U127" s="37">
        <v>-1979.5277756315991</v>
      </c>
      <c r="V127" s="37">
        <v>-8101.4150015072009</v>
      </c>
      <c r="W127" s="37">
        <v>1058.8317142380038</v>
      </c>
      <c r="X127" s="37">
        <v>-5277.8405698132046</v>
      </c>
      <c r="Y127" s="37">
        <v>4560.0474704957196</v>
      </c>
      <c r="Z127" s="37">
        <v>-311.99618135520723</v>
      </c>
      <c r="AA127" s="37">
        <v>4199.3440468607987</v>
      </c>
      <c r="AB127" s="37">
        <v>-988.49907033280033</v>
      </c>
      <c r="AC127" s="37">
        <v>1978.7846778876046</v>
      </c>
      <c r="AD127" s="37">
        <v>-13810.846905254399</v>
      </c>
      <c r="AE127" s="37">
        <v>-1052.7780430887979</v>
      </c>
      <c r="AF127" s="37">
        <v>-11855.139674087201</v>
      </c>
      <c r="AG127" s="37">
        <v>-2401.4453963007982</v>
      </c>
      <c r="AH127" s="37">
        <v>-16344.318490131998</v>
      </c>
      <c r="AI127" s="37">
        <v>-616.30314447919955</v>
      </c>
      <c r="AJ127" s="37">
        <v>-11113.730574327194</v>
      </c>
      <c r="AK127" s="37">
        <v>-78.35253672719773</v>
      </c>
      <c r="AL127" s="37">
        <v>-11951.599517922397</v>
      </c>
      <c r="AM127" s="37">
        <v>-4486.6166676143948</v>
      </c>
      <c r="AN127" s="37">
        <v>-6088.8123534819897</v>
      </c>
      <c r="AO127" s="37">
        <v>-838.85260447139444</v>
      </c>
      <c r="AP127" s="37">
        <v>-10907.872234150404</v>
      </c>
      <c r="AQ127" s="37">
        <v>1708.9175312292064</v>
      </c>
      <c r="AR127" s="37">
        <v>-10637.449892404802</v>
      </c>
      <c r="AS127" s="37">
        <v>-1165.3707756315998</v>
      </c>
      <c r="AT127" s="37">
        <v>-6947.2670015071999</v>
      </c>
      <c r="AU127" s="37">
        <v>2160.324714238006</v>
      </c>
      <c r="AV127" s="37">
        <v>-3725.7245698132028</v>
      </c>
      <c r="AW127" s="37">
        <v>5578.028470495723</v>
      </c>
      <c r="AX127" s="37">
        <v>1220.262818644791</v>
      </c>
      <c r="AY127" s="37">
        <v>5459.1630468608018</v>
      </c>
      <c r="BA127" s="66"/>
      <c r="BB127" s="66"/>
    </row>
    <row r="128" spans="2:54">
      <c r="B128">
        <v>10448</v>
      </c>
      <c r="C128" t="s">
        <v>132</v>
      </c>
      <c r="D128" s="37">
        <v>0</v>
      </c>
      <c r="E128" s="37">
        <v>0</v>
      </c>
      <c r="F128" s="37">
        <v>0</v>
      </c>
      <c r="G128" s="37">
        <v>0</v>
      </c>
      <c r="H128" s="37">
        <v>0</v>
      </c>
      <c r="I128" s="37">
        <v>0</v>
      </c>
      <c r="J128" s="37">
        <v>0</v>
      </c>
      <c r="K128" s="37">
        <v>0</v>
      </c>
      <c r="L128" s="37">
        <v>0</v>
      </c>
      <c r="M128" s="37">
        <v>0</v>
      </c>
      <c r="N128" s="37">
        <v>0</v>
      </c>
      <c r="O128" s="37">
        <v>0</v>
      </c>
      <c r="P128" s="37">
        <v>0</v>
      </c>
      <c r="Q128" s="37">
        <v>0</v>
      </c>
      <c r="R128" s="37">
        <v>0</v>
      </c>
      <c r="S128" s="37">
        <v>0</v>
      </c>
      <c r="T128" s="37">
        <v>0</v>
      </c>
      <c r="U128" s="37">
        <v>0</v>
      </c>
      <c r="V128" s="37">
        <v>0</v>
      </c>
      <c r="W128" s="37">
        <v>0</v>
      </c>
      <c r="X128" s="37">
        <v>0</v>
      </c>
      <c r="Y128" s="37">
        <v>0</v>
      </c>
      <c r="Z128" s="37">
        <v>0</v>
      </c>
      <c r="AA128" s="37">
        <v>0</v>
      </c>
      <c r="AB128" s="37">
        <v>0</v>
      </c>
      <c r="AC128" s="37">
        <v>0</v>
      </c>
      <c r="AD128" s="37">
        <v>0</v>
      </c>
      <c r="AE128" s="37">
        <v>0</v>
      </c>
      <c r="AF128" s="37">
        <v>0</v>
      </c>
      <c r="AG128" s="37">
        <v>0</v>
      </c>
      <c r="AH128" s="37">
        <v>0</v>
      </c>
      <c r="AI128" s="37">
        <v>0</v>
      </c>
      <c r="AJ128" s="37">
        <v>0</v>
      </c>
      <c r="AK128" s="37">
        <v>0</v>
      </c>
      <c r="AL128" s="37">
        <v>0</v>
      </c>
      <c r="AM128" s="37">
        <v>0</v>
      </c>
      <c r="AN128" s="37">
        <v>0</v>
      </c>
      <c r="AO128" s="37">
        <v>0</v>
      </c>
      <c r="AP128" s="37">
        <v>0</v>
      </c>
      <c r="AQ128" s="37">
        <v>0</v>
      </c>
      <c r="AR128" s="37">
        <v>0</v>
      </c>
      <c r="AS128" s="37">
        <v>0</v>
      </c>
      <c r="AT128" s="37">
        <v>0</v>
      </c>
      <c r="AU128" s="37">
        <v>0</v>
      </c>
      <c r="AV128" s="37">
        <v>0</v>
      </c>
      <c r="AW128" s="37">
        <v>0</v>
      </c>
      <c r="AX128" s="37">
        <v>0</v>
      </c>
      <c r="AY128" s="37">
        <v>0</v>
      </c>
      <c r="BA128" s="66"/>
      <c r="BB128" s="66"/>
    </row>
    <row r="129" spans="2:54">
      <c r="B129">
        <v>10451</v>
      </c>
      <c r="C129" t="s">
        <v>133</v>
      </c>
      <c r="D129" s="37">
        <v>3959.8138628323977</v>
      </c>
      <c r="E129" s="37">
        <v>3604.9267668529492</v>
      </c>
      <c r="F129" s="37">
        <v>141.6871921951988</v>
      </c>
      <c r="G129" s="37">
        <v>2674.9674929678995</v>
      </c>
      <c r="H129" s="37">
        <v>101.36162896509995</v>
      </c>
      <c r="I129" s="37">
        <v>1845.1143495264005</v>
      </c>
      <c r="J129" s="37">
        <v>-714.42039445649971</v>
      </c>
      <c r="K129" s="37">
        <v>1974.3858140261</v>
      </c>
      <c r="L129" s="37">
        <v>-144.33934390889954</v>
      </c>
      <c r="M129" s="37">
        <v>2055.4854675630995</v>
      </c>
      <c r="N129" s="37">
        <v>515.84429780170103</v>
      </c>
      <c r="O129" s="37">
        <v>2076.8150232002008</v>
      </c>
      <c r="P129" s="37">
        <v>2899.6076124997508</v>
      </c>
      <c r="Q129" s="37">
        <v>3157.0840374655754</v>
      </c>
      <c r="R129" s="37">
        <v>65.240612763198442</v>
      </c>
      <c r="S129" s="37">
        <v>2621.08355994265</v>
      </c>
      <c r="T129" s="37">
        <v>-260.52711166659901</v>
      </c>
      <c r="U129" s="37">
        <v>1638.6221404490489</v>
      </c>
      <c r="V129" s="37">
        <v>1586.407625387601</v>
      </c>
      <c r="W129" s="37">
        <v>3433.5212658647506</v>
      </c>
      <c r="X129" s="37">
        <v>2050.5348094543497</v>
      </c>
      <c r="Y129" s="37">
        <v>3793.1470608418649</v>
      </c>
      <c r="Z129" s="37">
        <v>2786.3330032466001</v>
      </c>
      <c r="AA129" s="37">
        <v>3413.0564369936001</v>
      </c>
      <c r="AB129" s="37">
        <v>3751.534429494799</v>
      </c>
      <c r="AC129" s="37">
        <v>3468.9518132521498</v>
      </c>
      <c r="AD129" s="37">
        <v>-124.69497376960135</v>
      </c>
      <c r="AE129" s="37">
        <v>2502.3117966782993</v>
      </c>
      <c r="AF129" s="37">
        <v>-185.91000733729925</v>
      </c>
      <c r="AG129" s="37">
        <v>1658.5772639328006</v>
      </c>
      <c r="AH129" s="37">
        <v>-1468.9908384004993</v>
      </c>
      <c r="AI129" s="37">
        <v>2236.5947508596983</v>
      </c>
      <c r="AJ129" s="37">
        <v>24.953801252699122</v>
      </c>
      <c r="AK129" s="37">
        <v>2120.5558721526995</v>
      </c>
      <c r="AL129" s="37">
        <v>684.00189818089893</v>
      </c>
      <c r="AM129" s="37">
        <v>1446.2840061154002</v>
      </c>
      <c r="AN129" s="37">
        <v>2677.4591378557507</v>
      </c>
      <c r="AO129" s="37">
        <v>3014.2666189867759</v>
      </c>
      <c r="AP129" s="37">
        <v>-771.18664203360095</v>
      </c>
      <c r="AQ129" s="37">
        <v>1962.1117166090517</v>
      </c>
      <c r="AR129" s="37">
        <v>-551.02375842819856</v>
      </c>
      <c r="AS129" s="37">
        <v>1466.5052960018493</v>
      </c>
      <c r="AT129" s="37">
        <v>1336.1378334452002</v>
      </c>
      <c r="AU129" s="37">
        <v>3282.1758994607508</v>
      </c>
      <c r="AV129" s="37">
        <v>1804.2423314599491</v>
      </c>
      <c r="AW129" s="37">
        <v>3651.1844335261048</v>
      </c>
      <c r="AX129" s="37">
        <v>2572.9540400881997</v>
      </c>
      <c r="AY129" s="37">
        <v>3269.165518107201</v>
      </c>
      <c r="BA129" s="66"/>
      <c r="BB129" s="66"/>
    </row>
    <row r="130" spans="2:54">
      <c r="B130">
        <v>10482</v>
      </c>
      <c r="C130" t="s">
        <v>134</v>
      </c>
      <c r="D130" s="37">
        <v>106.08323073880001</v>
      </c>
      <c r="E130" s="37">
        <v>116.28929826665012</v>
      </c>
      <c r="F130" s="37">
        <v>-266.09255965760008</v>
      </c>
      <c r="G130" s="37">
        <v>54.230553927299979</v>
      </c>
      <c r="H130" s="37">
        <v>-219.79812135630004</v>
      </c>
      <c r="I130" s="37">
        <v>-13.333667683200019</v>
      </c>
      <c r="J130" s="37">
        <v>-304.78436191549986</v>
      </c>
      <c r="K130" s="37">
        <v>0.14795375069991223</v>
      </c>
      <c r="L130" s="37">
        <v>-255.02434459429992</v>
      </c>
      <c r="M130" s="37">
        <v>34.221383069699982</v>
      </c>
      <c r="N130" s="37">
        <v>-241.38250769210003</v>
      </c>
      <c r="O130" s="37">
        <v>12.984371777400042</v>
      </c>
      <c r="P130" s="37">
        <v>27.49379577825016</v>
      </c>
      <c r="Q130" s="37">
        <v>97.985252415025116</v>
      </c>
      <c r="R130" s="37">
        <v>-300.42982784160017</v>
      </c>
      <c r="S130" s="37">
        <v>-0.75868096944998342</v>
      </c>
      <c r="T130" s="37">
        <v>-284.5651838742001</v>
      </c>
      <c r="U130" s="37">
        <v>-85.878789392649992</v>
      </c>
      <c r="V130" s="37">
        <v>-46.358659598800159</v>
      </c>
      <c r="W130" s="37">
        <v>77.922920533250021</v>
      </c>
      <c r="X130" s="37">
        <v>-57.376161891550282</v>
      </c>
      <c r="Y130" s="37">
        <v>105.22021332425504</v>
      </c>
      <c r="Z130" s="37">
        <v>7.4352953341999637</v>
      </c>
      <c r="AA130" s="37">
        <v>70.958630923199962</v>
      </c>
      <c r="AB130" s="37">
        <v>93.321010558800026</v>
      </c>
      <c r="AC130" s="37">
        <v>107.95749963915</v>
      </c>
      <c r="AD130" s="37">
        <v>-282.41499629760028</v>
      </c>
      <c r="AE130" s="37">
        <v>43.651160772299932</v>
      </c>
      <c r="AF130" s="37">
        <v>-237.40055005130012</v>
      </c>
      <c r="AG130" s="37">
        <v>-24.763636163199976</v>
      </c>
      <c r="AH130" s="37">
        <v>-372.23182049050001</v>
      </c>
      <c r="AI130" s="37">
        <v>37.426263605699887</v>
      </c>
      <c r="AJ130" s="37">
        <v>-225.5615952613</v>
      </c>
      <c r="AK130" s="37">
        <v>47.753237638699943</v>
      </c>
      <c r="AL130" s="37">
        <v>-211.44210325709992</v>
      </c>
      <c r="AM130" s="37">
        <v>-45.286737112600122</v>
      </c>
      <c r="AN130" s="37">
        <v>13.881756890750012</v>
      </c>
      <c r="AO130" s="37">
        <v>89.234185106275049</v>
      </c>
      <c r="AP130" s="37">
        <v>-317.28891208160007</v>
      </c>
      <c r="AQ130" s="37">
        <v>-11.644026761950045</v>
      </c>
      <c r="AR130" s="37">
        <v>-302.3652235042</v>
      </c>
      <c r="AS130" s="37">
        <v>-96.425164665150078</v>
      </c>
      <c r="AT130" s="37">
        <v>-61.69381841880022</v>
      </c>
      <c r="AU130" s="37">
        <v>68.649307395750043</v>
      </c>
      <c r="AV130" s="37">
        <v>-72.467612749050204</v>
      </c>
      <c r="AW130" s="37">
        <v>96.521522925005002</v>
      </c>
      <c r="AX130" s="37">
        <v>-5.639396035800246</v>
      </c>
      <c r="AY130" s="37">
        <v>62.141785403199947</v>
      </c>
      <c r="BA130" s="66"/>
      <c r="BB130" s="66"/>
    </row>
    <row r="131" spans="2:54">
      <c r="B131">
        <v>10502</v>
      </c>
      <c r="C131" t="s">
        <v>135</v>
      </c>
      <c r="D131" s="37">
        <v>-281.12343261640126</v>
      </c>
      <c r="E131" s="37">
        <v>-373.9988242499503</v>
      </c>
      <c r="F131" s="37">
        <v>-3559.6239002272005</v>
      </c>
      <c r="G131" s="37">
        <v>-1974.0223226818998</v>
      </c>
      <c r="H131" s="37">
        <v>-3209.6140180310995</v>
      </c>
      <c r="I131" s="37">
        <v>-1627.0304113504008</v>
      </c>
      <c r="J131" s="37">
        <v>-4064.6826027535008</v>
      </c>
      <c r="K131" s="37">
        <v>-1911.7851743521005</v>
      </c>
      <c r="L131" s="37">
        <v>-3240.1758943170989</v>
      </c>
      <c r="M131" s="37">
        <v>-1339.4547893091003</v>
      </c>
      <c r="N131" s="37">
        <v>-3924.8020176237005</v>
      </c>
      <c r="O131" s="37">
        <v>-2448.4810495321999</v>
      </c>
      <c r="P131" s="37">
        <v>-706.12971958475009</v>
      </c>
      <c r="Q131" s="37">
        <v>-509.31325807007397</v>
      </c>
      <c r="R131" s="37">
        <v>-150.53622367520074</v>
      </c>
      <c r="S131" s="37">
        <v>294.27532475835051</v>
      </c>
      <c r="T131" s="37">
        <v>1868.5296402225995</v>
      </c>
      <c r="U131" s="37">
        <v>1519.5176556279494</v>
      </c>
      <c r="V131" s="37">
        <v>5181.1660991964</v>
      </c>
      <c r="W131" s="37">
        <v>4356.2429911502495</v>
      </c>
      <c r="X131" s="37">
        <v>5973.94981682465</v>
      </c>
      <c r="Y131" s="37">
        <v>4160.0868486122345</v>
      </c>
      <c r="Z131" s="37">
        <v>1960.3448453973997</v>
      </c>
      <c r="AA131" s="37">
        <v>1589.3426016303993</v>
      </c>
      <c r="AB131" s="37">
        <v>-300.45193829520031</v>
      </c>
      <c r="AC131" s="37">
        <v>-387.01340859909942</v>
      </c>
      <c r="AD131" s="37">
        <v>-3591.2575816896006</v>
      </c>
      <c r="AE131" s="37">
        <v>-1993.7255084742005</v>
      </c>
      <c r="AF131" s="37">
        <v>-3242.0814783597998</v>
      </c>
      <c r="AG131" s="37">
        <v>-1647.0391275071997</v>
      </c>
      <c r="AH131" s="37">
        <v>-4100.6363025629998</v>
      </c>
      <c r="AI131" s="37">
        <v>-1932.4904101377997</v>
      </c>
      <c r="AJ131" s="37">
        <v>-2965.1367580198003</v>
      </c>
      <c r="AK131" s="37">
        <v>-1202.9794446198007</v>
      </c>
      <c r="AL131" s="37">
        <v>-3958.5759418265998</v>
      </c>
      <c r="AM131" s="37">
        <v>-2470.0044591795995</v>
      </c>
      <c r="AN131" s="37">
        <v>-727.70274302549933</v>
      </c>
      <c r="AO131" s="37">
        <v>-523.2970971113491</v>
      </c>
      <c r="AP131" s="37">
        <v>-174.81938775359959</v>
      </c>
      <c r="AQ131" s="37">
        <v>279.45730495029966</v>
      </c>
      <c r="AR131" s="37">
        <v>1847.9695348068017</v>
      </c>
      <c r="AS131" s="37">
        <v>1508.3652974030992</v>
      </c>
      <c r="AT131" s="37">
        <v>5172.1115767352003</v>
      </c>
      <c r="AU131" s="37">
        <v>4353.768180204499</v>
      </c>
      <c r="AV131" s="37">
        <v>5967.1865575436996</v>
      </c>
      <c r="AW131" s="37">
        <v>4157.9003321502314</v>
      </c>
      <c r="AX131" s="37">
        <v>1946.3521663532001</v>
      </c>
      <c r="AY131" s="37">
        <v>1580.5897925472</v>
      </c>
      <c r="BA131" s="66"/>
      <c r="BB131" s="66"/>
    </row>
    <row r="132" spans="2:54">
      <c r="B132">
        <v>13927</v>
      </c>
      <c r="C132" t="s">
        <v>238</v>
      </c>
      <c r="D132" s="37">
        <v>559.19214421319975</v>
      </c>
      <c r="E132" s="37">
        <v>472.19747372434995</v>
      </c>
      <c r="F132" s="37">
        <v>154.28219255359977</v>
      </c>
      <c r="G132" s="37">
        <v>332.7298628146998</v>
      </c>
      <c r="H132" s="37">
        <v>161.90521295429971</v>
      </c>
      <c r="I132" s="37">
        <v>362.99245475520001</v>
      </c>
      <c r="J132" s="37">
        <v>-25.419632454500061</v>
      </c>
      <c r="K132" s="37">
        <v>335.56733562729983</v>
      </c>
      <c r="L132" s="37">
        <v>118.50312767230002</v>
      </c>
      <c r="M132" s="37">
        <v>367.12761856829991</v>
      </c>
      <c r="N132" s="37">
        <v>80.892761958099982</v>
      </c>
      <c r="O132" s="37">
        <v>187.16743601860003</v>
      </c>
      <c r="P132" s="37">
        <v>349.02386447675008</v>
      </c>
      <c r="Q132" s="37">
        <v>372.05978969847502</v>
      </c>
      <c r="R132" s="37">
        <v>65.01896137759968</v>
      </c>
      <c r="S132" s="37">
        <v>255.2021934664499</v>
      </c>
      <c r="T132" s="37">
        <v>94.745907806199966</v>
      </c>
      <c r="U132" s="37">
        <v>194.96128936164996</v>
      </c>
      <c r="V132" s="37">
        <v>438.09950024679983</v>
      </c>
      <c r="W132" s="37">
        <v>516.63470742175002</v>
      </c>
      <c r="X132" s="37">
        <v>548.90478445454983</v>
      </c>
      <c r="Y132" s="37">
        <v>483.46522937344503</v>
      </c>
      <c r="Z132" s="37">
        <v>419.15836913379985</v>
      </c>
      <c r="AA132" s="37">
        <v>415.0535316047999</v>
      </c>
      <c r="AB132" s="37">
        <v>394.41270719959994</v>
      </c>
      <c r="AC132" s="37">
        <v>365.70575765305023</v>
      </c>
      <c r="AD132" s="37">
        <v>-63.163587459200016</v>
      </c>
      <c r="AE132" s="37">
        <v>194.70307420409995</v>
      </c>
      <c r="AF132" s="37">
        <v>-72.142051697099987</v>
      </c>
      <c r="AG132" s="37">
        <v>214.07031242559992</v>
      </c>
      <c r="AH132" s="37">
        <v>-275.91185096349977</v>
      </c>
      <c r="AI132" s="37">
        <v>185.15251472190016</v>
      </c>
      <c r="AJ132" s="37">
        <v>-34.28072276709986</v>
      </c>
      <c r="AK132" s="37">
        <v>278.23366153290021</v>
      </c>
      <c r="AL132" s="37">
        <v>-149.38136564569959</v>
      </c>
      <c r="AM132" s="37">
        <v>40.865214935800168</v>
      </c>
      <c r="AN132" s="37">
        <v>170.57005983025033</v>
      </c>
      <c r="AO132" s="37">
        <v>258.81729237542527</v>
      </c>
      <c r="AP132" s="37">
        <v>-160.00694178720005</v>
      </c>
      <c r="AQ132" s="37">
        <v>112.48297255935017</v>
      </c>
      <c r="AR132" s="37">
        <v>-142.25666762139963</v>
      </c>
      <c r="AS132" s="37">
        <v>56.25992040494998</v>
      </c>
      <c r="AT132" s="37">
        <v>238.18899418040019</v>
      </c>
      <c r="AU132" s="37">
        <v>398.50484466525018</v>
      </c>
      <c r="AV132" s="37">
        <v>353.72791800365007</v>
      </c>
      <c r="AW132" s="37">
        <v>373.0532447763353</v>
      </c>
      <c r="AX132" s="37">
        <v>248.97885044140003</v>
      </c>
      <c r="AY132" s="37">
        <v>301.94893465440009</v>
      </c>
      <c r="BA132" s="66"/>
      <c r="BB132" s="66"/>
    </row>
    <row r="133" spans="2:54">
      <c r="B133">
        <v>10597</v>
      </c>
      <c r="C133" t="s">
        <v>136</v>
      </c>
      <c r="D133" s="37">
        <v>773.34152821559928</v>
      </c>
      <c r="E133" s="37">
        <v>246.80024540605018</v>
      </c>
      <c r="F133" s="37">
        <v>-364.77145709120032</v>
      </c>
      <c r="G133" s="37">
        <v>125.0609887900996</v>
      </c>
      <c r="H133" s="37">
        <v>388.07897593689995</v>
      </c>
      <c r="I133" s="37">
        <v>449.49083940160017</v>
      </c>
      <c r="J133" s="37">
        <v>-503.64375867350009</v>
      </c>
      <c r="K133" s="37">
        <v>567.65370809589967</v>
      </c>
      <c r="L133" s="37">
        <v>-102.52665266909935</v>
      </c>
      <c r="M133" s="37">
        <v>410.46379729889986</v>
      </c>
      <c r="N133" s="37">
        <v>-702.65678656769978</v>
      </c>
      <c r="O133" s="37">
        <v>-597.30138799619999</v>
      </c>
      <c r="P133" s="37">
        <v>-281.39282650474979</v>
      </c>
      <c r="Q133" s="37">
        <v>-305.21658095407474</v>
      </c>
      <c r="R133" s="37">
        <v>-1130.3462582992006</v>
      </c>
      <c r="S133" s="37">
        <v>-771.94360268965011</v>
      </c>
      <c r="T133" s="37">
        <v>-260.03413126539999</v>
      </c>
      <c r="U133" s="37">
        <v>-594.64749466805051</v>
      </c>
      <c r="V133" s="37">
        <v>1545.5270679644</v>
      </c>
      <c r="W133" s="37">
        <v>982.11502743024948</v>
      </c>
      <c r="X133" s="37">
        <v>1712.70945323265</v>
      </c>
      <c r="Y133" s="37">
        <v>692.42097743543491</v>
      </c>
      <c r="Z133" s="37">
        <v>686.39555128539996</v>
      </c>
      <c r="AA133" s="37">
        <v>91.11122447839989</v>
      </c>
      <c r="AB133" s="37">
        <v>818.16181739039985</v>
      </c>
      <c r="AC133" s="37">
        <v>273.80279359819997</v>
      </c>
      <c r="AD133" s="37">
        <v>-345.37859822080009</v>
      </c>
      <c r="AE133" s="37">
        <v>139.06687374839976</v>
      </c>
      <c r="AF133" s="37">
        <v>412.38163591960074</v>
      </c>
      <c r="AG133" s="37">
        <v>466.06464381440037</v>
      </c>
      <c r="AH133" s="37">
        <v>-481.68874287399922</v>
      </c>
      <c r="AI133" s="37">
        <v>584.66201147559968</v>
      </c>
      <c r="AJ133" s="37">
        <v>119.74583523959973</v>
      </c>
      <c r="AK133" s="37">
        <v>524.97160843959955</v>
      </c>
      <c r="AL133" s="37">
        <v>-683.30572994679915</v>
      </c>
      <c r="AM133" s="37">
        <v>-585.45288324079957</v>
      </c>
      <c r="AN133" s="37">
        <v>-264.66751194899916</v>
      </c>
      <c r="AO133" s="37">
        <v>-294.97073037729933</v>
      </c>
      <c r="AP133" s="37">
        <v>-1113.2885300928001</v>
      </c>
      <c r="AQ133" s="37">
        <v>-761.09855110059971</v>
      </c>
      <c r="AR133" s="37">
        <v>-238.02513681360051</v>
      </c>
      <c r="AS133" s="37">
        <v>-583.37998720619998</v>
      </c>
      <c r="AT133" s="37">
        <v>1571.7691457296005</v>
      </c>
      <c r="AU133" s="37">
        <v>998.17672159100039</v>
      </c>
      <c r="AV133" s="37">
        <v>1738.9616501126002</v>
      </c>
      <c r="AW133" s="37">
        <v>706.37416077954049</v>
      </c>
      <c r="AX133" s="37">
        <v>706.04909449359911</v>
      </c>
      <c r="AY133" s="37">
        <v>102.87186610559957</v>
      </c>
      <c r="BA133" s="66"/>
      <c r="BB133" s="66"/>
    </row>
    <row r="134" spans="2:54">
      <c r="B134">
        <v>10706</v>
      </c>
      <c r="C134" t="s">
        <v>137</v>
      </c>
      <c r="D134" s="37">
        <v>871.06847948919949</v>
      </c>
      <c r="E134" s="37">
        <v>1079.8897577448502</v>
      </c>
      <c r="F134" s="37">
        <v>-1365.9771165984002</v>
      </c>
      <c r="G134" s="37">
        <v>54.799556235699129</v>
      </c>
      <c r="H134" s="37">
        <v>-1844.1180627967005</v>
      </c>
      <c r="I134" s="37">
        <v>-307.47051090879995</v>
      </c>
      <c r="J134" s="37">
        <v>-2367.3941163894997</v>
      </c>
      <c r="K134" s="37">
        <v>-264.04316173369989</v>
      </c>
      <c r="L134" s="37">
        <v>-1816.9860053387001</v>
      </c>
      <c r="M134" s="37">
        <v>-46.077221162699971</v>
      </c>
      <c r="N134" s="37">
        <v>-1356.181824758899</v>
      </c>
      <c r="O134" s="37">
        <v>-317.36273818340032</v>
      </c>
      <c r="P134" s="37">
        <v>198.33041722925009</v>
      </c>
      <c r="Q134" s="37">
        <v>682.56129121772574</v>
      </c>
      <c r="R134" s="37">
        <v>-1355.4584014544007</v>
      </c>
      <c r="S134" s="37">
        <v>170.58516988995052</v>
      </c>
      <c r="T134" s="37">
        <v>-1462.255222927799</v>
      </c>
      <c r="U134" s="37">
        <v>33.208210321149636</v>
      </c>
      <c r="V134" s="37">
        <v>282.19286277080028</v>
      </c>
      <c r="W134" s="37">
        <v>1587.9492115242501</v>
      </c>
      <c r="X134" s="37">
        <v>865.81184706104978</v>
      </c>
      <c r="Y134" s="37">
        <v>1684.8742349397953</v>
      </c>
      <c r="Z134" s="37">
        <v>672.32920406779976</v>
      </c>
      <c r="AA134" s="37">
        <v>1293.2849120688006</v>
      </c>
      <c r="AB134" s="37">
        <v>821.55106519079891</v>
      </c>
      <c r="AC134" s="37">
        <v>1047.5623790701497</v>
      </c>
      <c r="AD134" s="37">
        <v>-1429.3081707616011</v>
      </c>
      <c r="AE134" s="37">
        <v>13.751510794299065</v>
      </c>
      <c r="AF134" s="37">
        <v>-1912.4154861333009</v>
      </c>
      <c r="AG134" s="37">
        <v>-351.81878861120003</v>
      </c>
      <c r="AH134" s="37">
        <v>-2439.8665356604997</v>
      </c>
      <c r="AI134" s="37">
        <v>-308.62703949630031</v>
      </c>
      <c r="AJ134" s="37">
        <v>-1604.7209907433007</v>
      </c>
      <c r="AK134" s="37">
        <v>55.401148156699492</v>
      </c>
      <c r="AL134" s="37">
        <v>-1423.1102555510997</v>
      </c>
      <c r="AM134" s="37">
        <v>-360.36132067660037</v>
      </c>
      <c r="AN134" s="37">
        <v>145.51570634575</v>
      </c>
      <c r="AO134" s="37">
        <v>648.60715005977545</v>
      </c>
      <c r="AP134" s="37">
        <v>-1420.8716483056005</v>
      </c>
      <c r="AQ134" s="37">
        <v>128.35002821504986</v>
      </c>
      <c r="AR134" s="37">
        <v>-1531.3193766921995</v>
      </c>
      <c r="AS134" s="37">
        <v>-7.7117257361505835</v>
      </c>
      <c r="AT134" s="37">
        <v>222.6924465491993</v>
      </c>
      <c r="AU134" s="37">
        <v>1551.967592550749</v>
      </c>
      <c r="AV134" s="37">
        <v>807.2570177339494</v>
      </c>
      <c r="AW134" s="37">
        <v>1651.1233161907057</v>
      </c>
      <c r="AX134" s="37">
        <v>621.5994015521992</v>
      </c>
      <c r="AY134" s="37">
        <v>1259.0755514512002</v>
      </c>
      <c r="BA134" s="66"/>
      <c r="BB134" s="66"/>
    </row>
    <row r="135" spans="2:54">
      <c r="B135">
        <v>11680</v>
      </c>
      <c r="C135" t="s">
        <v>138</v>
      </c>
      <c r="D135" s="37">
        <v>311.15052981319968</v>
      </c>
      <c r="E135" s="37">
        <v>-97.933416475649892</v>
      </c>
      <c r="F135" s="37">
        <v>-164.06873864640011</v>
      </c>
      <c r="G135" s="37">
        <v>48.050410414699854</v>
      </c>
      <c r="H135" s="37">
        <v>254.09191735429977</v>
      </c>
      <c r="I135" s="37">
        <v>115.05497635519987</v>
      </c>
      <c r="J135" s="37">
        <v>-3.9123184545001095</v>
      </c>
      <c r="K135" s="37">
        <v>84.087124027299978</v>
      </c>
      <c r="L135" s="37">
        <v>63.329776072300319</v>
      </c>
      <c r="M135" s="37">
        <v>129.78483496829995</v>
      </c>
      <c r="N135" s="37">
        <v>-298.49688324189947</v>
      </c>
      <c r="O135" s="37">
        <v>-260.67327518139996</v>
      </c>
      <c r="P135" s="37">
        <v>52.071753476750018</v>
      </c>
      <c r="Q135" s="37">
        <v>-204.5025950015247</v>
      </c>
      <c r="R135" s="37">
        <v>-724.34777782240008</v>
      </c>
      <c r="S135" s="37">
        <v>-509.22146993355</v>
      </c>
      <c r="T135" s="37">
        <v>-354.26526259379989</v>
      </c>
      <c r="U135" s="37">
        <v>-440.2247324383502</v>
      </c>
      <c r="V135" s="37">
        <v>802.81279464680028</v>
      </c>
      <c r="W135" s="37">
        <v>274.13465642174992</v>
      </c>
      <c r="X135" s="37">
        <v>602.94571585454969</v>
      </c>
      <c r="Y135" s="37">
        <v>253.03699743344532</v>
      </c>
      <c r="Z135" s="37">
        <v>139.36305953379997</v>
      </c>
      <c r="AA135" s="37">
        <v>-181.99410999520001</v>
      </c>
      <c r="AB135" s="37">
        <v>324.48352981319977</v>
      </c>
      <c r="AC135" s="37">
        <v>-90.743416475649838</v>
      </c>
      <c r="AD135" s="37">
        <v>-149.92373864640012</v>
      </c>
      <c r="AE135" s="37">
        <v>57.990410414699909</v>
      </c>
      <c r="AF135" s="37">
        <v>271.3639173542997</v>
      </c>
      <c r="AG135" s="37">
        <v>126.02297635520017</v>
      </c>
      <c r="AH135" s="37">
        <v>-113.88631845449981</v>
      </c>
      <c r="AI135" s="37">
        <v>222.61712402729972</v>
      </c>
      <c r="AJ135" s="37">
        <v>182.35735766430025</v>
      </c>
      <c r="AK135" s="37">
        <v>190.89212576430009</v>
      </c>
      <c r="AL135" s="37">
        <v>-178.7648832418995</v>
      </c>
      <c r="AM135" s="37">
        <v>-357.12827518139989</v>
      </c>
      <c r="AN135" s="37">
        <v>64.781753476750055</v>
      </c>
      <c r="AO135" s="37">
        <v>-197.51859500152477</v>
      </c>
      <c r="AP135" s="37">
        <v>-712.76277782240004</v>
      </c>
      <c r="AQ135" s="37">
        <v>-501.94446993354995</v>
      </c>
      <c r="AR135" s="37">
        <v>-339.81426259379987</v>
      </c>
      <c r="AS135" s="37">
        <v>-432.80773243835006</v>
      </c>
      <c r="AT135" s="37">
        <v>820.87879464680009</v>
      </c>
      <c r="AU135" s="37">
        <v>284.00265642174986</v>
      </c>
      <c r="AV135" s="37">
        <v>619.53771585454979</v>
      </c>
      <c r="AW135" s="37">
        <v>262.13599743344525</v>
      </c>
      <c r="AX135" s="37">
        <v>152.41305953380015</v>
      </c>
      <c r="AY135" s="37">
        <v>-174.6141099951999</v>
      </c>
      <c r="BA135" s="66"/>
      <c r="BB135" s="66"/>
    </row>
    <row r="136" spans="2:54">
      <c r="B136">
        <v>12026</v>
      </c>
      <c r="C136" t="s">
        <v>139</v>
      </c>
      <c r="D136" s="37">
        <v>3872.0007377707989</v>
      </c>
      <c r="E136" s="37">
        <v>1248.193303147651</v>
      </c>
      <c r="F136" s="37">
        <v>599.23222107840047</v>
      </c>
      <c r="G136" s="37">
        <v>2095.9525168493001</v>
      </c>
      <c r="H136" s="37">
        <v>5293.3004126617016</v>
      </c>
      <c r="I136" s="37">
        <v>3365.9180262688024</v>
      </c>
      <c r="J136" s="37">
        <v>4272.3138914144984</v>
      </c>
      <c r="K136" s="37">
        <v>4012.2457317487006</v>
      </c>
      <c r="L136" s="37">
        <v>3552.6169501037002</v>
      </c>
      <c r="M136" s="37">
        <v>3643.4931587277006</v>
      </c>
      <c r="N136" s="37">
        <v>1618.1829767138988</v>
      </c>
      <c r="O136" s="37">
        <v>1765.1084984134013</v>
      </c>
      <c r="P136" s="37">
        <v>3102.7698574832502</v>
      </c>
      <c r="Q136" s="37">
        <v>1630.4490241935255</v>
      </c>
      <c r="R136" s="37">
        <v>-5378.0476408656032</v>
      </c>
      <c r="S136" s="37">
        <v>-2366.1021758424486</v>
      </c>
      <c r="T136" s="37">
        <v>-6859.9478336621978</v>
      </c>
      <c r="U136" s="37">
        <v>-4215.6490739136498</v>
      </c>
      <c r="V136" s="37">
        <v>-4045.7226270308001</v>
      </c>
      <c r="W136" s="37">
        <v>-2400.539567061749</v>
      </c>
      <c r="X136" s="37">
        <v>-3706.9712345585522</v>
      </c>
      <c r="Y136" s="37">
        <v>-1654.815120795045</v>
      </c>
      <c r="Z136" s="37">
        <v>-1050.451830477803</v>
      </c>
      <c r="AA136" s="37">
        <v>-1308.5229294288001</v>
      </c>
      <c r="AB136" s="37">
        <v>3959.4867377707997</v>
      </c>
      <c r="AC136" s="37">
        <v>1299.8643031476513</v>
      </c>
      <c r="AD136" s="37">
        <v>657.14222107840033</v>
      </c>
      <c r="AE136" s="37">
        <v>2137.9915168492989</v>
      </c>
      <c r="AF136" s="37">
        <v>5253.5054126616997</v>
      </c>
      <c r="AG136" s="37">
        <v>3340.1780262688007</v>
      </c>
      <c r="AH136" s="37">
        <v>3259.4078914144993</v>
      </c>
      <c r="AI136" s="37">
        <v>4974.8867317487002</v>
      </c>
      <c r="AJ136" s="37">
        <v>4287.0425595517008</v>
      </c>
      <c r="AK136" s="37">
        <v>4010.0684634517002</v>
      </c>
      <c r="AL136" s="37">
        <v>2496.4819767139015</v>
      </c>
      <c r="AM136" s="37">
        <v>957.87149841340033</v>
      </c>
      <c r="AN136" s="37">
        <v>3152.3168574832489</v>
      </c>
      <c r="AO136" s="37">
        <v>1661.4420241935259</v>
      </c>
      <c r="AP136" s="37">
        <v>-5299.0026408656013</v>
      </c>
      <c r="AQ136" s="37">
        <v>-2309.8221758424479</v>
      </c>
      <c r="AR136" s="37">
        <v>-6778.3228336621978</v>
      </c>
      <c r="AS136" s="37">
        <v>-4168.0380739136508</v>
      </c>
      <c r="AT136" s="37">
        <v>-3959.5666270308011</v>
      </c>
      <c r="AU136" s="37">
        <v>-2348.1915670617491</v>
      </c>
      <c r="AV136" s="37">
        <v>-3616.7462345585518</v>
      </c>
      <c r="AW136" s="37">
        <v>-1600.0981207950445</v>
      </c>
      <c r="AX136" s="37">
        <v>-959.4478304778022</v>
      </c>
      <c r="AY136" s="37">
        <v>-1250.5579294288</v>
      </c>
      <c r="BA136" s="66"/>
      <c r="BB136" s="66"/>
    </row>
    <row r="137" spans="2:54">
      <c r="B137">
        <v>10298</v>
      </c>
      <c r="C137" t="s">
        <v>140</v>
      </c>
      <c r="D137" s="37">
        <v>64445.132696293993</v>
      </c>
      <c r="E137" s="37">
        <v>19439.306904008234</v>
      </c>
      <c r="F137" s="37">
        <v>3109.9390065119369</v>
      </c>
      <c r="G137" s="37">
        <v>33485.574457986484</v>
      </c>
      <c r="H137" s="37">
        <v>110692.16545936844</v>
      </c>
      <c r="I137" s="37">
        <v>82029.321135184029</v>
      </c>
      <c r="J137" s="37">
        <v>82496.784928172478</v>
      </c>
      <c r="K137" s="37">
        <v>86603.181961403432</v>
      </c>
      <c r="L137" s="37">
        <v>45724.47384217853</v>
      </c>
      <c r="M137" s="37">
        <v>59662.839008498471</v>
      </c>
      <c r="N137" s="37">
        <v>19059.939503589529</v>
      </c>
      <c r="O137" s="37">
        <v>25371.79434618706</v>
      </c>
      <c r="P137" s="37">
        <v>44297.574619766267</v>
      </c>
      <c r="Q137" s="37">
        <v>23102.502835562627</v>
      </c>
      <c r="R137" s="37">
        <v>-72258.450402408023</v>
      </c>
      <c r="S137" s="37">
        <v>-29120.500738122268</v>
      </c>
      <c r="T137" s="37">
        <v>-61279.237190271029</v>
      </c>
      <c r="U137" s="37">
        <v>-40905.89303663827</v>
      </c>
      <c r="V137" s="37">
        <v>23080.995189405978</v>
      </c>
      <c r="W137" s="37">
        <v>20369.722066041257</v>
      </c>
      <c r="X137" s="37">
        <v>21599.281314317195</v>
      </c>
      <c r="Y137" s="37">
        <v>20591.692810693785</v>
      </c>
      <c r="Z137" s="37">
        <v>9924.66541757097</v>
      </c>
      <c r="AA137" s="37">
        <v>-2914.2023389840033</v>
      </c>
      <c r="AB137" s="37">
        <v>69847.628612265515</v>
      </c>
      <c r="AC137" s="37">
        <v>24425.571223274805</v>
      </c>
      <c r="AD137" s="37">
        <v>9345.7386073088273</v>
      </c>
      <c r="AE137" s="37">
        <v>37942.527502277575</v>
      </c>
      <c r="AF137" s="37">
        <v>117523.11467907438</v>
      </c>
      <c r="AG137" s="37">
        <v>86698.42381020161</v>
      </c>
      <c r="AH137" s="37">
        <v>74479.614196764072</v>
      </c>
      <c r="AI137" s="37">
        <v>105583.56511885839</v>
      </c>
      <c r="AJ137" s="37">
        <v>65066.226009554346</v>
      </c>
      <c r="AK137" s="37">
        <v>70288.163234354404</v>
      </c>
      <c r="AL137" s="37">
        <v>37245.735466144863</v>
      </c>
      <c r="AM137" s="37">
        <v>17756.302927028795</v>
      </c>
      <c r="AN137" s="37">
        <v>49570.288967214001</v>
      </c>
      <c r="AO137" s="37">
        <v>26474.404295367829</v>
      </c>
      <c r="AP137" s="37">
        <v>-67231.305022899178</v>
      </c>
      <c r="AQ137" s="37">
        <v>-25695.449861108384</v>
      </c>
      <c r="AR137" s="37">
        <v>-56002.406284590426</v>
      </c>
      <c r="AS137" s="37">
        <v>-37745.408409786818</v>
      </c>
      <c r="AT137" s="37">
        <v>28472.111511414463</v>
      </c>
      <c r="AU137" s="37">
        <v>23754.176866774011</v>
      </c>
      <c r="AV137" s="37">
        <v>28018.773661276442</v>
      </c>
      <c r="AW137" s="37">
        <v>22689.699927543552</v>
      </c>
      <c r="AX137" s="37">
        <v>13714.967652110383</v>
      </c>
      <c r="AY137" s="37">
        <v>1336.4045686784084</v>
      </c>
      <c r="BA137" s="66"/>
      <c r="BB137" s="66"/>
    </row>
    <row r="138" spans="2:54">
      <c r="B138" s="2" t="s">
        <v>141</v>
      </c>
      <c r="C138" s="3" t="s">
        <v>141</v>
      </c>
      <c r="D138" s="20" t="s">
        <v>141</v>
      </c>
      <c r="E138" s="21" t="s">
        <v>141</v>
      </c>
      <c r="F138" s="20" t="s">
        <v>141</v>
      </c>
      <c r="G138" s="21" t="s">
        <v>141</v>
      </c>
      <c r="H138" s="20" t="s">
        <v>141</v>
      </c>
      <c r="I138" s="21" t="s">
        <v>141</v>
      </c>
      <c r="J138" s="20" t="s">
        <v>141</v>
      </c>
      <c r="K138" s="21" t="s">
        <v>141</v>
      </c>
      <c r="L138" s="20" t="s">
        <v>141</v>
      </c>
      <c r="M138" s="21" t="s">
        <v>141</v>
      </c>
      <c r="N138" s="20" t="s">
        <v>141</v>
      </c>
      <c r="O138" s="21" t="s">
        <v>141</v>
      </c>
      <c r="P138" s="20" t="s">
        <v>141</v>
      </c>
      <c r="Q138" s="21" t="s">
        <v>141</v>
      </c>
      <c r="R138" s="20" t="s">
        <v>141</v>
      </c>
      <c r="S138" s="21" t="s">
        <v>141</v>
      </c>
      <c r="T138" s="20" t="s">
        <v>141</v>
      </c>
      <c r="U138" s="21" t="s">
        <v>141</v>
      </c>
      <c r="V138" s="20" t="s">
        <v>141</v>
      </c>
      <c r="W138" s="21" t="s">
        <v>141</v>
      </c>
      <c r="X138" s="20" t="s">
        <v>141</v>
      </c>
      <c r="Y138" s="21" t="s">
        <v>141</v>
      </c>
      <c r="Z138" s="20" t="s">
        <v>141</v>
      </c>
      <c r="AA138" s="21" t="s">
        <v>141</v>
      </c>
      <c r="AB138" s="20" t="s">
        <v>141</v>
      </c>
      <c r="AC138" s="21" t="s">
        <v>141</v>
      </c>
      <c r="AD138" s="20" t="s">
        <v>141</v>
      </c>
      <c r="AE138" s="21" t="s">
        <v>141</v>
      </c>
      <c r="AF138" s="20" t="s">
        <v>141</v>
      </c>
      <c r="AG138" s="21" t="s">
        <v>141</v>
      </c>
      <c r="AH138" s="20" t="s">
        <v>141</v>
      </c>
      <c r="AI138" s="21" t="s">
        <v>141</v>
      </c>
      <c r="AJ138" s="20" t="s">
        <v>141</v>
      </c>
      <c r="AK138" s="21" t="s">
        <v>141</v>
      </c>
      <c r="AL138" s="20" t="s">
        <v>141</v>
      </c>
      <c r="AM138" s="21" t="s">
        <v>141</v>
      </c>
      <c r="AN138" s="20" t="s">
        <v>141</v>
      </c>
      <c r="AO138" s="21" t="s">
        <v>141</v>
      </c>
      <c r="AP138" s="20" t="s">
        <v>141</v>
      </c>
      <c r="AQ138" s="21" t="s">
        <v>141</v>
      </c>
      <c r="AR138" s="20" t="s">
        <v>141</v>
      </c>
      <c r="AS138" s="21" t="s">
        <v>141</v>
      </c>
      <c r="AT138" s="20" t="s">
        <v>141</v>
      </c>
      <c r="AU138" s="21" t="s">
        <v>141</v>
      </c>
      <c r="AV138" s="20" t="s">
        <v>141</v>
      </c>
      <c r="AW138" s="21" t="s">
        <v>141</v>
      </c>
      <c r="AX138" s="20" t="s">
        <v>141</v>
      </c>
      <c r="AY138" s="21" t="s">
        <v>141</v>
      </c>
      <c r="BA138" s="66"/>
      <c r="BB138" s="66"/>
    </row>
    <row r="139" spans="2:54">
      <c r="B139" s="2" t="s">
        <v>141</v>
      </c>
      <c r="C139" s="3" t="s">
        <v>141</v>
      </c>
      <c r="D139" s="20"/>
      <c r="E139" s="21"/>
      <c r="F139" s="20"/>
      <c r="G139" s="21"/>
      <c r="H139" s="20"/>
      <c r="I139" s="21" t="s">
        <v>141</v>
      </c>
      <c r="J139" s="20" t="s">
        <v>141</v>
      </c>
      <c r="K139" s="21" t="s">
        <v>141</v>
      </c>
      <c r="L139" s="20" t="s">
        <v>141</v>
      </c>
      <c r="M139" s="21" t="s">
        <v>141</v>
      </c>
      <c r="N139" s="20" t="s">
        <v>141</v>
      </c>
      <c r="O139" s="21" t="s">
        <v>141</v>
      </c>
      <c r="P139" s="20" t="s">
        <v>141</v>
      </c>
      <c r="Q139" s="21" t="s">
        <v>141</v>
      </c>
      <c r="R139" s="20" t="s">
        <v>141</v>
      </c>
      <c r="S139" s="21" t="s">
        <v>141</v>
      </c>
      <c r="T139" s="20" t="s">
        <v>141</v>
      </c>
      <c r="U139" s="21" t="s">
        <v>141</v>
      </c>
      <c r="V139" s="20" t="s">
        <v>141</v>
      </c>
      <c r="W139" s="21" t="s">
        <v>141</v>
      </c>
      <c r="X139" s="20" t="s">
        <v>141</v>
      </c>
      <c r="Y139" s="21" t="s">
        <v>141</v>
      </c>
      <c r="Z139" s="20" t="s">
        <v>141</v>
      </c>
      <c r="AA139" s="21" t="s">
        <v>141</v>
      </c>
      <c r="AB139" s="20" t="s">
        <v>141</v>
      </c>
      <c r="AC139" s="21" t="s">
        <v>141</v>
      </c>
      <c r="AD139" s="20" t="s">
        <v>141</v>
      </c>
      <c r="AE139" s="21" t="s">
        <v>141</v>
      </c>
      <c r="AF139" s="20" t="s">
        <v>141</v>
      </c>
      <c r="AG139" s="21" t="s">
        <v>141</v>
      </c>
      <c r="AH139" s="20" t="s">
        <v>141</v>
      </c>
      <c r="AI139" s="21" t="s">
        <v>141</v>
      </c>
      <c r="AJ139" s="20" t="s">
        <v>141</v>
      </c>
      <c r="AK139" s="21" t="s">
        <v>141</v>
      </c>
      <c r="AL139" s="20" t="s">
        <v>141</v>
      </c>
      <c r="AM139" s="21" t="s">
        <v>141</v>
      </c>
      <c r="AN139" s="20" t="s">
        <v>141</v>
      </c>
      <c r="AO139" s="21" t="s">
        <v>141</v>
      </c>
      <c r="AP139" s="20" t="s">
        <v>141</v>
      </c>
      <c r="AQ139" s="21" t="s">
        <v>141</v>
      </c>
      <c r="AR139" s="20" t="s">
        <v>141</v>
      </c>
      <c r="AS139" s="21" t="s">
        <v>141</v>
      </c>
      <c r="AT139" s="20" t="s">
        <v>141</v>
      </c>
      <c r="AU139" s="21" t="s">
        <v>141</v>
      </c>
      <c r="AV139" s="20" t="s">
        <v>141</v>
      </c>
      <c r="AW139" s="21" t="s">
        <v>141</v>
      </c>
      <c r="AX139" s="20" t="s">
        <v>141</v>
      </c>
      <c r="AY139" s="21" t="s">
        <v>141</v>
      </c>
    </row>
    <row r="140" spans="2:54">
      <c r="B140" s="2" t="s">
        <v>141</v>
      </c>
      <c r="C140" s="3" t="s">
        <v>141</v>
      </c>
      <c r="D140" s="20" t="s">
        <v>141</v>
      </c>
      <c r="E140" s="21" t="s">
        <v>141</v>
      </c>
      <c r="F140" s="20" t="s">
        <v>141</v>
      </c>
      <c r="G140" s="21" t="s">
        <v>141</v>
      </c>
      <c r="H140" s="20" t="s">
        <v>141</v>
      </c>
      <c r="I140" s="21" t="s">
        <v>141</v>
      </c>
      <c r="J140" s="20" t="s">
        <v>141</v>
      </c>
      <c r="K140" s="21" t="s">
        <v>141</v>
      </c>
      <c r="L140" s="20" t="s">
        <v>141</v>
      </c>
      <c r="M140" s="21" t="s">
        <v>141</v>
      </c>
      <c r="N140" s="20" t="s">
        <v>141</v>
      </c>
      <c r="O140" s="21" t="s">
        <v>141</v>
      </c>
      <c r="P140" s="20" t="s">
        <v>141</v>
      </c>
      <c r="Q140" s="21" t="s">
        <v>141</v>
      </c>
      <c r="R140" s="20" t="s">
        <v>141</v>
      </c>
      <c r="S140" s="21" t="s">
        <v>141</v>
      </c>
      <c r="T140" s="20" t="s">
        <v>141</v>
      </c>
      <c r="U140" s="21" t="s">
        <v>141</v>
      </c>
      <c r="V140" s="20" t="s">
        <v>141</v>
      </c>
      <c r="W140" s="21" t="s">
        <v>141</v>
      </c>
      <c r="X140" s="20" t="s">
        <v>141</v>
      </c>
      <c r="Y140" s="21" t="s">
        <v>141</v>
      </c>
      <c r="Z140" s="20" t="s">
        <v>141</v>
      </c>
      <c r="AA140" s="21" t="s">
        <v>141</v>
      </c>
      <c r="AB140" s="20" t="s">
        <v>141</v>
      </c>
      <c r="AC140" s="21" t="s">
        <v>141</v>
      </c>
      <c r="AD140" s="20" t="s">
        <v>141</v>
      </c>
      <c r="AE140" s="21" t="s">
        <v>141</v>
      </c>
      <c r="AF140" s="20" t="s">
        <v>141</v>
      </c>
      <c r="AG140" s="21" t="s">
        <v>141</v>
      </c>
      <c r="AH140" s="20" t="s">
        <v>141</v>
      </c>
      <c r="AI140" s="21" t="s">
        <v>141</v>
      </c>
      <c r="AJ140" s="20" t="s">
        <v>141</v>
      </c>
      <c r="AK140" s="21" t="s">
        <v>141</v>
      </c>
      <c r="AL140" s="20" t="s">
        <v>141</v>
      </c>
      <c r="AM140" s="21" t="s">
        <v>141</v>
      </c>
      <c r="AN140" s="20" t="s">
        <v>141</v>
      </c>
      <c r="AO140" s="21" t="s">
        <v>141</v>
      </c>
      <c r="AP140" s="20" t="s">
        <v>141</v>
      </c>
      <c r="AQ140" s="21" t="s">
        <v>141</v>
      </c>
      <c r="AR140" s="20" t="s">
        <v>141</v>
      </c>
      <c r="AS140" s="21" t="s">
        <v>141</v>
      </c>
      <c r="AT140" s="20" t="s">
        <v>141</v>
      </c>
      <c r="AU140" s="21" t="s">
        <v>141</v>
      </c>
      <c r="AV140" s="20" t="s">
        <v>141</v>
      </c>
      <c r="AW140" s="21" t="s">
        <v>141</v>
      </c>
      <c r="AX140" s="20" t="s">
        <v>141</v>
      </c>
      <c r="AY140" s="21" t="s">
        <v>141</v>
      </c>
    </row>
    <row r="141" spans="2:54">
      <c r="B141" s="2"/>
      <c r="C141" s="3"/>
      <c r="D141" s="20"/>
      <c r="E141" s="21"/>
      <c r="F141" s="20" t="s">
        <v>141</v>
      </c>
      <c r="G141" s="21" t="s">
        <v>141</v>
      </c>
      <c r="H141" s="20" t="s">
        <v>141</v>
      </c>
      <c r="I141" s="21" t="s">
        <v>141</v>
      </c>
      <c r="J141" s="20" t="s">
        <v>141</v>
      </c>
      <c r="K141" s="21" t="s">
        <v>141</v>
      </c>
      <c r="L141" s="20" t="s">
        <v>141</v>
      </c>
      <c r="M141" s="21" t="s">
        <v>141</v>
      </c>
      <c r="N141" s="20" t="s">
        <v>141</v>
      </c>
      <c r="O141" s="21" t="s">
        <v>141</v>
      </c>
      <c r="P141" s="20" t="s">
        <v>141</v>
      </c>
      <c r="Q141" s="21" t="s">
        <v>141</v>
      </c>
      <c r="R141" s="20" t="s">
        <v>141</v>
      </c>
      <c r="S141" s="21" t="s">
        <v>141</v>
      </c>
      <c r="T141" s="20" t="s">
        <v>141</v>
      </c>
      <c r="U141" s="21" t="s">
        <v>141</v>
      </c>
      <c r="V141" s="20" t="s">
        <v>141</v>
      </c>
      <c r="W141" s="21" t="s">
        <v>141</v>
      </c>
      <c r="X141" s="20" t="s">
        <v>141</v>
      </c>
      <c r="Y141" s="21" t="s">
        <v>141</v>
      </c>
      <c r="Z141" s="20" t="s">
        <v>141</v>
      </c>
      <c r="AA141" s="21" t="s">
        <v>141</v>
      </c>
      <c r="AB141" s="20" t="s">
        <v>141</v>
      </c>
      <c r="AC141" s="21" t="s">
        <v>141</v>
      </c>
      <c r="AD141" s="20" t="s">
        <v>141</v>
      </c>
      <c r="AE141" s="21" t="s">
        <v>141</v>
      </c>
      <c r="AF141" s="20" t="s">
        <v>141</v>
      </c>
      <c r="AG141" s="21" t="s">
        <v>141</v>
      </c>
      <c r="AH141" s="20" t="s">
        <v>141</v>
      </c>
      <c r="AI141" s="21" t="s">
        <v>141</v>
      </c>
      <c r="AJ141" s="20" t="s">
        <v>141</v>
      </c>
      <c r="AK141" s="21" t="s">
        <v>141</v>
      </c>
      <c r="AL141" s="20" t="s">
        <v>141</v>
      </c>
      <c r="AM141" s="21" t="s">
        <v>141</v>
      </c>
      <c r="AN141" s="20" t="s">
        <v>141</v>
      </c>
      <c r="AO141" s="21" t="s">
        <v>141</v>
      </c>
      <c r="AP141" s="20" t="s">
        <v>141</v>
      </c>
      <c r="AQ141" s="21" t="s">
        <v>141</v>
      </c>
      <c r="AR141" s="20" t="s">
        <v>141</v>
      </c>
      <c r="AS141" s="21" t="s">
        <v>141</v>
      </c>
      <c r="AT141" s="20" t="s">
        <v>141</v>
      </c>
      <c r="AU141" s="21" t="s">
        <v>141</v>
      </c>
      <c r="AV141" s="20" t="s">
        <v>141</v>
      </c>
      <c r="AW141" s="21" t="s">
        <v>141</v>
      </c>
      <c r="AX141" s="20" t="s">
        <v>141</v>
      </c>
      <c r="AY141" s="21" t="s">
        <v>141</v>
      </c>
    </row>
    <row r="142" spans="2:54">
      <c r="B142" s="2" t="s">
        <v>141</v>
      </c>
      <c r="C142" s="3" t="s">
        <v>141</v>
      </c>
      <c r="D142" s="20" t="s">
        <v>141</v>
      </c>
      <c r="E142" s="21" t="s">
        <v>141</v>
      </c>
      <c r="F142" s="20" t="s">
        <v>141</v>
      </c>
      <c r="G142" s="21" t="s">
        <v>141</v>
      </c>
      <c r="H142" s="20" t="s">
        <v>141</v>
      </c>
      <c r="I142" s="21" t="s">
        <v>141</v>
      </c>
      <c r="J142" s="20" t="s">
        <v>141</v>
      </c>
      <c r="K142" s="21" t="s">
        <v>141</v>
      </c>
      <c r="L142" s="20" t="s">
        <v>141</v>
      </c>
      <c r="M142" s="21" t="s">
        <v>141</v>
      </c>
      <c r="N142" s="20" t="s">
        <v>141</v>
      </c>
      <c r="O142" s="21" t="s">
        <v>141</v>
      </c>
      <c r="P142" s="20" t="s">
        <v>141</v>
      </c>
      <c r="Q142" s="21" t="s">
        <v>141</v>
      </c>
      <c r="R142" s="20" t="s">
        <v>141</v>
      </c>
      <c r="S142" s="21" t="s">
        <v>141</v>
      </c>
      <c r="T142" s="20" t="s">
        <v>141</v>
      </c>
      <c r="U142" s="21" t="s">
        <v>141</v>
      </c>
      <c r="V142" s="20" t="s">
        <v>141</v>
      </c>
      <c r="W142" s="21" t="s">
        <v>141</v>
      </c>
      <c r="X142" s="20" t="s">
        <v>141</v>
      </c>
      <c r="Y142" s="21" t="s">
        <v>141</v>
      </c>
      <c r="Z142" s="20" t="s">
        <v>141</v>
      </c>
      <c r="AA142" s="21" t="s">
        <v>141</v>
      </c>
      <c r="AB142" s="20" t="s">
        <v>141</v>
      </c>
      <c r="AC142" s="21" t="s">
        <v>141</v>
      </c>
      <c r="AD142" s="20" t="s">
        <v>141</v>
      </c>
      <c r="AE142" s="21" t="s">
        <v>141</v>
      </c>
      <c r="AF142" s="20" t="s">
        <v>141</v>
      </c>
      <c r="AG142" s="21" t="s">
        <v>141</v>
      </c>
      <c r="AH142" s="20" t="s">
        <v>141</v>
      </c>
      <c r="AI142" s="21" t="s">
        <v>141</v>
      </c>
      <c r="AJ142" s="20" t="s">
        <v>141</v>
      </c>
      <c r="AK142" s="21" t="s">
        <v>141</v>
      </c>
      <c r="AL142" s="20" t="s">
        <v>141</v>
      </c>
      <c r="AM142" s="21" t="s">
        <v>141</v>
      </c>
      <c r="AN142" s="20" t="s">
        <v>141</v>
      </c>
      <c r="AO142" s="21" t="s">
        <v>141</v>
      </c>
      <c r="AP142" s="20" t="s">
        <v>141</v>
      </c>
      <c r="AQ142" s="21" t="s">
        <v>141</v>
      </c>
      <c r="AR142" s="20" t="s">
        <v>141</v>
      </c>
      <c r="AS142" s="21" t="s">
        <v>141</v>
      </c>
      <c r="AT142" s="20" t="s">
        <v>141</v>
      </c>
      <c r="AU142" s="21" t="s">
        <v>141</v>
      </c>
      <c r="AV142" s="20" t="s">
        <v>141</v>
      </c>
      <c r="AW142" s="21" t="s">
        <v>141</v>
      </c>
      <c r="AX142" s="20" t="s">
        <v>141</v>
      </c>
      <c r="AY142" s="21" t="s">
        <v>141</v>
      </c>
    </row>
    <row r="143" spans="2:54">
      <c r="B143" s="2" t="s">
        <v>141</v>
      </c>
      <c r="C143" s="3" t="s">
        <v>141</v>
      </c>
      <c r="D143" s="20" t="s">
        <v>141</v>
      </c>
      <c r="E143" s="21" t="s">
        <v>141</v>
      </c>
      <c r="F143" s="20" t="s">
        <v>141</v>
      </c>
      <c r="G143" s="21" t="s">
        <v>141</v>
      </c>
      <c r="H143" s="20" t="s">
        <v>141</v>
      </c>
      <c r="I143" s="21" t="s">
        <v>141</v>
      </c>
      <c r="J143" s="20" t="s">
        <v>141</v>
      </c>
      <c r="K143" s="21" t="s">
        <v>141</v>
      </c>
      <c r="L143" s="20" t="s">
        <v>141</v>
      </c>
      <c r="M143" s="21" t="s">
        <v>141</v>
      </c>
      <c r="N143" s="20" t="s">
        <v>141</v>
      </c>
      <c r="O143" s="21" t="s">
        <v>141</v>
      </c>
      <c r="P143" s="20" t="s">
        <v>141</v>
      </c>
      <c r="Q143" s="21" t="s">
        <v>141</v>
      </c>
      <c r="R143" s="20" t="s">
        <v>141</v>
      </c>
      <c r="S143" s="21" t="s">
        <v>141</v>
      </c>
      <c r="T143" s="20" t="s">
        <v>141</v>
      </c>
      <c r="U143" s="21" t="s">
        <v>141</v>
      </c>
      <c r="V143" s="20" t="s">
        <v>141</v>
      </c>
      <c r="W143" s="21" t="s">
        <v>141</v>
      </c>
      <c r="X143" s="20" t="s">
        <v>141</v>
      </c>
      <c r="Y143" s="21" t="s">
        <v>141</v>
      </c>
      <c r="Z143" s="20" t="s">
        <v>141</v>
      </c>
      <c r="AA143" s="21" t="s">
        <v>141</v>
      </c>
      <c r="AB143" s="20" t="s">
        <v>141</v>
      </c>
      <c r="AC143" s="21" t="s">
        <v>141</v>
      </c>
      <c r="AD143" s="20" t="s">
        <v>141</v>
      </c>
      <c r="AE143" s="21" t="s">
        <v>141</v>
      </c>
      <c r="AF143" s="20" t="s">
        <v>141</v>
      </c>
      <c r="AG143" s="21" t="s">
        <v>141</v>
      </c>
      <c r="AH143" s="20" t="s">
        <v>141</v>
      </c>
      <c r="AI143" s="21" t="s">
        <v>141</v>
      </c>
      <c r="AJ143" s="20" t="s">
        <v>141</v>
      </c>
      <c r="AK143" s="21" t="s">
        <v>141</v>
      </c>
      <c r="AL143" s="20" t="s">
        <v>141</v>
      </c>
      <c r="AM143" s="21" t="s">
        <v>141</v>
      </c>
      <c r="AN143" s="20" t="s">
        <v>141</v>
      </c>
      <c r="AO143" s="21" t="s">
        <v>141</v>
      </c>
      <c r="AP143" s="20" t="s">
        <v>141</v>
      </c>
      <c r="AQ143" s="21" t="s">
        <v>141</v>
      </c>
      <c r="AR143" s="20" t="s">
        <v>141</v>
      </c>
      <c r="AS143" s="21" t="s">
        <v>141</v>
      </c>
      <c r="AT143" s="20" t="s">
        <v>141</v>
      </c>
      <c r="AU143" s="21" t="s">
        <v>141</v>
      </c>
      <c r="AV143" s="20" t="s">
        <v>141</v>
      </c>
      <c r="AW143" s="21" t="s">
        <v>141</v>
      </c>
      <c r="AX143" s="20" t="s">
        <v>141</v>
      </c>
      <c r="AY143" s="21" t="s">
        <v>141</v>
      </c>
    </row>
    <row r="144" spans="2:54">
      <c r="B144" s="2" t="s">
        <v>141</v>
      </c>
      <c r="C144" s="3" t="s">
        <v>141</v>
      </c>
      <c r="D144" s="20" t="s">
        <v>141</v>
      </c>
      <c r="E144" s="21" t="s">
        <v>141</v>
      </c>
      <c r="F144" s="20" t="s">
        <v>141</v>
      </c>
      <c r="G144" s="21" t="s">
        <v>141</v>
      </c>
      <c r="H144" s="20" t="s">
        <v>141</v>
      </c>
      <c r="I144" s="21" t="s">
        <v>141</v>
      </c>
      <c r="J144" s="20" t="s">
        <v>141</v>
      </c>
      <c r="K144" s="21" t="s">
        <v>141</v>
      </c>
      <c r="L144" s="20" t="s">
        <v>141</v>
      </c>
      <c r="M144" s="21" t="s">
        <v>141</v>
      </c>
      <c r="N144" s="20" t="s">
        <v>141</v>
      </c>
      <c r="O144" s="21" t="s">
        <v>141</v>
      </c>
      <c r="P144" s="20" t="s">
        <v>141</v>
      </c>
      <c r="Q144" s="21" t="s">
        <v>141</v>
      </c>
      <c r="R144" s="20" t="s">
        <v>141</v>
      </c>
      <c r="S144" s="21" t="s">
        <v>141</v>
      </c>
      <c r="T144" s="20" t="s">
        <v>141</v>
      </c>
      <c r="U144" s="21" t="s">
        <v>141</v>
      </c>
      <c r="V144" s="20" t="s">
        <v>141</v>
      </c>
      <c r="W144" s="21" t="s">
        <v>141</v>
      </c>
      <c r="X144" s="20" t="s">
        <v>141</v>
      </c>
      <c r="Y144" s="21" t="s">
        <v>141</v>
      </c>
      <c r="Z144" s="20" t="s">
        <v>141</v>
      </c>
      <c r="AA144" s="21" t="s">
        <v>141</v>
      </c>
      <c r="AB144" s="20" t="s">
        <v>141</v>
      </c>
      <c r="AC144" s="21" t="s">
        <v>141</v>
      </c>
      <c r="AD144" s="20" t="s">
        <v>141</v>
      </c>
      <c r="AE144" s="21" t="s">
        <v>141</v>
      </c>
      <c r="AF144" s="20" t="s">
        <v>141</v>
      </c>
      <c r="AG144" s="21" t="s">
        <v>141</v>
      </c>
      <c r="AH144" s="20" t="s">
        <v>141</v>
      </c>
      <c r="AI144" s="21" t="s">
        <v>141</v>
      </c>
      <c r="AJ144" s="20" t="s">
        <v>141</v>
      </c>
      <c r="AK144" s="21" t="s">
        <v>141</v>
      </c>
      <c r="AL144" s="20" t="s">
        <v>141</v>
      </c>
      <c r="AM144" s="21" t="s">
        <v>141</v>
      </c>
      <c r="AN144" s="20" t="s">
        <v>141</v>
      </c>
      <c r="AO144" s="21" t="s">
        <v>141</v>
      </c>
      <c r="AP144" s="20" t="s">
        <v>141</v>
      </c>
      <c r="AQ144" s="21" t="s">
        <v>141</v>
      </c>
      <c r="AR144" s="20" t="s">
        <v>141</v>
      </c>
      <c r="AS144" s="21" t="s">
        <v>141</v>
      </c>
      <c r="AT144" s="20" t="s">
        <v>141</v>
      </c>
      <c r="AU144" s="21" t="s">
        <v>141</v>
      </c>
      <c r="AV144" s="20" t="s">
        <v>141</v>
      </c>
      <c r="AW144" s="21" t="s">
        <v>141</v>
      </c>
      <c r="AX144" s="20" t="s">
        <v>141</v>
      </c>
      <c r="AY144" s="21" t="s">
        <v>141</v>
      </c>
    </row>
    <row r="145" spans="2:51">
      <c r="B145" s="2" t="s">
        <v>141</v>
      </c>
      <c r="C145" s="3" t="s">
        <v>141</v>
      </c>
      <c r="D145" s="20" t="s">
        <v>141</v>
      </c>
      <c r="E145" s="21" t="s">
        <v>141</v>
      </c>
      <c r="F145" s="20" t="s">
        <v>141</v>
      </c>
      <c r="G145" s="21" t="s">
        <v>141</v>
      </c>
      <c r="H145" s="20" t="s">
        <v>141</v>
      </c>
      <c r="I145" s="21" t="s">
        <v>141</v>
      </c>
      <c r="J145" s="20" t="s">
        <v>141</v>
      </c>
      <c r="K145" s="21" t="s">
        <v>141</v>
      </c>
      <c r="L145" s="20" t="s">
        <v>141</v>
      </c>
      <c r="M145" s="21" t="s">
        <v>141</v>
      </c>
      <c r="N145" s="20" t="s">
        <v>141</v>
      </c>
      <c r="O145" s="21" t="s">
        <v>141</v>
      </c>
      <c r="P145" s="20" t="s">
        <v>141</v>
      </c>
      <c r="Q145" s="21" t="s">
        <v>141</v>
      </c>
      <c r="R145" s="20" t="s">
        <v>141</v>
      </c>
      <c r="S145" s="21" t="s">
        <v>141</v>
      </c>
      <c r="T145" s="20" t="s">
        <v>141</v>
      </c>
      <c r="U145" s="21" t="s">
        <v>141</v>
      </c>
      <c r="V145" s="20" t="s">
        <v>141</v>
      </c>
      <c r="W145" s="21" t="s">
        <v>141</v>
      </c>
      <c r="X145" s="20" t="s">
        <v>141</v>
      </c>
      <c r="Y145" s="21" t="s">
        <v>141</v>
      </c>
      <c r="Z145" s="20" t="s">
        <v>141</v>
      </c>
      <c r="AA145" s="21" t="s">
        <v>141</v>
      </c>
      <c r="AB145" s="20" t="s">
        <v>141</v>
      </c>
      <c r="AC145" s="21" t="s">
        <v>141</v>
      </c>
      <c r="AD145" s="20" t="s">
        <v>141</v>
      </c>
      <c r="AE145" s="21" t="s">
        <v>141</v>
      </c>
      <c r="AF145" s="20" t="s">
        <v>141</v>
      </c>
      <c r="AG145" s="21" t="s">
        <v>141</v>
      </c>
      <c r="AH145" s="20" t="s">
        <v>141</v>
      </c>
      <c r="AI145" s="21" t="s">
        <v>141</v>
      </c>
      <c r="AJ145" s="20" t="s">
        <v>141</v>
      </c>
      <c r="AK145" s="21" t="s">
        <v>141</v>
      </c>
      <c r="AL145" s="20" t="s">
        <v>141</v>
      </c>
      <c r="AM145" s="21" t="s">
        <v>141</v>
      </c>
      <c r="AN145" s="20" t="s">
        <v>141</v>
      </c>
      <c r="AO145" s="21" t="s">
        <v>141</v>
      </c>
      <c r="AP145" s="20" t="s">
        <v>141</v>
      </c>
      <c r="AQ145" s="21" t="s">
        <v>141</v>
      </c>
      <c r="AR145" s="20" t="s">
        <v>141</v>
      </c>
      <c r="AS145" s="21" t="s">
        <v>141</v>
      </c>
      <c r="AT145" s="20" t="s">
        <v>141</v>
      </c>
      <c r="AU145" s="21" t="s">
        <v>141</v>
      </c>
      <c r="AV145" s="20" t="s">
        <v>141</v>
      </c>
      <c r="AW145" s="21" t="s">
        <v>141</v>
      </c>
      <c r="AX145" s="20" t="s">
        <v>141</v>
      </c>
      <c r="AY145" s="21" t="s">
        <v>141</v>
      </c>
    </row>
    <row r="146" spans="2:51">
      <c r="B146" s="2" t="s">
        <v>141</v>
      </c>
      <c r="C146" s="3" t="s">
        <v>141</v>
      </c>
      <c r="D146" s="20" t="s">
        <v>141</v>
      </c>
      <c r="E146" s="21" t="s">
        <v>141</v>
      </c>
      <c r="F146" s="20" t="s">
        <v>141</v>
      </c>
      <c r="G146" s="21" t="s">
        <v>141</v>
      </c>
      <c r="H146" s="20" t="s">
        <v>141</v>
      </c>
      <c r="I146" s="21" t="s">
        <v>141</v>
      </c>
      <c r="J146" s="20" t="s">
        <v>141</v>
      </c>
      <c r="K146" s="21" t="s">
        <v>141</v>
      </c>
      <c r="L146" s="20" t="s">
        <v>141</v>
      </c>
      <c r="M146" s="21" t="s">
        <v>141</v>
      </c>
      <c r="N146" s="20" t="s">
        <v>141</v>
      </c>
      <c r="O146" s="21" t="s">
        <v>141</v>
      </c>
      <c r="P146" s="20" t="s">
        <v>141</v>
      </c>
      <c r="Q146" s="21" t="s">
        <v>141</v>
      </c>
      <c r="R146" s="20" t="s">
        <v>141</v>
      </c>
      <c r="S146" s="21" t="s">
        <v>141</v>
      </c>
      <c r="T146" s="20" t="s">
        <v>141</v>
      </c>
      <c r="U146" s="21" t="s">
        <v>141</v>
      </c>
      <c r="V146" s="20" t="s">
        <v>141</v>
      </c>
      <c r="W146" s="21" t="s">
        <v>141</v>
      </c>
      <c r="X146" s="20" t="s">
        <v>141</v>
      </c>
      <c r="Y146" s="21" t="s">
        <v>141</v>
      </c>
      <c r="Z146" s="20" t="s">
        <v>141</v>
      </c>
      <c r="AA146" s="21" t="s">
        <v>141</v>
      </c>
      <c r="AB146" s="20" t="s">
        <v>141</v>
      </c>
      <c r="AC146" s="21" t="s">
        <v>141</v>
      </c>
      <c r="AD146" s="20" t="s">
        <v>141</v>
      </c>
      <c r="AE146" s="21" t="s">
        <v>141</v>
      </c>
      <c r="AF146" s="20" t="s">
        <v>141</v>
      </c>
      <c r="AG146" s="21" t="s">
        <v>141</v>
      </c>
      <c r="AH146" s="20" t="s">
        <v>141</v>
      </c>
      <c r="AI146" s="21" t="s">
        <v>141</v>
      </c>
      <c r="AJ146" s="20" t="s">
        <v>141</v>
      </c>
      <c r="AK146" s="21" t="s">
        <v>141</v>
      </c>
      <c r="AL146" s="20" t="s">
        <v>141</v>
      </c>
      <c r="AM146" s="21" t="s">
        <v>141</v>
      </c>
      <c r="AN146" s="20" t="s">
        <v>141</v>
      </c>
      <c r="AO146" s="21" t="s">
        <v>141</v>
      </c>
      <c r="AP146" s="20" t="s">
        <v>141</v>
      </c>
      <c r="AQ146" s="21" t="s">
        <v>141</v>
      </c>
      <c r="AR146" s="20" t="s">
        <v>141</v>
      </c>
      <c r="AS146" s="21" t="s">
        <v>141</v>
      </c>
      <c r="AT146" s="20" t="s">
        <v>141</v>
      </c>
      <c r="AU146" s="21" t="s">
        <v>141</v>
      </c>
      <c r="AV146" s="20" t="s">
        <v>141</v>
      </c>
      <c r="AW146" s="21" t="s">
        <v>141</v>
      </c>
      <c r="AX146" s="20" t="s">
        <v>141</v>
      </c>
      <c r="AY146" s="21" t="s">
        <v>141</v>
      </c>
    </row>
    <row r="147" spans="2:51">
      <c r="B147" s="2" t="s">
        <v>141</v>
      </c>
      <c r="C147" s="3" t="s">
        <v>141</v>
      </c>
      <c r="D147" s="20" t="s">
        <v>141</v>
      </c>
      <c r="E147" s="21" t="s">
        <v>141</v>
      </c>
      <c r="F147" s="20" t="s">
        <v>141</v>
      </c>
      <c r="G147" s="21" t="s">
        <v>141</v>
      </c>
      <c r="H147" s="20" t="s">
        <v>141</v>
      </c>
      <c r="I147" s="21" t="s">
        <v>141</v>
      </c>
      <c r="J147" s="20" t="s">
        <v>141</v>
      </c>
      <c r="K147" s="21" t="s">
        <v>141</v>
      </c>
      <c r="L147" s="20" t="s">
        <v>141</v>
      </c>
      <c r="M147" s="21" t="s">
        <v>141</v>
      </c>
      <c r="N147" s="20" t="s">
        <v>141</v>
      </c>
      <c r="O147" s="21" t="s">
        <v>141</v>
      </c>
      <c r="P147" s="20" t="s">
        <v>141</v>
      </c>
      <c r="Q147" s="21" t="s">
        <v>141</v>
      </c>
      <c r="R147" s="20" t="s">
        <v>141</v>
      </c>
      <c r="S147" s="21" t="s">
        <v>141</v>
      </c>
      <c r="T147" s="20" t="s">
        <v>141</v>
      </c>
      <c r="U147" s="21" t="s">
        <v>141</v>
      </c>
      <c r="V147" s="20" t="s">
        <v>141</v>
      </c>
      <c r="W147" s="21" t="s">
        <v>141</v>
      </c>
      <c r="X147" s="20" t="s">
        <v>141</v>
      </c>
      <c r="Y147" s="21" t="s">
        <v>141</v>
      </c>
      <c r="Z147" s="20" t="s">
        <v>141</v>
      </c>
      <c r="AA147" s="21" t="s">
        <v>141</v>
      </c>
      <c r="AB147" s="20" t="s">
        <v>141</v>
      </c>
      <c r="AC147" s="21" t="s">
        <v>141</v>
      </c>
      <c r="AD147" s="20" t="s">
        <v>141</v>
      </c>
      <c r="AE147" s="21" t="s">
        <v>141</v>
      </c>
      <c r="AF147" s="20" t="s">
        <v>141</v>
      </c>
      <c r="AG147" s="21" t="s">
        <v>141</v>
      </c>
      <c r="AH147" s="20" t="s">
        <v>141</v>
      </c>
      <c r="AI147" s="21" t="s">
        <v>141</v>
      </c>
      <c r="AJ147" s="20" t="s">
        <v>141</v>
      </c>
      <c r="AK147" s="21" t="s">
        <v>141</v>
      </c>
      <c r="AL147" s="20" t="s">
        <v>141</v>
      </c>
      <c r="AM147" s="21" t="s">
        <v>141</v>
      </c>
      <c r="AN147" s="20" t="s">
        <v>141</v>
      </c>
      <c r="AO147" s="21" t="s">
        <v>141</v>
      </c>
      <c r="AP147" s="20" t="s">
        <v>141</v>
      </c>
      <c r="AQ147" s="21" t="s">
        <v>141</v>
      </c>
      <c r="AR147" s="20" t="s">
        <v>141</v>
      </c>
      <c r="AS147" s="21" t="s">
        <v>141</v>
      </c>
      <c r="AT147" s="20" t="s">
        <v>141</v>
      </c>
      <c r="AU147" s="21" t="s">
        <v>141</v>
      </c>
      <c r="AV147" s="20" t="s">
        <v>141</v>
      </c>
      <c r="AW147" s="21" t="s">
        <v>141</v>
      </c>
      <c r="AX147" s="20" t="s">
        <v>141</v>
      </c>
      <c r="AY147" s="21" t="s">
        <v>141</v>
      </c>
    </row>
    <row r="148" spans="2:51">
      <c r="B148" s="2">
        <v>1</v>
      </c>
      <c r="C148" s="3">
        <v>2</v>
      </c>
      <c r="D148" s="20">
        <v>3</v>
      </c>
      <c r="E148" s="21">
        <v>4</v>
      </c>
      <c r="F148" s="20">
        <v>5</v>
      </c>
      <c r="G148" s="21">
        <v>6</v>
      </c>
      <c r="H148" s="20">
        <v>7</v>
      </c>
      <c r="I148" s="21">
        <v>8</v>
      </c>
      <c r="J148" s="20">
        <v>9</v>
      </c>
      <c r="K148" s="21">
        <v>10</v>
      </c>
      <c r="L148" s="20">
        <v>11</v>
      </c>
      <c r="M148" s="21">
        <v>12</v>
      </c>
      <c r="N148" s="20">
        <v>13</v>
      </c>
      <c r="O148" s="21">
        <v>14</v>
      </c>
      <c r="P148" s="20">
        <v>15</v>
      </c>
      <c r="Q148" s="21">
        <v>16</v>
      </c>
      <c r="R148" s="20">
        <v>17</v>
      </c>
      <c r="S148" s="21">
        <v>18</v>
      </c>
      <c r="T148" s="20">
        <v>19</v>
      </c>
      <c r="U148" s="21">
        <v>20</v>
      </c>
      <c r="V148" s="20">
        <v>21</v>
      </c>
      <c r="W148" s="21">
        <v>22</v>
      </c>
      <c r="X148" s="20">
        <v>23</v>
      </c>
      <c r="Y148" s="21">
        <v>24</v>
      </c>
      <c r="Z148" s="20">
        <v>25</v>
      </c>
      <c r="AA148" s="21">
        <v>26</v>
      </c>
      <c r="AB148" s="20">
        <v>27</v>
      </c>
      <c r="AC148" s="21">
        <v>28</v>
      </c>
      <c r="AD148" s="20">
        <v>29</v>
      </c>
      <c r="AE148" s="21">
        <v>30</v>
      </c>
      <c r="AF148" s="20">
        <v>31</v>
      </c>
      <c r="AG148" s="21">
        <v>32</v>
      </c>
      <c r="AH148" s="20">
        <v>33</v>
      </c>
      <c r="AI148" s="21">
        <v>34</v>
      </c>
      <c r="AJ148" s="20">
        <v>35</v>
      </c>
      <c r="AK148" s="21">
        <v>36</v>
      </c>
      <c r="AL148" s="20">
        <v>37</v>
      </c>
      <c r="AM148" s="21">
        <v>38</v>
      </c>
      <c r="AN148" s="20">
        <v>39</v>
      </c>
      <c r="AO148" s="21">
        <v>40</v>
      </c>
      <c r="AP148" s="20">
        <v>41</v>
      </c>
      <c r="AQ148" s="21">
        <v>42</v>
      </c>
      <c r="AR148" s="20">
        <v>43</v>
      </c>
      <c r="AS148" s="21">
        <v>44</v>
      </c>
      <c r="AT148" s="20">
        <v>45</v>
      </c>
      <c r="AU148" s="21">
        <v>46</v>
      </c>
      <c r="AV148" s="20">
        <v>47</v>
      </c>
      <c r="AW148" s="21">
        <v>48</v>
      </c>
      <c r="AX148" s="20">
        <v>49</v>
      </c>
      <c r="AY148" s="21">
        <v>50</v>
      </c>
    </row>
    <row r="149" spans="2:51">
      <c r="B149" s="2" t="s">
        <v>141</v>
      </c>
      <c r="C149" s="3" t="s">
        <v>141</v>
      </c>
      <c r="D149" s="20" t="s">
        <v>141</v>
      </c>
      <c r="E149" s="21" t="s">
        <v>141</v>
      </c>
      <c r="F149" s="20" t="s">
        <v>141</v>
      </c>
      <c r="G149" s="21" t="s">
        <v>141</v>
      </c>
      <c r="H149" s="20" t="s">
        <v>141</v>
      </c>
      <c r="I149" s="21" t="s">
        <v>141</v>
      </c>
      <c r="J149" s="20" t="s">
        <v>141</v>
      </c>
      <c r="K149" s="21" t="s">
        <v>141</v>
      </c>
      <c r="L149" s="20" t="s">
        <v>141</v>
      </c>
      <c r="M149" s="21" t="s">
        <v>141</v>
      </c>
      <c r="N149" s="20" t="s">
        <v>141</v>
      </c>
      <c r="O149" s="21" t="s">
        <v>141</v>
      </c>
      <c r="P149" s="20" t="s">
        <v>141</v>
      </c>
      <c r="Q149" s="21" t="s">
        <v>141</v>
      </c>
      <c r="R149" s="20" t="s">
        <v>141</v>
      </c>
      <c r="S149" s="21" t="s">
        <v>141</v>
      </c>
      <c r="T149" s="20" t="s">
        <v>141</v>
      </c>
      <c r="U149" s="21" t="s">
        <v>141</v>
      </c>
      <c r="V149" s="20" t="s">
        <v>141</v>
      </c>
      <c r="W149" s="21" t="s">
        <v>141</v>
      </c>
      <c r="X149" s="20" t="s">
        <v>141</v>
      </c>
      <c r="Y149" s="21" t="s">
        <v>141</v>
      </c>
      <c r="Z149" s="20" t="s">
        <v>141</v>
      </c>
      <c r="AA149" s="21" t="s">
        <v>141</v>
      </c>
      <c r="AB149" s="20" t="s">
        <v>141</v>
      </c>
      <c r="AC149" s="21" t="s">
        <v>141</v>
      </c>
      <c r="AD149" s="20" t="s">
        <v>141</v>
      </c>
      <c r="AE149" s="21" t="s">
        <v>141</v>
      </c>
      <c r="AF149" s="20" t="s">
        <v>141</v>
      </c>
      <c r="AG149" s="21" t="s">
        <v>141</v>
      </c>
      <c r="AH149" s="20" t="s">
        <v>141</v>
      </c>
      <c r="AI149" s="21" t="s">
        <v>141</v>
      </c>
      <c r="AJ149" s="20" t="s">
        <v>141</v>
      </c>
      <c r="AK149" s="21" t="s">
        <v>141</v>
      </c>
      <c r="AL149" s="20" t="s">
        <v>141</v>
      </c>
      <c r="AM149" s="21" t="s">
        <v>141</v>
      </c>
      <c r="AN149" s="20" t="s">
        <v>141</v>
      </c>
      <c r="AO149" s="21" t="s">
        <v>141</v>
      </c>
      <c r="AP149" s="20" t="s">
        <v>141</v>
      </c>
      <c r="AQ149" s="21" t="s">
        <v>141</v>
      </c>
      <c r="AR149" s="20" t="s">
        <v>141</v>
      </c>
      <c r="AS149" s="21" t="s">
        <v>141</v>
      </c>
      <c r="AT149" s="20" t="s">
        <v>141</v>
      </c>
      <c r="AU149" s="21" t="s">
        <v>141</v>
      </c>
      <c r="AV149" s="20" t="s">
        <v>141</v>
      </c>
      <c r="AW149" s="21" t="s">
        <v>141</v>
      </c>
      <c r="AX149" s="20" t="s">
        <v>141</v>
      </c>
      <c r="AY149" s="21" t="s">
        <v>141</v>
      </c>
    </row>
    <row r="150" spans="2:51">
      <c r="B150" s="2" t="s">
        <v>141</v>
      </c>
      <c r="C150" s="3" t="s">
        <v>141</v>
      </c>
      <c r="D150" s="20" t="s">
        <v>141</v>
      </c>
      <c r="E150" s="21" t="s">
        <v>141</v>
      </c>
      <c r="F150" s="20" t="s">
        <v>141</v>
      </c>
      <c r="G150" s="21" t="s">
        <v>141</v>
      </c>
      <c r="H150" s="20" t="s">
        <v>141</v>
      </c>
      <c r="I150" s="21" t="s">
        <v>141</v>
      </c>
      <c r="J150" s="20" t="s">
        <v>141</v>
      </c>
      <c r="K150" s="21" t="s">
        <v>141</v>
      </c>
      <c r="L150" s="20" t="s">
        <v>141</v>
      </c>
      <c r="M150" s="21" t="s">
        <v>141</v>
      </c>
      <c r="N150" s="20" t="s">
        <v>141</v>
      </c>
      <c r="O150" s="21" t="s">
        <v>141</v>
      </c>
      <c r="P150" s="20" t="s">
        <v>141</v>
      </c>
      <c r="Q150" s="21" t="s">
        <v>141</v>
      </c>
      <c r="R150" s="20" t="s">
        <v>141</v>
      </c>
      <c r="S150" s="21" t="s">
        <v>141</v>
      </c>
      <c r="T150" s="20" t="s">
        <v>141</v>
      </c>
      <c r="U150" s="21" t="s">
        <v>141</v>
      </c>
      <c r="V150" s="20" t="s">
        <v>141</v>
      </c>
      <c r="W150" s="21" t="s">
        <v>141</v>
      </c>
      <c r="X150" s="20" t="s">
        <v>141</v>
      </c>
      <c r="Y150" s="21" t="s">
        <v>141</v>
      </c>
      <c r="Z150" s="20" t="s">
        <v>141</v>
      </c>
      <c r="AA150" s="21" t="s">
        <v>141</v>
      </c>
      <c r="AB150" s="20" t="s">
        <v>141</v>
      </c>
      <c r="AC150" s="21" t="s">
        <v>141</v>
      </c>
      <c r="AD150" s="20" t="s">
        <v>141</v>
      </c>
      <c r="AE150" s="21" t="s">
        <v>141</v>
      </c>
      <c r="AF150" s="20" t="s">
        <v>141</v>
      </c>
      <c r="AG150" s="21" t="s">
        <v>141</v>
      </c>
      <c r="AH150" s="20" t="s">
        <v>141</v>
      </c>
      <c r="AI150" s="21" t="s">
        <v>141</v>
      </c>
      <c r="AJ150" s="20" t="s">
        <v>141</v>
      </c>
      <c r="AK150" s="21" t="s">
        <v>141</v>
      </c>
      <c r="AL150" s="20" t="s">
        <v>141</v>
      </c>
      <c r="AM150" s="21" t="s">
        <v>141</v>
      </c>
      <c r="AN150" s="20" t="s">
        <v>141</v>
      </c>
      <c r="AO150" s="21" t="s">
        <v>141</v>
      </c>
      <c r="AP150" s="20" t="s">
        <v>141</v>
      </c>
      <c r="AQ150" s="21" t="s">
        <v>141</v>
      </c>
      <c r="AR150" s="20" t="s">
        <v>141</v>
      </c>
      <c r="AS150" s="21" t="s">
        <v>141</v>
      </c>
      <c r="AT150" s="20" t="s">
        <v>141</v>
      </c>
      <c r="AU150" s="21" t="s">
        <v>141</v>
      </c>
      <c r="AV150" s="20" t="s">
        <v>141</v>
      </c>
      <c r="AW150" s="21" t="s">
        <v>141</v>
      </c>
      <c r="AX150" s="20" t="s">
        <v>141</v>
      </c>
      <c r="AY150" s="21" t="s">
        <v>141</v>
      </c>
    </row>
    <row r="151" spans="2:51">
      <c r="B151" s="2" t="s">
        <v>141</v>
      </c>
      <c r="C151" s="3" t="s">
        <v>141</v>
      </c>
      <c r="D151" s="20" t="s">
        <v>141</v>
      </c>
      <c r="E151" s="21" t="s">
        <v>141</v>
      </c>
      <c r="F151" s="20" t="s">
        <v>141</v>
      </c>
      <c r="G151" s="21" t="s">
        <v>141</v>
      </c>
      <c r="H151" s="20" t="s">
        <v>141</v>
      </c>
      <c r="I151" s="21" t="s">
        <v>141</v>
      </c>
      <c r="J151" s="20" t="s">
        <v>141</v>
      </c>
      <c r="K151" s="21" t="s">
        <v>141</v>
      </c>
      <c r="L151" s="20" t="s">
        <v>141</v>
      </c>
      <c r="M151" s="21" t="s">
        <v>141</v>
      </c>
      <c r="N151" s="20" t="s">
        <v>141</v>
      </c>
      <c r="O151" s="21" t="s">
        <v>141</v>
      </c>
      <c r="P151" s="20" t="s">
        <v>141</v>
      </c>
      <c r="Q151" s="21" t="s">
        <v>141</v>
      </c>
      <c r="R151" s="20" t="s">
        <v>141</v>
      </c>
      <c r="S151" s="21" t="s">
        <v>141</v>
      </c>
      <c r="T151" s="20" t="s">
        <v>141</v>
      </c>
      <c r="U151" s="21" t="s">
        <v>141</v>
      </c>
      <c r="V151" s="20" t="s">
        <v>141</v>
      </c>
      <c r="W151" s="21" t="s">
        <v>141</v>
      </c>
      <c r="X151" s="20" t="s">
        <v>141</v>
      </c>
      <c r="Y151" s="21" t="s">
        <v>141</v>
      </c>
      <c r="Z151" s="20" t="s">
        <v>141</v>
      </c>
      <c r="AA151" s="21" t="s">
        <v>141</v>
      </c>
      <c r="AB151" s="20" t="s">
        <v>141</v>
      </c>
      <c r="AC151" s="21" t="s">
        <v>141</v>
      </c>
      <c r="AD151" s="20" t="s">
        <v>141</v>
      </c>
      <c r="AE151" s="21" t="s">
        <v>141</v>
      </c>
      <c r="AF151" s="20" t="s">
        <v>141</v>
      </c>
      <c r="AG151" s="21" t="s">
        <v>141</v>
      </c>
      <c r="AH151" s="20" t="s">
        <v>141</v>
      </c>
      <c r="AI151" s="21" t="s">
        <v>141</v>
      </c>
      <c r="AJ151" s="20" t="s">
        <v>141</v>
      </c>
      <c r="AK151" s="21" t="s">
        <v>141</v>
      </c>
      <c r="AL151" s="20" t="s">
        <v>141</v>
      </c>
      <c r="AM151" s="21" t="s">
        <v>141</v>
      </c>
      <c r="AN151" s="20" t="s">
        <v>141</v>
      </c>
      <c r="AO151" s="21" t="s">
        <v>141</v>
      </c>
      <c r="AP151" s="20" t="s">
        <v>141</v>
      </c>
      <c r="AQ151" s="21" t="s">
        <v>141</v>
      </c>
      <c r="AR151" s="20" t="s">
        <v>141</v>
      </c>
      <c r="AS151" s="21" t="s">
        <v>141</v>
      </c>
      <c r="AT151" s="20" t="s">
        <v>141</v>
      </c>
      <c r="AU151" s="21" t="s">
        <v>141</v>
      </c>
      <c r="AV151" s="20" t="s">
        <v>141</v>
      </c>
      <c r="AW151" s="21" t="s">
        <v>141</v>
      </c>
      <c r="AX151" s="20" t="s">
        <v>141</v>
      </c>
      <c r="AY151" s="21" t="s">
        <v>141</v>
      </c>
    </row>
    <row r="152" spans="2:51">
      <c r="B152" s="2" t="s">
        <v>141</v>
      </c>
      <c r="C152" s="3" t="s">
        <v>141</v>
      </c>
      <c r="D152" s="20" t="s">
        <v>141</v>
      </c>
      <c r="E152" s="21" t="s">
        <v>141</v>
      </c>
      <c r="F152" s="20" t="s">
        <v>141</v>
      </c>
      <c r="G152" s="21" t="s">
        <v>141</v>
      </c>
      <c r="H152" s="20" t="s">
        <v>141</v>
      </c>
      <c r="I152" s="21" t="s">
        <v>141</v>
      </c>
      <c r="J152" s="20" t="s">
        <v>141</v>
      </c>
      <c r="K152" s="21" t="s">
        <v>141</v>
      </c>
      <c r="L152" s="20" t="s">
        <v>141</v>
      </c>
      <c r="M152" s="21" t="s">
        <v>141</v>
      </c>
      <c r="N152" s="20" t="s">
        <v>141</v>
      </c>
      <c r="O152" s="21" t="s">
        <v>141</v>
      </c>
      <c r="P152" s="20" t="s">
        <v>141</v>
      </c>
      <c r="Q152" s="21" t="s">
        <v>141</v>
      </c>
      <c r="R152" s="20" t="s">
        <v>141</v>
      </c>
      <c r="S152" s="21" t="s">
        <v>141</v>
      </c>
      <c r="T152" s="20" t="s">
        <v>141</v>
      </c>
      <c r="U152" s="21" t="s">
        <v>141</v>
      </c>
      <c r="V152" s="20" t="s">
        <v>141</v>
      </c>
      <c r="W152" s="21" t="s">
        <v>141</v>
      </c>
      <c r="X152" s="20" t="s">
        <v>141</v>
      </c>
      <c r="Y152" s="21" t="s">
        <v>141</v>
      </c>
      <c r="Z152" s="20" t="s">
        <v>141</v>
      </c>
      <c r="AA152" s="21" t="s">
        <v>141</v>
      </c>
      <c r="AB152" s="20" t="s">
        <v>141</v>
      </c>
      <c r="AC152" s="21" t="s">
        <v>141</v>
      </c>
      <c r="AD152" s="20" t="s">
        <v>141</v>
      </c>
      <c r="AE152" s="21" t="s">
        <v>141</v>
      </c>
      <c r="AF152" s="20" t="s">
        <v>141</v>
      </c>
      <c r="AG152" s="21" t="s">
        <v>141</v>
      </c>
      <c r="AH152" s="20" t="s">
        <v>141</v>
      </c>
      <c r="AI152" s="21" t="s">
        <v>141</v>
      </c>
      <c r="AJ152" s="20" t="s">
        <v>141</v>
      </c>
      <c r="AK152" s="21" t="s">
        <v>141</v>
      </c>
      <c r="AL152" s="20" t="s">
        <v>141</v>
      </c>
      <c r="AM152" s="21" t="s">
        <v>141</v>
      </c>
      <c r="AN152" s="20" t="s">
        <v>141</v>
      </c>
      <c r="AO152" s="21" t="s">
        <v>141</v>
      </c>
      <c r="AP152" s="20" t="s">
        <v>141</v>
      </c>
      <c r="AQ152" s="21" t="s">
        <v>141</v>
      </c>
      <c r="AR152" s="20" t="s">
        <v>141</v>
      </c>
      <c r="AS152" s="21" t="s">
        <v>141</v>
      </c>
      <c r="AT152" s="20" t="s">
        <v>141</v>
      </c>
      <c r="AU152" s="21" t="s">
        <v>141</v>
      </c>
      <c r="AV152" s="20" t="s">
        <v>141</v>
      </c>
      <c r="AW152" s="21" t="s">
        <v>141</v>
      </c>
      <c r="AX152" s="20" t="s">
        <v>141</v>
      </c>
      <c r="AY152" s="21" t="s">
        <v>141</v>
      </c>
    </row>
    <row r="153" spans="2:51">
      <c r="B153" s="2" t="s">
        <v>141</v>
      </c>
      <c r="C153" s="3" t="s">
        <v>141</v>
      </c>
      <c r="D153" s="20" t="s">
        <v>141</v>
      </c>
      <c r="E153" s="21" t="s">
        <v>141</v>
      </c>
      <c r="F153" s="20" t="s">
        <v>141</v>
      </c>
      <c r="G153" s="21" t="s">
        <v>141</v>
      </c>
      <c r="H153" s="20" t="s">
        <v>141</v>
      </c>
      <c r="I153" s="21" t="s">
        <v>141</v>
      </c>
      <c r="J153" s="20" t="s">
        <v>141</v>
      </c>
      <c r="K153" s="21" t="s">
        <v>141</v>
      </c>
      <c r="L153" s="20" t="s">
        <v>141</v>
      </c>
      <c r="M153" s="21" t="s">
        <v>141</v>
      </c>
      <c r="N153" s="20" t="s">
        <v>141</v>
      </c>
      <c r="O153" s="21" t="s">
        <v>141</v>
      </c>
      <c r="P153" s="20" t="s">
        <v>141</v>
      </c>
      <c r="Q153" s="21" t="s">
        <v>141</v>
      </c>
      <c r="R153" s="20" t="s">
        <v>141</v>
      </c>
      <c r="S153" s="21" t="s">
        <v>141</v>
      </c>
      <c r="T153" s="20" t="s">
        <v>141</v>
      </c>
      <c r="U153" s="21" t="s">
        <v>141</v>
      </c>
      <c r="V153" s="20" t="s">
        <v>141</v>
      </c>
      <c r="W153" s="21" t="s">
        <v>141</v>
      </c>
      <c r="X153" s="20" t="s">
        <v>141</v>
      </c>
      <c r="Y153" s="21" t="s">
        <v>141</v>
      </c>
      <c r="Z153" s="20" t="s">
        <v>141</v>
      </c>
      <c r="AA153" s="21" t="s">
        <v>141</v>
      </c>
      <c r="AB153" s="20" t="s">
        <v>141</v>
      </c>
      <c r="AC153" s="21" t="s">
        <v>141</v>
      </c>
      <c r="AD153" s="20" t="s">
        <v>141</v>
      </c>
      <c r="AE153" s="21" t="s">
        <v>141</v>
      </c>
      <c r="AF153" s="20" t="s">
        <v>141</v>
      </c>
      <c r="AG153" s="21" t="s">
        <v>141</v>
      </c>
      <c r="AH153" s="20" t="s">
        <v>141</v>
      </c>
      <c r="AI153" s="21" t="s">
        <v>141</v>
      </c>
      <c r="AJ153" s="20" t="s">
        <v>141</v>
      </c>
      <c r="AK153" s="21" t="s">
        <v>141</v>
      </c>
      <c r="AL153" s="20" t="s">
        <v>141</v>
      </c>
      <c r="AM153" s="21" t="s">
        <v>141</v>
      </c>
      <c r="AN153" s="20" t="s">
        <v>141</v>
      </c>
      <c r="AO153" s="21" t="s">
        <v>141</v>
      </c>
      <c r="AP153" s="20" t="s">
        <v>141</v>
      </c>
      <c r="AQ153" s="21" t="s">
        <v>141</v>
      </c>
      <c r="AR153" s="20" t="s">
        <v>141</v>
      </c>
      <c r="AS153" s="21" t="s">
        <v>141</v>
      </c>
      <c r="AT153" s="20" t="s">
        <v>141</v>
      </c>
      <c r="AU153" s="21" t="s">
        <v>141</v>
      </c>
      <c r="AV153" s="20" t="s">
        <v>141</v>
      </c>
      <c r="AW153" s="21" t="s">
        <v>141</v>
      </c>
      <c r="AX153" s="20" t="s">
        <v>141</v>
      </c>
      <c r="AY153" s="21" t="s">
        <v>141</v>
      </c>
    </row>
    <row r="154" spans="2:51">
      <c r="B154" s="2" t="s">
        <v>141</v>
      </c>
      <c r="C154" s="3" t="s">
        <v>141</v>
      </c>
      <c r="D154" s="20" t="s">
        <v>141</v>
      </c>
      <c r="E154" s="21" t="s">
        <v>141</v>
      </c>
      <c r="F154" s="20" t="s">
        <v>141</v>
      </c>
      <c r="G154" s="21" t="s">
        <v>141</v>
      </c>
      <c r="H154" s="20" t="s">
        <v>141</v>
      </c>
      <c r="I154" s="21" t="s">
        <v>141</v>
      </c>
      <c r="J154" s="20" t="s">
        <v>141</v>
      </c>
      <c r="K154" s="21" t="s">
        <v>141</v>
      </c>
      <c r="L154" s="20" t="s">
        <v>141</v>
      </c>
      <c r="M154" s="21" t="s">
        <v>141</v>
      </c>
      <c r="N154" s="20" t="s">
        <v>141</v>
      </c>
      <c r="O154" s="21" t="s">
        <v>141</v>
      </c>
      <c r="P154" s="20" t="s">
        <v>141</v>
      </c>
      <c r="Q154" s="21" t="s">
        <v>141</v>
      </c>
      <c r="R154" s="20" t="s">
        <v>141</v>
      </c>
      <c r="S154" s="21" t="s">
        <v>141</v>
      </c>
      <c r="T154" s="20" t="s">
        <v>141</v>
      </c>
      <c r="U154" s="21" t="s">
        <v>141</v>
      </c>
      <c r="V154" s="20" t="s">
        <v>141</v>
      </c>
      <c r="W154" s="21" t="s">
        <v>141</v>
      </c>
      <c r="X154" s="20" t="s">
        <v>141</v>
      </c>
      <c r="Y154" s="21" t="s">
        <v>141</v>
      </c>
      <c r="Z154" s="20" t="s">
        <v>141</v>
      </c>
      <c r="AA154" s="21" t="s">
        <v>141</v>
      </c>
      <c r="AB154" s="20" t="s">
        <v>141</v>
      </c>
      <c r="AC154" s="21" t="s">
        <v>141</v>
      </c>
      <c r="AD154" s="20" t="s">
        <v>141</v>
      </c>
      <c r="AE154" s="21" t="s">
        <v>141</v>
      </c>
      <c r="AF154" s="20" t="s">
        <v>141</v>
      </c>
      <c r="AG154" s="21" t="s">
        <v>141</v>
      </c>
      <c r="AH154" s="20" t="s">
        <v>141</v>
      </c>
      <c r="AI154" s="21" t="s">
        <v>141</v>
      </c>
      <c r="AJ154" s="20" t="s">
        <v>141</v>
      </c>
      <c r="AK154" s="21" t="s">
        <v>141</v>
      </c>
      <c r="AL154" s="20" t="s">
        <v>141</v>
      </c>
      <c r="AM154" s="21" t="s">
        <v>141</v>
      </c>
      <c r="AN154" s="20" t="s">
        <v>141</v>
      </c>
      <c r="AO154" s="21" t="s">
        <v>141</v>
      </c>
      <c r="AP154" s="20" t="s">
        <v>141</v>
      </c>
      <c r="AQ154" s="21" t="s">
        <v>141</v>
      </c>
      <c r="AR154" s="20" t="s">
        <v>141</v>
      </c>
      <c r="AS154" s="21" t="s">
        <v>141</v>
      </c>
      <c r="AT154" s="20" t="s">
        <v>141</v>
      </c>
      <c r="AU154" s="21" t="s">
        <v>141</v>
      </c>
      <c r="AV154" s="20" t="s">
        <v>141</v>
      </c>
      <c r="AW154" s="21" t="s">
        <v>141</v>
      </c>
      <c r="AX154" s="20" t="s">
        <v>141</v>
      </c>
      <c r="AY154" s="21" t="s">
        <v>141</v>
      </c>
    </row>
    <row r="155" spans="2:51">
      <c r="B155" s="2" t="s">
        <v>141</v>
      </c>
      <c r="C155" s="3" t="s">
        <v>141</v>
      </c>
      <c r="D155" s="20" t="s">
        <v>141</v>
      </c>
      <c r="E155" s="21" t="s">
        <v>141</v>
      </c>
      <c r="F155" s="20" t="s">
        <v>141</v>
      </c>
      <c r="G155" s="21" t="s">
        <v>141</v>
      </c>
      <c r="H155" s="20" t="s">
        <v>141</v>
      </c>
      <c r="I155" s="21" t="s">
        <v>141</v>
      </c>
      <c r="J155" s="20" t="s">
        <v>141</v>
      </c>
      <c r="K155" s="21" t="s">
        <v>141</v>
      </c>
      <c r="L155" s="20" t="s">
        <v>141</v>
      </c>
      <c r="M155" s="21" t="s">
        <v>141</v>
      </c>
      <c r="N155" s="20" t="s">
        <v>141</v>
      </c>
      <c r="O155" s="21" t="s">
        <v>141</v>
      </c>
      <c r="P155" s="20" t="s">
        <v>141</v>
      </c>
      <c r="Q155" s="21" t="s">
        <v>141</v>
      </c>
      <c r="R155" s="20" t="s">
        <v>141</v>
      </c>
      <c r="S155" s="21" t="s">
        <v>141</v>
      </c>
      <c r="T155" s="20" t="s">
        <v>141</v>
      </c>
      <c r="U155" s="21" t="s">
        <v>141</v>
      </c>
      <c r="V155" s="20" t="s">
        <v>141</v>
      </c>
      <c r="W155" s="21" t="s">
        <v>141</v>
      </c>
      <c r="X155" s="20" t="s">
        <v>141</v>
      </c>
      <c r="Y155" s="21" t="s">
        <v>141</v>
      </c>
      <c r="Z155" s="20" t="s">
        <v>141</v>
      </c>
      <c r="AA155" s="21" t="s">
        <v>141</v>
      </c>
      <c r="AB155" s="20" t="s">
        <v>141</v>
      </c>
      <c r="AC155" s="21" t="s">
        <v>141</v>
      </c>
      <c r="AD155" s="20" t="s">
        <v>141</v>
      </c>
      <c r="AE155" s="21" t="s">
        <v>141</v>
      </c>
      <c r="AF155" s="20" t="s">
        <v>141</v>
      </c>
      <c r="AG155" s="21" t="s">
        <v>141</v>
      </c>
      <c r="AH155" s="20" t="s">
        <v>141</v>
      </c>
      <c r="AI155" s="21" t="s">
        <v>141</v>
      </c>
      <c r="AJ155" s="20" t="s">
        <v>141</v>
      </c>
      <c r="AK155" s="21" t="s">
        <v>141</v>
      </c>
      <c r="AL155" s="20" t="s">
        <v>141</v>
      </c>
      <c r="AM155" s="21" t="s">
        <v>141</v>
      </c>
      <c r="AN155" s="20" t="s">
        <v>141</v>
      </c>
      <c r="AO155" s="21" t="s">
        <v>141</v>
      </c>
      <c r="AP155" s="20" t="s">
        <v>141</v>
      </c>
      <c r="AQ155" s="21" t="s">
        <v>141</v>
      </c>
      <c r="AR155" s="20" t="s">
        <v>141</v>
      </c>
      <c r="AS155" s="21" t="s">
        <v>141</v>
      </c>
      <c r="AT155" s="20" t="s">
        <v>141</v>
      </c>
      <c r="AU155" s="21" t="s">
        <v>141</v>
      </c>
      <c r="AV155" s="20" t="s">
        <v>141</v>
      </c>
      <c r="AW155" s="21" t="s">
        <v>141</v>
      </c>
      <c r="AX155" s="20" t="s">
        <v>141</v>
      </c>
      <c r="AY155" s="21" t="s">
        <v>141</v>
      </c>
    </row>
    <row r="156" spans="2:51">
      <c r="B156" s="2" t="s">
        <v>141</v>
      </c>
      <c r="C156" s="3" t="s">
        <v>141</v>
      </c>
      <c r="D156" s="20" t="s">
        <v>141</v>
      </c>
      <c r="E156" s="21" t="s">
        <v>141</v>
      </c>
      <c r="F156" s="20" t="s">
        <v>141</v>
      </c>
      <c r="G156" s="21" t="s">
        <v>141</v>
      </c>
      <c r="H156" s="20" t="s">
        <v>141</v>
      </c>
      <c r="I156" s="21" t="s">
        <v>141</v>
      </c>
      <c r="J156" s="20" t="s">
        <v>141</v>
      </c>
      <c r="K156" s="21" t="s">
        <v>141</v>
      </c>
      <c r="L156" s="20" t="s">
        <v>141</v>
      </c>
      <c r="M156" s="21" t="s">
        <v>141</v>
      </c>
      <c r="N156" s="20" t="s">
        <v>141</v>
      </c>
      <c r="O156" s="21" t="s">
        <v>141</v>
      </c>
      <c r="P156" s="20" t="s">
        <v>141</v>
      </c>
      <c r="Q156" s="21" t="s">
        <v>141</v>
      </c>
      <c r="R156" s="20" t="s">
        <v>141</v>
      </c>
      <c r="S156" s="21" t="s">
        <v>141</v>
      </c>
      <c r="T156" s="20" t="s">
        <v>141</v>
      </c>
      <c r="U156" s="21" t="s">
        <v>141</v>
      </c>
      <c r="V156" s="20" t="s">
        <v>141</v>
      </c>
      <c r="W156" s="21" t="s">
        <v>141</v>
      </c>
      <c r="X156" s="20" t="s">
        <v>141</v>
      </c>
      <c r="Y156" s="21" t="s">
        <v>141</v>
      </c>
      <c r="Z156" s="20" t="s">
        <v>141</v>
      </c>
      <c r="AA156" s="21" t="s">
        <v>141</v>
      </c>
      <c r="AB156" s="20" t="s">
        <v>141</v>
      </c>
      <c r="AC156" s="21" t="s">
        <v>141</v>
      </c>
      <c r="AD156" s="20" t="s">
        <v>141</v>
      </c>
      <c r="AE156" s="21" t="s">
        <v>141</v>
      </c>
      <c r="AF156" s="20" t="s">
        <v>141</v>
      </c>
      <c r="AG156" s="21" t="s">
        <v>141</v>
      </c>
      <c r="AH156" s="20" t="s">
        <v>141</v>
      </c>
      <c r="AI156" s="21" t="s">
        <v>141</v>
      </c>
      <c r="AJ156" s="20" t="s">
        <v>141</v>
      </c>
      <c r="AK156" s="21" t="s">
        <v>141</v>
      </c>
      <c r="AL156" s="20" t="s">
        <v>141</v>
      </c>
      <c r="AM156" s="21" t="s">
        <v>141</v>
      </c>
      <c r="AN156" s="20" t="s">
        <v>141</v>
      </c>
      <c r="AO156" s="21" t="s">
        <v>141</v>
      </c>
      <c r="AP156" s="20" t="s">
        <v>141</v>
      </c>
      <c r="AQ156" s="21" t="s">
        <v>141</v>
      </c>
      <c r="AR156" s="20" t="s">
        <v>141</v>
      </c>
      <c r="AS156" s="21" t="s">
        <v>141</v>
      </c>
      <c r="AT156" s="20" t="s">
        <v>141</v>
      </c>
      <c r="AU156" s="21" t="s">
        <v>141</v>
      </c>
      <c r="AV156" s="20" t="s">
        <v>141</v>
      </c>
      <c r="AW156" s="21" t="s">
        <v>141</v>
      </c>
      <c r="AX156" s="20" t="s">
        <v>141</v>
      </c>
      <c r="AY156" s="21" t="s">
        <v>141</v>
      </c>
    </row>
    <row r="157" spans="2:51">
      <c r="B157" s="2" t="s">
        <v>141</v>
      </c>
      <c r="C157" s="3" t="s">
        <v>141</v>
      </c>
      <c r="D157" s="20" t="s">
        <v>141</v>
      </c>
      <c r="E157" s="21" t="s">
        <v>141</v>
      </c>
      <c r="F157" s="20" t="s">
        <v>141</v>
      </c>
      <c r="G157" s="21" t="s">
        <v>141</v>
      </c>
      <c r="H157" s="20" t="s">
        <v>141</v>
      </c>
      <c r="I157" s="21" t="s">
        <v>141</v>
      </c>
      <c r="J157" s="20" t="s">
        <v>141</v>
      </c>
      <c r="K157" s="21" t="s">
        <v>141</v>
      </c>
      <c r="L157" s="20" t="s">
        <v>141</v>
      </c>
      <c r="M157" s="21" t="s">
        <v>141</v>
      </c>
      <c r="N157" s="20" t="s">
        <v>141</v>
      </c>
      <c r="O157" s="21" t="s">
        <v>141</v>
      </c>
      <c r="P157" s="20" t="s">
        <v>141</v>
      </c>
      <c r="Q157" s="21" t="s">
        <v>141</v>
      </c>
      <c r="R157" s="20" t="s">
        <v>141</v>
      </c>
      <c r="S157" s="21" t="s">
        <v>141</v>
      </c>
      <c r="T157" s="20" t="s">
        <v>141</v>
      </c>
      <c r="U157" s="21" t="s">
        <v>141</v>
      </c>
      <c r="V157" s="20" t="s">
        <v>141</v>
      </c>
      <c r="W157" s="21" t="s">
        <v>141</v>
      </c>
      <c r="X157" s="20" t="s">
        <v>141</v>
      </c>
      <c r="Y157" s="21" t="s">
        <v>141</v>
      </c>
      <c r="Z157" s="20" t="s">
        <v>141</v>
      </c>
      <c r="AA157" s="21" t="s">
        <v>141</v>
      </c>
      <c r="AB157" s="20" t="s">
        <v>141</v>
      </c>
      <c r="AC157" s="21" t="s">
        <v>141</v>
      </c>
      <c r="AD157" s="20" t="s">
        <v>141</v>
      </c>
      <c r="AE157" s="21" t="s">
        <v>141</v>
      </c>
      <c r="AF157" s="20" t="s">
        <v>141</v>
      </c>
      <c r="AG157" s="21" t="s">
        <v>141</v>
      </c>
      <c r="AH157" s="20" t="s">
        <v>141</v>
      </c>
      <c r="AI157" s="21" t="s">
        <v>141</v>
      </c>
      <c r="AJ157" s="20" t="s">
        <v>141</v>
      </c>
      <c r="AK157" s="21" t="s">
        <v>141</v>
      </c>
      <c r="AL157" s="20" t="s">
        <v>141</v>
      </c>
      <c r="AM157" s="21" t="s">
        <v>141</v>
      </c>
      <c r="AN157" s="20" t="s">
        <v>141</v>
      </c>
      <c r="AO157" s="21" t="s">
        <v>141</v>
      </c>
      <c r="AP157" s="20" t="s">
        <v>141</v>
      </c>
      <c r="AQ157" s="21" t="s">
        <v>141</v>
      </c>
      <c r="AR157" s="20" t="s">
        <v>141</v>
      </c>
      <c r="AS157" s="21" t="s">
        <v>141</v>
      </c>
      <c r="AT157" s="20" t="s">
        <v>141</v>
      </c>
      <c r="AU157" s="21" t="s">
        <v>141</v>
      </c>
      <c r="AV157" s="20" t="s">
        <v>141</v>
      </c>
      <c r="AW157" s="21" t="s">
        <v>141</v>
      </c>
      <c r="AX157" s="20" t="s">
        <v>141</v>
      </c>
      <c r="AY157" s="21" t="s">
        <v>141</v>
      </c>
    </row>
    <row r="158" spans="2:51">
      <c r="B158" s="2" t="s">
        <v>141</v>
      </c>
      <c r="C158" s="3" t="s">
        <v>141</v>
      </c>
      <c r="D158" s="20" t="s">
        <v>141</v>
      </c>
      <c r="E158" s="21" t="s">
        <v>141</v>
      </c>
      <c r="F158" s="20" t="s">
        <v>141</v>
      </c>
      <c r="G158" s="21" t="s">
        <v>141</v>
      </c>
      <c r="H158" s="20" t="s">
        <v>141</v>
      </c>
      <c r="I158" s="21" t="s">
        <v>141</v>
      </c>
      <c r="J158" s="20" t="s">
        <v>141</v>
      </c>
      <c r="K158" s="21" t="s">
        <v>141</v>
      </c>
      <c r="L158" s="20" t="s">
        <v>141</v>
      </c>
      <c r="M158" s="21" t="s">
        <v>141</v>
      </c>
      <c r="N158" s="20" t="s">
        <v>141</v>
      </c>
      <c r="O158" s="21" t="s">
        <v>141</v>
      </c>
      <c r="P158" s="20" t="s">
        <v>141</v>
      </c>
      <c r="Q158" s="21" t="s">
        <v>141</v>
      </c>
      <c r="R158" s="20" t="s">
        <v>141</v>
      </c>
      <c r="S158" s="21" t="s">
        <v>141</v>
      </c>
      <c r="T158" s="20" t="s">
        <v>141</v>
      </c>
      <c r="U158" s="21" t="s">
        <v>141</v>
      </c>
      <c r="V158" s="20" t="s">
        <v>141</v>
      </c>
      <c r="W158" s="21" t="s">
        <v>141</v>
      </c>
      <c r="X158" s="20" t="s">
        <v>141</v>
      </c>
      <c r="Y158" s="21" t="s">
        <v>141</v>
      </c>
      <c r="Z158" s="20" t="s">
        <v>141</v>
      </c>
      <c r="AA158" s="21" t="s">
        <v>141</v>
      </c>
      <c r="AB158" s="20" t="s">
        <v>141</v>
      </c>
      <c r="AC158" s="21" t="s">
        <v>141</v>
      </c>
      <c r="AD158" s="20" t="s">
        <v>141</v>
      </c>
      <c r="AE158" s="21" t="s">
        <v>141</v>
      </c>
      <c r="AF158" s="20" t="s">
        <v>141</v>
      </c>
      <c r="AG158" s="21" t="s">
        <v>141</v>
      </c>
      <c r="AH158" s="20" t="s">
        <v>141</v>
      </c>
      <c r="AI158" s="21" t="s">
        <v>141</v>
      </c>
      <c r="AJ158" s="20" t="s">
        <v>141</v>
      </c>
      <c r="AK158" s="21" t="s">
        <v>141</v>
      </c>
      <c r="AL158" s="20" t="s">
        <v>141</v>
      </c>
      <c r="AM158" s="21" t="s">
        <v>141</v>
      </c>
      <c r="AN158" s="20" t="s">
        <v>141</v>
      </c>
      <c r="AO158" s="21" t="s">
        <v>141</v>
      </c>
      <c r="AP158" s="20" t="s">
        <v>141</v>
      </c>
      <c r="AQ158" s="21" t="s">
        <v>141</v>
      </c>
      <c r="AR158" s="20" t="s">
        <v>141</v>
      </c>
      <c r="AS158" s="21" t="s">
        <v>141</v>
      </c>
      <c r="AT158" s="20" t="s">
        <v>141</v>
      </c>
      <c r="AU158" s="21" t="s">
        <v>141</v>
      </c>
      <c r="AV158" s="20" t="s">
        <v>141</v>
      </c>
      <c r="AW158" s="21" t="s">
        <v>141</v>
      </c>
      <c r="AX158" s="20" t="s">
        <v>141</v>
      </c>
      <c r="AY158" s="21" t="s">
        <v>141</v>
      </c>
    </row>
    <row r="159" spans="2:51">
      <c r="B159" s="2" t="s">
        <v>141</v>
      </c>
      <c r="C159" s="3" t="s">
        <v>141</v>
      </c>
      <c r="D159" s="20" t="s">
        <v>141</v>
      </c>
      <c r="E159" s="21" t="s">
        <v>141</v>
      </c>
      <c r="F159" s="20" t="s">
        <v>141</v>
      </c>
      <c r="G159" s="21" t="s">
        <v>141</v>
      </c>
      <c r="H159" s="20" t="s">
        <v>141</v>
      </c>
      <c r="I159" s="21" t="s">
        <v>141</v>
      </c>
      <c r="J159" s="20" t="s">
        <v>141</v>
      </c>
      <c r="K159" s="21" t="s">
        <v>141</v>
      </c>
      <c r="L159" s="20" t="s">
        <v>141</v>
      </c>
      <c r="M159" s="21" t="s">
        <v>141</v>
      </c>
      <c r="N159" s="20" t="s">
        <v>141</v>
      </c>
      <c r="O159" s="21" t="s">
        <v>141</v>
      </c>
      <c r="P159" s="20" t="s">
        <v>141</v>
      </c>
      <c r="Q159" s="21" t="s">
        <v>141</v>
      </c>
      <c r="R159" s="20" t="s">
        <v>141</v>
      </c>
      <c r="S159" s="21" t="s">
        <v>141</v>
      </c>
      <c r="T159" s="20" t="s">
        <v>141</v>
      </c>
      <c r="U159" s="21" t="s">
        <v>141</v>
      </c>
      <c r="V159" s="20" t="s">
        <v>141</v>
      </c>
      <c r="W159" s="21" t="s">
        <v>141</v>
      </c>
      <c r="X159" s="20" t="s">
        <v>141</v>
      </c>
      <c r="Y159" s="21" t="s">
        <v>141</v>
      </c>
      <c r="Z159" s="20" t="s">
        <v>141</v>
      </c>
      <c r="AA159" s="21" t="s">
        <v>141</v>
      </c>
      <c r="AB159" s="20" t="s">
        <v>141</v>
      </c>
      <c r="AC159" s="21" t="s">
        <v>141</v>
      </c>
      <c r="AD159" s="20" t="s">
        <v>141</v>
      </c>
      <c r="AE159" s="21" t="s">
        <v>141</v>
      </c>
      <c r="AF159" s="20" t="s">
        <v>141</v>
      </c>
      <c r="AG159" s="21" t="s">
        <v>141</v>
      </c>
      <c r="AH159" s="20" t="s">
        <v>141</v>
      </c>
      <c r="AI159" s="21" t="s">
        <v>141</v>
      </c>
      <c r="AJ159" s="20" t="s">
        <v>141</v>
      </c>
      <c r="AK159" s="21" t="s">
        <v>141</v>
      </c>
      <c r="AL159" s="20" t="s">
        <v>141</v>
      </c>
      <c r="AM159" s="21" t="s">
        <v>141</v>
      </c>
      <c r="AN159" s="20" t="s">
        <v>141</v>
      </c>
      <c r="AO159" s="21" t="s">
        <v>141</v>
      </c>
      <c r="AP159" s="20" t="s">
        <v>141</v>
      </c>
      <c r="AQ159" s="21" t="s">
        <v>141</v>
      </c>
      <c r="AR159" s="20" t="s">
        <v>141</v>
      </c>
      <c r="AS159" s="21" t="s">
        <v>141</v>
      </c>
      <c r="AT159" s="20" t="s">
        <v>141</v>
      </c>
      <c r="AU159" s="21" t="s">
        <v>141</v>
      </c>
      <c r="AV159" s="20" t="s">
        <v>141</v>
      </c>
      <c r="AW159" s="21" t="s">
        <v>141</v>
      </c>
      <c r="AX159" s="20" t="s">
        <v>141</v>
      </c>
      <c r="AY159" s="21" t="s">
        <v>141</v>
      </c>
    </row>
    <row r="160" spans="2:51">
      <c r="B160" s="2" t="s">
        <v>141</v>
      </c>
      <c r="C160" s="3" t="s">
        <v>141</v>
      </c>
      <c r="D160" s="20" t="s">
        <v>141</v>
      </c>
      <c r="E160" s="21" t="s">
        <v>141</v>
      </c>
      <c r="F160" s="20" t="s">
        <v>141</v>
      </c>
      <c r="G160" s="21" t="s">
        <v>141</v>
      </c>
      <c r="H160" s="20" t="s">
        <v>141</v>
      </c>
      <c r="I160" s="21" t="s">
        <v>141</v>
      </c>
      <c r="J160" s="20" t="s">
        <v>141</v>
      </c>
      <c r="K160" s="21" t="s">
        <v>141</v>
      </c>
      <c r="L160" s="20" t="s">
        <v>141</v>
      </c>
      <c r="M160" s="21" t="s">
        <v>141</v>
      </c>
      <c r="N160" s="20" t="s">
        <v>141</v>
      </c>
      <c r="O160" s="21" t="s">
        <v>141</v>
      </c>
      <c r="P160" s="20" t="s">
        <v>141</v>
      </c>
      <c r="Q160" s="21" t="s">
        <v>141</v>
      </c>
      <c r="R160" s="20" t="s">
        <v>141</v>
      </c>
      <c r="S160" s="21" t="s">
        <v>141</v>
      </c>
      <c r="T160" s="20" t="s">
        <v>141</v>
      </c>
      <c r="U160" s="21" t="s">
        <v>141</v>
      </c>
      <c r="V160" s="20" t="s">
        <v>141</v>
      </c>
      <c r="W160" s="21" t="s">
        <v>141</v>
      </c>
      <c r="X160" s="20" t="s">
        <v>141</v>
      </c>
      <c r="Y160" s="21" t="s">
        <v>141</v>
      </c>
      <c r="Z160" s="20" t="s">
        <v>141</v>
      </c>
      <c r="AA160" s="21" t="s">
        <v>141</v>
      </c>
      <c r="AB160" s="20" t="s">
        <v>141</v>
      </c>
      <c r="AC160" s="21" t="s">
        <v>141</v>
      </c>
      <c r="AD160" s="20" t="s">
        <v>141</v>
      </c>
      <c r="AE160" s="21" t="s">
        <v>141</v>
      </c>
      <c r="AF160" s="20" t="s">
        <v>141</v>
      </c>
      <c r="AG160" s="21" t="s">
        <v>141</v>
      </c>
      <c r="AH160" s="20" t="s">
        <v>141</v>
      </c>
      <c r="AI160" s="21" t="s">
        <v>141</v>
      </c>
      <c r="AJ160" s="20" t="s">
        <v>141</v>
      </c>
      <c r="AK160" s="21" t="s">
        <v>141</v>
      </c>
      <c r="AL160" s="20" t="s">
        <v>141</v>
      </c>
      <c r="AM160" s="21" t="s">
        <v>141</v>
      </c>
      <c r="AN160" s="20" t="s">
        <v>141</v>
      </c>
      <c r="AO160" s="21" t="s">
        <v>141</v>
      </c>
      <c r="AP160" s="20" t="s">
        <v>141</v>
      </c>
      <c r="AQ160" s="21" t="s">
        <v>141</v>
      </c>
      <c r="AR160" s="20" t="s">
        <v>141</v>
      </c>
      <c r="AS160" s="21" t="s">
        <v>141</v>
      </c>
      <c r="AT160" s="20" t="s">
        <v>141</v>
      </c>
      <c r="AU160" s="21" t="s">
        <v>141</v>
      </c>
      <c r="AV160" s="20" t="s">
        <v>141</v>
      </c>
      <c r="AW160" s="21" t="s">
        <v>141</v>
      </c>
      <c r="AX160" s="20" t="s">
        <v>141</v>
      </c>
      <c r="AY160" s="21" t="s">
        <v>141</v>
      </c>
    </row>
    <row r="161" spans="2:51">
      <c r="B161" s="2" t="s">
        <v>141</v>
      </c>
      <c r="C161" s="3" t="s">
        <v>141</v>
      </c>
      <c r="D161" s="20" t="s">
        <v>141</v>
      </c>
      <c r="E161" s="21" t="s">
        <v>141</v>
      </c>
      <c r="F161" s="20" t="s">
        <v>141</v>
      </c>
      <c r="G161" s="21" t="s">
        <v>141</v>
      </c>
      <c r="H161" s="20" t="s">
        <v>141</v>
      </c>
      <c r="I161" s="21" t="s">
        <v>141</v>
      </c>
      <c r="J161" s="20" t="s">
        <v>141</v>
      </c>
      <c r="K161" s="21" t="s">
        <v>141</v>
      </c>
      <c r="L161" s="20" t="s">
        <v>141</v>
      </c>
      <c r="M161" s="21" t="s">
        <v>141</v>
      </c>
      <c r="N161" s="20" t="s">
        <v>141</v>
      </c>
      <c r="O161" s="21" t="s">
        <v>141</v>
      </c>
      <c r="P161" s="20" t="s">
        <v>141</v>
      </c>
      <c r="Q161" s="21" t="s">
        <v>141</v>
      </c>
      <c r="R161" s="20" t="s">
        <v>141</v>
      </c>
      <c r="S161" s="21" t="s">
        <v>141</v>
      </c>
      <c r="T161" s="20" t="s">
        <v>141</v>
      </c>
      <c r="U161" s="21" t="s">
        <v>141</v>
      </c>
      <c r="V161" s="20" t="s">
        <v>141</v>
      </c>
      <c r="W161" s="21" t="s">
        <v>141</v>
      </c>
      <c r="X161" s="20" t="s">
        <v>141</v>
      </c>
      <c r="Y161" s="21" t="s">
        <v>141</v>
      </c>
      <c r="Z161" s="20" t="s">
        <v>141</v>
      </c>
      <c r="AA161" s="21" t="s">
        <v>141</v>
      </c>
      <c r="AB161" s="20" t="s">
        <v>141</v>
      </c>
      <c r="AC161" s="21" t="s">
        <v>141</v>
      </c>
      <c r="AD161" s="20" t="s">
        <v>141</v>
      </c>
      <c r="AE161" s="21" t="s">
        <v>141</v>
      </c>
      <c r="AF161" s="20" t="s">
        <v>141</v>
      </c>
      <c r="AG161" s="21" t="s">
        <v>141</v>
      </c>
      <c r="AH161" s="20" t="s">
        <v>141</v>
      </c>
      <c r="AI161" s="21" t="s">
        <v>141</v>
      </c>
      <c r="AJ161" s="20" t="s">
        <v>141</v>
      </c>
      <c r="AK161" s="21" t="s">
        <v>141</v>
      </c>
      <c r="AL161" s="20" t="s">
        <v>141</v>
      </c>
      <c r="AM161" s="21" t="s">
        <v>141</v>
      </c>
      <c r="AN161" s="20" t="s">
        <v>141</v>
      </c>
      <c r="AO161" s="21" t="s">
        <v>141</v>
      </c>
      <c r="AP161" s="20" t="s">
        <v>141</v>
      </c>
      <c r="AQ161" s="21" t="s">
        <v>141</v>
      </c>
      <c r="AR161" s="20" t="s">
        <v>141</v>
      </c>
      <c r="AS161" s="21" t="s">
        <v>141</v>
      </c>
      <c r="AT161" s="20" t="s">
        <v>141</v>
      </c>
      <c r="AU161" s="21" t="s">
        <v>141</v>
      </c>
      <c r="AV161" s="20" t="s">
        <v>141</v>
      </c>
      <c r="AW161" s="21" t="s">
        <v>141</v>
      </c>
      <c r="AX161" s="20" t="s">
        <v>141</v>
      </c>
      <c r="AY161" s="21" t="s">
        <v>141</v>
      </c>
    </row>
    <row r="162" spans="2:51">
      <c r="B162" s="2" t="s">
        <v>141</v>
      </c>
      <c r="C162" s="3" t="s">
        <v>141</v>
      </c>
      <c r="D162" s="20" t="s">
        <v>141</v>
      </c>
      <c r="E162" s="21" t="s">
        <v>141</v>
      </c>
      <c r="F162" s="20" t="s">
        <v>141</v>
      </c>
      <c r="G162" s="21" t="s">
        <v>141</v>
      </c>
      <c r="H162" s="20" t="s">
        <v>141</v>
      </c>
      <c r="I162" s="21" t="s">
        <v>141</v>
      </c>
      <c r="J162" s="20" t="s">
        <v>141</v>
      </c>
      <c r="K162" s="21" t="s">
        <v>141</v>
      </c>
      <c r="L162" s="20" t="s">
        <v>141</v>
      </c>
      <c r="M162" s="21" t="s">
        <v>141</v>
      </c>
      <c r="N162" s="20" t="s">
        <v>141</v>
      </c>
      <c r="O162" s="21" t="s">
        <v>141</v>
      </c>
      <c r="P162" s="20" t="s">
        <v>141</v>
      </c>
      <c r="Q162" s="21" t="s">
        <v>141</v>
      </c>
      <c r="R162" s="20" t="s">
        <v>141</v>
      </c>
      <c r="S162" s="21" t="s">
        <v>141</v>
      </c>
      <c r="T162" s="20" t="s">
        <v>141</v>
      </c>
      <c r="U162" s="21" t="s">
        <v>141</v>
      </c>
      <c r="V162" s="20" t="s">
        <v>141</v>
      </c>
      <c r="W162" s="21" t="s">
        <v>141</v>
      </c>
      <c r="X162" s="20" t="s">
        <v>141</v>
      </c>
      <c r="Y162" s="21" t="s">
        <v>141</v>
      </c>
      <c r="Z162" s="20" t="s">
        <v>141</v>
      </c>
      <c r="AA162" s="21" t="s">
        <v>141</v>
      </c>
      <c r="AB162" s="20" t="s">
        <v>141</v>
      </c>
      <c r="AC162" s="21" t="s">
        <v>141</v>
      </c>
      <c r="AD162" s="20" t="s">
        <v>141</v>
      </c>
      <c r="AE162" s="21" t="s">
        <v>141</v>
      </c>
      <c r="AF162" s="20" t="s">
        <v>141</v>
      </c>
      <c r="AG162" s="21" t="s">
        <v>141</v>
      </c>
      <c r="AH162" s="20" t="s">
        <v>141</v>
      </c>
      <c r="AI162" s="21" t="s">
        <v>141</v>
      </c>
      <c r="AJ162" s="20" t="s">
        <v>141</v>
      </c>
      <c r="AK162" s="21" t="s">
        <v>141</v>
      </c>
      <c r="AL162" s="20" t="s">
        <v>141</v>
      </c>
      <c r="AM162" s="21" t="s">
        <v>141</v>
      </c>
      <c r="AN162" s="20" t="s">
        <v>141</v>
      </c>
      <c r="AO162" s="21" t="s">
        <v>141</v>
      </c>
      <c r="AP162" s="20" t="s">
        <v>141</v>
      </c>
      <c r="AQ162" s="21" t="s">
        <v>141</v>
      </c>
      <c r="AR162" s="20" t="s">
        <v>141</v>
      </c>
      <c r="AS162" s="21" t="s">
        <v>141</v>
      </c>
      <c r="AT162" s="20" t="s">
        <v>141</v>
      </c>
      <c r="AU162" s="21" t="s">
        <v>141</v>
      </c>
      <c r="AV162" s="20" t="s">
        <v>141</v>
      </c>
      <c r="AW162" s="21" t="s">
        <v>141</v>
      </c>
      <c r="AX162" s="20" t="s">
        <v>141</v>
      </c>
      <c r="AY162" s="21" t="s">
        <v>141</v>
      </c>
    </row>
    <row r="163" spans="2:51">
      <c r="B163" s="2" t="s">
        <v>141</v>
      </c>
      <c r="C163" s="3" t="s">
        <v>141</v>
      </c>
      <c r="D163" s="20" t="s">
        <v>141</v>
      </c>
      <c r="E163" s="21" t="s">
        <v>141</v>
      </c>
      <c r="F163" s="20" t="s">
        <v>141</v>
      </c>
      <c r="G163" s="21" t="s">
        <v>141</v>
      </c>
      <c r="H163" s="20" t="s">
        <v>141</v>
      </c>
      <c r="I163" s="21" t="s">
        <v>141</v>
      </c>
      <c r="J163" s="20" t="s">
        <v>141</v>
      </c>
      <c r="K163" s="21" t="s">
        <v>141</v>
      </c>
      <c r="L163" s="20" t="s">
        <v>141</v>
      </c>
      <c r="M163" s="21" t="s">
        <v>141</v>
      </c>
      <c r="N163" s="20" t="s">
        <v>141</v>
      </c>
      <c r="O163" s="21" t="s">
        <v>141</v>
      </c>
      <c r="P163" s="20" t="s">
        <v>141</v>
      </c>
      <c r="Q163" s="21" t="s">
        <v>141</v>
      </c>
      <c r="R163" s="20" t="s">
        <v>141</v>
      </c>
      <c r="S163" s="21" t="s">
        <v>141</v>
      </c>
      <c r="T163" s="20" t="s">
        <v>141</v>
      </c>
      <c r="U163" s="21" t="s">
        <v>141</v>
      </c>
      <c r="V163" s="20" t="s">
        <v>141</v>
      </c>
      <c r="W163" s="21" t="s">
        <v>141</v>
      </c>
      <c r="X163" s="20" t="s">
        <v>141</v>
      </c>
      <c r="Y163" s="21" t="s">
        <v>141</v>
      </c>
      <c r="Z163" s="20" t="s">
        <v>141</v>
      </c>
      <c r="AA163" s="21" t="s">
        <v>141</v>
      </c>
      <c r="AB163" s="20" t="s">
        <v>141</v>
      </c>
      <c r="AC163" s="21" t="s">
        <v>141</v>
      </c>
      <c r="AD163" s="20" t="s">
        <v>141</v>
      </c>
      <c r="AE163" s="21" t="s">
        <v>141</v>
      </c>
      <c r="AF163" s="20" t="s">
        <v>141</v>
      </c>
      <c r="AG163" s="21" t="s">
        <v>141</v>
      </c>
      <c r="AH163" s="20" t="s">
        <v>141</v>
      </c>
      <c r="AI163" s="21" t="s">
        <v>141</v>
      </c>
      <c r="AJ163" s="20" t="s">
        <v>141</v>
      </c>
      <c r="AK163" s="21" t="s">
        <v>141</v>
      </c>
      <c r="AL163" s="20" t="s">
        <v>141</v>
      </c>
      <c r="AM163" s="21" t="s">
        <v>141</v>
      </c>
      <c r="AN163" s="20" t="s">
        <v>141</v>
      </c>
      <c r="AO163" s="21" t="s">
        <v>141</v>
      </c>
      <c r="AP163" s="20" t="s">
        <v>141</v>
      </c>
      <c r="AQ163" s="21" t="s">
        <v>141</v>
      </c>
      <c r="AR163" s="20" t="s">
        <v>141</v>
      </c>
      <c r="AS163" s="21" t="s">
        <v>141</v>
      </c>
      <c r="AT163" s="20" t="s">
        <v>141</v>
      </c>
      <c r="AU163" s="21" t="s">
        <v>141</v>
      </c>
      <c r="AV163" s="20" t="s">
        <v>141</v>
      </c>
      <c r="AW163" s="21" t="s">
        <v>141</v>
      </c>
      <c r="AX163" s="20" t="s">
        <v>141</v>
      </c>
      <c r="AY163" s="21" t="s">
        <v>141</v>
      </c>
    </row>
    <row r="164" spans="2:51">
      <c r="B164" s="2" t="s">
        <v>141</v>
      </c>
      <c r="C164" s="3" t="s">
        <v>141</v>
      </c>
      <c r="D164" s="20" t="s">
        <v>141</v>
      </c>
      <c r="E164" s="21" t="s">
        <v>141</v>
      </c>
      <c r="F164" s="20" t="s">
        <v>141</v>
      </c>
      <c r="G164" s="21" t="s">
        <v>141</v>
      </c>
      <c r="H164" s="20" t="s">
        <v>141</v>
      </c>
      <c r="I164" s="21" t="s">
        <v>141</v>
      </c>
      <c r="J164" s="20" t="s">
        <v>141</v>
      </c>
      <c r="K164" s="21" t="s">
        <v>141</v>
      </c>
      <c r="L164" s="20" t="s">
        <v>141</v>
      </c>
      <c r="M164" s="21" t="s">
        <v>141</v>
      </c>
      <c r="N164" s="20" t="s">
        <v>141</v>
      </c>
      <c r="O164" s="21" t="s">
        <v>141</v>
      </c>
      <c r="P164" s="20" t="s">
        <v>141</v>
      </c>
      <c r="Q164" s="21" t="s">
        <v>141</v>
      </c>
      <c r="R164" s="20" t="s">
        <v>141</v>
      </c>
      <c r="S164" s="21" t="s">
        <v>141</v>
      </c>
      <c r="T164" s="20" t="s">
        <v>141</v>
      </c>
      <c r="U164" s="21" t="s">
        <v>141</v>
      </c>
      <c r="V164" s="20" t="s">
        <v>141</v>
      </c>
      <c r="W164" s="21" t="s">
        <v>141</v>
      </c>
      <c r="X164" s="20" t="s">
        <v>141</v>
      </c>
      <c r="Y164" s="21" t="s">
        <v>141</v>
      </c>
      <c r="Z164" s="20" t="s">
        <v>141</v>
      </c>
      <c r="AA164" s="21" t="s">
        <v>141</v>
      </c>
      <c r="AB164" s="20" t="s">
        <v>141</v>
      </c>
      <c r="AC164" s="21" t="s">
        <v>141</v>
      </c>
      <c r="AD164" s="20" t="s">
        <v>141</v>
      </c>
      <c r="AE164" s="21" t="s">
        <v>141</v>
      </c>
      <c r="AF164" s="20" t="s">
        <v>141</v>
      </c>
      <c r="AG164" s="21" t="s">
        <v>141</v>
      </c>
      <c r="AH164" s="20" t="s">
        <v>141</v>
      </c>
      <c r="AI164" s="21" t="s">
        <v>141</v>
      </c>
      <c r="AJ164" s="20" t="s">
        <v>141</v>
      </c>
      <c r="AK164" s="21" t="s">
        <v>141</v>
      </c>
      <c r="AL164" s="20" t="s">
        <v>141</v>
      </c>
      <c r="AM164" s="21" t="s">
        <v>141</v>
      </c>
      <c r="AN164" s="20" t="s">
        <v>141</v>
      </c>
      <c r="AO164" s="21" t="s">
        <v>141</v>
      </c>
      <c r="AP164" s="20" t="s">
        <v>141</v>
      </c>
      <c r="AQ164" s="21" t="s">
        <v>141</v>
      </c>
      <c r="AR164" s="20" t="s">
        <v>141</v>
      </c>
      <c r="AS164" s="21" t="s">
        <v>141</v>
      </c>
      <c r="AT164" s="20" t="s">
        <v>141</v>
      </c>
      <c r="AU164" s="21" t="s">
        <v>141</v>
      </c>
      <c r="AV164" s="20" t="s">
        <v>141</v>
      </c>
      <c r="AW164" s="21" t="s">
        <v>141</v>
      </c>
      <c r="AX164" s="20" t="s">
        <v>141</v>
      </c>
      <c r="AY164" s="21" t="s">
        <v>141</v>
      </c>
    </row>
    <row r="165" spans="2:51">
      <c r="B165" s="2" t="s">
        <v>141</v>
      </c>
      <c r="C165" s="3" t="s">
        <v>141</v>
      </c>
      <c r="D165" s="20" t="s">
        <v>141</v>
      </c>
      <c r="E165" s="21" t="s">
        <v>141</v>
      </c>
      <c r="F165" s="20" t="s">
        <v>141</v>
      </c>
      <c r="G165" s="21" t="s">
        <v>141</v>
      </c>
      <c r="H165" s="20" t="s">
        <v>141</v>
      </c>
      <c r="I165" s="21" t="s">
        <v>141</v>
      </c>
      <c r="J165" s="20" t="s">
        <v>141</v>
      </c>
      <c r="K165" s="21" t="s">
        <v>141</v>
      </c>
      <c r="L165" s="20" t="s">
        <v>141</v>
      </c>
      <c r="M165" s="21" t="s">
        <v>141</v>
      </c>
      <c r="N165" s="20" t="s">
        <v>141</v>
      </c>
      <c r="O165" s="21" t="s">
        <v>141</v>
      </c>
      <c r="P165" s="20" t="s">
        <v>141</v>
      </c>
      <c r="Q165" s="21" t="s">
        <v>141</v>
      </c>
      <c r="R165" s="20" t="s">
        <v>141</v>
      </c>
      <c r="S165" s="21" t="s">
        <v>141</v>
      </c>
      <c r="T165" s="20" t="s">
        <v>141</v>
      </c>
      <c r="U165" s="21" t="s">
        <v>141</v>
      </c>
      <c r="V165" s="20" t="s">
        <v>141</v>
      </c>
      <c r="W165" s="21" t="s">
        <v>141</v>
      </c>
      <c r="X165" s="20" t="s">
        <v>141</v>
      </c>
      <c r="Y165" s="21" t="s">
        <v>141</v>
      </c>
      <c r="Z165" s="20" t="s">
        <v>141</v>
      </c>
      <c r="AA165" s="21" t="s">
        <v>141</v>
      </c>
      <c r="AB165" s="20" t="s">
        <v>141</v>
      </c>
      <c r="AC165" s="21" t="s">
        <v>141</v>
      </c>
      <c r="AD165" s="20" t="s">
        <v>141</v>
      </c>
      <c r="AE165" s="21" t="s">
        <v>141</v>
      </c>
      <c r="AF165" s="20" t="s">
        <v>141</v>
      </c>
      <c r="AG165" s="21" t="s">
        <v>141</v>
      </c>
      <c r="AH165" s="20" t="s">
        <v>141</v>
      </c>
      <c r="AI165" s="21" t="s">
        <v>141</v>
      </c>
      <c r="AJ165" s="20" t="s">
        <v>141</v>
      </c>
      <c r="AK165" s="21" t="s">
        <v>141</v>
      </c>
      <c r="AL165" s="20" t="s">
        <v>141</v>
      </c>
      <c r="AM165" s="21" t="s">
        <v>141</v>
      </c>
      <c r="AN165" s="20" t="s">
        <v>141</v>
      </c>
      <c r="AO165" s="21" t="s">
        <v>141</v>
      </c>
      <c r="AP165" s="20" t="s">
        <v>141</v>
      </c>
      <c r="AQ165" s="21" t="s">
        <v>141</v>
      </c>
      <c r="AR165" s="20" t="s">
        <v>141</v>
      </c>
      <c r="AS165" s="21" t="s">
        <v>141</v>
      </c>
      <c r="AT165" s="20" t="s">
        <v>141</v>
      </c>
      <c r="AU165" s="21" t="s">
        <v>141</v>
      </c>
      <c r="AV165" s="20" t="s">
        <v>141</v>
      </c>
      <c r="AW165" s="21" t="s">
        <v>141</v>
      </c>
      <c r="AX165" s="20" t="s">
        <v>141</v>
      </c>
      <c r="AY165" s="21" t="s">
        <v>141</v>
      </c>
    </row>
    <row r="166" spans="2:51">
      <c r="B166" s="2" t="s">
        <v>141</v>
      </c>
      <c r="C166" s="3" t="s">
        <v>141</v>
      </c>
      <c r="D166" s="20" t="s">
        <v>141</v>
      </c>
      <c r="E166" s="21" t="s">
        <v>141</v>
      </c>
      <c r="F166" s="20" t="s">
        <v>141</v>
      </c>
      <c r="G166" s="21" t="s">
        <v>141</v>
      </c>
      <c r="H166" s="20" t="s">
        <v>141</v>
      </c>
      <c r="I166" s="21" t="s">
        <v>141</v>
      </c>
      <c r="J166" s="20" t="s">
        <v>141</v>
      </c>
      <c r="K166" s="21" t="s">
        <v>141</v>
      </c>
      <c r="L166" s="20" t="s">
        <v>141</v>
      </c>
      <c r="M166" s="21" t="s">
        <v>141</v>
      </c>
      <c r="N166" s="20" t="s">
        <v>141</v>
      </c>
      <c r="O166" s="21" t="s">
        <v>141</v>
      </c>
      <c r="P166" s="20" t="s">
        <v>141</v>
      </c>
      <c r="Q166" s="21" t="s">
        <v>141</v>
      </c>
      <c r="R166" s="20" t="s">
        <v>141</v>
      </c>
      <c r="S166" s="21" t="s">
        <v>141</v>
      </c>
      <c r="T166" s="20" t="s">
        <v>141</v>
      </c>
      <c r="U166" s="21" t="s">
        <v>141</v>
      </c>
      <c r="V166" s="20" t="s">
        <v>141</v>
      </c>
      <c r="W166" s="21" t="s">
        <v>141</v>
      </c>
      <c r="X166" s="20" t="s">
        <v>141</v>
      </c>
      <c r="Y166" s="21" t="s">
        <v>141</v>
      </c>
      <c r="Z166" s="20" t="s">
        <v>141</v>
      </c>
      <c r="AA166" s="21" t="s">
        <v>141</v>
      </c>
      <c r="AB166" s="20" t="s">
        <v>141</v>
      </c>
      <c r="AC166" s="21" t="s">
        <v>141</v>
      </c>
      <c r="AD166" s="20" t="s">
        <v>141</v>
      </c>
      <c r="AE166" s="21" t="s">
        <v>141</v>
      </c>
      <c r="AF166" s="20" t="s">
        <v>141</v>
      </c>
      <c r="AG166" s="21" t="s">
        <v>141</v>
      </c>
      <c r="AH166" s="20" t="s">
        <v>141</v>
      </c>
      <c r="AI166" s="21" t="s">
        <v>141</v>
      </c>
      <c r="AJ166" s="20" t="s">
        <v>141</v>
      </c>
      <c r="AK166" s="21" t="s">
        <v>141</v>
      </c>
      <c r="AL166" s="20" t="s">
        <v>141</v>
      </c>
      <c r="AM166" s="21" t="s">
        <v>141</v>
      </c>
      <c r="AN166" s="20" t="s">
        <v>141</v>
      </c>
      <c r="AO166" s="21" t="s">
        <v>141</v>
      </c>
      <c r="AP166" s="20" t="s">
        <v>141</v>
      </c>
      <c r="AQ166" s="21" t="s">
        <v>141</v>
      </c>
      <c r="AR166" s="20" t="s">
        <v>141</v>
      </c>
      <c r="AS166" s="21" t="s">
        <v>141</v>
      </c>
      <c r="AT166" s="20" t="s">
        <v>141</v>
      </c>
      <c r="AU166" s="21" t="s">
        <v>141</v>
      </c>
      <c r="AV166" s="20" t="s">
        <v>141</v>
      </c>
      <c r="AW166" s="21" t="s">
        <v>141</v>
      </c>
      <c r="AX166" s="20" t="s">
        <v>141</v>
      </c>
      <c r="AY166" s="21" t="s">
        <v>141</v>
      </c>
    </row>
  </sheetData>
  <conditionalFormatting sqref="B2:M2">
    <cfRule type="expression" dxfId="9" priority="1" stopIfTrue="1">
      <formula>A1 &gt; 30</formula>
    </cfRule>
  </conditionalFormatting>
  <hyperlinks>
    <hyperlink ref="A2" location="TOC!A1" display="TOC" xr:uid="{00000000-0004-0000-0300-000000000000}"/>
  </hyperlink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00B0F0"/>
  </sheetPr>
  <dimension ref="A1:BZ165"/>
  <sheetViews>
    <sheetView workbookViewId="0">
      <selection activeCell="C132" sqref="C132"/>
    </sheetView>
  </sheetViews>
  <sheetFormatPr defaultRowHeight="15"/>
  <cols>
    <col min="3" max="3" width="30.140625" bestFit="1" customWidth="1"/>
    <col min="283" max="283" width="30.140625" bestFit="1" customWidth="1"/>
    <col min="539" max="539" width="30.140625" bestFit="1" customWidth="1"/>
    <col min="795" max="795" width="30.140625" bestFit="1" customWidth="1"/>
    <col min="1051" max="1051" width="30.140625" bestFit="1" customWidth="1"/>
    <col min="1307" max="1307" width="30.140625" bestFit="1" customWidth="1"/>
    <col min="1563" max="1563" width="30.140625" bestFit="1" customWidth="1"/>
    <col min="1819" max="1819" width="30.140625" bestFit="1" customWidth="1"/>
    <col min="2075" max="2075" width="30.140625" bestFit="1" customWidth="1"/>
    <col min="2331" max="2331" width="30.140625" bestFit="1" customWidth="1"/>
    <col min="2587" max="2587" width="30.140625" bestFit="1" customWidth="1"/>
    <col min="2843" max="2843" width="30.140625" bestFit="1" customWidth="1"/>
    <col min="3099" max="3099" width="30.140625" bestFit="1" customWidth="1"/>
    <col min="3355" max="3355" width="30.140625" bestFit="1" customWidth="1"/>
    <col min="3611" max="3611" width="30.140625" bestFit="1" customWidth="1"/>
    <col min="3867" max="3867" width="30.140625" bestFit="1" customWidth="1"/>
    <col min="4123" max="4123" width="30.140625" bestFit="1" customWidth="1"/>
    <col min="4379" max="4379" width="30.140625" bestFit="1" customWidth="1"/>
    <col min="4635" max="4635" width="30.140625" bestFit="1" customWidth="1"/>
    <col min="4891" max="4891" width="30.140625" bestFit="1" customWidth="1"/>
    <col min="5147" max="5147" width="30.140625" bestFit="1" customWidth="1"/>
    <col min="5403" max="5403" width="30.140625" bestFit="1" customWidth="1"/>
    <col min="5659" max="5659" width="30.140625" bestFit="1" customWidth="1"/>
    <col min="5915" max="5915" width="30.140625" bestFit="1" customWidth="1"/>
    <col min="6171" max="6171" width="30.140625" bestFit="1" customWidth="1"/>
    <col min="6427" max="6427" width="30.140625" bestFit="1" customWidth="1"/>
    <col min="6683" max="6683" width="30.140625" bestFit="1" customWidth="1"/>
    <col min="6939" max="6939" width="30.140625" bestFit="1" customWidth="1"/>
    <col min="7195" max="7195" width="30.140625" bestFit="1" customWidth="1"/>
    <col min="7451" max="7451" width="30.140625" bestFit="1" customWidth="1"/>
    <col min="7707" max="7707" width="30.140625" bestFit="1" customWidth="1"/>
    <col min="7963" max="7963" width="30.140625" bestFit="1" customWidth="1"/>
    <col min="8219" max="8219" width="30.140625" bestFit="1" customWidth="1"/>
    <col min="8475" max="8475" width="30.140625" bestFit="1" customWidth="1"/>
    <col min="8731" max="8731" width="30.140625" bestFit="1" customWidth="1"/>
    <col min="8987" max="8987" width="30.140625" bestFit="1" customWidth="1"/>
    <col min="9243" max="9243" width="30.140625" bestFit="1" customWidth="1"/>
    <col min="9499" max="9499" width="30.140625" bestFit="1" customWidth="1"/>
    <col min="9755" max="9755" width="30.140625" bestFit="1" customWidth="1"/>
    <col min="10011" max="10011" width="30.140625" bestFit="1" customWidth="1"/>
    <col min="10267" max="10267" width="30.140625" bestFit="1" customWidth="1"/>
    <col min="10523" max="10523" width="30.140625" bestFit="1" customWidth="1"/>
    <col min="10779" max="10779" width="30.140625" bestFit="1" customWidth="1"/>
    <col min="11035" max="11035" width="30.140625" bestFit="1" customWidth="1"/>
    <col min="11291" max="11291" width="30.140625" bestFit="1" customWidth="1"/>
    <col min="11547" max="11547" width="30.140625" bestFit="1" customWidth="1"/>
    <col min="11803" max="11803" width="30.140625" bestFit="1" customWidth="1"/>
    <col min="12059" max="12059" width="30.140625" bestFit="1" customWidth="1"/>
    <col min="12315" max="12315" width="30.140625" bestFit="1" customWidth="1"/>
    <col min="12571" max="12571" width="30.140625" bestFit="1" customWidth="1"/>
    <col min="12827" max="12827" width="30.140625" bestFit="1" customWidth="1"/>
    <col min="13083" max="13083" width="30.140625" bestFit="1" customWidth="1"/>
    <col min="13339" max="13339" width="30.140625" bestFit="1" customWidth="1"/>
    <col min="13595" max="13595" width="30.140625" bestFit="1" customWidth="1"/>
    <col min="13851" max="13851" width="30.140625" bestFit="1" customWidth="1"/>
    <col min="14107" max="14107" width="30.140625" bestFit="1" customWidth="1"/>
    <col min="14363" max="14363" width="30.140625" bestFit="1" customWidth="1"/>
    <col min="14619" max="14619" width="30.140625" bestFit="1" customWidth="1"/>
    <col min="14875" max="14875" width="30.140625" bestFit="1" customWidth="1"/>
    <col min="15131" max="15131" width="30.140625" bestFit="1" customWidth="1"/>
    <col min="15387" max="15387" width="30.140625" bestFit="1" customWidth="1"/>
    <col min="15643" max="15643" width="30.140625" bestFit="1" customWidth="1"/>
    <col min="15899" max="15899" width="30.140625" bestFit="1" customWidth="1"/>
    <col min="16155" max="16155" width="30.140625" bestFit="1" customWidth="1"/>
  </cols>
  <sheetData>
    <row r="1" spans="1:78">
      <c r="B1" s="82" t="s">
        <v>241</v>
      </c>
    </row>
    <row r="2" spans="1:78">
      <c r="A2" s="83"/>
      <c r="D2" s="86">
        <v>45931</v>
      </c>
      <c r="E2" s="122">
        <v>45931</v>
      </c>
      <c r="F2" s="86">
        <v>45962</v>
      </c>
      <c r="G2" s="122">
        <v>45962</v>
      </c>
      <c r="H2" s="86">
        <v>45992</v>
      </c>
      <c r="I2" s="122">
        <v>45992</v>
      </c>
      <c r="J2" s="86">
        <v>46023</v>
      </c>
      <c r="K2" s="122">
        <v>46023</v>
      </c>
      <c r="L2" s="86">
        <v>46054</v>
      </c>
      <c r="M2" s="122">
        <v>46054</v>
      </c>
      <c r="N2" s="86">
        <v>46082</v>
      </c>
      <c r="O2" s="122">
        <v>46082</v>
      </c>
      <c r="P2" s="86">
        <v>46113</v>
      </c>
      <c r="Q2" s="122">
        <v>46113</v>
      </c>
      <c r="R2" s="86">
        <v>46143</v>
      </c>
      <c r="S2" s="122">
        <v>46143</v>
      </c>
      <c r="T2" s="86">
        <v>46174</v>
      </c>
      <c r="U2" s="122">
        <v>46174</v>
      </c>
      <c r="V2" s="86">
        <v>46204</v>
      </c>
      <c r="W2" s="122">
        <v>46204</v>
      </c>
      <c r="X2" s="86">
        <v>46235</v>
      </c>
      <c r="Y2" s="122">
        <v>46235</v>
      </c>
      <c r="Z2" s="86">
        <v>46266</v>
      </c>
      <c r="AA2" s="122">
        <v>46266</v>
      </c>
      <c r="AB2" s="273">
        <v>46296</v>
      </c>
      <c r="AC2" s="273">
        <v>46296</v>
      </c>
      <c r="AD2" s="273">
        <v>46327</v>
      </c>
      <c r="AE2" s="273">
        <v>46327</v>
      </c>
      <c r="AF2" s="273">
        <v>46357</v>
      </c>
      <c r="AG2" s="273">
        <v>46357</v>
      </c>
      <c r="AH2" s="273">
        <v>46388</v>
      </c>
      <c r="AI2" s="273">
        <v>46388</v>
      </c>
      <c r="AJ2" s="273">
        <v>46419</v>
      </c>
      <c r="AK2" s="273">
        <v>46419</v>
      </c>
      <c r="AL2" s="273">
        <v>46447</v>
      </c>
      <c r="AM2" s="273">
        <v>46447</v>
      </c>
      <c r="AN2" s="273">
        <v>46478</v>
      </c>
      <c r="AO2" s="273">
        <v>46478</v>
      </c>
      <c r="AP2" s="273">
        <v>46508</v>
      </c>
      <c r="AQ2" s="273">
        <v>46508</v>
      </c>
      <c r="AR2" s="273">
        <v>46539</v>
      </c>
      <c r="AS2" s="273">
        <v>46539</v>
      </c>
      <c r="AT2" s="273">
        <v>46569</v>
      </c>
      <c r="AU2" s="273">
        <v>46569</v>
      </c>
      <c r="AV2" s="273">
        <v>46600</v>
      </c>
      <c r="AW2" s="273">
        <v>46600</v>
      </c>
      <c r="AX2" s="273">
        <v>46631</v>
      </c>
      <c r="AY2" s="273">
        <v>46631</v>
      </c>
      <c r="AZ2" s="86">
        <v>46661</v>
      </c>
      <c r="BA2" s="122">
        <v>46661</v>
      </c>
      <c r="BB2" s="86">
        <v>46692</v>
      </c>
      <c r="BC2" s="122">
        <v>46692</v>
      </c>
      <c r="BD2" s="86">
        <v>46722</v>
      </c>
      <c r="BE2" s="122">
        <v>46722</v>
      </c>
      <c r="BF2" s="86">
        <v>46753</v>
      </c>
      <c r="BG2" s="122">
        <v>46753</v>
      </c>
      <c r="BH2" s="86">
        <v>46784</v>
      </c>
      <c r="BI2" s="122">
        <v>46784</v>
      </c>
      <c r="BJ2" s="86">
        <v>46813</v>
      </c>
      <c r="BK2" s="122">
        <v>46813</v>
      </c>
      <c r="BL2" s="86">
        <v>46844</v>
      </c>
      <c r="BM2" s="122">
        <v>46844</v>
      </c>
      <c r="BN2" s="86">
        <v>46874</v>
      </c>
      <c r="BO2" s="122">
        <v>46874</v>
      </c>
      <c r="BP2" s="86">
        <v>46905</v>
      </c>
      <c r="BQ2" s="122">
        <v>46905</v>
      </c>
      <c r="BR2" s="86">
        <v>46935</v>
      </c>
      <c r="BS2" s="122">
        <v>46935</v>
      </c>
      <c r="BT2" s="86">
        <v>46966</v>
      </c>
      <c r="BU2" s="122">
        <v>46966</v>
      </c>
      <c r="BV2" s="86">
        <v>46997</v>
      </c>
      <c r="BW2" s="122">
        <v>46997</v>
      </c>
      <c r="BY2" s="67"/>
    </row>
    <row r="3" spans="1:78">
      <c r="B3" s="38" t="s">
        <v>2</v>
      </c>
      <c r="C3" s="38" t="s">
        <v>147</v>
      </c>
      <c r="D3" s="123" t="s">
        <v>143</v>
      </c>
      <c r="E3" s="124" t="s">
        <v>144</v>
      </c>
      <c r="F3" s="123" t="s">
        <v>143</v>
      </c>
      <c r="G3" s="124" t="s">
        <v>144</v>
      </c>
      <c r="H3" s="123" t="s">
        <v>143</v>
      </c>
      <c r="I3" s="124" t="s">
        <v>144</v>
      </c>
      <c r="J3" s="123" t="s">
        <v>143</v>
      </c>
      <c r="K3" s="124" t="s">
        <v>144</v>
      </c>
      <c r="L3" s="123" t="s">
        <v>143</v>
      </c>
      <c r="M3" s="124" t="s">
        <v>144</v>
      </c>
      <c r="N3" s="123" t="s">
        <v>143</v>
      </c>
      <c r="O3" s="124" t="s">
        <v>144</v>
      </c>
      <c r="P3" s="123" t="s">
        <v>143</v>
      </c>
      <c r="Q3" s="124" t="s">
        <v>144</v>
      </c>
      <c r="R3" s="123" t="s">
        <v>143</v>
      </c>
      <c r="S3" s="124" t="s">
        <v>144</v>
      </c>
      <c r="T3" s="123" t="s">
        <v>143</v>
      </c>
      <c r="U3" s="124" t="s">
        <v>144</v>
      </c>
      <c r="V3" s="123" t="s">
        <v>143</v>
      </c>
      <c r="W3" s="124" t="s">
        <v>144</v>
      </c>
      <c r="X3" s="123" t="s">
        <v>143</v>
      </c>
      <c r="Y3" s="124" t="s">
        <v>144</v>
      </c>
      <c r="Z3" s="123" t="s">
        <v>143</v>
      </c>
      <c r="AA3" s="124" t="s">
        <v>144</v>
      </c>
      <c r="AB3" s="274" t="s">
        <v>143</v>
      </c>
      <c r="AC3" s="274" t="s">
        <v>144</v>
      </c>
      <c r="AD3" s="274" t="s">
        <v>143</v>
      </c>
      <c r="AE3" s="274" t="s">
        <v>144</v>
      </c>
      <c r="AF3" s="274" t="s">
        <v>143</v>
      </c>
      <c r="AG3" s="274" t="s">
        <v>144</v>
      </c>
      <c r="AH3" s="274" t="s">
        <v>143</v>
      </c>
      <c r="AI3" s="274" t="s">
        <v>144</v>
      </c>
      <c r="AJ3" s="274" t="s">
        <v>143</v>
      </c>
      <c r="AK3" s="274" t="s">
        <v>144</v>
      </c>
      <c r="AL3" s="274" t="s">
        <v>143</v>
      </c>
      <c r="AM3" s="274" t="s">
        <v>144</v>
      </c>
      <c r="AN3" s="274" t="s">
        <v>143</v>
      </c>
      <c r="AO3" s="274" t="s">
        <v>144</v>
      </c>
      <c r="AP3" s="274" t="s">
        <v>143</v>
      </c>
      <c r="AQ3" s="274" t="s">
        <v>144</v>
      </c>
      <c r="AR3" s="274" t="s">
        <v>143</v>
      </c>
      <c r="AS3" s="274" t="s">
        <v>144</v>
      </c>
      <c r="AT3" s="274" t="s">
        <v>143</v>
      </c>
      <c r="AU3" s="274" t="s">
        <v>144</v>
      </c>
      <c r="AV3" s="274" t="s">
        <v>143</v>
      </c>
      <c r="AW3" s="274" t="s">
        <v>144</v>
      </c>
      <c r="AX3" s="274" t="s">
        <v>143</v>
      </c>
      <c r="AY3" s="274" t="s">
        <v>144</v>
      </c>
      <c r="AZ3" s="123" t="s">
        <v>143</v>
      </c>
      <c r="BA3" s="124" t="s">
        <v>144</v>
      </c>
      <c r="BB3" s="123" t="s">
        <v>143</v>
      </c>
      <c r="BC3" s="124" t="s">
        <v>144</v>
      </c>
      <c r="BD3" s="123" t="s">
        <v>143</v>
      </c>
      <c r="BE3" s="124" t="s">
        <v>144</v>
      </c>
      <c r="BF3" s="123" t="s">
        <v>143</v>
      </c>
      <c r="BG3" s="124" t="s">
        <v>144</v>
      </c>
      <c r="BH3" s="123" t="s">
        <v>143</v>
      </c>
      <c r="BI3" s="124" t="s">
        <v>144</v>
      </c>
      <c r="BJ3" s="123" t="s">
        <v>143</v>
      </c>
      <c r="BK3" s="124" t="s">
        <v>144</v>
      </c>
      <c r="BL3" s="123" t="s">
        <v>143</v>
      </c>
      <c r="BM3" s="124" t="s">
        <v>144</v>
      </c>
      <c r="BN3" s="123" t="s">
        <v>143</v>
      </c>
      <c r="BO3" s="124" t="s">
        <v>144</v>
      </c>
      <c r="BP3" s="123" t="s">
        <v>143</v>
      </c>
      <c r="BQ3" s="124" t="s">
        <v>144</v>
      </c>
      <c r="BR3" s="123" t="s">
        <v>143</v>
      </c>
      <c r="BS3" s="124" t="s">
        <v>144</v>
      </c>
      <c r="BT3" s="123" t="s">
        <v>143</v>
      </c>
      <c r="BU3" s="124" t="s">
        <v>144</v>
      </c>
      <c r="BV3" s="123" t="s">
        <v>143</v>
      </c>
      <c r="BW3" s="124" t="s">
        <v>144</v>
      </c>
      <c r="BY3" s="65"/>
      <c r="BZ3" s="68"/>
    </row>
    <row r="4" spans="1:78">
      <c r="B4">
        <v>10015</v>
      </c>
      <c r="C4" t="s">
        <v>8</v>
      </c>
      <c r="D4" s="37">
        <v>22.218330096847353</v>
      </c>
      <c r="E4" s="37">
        <v>64.139316078547267</v>
      </c>
      <c r="F4" s="37">
        <v>-90.875655444925457</v>
      </c>
      <c r="G4" s="37">
        <v>-46.681040938493297</v>
      </c>
      <c r="H4" s="37">
        <v>-142.04716037295395</v>
      </c>
      <c r="I4" s="37">
        <v>-42.821635626251378</v>
      </c>
      <c r="J4" s="37">
        <v>-134.29404225803145</v>
      </c>
      <c r="K4" s="37">
        <v>-73.069068713480675</v>
      </c>
      <c r="L4" s="37">
        <v>-108.38043785800971</v>
      </c>
      <c r="M4" s="37">
        <v>-32.437155059131086</v>
      </c>
      <c r="N4" s="37">
        <v>-97.746275834730426</v>
      </c>
      <c r="O4" s="37">
        <v>-42.036557341964183</v>
      </c>
      <c r="P4" s="37">
        <v>26.073779275338183</v>
      </c>
      <c r="Q4" s="37">
        <v>19.360720977568207</v>
      </c>
      <c r="R4" s="37">
        <v>57.21513931670512</v>
      </c>
      <c r="S4" s="37">
        <v>133.51551764340678</v>
      </c>
      <c r="T4" s="37">
        <v>136.96427438440941</v>
      </c>
      <c r="U4" s="37">
        <v>219.53461417266578</v>
      </c>
      <c r="V4" s="37">
        <v>336.01867961121758</v>
      </c>
      <c r="W4" s="37">
        <v>385.47396158232505</v>
      </c>
      <c r="X4" s="37">
        <v>293.75270474039371</v>
      </c>
      <c r="Y4" s="37">
        <v>342.77025521122175</v>
      </c>
      <c r="Z4" s="37">
        <v>139.09798727551825</v>
      </c>
      <c r="AA4" s="37">
        <v>247.76539537783384</v>
      </c>
      <c r="AB4" s="37">
        <v>22.218330096847353</v>
      </c>
      <c r="AC4" s="37">
        <v>64.139316078547267</v>
      </c>
      <c r="AD4" s="37">
        <v>-90.875655444925457</v>
      </c>
      <c r="AE4" s="37">
        <v>-46.681040938493297</v>
      </c>
      <c r="AF4" s="37">
        <v>-142.04716037295395</v>
      </c>
      <c r="AG4" s="37">
        <v>-42.821635626251378</v>
      </c>
      <c r="AH4" s="37">
        <v>-134.29404225803145</v>
      </c>
      <c r="AI4" s="37">
        <v>-73.069068713480675</v>
      </c>
      <c r="AJ4" s="37">
        <v>-108.38043785800971</v>
      </c>
      <c r="AK4" s="37">
        <v>-32.437155059131086</v>
      </c>
      <c r="AL4" s="37">
        <v>-97.746275834730426</v>
      </c>
      <c r="AM4" s="37">
        <v>-42.036557341964183</v>
      </c>
      <c r="AN4" s="37">
        <v>26.073779275338183</v>
      </c>
      <c r="AO4" s="37">
        <v>19.360720977568207</v>
      </c>
      <c r="AP4" s="37">
        <v>57.21513931670512</v>
      </c>
      <c r="AQ4" s="37">
        <v>133.51551764340678</v>
      </c>
      <c r="AR4" s="37">
        <v>136.96427438440941</v>
      </c>
      <c r="AS4" s="37">
        <v>219.53461417266578</v>
      </c>
      <c r="AT4" s="37">
        <v>336.01867961121758</v>
      </c>
      <c r="AU4" s="37">
        <v>385.47396158232505</v>
      </c>
      <c r="AV4" s="37">
        <v>293.75270474039371</v>
      </c>
      <c r="AW4" s="37">
        <v>342.77025521122175</v>
      </c>
      <c r="AX4" s="37">
        <v>139.09798727551825</v>
      </c>
      <c r="AY4" s="37">
        <v>247.76539537783384</v>
      </c>
      <c r="AZ4" s="37">
        <v>22.218330096847353</v>
      </c>
      <c r="BA4" s="37">
        <v>64.139316078547267</v>
      </c>
      <c r="BB4" s="37">
        <v>-90.875655444925457</v>
      </c>
      <c r="BC4" s="37">
        <v>-46.681040938493297</v>
      </c>
      <c r="BD4" s="37">
        <v>-142.04716037295395</v>
      </c>
      <c r="BE4" s="37">
        <v>-42.821635626251378</v>
      </c>
      <c r="BF4" s="37">
        <v>-134.29404225803145</v>
      </c>
      <c r="BG4" s="37">
        <v>-73.069068713480675</v>
      </c>
      <c r="BH4" s="37">
        <v>-112.33716781640967</v>
      </c>
      <c r="BI4" s="37">
        <v>-33.025520038331095</v>
      </c>
      <c r="BJ4" s="37">
        <v>-97.746275834730426</v>
      </c>
      <c r="BK4" s="37">
        <v>-42.036557341964183</v>
      </c>
      <c r="BL4" s="37">
        <v>26.073779275338183</v>
      </c>
      <c r="BM4" s="37">
        <v>19.360720977568207</v>
      </c>
      <c r="BN4" s="37">
        <v>57.21513931670512</v>
      </c>
      <c r="BO4" s="37">
        <v>133.51551764340678</v>
      </c>
      <c r="BP4" s="37">
        <v>136.96427438440941</v>
      </c>
      <c r="BQ4" s="37">
        <v>219.53461417266578</v>
      </c>
      <c r="BR4" s="37">
        <v>336.01867961121758</v>
      </c>
      <c r="BS4" s="37">
        <v>385.47396158232505</v>
      </c>
      <c r="BT4" s="37">
        <v>293.75270474039371</v>
      </c>
      <c r="BU4" s="37">
        <v>342.77025521122175</v>
      </c>
      <c r="BV4" s="37">
        <v>139.09798727551825</v>
      </c>
      <c r="BW4" s="37">
        <v>247.76539537783384</v>
      </c>
      <c r="BY4" s="66"/>
      <c r="BZ4" s="66"/>
    </row>
    <row r="5" spans="1:78">
      <c r="B5">
        <v>10024</v>
      </c>
      <c r="C5" t="s">
        <v>9</v>
      </c>
      <c r="D5" s="37">
        <v>-955.13203276133572</v>
      </c>
      <c r="E5" s="37">
        <v>610.80707247560349</v>
      </c>
      <c r="F5" s="37">
        <v>-22984.094242623381</v>
      </c>
      <c r="G5" s="37">
        <v>-10788.142915414282</v>
      </c>
      <c r="H5" s="37">
        <v>-27614.87003478824</v>
      </c>
      <c r="I5" s="37">
        <v>-1246.3892571059914</v>
      </c>
      <c r="J5" s="37">
        <v>-34954.23361253769</v>
      </c>
      <c r="K5" s="37">
        <v>-9497.8787242007675</v>
      </c>
      <c r="L5" s="37">
        <v>-17984.760049658653</v>
      </c>
      <c r="M5" s="37">
        <v>-1579.0217609019237</v>
      </c>
      <c r="N5" s="37">
        <v>-30270.444762300409</v>
      </c>
      <c r="O5" s="37">
        <v>-7445.7898612346762</v>
      </c>
      <c r="P5" s="37">
        <v>-868.61131842012401</v>
      </c>
      <c r="Q5" s="37">
        <v>-860.30719465146831</v>
      </c>
      <c r="R5" s="37">
        <v>-5239.5769627574482</v>
      </c>
      <c r="S5" s="37">
        <v>724.20121483287949</v>
      </c>
      <c r="T5" s="37">
        <v>13603.940074815444</v>
      </c>
      <c r="U5" s="37">
        <v>16343.455098305865</v>
      </c>
      <c r="V5" s="37">
        <v>43011.537535730109</v>
      </c>
      <c r="W5" s="37">
        <v>37377.227954677917</v>
      </c>
      <c r="X5" s="37">
        <v>23681.206539045277</v>
      </c>
      <c r="Y5" s="37">
        <v>23081.807466727179</v>
      </c>
      <c r="Z5" s="37">
        <v>6041.3450729138276</v>
      </c>
      <c r="AA5" s="37">
        <v>7810.0891832513735</v>
      </c>
      <c r="AB5" s="37">
        <v>-882.88003276134259</v>
      </c>
      <c r="AC5" s="37">
        <v>619.44407247560594</v>
      </c>
      <c r="AD5" s="37">
        <v>-22966.238242623382</v>
      </c>
      <c r="AE5" s="37">
        <v>-10826.917915414277</v>
      </c>
      <c r="AF5" s="37">
        <v>-27932.930034788238</v>
      </c>
      <c r="AG5" s="37">
        <v>-1500.0822571059834</v>
      </c>
      <c r="AH5" s="37">
        <v>-35018.590612537693</v>
      </c>
      <c r="AI5" s="37">
        <v>-9911.0867242007735</v>
      </c>
      <c r="AJ5" s="37">
        <v>-17993.819049658647</v>
      </c>
      <c r="AK5" s="37">
        <v>-1605.0277609019249</v>
      </c>
      <c r="AL5" s="37">
        <v>-30425.325762300417</v>
      </c>
      <c r="AM5" s="37">
        <v>-7268.2468612346784</v>
      </c>
      <c r="AN5" s="37">
        <v>-773.00031842011958</v>
      </c>
      <c r="AO5" s="37">
        <v>-839.33019465146936</v>
      </c>
      <c r="AP5" s="37">
        <v>-5118.3869627574604</v>
      </c>
      <c r="AQ5" s="37">
        <v>754.25721483288362</v>
      </c>
      <c r="AR5" s="37">
        <v>13758.832074815451</v>
      </c>
      <c r="AS5" s="37">
        <v>16395.799098305848</v>
      </c>
      <c r="AT5" s="37">
        <v>43191.735535730113</v>
      </c>
      <c r="AU5" s="37">
        <v>37456.776954677931</v>
      </c>
      <c r="AV5" s="37">
        <v>23836.466539045286</v>
      </c>
      <c r="AW5" s="37">
        <v>23106.232466727182</v>
      </c>
      <c r="AX5" s="37">
        <v>6126.020072913816</v>
      </c>
      <c r="AY5" s="37">
        <v>7819.1971832513736</v>
      </c>
      <c r="AZ5" s="37">
        <v>-296.66603276133537</v>
      </c>
      <c r="BA5" s="37">
        <v>659.7780724756085</v>
      </c>
      <c r="BB5" s="37">
        <v>-22870.873242623376</v>
      </c>
      <c r="BC5" s="37">
        <v>-10425.912915414279</v>
      </c>
      <c r="BD5" s="37">
        <v>-27961.935034788243</v>
      </c>
      <c r="BE5" s="37">
        <v>-1525.2712571059892</v>
      </c>
      <c r="BF5" s="37">
        <v>-35280.849612537699</v>
      </c>
      <c r="BG5" s="37">
        <v>-10111.552724200767</v>
      </c>
      <c r="BH5" s="37">
        <v>-19369.752171143453</v>
      </c>
      <c r="BI5" s="37">
        <v>-1899.9343216443231</v>
      </c>
      <c r="BJ5" s="37">
        <v>-30428.27976230043</v>
      </c>
      <c r="BK5" s="37">
        <v>-7274.2098612346745</v>
      </c>
      <c r="BL5" s="37">
        <v>-518.74331842013635</v>
      </c>
      <c r="BM5" s="37">
        <v>-1014.338194651471</v>
      </c>
      <c r="BN5" s="37">
        <v>-5244.3689627574495</v>
      </c>
      <c r="BO5" s="37">
        <v>1019.2182148328793</v>
      </c>
      <c r="BP5" s="37">
        <v>13900.921074815444</v>
      </c>
      <c r="BQ5" s="37">
        <v>16474.834098305852</v>
      </c>
      <c r="BR5" s="37">
        <v>43601.640535730112</v>
      </c>
      <c r="BS5" s="37">
        <v>37382.193954677932</v>
      </c>
      <c r="BT5" s="37">
        <v>23789.543539045277</v>
      </c>
      <c r="BU5" s="37">
        <v>23384.727466727178</v>
      </c>
      <c r="BV5" s="37">
        <v>6170.4010729138245</v>
      </c>
      <c r="BW5" s="37">
        <v>7839.5341832513732</v>
      </c>
      <c r="BY5" s="66"/>
      <c r="BZ5" s="66"/>
    </row>
    <row r="6" spans="1:78">
      <c r="B6">
        <v>10025</v>
      </c>
      <c r="C6" t="s">
        <v>10</v>
      </c>
      <c r="D6" s="37">
        <v>2970.163543736111</v>
      </c>
      <c r="E6" s="37">
        <v>2481.6730965483148</v>
      </c>
      <c r="F6" s="37">
        <v>-7134.5661702473226</v>
      </c>
      <c r="G6" s="37">
        <v>-1085.0202230627583</v>
      </c>
      <c r="H6" s="37">
        <v>-4638.2631861534137</v>
      </c>
      <c r="I6" s="37">
        <v>1614.9388280980747</v>
      </c>
      <c r="J6" s="37">
        <v>-7333.4566483908202</v>
      </c>
      <c r="K6" s="37">
        <v>-615.52017891667856</v>
      </c>
      <c r="L6" s="37">
        <v>-7907.1193329314119</v>
      </c>
      <c r="M6" s="37">
        <v>-1967.2847028085544</v>
      </c>
      <c r="N6" s="37">
        <v>-11021.157635344312</v>
      </c>
      <c r="O6" s="37">
        <v>-1914.8786410678531</v>
      </c>
      <c r="P6" s="37">
        <v>-81.23438512316352</v>
      </c>
      <c r="Q6" s="37">
        <v>613.88408012906439</v>
      </c>
      <c r="R6" s="37">
        <v>-2978.1114038777378</v>
      </c>
      <c r="S6" s="37">
        <v>470.22501486237161</v>
      </c>
      <c r="T6" s="37">
        <v>341.02374075786429</v>
      </c>
      <c r="U6" s="37">
        <v>2485.5617228382325</v>
      </c>
      <c r="V6" s="37">
        <v>8132.4270490486888</v>
      </c>
      <c r="W6" s="37">
        <v>7455.060029094906</v>
      </c>
      <c r="X6" s="37">
        <v>3801.4546264528944</v>
      </c>
      <c r="Y6" s="37">
        <v>6851.2862306855859</v>
      </c>
      <c r="Z6" s="37">
        <v>4695.3728991122953</v>
      </c>
      <c r="AA6" s="37">
        <v>4764.6232205645592</v>
      </c>
      <c r="AB6" s="37">
        <v>3048.4375437361086</v>
      </c>
      <c r="AC6" s="37">
        <v>2512.1340965483141</v>
      </c>
      <c r="AD6" s="37">
        <v>-7115.8621702473247</v>
      </c>
      <c r="AE6" s="37">
        <v>-1077.5922230627584</v>
      </c>
      <c r="AF6" s="37">
        <v>-4747.5401861534119</v>
      </c>
      <c r="AG6" s="37">
        <v>1518.0808280980746</v>
      </c>
      <c r="AH6" s="37">
        <v>-8612.8096483908193</v>
      </c>
      <c r="AI6" s="37">
        <v>409.03482108331809</v>
      </c>
      <c r="AJ6" s="37">
        <v>-7958.7093329314121</v>
      </c>
      <c r="AK6" s="37">
        <v>-2013.3117028085562</v>
      </c>
      <c r="AL6" s="37">
        <v>-10191.974635344315</v>
      </c>
      <c r="AM6" s="37">
        <v>-2801.4066410678515</v>
      </c>
      <c r="AN6" s="37">
        <v>-57.67538512316969</v>
      </c>
      <c r="AO6" s="37">
        <v>613.05608012906305</v>
      </c>
      <c r="AP6" s="37">
        <v>-2919.0374038777409</v>
      </c>
      <c r="AQ6" s="37">
        <v>491.01601486236905</v>
      </c>
      <c r="AR6" s="37">
        <v>443.31274075785768</v>
      </c>
      <c r="AS6" s="37">
        <v>2521.1517228382327</v>
      </c>
      <c r="AT6" s="37">
        <v>8250.7590490486909</v>
      </c>
      <c r="AU6" s="37">
        <v>7503.9830290949085</v>
      </c>
      <c r="AV6" s="37">
        <v>3875.7826264528885</v>
      </c>
      <c r="AW6" s="37">
        <v>6870.2562306855871</v>
      </c>
      <c r="AX6" s="37">
        <v>4696.6988991122962</v>
      </c>
      <c r="AY6" s="37">
        <v>4739.739220564561</v>
      </c>
      <c r="AZ6" s="37">
        <v>2069.8505437361091</v>
      </c>
      <c r="BA6" s="37">
        <v>3550.4050965483166</v>
      </c>
      <c r="BB6" s="37">
        <v>-6196.4491702473242</v>
      </c>
      <c r="BC6" s="37">
        <v>-2061.6322230627557</v>
      </c>
      <c r="BD6" s="37">
        <v>-4935.289186153419</v>
      </c>
      <c r="BE6" s="37">
        <v>1369.7908280980737</v>
      </c>
      <c r="BF6" s="37">
        <v>-8627.5386483908187</v>
      </c>
      <c r="BG6" s="37">
        <v>388.57182108332199</v>
      </c>
      <c r="BH6" s="37">
        <v>-8238.0134844450113</v>
      </c>
      <c r="BI6" s="37">
        <v>-2244.9302785653545</v>
      </c>
      <c r="BJ6" s="37">
        <v>-10157.804635344313</v>
      </c>
      <c r="BK6" s="37">
        <v>-2785.587641067852</v>
      </c>
      <c r="BL6" s="37">
        <v>-965.33038512316853</v>
      </c>
      <c r="BM6" s="37">
        <v>1600.1890801290647</v>
      </c>
      <c r="BN6" s="37">
        <v>-1735.7904038777415</v>
      </c>
      <c r="BO6" s="37">
        <v>-596.90498513763305</v>
      </c>
      <c r="BP6" s="37">
        <v>523.93574075785364</v>
      </c>
      <c r="BQ6" s="37">
        <v>2551.9177228382323</v>
      </c>
      <c r="BR6" s="37">
        <v>6929.2420490486838</v>
      </c>
      <c r="BS6" s="37">
        <v>9038.3450290949058</v>
      </c>
      <c r="BT6" s="37">
        <v>5376.1006264528878</v>
      </c>
      <c r="BU6" s="37">
        <v>5573.322230685586</v>
      </c>
      <c r="BV6" s="37">
        <v>4789.2678991122921</v>
      </c>
      <c r="BW6" s="37">
        <v>4786.9222205645583</v>
      </c>
      <c r="BY6" s="66"/>
      <c r="BZ6" s="66"/>
    </row>
    <row r="7" spans="1:78">
      <c r="B7">
        <v>10027</v>
      </c>
      <c r="C7" t="s">
        <v>11</v>
      </c>
      <c r="D7" s="37">
        <v>-163.76033355421896</v>
      </c>
      <c r="E7" s="37">
        <v>1864.6195339947717</v>
      </c>
      <c r="F7" s="37">
        <v>-13338.927757649946</v>
      </c>
      <c r="G7" s="37">
        <v>-7692.2895628133319</v>
      </c>
      <c r="H7" s="37">
        <v>-17414.525856313117</v>
      </c>
      <c r="I7" s="37">
        <v>-6589.6880326711271</v>
      </c>
      <c r="J7" s="37">
        <v>-18876.847419009271</v>
      </c>
      <c r="K7" s="37">
        <v>-8335.9220584449631</v>
      </c>
      <c r="L7" s="37">
        <v>-15729.830163706947</v>
      </c>
      <c r="M7" s="37">
        <v>-7215.6073242782277</v>
      </c>
      <c r="N7" s="37">
        <v>-17952.538890069929</v>
      </c>
      <c r="O7" s="37">
        <v>-7962.0347038626824</v>
      </c>
      <c r="P7" s="37">
        <v>-540.01432501632007</v>
      </c>
      <c r="Q7" s="37">
        <v>808.74086491022172</v>
      </c>
      <c r="R7" s="37">
        <v>6897.4689821525171</v>
      </c>
      <c r="S7" s="37">
        <v>8130.3972215173417</v>
      </c>
      <c r="T7" s="37">
        <v>14501.467649241295</v>
      </c>
      <c r="U7" s="37">
        <v>15221.783064425497</v>
      </c>
      <c r="V7" s="37">
        <v>19925.4884461373</v>
      </c>
      <c r="W7" s="37">
        <v>20157.64434386736</v>
      </c>
      <c r="X7" s="37">
        <v>9885.6746079693839</v>
      </c>
      <c r="Y7" s="37">
        <v>11685.964846527413</v>
      </c>
      <c r="Z7" s="37">
        <v>5137.3045399683942</v>
      </c>
      <c r="AA7" s="37">
        <v>7598.2661434281999</v>
      </c>
      <c r="AB7" s="37">
        <v>-238.09333355421768</v>
      </c>
      <c r="AC7" s="37">
        <v>1789.7995339947756</v>
      </c>
      <c r="AD7" s="37">
        <v>-13502.459757649947</v>
      </c>
      <c r="AE7" s="37">
        <v>-7884.6245628133311</v>
      </c>
      <c r="AF7" s="37">
        <v>-17583.768856313116</v>
      </c>
      <c r="AG7" s="37">
        <v>-6741.5830326711275</v>
      </c>
      <c r="AH7" s="37">
        <v>-18852.514419009269</v>
      </c>
      <c r="AI7" s="37">
        <v>-8687.466058444963</v>
      </c>
      <c r="AJ7" s="37">
        <v>-15933.747163706947</v>
      </c>
      <c r="AK7" s="37">
        <v>-7384.4313242782282</v>
      </c>
      <c r="AL7" s="37">
        <v>-18369.910890069925</v>
      </c>
      <c r="AM7" s="37">
        <v>-7976.7337038626829</v>
      </c>
      <c r="AN7" s="37">
        <v>-593.8713250163164</v>
      </c>
      <c r="AO7" s="37">
        <v>737.52486491022319</v>
      </c>
      <c r="AP7" s="37">
        <v>7111.4869821525135</v>
      </c>
      <c r="AQ7" s="37">
        <v>8234.0382215173413</v>
      </c>
      <c r="AR7" s="37">
        <v>14889.476649241293</v>
      </c>
      <c r="AS7" s="37">
        <v>15465.773064425495</v>
      </c>
      <c r="AT7" s="37">
        <v>20333.653446137301</v>
      </c>
      <c r="AU7" s="37">
        <v>20445.037343867356</v>
      </c>
      <c r="AV7" s="37">
        <v>10149.304607969381</v>
      </c>
      <c r="AW7" s="37">
        <v>11800.243846527412</v>
      </c>
      <c r="AX7" s="37">
        <v>5182.790539968395</v>
      </c>
      <c r="AY7" s="37">
        <v>7612.9111434282004</v>
      </c>
      <c r="AZ7" s="37">
        <v>-47.543333554218407</v>
      </c>
      <c r="BA7" s="37">
        <v>1537.0965339947725</v>
      </c>
      <c r="BB7" s="37">
        <v>-13847.321757649948</v>
      </c>
      <c r="BC7" s="37">
        <v>-7825.4795628133324</v>
      </c>
      <c r="BD7" s="37">
        <v>-17712.080856313114</v>
      </c>
      <c r="BE7" s="37">
        <v>-6859.0640326711273</v>
      </c>
      <c r="BF7" s="37">
        <v>-18966.905419009272</v>
      </c>
      <c r="BG7" s="37">
        <v>-8825.3540584449638</v>
      </c>
      <c r="BH7" s="37">
        <v>-16925.442055047752</v>
      </c>
      <c r="BI7" s="37">
        <v>-7845.4027699486251</v>
      </c>
      <c r="BJ7" s="37">
        <v>-18573.373890069928</v>
      </c>
      <c r="BK7" s="37">
        <v>-8137.801703862684</v>
      </c>
      <c r="BL7" s="37">
        <v>-384.37332501631681</v>
      </c>
      <c r="BM7" s="37">
        <v>488.45786491022045</v>
      </c>
      <c r="BN7" s="37">
        <v>7172.8179821525191</v>
      </c>
      <c r="BO7" s="37">
        <v>8608.9802215173404</v>
      </c>
      <c r="BP7" s="37">
        <v>15356.367649241296</v>
      </c>
      <c r="BQ7" s="37">
        <v>15767.661064425505</v>
      </c>
      <c r="BR7" s="37">
        <v>21037.6854461373</v>
      </c>
      <c r="BS7" s="37">
        <v>20580.779343867354</v>
      </c>
      <c r="BT7" s="37">
        <v>10265.070607969385</v>
      </c>
      <c r="BU7" s="37">
        <v>12185.086846527412</v>
      </c>
      <c r="BV7" s="37">
        <v>5282.1545399683928</v>
      </c>
      <c r="BW7" s="37">
        <v>7671.7201434281978</v>
      </c>
      <c r="BY7" s="66"/>
      <c r="BZ7" s="66"/>
    </row>
    <row r="8" spans="1:78">
      <c r="B8">
        <v>10029</v>
      </c>
      <c r="C8" t="s">
        <v>12</v>
      </c>
      <c r="D8" s="37">
        <v>0</v>
      </c>
      <c r="E8" s="37">
        <v>0</v>
      </c>
      <c r="F8" s="37">
        <v>0</v>
      </c>
      <c r="G8" s="37">
        <v>0</v>
      </c>
      <c r="H8" s="37">
        <v>0</v>
      </c>
      <c r="I8" s="37">
        <v>0</v>
      </c>
      <c r="J8" s="37">
        <v>0</v>
      </c>
      <c r="K8" s="37">
        <v>0</v>
      </c>
      <c r="L8" s="37">
        <v>0</v>
      </c>
      <c r="M8" s="37">
        <v>0</v>
      </c>
      <c r="N8" s="37">
        <v>0</v>
      </c>
      <c r="O8" s="37">
        <v>0</v>
      </c>
      <c r="P8" s="37">
        <v>0</v>
      </c>
      <c r="Q8" s="37">
        <v>0</v>
      </c>
      <c r="R8" s="37">
        <v>0</v>
      </c>
      <c r="S8" s="37">
        <v>0</v>
      </c>
      <c r="T8" s="37">
        <v>0</v>
      </c>
      <c r="U8" s="37">
        <v>0</v>
      </c>
      <c r="V8" s="37">
        <v>0</v>
      </c>
      <c r="W8" s="37">
        <v>0</v>
      </c>
      <c r="X8" s="37">
        <v>0</v>
      </c>
      <c r="Y8" s="37">
        <v>0</v>
      </c>
      <c r="Z8" s="37">
        <v>0</v>
      </c>
      <c r="AA8" s="37">
        <v>0</v>
      </c>
      <c r="AB8" s="37">
        <v>0</v>
      </c>
      <c r="AC8" s="37">
        <v>0</v>
      </c>
      <c r="AD8" s="37">
        <v>0</v>
      </c>
      <c r="AE8" s="37">
        <v>0</v>
      </c>
      <c r="AF8" s="37">
        <v>0</v>
      </c>
      <c r="AG8" s="37">
        <v>0</v>
      </c>
      <c r="AH8" s="37">
        <v>0</v>
      </c>
      <c r="AI8" s="37">
        <v>0</v>
      </c>
      <c r="AJ8" s="37">
        <v>0</v>
      </c>
      <c r="AK8" s="37">
        <v>0</v>
      </c>
      <c r="AL8" s="37">
        <v>0</v>
      </c>
      <c r="AM8" s="37">
        <v>0</v>
      </c>
      <c r="AN8" s="37">
        <v>0</v>
      </c>
      <c r="AO8" s="37">
        <v>0</v>
      </c>
      <c r="AP8" s="37">
        <v>0</v>
      </c>
      <c r="AQ8" s="37">
        <v>0</v>
      </c>
      <c r="AR8" s="37">
        <v>0</v>
      </c>
      <c r="AS8" s="37">
        <v>0</v>
      </c>
      <c r="AT8" s="37">
        <v>0</v>
      </c>
      <c r="AU8" s="37">
        <v>0</v>
      </c>
      <c r="AV8" s="37">
        <v>0</v>
      </c>
      <c r="AW8" s="37">
        <v>0</v>
      </c>
      <c r="AX8" s="37">
        <v>0</v>
      </c>
      <c r="AY8" s="37">
        <v>0</v>
      </c>
      <c r="AZ8" s="37">
        <v>0</v>
      </c>
      <c r="BA8" s="37">
        <v>0</v>
      </c>
      <c r="BB8" s="37">
        <v>0</v>
      </c>
      <c r="BC8" s="37">
        <v>0</v>
      </c>
      <c r="BD8" s="37">
        <v>0</v>
      </c>
      <c r="BE8" s="37">
        <v>0</v>
      </c>
      <c r="BF8" s="37">
        <v>0</v>
      </c>
      <c r="BG8" s="37">
        <v>0</v>
      </c>
      <c r="BH8" s="37">
        <v>0</v>
      </c>
      <c r="BI8" s="37">
        <v>0</v>
      </c>
      <c r="BJ8" s="37">
        <v>0</v>
      </c>
      <c r="BK8" s="37">
        <v>0</v>
      </c>
      <c r="BL8" s="37">
        <v>0</v>
      </c>
      <c r="BM8" s="37">
        <v>0</v>
      </c>
      <c r="BN8" s="37">
        <v>0</v>
      </c>
      <c r="BO8" s="37">
        <v>0</v>
      </c>
      <c r="BP8" s="37">
        <v>0</v>
      </c>
      <c r="BQ8" s="37">
        <v>0</v>
      </c>
      <c r="BR8" s="37">
        <v>0</v>
      </c>
      <c r="BS8" s="37">
        <v>0</v>
      </c>
      <c r="BT8" s="37">
        <v>0</v>
      </c>
      <c r="BU8" s="37">
        <v>0</v>
      </c>
      <c r="BV8" s="37">
        <v>0</v>
      </c>
      <c r="BW8" s="37">
        <v>0</v>
      </c>
      <c r="BY8" s="66"/>
      <c r="BZ8" s="66"/>
    </row>
    <row r="9" spans="1:78">
      <c r="B9">
        <v>10044</v>
      </c>
      <c r="C9" t="s">
        <v>13</v>
      </c>
      <c r="D9" s="37">
        <v>1766.2252286729345</v>
      </c>
      <c r="E9" s="37">
        <v>297.48347159687546</v>
      </c>
      <c r="F9" s="37">
        <v>-261.94651592698392</v>
      </c>
      <c r="G9" s="37">
        <v>-65.479046998661033</v>
      </c>
      <c r="H9" s="37">
        <v>194.17153261703606</v>
      </c>
      <c r="I9" s="37">
        <v>537.35856706625327</v>
      </c>
      <c r="J9" s="37">
        <v>-428.06770698675427</v>
      </c>
      <c r="K9" s="37">
        <v>-136.08120214076371</v>
      </c>
      <c r="L9" s="37">
        <v>34.458808299728844</v>
      </c>
      <c r="M9" s="37">
        <v>-68.139451784281846</v>
      </c>
      <c r="N9" s="37">
        <v>-745.87617331503316</v>
      </c>
      <c r="O9" s="37">
        <v>178.31489355341</v>
      </c>
      <c r="P9" s="37">
        <v>1322.742939138504</v>
      </c>
      <c r="Q9" s="37">
        <v>35.321223750657737</v>
      </c>
      <c r="R9" s="37">
        <v>-1598.7673884618989</v>
      </c>
      <c r="S9" s="37">
        <v>-1389.6317981587727</v>
      </c>
      <c r="T9" s="37">
        <v>-1749.12366617724</v>
      </c>
      <c r="U9" s="37">
        <v>-968.09476701885615</v>
      </c>
      <c r="V9" s="37">
        <v>629.81489560379123</v>
      </c>
      <c r="W9" s="37">
        <v>188.97630327610568</v>
      </c>
      <c r="X9" s="37">
        <v>75.387198511712995</v>
      </c>
      <c r="Y9" s="37">
        <v>716.56986233793396</v>
      </c>
      <c r="Z9" s="37">
        <v>1074.470175401033</v>
      </c>
      <c r="AA9" s="37">
        <v>363.34941035119027</v>
      </c>
      <c r="AB9" s="37">
        <v>1772.2002286729348</v>
      </c>
      <c r="AC9" s="37">
        <v>291.76347159687521</v>
      </c>
      <c r="AD9" s="37">
        <v>-256.89251592698383</v>
      </c>
      <c r="AE9" s="37">
        <v>-70.394046998660997</v>
      </c>
      <c r="AF9" s="37">
        <v>199.47853261703494</v>
      </c>
      <c r="AG9" s="37">
        <v>532.30556706625339</v>
      </c>
      <c r="AH9" s="37">
        <v>-809.51570698675459</v>
      </c>
      <c r="AI9" s="37">
        <v>245.61579785923641</v>
      </c>
      <c r="AJ9" s="37">
        <v>39.356808299728073</v>
      </c>
      <c r="AK9" s="37">
        <v>-72.811451784281417</v>
      </c>
      <c r="AL9" s="37">
        <v>-404.82217331503307</v>
      </c>
      <c r="AM9" s="37">
        <v>-162.37710644659001</v>
      </c>
      <c r="AN9" s="37">
        <v>1328.2779391385038</v>
      </c>
      <c r="AO9" s="37">
        <v>30.026223750656754</v>
      </c>
      <c r="AP9" s="37">
        <v>-1592.2953884619001</v>
      </c>
      <c r="AQ9" s="37">
        <v>-1395.8507981587727</v>
      </c>
      <c r="AR9" s="37">
        <v>-1743.4326661772411</v>
      </c>
      <c r="AS9" s="37">
        <v>-973.54176701885717</v>
      </c>
      <c r="AT9" s="37">
        <v>636.21189560379207</v>
      </c>
      <c r="AU9" s="37">
        <v>182.83730327610465</v>
      </c>
      <c r="AV9" s="37">
        <v>81.420198511712442</v>
      </c>
      <c r="AW9" s="37">
        <v>710.79486233793341</v>
      </c>
      <c r="AX9" s="37">
        <v>1080.510175401032</v>
      </c>
      <c r="AY9" s="37">
        <v>357.5594103511894</v>
      </c>
      <c r="AZ9" s="37">
        <v>1475.2682286729359</v>
      </c>
      <c r="BA9" s="37">
        <v>593.41147159687534</v>
      </c>
      <c r="BB9" s="37">
        <v>86.58748407301573</v>
      </c>
      <c r="BC9" s="37">
        <v>-409.40904699866132</v>
      </c>
      <c r="BD9" s="37">
        <v>207.27853261703603</v>
      </c>
      <c r="BE9" s="37">
        <v>529.21856706625294</v>
      </c>
      <c r="BF9" s="37">
        <v>-801.81770698675427</v>
      </c>
      <c r="BG9" s="37">
        <v>242.62979785923653</v>
      </c>
      <c r="BH9" s="37">
        <v>46.476921963729183</v>
      </c>
      <c r="BI9" s="37">
        <v>-134.78539495228051</v>
      </c>
      <c r="BJ9" s="37">
        <v>-396.95017331503186</v>
      </c>
      <c r="BK9" s="37">
        <v>-165.43010644658989</v>
      </c>
      <c r="BL9" s="37">
        <v>1027.0299391385042</v>
      </c>
      <c r="BM9" s="37">
        <v>335.83322375065836</v>
      </c>
      <c r="BN9" s="37">
        <v>-1299.6763884618995</v>
      </c>
      <c r="BO9" s="37">
        <v>-1683.7507981587733</v>
      </c>
      <c r="BP9" s="37">
        <v>-1735.2466661772396</v>
      </c>
      <c r="BQ9" s="37">
        <v>-977.16576701885697</v>
      </c>
      <c r="BR9" s="37">
        <v>310.02889560379117</v>
      </c>
      <c r="BS9" s="37">
        <v>513.73930327610469</v>
      </c>
      <c r="BT9" s="37">
        <v>432.61619851171235</v>
      </c>
      <c r="BU9" s="37">
        <v>364.32486233793315</v>
      </c>
      <c r="BV9" s="37">
        <v>1088.9491754010323</v>
      </c>
      <c r="BW9" s="37">
        <v>353.6884103511893</v>
      </c>
      <c r="BY9" s="66"/>
      <c r="BZ9" s="66"/>
    </row>
    <row r="10" spans="1:78">
      <c r="B10">
        <v>10046</v>
      </c>
      <c r="C10" t="s">
        <v>14</v>
      </c>
      <c r="D10" s="37">
        <v>0</v>
      </c>
      <c r="E10" s="37">
        <v>0</v>
      </c>
      <c r="F10" s="37">
        <v>0</v>
      </c>
      <c r="G10" s="37">
        <v>0</v>
      </c>
      <c r="H10" s="37">
        <v>0</v>
      </c>
      <c r="I10" s="37">
        <v>0</v>
      </c>
      <c r="J10" s="37">
        <v>0</v>
      </c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7">
        <v>0</v>
      </c>
      <c r="V10" s="37">
        <v>0</v>
      </c>
      <c r="W10" s="37">
        <v>0</v>
      </c>
      <c r="X10" s="37">
        <v>0</v>
      </c>
      <c r="Y10" s="37">
        <v>0</v>
      </c>
      <c r="Z10" s="37">
        <v>0</v>
      </c>
      <c r="AA10" s="37">
        <v>0</v>
      </c>
      <c r="AB10" s="37">
        <v>0</v>
      </c>
      <c r="AC10" s="37">
        <v>0</v>
      </c>
      <c r="AD10" s="37">
        <v>0</v>
      </c>
      <c r="AE10" s="37">
        <v>0</v>
      </c>
      <c r="AF10" s="37">
        <v>0</v>
      </c>
      <c r="AG10" s="37">
        <v>0</v>
      </c>
      <c r="AH10" s="37">
        <v>0</v>
      </c>
      <c r="AI10" s="37">
        <v>0</v>
      </c>
      <c r="AJ10" s="37">
        <v>0</v>
      </c>
      <c r="AK10" s="37">
        <v>0</v>
      </c>
      <c r="AL10" s="37">
        <v>0</v>
      </c>
      <c r="AM10" s="37">
        <v>0</v>
      </c>
      <c r="AN10" s="37">
        <v>0</v>
      </c>
      <c r="AO10" s="37">
        <v>0</v>
      </c>
      <c r="AP10" s="37">
        <v>0</v>
      </c>
      <c r="AQ10" s="37">
        <v>0</v>
      </c>
      <c r="AR10" s="37">
        <v>0</v>
      </c>
      <c r="AS10" s="37">
        <v>0</v>
      </c>
      <c r="AT10" s="37">
        <v>0</v>
      </c>
      <c r="AU10" s="37">
        <v>0</v>
      </c>
      <c r="AV10" s="37">
        <v>0</v>
      </c>
      <c r="AW10" s="37">
        <v>0</v>
      </c>
      <c r="AX10" s="37">
        <v>0</v>
      </c>
      <c r="AY10" s="37">
        <v>0</v>
      </c>
      <c r="AZ10" s="37">
        <v>0</v>
      </c>
      <c r="BA10" s="37">
        <v>0</v>
      </c>
      <c r="BB10" s="37">
        <v>0</v>
      </c>
      <c r="BC10" s="37">
        <v>0</v>
      </c>
      <c r="BD10" s="37">
        <v>0</v>
      </c>
      <c r="BE10" s="37">
        <v>0</v>
      </c>
      <c r="BF10" s="37">
        <v>0</v>
      </c>
      <c r="BG10" s="37">
        <v>0</v>
      </c>
      <c r="BH10" s="37">
        <v>0</v>
      </c>
      <c r="BI10" s="37">
        <v>0</v>
      </c>
      <c r="BJ10" s="37">
        <v>0</v>
      </c>
      <c r="BK10" s="37">
        <v>0</v>
      </c>
      <c r="BL10" s="37">
        <v>0</v>
      </c>
      <c r="BM10" s="37">
        <v>0</v>
      </c>
      <c r="BN10" s="37">
        <v>0</v>
      </c>
      <c r="BO10" s="37">
        <v>0</v>
      </c>
      <c r="BP10" s="37">
        <v>0</v>
      </c>
      <c r="BQ10" s="37">
        <v>0</v>
      </c>
      <c r="BR10" s="37">
        <v>0</v>
      </c>
      <c r="BS10" s="37">
        <v>0</v>
      </c>
      <c r="BT10" s="37">
        <v>0</v>
      </c>
      <c r="BU10" s="37">
        <v>0</v>
      </c>
      <c r="BV10" s="37">
        <v>0</v>
      </c>
      <c r="BW10" s="37">
        <v>0</v>
      </c>
      <c r="BY10" s="66"/>
      <c r="BZ10" s="66"/>
    </row>
    <row r="11" spans="1:78">
      <c r="B11">
        <v>10047</v>
      </c>
      <c r="C11" t="s">
        <v>15</v>
      </c>
      <c r="D11" s="37">
        <v>11842.076070074254</v>
      </c>
      <c r="E11" s="37">
        <v>9808.7703562711176</v>
      </c>
      <c r="F11" s="37">
        <v>-2957.1253765189904</v>
      </c>
      <c r="G11" s="37">
        <v>7401.8208929882167</v>
      </c>
      <c r="H11" s="37">
        <v>-3562.7167820254836</v>
      </c>
      <c r="I11" s="37">
        <v>9437.7402907168143</v>
      </c>
      <c r="J11" s="37">
        <v>-8382.3121947243635</v>
      </c>
      <c r="K11" s="37">
        <v>4742.0018443910958</v>
      </c>
      <c r="L11" s="37">
        <v>-1346.2445433186513</v>
      </c>
      <c r="M11" s="37">
        <v>6185.5008540490962</v>
      </c>
      <c r="N11" s="37">
        <v>-5363.9780177948414</v>
      </c>
      <c r="O11" s="37">
        <v>9776.4074583323963</v>
      </c>
      <c r="P11" s="37">
        <v>9186.9846191116012</v>
      </c>
      <c r="Q11" s="37">
        <v>8667.6052317503563</v>
      </c>
      <c r="R11" s="37">
        <v>-14256.347589341349</v>
      </c>
      <c r="S11" s="37">
        <v>-1667.1003778348022</v>
      </c>
      <c r="T11" s="37">
        <v>-23058.364259416136</v>
      </c>
      <c r="U11" s="37">
        <v>-5140.0719043018689</v>
      </c>
      <c r="V11" s="37">
        <v>-11686.326815145439</v>
      </c>
      <c r="W11" s="37">
        <v>1070.5795890988593</v>
      </c>
      <c r="X11" s="37">
        <v>-15601.240598913573</v>
      </c>
      <c r="Y11" s="37">
        <v>4152.3880186280949</v>
      </c>
      <c r="Z11" s="37">
        <v>2611.0893844002348</v>
      </c>
      <c r="AA11" s="37">
        <v>8134.9975833924982</v>
      </c>
      <c r="AB11" s="37">
        <v>11743.951730901936</v>
      </c>
      <c r="AC11" s="37">
        <v>9752.0842597272131</v>
      </c>
      <c r="AD11" s="37">
        <v>-2960.3581995057029</v>
      </c>
      <c r="AE11" s="37">
        <v>7409.0481851546647</v>
      </c>
      <c r="AF11" s="37">
        <v>-3566.4524104981538</v>
      </c>
      <c r="AG11" s="37">
        <v>9447.1077365000383</v>
      </c>
      <c r="AH11" s="37">
        <v>-11337.195629506663</v>
      </c>
      <c r="AI11" s="37">
        <v>7692.9087844099558</v>
      </c>
      <c r="AJ11" s="37">
        <v>-1347.832057729509</v>
      </c>
      <c r="AK11" s="37">
        <v>6191.5528821492699</v>
      </c>
      <c r="AL11" s="37">
        <v>-2629.8539180764346</v>
      </c>
      <c r="AM11" s="37">
        <v>7046.3810380476934</v>
      </c>
      <c r="AN11" s="37">
        <v>9196.0580584772615</v>
      </c>
      <c r="AO11" s="37">
        <v>8676.1948503331078</v>
      </c>
      <c r="AP11" s="37">
        <v>-14270.855688092866</v>
      </c>
      <c r="AQ11" s="37">
        <v>-1668.9394680125188</v>
      </c>
      <c r="AR11" s="37">
        <v>-23081.680935871489</v>
      </c>
      <c r="AS11" s="37">
        <v>-5145.3457375125217</v>
      </c>
      <c r="AT11" s="37">
        <v>-11698.233436528702</v>
      </c>
      <c r="AU11" s="37">
        <v>1071.5354040971433</v>
      </c>
      <c r="AV11" s="37">
        <v>-15617.078386087895</v>
      </c>
      <c r="AW11" s="37">
        <v>4156.4397509128175</v>
      </c>
      <c r="AX11" s="37">
        <v>2613.4966322782639</v>
      </c>
      <c r="AY11" s="37">
        <v>8143.0150299575907</v>
      </c>
      <c r="AZ11" s="37">
        <v>9397.7757309019362</v>
      </c>
      <c r="BA11" s="37">
        <v>12288.158259727214</v>
      </c>
      <c r="BB11" s="37">
        <v>-274.20928555863793</v>
      </c>
      <c r="BC11" s="37">
        <v>4697.0368101783897</v>
      </c>
      <c r="BD11" s="37">
        <v>-3596.6469775908336</v>
      </c>
      <c r="BE11" s="37">
        <v>9449.7581867310655</v>
      </c>
      <c r="BF11" s="37">
        <v>-11381.645324142359</v>
      </c>
      <c r="BG11" s="37">
        <v>7691.3429637933878</v>
      </c>
      <c r="BH11" s="37">
        <v>-992.71998514678853</v>
      </c>
      <c r="BI11" s="37">
        <v>6209.8100554756529</v>
      </c>
      <c r="BJ11" s="37">
        <v>-2656.9250976102048</v>
      </c>
      <c r="BK11" s="37">
        <v>7046.2920639282165</v>
      </c>
      <c r="BL11" s="37">
        <v>6666.8665286134346</v>
      </c>
      <c r="BM11" s="37">
        <v>11209.062229467869</v>
      </c>
      <c r="BN11" s="37">
        <v>-12022.442123452187</v>
      </c>
      <c r="BO11" s="37">
        <v>-3979.5062647690138</v>
      </c>
      <c r="BP11" s="37">
        <v>-23144.305084686581</v>
      </c>
      <c r="BQ11" s="37">
        <v>-5166.528586956214</v>
      </c>
      <c r="BR11" s="37">
        <v>-13909.99531190555</v>
      </c>
      <c r="BS11" s="37">
        <v>3233.4702545844048</v>
      </c>
      <c r="BT11" s="37">
        <v>-13450.06621376751</v>
      </c>
      <c r="BU11" s="37">
        <v>1937.3711092566518</v>
      </c>
      <c r="BV11" s="37">
        <v>2602.1688324834977</v>
      </c>
      <c r="BW11" s="37">
        <v>8147.3340051131709</v>
      </c>
      <c r="BY11" s="66"/>
      <c r="BZ11" s="66"/>
    </row>
    <row r="12" spans="1:78">
      <c r="B12">
        <v>10055</v>
      </c>
      <c r="C12" t="s">
        <v>16</v>
      </c>
      <c r="D12" s="37">
        <v>45.257794143503759</v>
      </c>
      <c r="E12" s="37">
        <v>35.530013487958257</v>
      </c>
      <c r="F12" s="37">
        <v>11.393764759244988</v>
      </c>
      <c r="G12" s="37">
        <v>44.092091073433835</v>
      </c>
      <c r="H12" s="37">
        <v>73.213612943382941</v>
      </c>
      <c r="I12" s="37">
        <v>97.920471850271511</v>
      </c>
      <c r="J12" s="37">
        <v>50.326515035379629</v>
      </c>
      <c r="K12" s="37">
        <v>83.413468367377305</v>
      </c>
      <c r="L12" s="37">
        <v>43.300819563966172</v>
      </c>
      <c r="M12" s="37">
        <v>61.437513179444835</v>
      </c>
      <c r="N12" s="37">
        <v>7.7863604741955328</v>
      </c>
      <c r="O12" s="37">
        <v>52.691188690239116</v>
      </c>
      <c r="P12" s="37">
        <v>36.91603907883669</v>
      </c>
      <c r="Q12" s="37">
        <v>35.067071318190756</v>
      </c>
      <c r="R12" s="37">
        <v>-36.710086902333785</v>
      </c>
      <c r="S12" s="37">
        <v>-6.340966215224114</v>
      </c>
      <c r="T12" s="37">
        <v>-47.517905814750634</v>
      </c>
      <c r="U12" s="37">
        <v>-16.882958399986649</v>
      </c>
      <c r="V12" s="37">
        <v>-3.1840368084402826E-2</v>
      </c>
      <c r="W12" s="37">
        <v>2.0298637572031737</v>
      </c>
      <c r="X12" s="37">
        <v>-24.704374668914227</v>
      </c>
      <c r="Y12" s="37">
        <v>1.4068050294554979</v>
      </c>
      <c r="Z12" s="37">
        <v>11.250395118370363</v>
      </c>
      <c r="AA12" s="37">
        <v>12.973819701626184</v>
      </c>
      <c r="AB12" s="37">
        <v>46.53779414350376</v>
      </c>
      <c r="AC12" s="37">
        <v>36.359013487958265</v>
      </c>
      <c r="AD12" s="37">
        <v>12.499764759244982</v>
      </c>
      <c r="AE12" s="37">
        <v>45.028091073433842</v>
      </c>
      <c r="AF12" s="37">
        <v>74.414612943382906</v>
      </c>
      <c r="AG12" s="37">
        <v>98.828471850271526</v>
      </c>
      <c r="AH12" s="37">
        <v>40.776515035379617</v>
      </c>
      <c r="AI12" s="37">
        <v>95.072468367377297</v>
      </c>
      <c r="AJ12" s="37">
        <v>44.398819563966185</v>
      </c>
      <c r="AK12" s="37">
        <v>62.244513179444823</v>
      </c>
      <c r="AL12" s="37">
        <v>17.130360474195527</v>
      </c>
      <c r="AM12" s="37">
        <v>45.456188690239131</v>
      </c>
      <c r="AN12" s="37">
        <v>38.125039078836693</v>
      </c>
      <c r="AO12" s="37">
        <v>35.900071318190754</v>
      </c>
      <c r="AP12" s="37">
        <v>-35.516086902333797</v>
      </c>
      <c r="AQ12" s="37">
        <v>-5.4259662152241077</v>
      </c>
      <c r="AR12" s="37">
        <v>-46.231905814750633</v>
      </c>
      <c r="AS12" s="37">
        <v>-16.127958399986653</v>
      </c>
      <c r="AT12" s="37">
        <v>1.2951596319155954</v>
      </c>
      <c r="AU12" s="37">
        <v>2.8118637572031702</v>
      </c>
      <c r="AV12" s="37">
        <v>-23.375374668914219</v>
      </c>
      <c r="AW12" s="37">
        <v>2.1858050294554943</v>
      </c>
      <c r="AX12" s="37">
        <v>12.489395118370368</v>
      </c>
      <c r="AY12" s="37">
        <v>13.775819701626176</v>
      </c>
      <c r="AZ12" s="37">
        <v>40.896794143503769</v>
      </c>
      <c r="BA12" s="37">
        <v>44.110013487958255</v>
      </c>
      <c r="BB12" s="37">
        <v>21.635764759244978</v>
      </c>
      <c r="BC12" s="37">
        <v>37.933091073433843</v>
      </c>
      <c r="BD12" s="37">
        <v>75.615612943382928</v>
      </c>
      <c r="BE12" s="37">
        <v>99.736471850271514</v>
      </c>
      <c r="BF12" s="37">
        <v>41.914515035379651</v>
      </c>
      <c r="BG12" s="37">
        <v>96.043468367377301</v>
      </c>
      <c r="BH12" s="37">
        <v>45.541535122366184</v>
      </c>
      <c r="BI12" s="37">
        <v>62.267370958644818</v>
      </c>
      <c r="BJ12" s="37">
        <v>18.369360474195531</v>
      </c>
      <c r="BK12" s="37">
        <v>46.327188690239112</v>
      </c>
      <c r="BL12" s="37">
        <v>32.196039078836691</v>
      </c>
      <c r="BM12" s="37">
        <v>43.870071318190753</v>
      </c>
      <c r="BN12" s="37">
        <v>-28.365086902333786</v>
      </c>
      <c r="BO12" s="37">
        <v>-10.467966215224109</v>
      </c>
      <c r="BP12" s="37">
        <v>-44.945905814750631</v>
      </c>
      <c r="BQ12" s="37">
        <v>-15.372958399986643</v>
      </c>
      <c r="BR12" s="37">
        <v>-3.6948403680844137</v>
      </c>
      <c r="BS12" s="37">
        <v>9.9118637572031787</v>
      </c>
      <c r="BT12" s="37">
        <v>-16.118374668914242</v>
      </c>
      <c r="BU12" s="37">
        <v>-2.9621949705445019</v>
      </c>
      <c r="BV12" s="37">
        <v>13.728395118370372</v>
      </c>
      <c r="BW12" s="37">
        <v>14.577819701626183</v>
      </c>
      <c r="BY12" s="66"/>
      <c r="BZ12" s="66"/>
    </row>
    <row r="13" spans="1:78">
      <c r="B13">
        <v>10057</v>
      </c>
      <c r="C13" t="s">
        <v>17</v>
      </c>
      <c r="D13" s="37">
        <v>1154.3048889752217</v>
      </c>
      <c r="E13" s="37">
        <v>190.50867600888068</v>
      </c>
      <c r="F13" s="37">
        <v>-273.40721099973234</v>
      </c>
      <c r="G13" s="37">
        <v>207.46008668914692</v>
      </c>
      <c r="H13" s="37">
        <v>860.38159231364807</v>
      </c>
      <c r="I13" s="37">
        <v>1112.803738161082</v>
      </c>
      <c r="J13" s="37">
        <v>40.407497195998076</v>
      </c>
      <c r="K13" s="37">
        <v>429.95638621416674</v>
      </c>
      <c r="L13" s="37">
        <v>191.51699046815338</v>
      </c>
      <c r="M13" s="37">
        <v>360.86349334559964</v>
      </c>
      <c r="N13" s="37">
        <v>-936.0010444440868</v>
      </c>
      <c r="O13" s="37">
        <v>412.51999198197791</v>
      </c>
      <c r="P13" s="37">
        <v>568.38973595032803</v>
      </c>
      <c r="Q13" s="37">
        <v>-49.462570511519516</v>
      </c>
      <c r="R13" s="37">
        <v>-2253.5715063179123</v>
      </c>
      <c r="S13" s="37">
        <v>-1347.2680635234856</v>
      </c>
      <c r="T13" s="37">
        <v>-2105.4529077771313</v>
      </c>
      <c r="U13" s="37">
        <v>-1113.9807220426983</v>
      </c>
      <c r="V13" s="37">
        <v>866.84409060445978</v>
      </c>
      <c r="W13" s="37">
        <v>263.73391691111738</v>
      </c>
      <c r="X13" s="37">
        <v>-114.6052107911546</v>
      </c>
      <c r="Y13" s="37">
        <v>532.40438499327138</v>
      </c>
      <c r="Z13" s="37">
        <v>685.3760345376013</v>
      </c>
      <c r="AA13" s="37">
        <v>317.40777150027952</v>
      </c>
      <c r="AB13" s="37">
        <v>1152.4946590622631</v>
      </c>
      <c r="AC13" s="37">
        <v>189.41370459576501</v>
      </c>
      <c r="AD13" s="37">
        <v>-273.40721099973234</v>
      </c>
      <c r="AE13" s="37">
        <v>207.46008668914692</v>
      </c>
      <c r="AF13" s="37">
        <v>860.38159231364807</v>
      </c>
      <c r="AG13" s="37">
        <v>1112.803738161082</v>
      </c>
      <c r="AH13" s="37">
        <v>-384.87250280400076</v>
      </c>
      <c r="AI13" s="37">
        <v>855.2363862141674</v>
      </c>
      <c r="AJ13" s="37">
        <v>191.51699046815338</v>
      </c>
      <c r="AK13" s="37">
        <v>360.86349334559964</v>
      </c>
      <c r="AL13" s="37">
        <v>-587.42804444408648</v>
      </c>
      <c r="AM13" s="37">
        <v>63.947991981977793</v>
      </c>
      <c r="AN13" s="37">
        <v>568.38973595032803</v>
      </c>
      <c r="AO13" s="37">
        <v>-49.462570511519516</v>
      </c>
      <c r="AP13" s="37">
        <v>-2253.5715063179123</v>
      </c>
      <c r="AQ13" s="37">
        <v>-1347.2680635234856</v>
      </c>
      <c r="AR13" s="37">
        <v>-2105.4529077771313</v>
      </c>
      <c r="AS13" s="37">
        <v>-1113.9807220426983</v>
      </c>
      <c r="AT13" s="37">
        <v>866.84409060445978</v>
      </c>
      <c r="AU13" s="37">
        <v>263.73391691111738</v>
      </c>
      <c r="AV13" s="37">
        <v>-114.6052107911546</v>
      </c>
      <c r="AW13" s="37">
        <v>532.40438499327138</v>
      </c>
      <c r="AX13" s="37">
        <v>685.3760345376013</v>
      </c>
      <c r="AY13" s="37">
        <v>317.40777150027952</v>
      </c>
      <c r="AZ13" s="37">
        <v>850.44065906226297</v>
      </c>
      <c r="BA13" s="37">
        <v>491.46870459576439</v>
      </c>
      <c r="BB13" s="37">
        <v>79.045869556777689</v>
      </c>
      <c r="BC13" s="37">
        <v>-148.70619814652946</v>
      </c>
      <c r="BD13" s="37">
        <v>857.67476334491585</v>
      </c>
      <c r="BE13" s="37">
        <v>1111.2878275091316</v>
      </c>
      <c r="BF13" s="37">
        <v>-387.68072730622589</v>
      </c>
      <c r="BG13" s="37">
        <v>853.58929079422342</v>
      </c>
      <c r="BH13" s="37">
        <v>250.76173470432695</v>
      </c>
      <c r="BI13" s="37">
        <v>340.82390049704918</v>
      </c>
      <c r="BJ13" s="37">
        <v>-589.95239164955819</v>
      </c>
      <c r="BK13" s="37">
        <v>62.590926832477635</v>
      </c>
      <c r="BL13" s="37">
        <v>264.25259611649381</v>
      </c>
      <c r="BM13" s="37">
        <v>251.66543570380418</v>
      </c>
      <c r="BN13" s="37">
        <v>-1981.0048413238028</v>
      </c>
      <c r="BO13" s="37">
        <v>-1624.7277487162155</v>
      </c>
      <c r="BP13" s="37">
        <v>-2108.0443364462317</v>
      </c>
      <c r="BQ13" s="37">
        <v>-1115.3654408860375</v>
      </c>
      <c r="BR13" s="37">
        <v>509.27151887696891</v>
      </c>
      <c r="BS13" s="37">
        <v>618.76737347648213</v>
      </c>
      <c r="BT13" s="37">
        <v>230.86256252557178</v>
      </c>
      <c r="BU13" s="37">
        <v>184.30612857267806</v>
      </c>
      <c r="BV13" s="37">
        <v>683.62110339342507</v>
      </c>
      <c r="BW13" s="37">
        <v>316.34319732250242</v>
      </c>
      <c r="BY13" s="66"/>
      <c r="BZ13" s="66"/>
    </row>
    <row r="14" spans="1:78">
      <c r="B14">
        <v>10059</v>
      </c>
      <c r="C14" t="s">
        <v>18</v>
      </c>
      <c r="D14" s="37">
        <v>562.91161866579978</v>
      </c>
      <c r="E14" s="37">
        <v>144.32656263652734</v>
      </c>
      <c r="F14" s="37">
        <v>-69.318060829199567</v>
      </c>
      <c r="G14" s="37">
        <v>192.99625440603813</v>
      </c>
      <c r="H14" s="37">
        <v>384.67976212990925</v>
      </c>
      <c r="I14" s="37">
        <v>497.85151205308057</v>
      </c>
      <c r="J14" s="37">
        <v>471.44154349440123</v>
      </c>
      <c r="K14" s="37">
        <v>505.60197095248077</v>
      </c>
      <c r="L14" s="37">
        <v>632.60852225183407</v>
      </c>
      <c r="M14" s="37">
        <v>545.86641905907663</v>
      </c>
      <c r="N14" s="37">
        <v>-152.22946421912775</v>
      </c>
      <c r="O14" s="37">
        <v>400.71827562240514</v>
      </c>
      <c r="P14" s="37">
        <v>784.83268796623088</v>
      </c>
      <c r="Q14" s="37">
        <v>435.82673842928511</v>
      </c>
      <c r="R14" s="37">
        <v>-750.41148695119227</v>
      </c>
      <c r="S14" s="37">
        <v>-344.16755397500333</v>
      </c>
      <c r="T14" s="37">
        <v>-1107.1916609946893</v>
      </c>
      <c r="U14" s="37">
        <v>-489.5210771379318</v>
      </c>
      <c r="V14" s="37">
        <v>-682.26837985415295</v>
      </c>
      <c r="W14" s="37">
        <v>-330.71384258597755</v>
      </c>
      <c r="X14" s="37">
        <v>-980.39025230365178</v>
      </c>
      <c r="Y14" s="37">
        <v>-235.76201962109121</v>
      </c>
      <c r="Z14" s="37">
        <v>26.360017840548608</v>
      </c>
      <c r="AA14" s="37">
        <v>7.7675515372543487</v>
      </c>
      <c r="AB14" s="37">
        <v>562.91161866579978</v>
      </c>
      <c r="AC14" s="37">
        <v>144.32656263652734</v>
      </c>
      <c r="AD14" s="37">
        <v>-69.318060829199567</v>
      </c>
      <c r="AE14" s="37">
        <v>192.99625440603813</v>
      </c>
      <c r="AF14" s="37">
        <v>384.67976212990925</v>
      </c>
      <c r="AG14" s="37">
        <v>497.85151205308057</v>
      </c>
      <c r="AH14" s="37">
        <v>270.25454349440133</v>
      </c>
      <c r="AI14" s="37">
        <v>706.78897095248067</v>
      </c>
      <c r="AJ14" s="37">
        <v>632.60852225183407</v>
      </c>
      <c r="AK14" s="37">
        <v>545.86641905907663</v>
      </c>
      <c r="AL14" s="37">
        <v>7.820535780872433</v>
      </c>
      <c r="AM14" s="37">
        <v>240.66727562240521</v>
      </c>
      <c r="AN14" s="37">
        <v>784.83268796623088</v>
      </c>
      <c r="AO14" s="37">
        <v>435.82673842928511</v>
      </c>
      <c r="AP14" s="37">
        <v>-750.41148695119227</v>
      </c>
      <c r="AQ14" s="37">
        <v>-344.16755397500333</v>
      </c>
      <c r="AR14" s="37">
        <v>-1107.1916609946893</v>
      </c>
      <c r="AS14" s="37">
        <v>-489.5210771379318</v>
      </c>
      <c r="AT14" s="37">
        <v>-682.26837985415295</v>
      </c>
      <c r="AU14" s="37">
        <v>-330.71384258597755</v>
      </c>
      <c r="AV14" s="37">
        <v>-980.39025230365178</v>
      </c>
      <c r="AW14" s="37">
        <v>-235.76201962109121</v>
      </c>
      <c r="AX14" s="37">
        <v>26.360017840548608</v>
      </c>
      <c r="AY14" s="37">
        <v>7.7675515372543487</v>
      </c>
      <c r="AZ14" s="37">
        <v>430.85061866579963</v>
      </c>
      <c r="BA14" s="37">
        <v>277.87456263652734</v>
      </c>
      <c r="BB14" s="37">
        <v>86.369939170800535</v>
      </c>
      <c r="BC14" s="37">
        <v>38.751254406038242</v>
      </c>
      <c r="BD14" s="37">
        <v>385.59676212990962</v>
      </c>
      <c r="BE14" s="37">
        <v>498.42151205308073</v>
      </c>
      <c r="BF14" s="37">
        <v>271.12754349440092</v>
      </c>
      <c r="BG14" s="37">
        <v>707.4039709524809</v>
      </c>
      <c r="BH14" s="37">
        <v>640.33483670943406</v>
      </c>
      <c r="BI14" s="37">
        <v>521.75207628787666</v>
      </c>
      <c r="BJ14" s="37">
        <v>8.7505357808722692</v>
      </c>
      <c r="BK14" s="37">
        <v>241.224275622405</v>
      </c>
      <c r="BL14" s="37">
        <v>630.47868796623106</v>
      </c>
      <c r="BM14" s="37">
        <v>591.62173842928519</v>
      </c>
      <c r="BN14" s="37">
        <v>-623.60248695119208</v>
      </c>
      <c r="BO14" s="37">
        <v>-469.48855397500324</v>
      </c>
      <c r="BP14" s="37">
        <v>-1106.2746609946889</v>
      </c>
      <c r="BQ14" s="37">
        <v>-488.99907713793186</v>
      </c>
      <c r="BR14" s="37">
        <v>-795.37037985415282</v>
      </c>
      <c r="BS14" s="37">
        <v>-216.12484258597738</v>
      </c>
      <c r="BT14" s="37">
        <v>-867.01925230365168</v>
      </c>
      <c r="BU14" s="37">
        <v>-347.64501962109125</v>
      </c>
      <c r="BV14" s="37">
        <v>27.258017840548746</v>
      </c>
      <c r="BW14" s="37">
        <v>8.3105515372544687</v>
      </c>
      <c r="BY14" s="66"/>
      <c r="BZ14" s="66"/>
    </row>
    <row r="15" spans="1:78">
      <c r="B15">
        <v>10061</v>
      </c>
      <c r="C15" t="s">
        <v>19</v>
      </c>
      <c r="D15" s="37">
        <v>569.73732670971958</v>
      </c>
      <c r="E15" s="37">
        <v>76.200815073725607</v>
      </c>
      <c r="F15" s="37">
        <v>228.44010366987368</v>
      </c>
      <c r="G15" s="37">
        <v>216.48553259608707</v>
      </c>
      <c r="H15" s="37">
        <v>-33.837547160786926</v>
      </c>
      <c r="I15" s="37">
        <v>206.45864334531007</v>
      </c>
      <c r="J15" s="37">
        <v>160.78360485391204</v>
      </c>
      <c r="K15" s="37">
        <v>323.09619557648284</v>
      </c>
      <c r="L15" s="37">
        <v>334.53296352567304</v>
      </c>
      <c r="M15" s="37">
        <v>300.10612001646678</v>
      </c>
      <c r="N15" s="37">
        <v>-172.9709961861081</v>
      </c>
      <c r="O15" s="37">
        <v>244.35741503433155</v>
      </c>
      <c r="P15" s="37">
        <v>661.38554799724079</v>
      </c>
      <c r="Q15" s="37">
        <v>195.77841460030936</v>
      </c>
      <c r="R15" s="37">
        <v>-708.03200398326044</v>
      </c>
      <c r="S15" s="37">
        <v>-454.81526994843307</v>
      </c>
      <c r="T15" s="37">
        <v>-1081.1062746818998</v>
      </c>
      <c r="U15" s="37">
        <v>-537.52246409064765</v>
      </c>
      <c r="V15" s="37">
        <v>-277.45271203251878</v>
      </c>
      <c r="W15" s="37">
        <v>-72.026130962921798</v>
      </c>
      <c r="X15" s="37">
        <v>-610.17253601860648</v>
      </c>
      <c r="Y15" s="37">
        <v>-70.123670285162916</v>
      </c>
      <c r="Z15" s="37">
        <v>362.60285044333386</v>
      </c>
      <c r="AA15" s="37">
        <v>140.72309976593374</v>
      </c>
      <c r="AB15" s="37">
        <v>541.06932670971901</v>
      </c>
      <c r="AC15" s="37">
        <v>29.759815073725576</v>
      </c>
      <c r="AD15" s="37">
        <v>280.79310366987283</v>
      </c>
      <c r="AE15" s="37">
        <v>197.00753259608609</v>
      </c>
      <c r="AF15" s="37">
        <v>-24.300547160787573</v>
      </c>
      <c r="AG15" s="37">
        <v>177.16864334530965</v>
      </c>
      <c r="AH15" s="37">
        <v>20.80460485391086</v>
      </c>
      <c r="AI15" s="37">
        <v>483.64919557648227</v>
      </c>
      <c r="AJ15" s="37">
        <v>366.24396352567237</v>
      </c>
      <c r="AK15" s="37">
        <v>287.3441200164666</v>
      </c>
      <c r="AL15" s="37">
        <v>2.1610038138915115</v>
      </c>
      <c r="AM15" s="37">
        <v>101.50441503433149</v>
      </c>
      <c r="AN15" s="37">
        <v>698.60454799723993</v>
      </c>
      <c r="AO15" s="37">
        <v>187.6804146003094</v>
      </c>
      <c r="AP15" s="37">
        <v>-670.80100398326113</v>
      </c>
      <c r="AQ15" s="37">
        <v>-465.32326994843334</v>
      </c>
      <c r="AR15" s="37">
        <v>-1056.7902746819</v>
      </c>
      <c r="AS15" s="37">
        <v>-558.91646409064765</v>
      </c>
      <c r="AT15" s="37">
        <v>-274.01671203251999</v>
      </c>
      <c r="AU15" s="37">
        <v>-97.519130962922191</v>
      </c>
      <c r="AV15" s="37">
        <v>-575.99953601860761</v>
      </c>
      <c r="AW15" s="37">
        <v>-109.96567028516347</v>
      </c>
      <c r="AX15" s="37">
        <v>360.41485044333331</v>
      </c>
      <c r="AY15" s="37">
        <v>99.931099765933595</v>
      </c>
      <c r="AZ15" s="37">
        <v>421.30632670972</v>
      </c>
      <c r="BA15" s="37">
        <v>85.805815073725398</v>
      </c>
      <c r="BB15" s="37">
        <v>463.20010366987299</v>
      </c>
      <c r="BC15" s="37">
        <v>56.575532596086759</v>
      </c>
      <c r="BD15" s="37">
        <v>-10.106547160787159</v>
      </c>
      <c r="BE15" s="37">
        <v>151.62264334530983</v>
      </c>
      <c r="BF15" s="37">
        <v>54.350604853911136</v>
      </c>
      <c r="BG15" s="37">
        <v>479.01319557648276</v>
      </c>
      <c r="BH15" s="37">
        <v>404.37658449207265</v>
      </c>
      <c r="BI15" s="37">
        <v>259.28193049966694</v>
      </c>
      <c r="BJ15" s="37">
        <v>44.472003813891206</v>
      </c>
      <c r="BK15" s="37">
        <v>93.46241503433157</v>
      </c>
      <c r="BL15" s="37">
        <v>633.44854799724089</v>
      </c>
      <c r="BM15" s="37">
        <v>280.93241460030936</v>
      </c>
      <c r="BN15" s="37">
        <v>-550.85500398326076</v>
      </c>
      <c r="BO15" s="37">
        <v>-562.53126994843296</v>
      </c>
      <c r="BP15" s="37">
        <v>-1036.7302746818996</v>
      </c>
      <c r="BQ15" s="37">
        <v>-582.1044640906473</v>
      </c>
      <c r="BR15" s="37">
        <v>-365.75571203251866</v>
      </c>
      <c r="BS15" s="37">
        <v>-33.382130962921565</v>
      </c>
      <c r="BT15" s="37">
        <v>-461.82753601860668</v>
      </c>
      <c r="BU15" s="37">
        <v>-236.62467028516312</v>
      </c>
      <c r="BV15" s="37">
        <v>354.59285044333365</v>
      </c>
      <c r="BW15" s="37">
        <v>57.379099765933915</v>
      </c>
      <c r="BY15" s="66"/>
      <c r="BZ15" s="66"/>
    </row>
    <row r="16" spans="1:78">
      <c r="B16">
        <v>10062</v>
      </c>
      <c r="C16" t="s">
        <v>20</v>
      </c>
      <c r="D16" s="37">
        <v>804.93484356992121</v>
      </c>
      <c r="E16" s="37">
        <v>96.565730900330436</v>
      </c>
      <c r="F16" s="37">
        <v>605.88059824745733</v>
      </c>
      <c r="G16" s="37">
        <v>-21.752198352416372</v>
      </c>
      <c r="H16" s="37">
        <v>1163.4968586127106</v>
      </c>
      <c r="I16" s="37">
        <v>796.40004915327381</v>
      </c>
      <c r="J16" s="37">
        <v>1141.19566010876</v>
      </c>
      <c r="K16" s="37">
        <v>757.58342356041635</v>
      </c>
      <c r="L16" s="37">
        <v>1010.5552526089623</v>
      </c>
      <c r="M16" s="37">
        <v>543.02228716753484</v>
      </c>
      <c r="N16" s="37">
        <v>490.41175411779977</v>
      </c>
      <c r="O16" s="37">
        <v>100.92996428783204</v>
      </c>
      <c r="P16" s="37">
        <v>67.718678629211126</v>
      </c>
      <c r="Q16" s="37">
        <v>-377.68031852684635</v>
      </c>
      <c r="R16" s="37">
        <v>-1427.8111313322588</v>
      </c>
      <c r="S16" s="37">
        <v>-1710.398582183946</v>
      </c>
      <c r="T16" s="37">
        <v>-1645.6588192824133</v>
      </c>
      <c r="U16" s="37">
        <v>-1472.4797565895194</v>
      </c>
      <c r="V16" s="37">
        <v>-562.53060705121698</v>
      </c>
      <c r="W16" s="37">
        <v>-842.27019223276397</v>
      </c>
      <c r="X16" s="37">
        <v>191.93231548209633</v>
      </c>
      <c r="Y16" s="37">
        <v>-264.34565213738438</v>
      </c>
      <c r="Z16" s="37">
        <v>578.3730200101902</v>
      </c>
      <c r="AA16" s="37">
        <v>-27.085241110591596</v>
      </c>
      <c r="AB16" s="37">
        <v>810.31384356992112</v>
      </c>
      <c r="AC16" s="37">
        <v>91.166730900330094</v>
      </c>
      <c r="AD16" s="37">
        <v>612.63259824745728</v>
      </c>
      <c r="AE16" s="37">
        <v>-28.636198352416386</v>
      </c>
      <c r="AF16" s="37">
        <v>1167.8748586127113</v>
      </c>
      <c r="AG16" s="37">
        <v>792.00304915327388</v>
      </c>
      <c r="AH16" s="37">
        <v>1185.0386601087598</v>
      </c>
      <c r="AI16" s="37">
        <v>713.72042356041607</v>
      </c>
      <c r="AJ16" s="37">
        <v>1014.4592526089614</v>
      </c>
      <c r="AK16" s="37">
        <v>539.10028716753482</v>
      </c>
      <c r="AL16" s="37">
        <v>437.88875411779964</v>
      </c>
      <c r="AM16" s="37">
        <v>153.54596428783202</v>
      </c>
      <c r="AN16" s="37">
        <v>72.51267862921145</v>
      </c>
      <c r="AO16" s="37">
        <v>-382.49331852684668</v>
      </c>
      <c r="AP16" s="37">
        <v>-1419.8831313322585</v>
      </c>
      <c r="AQ16" s="37">
        <v>-1718.3465821839459</v>
      </c>
      <c r="AR16" s="37">
        <v>-1638.8968192824132</v>
      </c>
      <c r="AS16" s="37">
        <v>-1479.2617565895193</v>
      </c>
      <c r="AT16" s="37">
        <v>-555.47860705121684</v>
      </c>
      <c r="AU16" s="37">
        <v>-849.34219223276432</v>
      </c>
      <c r="AV16" s="37">
        <v>200.82331548209686</v>
      </c>
      <c r="AW16" s="37">
        <v>-273.25665213738421</v>
      </c>
      <c r="AX16" s="37">
        <v>585.21902001018975</v>
      </c>
      <c r="AY16" s="37">
        <v>-33.951241110591354</v>
      </c>
      <c r="AZ16" s="37">
        <v>870.77184356992166</v>
      </c>
      <c r="BA16" s="37">
        <v>29.944730900329887</v>
      </c>
      <c r="BB16" s="37">
        <v>563.4885982474575</v>
      </c>
      <c r="BC16" s="37">
        <v>19.654801647583781</v>
      </c>
      <c r="BD16" s="37">
        <v>1171.8358586127106</v>
      </c>
      <c r="BE16" s="37">
        <v>787.27704915327377</v>
      </c>
      <c r="BF16" s="37">
        <v>1190.6016601087599</v>
      </c>
      <c r="BG16" s="37">
        <v>707.39242356041564</v>
      </c>
      <c r="BH16" s="37">
        <v>1017.7652465289616</v>
      </c>
      <c r="BI16" s="37">
        <v>548.65478412753509</v>
      </c>
      <c r="BJ16" s="37">
        <v>441.81275411780007</v>
      </c>
      <c r="BK16" s="37">
        <v>148.97196428783195</v>
      </c>
      <c r="BL16" s="37">
        <v>155.40167862921157</v>
      </c>
      <c r="BM16" s="37">
        <v>-465.12231852684636</v>
      </c>
      <c r="BN16" s="37">
        <v>-1517.8661313322586</v>
      </c>
      <c r="BO16" s="37">
        <v>-1621.1275821839458</v>
      </c>
      <c r="BP16" s="37">
        <v>-1632.5508192824132</v>
      </c>
      <c r="BQ16" s="37">
        <v>-1486.3467565895196</v>
      </c>
      <c r="BR16" s="37">
        <v>-467.3306070512167</v>
      </c>
      <c r="BS16" s="37">
        <v>-938.25419223276413</v>
      </c>
      <c r="BT16" s="37">
        <v>156.78631548209614</v>
      </c>
      <c r="BU16" s="37">
        <v>-229.9836521373843</v>
      </c>
      <c r="BV16" s="37">
        <v>591.66502001019057</v>
      </c>
      <c r="BW16" s="37">
        <v>-41.1362411105913</v>
      </c>
      <c r="BY16" s="66"/>
      <c r="BZ16" s="66"/>
    </row>
    <row r="17" spans="2:78">
      <c r="B17">
        <v>10064</v>
      </c>
      <c r="C17" t="s">
        <v>21</v>
      </c>
      <c r="D17" s="37">
        <v>1146.3193788262006</v>
      </c>
      <c r="E17" s="37">
        <v>129.165394949232</v>
      </c>
      <c r="F17" s="37">
        <v>-373.51017824167138</v>
      </c>
      <c r="G17" s="37">
        <v>-275.47258437470737</v>
      </c>
      <c r="H17" s="37">
        <v>286.15469115727683</v>
      </c>
      <c r="I17" s="37">
        <v>632.49980982771285</v>
      </c>
      <c r="J17" s="37">
        <v>-105.65238517954822</v>
      </c>
      <c r="K17" s="37">
        <v>321.16121782831124</v>
      </c>
      <c r="L17" s="37">
        <v>472.52574430669847</v>
      </c>
      <c r="M17" s="37">
        <v>388.37530411764465</v>
      </c>
      <c r="N17" s="37">
        <v>-473.59200000960209</v>
      </c>
      <c r="O17" s="37">
        <v>128.51611222202064</v>
      </c>
      <c r="P17" s="37">
        <v>945.79540943611937</v>
      </c>
      <c r="Q17" s="37">
        <v>-18.462619988057668</v>
      </c>
      <c r="R17" s="37">
        <v>-1063.0476110281224</v>
      </c>
      <c r="S17" s="37">
        <v>-1080.8160849344558</v>
      </c>
      <c r="T17" s="37">
        <v>-1129.2206857731408</v>
      </c>
      <c r="U17" s="37">
        <v>-1031.4025867249275</v>
      </c>
      <c r="V17" s="37">
        <v>644.45441569554714</v>
      </c>
      <c r="W17" s="37">
        <v>-133.50488221436171</v>
      </c>
      <c r="X17" s="37">
        <v>63.245272801568717</v>
      </c>
      <c r="Y17" s="37">
        <v>-26.569534873806788</v>
      </c>
      <c r="Z17" s="37">
        <v>667.35327935185978</v>
      </c>
      <c r="AA17" s="37">
        <v>-117.67297729386382</v>
      </c>
      <c r="AB17" s="37">
        <v>1146.5453788261993</v>
      </c>
      <c r="AC17" s="37">
        <v>127.32639494923205</v>
      </c>
      <c r="AD17" s="37">
        <v>-372.48617824167195</v>
      </c>
      <c r="AE17" s="37">
        <v>-276.40458437470716</v>
      </c>
      <c r="AF17" s="37">
        <v>290.37269115727759</v>
      </c>
      <c r="AG17" s="37">
        <v>633.68780982771295</v>
      </c>
      <c r="AH17" s="37">
        <v>-323.21338517954882</v>
      </c>
      <c r="AI17" s="37">
        <v>544.12021782831107</v>
      </c>
      <c r="AJ17" s="37">
        <v>475.11374430669821</v>
      </c>
      <c r="AK17" s="37">
        <v>388.63130411764496</v>
      </c>
      <c r="AL17" s="37">
        <v>-305.92800000960233</v>
      </c>
      <c r="AM17" s="37">
        <v>-38.662887777979449</v>
      </c>
      <c r="AN17" s="37">
        <v>945.97040943611864</v>
      </c>
      <c r="AO17" s="37">
        <v>-20.145619988058115</v>
      </c>
      <c r="AP17" s="37">
        <v>-1063.5806110281228</v>
      </c>
      <c r="AQ17" s="37">
        <v>-1083.4110849344561</v>
      </c>
      <c r="AR17" s="37">
        <v>-1128.87768577314</v>
      </c>
      <c r="AS17" s="37">
        <v>-1033.5175867249268</v>
      </c>
      <c r="AT17" s="37">
        <v>646.40441569554787</v>
      </c>
      <c r="AU17" s="37">
        <v>-134.92288221436138</v>
      </c>
      <c r="AV17" s="37">
        <v>64.926272801569212</v>
      </c>
      <c r="AW17" s="37">
        <v>-28.129534873806278</v>
      </c>
      <c r="AX17" s="37">
        <v>666.94427935185922</v>
      </c>
      <c r="AY17" s="37">
        <v>-120.20997729386409</v>
      </c>
      <c r="AZ17" s="37">
        <v>1005.1773788262008</v>
      </c>
      <c r="BA17" s="37">
        <v>271.54639494923231</v>
      </c>
      <c r="BB17" s="37">
        <v>-205.31117824167177</v>
      </c>
      <c r="BC17" s="37">
        <v>-439.16058437470838</v>
      </c>
      <c r="BD17" s="37">
        <v>297.0766911572764</v>
      </c>
      <c r="BE17" s="37">
        <v>636.84480982771311</v>
      </c>
      <c r="BF17" s="37">
        <v>-316.79138517954925</v>
      </c>
      <c r="BG17" s="37">
        <v>547.55921782831228</v>
      </c>
      <c r="BH17" s="37">
        <v>458.15010975949826</v>
      </c>
      <c r="BI17" s="37">
        <v>351.16698684404537</v>
      </c>
      <c r="BJ17" s="37">
        <v>-302.11200000960162</v>
      </c>
      <c r="BK17" s="37">
        <v>-37.637887777978904</v>
      </c>
      <c r="BL17" s="37">
        <v>802.95140943611841</v>
      </c>
      <c r="BM17" s="37">
        <v>125.77538001194171</v>
      </c>
      <c r="BN17" s="37">
        <v>-934.01261102812168</v>
      </c>
      <c r="BO17" s="37">
        <v>-1211.5590849344553</v>
      </c>
      <c r="BP17" s="37">
        <v>-1125.9806857731401</v>
      </c>
      <c r="BQ17" s="37">
        <v>-1033.7765867249268</v>
      </c>
      <c r="BR17" s="37">
        <v>482.64241569554724</v>
      </c>
      <c r="BS17" s="37">
        <v>33.936117785638544</v>
      </c>
      <c r="BT17" s="37">
        <v>232.94027280156752</v>
      </c>
      <c r="BU17" s="37">
        <v>-191.4565348738065</v>
      </c>
      <c r="BV17" s="37">
        <v>668.9852793518603</v>
      </c>
      <c r="BW17" s="37">
        <v>-120.79597729386433</v>
      </c>
      <c r="BY17" s="66"/>
      <c r="BZ17" s="66"/>
    </row>
    <row r="18" spans="2:78">
      <c r="B18">
        <v>10065</v>
      </c>
      <c r="C18" t="s">
        <v>22</v>
      </c>
      <c r="D18" s="37">
        <v>41.763828960218802</v>
      </c>
      <c r="E18" s="37">
        <v>-116.74155175843055</v>
      </c>
      <c r="F18" s="37">
        <v>116.71198736295037</v>
      </c>
      <c r="G18" s="37">
        <v>92.331156802767509</v>
      </c>
      <c r="H18" s="37">
        <v>337.4440254504384</v>
      </c>
      <c r="I18" s="37">
        <v>272.37821107009449</v>
      </c>
      <c r="J18" s="37">
        <v>100.70671414561616</v>
      </c>
      <c r="K18" s="37">
        <v>84.287300389857819</v>
      </c>
      <c r="L18" s="37">
        <v>298.65537867427747</v>
      </c>
      <c r="M18" s="37">
        <v>204.77980607899269</v>
      </c>
      <c r="N18" s="37">
        <v>186.25047828547008</v>
      </c>
      <c r="O18" s="37">
        <v>262.67012889036255</v>
      </c>
      <c r="P18" s="37">
        <v>188.89710554552039</v>
      </c>
      <c r="Q18" s="37">
        <v>48.331557447736259</v>
      </c>
      <c r="R18" s="37">
        <v>-313.62708925852303</v>
      </c>
      <c r="S18" s="37">
        <v>-212.41004330692488</v>
      </c>
      <c r="T18" s="37">
        <v>-389.74437345471802</v>
      </c>
      <c r="U18" s="37">
        <v>-207.2124957356217</v>
      </c>
      <c r="V18" s="37">
        <v>-151.58853136388598</v>
      </c>
      <c r="W18" s="37">
        <v>-120.11951009684833</v>
      </c>
      <c r="X18" s="37">
        <v>-376.54604797790148</v>
      </c>
      <c r="Y18" s="37">
        <v>-172.85176320771063</v>
      </c>
      <c r="Z18" s="37">
        <v>-53.992062552256471</v>
      </c>
      <c r="AA18" s="37">
        <v>-121.2778514092916</v>
      </c>
      <c r="AB18" s="37">
        <v>87.873828960218702</v>
      </c>
      <c r="AC18" s="37">
        <v>-101.5565517584306</v>
      </c>
      <c r="AD18" s="37">
        <v>160.30298736295003</v>
      </c>
      <c r="AE18" s="37">
        <v>109.37415680276717</v>
      </c>
      <c r="AF18" s="37">
        <v>389.80102545043837</v>
      </c>
      <c r="AG18" s="37">
        <v>296.72821107009429</v>
      </c>
      <c r="AH18" s="37">
        <v>98.810714145616203</v>
      </c>
      <c r="AI18" s="37">
        <v>165.93830038985766</v>
      </c>
      <c r="AJ18" s="37">
        <v>346.57937867427768</v>
      </c>
      <c r="AK18" s="37">
        <v>226.44980607899276</v>
      </c>
      <c r="AL18" s="37">
        <v>290.92847828546996</v>
      </c>
      <c r="AM18" s="37">
        <v>231.64112889036255</v>
      </c>
      <c r="AN18" s="37">
        <v>230.39610554551973</v>
      </c>
      <c r="AO18" s="37">
        <v>65.524557447736242</v>
      </c>
      <c r="AP18" s="37">
        <v>-297.74508925852297</v>
      </c>
      <c r="AQ18" s="37">
        <v>-192.43904330692476</v>
      </c>
      <c r="AR18" s="37">
        <v>-460.97537345471824</v>
      </c>
      <c r="AS18" s="37">
        <v>-262.06249573562184</v>
      </c>
      <c r="AT18" s="37">
        <v>-221.84953136388617</v>
      </c>
      <c r="AU18" s="37">
        <v>-179.22951009684846</v>
      </c>
      <c r="AV18" s="37">
        <v>-448.92104797790171</v>
      </c>
      <c r="AW18" s="37">
        <v>-233.1567632077107</v>
      </c>
      <c r="AX18" s="37">
        <v>-123.7740625522564</v>
      </c>
      <c r="AY18" s="37">
        <v>-180.2058514092916</v>
      </c>
      <c r="AZ18" s="37">
        <v>56.345828960218455</v>
      </c>
      <c r="BA18" s="37">
        <v>-76.989551758430594</v>
      </c>
      <c r="BB18" s="37">
        <v>210.27198736294986</v>
      </c>
      <c r="BC18" s="37">
        <v>61.36515680276716</v>
      </c>
      <c r="BD18" s="37">
        <v>396.68202545043823</v>
      </c>
      <c r="BE18" s="37">
        <v>298.80721107009447</v>
      </c>
      <c r="BF18" s="37">
        <v>103.17071414561565</v>
      </c>
      <c r="BG18" s="37">
        <v>166.66930038985777</v>
      </c>
      <c r="BH18" s="37">
        <v>372.54430127267733</v>
      </c>
      <c r="BI18" s="37">
        <v>230.66426737819268</v>
      </c>
      <c r="BJ18" s="37">
        <v>295.12747828546958</v>
      </c>
      <c r="BK18" s="37">
        <v>232.49212889036255</v>
      </c>
      <c r="BL18" s="37">
        <v>191.02310554551968</v>
      </c>
      <c r="BM18" s="37">
        <v>103.10755744773633</v>
      </c>
      <c r="BN18" s="37">
        <v>-269.60408925852335</v>
      </c>
      <c r="BO18" s="37">
        <v>-226.94104330692494</v>
      </c>
      <c r="BP18" s="37">
        <v>-464.21637345471845</v>
      </c>
      <c r="BQ18" s="37">
        <v>-266.72049573562174</v>
      </c>
      <c r="BR18" s="37">
        <v>-252.48453136388616</v>
      </c>
      <c r="BS18" s="37">
        <v>-156.01451009684843</v>
      </c>
      <c r="BT18" s="37">
        <v>-430.43604797790158</v>
      </c>
      <c r="BU18" s="37">
        <v>-261.77176320771082</v>
      </c>
      <c r="BV18" s="37">
        <v>-127.94006255225656</v>
      </c>
      <c r="BW18" s="37">
        <v>-186.07985140929151</v>
      </c>
      <c r="BY18" s="66"/>
      <c r="BZ18" s="66"/>
    </row>
    <row r="19" spans="2:78">
      <c r="B19">
        <v>10066</v>
      </c>
      <c r="C19" t="s">
        <v>23</v>
      </c>
      <c r="D19" s="37">
        <v>969.2398658609618</v>
      </c>
      <c r="E19" s="37">
        <v>-852.19748305892608</v>
      </c>
      <c r="F19" s="37">
        <v>1644.1710610466234</v>
      </c>
      <c r="G19" s="37">
        <v>1070.9550622199849</v>
      </c>
      <c r="H19" s="37">
        <v>3116.0922594350886</v>
      </c>
      <c r="I19" s="37">
        <v>2495.4563631503761</v>
      </c>
      <c r="J19" s="37">
        <v>3234.7328017581149</v>
      </c>
      <c r="K19" s="37">
        <v>2355.4761587396715</v>
      </c>
      <c r="L19" s="37">
        <v>3333.3208417876103</v>
      </c>
      <c r="M19" s="37">
        <v>2072.89476092522</v>
      </c>
      <c r="N19" s="37">
        <v>1677.8071499632551</v>
      </c>
      <c r="O19" s="37">
        <v>2012.2625393642347</v>
      </c>
      <c r="P19" s="37">
        <v>1744.5275441565391</v>
      </c>
      <c r="Q19" s="37">
        <v>7.8421845623097397</v>
      </c>
      <c r="R19" s="37">
        <v>-2971.6841904416779</v>
      </c>
      <c r="S19" s="37">
        <v>-2616.5517249884497</v>
      </c>
      <c r="T19" s="37">
        <v>-4285.1978076038577</v>
      </c>
      <c r="U19" s="37">
        <v>-2915.2877543778686</v>
      </c>
      <c r="V19" s="37">
        <v>-1515.3538600547326</v>
      </c>
      <c r="W19" s="37">
        <v>-1816.0240770499986</v>
      </c>
      <c r="X19" s="37">
        <v>-3701.8726551240215</v>
      </c>
      <c r="Y19" s="37">
        <v>-2245.6425527432202</v>
      </c>
      <c r="Z19" s="37">
        <v>-1097.5329984170985</v>
      </c>
      <c r="AA19" s="37">
        <v>-1726.5850716293644</v>
      </c>
      <c r="AB19" s="37">
        <v>971.21986586096136</v>
      </c>
      <c r="AC19" s="37">
        <v>-856.94948305892558</v>
      </c>
      <c r="AD19" s="37">
        <v>1652.7030610466245</v>
      </c>
      <c r="AE19" s="37">
        <v>1071.7070622199853</v>
      </c>
      <c r="AF19" s="37">
        <v>3128.9742594350901</v>
      </c>
      <c r="AG19" s="37">
        <v>2498.4923631503761</v>
      </c>
      <c r="AH19" s="37">
        <v>2601.2298017581143</v>
      </c>
      <c r="AI19" s="37">
        <v>3006.759158739671</v>
      </c>
      <c r="AJ19" s="37">
        <v>3343.7658417876137</v>
      </c>
      <c r="AK19" s="37">
        <v>2075.0117609252184</v>
      </c>
      <c r="AL19" s="37">
        <v>2224.0221499632589</v>
      </c>
      <c r="AM19" s="37">
        <v>1474.1725393642346</v>
      </c>
      <c r="AN19" s="37">
        <v>1746.7385441565384</v>
      </c>
      <c r="AO19" s="37">
        <v>4.1541845623114568</v>
      </c>
      <c r="AP19" s="37">
        <v>-2975.1371904416774</v>
      </c>
      <c r="AQ19" s="37">
        <v>-2625.3997249884496</v>
      </c>
      <c r="AR19" s="37">
        <v>-4288.8648076038571</v>
      </c>
      <c r="AS19" s="37">
        <v>-2923.4067543778674</v>
      </c>
      <c r="AT19" s="37">
        <v>-1515.8798600547325</v>
      </c>
      <c r="AU19" s="37">
        <v>-1823.4250770499984</v>
      </c>
      <c r="AV19" s="37">
        <v>-3704.1716551240206</v>
      </c>
      <c r="AW19" s="37">
        <v>-2253.8755527432204</v>
      </c>
      <c r="AX19" s="37">
        <v>-1100.9119984170993</v>
      </c>
      <c r="AY19" s="37">
        <v>-1735.2790716293648</v>
      </c>
      <c r="AZ19" s="37">
        <v>611.22686586096279</v>
      </c>
      <c r="BA19" s="37">
        <v>-519.47448305892613</v>
      </c>
      <c r="BB19" s="37">
        <v>2164.4800610466227</v>
      </c>
      <c r="BC19" s="37">
        <v>548.40106221998485</v>
      </c>
      <c r="BD19" s="37">
        <v>3128.7962594350902</v>
      </c>
      <c r="BE19" s="37">
        <v>2492.2283631503751</v>
      </c>
      <c r="BF19" s="37">
        <v>2601.9148017581156</v>
      </c>
      <c r="BG19" s="37">
        <v>3001.2251587396713</v>
      </c>
      <c r="BH19" s="37">
        <v>3551.395827618011</v>
      </c>
      <c r="BI19" s="37">
        <v>2087.0712538404205</v>
      </c>
      <c r="BJ19" s="37">
        <v>2219.2261499632568</v>
      </c>
      <c r="BK19" s="37">
        <v>1465.8535393642351</v>
      </c>
      <c r="BL19" s="37">
        <v>1329.3005441565383</v>
      </c>
      <c r="BM19" s="37">
        <v>400.83718456231145</v>
      </c>
      <c r="BN19" s="37">
        <v>-2665.2451904416776</v>
      </c>
      <c r="BO19" s="37">
        <v>-2966.0007249884493</v>
      </c>
      <c r="BP19" s="37">
        <v>-4303.2778076038576</v>
      </c>
      <c r="BQ19" s="37">
        <v>-2938.6157543778681</v>
      </c>
      <c r="BR19" s="37">
        <v>-1866.3788600547323</v>
      </c>
      <c r="BS19" s="37">
        <v>-1499.8600770499979</v>
      </c>
      <c r="BT19" s="37">
        <v>-3427.3526551240211</v>
      </c>
      <c r="BU19" s="37">
        <v>-2559.8875527432201</v>
      </c>
      <c r="BV19" s="37">
        <v>-1114.6379984170981</v>
      </c>
      <c r="BW19" s="37">
        <v>-1751.414071629365</v>
      </c>
      <c r="BY19" s="66"/>
      <c r="BZ19" s="66"/>
    </row>
    <row r="20" spans="2:78">
      <c r="B20">
        <v>10067</v>
      </c>
      <c r="C20" t="s">
        <v>24</v>
      </c>
      <c r="D20" s="37">
        <v>1475.279781092433</v>
      </c>
      <c r="E20" s="37">
        <v>602.66366573100186</v>
      </c>
      <c r="F20" s="37">
        <v>66.699218921608917</v>
      </c>
      <c r="G20" s="37">
        <v>574.3765024141303</v>
      </c>
      <c r="H20" s="37">
        <v>449.80385652066798</v>
      </c>
      <c r="I20" s="37">
        <v>1290.2333217081268</v>
      </c>
      <c r="J20" s="37">
        <v>456.554791175231</v>
      </c>
      <c r="K20" s="37">
        <v>1013.0678404767932</v>
      </c>
      <c r="L20" s="37">
        <v>764.60681094725896</v>
      </c>
      <c r="M20" s="37">
        <v>916.63810640010161</v>
      </c>
      <c r="N20" s="37">
        <v>-323.46115280533104</v>
      </c>
      <c r="O20" s="37">
        <v>787.77631639927222</v>
      </c>
      <c r="P20" s="37">
        <v>1225.4147254494665</v>
      </c>
      <c r="Q20" s="37">
        <v>488.0332962981106</v>
      </c>
      <c r="R20" s="37">
        <v>-1170.8887274007475</v>
      </c>
      <c r="S20" s="37">
        <v>-707.97441035853353</v>
      </c>
      <c r="T20" s="37">
        <v>-1688.125842825686</v>
      </c>
      <c r="U20" s="37">
        <v>-743.09269122220485</v>
      </c>
      <c r="V20" s="37">
        <v>-176.15671061502144</v>
      </c>
      <c r="W20" s="37">
        <v>44.366300943477654</v>
      </c>
      <c r="X20" s="37">
        <v>-768.65546641496439</v>
      </c>
      <c r="Y20" s="37">
        <v>283.1299046875597</v>
      </c>
      <c r="Z20" s="37">
        <v>586.955245415018</v>
      </c>
      <c r="AA20" s="37">
        <v>358.21459972218008</v>
      </c>
      <c r="AB20" s="37">
        <v>1538.0637810924327</v>
      </c>
      <c r="AC20" s="37">
        <v>638.13666573100181</v>
      </c>
      <c r="AD20" s="37">
        <v>121.72521892160876</v>
      </c>
      <c r="AE20" s="37">
        <v>614.46350241412983</v>
      </c>
      <c r="AF20" s="37">
        <v>508.51585652066751</v>
      </c>
      <c r="AG20" s="37">
        <v>1329.8113217081273</v>
      </c>
      <c r="AH20" s="37">
        <v>151.35579117523048</v>
      </c>
      <c r="AI20" s="37">
        <v>1416.5568404767928</v>
      </c>
      <c r="AJ20" s="37">
        <v>819.02181094725893</v>
      </c>
      <c r="AK20" s="37">
        <v>951.00210640010118</v>
      </c>
      <c r="AL20" s="37">
        <v>34.881847194668808</v>
      </c>
      <c r="AM20" s="37">
        <v>527.72431639927254</v>
      </c>
      <c r="AN20" s="37">
        <v>1285.6227254494661</v>
      </c>
      <c r="AO20" s="37">
        <v>523.2802962981109</v>
      </c>
      <c r="AP20" s="37">
        <v>-1111.4857274007472</v>
      </c>
      <c r="AQ20" s="37">
        <v>-668.7654103585337</v>
      </c>
      <c r="AR20" s="37">
        <v>-1626.8948428256854</v>
      </c>
      <c r="AS20" s="37">
        <v>-708.89869122220489</v>
      </c>
      <c r="AT20" s="37">
        <v>-114.49971061502129</v>
      </c>
      <c r="AU20" s="37">
        <v>81.302300943478258</v>
      </c>
      <c r="AV20" s="37">
        <v>-707.07046641496436</v>
      </c>
      <c r="AW20" s="37">
        <v>320.14290468755962</v>
      </c>
      <c r="AX20" s="37">
        <v>646.27524541501771</v>
      </c>
      <c r="AY20" s="37">
        <v>394.21959972217974</v>
      </c>
      <c r="AZ20" s="37">
        <v>1334.5087810924324</v>
      </c>
      <c r="BA20" s="37">
        <v>939.94766573100151</v>
      </c>
      <c r="BB20" s="37">
        <v>478.75421892160921</v>
      </c>
      <c r="BC20" s="37">
        <v>352.54750241412967</v>
      </c>
      <c r="BD20" s="37">
        <v>567.22785652066705</v>
      </c>
      <c r="BE20" s="37">
        <v>1369.390321708127</v>
      </c>
      <c r="BF20" s="37">
        <v>208.10679117523068</v>
      </c>
      <c r="BG20" s="37">
        <v>1458.097840476793</v>
      </c>
      <c r="BH20" s="37">
        <v>890.32947406405856</v>
      </c>
      <c r="BI20" s="37">
        <v>951.60643795850137</v>
      </c>
      <c r="BJ20" s="37">
        <v>96.298847194669179</v>
      </c>
      <c r="BK20" s="37">
        <v>564.59931639927254</v>
      </c>
      <c r="BL20" s="37">
        <v>1071.5917254494661</v>
      </c>
      <c r="BM20" s="37">
        <v>832.76529629811057</v>
      </c>
      <c r="BN20" s="37">
        <v>-804.13872740074748</v>
      </c>
      <c r="BO20" s="37">
        <v>-877.49941035853408</v>
      </c>
      <c r="BP20" s="37">
        <v>-1565.665842825686</v>
      </c>
      <c r="BQ20" s="37">
        <v>-674.70569122220513</v>
      </c>
      <c r="BR20" s="37">
        <v>-314.97271061502124</v>
      </c>
      <c r="BS20" s="37">
        <v>380.36730094347786</v>
      </c>
      <c r="BT20" s="37">
        <v>-384.77646641496449</v>
      </c>
      <c r="BU20" s="37">
        <v>96.44590468755996</v>
      </c>
      <c r="BV20" s="37">
        <v>705.59424541501812</v>
      </c>
      <c r="BW20" s="37">
        <v>430.22559972218005</v>
      </c>
      <c r="BY20" s="66"/>
      <c r="BZ20" s="66"/>
    </row>
    <row r="21" spans="2:78">
      <c r="B21">
        <v>10068</v>
      </c>
      <c r="C21" t="s">
        <v>25</v>
      </c>
      <c r="D21" s="37">
        <v>162.23885122330512</v>
      </c>
      <c r="E21" s="37">
        <v>76.491191500554237</v>
      </c>
      <c r="F21" s="37">
        <v>46.479081832191014</v>
      </c>
      <c r="G21" s="37">
        <v>48.026751075173934</v>
      </c>
      <c r="H21" s="37">
        <v>106.58747226339688</v>
      </c>
      <c r="I21" s="37">
        <v>249.00353411938283</v>
      </c>
      <c r="J21" s="37">
        <v>59.446877087781331</v>
      </c>
      <c r="K21" s="37">
        <v>172.6448194713189</v>
      </c>
      <c r="L21" s="37">
        <v>103.16331501644777</v>
      </c>
      <c r="M21" s="37">
        <v>126.79918511746337</v>
      </c>
      <c r="N21" s="37">
        <v>-47.799549056797332</v>
      </c>
      <c r="O21" s="37">
        <v>88.226435003370625</v>
      </c>
      <c r="P21" s="37">
        <v>100.23746986585445</v>
      </c>
      <c r="Q21" s="37">
        <v>49.734719046156783</v>
      </c>
      <c r="R21" s="37">
        <v>-297.1497994116753</v>
      </c>
      <c r="S21" s="37">
        <v>-211.94585831788538</v>
      </c>
      <c r="T21" s="37">
        <v>-367.56751885131621</v>
      </c>
      <c r="U21" s="37">
        <v>-158.17718566243821</v>
      </c>
      <c r="V21" s="37">
        <v>-80.654396278613149</v>
      </c>
      <c r="W21" s="37">
        <v>-9.9676393973619497</v>
      </c>
      <c r="X21" s="37">
        <v>-177.2779417429856</v>
      </c>
      <c r="Y21" s="37">
        <v>-36.005430143126546</v>
      </c>
      <c r="Z21" s="37">
        <v>-17.050272300847269</v>
      </c>
      <c r="AA21" s="37">
        <v>14.86621996849874</v>
      </c>
      <c r="AB21" s="37">
        <v>162.75605976986469</v>
      </c>
      <c r="AC21" s="37">
        <v>76.804040475730176</v>
      </c>
      <c r="AD21" s="37">
        <v>46.479081832191014</v>
      </c>
      <c r="AE21" s="37">
        <v>48.026751075173934</v>
      </c>
      <c r="AF21" s="37">
        <v>106.58747226339688</v>
      </c>
      <c r="AG21" s="37">
        <v>249.00353411938283</v>
      </c>
      <c r="AH21" s="37">
        <v>59.446877087781331</v>
      </c>
      <c r="AI21" s="37">
        <v>172.6448194713189</v>
      </c>
      <c r="AJ21" s="37">
        <v>103.16331501644777</v>
      </c>
      <c r="AK21" s="37">
        <v>126.79918511746337</v>
      </c>
      <c r="AL21" s="37">
        <v>-47.799549056797332</v>
      </c>
      <c r="AM21" s="37">
        <v>88.226435003370625</v>
      </c>
      <c r="AN21" s="37">
        <v>100.23746986585445</v>
      </c>
      <c r="AO21" s="37">
        <v>49.734719046156783</v>
      </c>
      <c r="AP21" s="37">
        <v>-297.1497994116753</v>
      </c>
      <c r="AQ21" s="37">
        <v>-211.94585831788538</v>
      </c>
      <c r="AR21" s="37">
        <v>-367.56751885131621</v>
      </c>
      <c r="AS21" s="37">
        <v>-158.17718566243821</v>
      </c>
      <c r="AT21" s="37">
        <v>-80.654396278613149</v>
      </c>
      <c r="AU21" s="37">
        <v>-9.9676393973619497</v>
      </c>
      <c r="AV21" s="37">
        <v>-177.2779417429856</v>
      </c>
      <c r="AW21" s="37">
        <v>-36.005430143126546</v>
      </c>
      <c r="AX21" s="37">
        <v>-17.050272300847269</v>
      </c>
      <c r="AY21" s="37">
        <v>14.86621996849874</v>
      </c>
      <c r="AZ21" s="37">
        <v>162.75605976986469</v>
      </c>
      <c r="BA21" s="37">
        <v>76.804040475730176</v>
      </c>
      <c r="BB21" s="37">
        <v>47.120201673188376</v>
      </c>
      <c r="BC21" s="37">
        <v>48.446832456795846</v>
      </c>
      <c r="BD21" s="37">
        <v>107.36085196874888</v>
      </c>
      <c r="BE21" s="37">
        <v>249.4366514485115</v>
      </c>
      <c r="BF21" s="37">
        <v>60.249226945559712</v>
      </c>
      <c r="BG21" s="37">
        <v>173.11541816273143</v>
      </c>
      <c r="BH21" s="37">
        <v>95.080214810911684</v>
      </c>
      <c r="BI21" s="37">
        <v>126.77776786230652</v>
      </c>
      <c r="BJ21" s="37">
        <v>-47.078306998090966</v>
      </c>
      <c r="BK21" s="37">
        <v>88.614167903227667</v>
      </c>
      <c r="BL21" s="37">
        <v>100.76665267552107</v>
      </c>
      <c r="BM21" s="37">
        <v>50.065002984635612</v>
      </c>
      <c r="BN21" s="37">
        <v>-296.47627512427812</v>
      </c>
      <c r="BO21" s="37">
        <v>-211.50709111996275</v>
      </c>
      <c r="BP21" s="37">
        <v>-366.82711066014463</v>
      </c>
      <c r="BQ21" s="37">
        <v>-157.78155170719845</v>
      </c>
      <c r="BR21" s="37">
        <v>-80.013661499330283</v>
      </c>
      <c r="BS21" s="37">
        <v>-9.5971984160375996</v>
      </c>
      <c r="BT21" s="37">
        <v>-176.58844840490792</v>
      </c>
      <c r="BU21" s="37">
        <v>-35.65764259438572</v>
      </c>
      <c r="BV21" s="37">
        <v>-16.548863402511074</v>
      </c>
      <c r="BW21" s="37">
        <v>15.170384019292214</v>
      </c>
      <c r="BY21" s="66"/>
      <c r="BZ21" s="66"/>
    </row>
    <row r="22" spans="2:78">
      <c r="B22">
        <v>10070</v>
      </c>
      <c r="C22" t="s">
        <v>26</v>
      </c>
      <c r="D22" s="37">
        <v>49.318029173889698</v>
      </c>
      <c r="E22" s="37">
        <v>24.459360305298034</v>
      </c>
      <c r="F22" s="37">
        <v>16.691560386672222</v>
      </c>
      <c r="G22" s="37">
        <v>26.892329068036204</v>
      </c>
      <c r="H22" s="37">
        <v>41.421554840565761</v>
      </c>
      <c r="I22" s="37">
        <v>57.015198401310698</v>
      </c>
      <c r="J22" s="37">
        <v>36.758136124285727</v>
      </c>
      <c r="K22" s="37">
        <v>47.502932381221441</v>
      </c>
      <c r="L22" s="37">
        <v>37.387844295727916</v>
      </c>
      <c r="M22" s="37">
        <v>38.003178854632267</v>
      </c>
      <c r="N22" s="37">
        <v>5.4205170886169185</v>
      </c>
      <c r="O22" s="37">
        <v>32.963843436308125</v>
      </c>
      <c r="P22" s="37">
        <v>41.723566344669678</v>
      </c>
      <c r="Q22" s="37">
        <v>23.981879626360396</v>
      </c>
      <c r="R22" s="37">
        <v>-14.630168998908658</v>
      </c>
      <c r="S22" s="37">
        <v>-2.2698682723514167</v>
      </c>
      <c r="T22" s="37">
        <v>-27.894680557536986</v>
      </c>
      <c r="U22" s="37">
        <v>-2.9130246308938155</v>
      </c>
      <c r="V22" s="37">
        <v>15.133366062190277</v>
      </c>
      <c r="W22" s="37">
        <v>15.624990743622035</v>
      </c>
      <c r="X22" s="37">
        <v>1.9366921282266105</v>
      </c>
      <c r="Y22" s="37">
        <v>18.658962619828415</v>
      </c>
      <c r="Z22" s="37">
        <v>33.805139822614848</v>
      </c>
      <c r="AA22" s="37">
        <v>19.873331098447778</v>
      </c>
      <c r="AB22" s="37">
        <v>49.482029173889714</v>
      </c>
      <c r="AC22" s="37">
        <v>24.554360305298033</v>
      </c>
      <c r="AD22" s="37">
        <v>16.855560386672209</v>
      </c>
      <c r="AE22" s="37">
        <v>27.014329068036218</v>
      </c>
      <c r="AF22" s="37">
        <v>41.644554840565746</v>
      </c>
      <c r="AG22" s="37">
        <v>57.171198401310704</v>
      </c>
      <c r="AH22" s="37">
        <v>28.137136124285718</v>
      </c>
      <c r="AI22" s="37">
        <v>56.503932381221446</v>
      </c>
      <c r="AJ22" s="37">
        <v>37.573844295727923</v>
      </c>
      <c r="AK22" s="37">
        <v>38.124178854632277</v>
      </c>
      <c r="AL22" s="37">
        <v>12.548517088616904</v>
      </c>
      <c r="AM22" s="37">
        <v>26.128843436308117</v>
      </c>
      <c r="AN22" s="37">
        <v>41.883566344669674</v>
      </c>
      <c r="AO22" s="37">
        <v>24.079879626360395</v>
      </c>
      <c r="AP22" s="37">
        <v>-14.489168998908639</v>
      </c>
      <c r="AQ22" s="37">
        <v>-2.1718682723514178</v>
      </c>
      <c r="AR22" s="37">
        <v>-27.751680557536986</v>
      </c>
      <c r="AS22" s="37">
        <v>-2.8250246308938216</v>
      </c>
      <c r="AT22" s="37">
        <v>15.294366062190278</v>
      </c>
      <c r="AU22" s="37">
        <v>15.72499074362203</v>
      </c>
      <c r="AV22" s="37">
        <v>2.0966921282266071</v>
      </c>
      <c r="AW22" s="37">
        <v>18.755962619828409</v>
      </c>
      <c r="AX22" s="37">
        <v>33.949139822614825</v>
      </c>
      <c r="AY22" s="37">
        <v>19.961331098447772</v>
      </c>
      <c r="AZ22" s="37">
        <v>43.464029173889713</v>
      </c>
      <c r="BA22" s="37">
        <v>30.830360305298029</v>
      </c>
      <c r="BB22" s="37">
        <v>24.038560386672231</v>
      </c>
      <c r="BC22" s="37">
        <v>20.118329068036218</v>
      </c>
      <c r="BD22" s="37">
        <v>41.866554840565755</v>
      </c>
      <c r="BE22" s="37">
        <v>57.32719840131071</v>
      </c>
      <c r="BF22" s="37">
        <v>28.354136124285731</v>
      </c>
      <c r="BG22" s="37">
        <v>56.668932381221438</v>
      </c>
      <c r="BH22" s="37">
        <v>38.526200430127915</v>
      </c>
      <c r="BI22" s="37">
        <v>37.518856921832267</v>
      </c>
      <c r="BJ22" s="37">
        <v>12.728517088616911</v>
      </c>
      <c r="BK22" s="37">
        <v>26.243843436308111</v>
      </c>
      <c r="BL22" s="37">
        <v>35.668566344669671</v>
      </c>
      <c r="BM22" s="37">
        <v>30.551879626360403</v>
      </c>
      <c r="BN22" s="37">
        <v>-8.5791689989086422</v>
      </c>
      <c r="BO22" s="37">
        <v>-7.8428682723514243</v>
      </c>
      <c r="BP22" s="37">
        <v>-27.607680557537009</v>
      </c>
      <c r="BQ22" s="37">
        <v>-2.7380246308938183</v>
      </c>
      <c r="BR22" s="37">
        <v>9.20936606219027</v>
      </c>
      <c r="BS22" s="37">
        <v>22.070990743622033</v>
      </c>
      <c r="BT22" s="37">
        <v>8.427692128226596</v>
      </c>
      <c r="BU22" s="37">
        <v>12.682962619828416</v>
      </c>
      <c r="BV22" s="37">
        <v>34.094139822614835</v>
      </c>
      <c r="BW22" s="37">
        <v>20.048331098447775</v>
      </c>
      <c r="BY22" s="66"/>
      <c r="BZ22" s="66"/>
    </row>
    <row r="23" spans="2:78">
      <c r="B23">
        <v>10071</v>
      </c>
      <c r="C23" t="s">
        <v>27</v>
      </c>
      <c r="D23" s="37">
        <v>131.03198606980209</v>
      </c>
      <c r="E23" s="37">
        <v>46.253193652462699</v>
      </c>
      <c r="F23" s="37">
        <v>-54.422547651965488</v>
      </c>
      <c r="G23" s="37">
        <v>14.118314843946337</v>
      </c>
      <c r="H23" s="37">
        <v>155.277403502266</v>
      </c>
      <c r="I23" s="37">
        <v>171.66780694862393</v>
      </c>
      <c r="J23" s="37">
        <v>125.41876493694326</v>
      </c>
      <c r="K23" s="37">
        <v>136.81344761858759</v>
      </c>
      <c r="L23" s="37">
        <v>78.914126208443577</v>
      </c>
      <c r="M23" s="37">
        <v>97.252145119533054</v>
      </c>
      <c r="N23" s="37">
        <v>13.645230597826412</v>
      </c>
      <c r="O23" s="37">
        <v>130.66971224090355</v>
      </c>
      <c r="P23" s="37">
        <v>159.97635769018268</v>
      </c>
      <c r="Q23" s="37">
        <v>76.011800161434337</v>
      </c>
      <c r="R23" s="37">
        <v>-197.63468581906488</v>
      </c>
      <c r="S23" s="37">
        <v>-121.69059282569015</v>
      </c>
      <c r="T23" s="37">
        <v>-278.33913930941196</v>
      </c>
      <c r="U23" s="37">
        <v>-143.80514722267191</v>
      </c>
      <c r="V23" s="37">
        <v>-146.2612977320664</v>
      </c>
      <c r="W23" s="37">
        <v>-87.688930558632876</v>
      </c>
      <c r="X23" s="37">
        <v>-210.55235300296602</v>
      </c>
      <c r="Y23" s="37">
        <v>-49.037271343382486</v>
      </c>
      <c r="Z23" s="37">
        <v>-21.350583727944468</v>
      </c>
      <c r="AA23" s="37">
        <v>-23.448089834736209</v>
      </c>
      <c r="AB23" s="37">
        <v>133.89917324996281</v>
      </c>
      <c r="AC23" s="37">
        <v>47.84092018969875</v>
      </c>
      <c r="AD23" s="37">
        <v>-52.065227413461571</v>
      </c>
      <c r="AE23" s="37">
        <v>15.86919277151344</v>
      </c>
      <c r="AF23" s="37">
        <v>154.11733394423777</v>
      </c>
      <c r="AG23" s="37">
        <v>171.01813095493083</v>
      </c>
      <c r="AH23" s="37">
        <v>83.018240150275687</v>
      </c>
      <c r="AI23" s="37">
        <v>177.30454958146879</v>
      </c>
      <c r="AJ23" s="37">
        <v>77.945833950347378</v>
      </c>
      <c r="AK23" s="37">
        <v>96.69879971906829</v>
      </c>
      <c r="AL23" s="37">
        <v>46.733367509766936</v>
      </c>
      <c r="AM23" s="37">
        <v>95.918112891117971</v>
      </c>
      <c r="AN23" s="37">
        <v>159.18258347568269</v>
      </c>
      <c r="AO23" s="37">
        <v>75.516374253715981</v>
      </c>
      <c r="AP23" s="37">
        <v>-198.64497225016078</v>
      </c>
      <c r="AQ23" s="37">
        <v>-122.34874362257415</v>
      </c>
      <c r="AR23" s="37">
        <v>-279.44975159616911</v>
      </c>
      <c r="AS23" s="37">
        <v>-144.3985981555316</v>
      </c>
      <c r="AT23" s="37">
        <v>-147.22239990099047</v>
      </c>
      <c r="AU23" s="37">
        <v>-88.244592030619344</v>
      </c>
      <c r="AV23" s="37">
        <v>-211.58659301008288</v>
      </c>
      <c r="AW23" s="37">
        <v>-49.558952666493724</v>
      </c>
      <c r="AX23" s="37">
        <v>-22.102697075448646</v>
      </c>
      <c r="AY23" s="37">
        <v>-23.904335910926477</v>
      </c>
      <c r="AZ23" s="37">
        <v>106.78417324996281</v>
      </c>
      <c r="BA23" s="37">
        <v>74.956920189698735</v>
      </c>
      <c r="BB23" s="37">
        <v>-22.111227413461506</v>
      </c>
      <c r="BC23" s="37">
        <v>-14.085807228486601</v>
      </c>
      <c r="BD23" s="37">
        <v>154.11733394423777</v>
      </c>
      <c r="BE23" s="37">
        <v>171.01813095493083</v>
      </c>
      <c r="BF23" s="37">
        <v>83.018240150275687</v>
      </c>
      <c r="BG23" s="37">
        <v>177.30454958146879</v>
      </c>
      <c r="BH23" s="37">
        <v>80.90232667354735</v>
      </c>
      <c r="BI23" s="37">
        <v>94.186046080668348</v>
      </c>
      <c r="BJ23" s="37">
        <v>46.733367509766936</v>
      </c>
      <c r="BK23" s="37">
        <v>95.918112891117971</v>
      </c>
      <c r="BL23" s="37">
        <v>129.16158347568262</v>
      </c>
      <c r="BM23" s="37">
        <v>105.53737425371594</v>
      </c>
      <c r="BN23" s="37">
        <v>-174.16297225016069</v>
      </c>
      <c r="BO23" s="37">
        <v>-146.83174362257415</v>
      </c>
      <c r="BP23" s="37">
        <v>-279.44975159616911</v>
      </c>
      <c r="BQ23" s="37">
        <v>-144.3985981555316</v>
      </c>
      <c r="BR23" s="37">
        <v>-170.66239990099052</v>
      </c>
      <c r="BS23" s="37">
        <v>-64.804592030619347</v>
      </c>
      <c r="BT23" s="37">
        <v>-187.95259301008286</v>
      </c>
      <c r="BU23" s="37">
        <v>-73.192952666493738</v>
      </c>
      <c r="BV23" s="37">
        <v>-22.102697075448646</v>
      </c>
      <c r="BW23" s="37">
        <v>-23.904335910926477</v>
      </c>
      <c r="BY23" s="66"/>
      <c r="BZ23" s="66"/>
    </row>
    <row r="24" spans="2:78">
      <c r="B24">
        <v>10072</v>
      </c>
      <c r="C24" t="s">
        <v>28</v>
      </c>
      <c r="D24" s="37">
        <v>2217.1344247113848</v>
      </c>
      <c r="E24" s="37">
        <v>1048.1578340896476</v>
      </c>
      <c r="F24" s="37">
        <v>4.9641371618927224</v>
      </c>
      <c r="G24" s="37">
        <v>-38.702476452368501</v>
      </c>
      <c r="H24" s="37">
        <v>452.46605811227164</v>
      </c>
      <c r="I24" s="37">
        <v>2140.6347459898952</v>
      </c>
      <c r="J24" s="37">
        <v>585.34736250495553</v>
      </c>
      <c r="K24" s="37">
        <v>1709.6353975695256</v>
      </c>
      <c r="L24" s="37">
        <v>196.70061727729444</v>
      </c>
      <c r="M24" s="37">
        <v>441.6873146107373</v>
      </c>
      <c r="N24" s="37">
        <v>-859.25904183382409</v>
      </c>
      <c r="O24" s="37">
        <v>425.32081972478227</v>
      </c>
      <c r="P24" s="37">
        <v>1270.512999624536</v>
      </c>
      <c r="Q24" s="37">
        <v>563.33255158248539</v>
      </c>
      <c r="R24" s="37">
        <v>-2247.2384871200265</v>
      </c>
      <c r="S24" s="37">
        <v>-1798.2849783618003</v>
      </c>
      <c r="T24" s="37">
        <v>-3340.948146840552</v>
      </c>
      <c r="U24" s="37">
        <v>-1465.4867827316993</v>
      </c>
      <c r="V24" s="37">
        <v>-960.37106097270225</v>
      </c>
      <c r="W24" s="37">
        <v>-199.51236620448526</v>
      </c>
      <c r="X24" s="37">
        <v>-1409.3324938145361</v>
      </c>
      <c r="Y24" s="37">
        <v>-340.1131892907506</v>
      </c>
      <c r="Z24" s="37">
        <v>831.3148575236828</v>
      </c>
      <c r="AA24" s="37">
        <v>771.31520638964503</v>
      </c>
      <c r="AB24" s="37">
        <v>2345.2014247113821</v>
      </c>
      <c r="AC24" s="37">
        <v>1084.7998340896484</v>
      </c>
      <c r="AD24" s="37">
        <v>316.91813716189426</v>
      </c>
      <c r="AE24" s="37">
        <v>110.45352354763145</v>
      </c>
      <c r="AF24" s="37">
        <v>688.60205811227206</v>
      </c>
      <c r="AG24" s="37">
        <v>2261.1707459898971</v>
      </c>
      <c r="AH24" s="37">
        <v>881.34436250495492</v>
      </c>
      <c r="AI24" s="37">
        <v>1832.414397569526</v>
      </c>
      <c r="AJ24" s="37">
        <v>437.05261727729339</v>
      </c>
      <c r="AK24" s="37">
        <v>552.27631461073724</v>
      </c>
      <c r="AL24" s="37">
        <v>-783.10104183382464</v>
      </c>
      <c r="AM24" s="37">
        <v>485.47381972478161</v>
      </c>
      <c r="AN24" s="37">
        <v>1306.816999624536</v>
      </c>
      <c r="AO24" s="37">
        <v>560.45255158248528</v>
      </c>
      <c r="AP24" s="37">
        <v>-2265.0534871200271</v>
      </c>
      <c r="AQ24" s="37">
        <v>-1909.8799783617997</v>
      </c>
      <c r="AR24" s="37">
        <v>-3446.9451468405514</v>
      </c>
      <c r="AS24" s="37">
        <v>-1603.5837827317</v>
      </c>
      <c r="AT24" s="37">
        <v>-1128.232060972703</v>
      </c>
      <c r="AU24" s="37">
        <v>-367.89136620448608</v>
      </c>
      <c r="AV24" s="37">
        <v>-1689.2494938145355</v>
      </c>
      <c r="AW24" s="37">
        <v>-598.25718929074992</v>
      </c>
      <c r="AX24" s="37">
        <v>461.99385752368289</v>
      </c>
      <c r="AY24" s="37">
        <v>470.71920638964457</v>
      </c>
      <c r="AZ24" s="37">
        <v>2401.1494247113824</v>
      </c>
      <c r="BA24" s="37">
        <v>1034.7458340896483</v>
      </c>
      <c r="BB24" s="37">
        <v>273.51513716189402</v>
      </c>
      <c r="BC24" s="37">
        <v>158.65152354763177</v>
      </c>
      <c r="BD24" s="37">
        <v>685.15305811227154</v>
      </c>
      <c r="BE24" s="37">
        <v>2256.2997459898961</v>
      </c>
      <c r="BF24" s="37">
        <v>884.8913625049554</v>
      </c>
      <c r="BG24" s="37">
        <v>1830.0223975695262</v>
      </c>
      <c r="BH24" s="37">
        <v>369.63975943409423</v>
      </c>
      <c r="BI24" s="37">
        <v>546.7163856891375</v>
      </c>
      <c r="BJ24" s="37">
        <v>-775.54004183382494</v>
      </c>
      <c r="BK24" s="37">
        <v>487.41781972478202</v>
      </c>
      <c r="BL24" s="37">
        <v>1363.3059996245356</v>
      </c>
      <c r="BM24" s="37">
        <v>511.36755158248525</v>
      </c>
      <c r="BN24" s="37">
        <v>-2306.2734871200282</v>
      </c>
      <c r="BO24" s="37">
        <v>-1861.0769783617989</v>
      </c>
      <c r="BP24" s="37">
        <v>-3440.604146840551</v>
      </c>
      <c r="BQ24" s="37">
        <v>-1604.0977827316992</v>
      </c>
      <c r="BR24" s="37">
        <v>-1062.1620609727033</v>
      </c>
      <c r="BS24" s="37">
        <v>-412.03336620448499</v>
      </c>
      <c r="BT24" s="37">
        <v>-1726.6144938145371</v>
      </c>
      <c r="BU24" s="37">
        <v>-548.18418929075142</v>
      </c>
      <c r="BV24" s="37">
        <v>464.12285752368371</v>
      </c>
      <c r="BW24" s="37">
        <v>467.95920638964435</v>
      </c>
      <c r="BY24" s="66"/>
      <c r="BZ24" s="66"/>
    </row>
    <row r="25" spans="2:78">
      <c r="B25">
        <v>10074</v>
      </c>
      <c r="C25" t="s">
        <v>29</v>
      </c>
      <c r="D25" s="37">
        <v>2974.0141007827569</v>
      </c>
      <c r="E25" s="37">
        <v>435.50329150350353</v>
      </c>
      <c r="F25" s="37">
        <v>18.947240856947246</v>
      </c>
      <c r="G25" s="37">
        <v>-137.90891535020819</v>
      </c>
      <c r="H25" s="37">
        <v>282.20582088975061</v>
      </c>
      <c r="I25" s="37">
        <v>592.09764735408316</v>
      </c>
      <c r="J25" s="37">
        <v>-414.80286585179238</v>
      </c>
      <c r="K25" s="37">
        <v>-122.22710302837731</v>
      </c>
      <c r="L25" s="37">
        <v>2074.6418086349331</v>
      </c>
      <c r="M25" s="37">
        <v>1007.2101713522634</v>
      </c>
      <c r="N25" s="37">
        <v>379.89362603727386</v>
      </c>
      <c r="O25" s="37">
        <v>1033.0679809978083</v>
      </c>
      <c r="P25" s="37">
        <v>2903.8468331612257</v>
      </c>
      <c r="Q25" s="37">
        <v>628.51722908779539</v>
      </c>
      <c r="R25" s="37">
        <v>-2546.1818760488313</v>
      </c>
      <c r="S25" s="37">
        <v>-2450.8003263940473</v>
      </c>
      <c r="T25" s="37">
        <v>-3621.1397919779338</v>
      </c>
      <c r="U25" s="37">
        <v>-2520.3086372396019</v>
      </c>
      <c r="V25" s="37">
        <v>-152.10748940268786</v>
      </c>
      <c r="W25" s="37">
        <v>-881.18164053394139</v>
      </c>
      <c r="X25" s="37">
        <v>-729.37876954322564</v>
      </c>
      <c r="Y25" s="37">
        <v>-237.35840738574188</v>
      </c>
      <c r="Z25" s="37">
        <v>1432.506861701615</v>
      </c>
      <c r="AA25" s="37">
        <v>57.755869374034774</v>
      </c>
      <c r="AB25" s="37">
        <v>2988.9011007827576</v>
      </c>
      <c r="AC25" s="37">
        <v>404.20329150350244</v>
      </c>
      <c r="AD25" s="37">
        <v>46.576240856948061</v>
      </c>
      <c r="AE25" s="37">
        <v>-155.34191535020727</v>
      </c>
      <c r="AF25" s="37">
        <v>345.09782088975408</v>
      </c>
      <c r="AG25" s="37">
        <v>597.90964735408306</v>
      </c>
      <c r="AH25" s="37">
        <v>-894.16686585179559</v>
      </c>
      <c r="AI25" s="37">
        <v>415.76389697162267</v>
      </c>
      <c r="AJ25" s="37">
        <v>2132.6978086349336</v>
      </c>
      <c r="AK25" s="37">
        <v>1010.6181713522628</v>
      </c>
      <c r="AL25" s="37">
        <v>924.78962603727086</v>
      </c>
      <c r="AM25" s="37">
        <v>514.73798099780834</v>
      </c>
      <c r="AN25" s="37">
        <v>2919.1538331612246</v>
      </c>
      <c r="AO25" s="37">
        <v>602.14422908779488</v>
      </c>
      <c r="AP25" s="37">
        <v>-2557.6648760488297</v>
      </c>
      <c r="AQ25" s="37">
        <v>-2503.2993263940471</v>
      </c>
      <c r="AR25" s="37">
        <v>-3629.1487919779338</v>
      </c>
      <c r="AS25" s="37">
        <v>-2564.5496372396019</v>
      </c>
      <c r="AT25" s="37">
        <v>-140.02148940268853</v>
      </c>
      <c r="AU25" s="37">
        <v>-920.64964053394033</v>
      </c>
      <c r="AV25" s="37">
        <v>-710.62576954322503</v>
      </c>
      <c r="AW25" s="37">
        <v>-272.16640738574097</v>
      </c>
      <c r="AX25" s="37">
        <v>1430.6798617016138</v>
      </c>
      <c r="AY25" s="37">
        <v>13.218869374035421</v>
      </c>
      <c r="AZ25" s="37">
        <v>2555.4981007827591</v>
      </c>
      <c r="BA25" s="37">
        <v>807.51229150350355</v>
      </c>
      <c r="BB25" s="37">
        <v>533.74924085694693</v>
      </c>
      <c r="BC25" s="37">
        <v>-643.89891535020797</v>
      </c>
      <c r="BD25" s="37">
        <v>394.77582088975396</v>
      </c>
      <c r="BE25" s="37">
        <v>596.91864735408308</v>
      </c>
      <c r="BF25" s="37">
        <v>-864.58886585179607</v>
      </c>
      <c r="BG25" s="37">
        <v>413.19289697162276</v>
      </c>
      <c r="BH25" s="37">
        <v>2347.9873689677315</v>
      </c>
      <c r="BI25" s="37">
        <v>988.15345151866222</v>
      </c>
      <c r="BJ25" s="37">
        <v>956.89462603727225</v>
      </c>
      <c r="BK25" s="37">
        <v>500.27398099780658</v>
      </c>
      <c r="BL25" s="37">
        <v>2458.9158331612234</v>
      </c>
      <c r="BM25" s="37">
        <v>1039.8192290877951</v>
      </c>
      <c r="BN25" s="37">
        <v>-2211.4758760488294</v>
      </c>
      <c r="BO25" s="37">
        <v>-2912.7473263940474</v>
      </c>
      <c r="BP25" s="37">
        <v>-3643.4167919779338</v>
      </c>
      <c r="BQ25" s="37">
        <v>-2604.1536372396013</v>
      </c>
      <c r="BR25" s="37">
        <v>-548.77848940268996</v>
      </c>
      <c r="BS25" s="37">
        <v>-547.32064053394242</v>
      </c>
      <c r="BT25" s="37">
        <v>-279.72776954322399</v>
      </c>
      <c r="BU25" s="37">
        <v>-729.86340738574199</v>
      </c>
      <c r="BV25" s="37">
        <v>1421.4188617016134</v>
      </c>
      <c r="BW25" s="37">
        <v>-26.925130625964812</v>
      </c>
      <c r="BY25" s="66"/>
      <c r="BZ25" s="66"/>
    </row>
    <row r="26" spans="2:78">
      <c r="B26">
        <v>10076</v>
      </c>
      <c r="C26" t="s">
        <v>30</v>
      </c>
      <c r="D26" s="37">
        <v>290.66487759853999</v>
      </c>
      <c r="E26" s="37">
        <v>217.28111708780716</v>
      </c>
      <c r="F26" s="37">
        <v>-221.4318581984819</v>
      </c>
      <c r="G26" s="37">
        <v>130.11969212335975</v>
      </c>
      <c r="H26" s="37">
        <v>18.050654012707582</v>
      </c>
      <c r="I26" s="37">
        <v>398.63870099396172</v>
      </c>
      <c r="J26" s="37">
        <v>-74.324140379907476</v>
      </c>
      <c r="K26" s="37">
        <v>346.69195901185844</v>
      </c>
      <c r="L26" s="37">
        <v>39.106753691703943</v>
      </c>
      <c r="M26" s="37">
        <v>299.46469861086393</v>
      </c>
      <c r="N26" s="37">
        <v>-308.02931504148773</v>
      </c>
      <c r="O26" s="37">
        <v>232.44514373708625</v>
      </c>
      <c r="P26" s="37">
        <v>143.44157606087401</v>
      </c>
      <c r="Q26" s="37">
        <v>129.92847963316171</v>
      </c>
      <c r="R26" s="37">
        <v>-493.91900930622523</v>
      </c>
      <c r="S26" s="37">
        <v>-196.2192269214072</v>
      </c>
      <c r="T26" s="37">
        <v>-532.34991141656428</v>
      </c>
      <c r="U26" s="37">
        <v>-151.34570247941201</v>
      </c>
      <c r="V26" s="37">
        <v>-34.142760405853096</v>
      </c>
      <c r="W26" s="37">
        <v>84.360356137370673</v>
      </c>
      <c r="X26" s="37">
        <v>-419.46254950026741</v>
      </c>
      <c r="Y26" s="37">
        <v>3.1309276656113525</v>
      </c>
      <c r="Z26" s="37">
        <v>13.913178919527581</v>
      </c>
      <c r="AA26" s="37">
        <v>81.534996921105176</v>
      </c>
      <c r="AB26" s="37">
        <v>291.50987759854024</v>
      </c>
      <c r="AC26" s="37">
        <v>216.51411708780711</v>
      </c>
      <c r="AD26" s="37">
        <v>-220.88885819848178</v>
      </c>
      <c r="AE26" s="37">
        <v>129.60369212335968</v>
      </c>
      <c r="AF26" s="37">
        <v>18.762654012708026</v>
      </c>
      <c r="AG26" s="37">
        <v>398.00270099396153</v>
      </c>
      <c r="AH26" s="37">
        <v>-169.36914037990709</v>
      </c>
      <c r="AI26" s="37">
        <v>441.81295901185854</v>
      </c>
      <c r="AJ26" s="37">
        <v>39.547753691704656</v>
      </c>
      <c r="AK26" s="37">
        <v>299.09269861086386</v>
      </c>
      <c r="AL26" s="37">
        <v>-231.23531504148787</v>
      </c>
      <c r="AM26" s="37">
        <v>155.77614373708616</v>
      </c>
      <c r="AN26" s="37">
        <v>144.13257606087382</v>
      </c>
      <c r="AO26" s="37">
        <v>129.31347963316171</v>
      </c>
      <c r="AP26" s="37">
        <v>-492.93800930622501</v>
      </c>
      <c r="AQ26" s="37">
        <v>-197.12922692140728</v>
      </c>
      <c r="AR26" s="37">
        <v>-531.33091141656405</v>
      </c>
      <c r="AS26" s="37">
        <v>-152.29570247941206</v>
      </c>
      <c r="AT26" s="37">
        <v>-32.866760405853256</v>
      </c>
      <c r="AU26" s="37">
        <v>83.153356137370565</v>
      </c>
      <c r="AV26" s="37">
        <v>-418.13654950026739</v>
      </c>
      <c r="AW26" s="37">
        <v>1.8769276656116745</v>
      </c>
      <c r="AX26" s="37">
        <v>14.976178919527683</v>
      </c>
      <c r="AY26" s="37">
        <v>80.541996921105692</v>
      </c>
      <c r="AZ26" s="37">
        <v>224.31987759854019</v>
      </c>
      <c r="BA26" s="37">
        <v>283.78211708780736</v>
      </c>
      <c r="BB26" s="37">
        <v>-145.66285819848167</v>
      </c>
      <c r="BC26" s="37">
        <v>54.404692123359837</v>
      </c>
      <c r="BD26" s="37">
        <v>19.473654012708266</v>
      </c>
      <c r="BE26" s="37">
        <v>397.36670099396156</v>
      </c>
      <c r="BF26" s="37">
        <v>-168.86614037990694</v>
      </c>
      <c r="BG26" s="37">
        <v>441.38595901185863</v>
      </c>
      <c r="BH26" s="37">
        <v>45.647198683704119</v>
      </c>
      <c r="BI26" s="37">
        <v>296.69342110686421</v>
      </c>
      <c r="BJ26" s="37">
        <v>-230.70831504148782</v>
      </c>
      <c r="BK26" s="37">
        <v>155.37414373708634</v>
      </c>
      <c r="BL26" s="37">
        <v>77.297576060874007</v>
      </c>
      <c r="BM26" s="37">
        <v>196.22447963316154</v>
      </c>
      <c r="BN26" s="37">
        <v>-429.25300930622507</v>
      </c>
      <c r="BO26" s="37">
        <v>-260.74222692140734</v>
      </c>
      <c r="BP26" s="37">
        <v>-530.31091141656407</v>
      </c>
      <c r="BQ26" s="37">
        <v>-153.24570247941188</v>
      </c>
      <c r="BR26" s="37">
        <v>-103.27376040585341</v>
      </c>
      <c r="BS26" s="37">
        <v>153.63035613737088</v>
      </c>
      <c r="BT26" s="37">
        <v>-353.08354950026751</v>
      </c>
      <c r="BU26" s="37">
        <v>-63.103072334388344</v>
      </c>
      <c r="BV26" s="37">
        <v>16.040178919527762</v>
      </c>
      <c r="BW26" s="37">
        <v>79.549996921105503</v>
      </c>
      <c r="BY26" s="66"/>
      <c r="BZ26" s="66"/>
    </row>
    <row r="27" spans="2:78">
      <c r="B27">
        <v>10078</v>
      </c>
      <c r="C27" t="s">
        <v>31</v>
      </c>
      <c r="D27" s="37">
        <v>477.80744220037582</v>
      </c>
      <c r="E27" s="37">
        <v>29.32108093960494</v>
      </c>
      <c r="F27" s="37">
        <v>220.66749595092324</v>
      </c>
      <c r="G27" s="37">
        <v>48.131105677097366</v>
      </c>
      <c r="H27" s="37">
        <v>296.42569079889745</v>
      </c>
      <c r="I27" s="37">
        <v>180.84706699932599</v>
      </c>
      <c r="J27" s="37">
        <v>111.17977205169836</v>
      </c>
      <c r="K27" s="37">
        <v>-12.582176735136727</v>
      </c>
      <c r="L27" s="37">
        <v>332.65330188041025</v>
      </c>
      <c r="M27" s="37">
        <v>134.05862158944103</v>
      </c>
      <c r="N27" s="37">
        <v>174.86877442449531</v>
      </c>
      <c r="O27" s="37">
        <v>143.389733973945</v>
      </c>
      <c r="P27" s="37">
        <v>430.08976991203122</v>
      </c>
      <c r="Q27" s="37">
        <v>45.708216939207773</v>
      </c>
      <c r="R27" s="37">
        <v>-281.37153583127974</v>
      </c>
      <c r="S27" s="37">
        <v>-355.57598976563509</v>
      </c>
      <c r="T27" s="37">
        <v>-476.90582810439696</v>
      </c>
      <c r="U27" s="37">
        <v>-385.80642690715831</v>
      </c>
      <c r="V27" s="37">
        <v>-261.02118260358361</v>
      </c>
      <c r="W27" s="37">
        <v>-302.52960714442816</v>
      </c>
      <c r="X27" s="37">
        <v>-332.53457241165052</v>
      </c>
      <c r="Y27" s="37">
        <v>-214.28722750601924</v>
      </c>
      <c r="Z27" s="37">
        <v>114.99932195259998</v>
      </c>
      <c r="AA27" s="37">
        <v>-115.83415687582919</v>
      </c>
      <c r="AB27" s="37">
        <v>475.74812682182278</v>
      </c>
      <c r="AC27" s="37">
        <v>27.377619774729055</v>
      </c>
      <c r="AD27" s="37">
        <v>221.24965706394187</v>
      </c>
      <c r="AE27" s="37">
        <v>48.254536005744058</v>
      </c>
      <c r="AF27" s="37">
        <v>297.13503286143305</v>
      </c>
      <c r="AG27" s="37">
        <v>181.28324569542519</v>
      </c>
      <c r="AH27" s="37">
        <v>42.625323047249822</v>
      </c>
      <c r="AI27" s="37">
        <v>56.113632424975776</v>
      </c>
      <c r="AJ27" s="37">
        <v>333.51560467596209</v>
      </c>
      <c r="AK27" s="37">
        <v>134.40234305393881</v>
      </c>
      <c r="AL27" s="37">
        <v>240.01108001355215</v>
      </c>
      <c r="AM27" s="37">
        <v>79.11660367494585</v>
      </c>
      <c r="AN27" s="37">
        <v>431.26149024436472</v>
      </c>
      <c r="AO27" s="37">
        <v>45.841229369855682</v>
      </c>
      <c r="AP27" s="37">
        <v>-282.07220584306015</v>
      </c>
      <c r="AQ27" s="37">
        <v>-356.49936015109347</v>
      </c>
      <c r="AR27" s="37">
        <v>-478.13168544259634</v>
      </c>
      <c r="AS27" s="37">
        <v>-386.8158645938363</v>
      </c>
      <c r="AT27" s="37">
        <v>-261.66632605856239</v>
      </c>
      <c r="AU27" s="37">
        <v>-303.3136940136983</v>
      </c>
      <c r="AV27" s="37">
        <v>-333.3800257781952</v>
      </c>
      <c r="AW27" s="37">
        <v>-214.83874034720498</v>
      </c>
      <c r="AX27" s="37">
        <v>115.35345966424711</v>
      </c>
      <c r="AY27" s="37">
        <v>-116.12130523138364</v>
      </c>
      <c r="AZ27" s="37">
        <v>425.6071268218227</v>
      </c>
      <c r="BA27" s="37">
        <v>82.926619774729033</v>
      </c>
      <c r="BB27" s="37">
        <v>284.0293780974589</v>
      </c>
      <c r="BC27" s="37">
        <v>-15.332992974798572</v>
      </c>
      <c r="BD27" s="37">
        <v>296.66906477664429</v>
      </c>
      <c r="BE27" s="37">
        <v>181.0519830560886</v>
      </c>
      <c r="BF27" s="37">
        <v>41.636048971689888</v>
      </c>
      <c r="BG27" s="37">
        <v>55.593740930794183</v>
      </c>
      <c r="BH27" s="37">
        <v>355.74805720874542</v>
      </c>
      <c r="BI27" s="37">
        <v>133.68020581085807</v>
      </c>
      <c r="BJ27" s="37">
        <v>239.59800663196097</v>
      </c>
      <c r="BK27" s="37">
        <v>78.794339825874658</v>
      </c>
      <c r="BL27" s="37">
        <v>374.90580198153134</v>
      </c>
      <c r="BM27" s="37">
        <v>102.11038376974273</v>
      </c>
      <c r="BN27" s="37">
        <v>-237.7471137111429</v>
      </c>
      <c r="BO27" s="37">
        <v>-403.41934693759094</v>
      </c>
      <c r="BP27" s="37">
        <v>-479.97133868521087</v>
      </c>
      <c r="BQ27" s="37">
        <v>-388.06648530289488</v>
      </c>
      <c r="BR27" s="37">
        <v>-304.79110212390037</v>
      </c>
      <c r="BS27" s="37">
        <v>-262.52056039230649</v>
      </c>
      <c r="BT27" s="37">
        <v>-291.30973247570159</v>
      </c>
      <c r="BU27" s="37">
        <v>-259.23235941402049</v>
      </c>
      <c r="BV27" s="37">
        <v>115.00230182506198</v>
      </c>
      <c r="BW27" s="37">
        <v>-116.71337156154163</v>
      </c>
      <c r="BY27" s="66"/>
      <c r="BZ27" s="66"/>
    </row>
    <row r="28" spans="2:78">
      <c r="B28">
        <v>10079</v>
      </c>
      <c r="C28" t="s">
        <v>32</v>
      </c>
      <c r="D28" s="37">
        <v>9018.6356223643743</v>
      </c>
      <c r="E28" s="37">
        <v>2977.7252170477441</v>
      </c>
      <c r="F28" s="37">
        <v>-628.85740804250963</v>
      </c>
      <c r="G28" s="37">
        <v>-743.96051712057306</v>
      </c>
      <c r="H28" s="37">
        <v>-2610.1454316340969</v>
      </c>
      <c r="I28" s="37">
        <v>734.6655947502004</v>
      </c>
      <c r="J28" s="37">
        <v>-4980.0003884859616</v>
      </c>
      <c r="K28" s="37">
        <v>-2000.6400752446243</v>
      </c>
      <c r="L28" s="37">
        <v>2814.1965972457983</v>
      </c>
      <c r="M28" s="37">
        <v>2302.9913447533836</v>
      </c>
      <c r="N28" s="37">
        <v>-1470.7223014243646</v>
      </c>
      <c r="O28" s="37">
        <v>2586.8002469294443</v>
      </c>
      <c r="P28" s="37">
        <v>6761.5583219788714</v>
      </c>
      <c r="Q28" s="37">
        <v>1925.9519114011237</v>
      </c>
      <c r="R28" s="37">
        <v>-5908.9789662628391</v>
      </c>
      <c r="S28" s="37">
        <v>-4939.2067971722463</v>
      </c>
      <c r="T28" s="37">
        <v>-7845.7886961921831</v>
      </c>
      <c r="U28" s="37">
        <v>-3912.476407843722</v>
      </c>
      <c r="V28" s="37">
        <v>-1502.0507396610337</v>
      </c>
      <c r="W28" s="37">
        <v>-1557.6297916681578</v>
      </c>
      <c r="X28" s="37">
        <v>-1115.8690681089065</v>
      </c>
      <c r="Y28" s="37">
        <v>2365.1115024681567</v>
      </c>
      <c r="Z28" s="37">
        <v>5179.1548551480373</v>
      </c>
      <c r="AA28" s="37">
        <v>2549.8635889542275</v>
      </c>
      <c r="AB28" s="37">
        <v>9032.2699660201251</v>
      </c>
      <c r="AC28" s="37">
        <v>2981.1094176968727</v>
      </c>
      <c r="AD28" s="37">
        <v>-626.93730363560462</v>
      </c>
      <c r="AE28" s="37">
        <v>-742.53100919953431</v>
      </c>
      <c r="AF28" s="37">
        <v>-2598.5512164056418</v>
      </c>
      <c r="AG28" s="37">
        <v>748.98108472894455</v>
      </c>
      <c r="AH28" s="37">
        <v>-6155.3210916549433</v>
      </c>
      <c r="AI28" s="37">
        <v>-824.89997437644342</v>
      </c>
      <c r="AJ28" s="37">
        <v>2834.0190228339634</v>
      </c>
      <c r="AK28" s="37">
        <v>2317.1196654391533</v>
      </c>
      <c r="AL28" s="37">
        <v>-320.78095743577433</v>
      </c>
      <c r="AM28" s="37">
        <v>1446.3202468013878</v>
      </c>
      <c r="AN28" s="37">
        <v>6774.4377606950438</v>
      </c>
      <c r="AO28" s="37">
        <v>1928.8453268446137</v>
      </c>
      <c r="AP28" s="37">
        <v>-5931.6389443783191</v>
      </c>
      <c r="AQ28" s="37">
        <v>-4955.6475620533711</v>
      </c>
      <c r="AR28" s="37">
        <v>-7878.3433535369986</v>
      </c>
      <c r="AS28" s="37">
        <v>-3928.3352199730216</v>
      </c>
      <c r="AT28" s="37">
        <v>-1508.4625282809357</v>
      </c>
      <c r="AU28" s="37">
        <v>-1562.0584823014433</v>
      </c>
      <c r="AV28" s="37">
        <v>-1125.9402955038604</v>
      </c>
      <c r="AW28" s="37">
        <v>2368.0701137364376</v>
      </c>
      <c r="AX28" s="37">
        <v>5181.4505892534326</v>
      </c>
      <c r="AY28" s="37">
        <v>2550.6214071574177</v>
      </c>
      <c r="AZ28" s="37">
        <v>8069.0739660201289</v>
      </c>
      <c r="BA28" s="37">
        <v>4081.0134176968713</v>
      </c>
      <c r="BB28" s="37">
        <v>574.05797533087753</v>
      </c>
      <c r="BC28" s="37">
        <v>-1764.5584802189951</v>
      </c>
      <c r="BD28" s="37">
        <v>-2452.5552483208521</v>
      </c>
      <c r="BE28" s="37">
        <v>834.00134736828113</v>
      </c>
      <c r="BF28" s="37">
        <v>-6035.7698175793921</v>
      </c>
      <c r="BG28" s="37">
        <v>-742.37708288226349</v>
      </c>
      <c r="BH28" s="37">
        <v>1790.9003991267746</v>
      </c>
      <c r="BI28" s="37">
        <v>1537.255217095033</v>
      </c>
      <c r="BJ28" s="37">
        <v>-189.88588405417977</v>
      </c>
      <c r="BK28" s="37">
        <v>1515.2235106504595</v>
      </c>
      <c r="BL28" s="37">
        <v>5808.9134489578755</v>
      </c>
      <c r="BM28" s="37">
        <v>3048.4021724447266</v>
      </c>
      <c r="BN28" s="37">
        <v>-4900.4990365102421</v>
      </c>
      <c r="BO28" s="37">
        <v>-5847.2715752668737</v>
      </c>
      <c r="BP28" s="37">
        <v>-7792.0347002943818</v>
      </c>
      <c r="BQ28" s="37">
        <v>-3880.6675992639648</v>
      </c>
      <c r="BR28" s="37">
        <v>-2386.2937522155989</v>
      </c>
      <c r="BS28" s="37">
        <v>-532.56861592283531</v>
      </c>
      <c r="BT28" s="37">
        <v>51.705411193652253</v>
      </c>
      <c r="BU28" s="37">
        <v>1350.0147328032544</v>
      </c>
      <c r="BV28" s="37">
        <v>5264.3507470926197</v>
      </c>
      <c r="BW28" s="37">
        <v>2600.2724734875774</v>
      </c>
      <c r="BY28" s="66"/>
      <c r="BZ28" s="66"/>
    </row>
    <row r="29" spans="2:78">
      <c r="B29">
        <v>10080</v>
      </c>
      <c r="C29" t="s">
        <v>33</v>
      </c>
      <c r="D29" s="37">
        <v>674.73493800239385</v>
      </c>
      <c r="E29" s="37">
        <v>319.84942886253771</v>
      </c>
      <c r="F29" s="37">
        <v>257.55474532490598</v>
      </c>
      <c r="G29" s="37">
        <v>397.95152364732212</v>
      </c>
      <c r="H29" s="37">
        <v>222.57363116201577</v>
      </c>
      <c r="I29" s="37">
        <v>469.68251970922847</v>
      </c>
      <c r="J29" s="37">
        <v>169.65204166373724</v>
      </c>
      <c r="K29" s="37">
        <v>378.3806340038409</v>
      </c>
      <c r="L29" s="37">
        <v>375.35669344970347</v>
      </c>
      <c r="M29" s="37">
        <v>398.37062354759337</v>
      </c>
      <c r="N29" s="37">
        <v>-114.77815018546562</v>
      </c>
      <c r="O29" s="37">
        <v>342.08803192005621</v>
      </c>
      <c r="P29" s="37">
        <v>458.83857968755592</v>
      </c>
      <c r="Q29" s="37">
        <v>226.26903838017461</v>
      </c>
      <c r="R29" s="37">
        <v>-844.78509717474071</v>
      </c>
      <c r="S29" s="37">
        <v>-437.26124026239086</v>
      </c>
      <c r="T29" s="37">
        <v>-1190.7653961159626</v>
      </c>
      <c r="U29" s="37">
        <v>-513.64416518627831</v>
      </c>
      <c r="V29" s="37">
        <v>-547.86927788772891</v>
      </c>
      <c r="W29" s="37">
        <v>-173.1810999577624</v>
      </c>
      <c r="X29" s="37">
        <v>-766.34402223991265</v>
      </c>
      <c r="Y29" s="37">
        <v>-66.02613472265466</v>
      </c>
      <c r="Z29" s="37">
        <v>-60.734210950759461</v>
      </c>
      <c r="AA29" s="37">
        <v>22.976011905409223</v>
      </c>
      <c r="AB29" s="37">
        <v>677.30170808943558</v>
      </c>
      <c r="AC29" s="37">
        <v>321.27745744942172</v>
      </c>
      <c r="AD29" s="37">
        <v>260.32750564291109</v>
      </c>
      <c r="AE29" s="37">
        <v>400.05336088407807</v>
      </c>
      <c r="AF29" s="37">
        <v>224.9818717513117</v>
      </c>
      <c r="AG29" s="37">
        <v>471.38628505097063</v>
      </c>
      <c r="AH29" s="37">
        <v>28.742341948180638</v>
      </c>
      <c r="AI29" s="37">
        <v>523.25643662101584</v>
      </c>
      <c r="AJ29" s="37">
        <v>377.86463710557518</v>
      </c>
      <c r="AK29" s="37">
        <v>400.00982968030758</v>
      </c>
      <c r="AL29" s="37">
        <v>7.3623656971221862</v>
      </c>
      <c r="AM29" s="37">
        <v>224.55356612034234</v>
      </c>
      <c r="AN29" s="37">
        <v>461.88821406822262</v>
      </c>
      <c r="AO29" s="37">
        <v>228.08847050321697</v>
      </c>
      <c r="AP29" s="37">
        <v>-848.47114574953548</v>
      </c>
      <c r="AQ29" s="37">
        <v>-439.77677465823604</v>
      </c>
      <c r="AR29" s="37">
        <v>-1194.5432124983058</v>
      </c>
      <c r="AS29" s="37">
        <v>-515.78643309675795</v>
      </c>
      <c r="AT29" s="37">
        <v>-551.56974744629406</v>
      </c>
      <c r="AU29" s="37">
        <v>-175.46198192041106</v>
      </c>
      <c r="AV29" s="37">
        <v>-770.14100891606859</v>
      </c>
      <c r="AW29" s="37">
        <v>-68.255709820136417</v>
      </c>
      <c r="AX29" s="37">
        <v>-64.027028747431814</v>
      </c>
      <c r="AY29" s="37">
        <v>20.918683803822432</v>
      </c>
      <c r="AZ29" s="37">
        <v>573.96470808943559</v>
      </c>
      <c r="BA29" s="37">
        <v>431.33545744942171</v>
      </c>
      <c r="BB29" s="37">
        <v>391.223825881415</v>
      </c>
      <c r="BC29" s="37">
        <v>274.37923881164534</v>
      </c>
      <c r="BD29" s="37">
        <v>227.67480219328309</v>
      </c>
      <c r="BE29" s="37">
        <v>473.23960905727768</v>
      </c>
      <c r="BF29" s="37">
        <v>31.226817161512827</v>
      </c>
      <c r="BG29" s="37">
        <v>525.20553858389712</v>
      </c>
      <c r="BH29" s="37">
        <v>385.16843786507889</v>
      </c>
      <c r="BI29" s="37">
        <v>387.00103078864254</v>
      </c>
      <c r="BJ29" s="37">
        <v>10.428502609062889</v>
      </c>
      <c r="BK29" s="37">
        <v>226.47196677055649</v>
      </c>
      <c r="BL29" s="37">
        <v>357.81943985372254</v>
      </c>
      <c r="BM29" s="37">
        <v>337.2880445954986</v>
      </c>
      <c r="BN29" s="37">
        <v>-765.57643218063185</v>
      </c>
      <c r="BO29" s="37">
        <v>-528.21392545512003</v>
      </c>
      <c r="BP29" s="37">
        <v>-1197.8918247850634</v>
      </c>
      <c r="BQ29" s="37">
        <v>-517.69588402961767</v>
      </c>
      <c r="BR29" s="37">
        <v>-642.98384961521833</v>
      </c>
      <c r="BS29" s="37">
        <v>-89.422643392397731</v>
      </c>
      <c r="BT29" s="37">
        <v>-685.19224892318516</v>
      </c>
      <c r="BU29" s="37">
        <v>-158.60939114324765</v>
      </c>
      <c r="BV29" s="37">
        <v>-67.010142094935873</v>
      </c>
      <c r="BW29" s="37">
        <v>19.050437727632016</v>
      </c>
      <c r="BY29" s="66"/>
      <c r="BZ29" s="66"/>
    </row>
    <row r="30" spans="2:78">
      <c r="B30">
        <v>10081</v>
      </c>
      <c r="C30" t="s">
        <v>34</v>
      </c>
      <c r="D30" s="37">
        <v>383.23403628431561</v>
      </c>
      <c r="E30" s="37">
        <v>-132.57004036903118</v>
      </c>
      <c r="F30" s="37">
        <v>-100.41803511410853</v>
      </c>
      <c r="G30" s="37">
        <v>148.74820067165365</v>
      </c>
      <c r="H30" s="37">
        <v>726.4312662786524</v>
      </c>
      <c r="I30" s="37">
        <v>906.64047163076111</v>
      </c>
      <c r="J30" s="37">
        <v>563.95390960922578</v>
      </c>
      <c r="K30" s="37">
        <v>702.32269938266427</v>
      </c>
      <c r="L30" s="37">
        <v>383.6936172810083</v>
      </c>
      <c r="M30" s="37">
        <v>491.64480056384264</v>
      </c>
      <c r="N30" s="37">
        <v>-456.03418878800767</v>
      </c>
      <c r="O30" s="37">
        <v>299.6012485893657</v>
      </c>
      <c r="P30" s="37">
        <v>798.08316627557861</v>
      </c>
      <c r="Q30" s="37">
        <v>238.4340982859344</v>
      </c>
      <c r="R30" s="37">
        <v>-1318.4268546312132</v>
      </c>
      <c r="S30" s="37">
        <v>-1093.4106411486509</v>
      </c>
      <c r="T30" s="37">
        <v>-1646.1664282828906</v>
      </c>
      <c r="U30" s="37">
        <v>-1260.8275368579475</v>
      </c>
      <c r="V30" s="37">
        <v>487.26939794363534</v>
      </c>
      <c r="W30" s="37">
        <v>-130.67590877278644</v>
      </c>
      <c r="X30" s="37">
        <v>-93.537471178578926</v>
      </c>
      <c r="Y30" s="37">
        <v>-71.651876550384259</v>
      </c>
      <c r="Z30" s="37">
        <v>243.77842458391115</v>
      </c>
      <c r="AA30" s="37">
        <v>-66.803059789568579</v>
      </c>
      <c r="AB30" s="37">
        <v>383.75124483087529</v>
      </c>
      <c r="AC30" s="37">
        <v>-132.25719139385501</v>
      </c>
      <c r="AD30" s="37">
        <v>-100.41803511410853</v>
      </c>
      <c r="AE30" s="37">
        <v>148.74820067165365</v>
      </c>
      <c r="AF30" s="37">
        <v>726.4312662786524</v>
      </c>
      <c r="AG30" s="37">
        <v>906.64047163076111</v>
      </c>
      <c r="AH30" s="37">
        <v>308.08590960922629</v>
      </c>
      <c r="AI30" s="37">
        <v>958.19069938266375</v>
      </c>
      <c r="AJ30" s="37">
        <v>383.6936172810083</v>
      </c>
      <c r="AK30" s="37">
        <v>491.64480056384264</v>
      </c>
      <c r="AL30" s="37">
        <v>-269.07718878800824</v>
      </c>
      <c r="AM30" s="37">
        <v>112.64424858936536</v>
      </c>
      <c r="AN30" s="37">
        <v>798.08316627557861</v>
      </c>
      <c r="AO30" s="37">
        <v>238.4340982859344</v>
      </c>
      <c r="AP30" s="37">
        <v>-1318.4268546312132</v>
      </c>
      <c r="AQ30" s="37">
        <v>-1093.4106411486509</v>
      </c>
      <c r="AR30" s="37">
        <v>-1646.1664282828906</v>
      </c>
      <c r="AS30" s="37">
        <v>-1260.8275368579475</v>
      </c>
      <c r="AT30" s="37">
        <v>487.26939794363534</v>
      </c>
      <c r="AU30" s="37">
        <v>-130.67590877278644</v>
      </c>
      <c r="AV30" s="37">
        <v>-93.537471178578926</v>
      </c>
      <c r="AW30" s="37">
        <v>-71.651876550384259</v>
      </c>
      <c r="AX30" s="37">
        <v>243.77842458391115</v>
      </c>
      <c r="AY30" s="37">
        <v>-66.803059789568579</v>
      </c>
      <c r="AZ30" s="37">
        <v>228.54724483087557</v>
      </c>
      <c r="BA30" s="37">
        <v>19.947808606144918</v>
      </c>
      <c r="BB30" s="37">
        <v>99.379084726889232</v>
      </c>
      <c r="BC30" s="37">
        <v>-44.988717946724591</v>
      </c>
      <c r="BD30" s="37">
        <v>737.20464598400486</v>
      </c>
      <c r="BE30" s="37">
        <v>908.07358895989</v>
      </c>
      <c r="BF30" s="37">
        <v>304.88825946700581</v>
      </c>
      <c r="BG30" s="37">
        <v>959.66129807407651</v>
      </c>
      <c r="BH30" s="37">
        <v>383.16654892187216</v>
      </c>
      <c r="BI30" s="37">
        <v>453.20839923188578</v>
      </c>
      <c r="BJ30" s="37">
        <v>-256.35594672930165</v>
      </c>
      <c r="BK30" s="37">
        <v>113.03198148922229</v>
      </c>
      <c r="BL30" s="37">
        <v>618.57334908524581</v>
      </c>
      <c r="BM30" s="37">
        <v>418.80438222441353</v>
      </c>
      <c r="BN30" s="37">
        <v>-1185.2773303438162</v>
      </c>
      <c r="BO30" s="37">
        <v>-1225.4478739507276</v>
      </c>
      <c r="BP30" s="37">
        <v>-1645.4260200917188</v>
      </c>
      <c r="BQ30" s="37">
        <v>-1260.4319029027074</v>
      </c>
      <c r="BR30" s="37">
        <v>300.89813272291758</v>
      </c>
      <c r="BS30" s="37">
        <v>56.707532208538396</v>
      </c>
      <c r="BT30" s="37">
        <v>87.572022159500193</v>
      </c>
      <c r="BU30" s="37">
        <v>-251.72408900164282</v>
      </c>
      <c r="BV30" s="37">
        <v>244.2798334822478</v>
      </c>
      <c r="BW30" s="37">
        <v>-66.498895738774991</v>
      </c>
      <c r="BY30" s="66"/>
      <c r="BZ30" s="66"/>
    </row>
    <row r="31" spans="2:78">
      <c r="B31">
        <v>10082</v>
      </c>
      <c r="C31" t="s">
        <v>35</v>
      </c>
      <c r="D31" s="37">
        <v>2.654503455401624</v>
      </c>
      <c r="E31" s="37">
        <v>5.8468085231566569</v>
      </c>
      <c r="F31" s="37">
        <v>-3.8032670412843075</v>
      </c>
      <c r="G31" s="37">
        <v>4.4073673978147667</v>
      </c>
      <c r="H31" s="37">
        <v>12.93355401380358</v>
      </c>
      <c r="I31" s="37">
        <v>23.615937676011114</v>
      </c>
      <c r="J31" s="37">
        <v>10.826486591060188</v>
      </c>
      <c r="K31" s="37">
        <v>20.967206649880112</v>
      </c>
      <c r="L31" s="37">
        <v>7.5364539767788372</v>
      </c>
      <c r="M31" s="37">
        <v>14.028899908080827</v>
      </c>
      <c r="N31" s="37">
        <v>-4.5132277845579551</v>
      </c>
      <c r="O31" s="37">
        <v>8.2247686616500495</v>
      </c>
      <c r="P31" s="37">
        <v>1.0536010121676398</v>
      </c>
      <c r="Q31" s="37">
        <v>5.7198590139699697</v>
      </c>
      <c r="R31" s="37">
        <v>-20.883229422878166</v>
      </c>
      <c r="S31" s="37">
        <v>-9.5135266306954342</v>
      </c>
      <c r="T31" s="37">
        <v>-25.507267580469545</v>
      </c>
      <c r="U31" s="37">
        <v>-8.7331673520387589</v>
      </c>
      <c r="V31" s="37">
        <v>-14.747884511541308</v>
      </c>
      <c r="W31" s="37">
        <v>-2.593939977932294</v>
      </c>
      <c r="X31" s="37">
        <v>-18.141707053344611</v>
      </c>
      <c r="Y31" s="37">
        <v>-3.0966852223778893</v>
      </c>
      <c r="Z31" s="37">
        <v>-9.0998252143972067</v>
      </c>
      <c r="AA31" s="37">
        <v>-0.47837013967128428</v>
      </c>
      <c r="AB31" s="37">
        <v>2.9131077286813678</v>
      </c>
      <c r="AC31" s="37">
        <v>6.0032330107446512</v>
      </c>
      <c r="AD31" s="37">
        <v>-3.8032670412843075</v>
      </c>
      <c r="AE31" s="37">
        <v>4.4073673978147667</v>
      </c>
      <c r="AF31" s="37">
        <v>12.93355401380358</v>
      </c>
      <c r="AG31" s="37">
        <v>23.615937676011114</v>
      </c>
      <c r="AH31" s="37">
        <v>10.826486591060188</v>
      </c>
      <c r="AI31" s="37">
        <v>20.967206649880112</v>
      </c>
      <c r="AJ31" s="37">
        <v>7.5364539767788372</v>
      </c>
      <c r="AK31" s="37">
        <v>14.028899908080827</v>
      </c>
      <c r="AL31" s="37">
        <v>-4.5132277845579551</v>
      </c>
      <c r="AM31" s="37">
        <v>8.2247686616500495</v>
      </c>
      <c r="AN31" s="37">
        <v>1.0536010121676398</v>
      </c>
      <c r="AO31" s="37">
        <v>5.7198590139699697</v>
      </c>
      <c r="AP31" s="37">
        <v>-20.883229422878166</v>
      </c>
      <c r="AQ31" s="37">
        <v>-9.5135266306954342</v>
      </c>
      <c r="AR31" s="37">
        <v>-25.507267580469545</v>
      </c>
      <c r="AS31" s="37">
        <v>-8.7331673520387589</v>
      </c>
      <c r="AT31" s="37">
        <v>-14.747884511541308</v>
      </c>
      <c r="AU31" s="37">
        <v>-2.593939977932294</v>
      </c>
      <c r="AV31" s="37">
        <v>-18.141707053344611</v>
      </c>
      <c r="AW31" s="37">
        <v>-3.0966852223778893</v>
      </c>
      <c r="AX31" s="37">
        <v>-9.0998252143972067</v>
      </c>
      <c r="AY31" s="37">
        <v>-0.47837013967128428</v>
      </c>
      <c r="AZ31" s="37">
        <v>2.9131077286813678</v>
      </c>
      <c r="BA31" s="37">
        <v>6.0032330107446512</v>
      </c>
      <c r="BB31" s="37">
        <v>-3.4827071207856335</v>
      </c>
      <c r="BC31" s="37">
        <v>4.6174080886257158</v>
      </c>
      <c r="BD31" s="37">
        <v>13.320243866479622</v>
      </c>
      <c r="BE31" s="37">
        <v>23.83249634057546</v>
      </c>
      <c r="BF31" s="37">
        <v>11.227661519949379</v>
      </c>
      <c r="BG31" s="37">
        <v>21.202505995586364</v>
      </c>
      <c r="BH31" s="37">
        <v>7.0144221844108756</v>
      </c>
      <c r="BI31" s="37">
        <v>14.023950435702417</v>
      </c>
      <c r="BJ31" s="37">
        <v>-4.1526067552048431</v>
      </c>
      <c r="BK31" s="37">
        <v>8.418635111578574</v>
      </c>
      <c r="BL31" s="37">
        <v>1.3181924170009651</v>
      </c>
      <c r="BM31" s="37">
        <v>5.8850009832094159</v>
      </c>
      <c r="BN31" s="37">
        <v>-20.546467279179531</v>
      </c>
      <c r="BO31" s="37">
        <v>-9.2941430317341123</v>
      </c>
      <c r="BP31" s="37">
        <v>-25.137063484883846</v>
      </c>
      <c r="BQ31" s="37">
        <v>-8.5353503744188934</v>
      </c>
      <c r="BR31" s="37">
        <v>-14.427517121899953</v>
      </c>
      <c r="BS31" s="37">
        <v>-2.4087194872701367</v>
      </c>
      <c r="BT31" s="37">
        <v>-17.796960384305692</v>
      </c>
      <c r="BU31" s="37">
        <v>-2.922791448007473</v>
      </c>
      <c r="BV31" s="37">
        <v>-8.8491207652291237</v>
      </c>
      <c r="BW31" s="37">
        <v>-0.32628811427452931</v>
      </c>
      <c r="BY31" s="66"/>
      <c r="BZ31" s="66"/>
    </row>
    <row r="32" spans="2:78">
      <c r="B32">
        <v>10083</v>
      </c>
      <c r="C32" t="s">
        <v>36</v>
      </c>
      <c r="D32" s="37">
        <v>925.03284282734057</v>
      </c>
      <c r="E32" s="37">
        <v>325.4668873464193</v>
      </c>
      <c r="F32" s="37">
        <v>251.29858058015498</v>
      </c>
      <c r="G32" s="37">
        <v>387.11058701562251</v>
      </c>
      <c r="H32" s="37">
        <v>523.91135298963218</v>
      </c>
      <c r="I32" s="37">
        <v>724.38243953918663</v>
      </c>
      <c r="J32" s="37">
        <v>575.24041631185901</v>
      </c>
      <c r="K32" s="37">
        <v>703.85544094927309</v>
      </c>
      <c r="L32" s="37">
        <v>616.01109815503287</v>
      </c>
      <c r="M32" s="37">
        <v>518.30818903376849</v>
      </c>
      <c r="N32" s="37">
        <v>-139.67939827671853</v>
      </c>
      <c r="O32" s="37">
        <v>377.05003089559341</v>
      </c>
      <c r="P32" s="37">
        <v>779.1300894169035</v>
      </c>
      <c r="Q32" s="37">
        <v>315.87336192809039</v>
      </c>
      <c r="R32" s="37">
        <v>-493.35592209859897</v>
      </c>
      <c r="S32" s="37">
        <v>-279.30735931139725</v>
      </c>
      <c r="T32" s="37">
        <v>-758.95965487444937</v>
      </c>
      <c r="U32" s="37">
        <v>-362.15766222067873</v>
      </c>
      <c r="V32" s="37">
        <v>134.75541315309647</v>
      </c>
      <c r="W32" s="37">
        <v>87.33437497596924</v>
      </c>
      <c r="X32" s="37">
        <v>-226.89584139951012</v>
      </c>
      <c r="Y32" s="37">
        <v>166.68375542360218</v>
      </c>
      <c r="Z32" s="37">
        <v>554.90266189243312</v>
      </c>
      <c r="AA32" s="37">
        <v>310.20955753097587</v>
      </c>
      <c r="AB32" s="37">
        <v>931.25284282734083</v>
      </c>
      <c r="AC32" s="37">
        <v>328.86288734641948</v>
      </c>
      <c r="AD32" s="37">
        <v>256.74058058015498</v>
      </c>
      <c r="AE32" s="37">
        <v>390.97558701562275</v>
      </c>
      <c r="AF32" s="37">
        <v>529.75835298963193</v>
      </c>
      <c r="AG32" s="37">
        <v>728.15143953918687</v>
      </c>
      <c r="AH32" s="37">
        <v>367.20241631185854</v>
      </c>
      <c r="AI32" s="37">
        <v>921.50944094927308</v>
      </c>
      <c r="AJ32" s="37">
        <v>621.41009815503321</v>
      </c>
      <c r="AK32" s="37">
        <v>521.59518903376829</v>
      </c>
      <c r="AL32" s="37">
        <v>31.446601723280764</v>
      </c>
      <c r="AM32" s="37">
        <v>215.54103089559339</v>
      </c>
      <c r="AN32" s="37">
        <v>785.01708941690367</v>
      </c>
      <c r="AO32" s="37">
        <v>319.29236192809026</v>
      </c>
      <c r="AP32" s="37">
        <v>-464.61792209859914</v>
      </c>
      <c r="AQ32" s="37">
        <v>-260.24035931139724</v>
      </c>
      <c r="AR32" s="37">
        <v>-729.0416548744497</v>
      </c>
      <c r="AS32" s="37">
        <v>-345.8126622206787</v>
      </c>
      <c r="AT32" s="37">
        <v>165.00141315309656</v>
      </c>
      <c r="AU32" s="37">
        <v>104.89337497596944</v>
      </c>
      <c r="AV32" s="37">
        <v>-196.58984139951008</v>
      </c>
      <c r="AW32" s="37">
        <v>184.18275542360198</v>
      </c>
      <c r="AX32" s="37">
        <v>583.83266189243295</v>
      </c>
      <c r="AY32" s="37">
        <v>327.5425575309755</v>
      </c>
      <c r="AZ32" s="37">
        <v>787.61484282734045</v>
      </c>
      <c r="BA32" s="37">
        <v>482.11688734641939</v>
      </c>
      <c r="BB32" s="37">
        <v>435.70158058015522</v>
      </c>
      <c r="BC32" s="37">
        <v>221.32058701562255</v>
      </c>
      <c r="BD32" s="37">
        <v>535.60535298963259</v>
      </c>
      <c r="BE32" s="37">
        <v>731.92043953918665</v>
      </c>
      <c r="BF32" s="37">
        <v>372.77841631185856</v>
      </c>
      <c r="BG32" s="37">
        <v>925.5494409492735</v>
      </c>
      <c r="BH32" s="37">
        <v>647.52912261583333</v>
      </c>
      <c r="BI32" s="37">
        <v>501.80170126416851</v>
      </c>
      <c r="BJ32" s="37">
        <v>37.517601723280677</v>
      </c>
      <c r="BK32" s="37">
        <v>219.08603089559301</v>
      </c>
      <c r="BL32" s="37">
        <v>635.60608941690361</v>
      </c>
      <c r="BM32" s="37">
        <v>478.01036192809011</v>
      </c>
      <c r="BN32" s="37">
        <v>-292.74592209859884</v>
      </c>
      <c r="BO32" s="37">
        <v>-384.30735931139725</v>
      </c>
      <c r="BP32" s="37">
        <v>-699.12365487444958</v>
      </c>
      <c r="BQ32" s="37">
        <v>-329.46766222067868</v>
      </c>
      <c r="BR32" s="37">
        <v>42.495413153096706</v>
      </c>
      <c r="BS32" s="37">
        <v>275.20337497596938</v>
      </c>
      <c r="BT32" s="37">
        <v>-16.632841399510198</v>
      </c>
      <c r="BU32" s="37">
        <v>52.030755423601931</v>
      </c>
      <c r="BV32" s="37">
        <v>612.76266189243324</v>
      </c>
      <c r="BW32" s="37">
        <v>344.87455753097584</v>
      </c>
      <c r="BY32" s="66"/>
      <c r="BZ32" s="66"/>
    </row>
    <row r="33" spans="2:78">
      <c r="B33">
        <v>10086</v>
      </c>
      <c r="C33" t="s">
        <v>37</v>
      </c>
      <c r="D33" s="37">
        <v>268.23586747227614</v>
      </c>
      <c r="E33" s="37">
        <v>106.3959385342705</v>
      </c>
      <c r="F33" s="37">
        <v>1.8590052507479413</v>
      </c>
      <c r="G33" s="37">
        <v>119.19700137030304</v>
      </c>
      <c r="H33" s="37">
        <v>207.25780859832662</v>
      </c>
      <c r="I33" s="37">
        <v>237.54751154311577</v>
      </c>
      <c r="J33" s="37">
        <v>196.67835514554554</v>
      </c>
      <c r="K33" s="37">
        <v>249.47194760595005</v>
      </c>
      <c r="L33" s="37">
        <v>180.17745931707054</v>
      </c>
      <c r="M33" s="37">
        <v>208.33390104413502</v>
      </c>
      <c r="N33" s="37">
        <v>74.329746681018833</v>
      </c>
      <c r="O33" s="37">
        <v>214.35717765644404</v>
      </c>
      <c r="P33" s="37">
        <v>115.91203945802147</v>
      </c>
      <c r="Q33" s="37">
        <v>68.027614368860441</v>
      </c>
      <c r="R33" s="37">
        <v>-292.61757159071703</v>
      </c>
      <c r="S33" s="37">
        <v>-129.19835307322217</v>
      </c>
      <c r="T33" s="37">
        <v>-484.75929496150127</v>
      </c>
      <c r="U33" s="37">
        <v>-236.52731570009246</v>
      </c>
      <c r="V33" s="37">
        <v>-295.74919403319154</v>
      </c>
      <c r="W33" s="37">
        <v>-175.95112049583486</v>
      </c>
      <c r="X33" s="37">
        <v>-434.86904851165934</v>
      </c>
      <c r="Y33" s="37">
        <v>-86.723862441054393</v>
      </c>
      <c r="Z33" s="37">
        <v>-78.752563615074678</v>
      </c>
      <c r="AA33" s="37">
        <v>-30.111307123561801</v>
      </c>
      <c r="AB33" s="37">
        <v>266.53978200668132</v>
      </c>
      <c r="AC33" s="37">
        <v>105.30544878251044</v>
      </c>
      <c r="AD33" s="37">
        <v>1.8128461252624675</v>
      </c>
      <c r="AE33" s="37">
        <v>119.44555377138249</v>
      </c>
      <c r="AF33" s="37">
        <v>207.47822021888987</v>
      </c>
      <c r="AG33" s="37">
        <v>238.1653662329079</v>
      </c>
      <c r="AH33" s="37">
        <v>118.24443092776437</v>
      </c>
      <c r="AI33" s="37">
        <v>328.44965480318092</v>
      </c>
      <c r="AJ33" s="37">
        <v>180.52805437071788</v>
      </c>
      <c r="AK33" s="37">
        <v>208.8199679090975</v>
      </c>
      <c r="AL33" s="37">
        <v>142.51491535813443</v>
      </c>
      <c r="AM33" s="37">
        <v>146.64864670723011</v>
      </c>
      <c r="AN33" s="37">
        <v>116.34453400485461</v>
      </c>
      <c r="AO33" s="37">
        <v>68.282052707226512</v>
      </c>
      <c r="AP33" s="37">
        <v>-293.45495517140205</v>
      </c>
      <c r="AQ33" s="37">
        <v>-129.62257266179677</v>
      </c>
      <c r="AR33" s="37">
        <v>-485.93854001294415</v>
      </c>
      <c r="AS33" s="37">
        <v>-237.06930245391106</v>
      </c>
      <c r="AT33" s="37">
        <v>-296.39723531924642</v>
      </c>
      <c r="AU33" s="37">
        <v>-176.27154589311863</v>
      </c>
      <c r="AV33" s="37">
        <v>-435.75326187108749</v>
      </c>
      <c r="AW33" s="37">
        <v>-86.922693959128992</v>
      </c>
      <c r="AX33" s="37">
        <v>-78.745312555923647</v>
      </c>
      <c r="AY33" s="37">
        <v>-30.097209402926069</v>
      </c>
      <c r="AZ33" s="37">
        <v>212.53578200668119</v>
      </c>
      <c r="BA33" s="37">
        <v>164.82244878251049</v>
      </c>
      <c r="BB33" s="37">
        <v>67.371806840774298</v>
      </c>
      <c r="BC33" s="37">
        <v>55.149187554084051</v>
      </c>
      <c r="BD33" s="37">
        <v>208.47101154480561</v>
      </c>
      <c r="BE33" s="37">
        <v>239.21733825182889</v>
      </c>
      <c r="BF33" s="37">
        <v>118.99485656776164</v>
      </c>
      <c r="BG33" s="37">
        <v>329.51596069182494</v>
      </c>
      <c r="BH33" s="37">
        <v>180.73515581082984</v>
      </c>
      <c r="BI33" s="37">
        <v>198.20192081490325</v>
      </c>
      <c r="BJ33" s="37">
        <v>143.3153260939564</v>
      </c>
      <c r="BK33" s="37">
        <v>147.40084865787344</v>
      </c>
      <c r="BL33" s="37">
        <v>58.938211361354774</v>
      </c>
      <c r="BM33" s="37">
        <v>127.26177498407151</v>
      </c>
      <c r="BN33" s="37">
        <v>-242.92581446468978</v>
      </c>
      <c r="BO33" s="37">
        <v>-180.27802505244858</v>
      </c>
      <c r="BP33" s="37">
        <v>-486.36337687321554</v>
      </c>
      <c r="BQ33" s="37">
        <v>-237.20765525248981</v>
      </c>
      <c r="BR33" s="37">
        <v>-344.35254182601864</v>
      </c>
      <c r="BS33" s="37">
        <v>-128.24953030907807</v>
      </c>
      <c r="BT33" s="37">
        <v>-387.67898189243772</v>
      </c>
      <c r="BU33" s="37">
        <v>-135.02173792846276</v>
      </c>
      <c r="BV33" s="37">
        <v>-78.222652598436298</v>
      </c>
      <c r="BW33" s="37">
        <v>-29.769947631496848</v>
      </c>
      <c r="BY33" s="66"/>
      <c r="BZ33" s="66"/>
    </row>
    <row r="34" spans="2:78">
      <c r="B34">
        <v>10087</v>
      </c>
      <c r="C34" t="s">
        <v>38</v>
      </c>
      <c r="D34" s="37">
        <v>2540.4872120175532</v>
      </c>
      <c r="E34" s="37">
        <v>3682.361478325276</v>
      </c>
      <c r="F34" s="37">
        <v>-197.41453428402383</v>
      </c>
      <c r="G34" s="37">
        <v>2157.4155067470274</v>
      </c>
      <c r="H34" s="37">
        <v>-1402.8883714785516</v>
      </c>
      <c r="I34" s="37">
        <v>5161.6738112010062</v>
      </c>
      <c r="J34" s="37">
        <v>-1093.268361132592</v>
      </c>
      <c r="K34" s="37">
        <v>3412.23398269483</v>
      </c>
      <c r="L34" s="37">
        <v>1371.1120852978238</v>
      </c>
      <c r="M34" s="37">
        <v>4200.5039060156851</v>
      </c>
      <c r="N34" s="37">
        <v>-655.87976802674893</v>
      </c>
      <c r="O34" s="37">
        <v>3997.2555674137475</v>
      </c>
      <c r="P34" s="37">
        <v>2244.5969177087427</v>
      </c>
      <c r="Q34" s="37">
        <v>3411.8956147879489</v>
      </c>
      <c r="R34" s="37">
        <v>-5396.8813792814362</v>
      </c>
      <c r="S34" s="37">
        <v>-1612.303428590867</v>
      </c>
      <c r="T34" s="37">
        <v>-8333.8225715170629</v>
      </c>
      <c r="U34" s="37">
        <v>-1949.2872113660433</v>
      </c>
      <c r="V34" s="37">
        <v>-5737.2570378433447</v>
      </c>
      <c r="W34" s="37">
        <v>-125.09573302359058</v>
      </c>
      <c r="X34" s="37">
        <v>-6507.6654964260233</v>
      </c>
      <c r="Y34" s="37">
        <v>-278.68898796613576</v>
      </c>
      <c r="Z34" s="37">
        <v>-1075.0188803055717</v>
      </c>
      <c r="AA34" s="37">
        <v>2182.7497539730011</v>
      </c>
      <c r="AB34" s="37">
        <v>2540.2286077442732</v>
      </c>
      <c r="AC34" s="37">
        <v>3682.205053837688</v>
      </c>
      <c r="AD34" s="37">
        <v>-197.41453428402383</v>
      </c>
      <c r="AE34" s="37">
        <v>2157.4155067470274</v>
      </c>
      <c r="AF34" s="37">
        <v>-1402.8883714785516</v>
      </c>
      <c r="AG34" s="37">
        <v>5161.6738112010062</v>
      </c>
      <c r="AH34" s="37">
        <v>-1093.268361132592</v>
      </c>
      <c r="AI34" s="37">
        <v>3412.23398269483</v>
      </c>
      <c r="AJ34" s="37">
        <v>1371.1120852978238</v>
      </c>
      <c r="AK34" s="37">
        <v>4200.5039060156851</v>
      </c>
      <c r="AL34" s="37">
        <v>-655.87976802674893</v>
      </c>
      <c r="AM34" s="37">
        <v>3997.2555674137475</v>
      </c>
      <c r="AN34" s="37">
        <v>2244.5969177087427</v>
      </c>
      <c r="AO34" s="37">
        <v>3411.8956147879489</v>
      </c>
      <c r="AP34" s="37">
        <v>-5396.8813792814362</v>
      </c>
      <c r="AQ34" s="37">
        <v>-1612.303428590867</v>
      </c>
      <c r="AR34" s="37">
        <v>-8333.8225715170629</v>
      </c>
      <c r="AS34" s="37">
        <v>-1949.2872113660433</v>
      </c>
      <c r="AT34" s="37">
        <v>-5737.2570378433447</v>
      </c>
      <c r="AU34" s="37">
        <v>-125.09573302359058</v>
      </c>
      <c r="AV34" s="37">
        <v>-6507.6654964260233</v>
      </c>
      <c r="AW34" s="37">
        <v>-278.68898796613576</v>
      </c>
      <c r="AX34" s="37">
        <v>-1075.0188803055717</v>
      </c>
      <c r="AY34" s="37">
        <v>2182.7497539730011</v>
      </c>
      <c r="AZ34" s="37">
        <v>2540.2286077442732</v>
      </c>
      <c r="BA34" s="37">
        <v>3682.205053837688</v>
      </c>
      <c r="BB34" s="37">
        <v>-197.73509420452319</v>
      </c>
      <c r="BC34" s="37">
        <v>2157.2054660562153</v>
      </c>
      <c r="BD34" s="37">
        <v>-1403.2750613312273</v>
      </c>
      <c r="BE34" s="37">
        <v>5161.4572525364401</v>
      </c>
      <c r="BF34" s="37">
        <v>-1093.6695360614831</v>
      </c>
      <c r="BG34" s="37">
        <v>3411.9986833491239</v>
      </c>
      <c r="BH34" s="37">
        <v>1274.7422259285886</v>
      </c>
      <c r="BI34" s="37">
        <v>4310.4754099072652</v>
      </c>
      <c r="BJ34" s="37">
        <v>-656.2403890561036</v>
      </c>
      <c r="BK34" s="37">
        <v>3997.0617009638172</v>
      </c>
      <c r="BL34" s="37">
        <v>2244.3323263039092</v>
      </c>
      <c r="BM34" s="37">
        <v>3411.7304728187082</v>
      </c>
      <c r="BN34" s="37">
        <v>-5397.2181414251354</v>
      </c>
      <c r="BO34" s="37">
        <v>-1612.522812189829</v>
      </c>
      <c r="BP34" s="37">
        <v>-8334.1927756126497</v>
      </c>
      <c r="BQ34" s="37">
        <v>-1949.4850283436626</v>
      </c>
      <c r="BR34" s="37">
        <v>-5737.5774052329871</v>
      </c>
      <c r="BS34" s="37">
        <v>-125.28095351425327</v>
      </c>
      <c r="BT34" s="37">
        <v>-6508.0102430950647</v>
      </c>
      <c r="BU34" s="37">
        <v>-278.86288174050605</v>
      </c>
      <c r="BV34" s="37">
        <v>-1075.2695847547402</v>
      </c>
      <c r="BW34" s="37">
        <v>2182.5976719476039</v>
      </c>
      <c r="BY34" s="66"/>
      <c r="BZ34" s="66"/>
    </row>
    <row r="35" spans="2:78">
      <c r="B35">
        <v>10089</v>
      </c>
      <c r="C35" t="s">
        <v>39</v>
      </c>
      <c r="D35" s="37">
        <v>3493.5548031870858</v>
      </c>
      <c r="E35" s="37">
        <v>1011.9410683645146</v>
      </c>
      <c r="F35" s="37">
        <v>-6632.3673993584162</v>
      </c>
      <c r="G35" s="37">
        <v>164.35007581373065</v>
      </c>
      <c r="H35" s="37">
        <v>779.660089527737</v>
      </c>
      <c r="I35" s="37">
        <v>7550.0697592717188</v>
      </c>
      <c r="J35" s="37">
        <v>-1523.7412413482816</v>
      </c>
      <c r="K35" s="37">
        <v>5036.8863605636507</v>
      </c>
      <c r="L35" s="37">
        <v>-3623.4379114443291</v>
      </c>
      <c r="M35" s="37">
        <v>2054.8138818934494</v>
      </c>
      <c r="N35" s="37">
        <v>-10295.122494441872</v>
      </c>
      <c r="O35" s="37">
        <v>988.95788638700469</v>
      </c>
      <c r="P35" s="37">
        <v>-143.13804036295187</v>
      </c>
      <c r="Q35" s="37">
        <v>-1085.9940990641044</v>
      </c>
      <c r="R35" s="37">
        <v>-8761.8705590592581</v>
      </c>
      <c r="S35" s="37">
        <v>-4600.63584407077</v>
      </c>
      <c r="T35" s="37">
        <v>-7592.0621999133946</v>
      </c>
      <c r="U35" s="37">
        <v>-3102.6115595645315</v>
      </c>
      <c r="V35" s="37">
        <v>6898.9838473435593</v>
      </c>
      <c r="W35" s="37">
        <v>4388.3107231495414</v>
      </c>
      <c r="X35" s="37">
        <v>2028.3508235985501</v>
      </c>
      <c r="Y35" s="37">
        <v>5534.7955258926049</v>
      </c>
      <c r="Z35" s="37">
        <v>4131.5171724973188</v>
      </c>
      <c r="AA35" s="37">
        <v>3299.8722418324069</v>
      </c>
      <c r="AB35" s="37">
        <v>3570.6598031870817</v>
      </c>
      <c r="AC35" s="37">
        <v>1048.6360683645144</v>
      </c>
      <c r="AD35" s="37">
        <v>-6590.6293993584113</v>
      </c>
      <c r="AE35" s="37">
        <v>190.60307581373127</v>
      </c>
      <c r="AF35" s="37">
        <v>647.67008952773176</v>
      </c>
      <c r="AG35" s="37">
        <v>7452.8537592717257</v>
      </c>
      <c r="AH35" s="37">
        <v>-3952.7642413482827</v>
      </c>
      <c r="AI35" s="37">
        <v>7298.224360563654</v>
      </c>
      <c r="AJ35" s="37">
        <v>-3588.6769114443232</v>
      </c>
      <c r="AK35" s="37">
        <v>2073.5088818934491</v>
      </c>
      <c r="AL35" s="37">
        <v>-8511.2664944418793</v>
      </c>
      <c r="AM35" s="37">
        <v>-737.68511361299534</v>
      </c>
      <c r="AN35" s="37">
        <v>-84.726040362955246</v>
      </c>
      <c r="AO35" s="37">
        <v>-1058.1570990641048</v>
      </c>
      <c r="AP35" s="37">
        <v>-8730.0345590592551</v>
      </c>
      <c r="AQ35" s="37">
        <v>-4588.8688440707701</v>
      </c>
      <c r="AR35" s="37">
        <v>-7577.5011999133931</v>
      </c>
      <c r="AS35" s="37">
        <v>-3104.7805595645295</v>
      </c>
      <c r="AT35" s="37">
        <v>6901.5128473435543</v>
      </c>
      <c r="AU35" s="37">
        <v>4377.7167231495441</v>
      </c>
      <c r="AV35" s="37">
        <v>2019.4548235985494</v>
      </c>
      <c r="AW35" s="37">
        <v>5517.6075258926103</v>
      </c>
      <c r="AX35" s="37">
        <v>4136.4161724973237</v>
      </c>
      <c r="AY35" s="37">
        <v>3293.1632418324079</v>
      </c>
      <c r="AZ35" s="37">
        <v>2168.9178031870906</v>
      </c>
      <c r="BA35" s="37">
        <v>2767.6230683645153</v>
      </c>
      <c r="BB35" s="37">
        <v>-4657.8883993584168</v>
      </c>
      <c r="BC35" s="37">
        <v>-1476.9799241862711</v>
      </c>
      <c r="BD35" s="37">
        <v>627.62108952773269</v>
      </c>
      <c r="BE35" s="37">
        <v>7449.9617592717186</v>
      </c>
      <c r="BF35" s="37">
        <v>-3940.6272413482875</v>
      </c>
      <c r="BG35" s="37">
        <v>7317.3953605636561</v>
      </c>
      <c r="BH35" s="37">
        <v>-4869.8187877707314</v>
      </c>
      <c r="BI35" s="37">
        <v>1049.4609437302497</v>
      </c>
      <c r="BJ35" s="37">
        <v>-8364.7484944418757</v>
      </c>
      <c r="BK35" s="37">
        <v>-635.14211361299385</v>
      </c>
      <c r="BL35" s="37">
        <v>-1478.454040362958</v>
      </c>
      <c r="BM35" s="37">
        <v>607.89590093589868</v>
      </c>
      <c r="BN35" s="37">
        <v>-6933.0965590592532</v>
      </c>
      <c r="BO35" s="37">
        <v>-6134.2538440707685</v>
      </c>
      <c r="BP35" s="37">
        <v>-7447.1671999133905</v>
      </c>
      <c r="BQ35" s="37">
        <v>-3012.9845595645311</v>
      </c>
      <c r="BR35" s="37">
        <v>4967.3318473435575</v>
      </c>
      <c r="BS35" s="37">
        <v>6545.7497231495399</v>
      </c>
      <c r="BT35" s="37">
        <v>4175.5138235985505</v>
      </c>
      <c r="BU35" s="37">
        <v>3593.4115258926067</v>
      </c>
      <c r="BV35" s="37">
        <v>4277.7881724973195</v>
      </c>
      <c r="BW35" s="37">
        <v>3400.4192418324019</v>
      </c>
      <c r="BY35" s="66"/>
      <c r="BZ35" s="66"/>
    </row>
    <row r="36" spans="2:78">
      <c r="B36">
        <v>10091</v>
      </c>
      <c r="C36" t="s">
        <v>40</v>
      </c>
      <c r="D36" s="37">
        <v>422.37035255955698</v>
      </c>
      <c r="E36" s="37">
        <v>304.16104161688963</v>
      </c>
      <c r="F36" s="37">
        <v>-205.62562239389672</v>
      </c>
      <c r="G36" s="37">
        <v>93.778690141900825</v>
      </c>
      <c r="H36" s="37">
        <v>229.80288985048446</v>
      </c>
      <c r="I36" s="37">
        <v>1064.5310853004653</v>
      </c>
      <c r="J36" s="37">
        <v>172.26292098695467</v>
      </c>
      <c r="K36" s="37">
        <v>838.32980406966317</v>
      </c>
      <c r="L36" s="37">
        <v>315.24736351588308</v>
      </c>
      <c r="M36" s="37">
        <v>663.04204587238837</v>
      </c>
      <c r="N36" s="37">
        <v>-415.41155348450593</v>
      </c>
      <c r="O36" s="37">
        <v>374.73261660080107</v>
      </c>
      <c r="P36" s="37">
        <v>301.48754150224613</v>
      </c>
      <c r="Q36" s="37">
        <v>229.70338320762266</v>
      </c>
      <c r="R36" s="37">
        <v>-1041.3577976229953</v>
      </c>
      <c r="S36" s="37">
        <v>-683.03801698246207</v>
      </c>
      <c r="T36" s="37">
        <v>-1212.5590835766029</v>
      </c>
      <c r="U36" s="37">
        <v>-446.96425327712677</v>
      </c>
      <c r="V36" s="37">
        <v>-251.50338439898132</v>
      </c>
      <c r="W36" s="37">
        <v>66.657812721267874</v>
      </c>
      <c r="X36" s="37">
        <v>-725.52693822480614</v>
      </c>
      <c r="Y36" s="37">
        <v>-121.92288044965062</v>
      </c>
      <c r="Z36" s="37">
        <v>-71.066287282982103</v>
      </c>
      <c r="AA36" s="37">
        <v>104.2918161469504</v>
      </c>
      <c r="AB36" s="37">
        <v>423.14616537939582</v>
      </c>
      <c r="AC36" s="37">
        <v>304.63031507965343</v>
      </c>
      <c r="AD36" s="37">
        <v>-205.62562239389672</v>
      </c>
      <c r="AE36" s="37">
        <v>93.778690141900825</v>
      </c>
      <c r="AF36" s="37">
        <v>229.80288985048446</v>
      </c>
      <c r="AG36" s="37">
        <v>1064.5310853004653</v>
      </c>
      <c r="AH36" s="37">
        <v>172.26292098695467</v>
      </c>
      <c r="AI36" s="37">
        <v>838.32980406966317</v>
      </c>
      <c r="AJ36" s="37">
        <v>315.24736351588308</v>
      </c>
      <c r="AK36" s="37">
        <v>663.04204587238837</v>
      </c>
      <c r="AL36" s="37">
        <v>-415.41155348450593</v>
      </c>
      <c r="AM36" s="37">
        <v>374.73261660080107</v>
      </c>
      <c r="AN36" s="37">
        <v>301.48754150224613</v>
      </c>
      <c r="AO36" s="37">
        <v>229.70338320762266</v>
      </c>
      <c r="AP36" s="37">
        <v>-1041.3577976229953</v>
      </c>
      <c r="AQ36" s="37">
        <v>-683.03801698246207</v>
      </c>
      <c r="AR36" s="37">
        <v>-1212.5590835766029</v>
      </c>
      <c r="AS36" s="37">
        <v>-446.96425327712677</v>
      </c>
      <c r="AT36" s="37">
        <v>-251.50338439898132</v>
      </c>
      <c r="AU36" s="37">
        <v>66.657812721267874</v>
      </c>
      <c r="AV36" s="37">
        <v>-725.52693822480614</v>
      </c>
      <c r="AW36" s="37">
        <v>-121.92288044965062</v>
      </c>
      <c r="AX36" s="37">
        <v>-71.066287282982103</v>
      </c>
      <c r="AY36" s="37">
        <v>104.2918161469504</v>
      </c>
      <c r="AZ36" s="37">
        <v>423.14616537939582</v>
      </c>
      <c r="BA36" s="37">
        <v>304.63031507965343</v>
      </c>
      <c r="BB36" s="37">
        <v>-204.66394263240045</v>
      </c>
      <c r="BC36" s="37">
        <v>94.408812214333921</v>
      </c>
      <c r="BD36" s="37">
        <v>230.96295940851269</v>
      </c>
      <c r="BE36" s="37">
        <v>1065.1807612941584</v>
      </c>
      <c r="BF36" s="37">
        <v>173.46644577362167</v>
      </c>
      <c r="BG36" s="37">
        <v>839.03570210678163</v>
      </c>
      <c r="BH36" s="37">
        <v>289.28838921397892</v>
      </c>
      <c r="BI36" s="37">
        <v>672.04775799285289</v>
      </c>
      <c r="BJ36" s="37">
        <v>-414.32969039644649</v>
      </c>
      <c r="BK36" s="37">
        <v>375.31421595058646</v>
      </c>
      <c r="BL36" s="37">
        <v>302.28131571674612</v>
      </c>
      <c r="BM36" s="37">
        <v>230.19880911534119</v>
      </c>
      <c r="BN36" s="37">
        <v>-1040.3475111918997</v>
      </c>
      <c r="BO36" s="37">
        <v>-682.37986618557852</v>
      </c>
      <c r="BP36" s="37">
        <v>-1211.4484712898461</v>
      </c>
      <c r="BQ36" s="37">
        <v>-446.3708023442673</v>
      </c>
      <c r="BR36" s="37">
        <v>-250.54228223005794</v>
      </c>
      <c r="BS36" s="37">
        <v>67.213474193254569</v>
      </c>
      <c r="BT36" s="37">
        <v>-724.49269821768939</v>
      </c>
      <c r="BU36" s="37">
        <v>-121.40119912653972</v>
      </c>
      <c r="BV36" s="37">
        <v>-70.314173935477811</v>
      </c>
      <c r="BW36" s="37">
        <v>104.74806222314055</v>
      </c>
      <c r="BY36" s="66"/>
      <c r="BZ36" s="66"/>
    </row>
    <row r="37" spans="2:78">
      <c r="B37">
        <v>10094</v>
      </c>
      <c r="C37" t="s">
        <v>41</v>
      </c>
      <c r="D37" s="37">
        <v>157.48064447012132</v>
      </c>
      <c r="E37" s="37">
        <v>152.21158416746778</v>
      </c>
      <c r="F37" s="37">
        <v>-17.955448275311483</v>
      </c>
      <c r="G37" s="37">
        <v>38.70145133025585</v>
      </c>
      <c r="H37" s="37">
        <v>83.124087657201471</v>
      </c>
      <c r="I37" s="37">
        <v>224.48547624318769</v>
      </c>
      <c r="J37" s="37">
        <v>-61.399896174558535</v>
      </c>
      <c r="K37" s="37">
        <v>203.95026548576629</v>
      </c>
      <c r="L37" s="37">
        <v>68.815018668404036</v>
      </c>
      <c r="M37" s="37">
        <v>154.59856159254559</v>
      </c>
      <c r="N37" s="37">
        <v>-39.407056093569054</v>
      </c>
      <c r="O37" s="37">
        <v>114.17164983024441</v>
      </c>
      <c r="P37" s="37">
        <v>134.5221016485234</v>
      </c>
      <c r="Q37" s="37">
        <v>175.84233861212431</v>
      </c>
      <c r="R37" s="37">
        <v>-240.66336544236378</v>
      </c>
      <c r="S37" s="37">
        <v>-196.80209152734233</v>
      </c>
      <c r="T37" s="37">
        <v>-450.8622587915404</v>
      </c>
      <c r="U37" s="37">
        <v>-236.40136924750902</v>
      </c>
      <c r="V37" s="37">
        <v>-138.27853478376346</v>
      </c>
      <c r="W37" s="37">
        <v>-44.230543886334544</v>
      </c>
      <c r="X37" s="37">
        <v>-141.20168930162117</v>
      </c>
      <c r="Y37" s="37">
        <v>-79.381489306403068</v>
      </c>
      <c r="Z37" s="37">
        <v>91.465854811954387</v>
      </c>
      <c r="AA37" s="37">
        <v>47.889378419318405</v>
      </c>
      <c r="AB37" s="37">
        <v>155.23874618468699</v>
      </c>
      <c r="AC37" s="37">
        <v>151.04482095294372</v>
      </c>
      <c r="AD37" s="37">
        <v>-18.635727241794484</v>
      </c>
      <c r="AE37" s="37">
        <v>38.409922349713497</v>
      </c>
      <c r="AF37" s="37">
        <v>81.742119572412776</v>
      </c>
      <c r="AG37" s="37">
        <v>224.13521360385107</v>
      </c>
      <c r="AH37" s="37">
        <v>-61.124170250118141</v>
      </c>
      <c r="AI37" s="37">
        <v>201.49737399158494</v>
      </c>
      <c r="AJ37" s="37">
        <v>67.927085549987396</v>
      </c>
      <c r="AK37" s="37">
        <v>154.3867315238648</v>
      </c>
      <c r="AL37" s="37">
        <v>-41.395129475159592</v>
      </c>
      <c r="AM37" s="37">
        <v>116.02038598117349</v>
      </c>
      <c r="AN37" s="37">
        <v>134.52341338568999</v>
      </c>
      <c r="AO37" s="37">
        <v>176.11449301201139</v>
      </c>
      <c r="AP37" s="37">
        <v>-241.30627331044593</v>
      </c>
      <c r="AQ37" s="37">
        <v>-197.3460783138396</v>
      </c>
      <c r="AR37" s="37">
        <v>-451.91691203415462</v>
      </c>
      <c r="AS37" s="37">
        <v>-236.8959899565674</v>
      </c>
      <c r="AT37" s="37">
        <v>-138.73331084910137</v>
      </c>
      <c r="AU37" s="37">
        <v>-44.332410264942723</v>
      </c>
      <c r="AV37" s="37">
        <v>-141.70239599912725</v>
      </c>
      <c r="AW37" s="37">
        <v>-79.619108373218523</v>
      </c>
      <c r="AX37" s="37">
        <v>91.825696972769151</v>
      </c>
      <c r="AY37" s="37">
        <v>48.09131208916051</v>
      </c>
      <c r="AZ37" s="37">
        <v>160.84874618468712</v>
      </c>
      <c r="BA37" s="37">
        <v>151.4118209529438</v>
      </c>
      <c r="BB37" s="37">
        <v>-20.445326446780882</v>
      </c>
      <c r="BC37" s="37">
        <v>40.684515441604049</v>
      </c>
      <c r="BD37" s="37">
        <v>81.426221045652255</v>
      </c>
      <c r="BE37" s="37">
        <v>224.37062695820771</v>
      </c>
      <c r="BF37" s="37">
        <v>-61.735919539009956</v>
      </c>
      <c r="BG37" s="37">
        <v>201.68238053452239</v>
      </c>
      <c r="BH37" s="37">
        <v>60.772327748867156</v>
      </c>
      <c r="BI37" s="37">
        <v>156.48318838524904</v>
      </c>
      <c r="BJ37" s="37">
        <v>-41.397339768690699</v>
      </c>
      <c r="BK37" s="37">
        <v>116.38972148188827</v>
      </c>
      <c r="BL37" s="37">
        <v>135.23149933735681</v>
      </c>
      <c r="BM37" s="37">
        <v>176.81907331961702</v>
      </c>
      <c r="BN37" s="37">
        <v>-241.03589474743239</v>
      </c>
      <c r="BO37" s="37">
        <v>-196.29091430345272</v>
      </c>
      <c r="BP37" s="37">
        <v>-451.95695299001159</v>
      </c>
      <c r="BQ37" s="37">
        <v>-236.85115973276606</v>
      </c>
      <c r="BR37" s="37">
        <v>-135.32198474551478</v>
      </c>
      <c r="BS37" s="37">
        <v>-46.937615171564289</v>
      </c>
      <c r="BT37" s="37">
        <v>-142.27186268951618</v>
      </c>
      <c r="BU37" s="37">
        <v>-77.388046116922737</v>
      </c>
      <c r="BV37" s="37">
        <v>92.843652481088498</v>
      </c>
      <c r="BW37" s="37">
        <v>48.692491835192982</v>
      </c>
      <c r="BY37" s="66"/>
      <c r="BZ37" s="66"/>
    </row>
    <row r="38" spans="2:78">
      <c r="B38">
        <v>10095</v>
      </c>
      <c r="C38" t="s">
        <v>42</v>
      </c>
      <c r="D38" s="37">
        <v>397.34657551619603</v>
      </c>
      <c r="E38" s="37">
        <v>117.26919097146879</v>
      </c>
      <c r="F38" s="37">
        <v>-4.7448302501798025</v>
      </c>
      <c r="G38" s="37">
        <v>6.1992795603518971</v>
      </c>
      <c r="H38" s="37">
        <v>-232.74750069237007</v>
      </c>
      <c r="I38" s="37">
        <v>-53.903357164654608</v>
      </c>
      <c r="J38" s="37">
        <v>-95.078583494943587</v>
      </c>
      <c r="K38" s="37">
        <v>-17.436827770048467</v>
      </c>
      <c r="L38" s="37">
        <v>159.94190059090897</v>
      </c>
      <c r="M38" s="37">
        <v>72.595602001525208</v>
      </c>
      <c r="N38" s="37">
        <v>25.486214714038624</v>
      </c>
      <c r="O38" s="37">
        <v>99.029317068370347</v>
      </c>
      <c r="P38" s="37">
        <v>309.27489948903099</v>
      </c>
      <c r="Q38" s="37">
        <v>80.736290539884976</v>
      </c>
      <c r="R38" s="37">
        <v>-109.4220886227854</v>
      </c>
      <c r="S38" s="37">
        <v>-131.53106904665174</v>
      </c>
      <c r="T38" s="37">
        <v>-236.2959086487117</v>
      </c>
      <c r="U38" s="37">
        <v>-130.79470265280838</v>
      </c>
      <c r="V38" s="37">
        <v>8.5274737884424212</v>
      </c>
      <c r="W38" s="37">
        <v>-0.93540887277936235</v>
      </c>
      <c r="X38" s="37">
        <v>-155.12633222661407</v>
      </c>
      <c r="Y38" s="37">
        <v>27.986486894873451</v>
      </c>
      <c r="Z38" s="37">
        <v>255.06626898771037</v>
      </c>
      <c r="AA38" s="37">
        <v>108.03624110511782</v>
      </c>
      <c r="AB38" s="37">
        <v>391.13157551619611</v>
      </c>
      <c r="AC38" s="37">
        <v>113.95219097146878</v>
      </c>
      <c r="AD38" s="37">
        <v>-9.7438302501798262</v>
      </c>
      <c r="AE38" s="37">
        <v>2.8962795603517861</v>
      </c>
      <c r="AF38" s="37">
        <v>-237.95950069237006</v>
      </c>
      <c r="AG38" s="37">
        <v>-57.049357164654566</v>
      </c>
      <c r="AH38" s="37">
        <v>-153.99958349494364</v>
      </c>
      <c r="AI38" s="37">
        <v>34.275172229951522</v>
      </c>
      <c r="AJ38" s="37">
        <v>156.93890059090882</v>
      </c>
      <c r="AK38" s="37">
        <v>70.910602001525149</v>
      </c>
      <c r="AL38" s="37">
        <v>73.220214714038775</v>
      </c>
      <c r="AM38" s="37">
        <v>45.599317068370283</v>
      </c>
      <c r="AN38" s="37">
        <v>305.48889948903093</v>
      </c>
      <c r="AO38" s="37">
        <v>78.627290539884939</v>
      </c>
      <c r="AP38" s="37">
        <v>-113.98008862278539</v>
      </c>
      <c r="AQ38" s="37">
        <v>-134.33106904665181</v>
      </c>
      <c r="AR38" s="37">
        <v>-241.3439086487117</v>
      </c>
      <c r="AS38" s="37">
        <v>-133.47870265280835</v>
      </c>
      <c r="AT38" s="37">
        <v>3.544473788442474</v>
      </c>
      <c r="AU38" s="37">
        <v>-3.7984088727794187</v>
      </c>
      <c r="AV38" s="37">
        <v>-160.70933222661415</v>
      </c>
      <c r="AW38" s="37">
        <v>24.804486894873435</v>
      </c>
      <c r="AX38" s="37">
        <v>250.23126898771056</v>
      </c>
      <c r="AY38" s="37">
        <v>105.2492411051179</v>
      </c>
      <c r="AZ38" s="37">
        <v>341.29157551619596</v>
      </c>
      <c r="BA38" s="37">
        <v>157.01319097146882</v>
      </c>
      <c r="BB38" s="37">
        <v>35.439169749820167</v>
      </c>
      <c r="BC38" s="37">
        <v>-47.602720439648238</v>
      </c>
      <c r="BD38" s="37">
        <v>-241.06050069236994</v>
      </c>
      <c r="BE38" s="37">
        <v>-58.920357164654661</v>
      </c>
      <c r="BF38" s="37">
        <v>-156.97358349494357</v>
      </c>
      <c r="BG38" s="37">
        <v>32.33717222995142</v>
      </c>
      <c r="BH38" s="37">
        <v>166.31669097810891</v>
      </c>
      <c r="BI38" s="37">
        <v>64.999497195125173</v>
      </c>
      <c r="BJ38" s="37">
        <v>70.922214714038773</v>
      </c>
      <c r="BK38" s="37">
        <v>44.357317068370321</v>
      </c>
      <c r="BL38" s="37">
        <v>256.83889948903084</v>
      </c>
      <c r="BM38" s="37">
        <v>123.43529053988493</v>
      </c>
      <c r="BN38" s="37">
        <v>-72.049088622785348</v>
      </c>
      <c r="BO38" s="37">
        <v>-181.22006904665182</v>
      </c>
      <c r="BP38" s="37">
        <v>-244.74590864871175</v>
      </c>
      <c r="BQ38" s="37">
        <v>-135.28770265280843</v>
      </c>
      <c r="BR38" s="37">
        <v>-44.674526211557577</v>
      </c>
      <c r="BS38" s="37">
        <v>39.003591127220602</v>
      </c>
      <c r="BT38" s="37">
        <v>-121.30533222661415</v>
      </c>
      <c r="BU38" s="37">
        <v>-21.158513105126531</v>
      </c>
      <c r="BV38" s="37">
        <v>246.52426898771046</v>
      </c>
      <c r="BW38" s="37">
        <v>103.11324110511782</v>
      </c>
      <c r="BY38" s="66"/>
      <c r="BZ38" s="66"/>
    </row>
    <row r="39" spans="2:78">
      <c r="B39">
        <v>10097</v>
      </c>
      <c r="C39" t="s">
        <v>43</v>
      </c>
      <c r="D39" s="37">
        <v>139.45676217095934</v>
      </c>
      <c r="E39" s="37">
        <v>105.1432184646153</v>
      </c>
      <c r="F39" s="37">
        <v>44.232703955227521</v>
      </c>
      <c r="G39" s="37">
        <v>86.207373985547292</v>
      </c>
      <c r="H39" s="37">
        <v>191.69768501156227</v>
      </c>
      <c r="I39" s="37">
        <v>343.01524192222894</v>
      </c>
      <c r="J39" s="37">
        <v>177.8972253191198</v>
      </c>
      <c r="K39" s="37">
        <v>311.91774314547399</v>
      </c>
      <c r="L39" s="37">
        <v>146.67756964776675</v>
      </c>
      <c r="M39" s="37">
        <v>178.74766896358096</v>
      </c>
      <c r="N39" s="37">
        <v>11.786560312271263</v>
      </c>
      <c r="O39" s="37">
        <v>155.01621055133853</v>
      </c>
      <c r="P39" s="37">
        <v>102.61801258451669</v>
      </c>
      <c r="Q39" s="37">
        <v>111.93607265247482</v>
      </c>
      <c r="R39" s="37">
        <v>-312.49995879906623</v>
      </c>
      <c r="S39" s="37">
        <v>-183.63359827404327</v>
      </c>
      <c r="T39" s="37">
        <v>-420.89693726492476</v>
      </c>
      <c r="U39" s="37">
        <v>-186.39642595517302</v>
      </c>
      <c r="V39" s="37">
        <v>-267.20093661970475</v>
      </c>
      <c r="W39" s="37">
        <v>-125.86612219530855</v>
      </c>
      <c r="X39" s="37">
        <v>-330.36136668264908</v>
      </c>
      <c r="Y39" s="37">
        <v>-129.28576240146333</v>
      </c>
      <c r="Z39" s="37">
        <v>-111.14543330648428</v>
      </c>
      <c r="AA39" s="37">
        <v>-32.770065542662678</v>
      </c>
      <c r="AB39" s="37">
        <v>138.60471943816185</v>
      </c>
      <c r="AC39" s="37">
        <v>104.66997358873533</v>
      </c>
      <c r="AD39" s="37">
        <v>44.201344432235715</v>
      </c>
      <c r="AE39" s="37">
        <v>86.302129840681573</v>
      </c>
      <c r="AF39" s="37">
        <v>191.93654589550601</v>
      </c>
      <c r="AG39" s="37">
        <v>343.61988993484283</v>
      </c>
      <c r="AH39" s="37">
        <v>178.11517574578465</v>
      </c>
      <c r="AI39" s="37">
        <v>312.4629470712365</v>
      </c>
      <c r="AJ39" s="37">
        <v>146.8599851315746</v>
      </c>
      <c r="AK39" s="37">
        <v>179.04297816265137</v>
      </c>
      <c r="AL39" s="37">
        <v>11.684834136152858</v>
      </c>
      <c r="AM39" s="37">
        <v>155.25901185176735</v>
      </c>
      <c r="AN39" s="37">
        <v>102.72346415551681</v>
      </c>
      <c r="AO39" s="37">
        <v>112.09722083703826</v>
      </c>
      <c r="AP39" s="37">
        <v>-313.25153166125801</v>
      </c>
      <c r="AQ39" s="37">
        <v>-184.08289986781102</v>
      </c>
      <c r="AR39" s="37">
        <v>-421.87716183843884</v>
      </c>
      <c r="AS39" s="37">
        <v>-186.84332782089217</v>
      </c>
      <c r="AT39" s="37">
        <v>-267.85614095755273</v>
      </c>
      <c r="AU39" s="37">
        <v>-126.18744513928135</v>
      </c>
      <c r="AV39" s="37">
        <v>-331.14584669688247</v>
      </c>
      <c r="AW39" s="37">
        <v>-129.60612504768579</v>
      </c>
      <c r="AX39" s="37">
        <v>-111.45666000149265</v>
      </c>
      <c r="AY39" s="37">
        <v>-32.889557695043095</v>
      </c>
      <c r="AZ39" s="37">
        <v>140.3477194381619</v>
      </c>
      <c r="BA39" s="37">
        <v>105.76497358873536</v>
      </c>
      <c r="BB39" s="37">
        <v>44.82110475024092</v>
      </c>
      <c r="BC39" s="37">
        <v>86.821967077437762</v>
      </c>
      <c r="BD39" s="37">
        <v>192.96078648480193</v>
      </c>
      <c r="BE39" s="37">
        <v>344.66665527658552</v>
      </c>
      <c r="BF39" s="37">
        <v>179.13547603022789</v>
      </c>
      <c r="BG39" s="37">
        <v>313.47774968841145</v>
      </c>
      <c r="BH39" s="37">
        <v>140.68700318104652</v>
      </c>
      <c r="BI39" s="37">
        <v>177.50722149216506</v>
      </c>
      <c r="BJ39" s="37">
        <v>12.293350018740284</v>
      </c>
      <c r="BK39" s="37">
        <v>155.88354605205325</v>
      </c>
      <c r="BL39" s="37">
        <v>103.36509853618361</v>
      </c>
      <c r="BM39" s="37">
        <v>112.59465296008045</v>
      </c>
      <c r="BN39" s="37">
        <v>-313.32258023605254</v>
      </c>
      <c r="BO39" s="37">
        <v>-184.08943426365641</v>
      </c>
      <c r="BP39" s="37">
        <v>-422.11097822078148</v>
      </c>
      <c r="BQ39" s="37">
        <v>-186.89159573137169</v>
      </c>
      <c r="BR39" s="37">
        <v>-267.86361051611823</v>
      </c>
      <c r="BS39" s="37">
        <v>-126.13432710193007</v>
      </c>
      <c r="BT39" s="37">
        <v>-331.2398333730381</v>
      </c>
      <c r="BU39" s="37">
        <v>-129.57970014516746</v>
      </c>
      <c r="BV39" s="37">
        <v>-111.26647779816494</v>
      </c>
      <c r="BW39" s="37">
        <v>-32.704885796630151</v>
      </c>
      <c r="BY39" s="66"/>
      <c r="BZ39" s="66"/>
    </row>
    <row r="40" spans="2:78">
      <c r="B40">
        <v>10101</v>
      </c>
      <c r="C40" t="s">
        <v>44</v>
      </c>
      <c r="D40" s="37">
        <v>4478.8859916703404</v>
      </c>
      <c r="E40" s="37">
        <v>2065.8336619606744</v>
      </c>
      <c r="F40" s="37">
        <v>5214.137310685328</v>
      </c>
      <c r="G40" s="37">
        <v>3910.3235405188316</v>
      </c>
      <c r="H40" s="37">
        <v>8522.6955852799438</v>
      </c>
      <c r="I40" s="37">
        <v>10026.370391446009</v>
      </c>
      <c r="J40" s="37">
        <v>7413.4356982508398</v>
      </c>
      <c r="K40" s="37">
        <v>8637.7271719092314</v>
      </c>
      <c r="L40" s="37">
        <v>8965.1414909108644</v>
      </c>
      <c r="M40" s="37">
        <v>7890.6415994707058</v>
      </c>
      <c r="N40" s="37">
        <v>2253.3768089549339</v>
      </c>
      <c r="O40" s="37">
        <v>4783.2448443871726</v>
      </c>
      <c r="P40" s="37">
        <v>3537.087044556305</v>
      </c>
      <c r="Q40" s="37">
        <v>2291.2526404204073</v>
      </c>
      <c r="R40" s="37">
        <v>-9908.3106033634249</v>
      </c>
      <c r="S40" s="37">
        <v>-6253.2436026859905</v>
      </c>
      <c r="T40" s="37">
        <v>-16135.595296624673</v>
      </c>
      <c r="U40" s="37">
        <v>-7385.9692109274656</v>
      </c>
      <c r="V40" s="37">
        <v>-11718.116225486592</v>
      </c>
      <c r="W40" s="37">
        <v>-5380.1606526781015</v>
      </c>
      <c r="X40" s="37">
        <v>-13224.863241812436</v>
      </c>
      <c r="Y40" s="37">
        <v>-5434.5820086357762</v>
      </c>
      <c r="Z40" s="37">
        <v>-3170.2733258237895</v>
      </c>
      <c r="AA40" s="37">
        <v>-1383.9481595227317</v>
      </c>
      <c r="AB40" s="37">
        <v>4482.1259916703384</v>
      </c>
      <c r="AC40" s="37">
        <v>2068.2586619606773</v>
      </c>
      <c r="AD40" s="37">
        <v>5216.7033106853269</v>
      </c>
      <c r="AE40" s="37">
        <v>3912.7565405188288</v>
      </c>
      <c r="AF40" s="37">
        <v>8505.240585279942</v>
      </c>
      <c r="AG40" s="37">
        <v>10015.139391446017</v>
      </c>
      <c r="AH40" s="37">
        <v>7468.4696982508322</v>
      </c>
      <c r="AI40" s="37">
        <v>8558.2611719092311</v>
      </c>
      <c r="AJ40" s="37">
        <v>8959.7224909108627</v>
      </c>
      <c r="AK40" s="37">
        <v>7887.567599470709</v>
      </c>
      <c r="AL40" s="37">
        <v>2185.326808954931</v>
      </c>
      <c r="AM40" s="37">
        <v>4854.8488443871756</v>
      </c>
      <c r="AN40" s="37">
        <v>3540.6280445563061</v>
      </c>
      <c r="AO40" s="37">
        <v>2293.8676404204089</v>
      </c>
      <c r="AP40" s="37">
        <v>-9904.0656033634259</v>
      </c>
      <c r="AQ40" s="37">
        <v>-6249.7126026859914</v>
      </c>
      <c r="AR40" s="37">
        <v>-16129.605296624672</v>
      </c>
      <c r="AS40" s="37">
        <v>-7381.8902109274659</v>
      </c>
      <c r="AT40" s="37">
        <v>-11713.15922548659</v>
      </c>
      <c r="AU40" s="37">
        <v>-5376.4186526781014</v>
      </c>
      <c r="AV40" s="37">
        <v>-13220.227241812434</v>
      </c>
      <c r="AW40" s="37">
        <v>-5431.1180086357781</v>
      </c>
      <c r="AX40" s="37">
        <v>-3164.3183258237877</v>
      </c>
      <c r="AY40" s="37">
        <v>-1379.5601595227326</v>
      </c>
      <c r="AZ40" s="37">
        <v>4504.969991670343</v>
      </c>
      <c r="BA40" s="37">
        <v>1961.3146619606778</v>
      </c>
      <c r="BB40" s="37">
        <v>5100.2323106853219</v>
      </c>
      <c r="BC40" s="37">
        <v>3945.4085405188307</v>
      </c>
      <c r="BD40" s="37">
        <v>8441.0525852799401</v>
      </c>
      <c r="BE40" s="37">
        <v>9966.5793914460046</v>
      </c>
      <c r="BF40" s="37">
        <v>7407.9846982508388</v>
      </c>
      <c r="BG40" s="37">
        <v>8509.0681719092318</v>
      </c>
      <c r="BH40" s="37">
        <v>9441.3332816180628</v>
      </c>
      <c r="BI40" s="37">
        <v>8370.6849948243071</v>
      </c>
      <c r="BJ40" s="37">
        <v>2134.8118089549316</v>
      </c>
      <c r="BK40" s="37">
        <v>4818.6288443871745</v>
      </c>
      <c r="BL40" s="37">
        <v>3564.2610445563078</v>
      </c>
      <c r="BM40" s="37">
        <v>2187.1736404204094</v>
      </c>
      <c r="BN40" s="37">
        <v>-10020.420603363425</v>
      </c>
      <c r="BO40" s="37">
        <v>-6216.5506026859875</v>
      </c>
      <c r="BP40" s="37">
        <v>-16175.033296624671</v>
      </c>
      <c r="BQ40" s="37">
        <v>-7415.3022109274661</v>
      </c>
      <c r="BR40" s="37">
        <v>-11687.769225486591</v>
      </c>
      <c r="BS40" s="37">
        <v>-5484.6966526781016</v>
      </c>
      <c r="BT40" s="37">
        <v>-13338.011241812437</v>
      </c>
      <c r="BU40" s="37">
        <v>-5395.9880086357771</v>
      </c>
      <c r="BV40" s="37">
        <v>-3207.9323258237891</v>
      </c>
      <c r="BW40" s="37">
        <v>-1414.7051595227331</v>
      </c>
      <c r="BY40" s="66"/>
      <c r="BZ40" s="66"/>
    </row>
    <row r="41" spans="2:78">
      <c r="B41">
        <v>10103</v>
      </c>
      <c r="C41" t="s">
        <v>45</v>
      </c>
      <c r="D41" s="37">
        <v>17263.386422531679</v>
      </c>
      <c r="E41" s="37">
        <v>-11381.421976622645</v>
      </c>
      <c r="F41" s="37">
        <v>-1810.565899724781</v>
      </c>
      <c r="G41" s="37">
        <v>-5127.0027331643068</v>
      </c>
      <c r="H41" s="37">
        <v>24757.256598572829</v>
      </c>
      <c r="I41" s="37">
        <v>15392.287976557782</v>
      </c>
      <c r="J41" s="37">
        <v>13345.831689823681</v>
      </c>
      <c r="K41" s="37">
        <v>6908.8551998974435</v>
      </c>
      <c r="L41" s="37">
        <v>25517.820869235758</v>
      </c>
      <c r="M41" s="37">
        <v>10517.772891930756</v>
      </c>
      <c r="N41" s="37">
        <v>-5232.9662273987487</v>
      </c>
      <c r="O41" s="37">
        <v>3013.7085873028846</v>
      </c>
      <c r="P41" s="37">
        <v>14144.802455486366</v>
      </c>
      <c r="Q41" s="37">
        <v>-8819.6309444641811</v>
      </c>
      <c r="R41" s="37">
        <v>10991.259010853799</v>
      </c>
      <c r="S41" s="37">
        <v>5146.5358847889729</v>
      </c>
      <c r="T41" s="37">
        <v>-40322.324715285387</v>
      </c>
      <c r="U41" s="37">
        <v>-31694.467070363738</v>
      </c>
      <c r="V41" s="37">
        <v>-4008.4558115894033</v>
      </c>
      <c r="W41" s="37">
        <v>-16111.64071372473</v>
      </c>
      <c r="X41" s="37">
        <v>-6435.5046955156722</v>
      </c>
      <c r="Y41" s="37">
        <v>-6071.8937678836082</v>
      </c>
      <c r="Z41" s="37">
        <v>3373.8209739310987</v>
      </c>
      <c r="AA41" s="37">
        <v>-13356.806526813321</v>
      </c>
      <c r="AB41" s="37">
        <v>17149.555422531674</v>
      </c>
      <c r="AC41" s="37">
        <v>-12042.895976622662</v>
      </c>
      <c r="AD41" s="37">
        <v>-1240.4848997247755</v>
      </c>
      <c r="AE41" s="37">
        <v>-5221.719733164311</v>
      </c>
      <c r="AF41" s="37">
        <v>26394.063598572859</v>
      </c>
      <c r="AG41" s="37">
        <v>15911.176976557806</v>
      </c>
      <c r="AH41" s="37">
        <v>6821.1096898236719</v>
      </c>
      <c r="AI41" s="37">
        <v>15272.27319989742</v>
      </c>
      <c r="AJ41" s="37">
        <v>26652.557869235723</v>
      </c>
      <c r="AK41" s="37">
        <v>10780.082891930753</v>
      </c>
      <c r="AL41" s="37">
        <v>1832.3387726012443</v>
      </c>
      <c r="AM41" s="37">
        <v>-3558.7834126971429</v>
      </c>
      <c r="AN41" s="37">
        <v>14073.765455486355</v>
      </c>
      <c r="AO41" s="37">
        <v>-9359.1139444641885</v>
      </c>
      <c r="AP41" s="37">
        <v>10570.641010853811</v>
      </c>
      <c r="AQ41" s="37">
        <v>4249.8508847889752</v>
      </c>
      <c r="AR41" s="37">
        <v>-40717.596715285414</v>
      </c>
      <c r="AS41" s="37">
        <v>-32503.715070363731</v>
      </c>
      <c r="AT41" s="37">
        <v>-4054.6338115893886</v>
      </c>
      <c r="AU41" s="37">
        <v>-16812.766713724719</v>
      </c>
      <c r="AV41" s="37">
        <v>-6324.6666955156834</v>
      </c>
      <c r="AW41" s="37">
        <v>-6682.0357678836008</v>
      </c>
      <c r="AX41" s="37">
        <v>3015.6399739310873</v>
      </c>
      <c r="AY41" s="37">
        <v>-14205.145526813358</v>
      </c>
      <c r="AZ41" s="37">
        <v>11800.925422531698</v>
      </c>
      <c r="BA41" s="37">
        <v>-7660.3369766226533</v>
      </c>
      <c r="BB41" s="37">
        <v>5554.9691002752515</v>
      </c>
      <c r="BC41" s="37">
        <v>-11698.896733164307</v>
      </c>
      <c r="BD41" s="37">
        <v>27940.273598572821</v>
      </c>
      <c r="BE41" s="37">
        <v>16356.893976557782</v>
      </c>
      <c r="BF41" s="37">
        <v>8097.4096898237185</v>
      </c>
      <c r="BG41" s="37">
        <v>15692.901199897446</v>
      </c>
      <c r="BH41" s="37">
        <v>29942.085520077409</v>
      </c>
      <c r="BI41" s="37">
        <v>10738.670717351575</v>
      </c>
      <c r="BJ41" s="37">
        <v>2366.7097726012289</v>
      </c>
      <c r="BK41" s="37">
        <v>-3733.8644126971194</v>
      </c>
      <c r="BL41" s="37">
        <v>8467.8484554863389</v>
      </c>
      <c r="BM41" s="37">
        <v>-4531.5569444641587</v>
      </c>
      <c r="BN41" s="37">
        <v>16694.771010853787</v>
      </c>
      <c r="BO41" s="37">
        <v>-3355.351115211015</v>
      </c>
      <c r="BP41" s="37">
        <v>-41211.823715285369</v>
      </c>
      <c r="BQ41" s="37">
        <v>-33385.848070363732</v>
      </c>
      <c r="BR41" s="37">
        <v>-9662.6588115894119</v>
      </c>
      <c r="BS41" s="37">
        <v>-12142.812713724721</v>
      </c>
      <c r="BT41" s="37">
        <v>-528.75069551565684</v>
      </c>
      <c r="BU41" s="37">
        <v>-13165.023767883613</v>
      </c>
      <c r="BV41" s="37">
        <v>2554.9859739310778</v>
      </c>
      <c r="BW41" s="37">
        <v>-15134.852526813338</v>
      </c>
      <c r="BY41" s="66"/>
      <c r="BZ41" s="66"/>
    </row>
    <row r="42" spans="2:78">
      <c r="B42">
        <v>10105</v>
      </c>
      <c r="C42" t="s">
        <v>46</v>
      </c>
      <c r="D42" s="37">
        <v>1919.1948872140329</v>
      </c>
      <c r="E42" s="37">
        <v>2882.288848991082</v>
      </c>
      <c r="F42" s="37">
        <v>-2349.6072477261077</v>
      </c>
      <c r="G42" s="37">
        <v>1452.7053260434514</v>
      </c>
      <c r="H42" s="37">
        <v>-3407.7230273957248</v>
      </c>
      <c r="I42" s="37">
        <v>1668.4100387332255</v>
      </c>
      <c r="J42" s="37">
        <v>-4462.324344044966</v>
      </c>
      <c r="K42" s="37">
        <v>475.98958926894193</v>
      </c>
      <c r="L42" s="37">
        <v>-1477.1249861525284</v>
      </c>
      <c r="M42" s="37">
        <v>1733.3946747018017</v>
      </c>
      <c r="N42" s="37">
        <v>-2271.7281987078604</v>
      </c>
      <c r="O42" s="37">
        <v>2632.2306606573111</v>
      </c>
      <c r="P42" s="37">
        <v>2079.1694753532011</v>
      </c>
      <c r="Q42" s="37">
        <v>2910.4774631120654</v>
      </c>
      <c r="R42" s="37">
        <v>-5639.5817691247339</v>
      </c>
      <c r="S42" s="37">
        <v>-1387.1889906378146</v>
      </c>
      <c r="T42" s="37">
        <v>-3479.9166753965474</v>
      </c>
      <c r="U42" s="37">
        <v>1042.3577464550945</v>
      </c>
      <c r="V42" s="37">
        <v>-2180.0285583092464</v>
      </c>
      <c r="W42" s="37">
        <v>1603.2154906662618</v>
      </c>
      <c r="X42" s="37">
        <v>-3211.8732338437876</v>
      </c>
      <c r="Y42" s="37">
        <v>2295.8867766877302</v>
      </c>
      <c r="Z42" s="37">
        <v>1167.4902952087996</v>
      </c>
      <c r="AA42" s="37">
        <v>3324.4227484996927</v>
      </c>
      <c r="AB42" s="37">
        <v>2186.454788482728</v>
      </c>
      <c r="AC42" s="37">
        <v>3089.1169845242493</v>
      </c>
      <c r="AD42" s="37">
        <v>-2014.4883796530194</v>
      </c>
      <c r="AE42" s="37">
        <v>1750.7989467337738</v>
      </c>
      <c r="AF42" s="37">
        <v>-3018.5163335313609</v>
      </c>
      <c r="AG42" s="37">
        <v>1980.2311064057594</v>
      </c>
      <c r="AH42" s="37">
        <v>-4687.4735153748406</v>
      </c>
      <c r="AI42" s="37">
        <v>1384.3317562781122</v>
      </c>
      <c r="AJ42" s="37">
        <v>-1116.3848475436516</v>
      </c>
      <c r="AK42" s="37">
        <v>2007.1767561297947</v>
      </c>
      <c r="AL42" s="37">
        <v>-1272.8269275019484</v>
      </c>
      <c r="AM42" s="37">
        <v>2329.1007073911514</v>
      </c>
      <c r="AN42" s="37">
        <v>2461.2205791780016</v>
      </c>
      <c r="AO42" s="37">
        <v>3191.2485985044223</v>
      </c>
      <c r="AP42" s="37">
        <v>-5370.7344623809422</v>
      </c>
      <c r="AQ42" s="37">
        <v>-1152.047323539462</v>
      </c>
      <c r="AR42" s="37">
        <v>-3113.0093758002986</v>
      </c>
      <c r="AS42" s="37">
        <v>1314.5544514788417</v>
      </c>
      <c r="AT42" s="37">
        <v>-1840.6984142037363</v>
      </c>
      <c r="AU42" s="37">
        <v>1874.5373630919221</v>
      </c>
      <c r="AV42" s="37">
        <v>-2869.4424454105083</v>
      </c>
      <c r="AW42" s="37">
        <v>2571.3641229744862</v>
      </c>
      <c r="AX42" s="37">
        <v>1508.4313670710217</v>
      </c>
      <c r="AY42" s="37">
        <v>3599.8905718899823</v>
      </c>
      <c r="AZ42" s="37">
        <v>1447.6570592269018</v>
      </c>
      <c r="BA42" s="37">
        <v>3503.8271573243328</v>
      </c>
      <c r="BB42" s="37">
        <v>-1746.816109015972</v>
      </c>
      <c r="BC42" s="37">
        <v>947.32947572844205</v>
      </c>
      <c r="BD42" s="37">
        <v>-3373.6651352198987</v>
      </c>
      <c r="BE42" s="37">
        <v>1735.4541690656861</v>
      </c>
      <c r="BF42" s="37">
        <v>-5036.4779259478273</v>
      </c>
      <c r="BG42" s="37">
        <v>1127.9626893475852</v>
      </c>
      <c r="BH42" s="37">
        <v>-1912.3215741419663</v>
      </c>
      <c r="BI42" s="37">
        <v>1427.5799167109981</v>
      </c>
      <c r="BJ42" s="37">
        <v>-1623.310090595216</v>
      </c>
      <c r="BK42" s="37">
        <v>2103.0184549562255</v>
      </c>
      <c r="BL42" s="37">
        <v>1572.0928952789982</v>
      </c>
      <c r="BM42" s="37">
        <v>3573.1111016279883</v>
      </c>
      <c r="BN42" s="37">
        <v>-5201.2799696082038</v>
      </c>
      <c r="BO42" s="37">
        <v>-1805.0168144110467</v>
      </c>
      <c r="BP42" s="37">
        <v>-3450.2274292962338</v>
      </c>
      <c r="BQ42" s="37">
        <v>1097.1398709551449</v>
      </c>
      <c r="BR42" s="37">
        <v>-2673.9014888256424</v>
      </c>
      <c r="BS42" s="37">
        <v>2193.6373250816359</v>
      </c>
      <c r="BT42" s="37">
        <v>-2646.490143432382</v>
      </c>
      <c r="BU42" s="37">
        <v>1825.1960663301306</v>
      </c>
      <c r="BV42" s="37">
        <v>1234.8594316356812</v>
      </c>
      <c r="BW42" s="37">
        <v>3400.3771555828571</v>
      </c>
      <c r="BY42" s="66"/>
      <c r="BZ42" s="66"/>
    </row>
    <row r="43" spans="2:78">
      <c r="B43">
        <v>10106</v>
      </c>
      <c r="C43" t="s">
        <v>47</v>
      </c>
      <c r="D43" s="37">
        <v>0</v>
      </c>
      <c r="E43" s="37">
        <v>0</v>
      </c>
      <c r="F43" s="37">
        <v>0</v>
      </c>
      <c r="G43" s="37">
        <v>0</v>
      </c>
      <c r="H43" s="37">
        <v>0</v>
      </c>
      <c r="I43" s="37">
        <v>0</v>
      </c>
      <c r="J43" s="37">
        <v>0</v>
      </c>
      <c r="K43" s="37">
        <v>0</v>
      </c>
      <c r="L43" s="37">
        <v>0</v>
      </c>
      <c r="M43" s="37">
        <v>0</v>
      </c>
      <c r="N43" s="37">
        <v>0</v>
      </c>
      <c r="O43" s="37">
        <v>0</v>
      </c>
      <c r="P43" s="37">
        <v>0</v>
      </c>
      <c r="Q43" s="37">
        <v>0</v>
      </c>
      <c r="R43" s="37">
        <v>0</v>
      </c>
      <c r="S43" s="37">
        <v>0</v>
      </c>
      <c r="T43" s="37">
        <v>0</v>
      </c>
      <c r="U43" s="37">
        <v>0</v>
      </c>
      <c r="V43" s="37">
        <v>0</v>
      </c>
      <c r="W43" s="37">
        <v>0</v>
      </c>
      <c r="X43" s="37">
        <v>0</v>
      </c>
      <c r="Y43" s="37">
        <v>0</v>
      </c>
      <c r="Z43" s="37">
        <v>0</v>
      </c>
      <c r="AA43" s="37">
        <v>0</v>
      </c>
      <c r="AB43" s="37">
        <v>0</v>
      </c>
      <c r="AC43" s="37">
        <v>0</v>
      </c>
      <c r="AD43" s="37">
        <v>0</v>
      </c>
      <c r="AE43" s="37">
        <v>0</v>
      </c>
      <c r="AF43" s="37">
        <v>0</v>
      </c>
      <c r="AG43" s="37">
        <v>0</v>
      </c>
      <c r="AH43" s="37">
        <v>0</v>
      </c>
      <c r="AI43" s="37">
        <v>0</v>
      </c>
      <c r="AJ43" s="37">
        <v>0</v>
      </c>
      <c r="AK43" s="37">
        <v>0</v>
      </c>
      <c r="AL43" s="37">
        <v>0</v>
      </c>
      <c r="AM43" s="37">
        <v>0</v>
      </c>
      <c r="AN43" s="37">
        <v>0</v>
      </c>
      <c r="AO43" s="37">
        <v>0</v>
      </c>
      <c r="AP43" s="37">
        <v>0</v>
      </c>
      <c r="AQ43" s="37">
        <v>0</v>
      </c>
      <c r="AR43" s="37">
        <v>0</v>
      </c>
      <c r="AS43" s="37">
        <v>0</v>
      </c>
      <c r="AT43" s="37">
        <v>0</v>
      </c>
      <c r="AU43" s="37">
        <v>0</v>
      </c>
      <c r="AV43" s="37">
        <v>0</v>
      </c>
      <c r="AW43" s="37">
        <v>0</v>
      </c>
      <c r="AX43" s="37">
        <v>0</v>
      </c>
      <c r="AY43" s="37">
        <v>0</v>
      </c>
      <c r="AZ43" s="37">
        <v>0</v>
      </c>
      <c r="BA43" s="37">
        <v>0</v>
      </c>
      <c r="BB43" s="37">
        <v>0</v>
      </c>
      <c r="BC43" s="37">
        <v>0</v>
      </c>
      <c r="BD43" s="37">
        <v>0</v>
      </c>
      <c r="BE43" s="37">
        <v>0</v>
      </c>
      <c r="BF43" s="37">
        <v>0</v>
      </c>
      <c r="BG43" s="37">
        <v>0</v>
      </c>
      <c r="BH43" s="37">
        <v>0</v>
      </c>
      <c r="BI43" s="37">
        <v>0</v>
      </c>
      <c r="BJ43" s="37">
        <v>0</v>
      </c>
      <c r="BK43" s="37">
        <v>0</v>
      </c>
      <c r="BL43" s="37">
        <v>0</v>
      </c>
      <c r="BM43" s="37">
        <v>0</v>
      </c>
      <c r="BN43" s="37">
        <v>0</v>
      </c>
      <c r="BO43" s="37">
        <v>0</v>
      </c>
      <c r="BP43" s="37">
        <v>0</v>
      </c>
      <c r="BQ43" s="37">
        <v>0</v>
      </c>
      <c r="BR43" s="37">
        <v>0</v>
      </c>
      <c r="BS43" s="37">
        <v>0</v>
      </c>
      <c r="BT43" s="37">
        <v>0</v>
      </c>
      <c r="BU43" s="37">
        <v>0</v>
      </c>
      <c r="BV43" s="37">
        <v>0</v>
      </c>
      <c r="BW43" s="37">
        <v>0</v>
      </c>
      <c r="BY43" s="66"/>
      <c r="BZ43" s="66"/>
    </row>
    <row r="44" spans="2:78">
      <c r="B44">
        <v>10109</v>
      </c>
      <c r="C44" t="s">
        <v>48</v>
      </c>
      <c r="D44" s="37">
        <v>-2619.5020568346636</v>
      </c>
      <c r="E44" s="37">
        <v>-1723.8819907210159</v>
      </c>
      <c r="F44" s="37">
        <v>-3110.7927171088159</v>
      </c>
      <c r="G44" s="37">
        <v>-2837.2855625721568</v>
      </c>
      <c r="H44" s="37">
        <v>-2499.2501444255531</v>
      </c>
      <c r="I44" s="37">
        <v>-1051.9581866266358</v>
      </c>
      <c r="J44" s="37">
        <v>-2315.6078059475794</v>
      </c>
      <c r="K44" s="37">
        <v>-464.91968344236557</v>
      </c>
      <c r="L44" s="37">
        <v>-2081.8567268471188</v>
      </c>
      <c r="M44" s="37">
        <v>-1105.9250667225178</v>
      </c>
      <c r="N44" s="37">
        <v>-1195.7423062004736</v>
      </c>
      <c r="O44" s="37">
        <v>-412.2185511247435</v>
      </c>
      <c r="P44" s="37">
        <v>1583.5835469422682</v>
      </c>
      <c r="Q44" s="37">
        <v>1340.4332213281418</v>
      </c>
      <c r="R44" s="37">
        <v>1689.8565705742312</v>
      </c>
      <c r="S44" s="37">
        <v>1091.5129630060624</v>
      </c>
      <c r="T44" s="37">
        <v>1569.815189374297</v>
      </c>
      <c r="U44" s="37">
        <v>1788.9495526625738</v>
      </c>
      <c r="V44" s="37">
        <v>2337.8158393782032</v>
      </c>
      <c r="W44" s="37">
        <v>2336.7471285785673</v>
      </c>
      <c r="X44" s="37">
        <v>2617.1418526657235</v>
      </c>
      <c r="Y44" s="37">
        <v>1655.9310259679492</v>
      </c>
      <c r="Z44" s="37">
        <v>1592.7236279115868</v>
      </c>
      <c r="AA44" s="37">
        <v>1813.7708386234067</v>
      </c>
      <c r="AB44" s="37">
        <v>113.7889431653366</v>
      </c>
      <c r="AC44" s="37">
        <v>203.33900927898458</v>
      </c>
      <c r="AD44" s="37">
        <v>-827.43471710881659</v>
      </c>
      <c r="AE44" s="37">
        <v>-1324.6665625721571</v>
      </c>
      <c r="AF44" s="37">
        <v>-839.05814442555311</v>
      </c>
      <c r="AG44" s="37">
        <v>-278.93618662663494</v>
      </c>
      <c r="AH44" s="37">
        <v>-1538.7218059475799</v>
      </c>
      <c r="AI44" s="37">
        <v>-296.8826834423644</v>
      </c>
      <c r="AJ44" s="37">
        <v>-1542.8607268471187</v>
      </c>
      <c r="AK44" s="37">
        <v>-795.07606672251859</v>
      </c>
      <c r="AL44" s="37">
        <v>-1762.0143062004718</v>
      </c>
      <c r="AM44" s="37">
        <v>-391.81655112474436</v>
      </c>
      <c r="AN44" s="37">
        <v>450.78554694226841</v>
      </c>
      <c r="AO44" s="37">
        <v>506.70422132814247</v>
      </c>
      <c r="AP44" s="37">
        <v>610.18657057423025</v>
      </c>
      <c r="AQ44" s="37">
        <v>140.67096300606272</v>
      </c>
      <c r="AR44" s="37">
        <v>421.78718937429767</v>
      </c>
      <c r="AS44" s="37">
        <v>974.3575526625732</v>
      </c>
      <c r="AT44" s="37">
        <v>1212.8878393782043</v>
      </c>
      <c r="AU44" s="37">
        <v>1406.9631285785676</v>
      </c>
      <c r="AV44" s="37">
        <v>1484.5038526657245</v>
      </c>
      <c r="AW44" s="37">
        <v>707.44702596795059</v>
      </c>
      <c r="AX44" s="37">
        <v>442.93362791158688</v>
      </c>
      <c r="AY44" s="37">
        <v>918.84983862340641</v>
      </c>
      <c r="AZ44" s="37">
        <v>511.30694316533754</v>
      </c>
      <c r="BA44" s="37">
        <v>-64.134990721015583</v>
      </c>
      <c r="BB44" s="37">
        <v>-1055.6787171088154</v>
      </c>
      <c r="BC44" s="37">
        <v>-995.78556257215587</v>
      </c>
      <c r="BD44" s="37">
        <v>-794.27414442555437</v>
      </c>
      <c r="BE44" s="37">
        <v>-241.94118662663413</v>
      </c>
      <c r="BF44" s="37">
        <v>-1513.2818059475794</v>
      </c>
      <c r="BG44" s="37">
        <v>-267.61668344236296</v>
      </c>
      <c r="BH44" s="37">
        <v>-1588.801206744718</v>
      </c>
      <c r="BI44" s="37">
        <v>-736.84130667131831</v>
      </c>
      <c r="BJ44" s="37">
        <v>-1763.7863062004726</v>
      </c>
      <c r="BK44" s="37">
        <v>-392.3485511247427</v>
      </c>
      <c r="BL44" s="37">
        <v>750.00954694226857</v>
      </c>
      <c r="BM44" s="37">
        <v>182.46722132814148</v>
      </c>
      <c r="BN44" s="37">
        <v>272.33657057423079</v>
      </c>
      <c r="BO44" s="37">
        <v>428.83696300606289</v>
      </c>
      <c r="BP44" s="37">
        <v>380.86118937429728</v>
      </c>
      <c r="BQ44" s="37">
        <v>943.65355266257257</v>
      </c>
      <c r="BR44" s="37">
        <v>1484.5318393782045</v>
      </c>
      <c r="BS44" s="37">
        <v>1060.6251285785688</v>
      </c>
      <c r="BT44" s="37">
        <v>1130.7478526657251</v>
      </c>
      <c r="BU44" s="37">
        <v>986.03902596795024</v>
      </c>
      <c r="BV44" s="37">
        <v>400.51362791158681</v>
      </c>
      <c r="BW44" s="37">
        <v>884.26383862340526</v>
      </c>
      <c r="BY44" s="66"/>
      <c r="BZ44" s="66"/>
    </row>
    <row r="45" spans="2:78">
      <c r="B45">
        <v>10111</v>
      </c>
      <c r="C45" t="s">
        <v>49</v>
      </c>
      <c r="D45" s="37">
        <v>-142.85133659084454</v>
      </c>
      <c r="E45" s="37">
        <v>-53.889806335681783</v>
      </c>
      <c r="F45" s="37">
        <v>-255.98064025651206</v>
      </c>
      <c r="G45" s="37">
        <v>48.547874080440693</v>
      </c>
      <c r="H45" s="37">
        <v>-226.60358335913384</v>
      </c>
      <c r="I45" s="37">
        <v>154.65804284632088</v>
      </c>
      <c r="J45" s="37">
        <v>-310.34255322363606</v>
      </c>
      <c r="K45" s="37">
        <v>61.249460679187223</v>
      </c>
      <c r="L45" s="37">
        <v>-95.185489294943409</v>
      </c>
      <c r="M45" s="37">
        <v>143.91868763230514</v>
      </c>
      <c r="N45" s="37">
        <v>-388.61915782285132</v>
      </c>
      <c r="O45" s="37">
        <v>71.321314073413873</v>
      </c>
      <c r="P45" s="37">
        <v>1.2878931291936624</v>
      </c>
      <c r="Q45" s="37">
        <v>53.137589191497682</v>
      </c>
      <c r="R45" s="37">
        <v>-349.66470023634179</v>
      </c>
      <c r="S45" s="37">
        <v>-78.451785299980543</v>
      </c>
      <c r="T45" s="37">
        <v>-300.83653252530485</v>
      </c>
      <c r="U45" s="37">
        <v>-18.685823729910339</v>
      </c>
      <c r="V45" s="37">
        <v>431.5015618728562</v>
      </c>
      <c r="W45" s="37">
        <v>453.95427975372002</v>
      </c>
      <c r="X45" s="37">
        <v>103.15632259886888</v>
      </c>
      <c r="Y45" s="37">
        <v>369.41567097386542</v>
      </c>
      <c r="Z45" s="37">
        <v>112.96636751443339</v>
      </c>
      <c r="AA45" s="37">
        <v>211.2308350796776</v>
      </c>
      <c r="AB45" s="37">
        <v>-142.89933659084454</v>
      </c>
      <c r="AC45" s="37">
        <v>-53.919806335681869</v>
      </c>
      <c r="AD45" s="37">
        <v>-255.3695204155149</v>
      </c>
      <c r="AE45" s="37">
        <v>48.943955462062604</v>
      </c>
      <c r="AF45" s="37">
        <v>-226.12920365378181</v>
      </c>
      <c r="AG45" s="37">
        <v>154.86816017544959</v>
      </c>
      <c r="AH45" s="37">
        <v>-376.55620336585753</v>
      </c>
      <c r="AI45" s="37">
        <v>129.09905937059966</v>
      </c>
      <c r="AJ45" s="37">
        <v>-94.537961122879096</v>
      </c>
      <c r="AK45" s="37">
        <v>144.2895845659483</v>
      </c>
      <c r="AL45" s="37">
        <v>-331.89491576414503</v>
      </c>
      <c r="AM45" s="37">
        <v>15.595046973270883</v>
      </c>
      <c r="AN45" s="37">
        <v>1.9890759388604238</v>
      </c>
      <c r="AO45" s="37">
        <v>53.58287312997652</v>
      </c>
      <c r="AP45" s="37">
        <v>-349.13317594894443</v>
      </c>
      <c r="AQ45" s="37">
        <v>-78.124018102057903</v>
      </c>
      <c r="AR45" s="37">
        <v>-299.83112433413339</v>
      </c>
      <c r="AS45" s="37">
        <v>-18.121189774670597</v>
      </c>
      <c r="AT45" s="37">
        <v>432.07529665213906</v>
      </c>
      <c r="AU45" s="37">
        <v>454.27872073504432</v>
      </c>
      <c r="AV45" s="37">
        <v>103.56481593694684</v>
      </c>
      <c r="AW45" s="37">
        <v>369.56845852260608</v>
      </c>
      <c r="AX45" s="37">
        <v>113.48977641276952</v>
      </c>
      <c r="AY45" s="37">
        <v>211.55099913047115</v>
      </c>
      <c r="AZ45" s="37">
        <v>-185.70233659084465</v>
      </c>
      <c r="BA45" s="37">
        <v>-10.866806335681872</v>
      </c>
      <c r="BB45" s="37">
        <v>-198.09264025651214</v>
      </c>
      <c r="BC45" s="37">
        <v>-9.2321259195592802</v>
      </c>
      <c r="BD45" s="37">
        <v>-226.75258335913372</v>
      </c>
      <c r="BE45" s="37">
        <v>154.54704284632078</v>
      </c>
      <c r="BF45" s="37">
        <v>-377.24655322363606</v>
      </c>
      <c r="BG45" s="37">
        <v>128.7214606791872</v>
      </c>
      <c r="BH45" s="37">
        <v>-92.208645774943307</v>
      </c>
      <c r="BI45" s="37">
        <v>140.99210939230511</v>
      </c>
      <c r="BJ45" s="37">
        <v>-332.70115782285143</v>
      </c>
      <c r="BK45" s="37">
        <v>15.148314073413871</v>
      </c>
      <c r="BL45" s="37">
        <v>-51.375106870806349</v>
      </c>
      <c r="BM45" s="37">
        <v>105.98858919149768</v>
      </c>
      <c r="BN45" s="37">
        <v>-296.30970023634177</v>
      </c>
      <c r="BO45" s="37">
        <v>-131.80578529998058</v>
      </c>
      <c r="BP45" s="37">
        <v>-300.89653252530479</v>
      </c>
      <c r="BQ45" s="37">
        <v>-18.72382372991035</v>
      </c>
      <c r="BR45" s="37">
        <v>350.35256187285631</v>
      </c>
      <c r="BS45" s="37">
        <v>534.9602797537201</v>
      </c>
      <c r="BT45" s="37">
        <v>175.007322598869</v>
      </c>
      <c r="BU45" s="37">
        <v>297.27567097386532</v>
      </c>
      <c r="BV45" s="37">
        <v>112.95736751443337</v>
      </c>
      <c r="BW45" s="37">
        <v>211.22383507967754</v>
      </c>
      <c r="BY45" s="66"/>
      <c r="BZ45" s="66"/>
    </row>
    <row r="46" spans="2:78">
      <c r="B46">
        <v>10112</v>
      </c>
      <c r="C46" t="s">
        <v>50</v>
      </c>
      <c r="D46" s="37">
        <v>3124.7438603826449</v>
      </c>
      <c r="E46" s="37">
        <v>1339.9671003111907</v>
      </c>
      <c r="F46" s="37">
        <v>-1390.9302486934575</v>
      </c>
      <c r="G46" s="37">
        <v>-657.72112627653041</v>
      </c>
      <c r="H46" s="37">
        <v>-394.36930977003431</v>
      </c>
      <c r="I46" s="37">
        <v>3369.3772465748225</v>
      </c>
      <c r="J46" s="37">
        <v>-1288.4250151146371</v>
      </c>
      <c r="K46" s="37">
        <v>2376.9204170758931</v>
      </c>
      <c r="L46" s="37">
        <v>825.70449053043194</v>
      </c>
      <c r="M46" s="37">
        <v>1689.3100915668747</v>
      </c>
      <c r="N46" s="37">
        <v>-1322.6779238435447</v>
      </c>
      <c r="O46" s="37">
        <v>1343.6351936397077</v>
      </c>
      <c r="P46" s="37">
        <v>3295.1372847096609</v>
      </c>
      <c r="Q46" s="37">
        <v>1717.2380248232857</v>
      </c>
      <c r="R46" s="37">
        <v>-4478.8594514863471</v>
      </c>
      <c r="S46" s="37">
        <v>-2977.6854724077111</v>
      </c>
      <c r="T46" s="37">
        <v>-6675.8104967398322</v>
      </c>
      <c r="U46" s="37">
        <v>-2440.1450407653629</v>
      </c>
      <c r="V46" s="37">
        <v>-1583.1687433960797</v>
      </c>
      <c r="W46" s="37">
        <v>518.99646698459583</v>
      </c>
      <c r="X46" s="37">
        <v>-1226.9732621525327</v>
      </c>
      <c r="Y46" s="37">
        <v>818.05952300582794</v>
      </c>
      <c r="Z46" s="37">
        <v>2013.8698663042815</v>
      </c>
      <c r="AA46" s="37">
        <v>1999.5646971802944</v>
      </c>
      <c r="AB46" s="37">
        <v>3124.5118603826413</v>
      </c>
      <c r="AC46" s="37">
        <v>1318.8681003111906</v>
      </c>
      <c r="AD46" s="37">
        <v>-1377.6072486934536</v>
      </c>
      <c r="AE46" s="37">
        <v>-677.16912627653073</v>
      </c>
      <c r="AF46" s="37">
        <v>-346.54430977003358</v>
      </c>
      <c r="AG46" s="37">
        <v>3385.1132465748233</v>
      </c>
      <c r="AH46" s="37">
        <v>-1203.2000151146385</v>
      </c>
      <c r="AI46" s="37">
        <v>2361.9454170758945</v>
      </c>
      <c r="AJ46" s="37">
        <v>841.92049053043593</v>
      </c>
      <c r="AK46" s="37">
        <v>1681.3700915668724</v>
      </c>
      <c r="AL46" s="37">
        <v>-1327.367923843547</v>
      </c>
      <c r="AM46" s="37">
        <v>1371.2051936397074</v>
      </c>
      <c r="AN46" s="37">
        <v>3297.1502847096599</v>
      </c>
      <c r="AO46" s="37">
        <v>1701.0990248232847</v>
      </c>
      <c r="AP46" s="37">
        <v>-4478.9794514863497</v>
      </c>
      <c r="AQ46" s="37">
        <v>-3007.086472407711</v>
      </c>
      <c r="AR46" s="37">
        <v>-6683.3944967398311</v>
      </c>
      <c r="AS46" s="37">
        <v>-2466.1220407653618</v>
      </c>
      <c r="AT46" s="37">
        <v>-1579.4537433960795</v>
      </c>
      <c r="AU46" s="37">
        <v>499.32846698459434</v>
      </c>
      <c r="AV46" s="37">
        <v>-1207.893262152531</v>
      </c>
      <c r="AW46" s="37">
        <v>795.31052300582814</v>
      </c>
      <c r="AX46" s="37">
        <v>2005.0548663042828</v>
      </c>
      <c r="AY46" s="37">
        <v>1971.7976971802946</v>
      </c>
      <c r="AZ46" s="37">
        <v>3141.8388603826425</v>
      </c>
      <c r="BA46" s="37">
        <v>1241.0931003111909</v>
      </c>
      <c r="BB46" s="37">
        <v>-1427.1772486934569</v>
      </c>
      <c r="BC46" s="37">
        <v>-673.07312627652573</v>
      </c>
      <c r="BD46" s="37">
        <v>-323.69230977003463</v>
      </c>
      <c r="BE46" s="37">
        <v>3382.3692465748209</v>
      </c>
      <c r="BF46" s="37">
        <v>-1171.4650151146343</v>
      </c>
      <c r="BG46" s="37">
        <v>2356.7184170758956</v>
      </c>
      <c r="BH46" s="37">
        <v>1055.7252784344309</v>
      </c>
      <c r="BI46" s="37">
        <v>1910.6519855188781</v>
      </c>
      <c r="BJ46" s="37">
        <v>-1327.6989238435453</v>
      </c>
      <c r="BK46" s="37">
        <v>1353.154193639708</v>
      </c>
      <c r="BL46" s="37">
        <v>3317.0312847096611</v>
      </c>
      <c r="BM46" s="37">
        <v>1628.1730248232852</v>
      </c>
      <c r="BN46" s="37">
        <v>-4541.7894514863474</v>
      </c>
      <c r="BO46" s="37">
        <v>-3012.5474724077121</v>
      </c>
      <c r="BP46" s="37">
        <v>-6713.4954967398298</v>
      </c>
      <c r="BQ46" s="37">
        <v>-2507.3410407653628</v>
      </c>
      <c r="BR46" s="37">
        <v>-1557.5567433960823</v>
      </c>
      <c r="BS46" s="37">
        <v>422.02146698459728</v>
      </c>
      <c r="BT46" s="37">
        <v>-1253.296262152533</v>
      </c>
      <c r="BU46" s="37">
        <v>797.08052300582858</v>
      </c>
      <c r="BV46" s="37">
        <v>1974.6688663042842</v>
      </c>
      <c r="BW46" s="37">
        <v>1928.0016971802943</v>
      </c>
      <c r="BY46" s="66"/>
      <c r="BZ46" s="66"/>
    </row>
    <row r="47" spans="2:78">
      <c r="B47">
        <v>10113</v>
      </c>
      <c r="C47" t="s">
        <v>51</v>
      </c>
      <c r="D47" s="37">
        <v>111.84733590417454</v>
      </c>
      <c r="E47" s="37">
        <v>-419.29595165470982</v>
      </c>
      <c r="F47" s="37">
        <v>-8400.7176407509396</v>
      </c>
      <c r="G47" s="37">
        <v>-4834.6037561124103</v>
      </c>
      <c r="H47" s="37">
        <v>-11003.611014245103</v>
      </c>
      <c r="I47" s="37">
        <v>-5241.3476705647818</v>
      </c>
      <c r="J47" s="37">
        <v>-11912.987733158885</v>
      </c>
      <c r="K47" s="37">
        <v>-6432.0480110947401</v>
      </c>
      <c r="L47" s="37">
        <v>-9642.1213594860237</v>
      </c>
      <c r="M47" s="37">
        <v>-5166.6925963276453</v>
      </c>
      <c r="N47" s="37">
        <v>-9664.3081481962217</v>
      </c>
      <c r="O47" s="37">
        <v>-4187.2867095388629</v>
      </c>
      <c r="P47" s="37">
        <v>-198.03547992751555</v>
      </c>
      <c r="Q47" s="37">
        <v>-706.02122575508838</v>
      </c>
      <c r="R47" s="37">
        <v>3243.3212115574679</v>
      </c>
      <c r="S47" s="37">
        <v>3351.7043525854424</v>
      </c>
      <c r="T47" s="37">
        <v>8525.4670110835759</v>
      </c>
      <c r="U47" s="37">
        <v>6690.5493023756899</v>
      </c>
      <c r="V47" s="37">
        <v>16548.837682153884</v>
      </c>
      <c r="W47" s="37">
        <v>12638.542776421571</v>
      </c>
      <c r="X47" s="37">
        <v>11127.125366837456</v>
      </c>
      <c r="Y47" s="37">
        <v>10180.128269246281</v>
      </c>
      <c r="Z47" s="37">
        <v>3208.580657010416</v>
      </c>
      <c r="AA47" s="37">
        <v>2178.4011597687631</v>
      </c>
      <c r="AB47" s="37">
        <v>88.039335904175459</v>
      </c>
      <c r="AC47" s="37">
        <v>-458.08095165471059</v>
      </c>
      <c r="AD47" s="37">
        <v>-8441.2166407509394</v>
      </c>
      <c r="AE47" s="37">
        <v>-4885.0507561124105</v>
      </c>
      <c r="AF47" s="37">
        <v>-11044.085014245102</v>
      </c>
      <c r="AG47" s="37">
        <v>-5288.4186705647817</v>
      </c>
      <c r="AH47" s="37">
        <v>-12301.653733158884</v>
      </c>
      <c r="AI47" s="37">
        <v>-6128.5720110947404</v>
      </c>
      <c r="AJ47" s="37">
        <v>-9677.3073594860252</v>
      </c>
      <c r="AK47" s="37">
        <v>-5206.8295963276441</v>
      </c>
      <c r="AL47" s="37">
        <v>-9349.5601481962221</v>
      </c>
      <c r="AM47" s="37">
        <v>-4587.7127095388623</v>
      </c>
      <c r="AN47" s="37">
        <v>-205.13547992751228</v>
      </c>
      <c r="AO47" s="37">
        <v>-733.56522575508643</v>
      </c>
      <c r="AP47" s="37">
        <v>3288.872211557471</v>
      </c>
      <c r="AQ47" s="37">
        <v>3360.7523525854449</v>
      </c>
      <c r="AR47" s="37">
        <v>8617.8140110835775</v>
      </c>
      <c r="AS47" s="37">
        <v>6727.2183023756879</v>
      </c>
      <c r="AT47" s="37">
        <v>16681.340682153881</v>
      </c>
      <c r="AU47" s="37">
        <v>12707.828776421571</v>
      </c>
      <c r="AV47" s="37">
        <v>11227.462366837455</v>
      </c>
      <c r="AW47" s="37">
        <v>10225.218269246281</v>
      </c>
      <c r="AX47" s="37">
        <v>3219.2816570104133</v>
      </c>
      <c r="AY47" s="37">
        <v>2157.431159768762</v>
      </c>
      <c r="AZ47" s="37">
        <v>-384.50866409582522</v>
      </c>
      <c r="BA47" s="37">
        <v>22.306048345291856</v>
      </c>
      <c r="BB47" s="37">
        <v>-8097.4536407509386</v>
      </c>
      <c r="BC47" s="37">
        <v>-5253.3107561124116</v>
      </c>
      <c r="BD47" s="37">
        <v>-11048.029014245103</v>
      </c>
      <c r="BE47" s="37">
        <v>-5307.1086705647822</v>
      </c>
      <c r="BF47" s="37">
        <v>-12301.645733158884</v>
      </c>
      <c r="BG47" s="37">
        <v>-6146.0710110947402</v>
      </c>
      <c r="BH47" s="37">
        <v>-10174.008585559623</v>
      </c>
      <c r="BI47" s="37">
        <v>-5532.9997093644442</v>
      </c>
      <c r="BJ47" s="37">
        <v>-9350.0401481962217</v>
      </c>
      <c r="BK47" s="37">
        <v>-4604.9717095388623</v>
      </c>
      <c r="BL47" s="37">
        <v>-685.1424799275137</v>
      </c>
      <c r="BM47" s="37">
        <v>-221.48822575508711</v>
      </c>
      <c r="BN47" s="37">
        <v>4190.377211557472</v>
      </c>
      <c r="BO47" s="37">
        <v>2584.596352585444</v>
      </c>
      <c r="BP47" s="37">
        <v>8751.3060110835759</v>
      </c>
      <c r="BQ47" s="37">
        <v>6792.9923023756855</v>
      </c>
      <c r="BR47" s="37">
        <v>15586.537682153881</v>
      </c>
      <c r="BS47" s="37">
        <v>14076.227776421572</v>
      </c>
      <c r="BT47" s="37">
        <v>12472.941366837458</v>
      </c>
      <c r="BU47" s="37">
        <v>9195.8582692462805</v>
      </c>
      <c r="BV47" s="37">
        <v>3267.2026570104154</v>
      </c>
      <c r="BW47" s="37">
        <v>2165.3051597687636</v>
      </c>
      <c r="BY47" s="66"/>
      <c r="BZ47" s="66"/>
    </row>
    <row r="48" spans="2:78">
      <c r="B48">
        <v>10116</v>
      </c>
      <c r="C48" t="s">
        <v>52</v>
      </c>
      <c r="D48" s="37">
        <v>26.803424003922231</v>
      </c>
      <c r="E48" s="37">
        <v>31.148314996665292</v>
      </c>
      <c r="F48" s="37">
        <v>3.9887055994260976</v>
      </c>
      <c r="G48" s="37">
        <v>15.542897558873364</v>
      </c>
      <c r="H48" s="37">
        <v>-8.4191325616886274</v>
      </c>
      <c r="I48" s="37">
        <v>19.064110010279634</v>
      </c>
      <c r="J48" s="37">
        <v>-8.1933271023228116</v>
      </c>
      <c r="K48" s="37">
        <v>17.864610682585251</v>
      </c>
      <c r="L48" s="37">
        <v>10.530964297685813</v>
      </c>
      <c r="M48" s="37">
        <v>21.590593683448027</v>
      </c>
      <c r="N48" s="37">
        <v>6.8510285482965685</v>
      </c>
      <c r="O48" s="37">
        <v>22.18900312301421</v>
      </c>
      <c r="P48" s="37">
        <v>32.490567643668584</v>
      </c>
      <c r="Q48" s="37">
        <v>28.93028590489773</v>
      </c>
      <c r="R48" s="37">
        <v>-11.081410270961769</v>
      </c>
      <c r="S48" s="37">
        <v>0.53848113445442891</v>
      </c>
      <c r="T48" s="37">
        <v>-16.580718778596264</v>
      </c>
      <c r="U48" s="37">
        <v>8.9469332064019653</v>
      </c>
      <c r="V48" s="37">
        <v>-6.1792994645171717</v>
      </c>
      <c r="W48" s="37">
        <v>4.6260020067840557</v>
      </c>
      <c r="X48" s="37">
        <v>-23.960427430533514</v>
      </c>
      <c r="Y48" s="37">
        <v>1.6872046527258888</v>
      </c>
      <c r="Z48" s="37">
        <v>16.984167367877916</v>
      </c>
      <c r="AA48" s="37">
        <v>19.177587822244462</v>
      </c>
      <c r="AB48" s="37">
        <v>26.803424003922231</v>
      </c>
      <c r="AC48" s="37">
        <v>31.148314996665292</v>
      </c>
      <c r="AD48" s="37">
        <v>3.9887055994260976</v>
      </c>
      <c r="AE48" s="37">
        <v>15.542897558873364</v>
      </c>
      <c r="AF48" s="37">
        <v>-8.4191325616886274</v>
      </c>
      <c r="AG48" s="37">
        <v>19.064110010279634</v>
      </c>
      <c r="AH48" s="37">
        <v>-8.1933271023228116</v>
      </c>
      <c r="AI48" s="37">
        <v>17.864610682585251</v>
      </c>
      <c r="AJ48" s="37">
        <v>10.530964297685813</v>
      </c>
      <c r="AK48" s="37">
        <v>21.590593683448027</v>
      </c>
      <c r="AL48" s="37">
        <v>6.8510285482965685</v>
      </c>
      <c r="AM48" s="37">
        <v>22.18900312301421</v>
      </c>
      <c r="AN48" s="37">
        <v>32.490567643668584</v>
      </c>
      <c r="AO48" s="37">
        <v>28.93028590489773</v>
      </c>
      <c r="AP48" s="37">
        <v>-11.081410270961769</v>
      </c>
      <c r="AQ48" s="37">
        <v>0.53848113445442891</v>
      </c>
      <c r="AR48" s="37">
        <v>-16.580718778596264</v>
      </c>
      <c r="AS48" s="37">
        <v>8.9469332064019653</v>
      </c>
      <c r="AT48" s="37">
        <v>-6.1792994645171717</v>
      </c>
      <c r="AU48" s="37">
        <v>4.6260020067840557</v>
      </c>
      <c r="AV48" s="37">
        <v>-23.960427430533514</v>
      </c>
      <c r="AW48" s="37">
        <v>1.6872046527258888</v>
      </c>
      <c r="AX48" s="37">
        <v>16.984167367877916</v>
      </c>
      <c r="AY48" s="37">
        <v>19.177587822244462</v>
      </c>
      <c r="AZ48" s="37">
        <v>26.803424003922231</v>
      </c>
      <c r="BA48" s="37">
        <v>31.148314996665292</v>
      </c>
      <c r="BB48" s="37">
        <v>3.9887055994260976</v>
      </c>
      <c r="BC48" s="37">
        <v>15.542897558873364</v>
      </c>
      <c r="BD48" s="37">
        <v>-8.4191325616886274</v>
      </c>
      <c r="BE48" s="37">
        <v>19.064110010279634</v>
      </c>
      <c r="BF48" s="37">
        <v>-8.1933271023228116</v>
      </c>
      <c r="BG48" s="37">
        <v>17.864610682585251</v>
      </c>
      <c r="BH48" s="37">
        <v>10.956123107285819</v>
      </c>
      <c r="BI48" s="37">
        <v>22.651173088248022</v>
      </c>
      <c r="BJ48" s="37">
        <v>6.8510285482965685</v>
      </c>
      <c r="BK48" s="37">
        <v>22.18900312301421</v>
      </c>
      <c r="BL48" s="37">
        <v>32.490567643668584</v>
      </c>
      <c r="BM48" s="37">
        <v>28.93028590489773</v>
      </c>
      <c r="BN48" s="37">
        <v>-11.081410270961769</v>
      </c>
      <c r="BO48" s="37">
        <v>0.53848113445442891</v>
      </c>
      <c r="BP48" s="37">
        <v>-16.580718778596264</v>
      </c>
      <c r="BQ48" s="37">
        <v>8.9469332064019653</v>
      </c>
      <c r="BR48" s="37">
        <v>-6.1792994645171717</v>
      </c>
      <c r="BS48" s="37">
        <v>4.6260020067840557</v>
      </c>
      <c r="BT48" s="37">
        <v>-23.960427430533514</v>
      </c>
      <c r="BU48" s="37">
        <v>1.6872046527258888</v>
      </c>
      <c r="BV48" s="37">
        <v>16.984167367877916</v>
      </c>
      <c r="BW48" s="37">
        <v>19.177587822244462</v>
      </c>
      <c r="BY48" s="66"/>
      <c r="BZ48" s="66"/>
    </row>
    <row r="49" spans="2:78">
      <c r="B49">
        <v>10118</v>
      </c>
      <c r="C49" t="s">
        <v>53</v>
      </c>
      <c r="D49" s="37">
        <v>0</v>
      </c>
      <c r="E49" s="37">
        <v>0</v>
      </c>
      <c r="F49" s="37">
        <v>0</v>
      </c>
      <c r="G49" s="37">
        <v>0</v>
      </c>
      <c r="H49" s="37">
        <v>0</v>
      </c>
      <c r="I49" s="37">
        <v>0</v>
      </c>
      <c r="J49" s="37">
        <v>0</v>
      </c>
      <c r="K49" s="37">
        <v>0</v>
      </c>
      <c r="L49" s="37">
        <v>0</v>
      </c>
      <c r="M49" s="37">
        <v>0</v>
      </c>
      <c r="N49" s="37">
        <v>0</v>
      </c>
      <c r="O49" s="37">
        <v>0</v>
      </c>
      <c r="P49" s="37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0</v>
      </c>
      <c r="W49" s="37">
        <v>0</v>
      </c>
      <c r="X49" s="37">
        <v>0</v>
      </c>
      <c r="Y49" s="37">
        <v>0</v>
      </c>
      <c r="Z49" s="37">
        <v>0</v>
      </c>
      <c r="AA49" s="37">
        <v>0</v>
      </c>
      <c r="AB49" s="37">
        <v>0</v>
      </c>
      <c r="AC49" s="37">
        <v>0</v>
      </c>
      <c r="AD49" s="37">
        <v>0</v>
      </c>
      <c r="AE49" s="37">
        <v>0</v>
      </c>
      <c r="AF49" s="37">
        <v>0</v>
      </c>
      <c r="AG49" s="37">
        <v>0</v>
      </c>
      <c r="AH49" s="37">
        <v>0</v>
      </c>
      <c r="AI49" s="37">
        <v>0</v>
      </c>
      <c r="AJ49" s="37">
        <v>0</v>
      </c>
      <c r="AK49" s="37">
        <v>0</v>
      </c>
      <c r="AL49" s="37">
        <v>0</v>
      </c>
      <c r="AM49" s="37">
        <v>0</v>
      </c>
      <c r="AN49" s="37">
        <v>0</v>
      </c>
      <c r="AO49" s="37">
        <v>0</v>
      </c>
      <c r="AP49" s="37">
        <v>0</v>
      </c>
      <c r="AQ49" s="37">
        <v>0</v>
      </c>
      <c r="AR49" s="37">
        <v>0</v>
      </c>
      <c r="AS49" s="37">
        <v>0</v>
      </c>
      <c r="AT49" s="37">
        <v>0</v>
      </c>
      <c r="AU49" s="37">
        <v>0</v>
      </c>
      <c r="AV49" s="37">
        <v>0</v>
      </c>
      <c r="AW49" s="37">
        <v>0</v>
      </c>
      <c r="AX49" s="37">
        <v>0</v>
      </c>
      <c r="AY49" s="37">
        <v>0</v>
      </c>
      <c r="AZ49" s="37">
        <v>0</v>
      </c>
      <c r="BA49" s="37">
        <v>0</v>
      </c>
      <c r="BB49" s="37">
        <v>0</v>
      </c>
      <c r="BC49" s="37">
        <v>0</v>
      </c>
      <c r="BD49" s="37">
        <v>0</v>
      </c>
      <c r="BE49" s="37">
        <v>0</v>
      </c>
      <c r="BF49" s="37">
        <v>0</v>
      </c>
      <c r="BG49" s="37">
        <v>0</v>
      </c>
      <c r="BH49" s="37">
        <v>0</v>
      </c>
      <c r="BI49" s="37">
        <v>0</v>
      </c>
      <c r="BJ49" s="37">
        <v>0</v>
      </c>
      <c r="BK49" s="37">
        <v>0</v>
      </c>
      <c r="BL49" s="37">
        <v>0</v>
      </c>
      <c r="BM49" s="37">
        <v>0</v>
      </c>
      <c r="BN49" s="37">
        <v>0</v>
      </c>
      <c r="BO49" s="37">
        <v>0</v>
      </c>
      <c r="BP49" s="37">
        <v>0</v>
      </c>
      <c r="BQ49" s="37">
        <v>0</v>
      </c>
      <c r="BR49" s="37">
        <v>0</v>
      </c>
      <c r="BS49" s="37">
        <v>0</v>
      </c>
      <c r="BT49" s="37">
        <v>0</v>
      </c>
      <c r="BU49" s="37">
        <v>0</v>
      </c>
      <c r="BV49" s="37">
        <v>0</v>
      </c>
      <c r="BW49" s="37">
        <v>0</v>
      </c>
      <c r="BY49" s="66"/>
      <c r="BZ49" s="66"/>
    </row>
    <row r="50" spans="2:78">
      <c r="B50">
        <v>10121</v>
      </c>
      <c r="C50" t="s">
        <v>54</v>
      </c>
      <c r="D50" s="37">
        <v>0</v>
      </c>
      <c r="E50" s="37">
        <v>0</v>
      </c>
      <c r="F50" s="37">
        <v>0</v>
      </c>
      <c r="G50" s="37">
        <v>0</v>
      </c>
      <c r="H50" s="37">
        <v>0</v>
      </c>
      <c r="I50" s="37">
        <v>0</v>
      </c>
      <c r="J50" s="37">
        <v>0</v>
      </c>
      <c r="K50" s="37">
        <v>0</v>
      </c>
      <c r="L50" s="37">
        <v>0</v>
      </c>
      <c r="M50" s="37">
        <v>0</v>
      </c>
      <c r="N50" s="37">
        <v>0</v>
      </c>
      <c r="O50" s="37">
        <v>0</v>
      </c>
      <c r="P50" s="37">
        <v>0</v>
      </c>
      <c r="Q50" s="37">
        <v>0</v>
      </c>
      <c r="R50" s="37">
        <v>0</v>
      </c>
      <c r="S50" s="37">
        <v>0</v>
      </c>
      <c r="T50" s="37">
        <v>0</v>
      </c>
      <c r="U50" s="37">
        <v>0</v>
      </c>
      <c r="V50" s="37">
        <v>0</v>
      </c>
      <c r="W50" s="37">
        <v>0</v>
      </c>
      <c r="X50" s="37">
        <v>0</v>
      </c>
      <c r="Y50" s="37">
        <v>0</v>
      </c>
      <c r="Z50" s="37">
        <v>0</v>
      </c>
      <c r="AA50" s="37">
        <v>0</v>
      </c>
      <c r="AB50" s="37">
        <v>0</v>
      </c>
      <c r="AC50" s="37">
        <v>0</v>
      </c>
      <c r="AD50" s="37">
        <v>0</v>
      </c>
      <c r="AE50" s="37">
        <v>0</v>
      </c>
      <c r="AF50" s="37">
        <v>0</v>
      </c>
      <c r="AG50" s="37">
        <v>0</v>
      </c>
      <c r="AH50" s="37">
        <v>0</v>
      </c>
      <c r="AI50" s="37">
        <v>0</v>
      </c>
      <c r="AJ50" s="37">
        <v>0</v>
      </c>
      <c r="AK50" s="37">
        <v>0</v>
      </c>
      <c r="AL50" s="37">
        <v>0</v>
      </c>
      <c r="AM50" s="37">
        <v>0</v>
      </c>
      <c r="AN50" s="37">
        <v>0</v>
      </c>
      <c r="AO50" s="37">
        <v>0</v>
      </c>
      <c r="AP50" s="37">
        <v>0</v>
      </c>
      <c r="AQ50" s="37">
        <v>0</v>
      </c>
      <c r="AR50" s="37">
        <v>0</v>
      </c>
      <c r="AS50" s="37">
        <v>0</v>
      </c>
      <c r="AT50" s="37">
        <v>0</v>
      </c>
      <c r="AU50" s="37">
        <v>0</v>
      </c>
      <c r="AV50" s="37">
        <v>0</v>
      </c>
      <c r="AW50" s="37">
        <v>0</v>
      </c>
      <c r="AX50" s="37">
        <v>0</v>
      </c>
      <c r="AY50" s="37">
        <v>0</v>
      </c>
      <c r="AZ50" s="37">
        <v>0</v>
      </c>
      <c r="BA50" s="37">
        <v>0</v>
      </c>
      <c r="BB50" s="37">
        <v>0</v>
      </c>
      <c r="BC50" s="37">
        <v>0</v>
      </c>
      <c r="BD50" s="37">
        <v>0</v>
      </c>
      <c r="BE50" s="37">
        <v>0</v>
      </c>
      <c r="BF50" s="37">
        <v>0</v>
      </c>
      <c r="BG50" s="37">
        <v>0</v>
      </c>
      <c r="BH50" s="37">
        <v>0</v>
      </c>
      <c r="BI50" s="37">
        <v>0</v>
      </c>
      <c r="BJ50" s="37">
        <v>0</v>
      </c>
      <c r="BK50" s="37">
        <v>0</v>
      </c>
      <c r="BL50" s="37">
        <v>0</v>
      </c>
      <c r="BM50" s="37">
        <v>0</v>
      </c>
      <c r="BN50" s="37">
        <v>0</v>
      </c>
      <c r="BO50" s="37">
        <v>0</v>
      </c>
      <c r="BP50" s="37">
        <v>0</v>
      </c>
      <c r="BQ50" s="37">
        <v>0</v>
      </c>
      <c r="BR50" s="37">
        <v>0</v>
      </c>
      <c r="BS50" s="37">
        <v>0</v>
      </c>
      <c r="BT50" s="37">
        <v>0</v>
      </c>
      <c r="BU50" s="37">
        <v>0</v>
      </c>
      <c r="BV50" s="37">
        <v>0</v>
      </c>
      <c r="BW50" s="37">
        <v>0</v>
      </c>
      <c r="BY50" s="66"/>
      <c r="BZ50" s="66"/>
    </row>
    <row r="51" spans="2:78">
      <c r="B51">
        <v>10123</v>
      </c>
      <c r="C51" t="s">
        <v>55</v>
      </c>
      <c r="D51" s="37">
        <v>9690.5680203828961</v>
      </c>
      <c r="E51" s="37">
        <v>14595.529020883558</v>
      </c>
      <c r="F51" s="37">
        <v>-9511.6387970414362</v>
      </c>
      <c r="G51" s="37">
        <v>9498.1469218679049</v>
      </c>
      <c r="H51" s="37">
        <v>-17359.818193387313</v>
      </c>
      <c r="I51" s="37">
        <v>8425.7782728448292</v>
      </c>
      <c r="J51" s="37">
        <v>-21849.628652042054</v>
      </c>
      <c r="K51" s="37">
        <v>3053.2711789695386</v>
      </c>
      <c r="L51" s="37">
        <v>-11083.054620095878</v>
      </c>
      <c r="M51" s="37">
        <v>6113.7389467438625</v>
      </c>
      <c r="N51" s="37">
        <v>-17644.342921262563</v>
      </c>
      <c r="O51" s="37">
        <v>8562.0624286785678</v>
      </c>
      <c r="P51" s="37">
        <v>6931.8309388626658</v>
      </c>
      <c r="Q51" s="37">
        <v>12128.624382111084</v>
      </c>
      <c r="R51" s="37">
        <v>-17049.922345018596</v>
      </c>
      <c r="S51" s="37">
        <v>2919.2579245547095</v>
      </c>
      <c r="T51" s="37">
        <v>-23077.093551046477</v>
      </c>
      <c r="U51" s="37">
        <v>1340.2535227063854</v>
      </c>
      <c r="V51" s="37">
        <v>-9391.7617257056118</v>
      </c>
      <c r="W51" s="37">
        <v>9462.4206843439824</v>
      </c>
      <c r="X51" s="37">
        <v>-15494.992426489349</v>
      </c>
      <c r="Y51" s="37">
        <v>12298.007474400838</v>
      </c>
      <c r="Z51" s="37">
        <v>5878.0758942755492</v>
      </c>
      <c r="AA51" s="37">
        <v>16839.57032905607</v>
      </c>
      <c r="AB51" s="37">
        <v>12004.791982908479</v>
      </c>
      <c r="AC51" s="37">
        <v>16227.9193278616</v>
      </c>
      <c r="AD51" s="37">
        <v>-7583.1500352872536</v>
      </c>
      <c r="AE51" s="37">
        <v>11180.616930201293</v>
      </c>
      <c r="AF51" s="37">
        <v>-15190.221287597597</v>
      </c>
      <c r="AG51" s="37">
        <v>10124.055589403419</v>
      </c>
      <c r="AH51" s="37">
        <v>-22803.88162776384</v>
      </c>
      <c r="AI51" s="37">
        <v>7838.9258588305383</v>
      </c>
      <c r="AJ51" s="37">
        <v>-9181.4071824314306</v>
      </c>
      <c r="AK51" s="37">
        <v>7531.9070813138533</v>
      </c>
      <c r="AL51" s="37">
        <v>-12791.693903808788</v>
      </c>
      <c r="AM51" s="37">
        <v>7241.4680943519561</v>
      </c>
      <c r="AN51" s="37">
        <v>8917.2433550128044</v>
      </c>
      <c r="AO51" s="37">
        <v>13575.552825881365</v>
      </c>
      <c r="AP51" s="37">
        <v>-15211.886363549987</v>
      </c>
      <c r="AQ51" s="37">
        <v>4490.1364103709857</v>
      </c>
      <c r="AR51" s="37">
        <v>-21171.93777865266</v>
      </c>
      <c r="AS51" s="37">
        <v>2722.3023911587225</v>
      </c>
      <c r="AT51" s="37">
        <v>-7461.3913045684167</v>
      </c>
      <c r="AU51" s="37">
        <v>10975.010753999828</v>
      </c>
      <c r="AV51" s="37">
        <v>-13561.208906236498</v>
      </c>
      <c r="AW51" s="37">
        <v>13809.011803775837</v>
      </c>
      <c r="AX51" s="37">
        <v>7740.9133721998878</v>
      </c>
      <c r="AY51" s="37">
        <v>18323.052896644265</v>
      </c>
      <c r="AZ51" s="37">
        <v>7193.0463486205917</v>
      </c>
      <c r="BA51" s="37">
        <v>17495.572750538064</v>
      </c>
      <c r="BB51" s="37">
        <v>-6227.4466329448187</v>
      </c>
      <c r="BC51" s="37">
        <v>6760.2592977048334</v>
      </c>
      <c r="BD51" s="37">
        <v>-16943.981310461575</v>
      </c>
      <c r="BE51" s="37">
        <v>8640.1437974199653</v>
      </c>
      <c r="BF51" s="37">
        <v>-24433.617764789669</v>
      </c>
      <c r="BG51" s="37">
        <v>6311.733579344771</v>
      </c>
      <c r="BH51" s="37">
        <v>-13172.289175259401</v>
      </c>
      <c r="BI51" s="37">
        <v>4480.5628095148932</v>
      </c>
      <c r="BJ51" s="37">
        <v>-14464.239345898372</v>
      </c>
      <c r="BK51" s="37">
        <v>5962.1095824429067</v>
      </c>
      <c r="BL51" s="37">
        <v>4385.777342947491</v>
      </c>
      <c r="BM51" s="37">
        <v>15097.671245811885</v>
      </c>
      <c r="BN51" s="37">
        <v>-13998.278801323351</v>
      </c>
      <c r="BO51" s="37">
        <v>454.62332420566963</v>
      </c>
      <c r="BP51" s="37">
        <v>-22672.396526998098</v>
      </c>
      <c r="BQ51" s="37">
        <v>1542.5525875323146</v>
      </c>
      <c r="BR51" s="37">
        <v>-11773.044679493338</v>
      </c>
      <c r="BS51" s="37">
        <v>12364.169946423652</v>
      </c>
      <c r="BT51" s="37">
        <v>-12403.535415484555</v>
      </c>
      <c r="BU51" s="37">
        <v>9743.789315278962</v>
      </c>
      <c r="BV51" s="37">
        <v>6130.1963592085449</v>
      </c>
      <c r="BW51" s="37">
        <v>16978.967929892511</v>
      </c>
      <c r="BY51" s="66"/>
      <c r="BZ51" s="66"/>
    </row>
    <row r="52" spans="2:78">
      <c r="B52">
        <v>10136</v>
      </c>
      <c r="C52" t="s">
        <v>56</v>
      </c>
      <c r="D52" s="37">
        <v>0</v>
      </c>
      <c r="E52" s="37">
        <v>0</v>
      </c>
      <c r="F52" s="37">
        <v>0</v>
      </c>
      <c r="G52" s="37">
        <v>0</v>
      </c>
      <c r="H52" s="37">
        <v>0</v>
      </c>
      <c r="I52" s="37">
        <v>0</v>
      </c>
      <c r="J52" s="37">
        <v>0</v>
      </c>
      <c r="K52" s="37">
        <v>0</v>
      </c>
      <c r="L52" s="37">
        <v>0</v>
      </c>
      <c r="M52" s="37">
        <v>0</v>
      </c>
      <c r="N52" s="37">
        <v>0</v>
      </c>
      <c r="O52" s="37">
        <v>0</v>
      </c>
      <c r="P52" s="37">
        <v>0</v>
      </c>
      <c r="Q52" s="37">
        <v>0</v>
      </c>
      <c r="R52" s="37">
        <v>0</v>
      </c>
      <c r="S52" s="37">
        <v>0</v>
      </c>
      <c r="T52" s="37">
        <v>0</v>
      </c>
      <c r="U52" s="37">
        <v>0</v>
      </c>
      <c r="V52" s="37">
        <v>0</v>
      </c>
      <c r="W52" s="37">
        <v>0</v>
      </c>
      <c r="X52" s="37">
        <v>0</v>
      </c>
      <c r="Y52" s="37">
        <v>0</v>
      </c>
      <c r="Z52" s="37">
        <v>0</v>
      </c>
      <c r="AA52" s="37">
        <v>0</v>
      </c>
      <c r="AB52" s="37">
        <v>0</v>
      </c>
      <c r="AC52" s="37">
        <v>0</v>
      </c>
      <c r="AD52" s="37">
        <v>0</v>
      </c>
      <c r="AE52" s="37">
        <v>0</v>
      </c>
      <c r="AF52" s="37">
        <v>0</v>
      </c>
      <c r="AG52" s="37">
        <v>0</v>
      </c>
      <c r="AH52" s="37">
        <v>0</v>
      </c>
      <c r="AI52" s="37">
        <v>0</v>
      </c>
      <c r="AJ52" s="37">
        <v>0</v>
      </c>
      <c r="AK52" s="37">
        <v>0</v>
      </c>
      <c r="AL52" s="37">
        <v>0</v>
      </c>
      <c r="AM52" s="37">
        <v>0</v>
      </c>
      <c r="AN52" s="37">
        <v>0</v>
      </c>
      <c r="AO52" s="37">
        <v>0</v>
      </c>
      <c r="AP52" s="37">
        <v>0</v>
      </c>
      <c r="AQ52" s="37">
        <v>0</v>
      </c>
      <c r="AR52" s="37">
        <v>0</v>
      </c>
      <c r="AS52" s="37">
        <v>0</v>
      </c>
      <c r="AT52" s="37">
        <v>0</v>
      </c>
      <c r="AU52" s="37">
        <v>0</v>
      </c>
      <c r="AV52" s="37">
        <v>0</v>
      </c>
      <c r="AW52" s="37">
        <v>0</v>
      </c>
      <c r="AX52" s="37">
        <v>0</v>
      </c>
      <c r="AY52" s="37">
        <v>0</v>
      </c>
      <c r="AZ52" s="37">
        <v>0</v>
      </c>
      <c r="BA52" s="37">
        <v>0</v>
      </c>
      <c r="BB52" s="37">
        <v>0</v>
      </c>
      <c r="BC52" s="37">
        <v>0</v>
      </c>
      <c r="BD52" s="37">
        <v>0</v>
      </c>
      <c r="BE52" s="37">
        <v>0</v>
      </c>
      <c r="BF52" s="37">
        <v>0</v>
      </c>
      <c r="BG52" s="37">
        <v>0</v>
      </c>
      <c r="BH52" s="37">
        <v>0</v>
      </c>
      <c r="BI52" s="37">
        <v>0</v>
      </c>
      <c r="BJ52" s="37">
        <v>0</v>
      </c>
      <c r="BK52" s="37">
        <v>0</v>
      </c>
      <c r="BL52" s="37">
        <v>0</v>
      </c>
      <c r="BM52" s="37">
        <v>0</v>
      </c>
      <c r="BN52" s="37">
        <v>0</v>
      </c>
      <c r="BO52" s="37">
        <v>0</v>
      </c>
      <c r="BP52" s="37">
        <v>0</v>
      </c>
      <c r="BQ52" s="37">
        <v>0</v>
      </c>
      <c r="BR52" s="37">
        <v>0</v>
      </c>
      <c r="BS52" s="37">
        <v>0</v>
      </c>
      <c r="BT52" s="37">
        <v>0</v>
      </c>
      <c r="BU52" s="37">
        <v>0</v>
      </c>
      <c r="BV52" s="37">
        <v>0</v>
      </c>
      <c r="BW52" s="37">
        <v>0</v>
      </c>
      <c r="BY52" s="66"/>
      <c r="BZ52" s="66"/>
    </row>
    <row r="53" spans="2:78">
      <c r="B53">
        <v>10142</v>
      </c>
      <c r="C53" t="s">
        <v>57</v>
      </c>
      <c r="D53" s="37">
        <v>233.73515726369055</v>
      </c>
      <c r="E53" s="37">
        <v>162.82452267802717</v>
      </c>
      <c r="F53" s="37">
        <v>-111.90625781547033</v>
      </c>
      <c r="G53" s="37">
        <v>90.23233422757005</v>
      </c>
      <c r="H53" s="37">
        <v>38.566869978327531</v>
      </c>
      <c r="I53" s="37">
        <v>265.14451599090955</v>
      </c>
      <c r="J53" s="37">
        <v>-41.676904707854419</v>
      </c>
      <c r="K53" s="37">
        <v>198.42718697051703</v>
      </c>
      <c r="L53" s="37">
        <v>-7.5402910077523302</v>
      </c>
      <c r="M53" s="37">
        <v>142.19437761113636</v>
      </c>
      <c r="N53" s="37">
        <v>-242.70053257119525</v>
      </c>
      <c r="O53" s="37">
        <v>70.070623821667596</v>
      </c>
      <c r="P53" s="37">
        <v>202.51307022852245</v>
      </c>
      <c r="Q53" s="37">
        <v>114.97637492085801</v>
      </c>
      <c r="R53" s="37">
        <v>402.13009180147287</v>
      </c>
      <c r="S53" s="37">
        <v>314.9149403480161</v>
      </c>
      <c r="T53" s="37">
        <v>850.70223267874371</v>
      </c>
      <c r="U53" s="37">
        <v>596.65966806687516</v>
      </c>
      <c r="V53" s="37">
        <v>1084.5235519731989</v>
      </c>
      <c r="W53" s="37">
        <v>780.72991499312468</v>
      </c>
      <c r="X53" s="37">
        <v>780.75591098304972</v>
      </c>
      <c r="Y53" s="37">
        <v>606.44076361804684</v>
      </c>
      <c r="Z53" s="37">
        <v>536.13138871212391</v>
      </c>
      <c r="AA53" s="37">
        <v>362.79422146692912</v>
      </c>
      <c r="AB53" s="37">
        <v>254.96315726369039</v>
      </c>
      <c r="AC53" s="37">
        <v>176.91252267802713</v>
      </c>
      <c r="AD53" s="37">
        <v>-92.054257815470237</v>
      </c>
      <c r="AE53" s="37">
        <v>104.5813342275701</v>
      </c>
      <c r="AF53" s="37">
        <v>59.070869978327437</v>
      </c>
      <c r="AG53" s="37">
        <v>279.95551599090948</v>
      </c>
      <c r="AH53" s="37">
        <v>-73.64590470785447</v>
      </c>
      <c r="AI53" s="37">
        <v>265.71118697051713</v>
      </c>
      <c r="AJ53" s="37">
        <v>11.068708992247593</v>
      </c>
      <c r="AK53" s="37">
        <v>155.48337761113635</v>
      </c>
      <c r="AL53" s="37">
        <v>-183.32053257119514</v>
      </c>
      <c r="AM53" s="37">
        <v>45.980623821667564</v>
      </c>
      <c r="AN53" s="37">
        <v>223.73707022852261</v>
      </c>
      <c r="AO53" s="37">
        <v>127.928374920858</v>
      </c>
      <c r="AP53" s="37">
        <v>446.22609180147288</v>
      </c>
      <c r="AQ53" s="37">
        <v>347.12394034801616</v>
      </c>
      <c r="AR53" s="37">
        <v>896.93023267874378</v>
      </c>
      <c r="AS53" s="37">
        <v>624.27466806687517</v>
      </c>
      <c r="AT53" s="37">
        <v>1126.4545519731989</v>
      </c>
      <c r="AU53" s="37">
        <v>809.66091499312472</v>
      </c>
      <c r="AV53" s="37">
        <v>822.60691098304983</v>
      </c>
      <c r="AW53" s="37">
        <v>630.0057636180469</v>
      </c>
      <c r="AX53" s="37">
        <v>571.61138871212393</v>
      </c>
      <c r="AY53" s="37">
        <v>385.35222146692922</v>
      </c>
      <c r="AZ53" s="37">
        <v>232.65315726369045</v>
      </c>
      <c r="BA53" s="37">
        <v>228.31552267802715</v>
      </c>
      <c r="BB53" s="37">
        <v>-35.191257815470181</v>
      </c>
      <c r="BC53" s="37">
        <v>74.382334227570027</v>
      </c>
      <c r="BD53" s="37">
        <v>74.157869978327426</v>
      </c>
      <c r="BE53" s="37">
        <v>290.84951599090948</v>
      </c>
      <c r="BF53" s="37">
        <v>-60.189904707854566</v>
      </c>
      <c r="BG53" s="37">
        <v>276.68118697051716</v>
      </c>
      <c r="BH53" s="37">
        <v>16.260257549047765</v>
      </c>
      <c r="BI53" s="37">
        <v>156.52865188953626</v>
      </c>
      <c r="BJ53" s="37">
        <v>-170.52853257119523</v>
      </c>
      <c r="BK53" s="37">
        <v>54.49662382166764</v>
      </c>
      <c r="BL53" s="37">
        <v>195.05607022852257</v>
      </c>
      <c r="BM53" s="37">
        <v>175.73237492085798</v>
      </c>
      <c r="BN53" s="37">
        <v>509.91009180147284</v>
      </c>
      <c r="BO53" s="37">
        <v>299.85494034801616</v>
      </c>
      <c r="BP53" s="37">
        <v>903.57823267874392</v>
      </c>
      <c r="BQ53" s="37">
        <v>628.24466806687519</v>
      </c>
      <c r="BR53" s="37">
        <v>1060.0315519731992</v>
      </c>
      <c r="BS53" s="37">
        <v>887.05491499312473</v>
      </c>
      <c r="BT53" s="37">
        <v>893.75491098304997</v>
      </c>
      <c r="BU53" s="37">
        <v>569.82876361804676</v>
      </c>
      <c r="BV53" s="37">
        <v>578.11838871212399</v>
      </c>
      <c r="BW53" s="37">
        <v>389.46122146692915</v>
      </c>
      <c r="BY53" s="66"/>
      <c r="BZ53" s="66"/>
    </row>
    <row r="54" spans="2:78">
      <c r="B54">
        <v>10144</v>
      </c>
      <c r="C54" t="s">
        <v>58</v>
      </c>
      <c r="D54" s="37">
        <v>287.5204395103126</v>
      </c>
      <c r="E54" s="37">
        <v>104.93121847647069</v>
      </c>
      <c r="F54" s="37">
        <v>56.690611350680911</v>
      </c>
      <c r="G54" s="37">
        <v>160.28393322204158</v>
      </c>
      <c r="H54" s="37">
        <v>307.27169815016259</v>
      </c>
      <c r="I54" s="37">
        <v>355.25747781992595</v>
      </c>
      <c r="J54" s="37">
        <v>327.99990715854028</v>
      </c>
      <c r="K54" s="37">
        <v>329.22775620607354</v>
      </c>
      <c r="L54" s="37">
        <v>250.90595414438008</v>
      </c>
      <c r="M54" s="37">
        <v>243.351211476353</v>
      </c>
      <c r="N54" s="37">
        <v>-49.552828108406402</v>
      </c>
      <c r="O54" s="37">
        <v>188.69781238384883</v>
      </c>
      <c r="P54" s="37">
        <v>241.21054802352774</v>
      </c>
      <c r="Q54" s="37">
        <v>116.29086168253821</v>
      </c>
      <c r="R54" s="37">
        <v>-522.35497321634307</v>
      </c>
      <c r="S54" s="37">
        <v>-320.65479074833365</v>
      </c>
      <c r="T54" s="37">
        <v>-593.19033048081769</v>
      </c>
      <c r="U54" s="37">
        <v>-296.11010246241142</v>
      </c>
      <c r="V54" s="37">
        <v>-284.73707701478202</v>
      </c>
      <c r="W54" s="37">
        <v>-144.6029118829556</v>
      </c>
      <c r="X54" s="37">
        <v>-419.54369108081414</v>
      </c>
      <c r="Y54" s="37">
        <v>-113.47482008421559</v>
      </c>
      <c r="Z54" s="37">
        <v>-130.13048206410645</v>
      </c>
      <c r="AA54" s="37">
        <v>-92.517140628248967</v>
      </c>
      <c r="AB54" s="37">
        <v>288.55485660343152</v>
      </c>
      <c r="AC54" s="37">
        <v>105.55691642682268</v>
      </c>
      <c r="AD54" s="37">
        <v>56.690611350680911</v>
      </c>
      <c r="AE54" s="37">
        <v>160.28393322204158</v>
      </c>
      <c r="AF54" s="37">
        <v>307.27169815016259</v>
      </c>
      <c r="AG54" s="37">
        <v>355.25747781992595</v>
      </c>
      <c r="AH54" s="37">
        <v>234.96590715854018</v>
      </c>
      <c r="AI54" s="37">
        <v>422.26175620607364</v>
      </c>
      <c r="AJ54" s="37">
        <v>250.90595414438008</v>
      </c>
      <c r="AK54" s="37">
        <v>243.351211476353</v>
      </c>
      <c r="AL54" s="37">
        <v>20.484171891593633</v>
      </c>
      <c r="AM54" s="37">
        <v>118.66081238384879</v>
      </c>
      <c r="AN54" s="37">
        <v>241.21054802352774</v>
      </c>
      <c r="AO54" s="37">
        <v>116.29086168253821</v>
      </c>
      <c r="AP54" s="37">
        <v>-522.35497321634307</v>
      </c>
      <c r="AQ54" s="37">
        <v>-320.65479074833365</v>
      </c>
      <c r="AR54" s="37">
        <v>-593.19033048081769</v>
      </c>
      <c r="AS54" s="37">
        <v>-296.11010246241142</v>
      </c>
      <c r="AT54" s="37">
        <v>-284.73707701478202</v>
      </c>
      <c r="AU54" s="37">
        <v>-144.6029118829556</v>
      </c>
      <c r="AV54" s="37">
        <v>-419.54369108081414</v>
      </c>
      <c r="AW54" s="37">
        <v>-113.47482008421559</v>
      </c>
      <c r="AX54" s="37">
        <v>-130.13048206410645</v>
      </c>
      <c r="AY54" s="37">
        <v>-92.517140628248967</v>
      </c>
      <c r="AZ54" s="37">
        <v>228.81385660343153</v>
      </c>
      <c r="BA54" s="37">
        <v>165.29691642682269</v>
      </c>
      <c r="BB54" s="37">
        <v>129.25485103267556</v>
      </c>
      <c r="BC54" s="37">
        <v>89.843095985285458</v>
      </c>
      <c r="BD54" s="37">
        <v>308.81845756086682</v>
      </c>
      <c r="BE54" s="37">
        <v>356.12371247818339</v>
      </c>
      <c r="BF54" s="37">
        <v>236.57060687409717</v>
      </c>
      <c r="BG54" s="37">
        <v>423.20295358889871</v>
      </c>
      <c r="BH54" s="37">
        <v>244.35256379410816</v>
      </c>
      <c r="BI54" s="37">
        <v>227.37378199643945</v>
      </c>
      <c r="BJ54" s="37">
        <v>21.926656009006138</v>
      </c>
      <c r="BK54" s="37">
        <v>119.43627818356299</v>
      </c>
      <c r="BL54" s="37">
        <v>179.64391364286098</v>
      </c>
      <c r="BM54" s="37">
        <v>179.57642955949598</v>
      </c>
      <c r="BN54" s="37">
        <v>-476.03692464154847</v>
      </c>
      <c r="BO54" s="37">
        <v>-364.74825635248828</v>
      </c>
      <c r="BP54" s="37">
        <v>-591.70951409847476</v>
      </c>
      <c r="BQ54" s="37">
        <v>-295.3188345519319</v>
      </c>
      <c r="BR54" s="37">
        <v>-332.97560745621649</v>
      </c>
      <c r="BS54" s="37">
        <v>-94.342029920306913</v>
      </c>
      <c r="BT54" s="37">
        <v>-369.73870440465839</v>
      </c>
      <c r="BU54" s="37">
        <v>-161.20524498673387</v>
      </c>
      <c r="BV54" s="37">
        <v>-129.12766426743406</v>
      </c>
      <c r="BW54" s="37">
        <v>-91.908812526661904</v>
      </c>
      <c r="BY54" s="66"/>
      <c r="BZ54" s="66"/>
    </row>
    <row r="55" spans="2:78">
      <c r="B55">
        <v>10156</v>
      </c>
      <c r="C55" t="s">
        <v>59</v>
      </c>
      <c r="D55" s="37">
        <v>2274.4275128039662</v>
      </c>
      <c r="E55" s="37">
        <v>1671.0078190618551</v>
      </c>
      <c r="F55" s="37">
        <v>1426.76026573735</v>
      </c>
      <c r="G55" s="37">
        <v>2076.1352548757077</v>
      </c>
      <c r="H55" s="37">
        <v>2613.915578855991</v>
      </c>
      <c r="I55" s="37">
        <v>4564.7695438783012</v>
      </c>
      <c r="J55" s="37">
        <v>2347.5341930790855</v>
      </c>
      <c r="K55" s="37">
        <v>3741.7800397204446</v>
      </c>
      <c r="L55" s="37">
        <v>2474.5950924231656</v>
      </c>
      <c r="M55" s="37">
        <v>3129.8822221345654</v>
      </c>
      <c r="N55" s="37">
        <v>31.181335321780352</v>
      </c>
      <c r="O55" s="37">
        <v>2066.3786845595841</v>
      </c>
      <c r="P55" s="37">
        <v>1394.5723911712721</v>
      </c>
      <c r="Q55" s="37">
        <v>1357.4453508657334</v>
      </c>
      <c r="R55" s="37">
        <v>-4266.6293255201308</v>
      </c>
      <c r="S55" s="37">
        <v>-2147.8294142300356</v>
      </c>
      <c r="T55" s="37">
        <v>-6245.118983281558</v>
      </c>
      <c r="U55" s="37">
        <v>-2357.3430813317782</v>
      </c>
      <c r="V55" s="37">
        <v>-3180.3621719837593</v>
      </c>
      <c r="W55" s="37">
        <v>-776.41669713852934</v>
      </c>
      <c r="X55" s="37">
        <v>-3755.5345881891681</v>
      </c>
      <c r="Y55" s="37">
        <v>-429.99247393721453</v>
      </c>
      <c r="Z55" s="37">
        <v>-1110.3131087595029</v>
      </c>
      <c r="AA55" s="37">
        <v>-30.170850244468966</v>
      </c>
      <c r="AB55" s="37">
        <v>2346.7555128039658</v>
      </c>
      <c r="AC55" s="37">
        <v>1716.2768190618553</v>
      </c>
      <c r="AD55" s="37">
        <v>1482.514265737349</v>
      </c>
      <c r="AE55" s="37">
        <v>2116.6312548757069</v>
      </c>
      <c r="AF55" s="37">
        <v>2610.5525788559899</v>
      </c>
      <c r="AG55" s="37">
        <v>4562.3705438783018</v>
      </c>
      <c r="AH55" s="37">
        <v>2343.4461930790858</v>
      </c>
      <c r="AI55" s="37">
        <v>3738.9120397204442</v>
      </c>
      <c r="AJ55" s="37">
        <v>2507.2550924231655</v>
      </c>
      <c r="AK55" s="37">
        <v>3151.8072221345647</v>
      </c>
      <c r="AL55" s="37">
        <v>91.402335321778082</v>
      </c>
      <c r="AM55" s="37">
        <v>2106.2396845595831</v>
      </c>
      <c r="AN55" s="37">
        <v>1458.3183911712713</v>
      </c>
      <c r="AO55" s="37">
        <v>1399.5383508657342</v>
      </c>
      <c r="AP55" s="37">
        <v>-4195.1143255201314</v>
      </c>
      <c r="AQ55" s="37">
        <v>-2097.1694142300357</v>
      </c>
      <c r="AR55" s="37">
        <v>-6174.2399832815572</v>
      </c>
      <c r="AS55" s="37">
        <v>-2312.9410813317782</v>
      </c>
      <c r="AT55" s="37">
        <v>-3099.1491719837595</v>
      </c>
      <c r="AU55" s="37">
        <v>-721.91269713852944</v>
      </c>
      <c r="AV55" s="37">
        <v>-3671.8425881891671</v>
      </c>
      <c r="AW55" s="37">
        <v>-377.5364739372144</v>
      </c>
      <c r="AX55" s="37">
        <v>-1041.8381087595026</v>
      </c>
      <c r="AY55" s="37">
        <v>15.633149755531122</v>
      </c>
      <c r="AZ55" s="37">
        <v>1984.8885128039656</v>
      </c>
      <c r="BA55" s="37">
        <v>1419.180819061854</v>
      </c>
      <c r="BB55" s="37">
        <v>1122.3072657373486</v>
      </c>
      <c r="BC55" s="37">
        <v>1823.1962548757074</v>
      </c>
      <c r="BD55" s="37">
        <v>2182.5895788559901</v>
      </c>
      <c r="BE55" s="37">
        <v>4224.4635438783007</v>
      </c>
      <c r="BF55" s="37">
        <v>1924.4221930790882</v>
      </c>
      <c r="BG55" s="37">
        <v>3378.781039720443</v>
      </c>
      <c r="BH55" s="37">
        <v>2136.0129268039655</v>
      </c>
      <c r="BI55" s="37">
        <v>2962.7396393249674</v>
      </c>
      <c r="BJ55" s="37">
        <v>-299.18766467822024</v>
      </c>
      <c r="BK55" s="37">
        <v>1821.5526845595832</v>
      </c>
      <c r="BL55" s="37">
        <v>1104.3743911712718</v>
      </c>
      <c r="BM55" s="37">
        <v>1107.4913508657337</v>
      </c>
      <c r="BN55" s="37">
        <v>-4558.1573255201311</v>
      </c>
      <c r="BO55" s="37">
        <v>-2389.1184142300353</v>
      </c>
      <c r="BP55" s="37">
        <v>-6537.8629832815586</v>
      </c>
      <c r="BQ55" s="37">
        <v>-2586.0380813317779</v>
      </c>
      <c r="BR55" s="37">
        <v>-3436.1501719837597</v>
      </c>
      <c r="BS55" s="37">
        <v>-1026.9626971385296</v>
      </c>
      <c r="BT55" s="37">
        <v>-4039.779588189167</v>
      </c>
      <c r="BU55" s="37">
        <v>-651.19547393721496</v>
      </c>
      <c r="BV55" s="37">
        <v>-1391.1291087595037</v>
      </c>
      <c r="BW55" s="37">
        <v>-272.74985024446869</v>
      </c>
      <c r="BY55" s="66"/>
      <c r="BZ55" s="66"/>
    </row>
    <row r="56" spans="2:78">
      <c r="B56">
        <v>10157</v>
      </c>
      <c r="C56" t="s">
        <v>60</v>
      </c>
      <c r="D56" s="37">
        <v>3175.2135902273258</v>
      </c>
      <c r="E56" s="37">
        <v>1522.1527642059737</v>
      </c>
      <c r="F56" s="37">
        <v>143.24717867652362</v>
      </c>
      <c r="G56" s="37">
        <v>-353.11678237324486</v>
      </c>
      <c r="H56" s="37">
        <v>2428.1363519727274</v>
      </c>
      <c r="I56" s="37">
        <v>4069.7209405792037</v>
      </c>
      <c r="J56" s="37">
        <v>624.88407568458933</v>
      </c>
      <c r="K56" s="37">
        <v>3940.5120415559904</v>
      </c>
      <c r="L56" s="37">
        <v>1840.9839837721956</v>
      </c>
      <c r="M56" s="37">
        <v>1629.7650558509486</v>
      </c>
      <c r="N56" s="37">
        <v>-800.55062850213653</v>
      </c>
      <c r="O56" s="37">
        <v>1035.7395177512572</v>
      </c>
      <c r="P56" s="37">
        <v>2389.0030548094255</v>
      </c>
      <c r="Q56" s="37">
        <v>1221.015465971248</v>
      </c>
      <c r="R56" s="37">
        <v>-4585.2797437576119</v>
      </c>
      <c r="S56" s="37">
        <v>-3877.4564729924477</v>
      </c>
      <c r="T56" s="37">
        <v>-6576.3352514239486</v>
      </c>
      <c r="U56" s="37">
        <v>-2843.2140763066727</v>
      </c>
      <c r="V56" s="37">
        <v>-1892.8338955133186</v>
      </c>
      <c r="W56" s="37">
        <v>-318.16495705759007</v>
      </c>
      <c r="X56" s="37">
        <v>-2137.0070876569116</v>
      </c>
      <c r="Y56" s="37">
        <v>-1237.2346098548132</v>
      </c>
      <c r="Z56" s="37">
        <v>357.2737594950413</v>
      </c>
      <c r="AA56" s="37">
        <v>244.02493710964336</v>
      </c>
      <c r="AB56" s="37">
        <v>3099.4535902273237</v>
      </c>
      <c r="AC56" s="37">
        <v>1450.9367642059733</v>
      </c>
      <c r="AD56" s="37">
        <v>83.872178676516342</v>
      </c>
      <c r="AE56" s="37">
        <v>-436.0997823732414</v>
      </c>
      <c r="AF56" s="37">
        <v>2256.387351972724</v>
      </c>
      <c r="AG56" s="37">
        <v>3924.9019405792005</v>
      </c>
      <c r="AH56" s="37">
        <v>1094.5980756845856</v>
      </c>
      <c r="AI56" s="37">
        <v>3412.351041555994</v>
      </c>
      <c r="AJ56" s="37">
        <v>1903.8989837721965</v>
      </c>
      <c r="AK56" s="37">
        <v>1647.4200558509474</v>
      </c>
      <c r="AL56" s="37">
        <v>-1197.5556285021412</v>
      </c>
      <c r="AM56" s="37">
        <v>1475.9075177512586</v>
      </c>
      <c r="AN56" s="37">
        <v>2450.4380548094159</v>
      </c>
      <c r="AO56" s="37">
        <v>1244.6664659712496</v>
      </c>
      <c r="AP56" s="37">
        <v>-4509.1697437576113</v>
      </c>
      <c r="AQ56" s="37">
        <v>-3862.855472992449</v>
      </c>
      <c r="AR56" s="37">
        <v>-6499.5292514239591</v>
      </c>
      <c r="AS56" s="37">
        <v>-2817.37907630667</v>
      </c>
      <c r="AT56" s="37">
        <v>-1828.4648955133198</v>
      </c>
      <c r="AU56" s="37">
        <v>-298.83895705759278</v>
      </c>
      <c r="AV56" s="37">
        <v>-2058.970087656915</v>
      </c>
      <c r="AW56" s="37">
        <v>-1237.418609854818</v>
      </c>
      <c r="AX56" s="37">
        <v>431.91875949504538</v>
      </c>
      <c r="AY56" s="37">
        <v>268.67593710964138</v>
      </c>
      <c r="AZ56" s="37">
        <v>3953.1055902273329</v>
      </c>
      <c r="BA56" s="37">
        <v>1214.4917642059736</v>
      </c>
      <c r="BB56" s="37">
        <v>-59.244821323474753</v>
      </c>
      <c r="BC56" s="37">
        <v>309.85921762675389</v>
      </c>
      <c r="BD56" s="37">
        <v>2520.1973519727289</v>
      </c>
      <c r="BE56" s="37">
        <v>4113.3259405792032</v>
      </c>
      <c r="BF56" s="37">
        <v>1064.5050756845849</v>
      </c>
      <c r="BG56" s="37">
        <v>3392.1240415559878</v>
      </c>
      <c r="BH56" s="37">
        <v>441.66021889539479</v>
      </c>
      <c r="BI56" s="37">
        <v>871.04567341254551</v>
      </c>
      <c r="BJ56" s="37">
        <v>-1166.4336285021382</v>
      </c>
      <c r="BK56" s="37">
        <v>1497.6355177512614</v>
      </c>
      <c r="BL56" s="37">
        <v>2981.8620548094223</v>
      </c>
      <c r="BM56" s="37">
        <v>791.94446597124806</v>
      </c>
      <c r="BN56" s="37">
        <v>-4931.7667437576092</v>
      </c>
      <c r="BO56" s="37">
        <v>-3336.3154729924463</v>
      </c>
      <c r="BP56" s="37">
        <v>-6440.4152514239504</v>
      </c>
      <c r="BQ56" s="37">
        <v>-2777.5860763066685</v>
      </c>
      <c r="BR56" s="37">
        <v>-1287.1948955133157</v>
      </c>
      <c r="BS56" s="37">
        <v>-743.09495705759036</v>
      </c>
      <c r="BT56" s="37">
        <v>-2489.1550876569127</v>
      </c>
      <c r="BU56" s="37">
        <v>-716.50160985481307</v>
      </c>
      <c r="BV56" s="37">
        <v>485.36875949504247</v>
      </c>
      <c r="BW56" s="37">
        <v>307.84493710964307</v>
      </c>
      <c r="BY56" s="66"/>
      <c r="BZ56" s="66"/>
    </row>
    <row r="57" spans="2:78">
      <c r="B57">
        <v>10158</v>
      </c>
      <c r="C57" t="s">
        <v>61</v>
      </c>
      <c r="D57" s="37">
        <v>-11.303631762385521</v>
      </c>
      <c r="E57" s="37">
        <v>74.781884594292762</v>
      </c>
      <c r="F57" s="37">
        <v>-108.11514639077882</v>
      </c>
      <c r="G57" s="37">
        <v>147.6361963130621</v>
      </c>
      <c r="H57" s="37">
        <v>109.76136996339505</v>
      </c>
      <c r="I57" s="37">
        <v>372.49986003972663</v>
      </c>
      <c r="J57" s="37">
        <v>95.775976843447552</v>
      </c>
      <c r="K57" s="37">
        <v>325.81708719704022</v>
      </c>
      <c r="L57" s="37">
        <v>-16.129434442181037</v>
      </c>
      <c r="M57" s="37">
        <v>201.77739083912786</v>
      </c>
      <c r="N57" s="37">
        <v>-122.97408363644104</v>
      </c>
      <c r="O57" s="37">
        <v>235.14502472799779</v>
      </c>
      <c r="P57" s="37">
        <v>22.481418581685716</v>
      </c>
      <c r="Q57" s="37">
        <v>125.90211812616076</v>
      </c>
      <c r="R57" s="37">
        <v>-290.47323839865862</v>
      </c>
      <c r="S57" s="37">
        <v>-60.605680686616211</v>
      </c>
      <c r="T57" s="37">
        <v>-385.77106491839174</v>
      </c>
      <c r="U57" s="37">
        <v>-108.35715860738435</v>
      </c>
      <c r="V57" s="37">
        <v>-197.81897295593114</v>
      </c>
      <c r="W57" s="37">
        <v>-28.129365212294601</v>
      </c>
      <c r="X57" s="37">
        <v>-274.25087423416767</v>
      </c>
      <c r="Y57" s="37">
        <v>7.8348597583714081</v>
      </c>
      <c r="Z57" s="37">
        <v>-124.34919284617843</v>
      </c>
      <c r="AA57" s="37">
        <v>9.8543389843472369</v>
      </c>
      <c r="AB57" s="37">
        <v>-11.045027489105678</v>
      </c>
      <c r="AC57" s="37">
        <v>74.938309081880732</v>
      </c>
      <c r="AD57" s="37">
        <v>-108.11514639077882</v>
      </c>
      <c r="AE57" s="37">
        <v>147.6361963130621</v>
      </c>
      <c r="AF57" s="37">
        <v>109.76136996339505</v>
      </c>
      <c r="AG57" s="37">
        <v>372.49986003972663</v>
      </c>
      <c r="AH57" s="37">
        <v>42.856976843447683</v>
      </c>
      <c r="AI57" s="37">
        <v>378.73608719704009</v>
      </c>
      <c r="AJ57" s="37">
        <v>-16.129434442181037</v>
      </c>
      <c r="AK57" s="37">
        <v>201.77739083912786</v>
      </c>
      <c r="AL57" s="37">
        <v>-82.32308363644097</v>
      </c>
      <c r="AM57" s="37">
        <v>194.49502472799782</v>
      </c>
      <c r="AN57" s="37">
        <v>22.481418581685716</v>
      </c>
      <c r="AO57" s="37">
        <v>125.90211812616076</v>
      </c>
      <c r="AP57" s="37">
        <v>-290.47323839865862</v>
      </c>
      <c r="AQ57" s="37">
        <v>-60.605680686616211</v>
      </c>
      <c r="AR57" s="37">
        <v>-385.77106491839174</v>
      </c>
      <c r="AS57" s="37">
        <v>-108.35715860738435</v>
      </c>
      <c r="AT57" s="37">
        <v>-197.81897295593114</v>
      </c>
      <c r="AU57" s="37">
        <v>-28.129365212294601</v>
      </c>
      <c r="AV57" s="37">
        <v>-274.25087423416767</v>
      </c>
      <c r="AW57" s="37">
        <v>7.8348597583714081</v>
      </c>
      <c r="AX57" s="37">
        <v>-124.34919284617843</v>
      </c>
      <c r="AY57" s="37">
        <v>9.8543389843472369</v>
      </c>
      <c r="AZ57" s="37">
        <v>-40.989027489105638</v>
      </c>
      <c r="BA57" s="37">
        <v>104.88230908188081</v>
      </c>
      <c r="BB57" s="37">
        <v>-69.217586470280139</v>
      </c>
      <c r="BC57" s="37">
        <v>109.27023700387304</v>
      </c>
      <c r="BD57" s="37">
        <v>110.14805981607105</v>
      </c>
      <c r="BE57" s="37">
        <v>372.71641870429096</v>
      </c>
      <c r="BF57" s="37">
        <v>43.258151772336987</v>
      </c>
      <c r="BG57" s="37">
        <v>378.97138654274636</v>
      </c>
      <c r="BH57" s="37">
        <v>-19.521448480948948</v>
      </c>
      <c r="BI57" s="37">
        <v>198.35495024354941</v>
      </c>
      <c r="BJ57" s="37">
        <v>-81.9624626070879</v>
      </c>
      <c r="BK57" s="37">
        <v>194.68889117792628</v>
      </c>
      <c r="BL57" s="37">
        <v>-11.134990013480888</v>
      </c>
      <c r="BM57" s="37">
        <v>159.9482600954002</v>
      </c>
      <c r="BN57" s="37">
        <v>-259.42447625495993</v>
      </c>
      <c r="BO57" s="37">
        <v>-91.098297087654942</v>
      </c>
      <c r="BP57" s="37">
        <v>-385.40086082280607</v>
      </c>
      <c r="BQ57" s="37">
        <v>-108.15934162976453</v>
      </c>
      <c r="BR57" s="37">
        <v>-227.43060556628973</v>
      </c>
      <c r="BS57" s="37">
        <v>1.9888552783675095</v>
      </c>
      <c r="BT57" s="37">
        <v>-243.94812756512863</v>
      </c>
      <c r="BU57" s="37">
        <v>-21.948246467258173</v>
      </c>
      <c r="BV57" s="37">
        <v>-124.09848839701033</v>
      </c>
      <c r="BW57" s="37">
        <v>10.006421009744031</v>
      </c>
      <c r="BY57" s="66"/>
      <c r="BZ57" s="66"/>
    </row>
    <row r="58" spans="2:78">
      <c r="B58">
        <v>10170</v>
      </c>
      <c r="C58" t="s">
        <v>62</v>
      </c>
      <c r="D58" s="37">
        <v>5546.61727759528</v>
      </c>
      <c r="E58" s="37">
        <v>9186.8284426974024</v>
      </c>
      <c r="F58" s="37">
        <v>-11395.273045108705</v>
      </c>
      <c r="G58" s="37">
        <v>2169.9973745472744</v>
      </c>
      <c r="H58" s="37">
        <v>-7527.3622758073689</v>
      </c>
      <c r="I58" s="37">
        <v>9146.0512534436784</v>
      </c>
      <c r="J58" s="37">
        <v>-6455.3908934445353</v>
      </c>
      <c r="K58" s="37">
        <v>8741.5356146185295</v>
      </c>
      <c r="L58" s="37">
        <v>1049.4787838377233</v>
      </c>
      <c r="M58" s="37">
        <v>10625.529527407907</v>
      </c>
      <c r="N58" s="37">
        <v>-7139.2883080862812</v>
      </c>
      <c r="O58" s="37">
        <v>9686.2084431561161</v>
      </c>
      <c r="P58" s="37">
        <v>4278.9896760947813</v>
      </c>
      <c r="Q58" s="37">
        <v>7943.8933178629341</v>
      </c>
      <c r="R58" s="37">
        <v>-20000.669835783738</v>
      </c>
      <c r="S58" s="37">
        <v>-5209.6825313515765</v>
      </c>
      <c r="T58" s="37">
        <v>-22910.632594408853</v>
      </c>
      <c r="U58" s="37">
        <v>-4327.2305827703822</v>
      </c>
      <c r="V58" s="37">
        <v>-6839.0848928929699</v>
      </c>
      <c r="W58" s="37">
        <v>6111.1004745568898</v>
      </c>
      <c r="X58" s="37">
        <v>-9819.748435790003</v>
      </c>
      <c r="Y58" s="37">
        <v>8976.6570853875419</v>
      </c>
      <c r="Z58" s="37">
        <v>1812.6219123116243</v>
      </c>
      <c r="AA58" s="37">
        <v>9727.4952636360795</v>
      </c>
      <c r="AB58" s="37">
        <v>6617.4141146730035</v>
      </c>
      <c r="AC58" s="37">
        <v>10121.770251835813</v>
      </c>
      <c r="AD58" s="37">
        <v>-10967.842665146287</v>
      </c>
      <c r="AE58" s="37">
        <v>2924.6995224899365</v>
      </c>
      <c r="AF58" s="37">
        <v>-6705.4599248647428</v>
      </c>
      <c r="AG58" s="37">
        <v>10264.454412218271</v>
      </c>
      <c r="AH58" s="37">
        <v>-8039.630935877809</v>
      </c>
      <c r="AI58" s="37">
        <v>12401.433030915396</v>
      </c>
      <c r="AJ58" s="37">
        <v>2096.6599354086648</v>
      </c>
      <c r="AK58" s="37">
        <v>11717.766373851573</v>
      </c>
      <c r="AL58" s="37">
        <v>-4182.0772044619807</v>
      </c>
      <c r="AM58" s="37">
        <v>8564.6298506406747</v>
      </c>
      <c r="AN58" s="37">
        <v>5305.816817440711</v>
      </c>
      <c r="AO58" s="37">
        <v>8844.502757416125</v>
      </c>
      <c r="AP58" s="37">
        <v>-19947.116830182385</v>
      </c>
      <c r="AQ58" s="37">
        <v>-4789.6423739355378</v>
      </c>
      <c r="AR58" s="37">
        <v>-22897.262729853115</v>
      </c>
      <c r="AS58" s="37">
        <v>-3930.243419463779</v>
      </c>
      <c r="AT58" s="37">
        <v>-6187.8383020072069</v>
      </c>
      <c r="AU58" s="37">
        <v>6983.3652188917549</v>
      </c>
      <c r="AV58" s="37">
        <v>-9240.1189659499505</v>
      </c>
      <c r="AW58" s="37">
        <v>9955.1270595836359</v>
      </c>
      <c r="AX58" s="37">
        <v>2675.1397646312034</v>
      </c>
      <c r="AY58" s="37">
        <v>10675.673713710039</v>
      </c>
      <c r="AZ58" s="37">
        <v>4011.2142118404736</v>
      </c>
      <c r="BA58" s="37">
        <v>11521.047941808683</v>
      </c>
      <c r="BB58" s="37">
        <v>-9709.8052418988154</v>
      </c>
      <c r="BC58" s="37">
        <v>519.34098331425776</v>
      </c>
      <c r="BD58" s="37">
        <v>-7530.2622017532631</v>
      </c>
      <c r="BE58" s="37">
        <v>9614.1295400561648</v>
      </c>
      <c r="BF58" s="37">
        <v>-8880.7754490214138</v>
      </c>
      <c r="BG58" s="37">
        <v>11678.048749611902</v>
      </c>
      <c r="BH58" s="37">
        <v>-363.81226600582886</v>
      </c>
      <c r="BI58" s="37">
        <v>9788.4486571746384</v>
      </c>
      <c r="BJ58" s="37">
        <v>-4979.1115235868128</v>
      </c>
      <c r="BK58" s="37">
        <v>7990.8389403447873</v>
      </c>
      <c r="BL58" s="37">
        <v>2639.5640781328548</v>
      </c>
      <c r="BM58" s="37">
        <v>10303.8332838643</v>
      </c>
      <c r="BN58" s="37">
        <v>-18923.282908170149</v>
      </c>
      <c r="BO58" s="37">
        <v>-6796.8943953147136</v>
      </c>
      <c r="BP58" s="37">
        <v>-23465.459853931803</v>
      </c>
      <c r="BQ58" s="37">
        <v>-4345.4643947520526</v>
      </c>
      <c r="BR58" s="37">
        <v>-8768.0828884341536</v>
      </c>
      <c r="BS58" s="37">
        <v>8356.6875924590422</v>
      </c>
      <c r="BT58" s="37">
        <v>-7979.1664342594231</v>
      </c>
      <c r="BU58" s="37">
        <v>7457.4517665677085</v>
      </c>
      <c r="BV58" s="37">
        <v>2046.0170748003948</v>
      </c>
      <c r="BW58" s="37">
        <v>10172.375561845398</v>
      </c>
      <c r="BY58" s="66"/>
      <c r="BZ58" s="66"/>
    </row>
    <row r="59" spans="2:78">
      <c r="B59">
        <v>10172</v>
      </c>
      <c r="C59" t="s">
        <v>63</v>
      </c>
      <c r="D59" s="37">
        <v>375.63344694651323</v>
      </c>
      <c r="E59" s="37">
        <v>220.37653456687349</v>
      </c>
      <c r="F59" s="37">
        <v>-207.71913669879132</v>
      </c>
      <c r="G59" s="37">
        <v>-66.169548479957484</v>
      </c>
      <c r="H59" s="37">
        <v>-260.13244908419119</v>
      </c>
      <c r="I59" s="37">
        <v>200.61807809137144</v>
      </c>
      <c r="J59" s="37">
        <v>-389.45645326007025</v>
      </c>
      <c r="K59" s="37">
        <v>22.504700553192379</v>
      </c>
      <c r="L59" s="37">
        <v>-111.49609921701631</v>
      </c>
      <c r="M59" s="37">
        <v>111.96859892999419</v>
      </c>
      <c r="N59" s="37">
        <v>-397.7034923638148</v>
      </c>
      <c r="O59" s="37">
        <v>-0.2461431256049309</v>
      </c>
      <c r="P59" s="37">
        <v>238.88386273787683</v>
      </c>
      <c r="Q59" s="37">
        <v>152.57437169016976</v>
      </c>
      <c r="R59" s="37">
        <v>-284.08984831691487</v>
      </c>
      <c r="S59" s="37">
        <v>-182.3524655792171</v>
      </c>
      <c r="T59" s="37">
        <v>-403.87344931230109</v>
      </c>
      <c r="U59" s="37">
        <v>-91.492164796983843</v>
      </c>
      <c r="V59" s="37">
        <v>143.54346220135858</v>
      </c>
      <c r="W59" s="37">
        <v>198.99826001172232</v>
      </c>
      <c r="X59" s="37">
        <v>0.16468926141442353</v>
      </c>
      <c r="Y59" s="37">
        <v>168.11637744425389</v>
      </c>
      <c r="Z59" s="37">
        <v>289.40245645378945</v>
      </c>
      <c r="AA59" s="37">
        <v>268.42317966399878</v>
      </c>
      <c r="AB59" s="37">
        <v>375.93483243837818</v>
      </c>
      <c r="AC59" s="37">
        <v>221.93035927083793</v>
      </c>
      <c r="AD59" s="37">
        <v>-205.00809145170388</v>
      </c>
      <c r="AE59" s="37">
        <v>-63.998234073480262</v>
      </c>
      <c r="AF59" s="37">
        <v>-261.65697936081096</v>
      </c>
      <c r="AG59" s="37">
        <v>203.37220623012445</v>
      </c>
      <c r="AH59" s="37">
        <v>-393.09599856675777</v>
      </c>
      <c r="AI59" s="37">
        <v>23.831943736579206</v>
      </c>
      <c r="AJ59" s="37">
        <v>-112.35952889513055</v>
      </c>
      <c r="AK59" s="37">
        <v>113.52500011976917</v>
      </c>
      <c r="AL59" s="37">
        <v>-399.67848030112054</v>
      </c>
      <c r="AM59" s="37">
        <v>0.47367117911198875</v>
      </c>
      <c r="AN59" s="37">
        <v>240.92183001887724</v>
      </c>
      <c r="AO59" s="37">
        <v>154.96800172036592</v>
      </c>
      <c r="AP59" s="37">
        <v>-284.95314980102467</v>
      </c>
      <c r="AQ59" s="37">
        <v>-186.03178311066449</v>
      </c>
      <c r="AR59" s="37">
        <v>-409.46591962095727</v>
      </c>
      <c r="AS59" s="37">
        <v>-93.595085319895361</v>
      </c>
      <c r="AT59" s="37">
        <v>140.53321448502857</v>
      </c>
      <c r="AU59" s="37">
        <v>199.04970762801963</v>
      </c>
      <c r="AV59" s="37">
        <v>-3.9185908951544661</v>
      </c>
      <c r="AW59" s="37">
        <v>166.77938833580652</v>
      </c>
      <c r="AX59" s="37">
        <v>288.30496280869602</v>
      </c>
      <c r="AY59" s="37">
        <v>268.60376598781295</v>
      </c>
      <c r="AZ59" s="37">
        <v>392.0728324383781</v>
      </c>
      <c r="BA59" s="37">
        <v>232.39635927083805</v>
      </c>
      <c r="BB59" s="37">
        <v>-199.27344898716319</v>
      </c>
      <c r="BC59" s="37">
        <v>-59.937495488619561</v>
      </c>
      <c r="BD59" s="37">
        <v>-257.03336479376776</v>
      </c>
      <c r="BE59" s="37">
        <v>208.41288762862973</v>
      </c>
      <c r="BF59" s="37">
        <v>-389.09142136232276</v>
      </c>
      <c r="BG59" s="37">
        <v>28.524664019685588</v>
      </c>
      <c r="BH59" s="37">
        <v>-194.27707087092313</v>
      </c>
      <c r="BI59" s="37">
        <v>74.087169993899806</v>
      </c>
      <c r="BJ59" s="37">
        <v>-394.25673221106672</v>
      </c>
      <c r="BK59" s="37">
        <v>4.7708112313277979</v>
      </c>
      <c r="BL59" s="37">
        <v>248.23049646904428</v>
      </c>
      <c r="BM59" s="37">
        <v>160.3226006739435</v>
      </c>
      <c r="BN59" s="37">
        <v>-277.91177625568253</v>
      </c>
      <c r="BO59" s="37">
        <v>-183.77367467846534</v>
      </c>
      <c r="BP59" s="37">
        <v>-404.68424658411413</v>
      </c>
      <c r="BQ59" s="37">
        <v>-90.266411626111221</v>
      </c>
      <c r="BR59" s="37">
        <v>147.09882540614672</v>
      </c>
      <c r="BS59" s="37">
        <v>204.42487241749268</v>
      </c>
      <c r="BT59" s="37">
        <v>3.156262364639133</v>
      </c>
      <c r="BU59" s="37">
        <v>171.05168133032385</v>
      </c>
      <c r="BV59" s="37">
        <v>295.99512488448568</v>
      </c>
      <c r="BW59" s="37">
        <v>274.11722320051331</v>
      </c>
      <c r="BY59" s="66"/>
      <c r="BZ59" s="66"/>
    </row>
    <row r="60" spans="2:78">
      <c r="B60">
        <v>10173</v>
      </c>
      <c r="C60" t="s">
        <v>64</v>
      </c>
      <c r="D60" s="37">
        <v>0</v>
      </c>
      <c r="E60" s="37">
        <v>0</v>
      </c>
      <c r="F60" s="37">
        <v>0</v>
      </c>
      <c r="G60" s="37">
        <v>0</v>
      </c>
      <c r="H60" s="37">
        <v>0</v>
      </c>
      <c r="I60" s="37">
        <v>0</v>
      </c>
      <c r="J60" s="37">
        <v>0</v>
      </c>
      <c r="K60" s="37">
        <v>0</v>
      </c>
      <c r="L60" s="37">
        <v>0</v>
      </c>
      <c r="M60" s="37">
        <v>0</v>
      </c>
      <c r="N60" s="37">
        <v>0</v>
      </c>
      <c r="O60" s="37">
        <v>0</v>
      </c>
      <c r="P60" s="37">
        <v>0</v>
      </c>
      <c r="Q60" s="37">
        <v>0</v>
      </c>
      <c r="R60" s="37">
        <v>0</v>
      </c>
      <c r="S60" s="37">
        <v>0</v>
      </c>
      <c r="T60" s="37">
        <v>0</v>
      </c>
      <c r="U60" s="37">
        <v>0</v>
      </c>
      <c r="V60" s="37">
        <v>0</v>
      </c>
      <c r="W60" s="37">
        <v>0</v>
      </c>
      <c r="X60" s="37">
        <v>0</v>
      </c>
      <c r="Y60" s="37">
        <v>0</v>
      </c>
      <c r="Z60" s="37">
        <v>0</v>
      </c>
      <c r="AA60" s="37">
        <v>0</v>
      </c>
      <c r="AB60" s="37">
        <v>0</v>
      </c>
      <c r="AC60" s="37">
        <v>0</v>
      </c>
      <c r="AD60" s="37">
        <v>0</v>
      </c>
      <c r="AE60" s="37">
        <v>0</v>
      </c>
      <c r="AF60" s="37">
        <v>0</v>
      </c>
      <c r="AG60" s="37">
        <v>0</v>
      </c>
      <c r="AH60" s="37">
        <v>0</v>
      </c>
      <c r="AI60" s="37">
        <v>0</v>
      </c>
      <c r="AJ60" s="37">
        <v>0</v>
      </c>
      <c r="AK60" s="37">
        <v>0</v>
      </c>
      <c r="AL60" s="37">
        <v>0</v>
      </c>
      <c r="AM60" s="37">
        <v>0</v>
      </c>
      <c r="AN60" s="37">
        <v>0</v>
      </c>
      <c r="AO60" s="37">
        <v>0</v>
      </c>
      <c r="AP60" s="37">
        <v>0</v>
      </c>
      <c r="AQ60" s="37">
        <v>0</v>
      </c>
      <c r="AR60" s="37">
        <v>0</v>
      </c>
      <c r="AS60" s="37">
        <v>0</v>
      </c>
      <c r="AT60" s="37">
        <v>0</v>
      </c>
      <c r="AU60" s="37">
        <v>0</v>
      </c>
      <c r="AV60" s="37">
        <v>0</v>
      </c>
      <c r="AW60" s="37">
        <v>0</v>
      </c>
      <c r="AX60" s="37">
        <v>0</v>
      </c>
      <c r="AY60" s="37">
        <v>0</v>
      </c>
      <c r="AZ60" s="37">
        <v>0</v>
      </c>
      <c r="BA60" s="37">
        <v>0</v>
      </c>
      <c r="BB60" s="37">
        <v>0</v>
      </c>
      <c r="BC60" s="37">
        <v>0</v>
      </c>
      <c r="BD60" s="37">
        <v>0</v>
      </c>
      <c r="BE60" s="37">
        <v>0</v>
      </c>
      <c r="BF60" s="37">
        <v>0</v>
      </c>
      <c r="BG60" s="37">
        <v>0</v>
      </c>
      <c r="BH60" s="37">
        <v>0</v>
      </c>
      <c r="BI60" s="37">
        <v>0</v>
      </c>
      <c r="BJ60" s="37">
        <v>0</v>
      </c>
      <c r="BK60" s="37">
        <v>0</v>
      </c>
      <c r="BL60" s="37">
        <v>0</v>
      </c>
      <c r="BM60" s="37">
        <v>0</v>
      </c>
      <c r="BN60" s="37">
        <v>0</v>
      </c>
      <c r="BO60" s="37">
        <v>0</v>
      </c>
      <c r="BP60" s="37">
        <v>0</v>
      </c>
      <c r="BQ60" s="37">
        <v>0</v>
      </c>
      <c r="BR60" s="37">
        <v>0</v>
      </c>
      <c r="BS60" s="37">
        <v>0</v>
      </c>
      <c r="BT60" s="37">
        <v>0</v>
      </c>
      <c r="BU60" s="37">
        <v>0</v>
      </c>
      <c r="BV60" s="37">
        <v>0</v>
      </c>
      <c r="BW60" s="37">
        <v>0</v>
      </c>
      <c r="BY60" s="66"/>
      <c r="BZ60" s="66"/>
    </row>
    <row r="61" spans="2:78">
      <c r="B61">
        <v>10174</v>
      </c>
      <c r="C61" t="s">
        <v>65</v>
      </c>
      <c r="D61" s="37">
        <v>51.544736058423098</v>
      </c>
      <c r="E61" s="37">
        <v>50.860642399406885</v>
      </c>
      <c r="F61" s="37">
        <v>14.296537002448815</v>
      </c>
      <c r="G61" s="37">
        <v>56.691824688547172</v>
      </c>
      <c r="H61" s="37">
        <v>76.981375631270964</v>
      </c>
      <c r="I61" s="37">
        <v>116.77743750736181</v>
      </c>
      <c r="J61" s="37">
        <v>57.037575986442675</v>
      </c>
      <c r="K61" s="37">
        <v>101.78836912861374</v>
      </c>
      <c r="L61" s="37">
        <v>55.268150315033324</v>
      </c>
      <c r="M61" s="37">
        <v>80.258449288919962</v>
      </c>
      <c r="N61" s="37">
        <v>1.372721953815585</v>
      </c>
      <c r="O61" s="37">
        <v>68.179755401245899</v>
      </c>
      <c r="P61" s="37">
        <v>44.606962734504265</v>
      </c>
      <c r="Q61" s="37">
        <v>48.477208055315756</v>
      </c>
      <c r="R61" s="37">
        <v>-25.88045703192418</v>
      </c>
      <c r="S61" s="37">
        <v>9.4059595447323829</v>
      </c>
      <c r="T61" s="37">
        <v>-18.802336534948864</v>
      </c>
      <c r="U61" s="37">
        <v>10.373227046553438</v>
      </c>
      <c r="V61" s="37">
        <v>32.998581627146535</v>
      </c>
      <c r="W61" s="37">
        <v>33.19090819523035</v>
      </c>
      <c r="X61" s="37">
        <v>-3.1723617009085103</v>
      </c>
      <c r="Y61" s="37">
        <v>28.262163776411356</v>
      </c>
      <c r="Z61" s="37">
        <v>31.78390994648592</v>
      </c>
      <c r="AA61" s="37">
        <v>34.664187790525702</v>
      </c>
      <c r="AB61" s="37">
        <v>52.365736058423096</v>
      </c>
      <c r="AC61" s="37">
        <v>51.424642399406878</v>
      </c>
      <c r="AD61" s="37">
        <v>15.02153700244881</v>
      </c>
      <c r="AE61" s="37">
        <v>57.306824688547181</v>
      </c>
      <c r="AF61" s="37">
        <v>77.76437563127098</v>
      </c>
      <c r="AG61" s="37">
        <v>117.37843750736181</v>
      </c>
      <c r="AH61" s="37">
        <v>43.910575986442666</v>
      </c>
      <c r="AI61" s="37">
        <v>116.29936912861376</v>
      </c>
      <c r="AJ61" s="37">
        <v>55.987150315033318</v>
      </c>
      <c r="AK61" s="37">
        <v>80.791449288919949</v>
      </c>
      <c r="AL61" s="37">
        <v>12.721721953815575</v>
      </c>
      <c r="AM61" s="37">
        <v>58.2157554012459</v>
      </c>
      <c r="AN61" s="37">
        <v>45.388962734504275</v>
      </c>
      <c r="AO61" s="37">
        <v>49.034208055315773</v>
      </c>
      <c r="AP61" s="37">
        <v>-25.099457031924175</v>
      </c>
      <c r="AQ61" s="37">
        <v>10.009959544732368</v>
      </c>
      <c r="AR61" s="37">
        <v>-17.974336534948861</v>
      </c>
      <c r="AS61" s="37">
        <v>10.885227046553439</v>
      </c>
      <c r="AT61" s="37">
        <v>33.847581627146525</v>
      </c>
      <c r="AU61" s="37">
        <v>33.726908195230351</v>
      </c>
      <c r="AV61" s="37">
        <v>-2.3213617009085112</v>
      </c>
      <c r="AW61" s="37">
        <v>28.795163776411371</v>
      </c>
      <c r="AX61" s="37">
        <v>32.581909946485922</v>
      </c>
      <c r="AY61" s="37">
        <v>35.206187790525703</v>
      </c>
      <c r="AZ61" s="37">
        <v>44.1047360584231</v>
      </c>
      <c r="BA61" s="37">
        <v>61.070642399406893</v>
      </c>
      <c r="BB61" s="37">
        <v>26.312537002448806</v>
      </c>
      <c r="BC61" s="37">
        <v>47.355824688547187</v>
      </c>
      <c r="BD61" s="37">
        <v>78.548375631270972</v>
      </c>
      <c r="BE61" s="37">
        <v>117.98043750736178</v>
      </c>
      <c r="BF61" s="37">
        <v>44.65557598644267</v>
      </c>
      <c r="BG61" s="37">
        <v>116.94036912861372</v>
      </c>
      <c r="BH61" s="37">
        <v>57.031072260633294</v>
      </c>
      <c r="BI61" s="37">
        <v>79.753410261719949</v>
      </c>
      <c r="BJ61" s="37">
        <v>13.523721953815595</v>
      </c>
      <c r="BK61" s="37">
        <v>58.798755401245899</v>
      </c>
      <c r="BL61" s="37">
        <v>36.76096273450429</v>
      </c>
      <c r="BM61" s="37">
        <v>59.002208055315762</v>
      </c>
      <c r="BN61" s="37">
        <v>-15.636457031924181</v>
      </c>
      <c r="BO61" s="37">
        <v>1.9309595447323886</v>
      </c>
      <c r="BP61" s="37">
        <v>-17.145336534948854</v>
      </c>
      <c r="BQ61" s="37">
        <v>11.396227046553435</v>
      </c>
      <c r="BR61" s="37">
        <v>24.966581627146525</v>
      </c>
      <c r="BS61" s="37">
        <v>43.992908195230342</v>
      </c>
      <c r="BT61" s="37">
        <v>7.5436382990914979</v>
      </c>
      <c r="BU61" s="37">
        <v>20.315163776411381</v>
      </c>
      <c r="BV61" s="37">
        <v>33.379909946485924</v>
      </c>
      <c r="BW61" s="37">
        <v>35.74918779052571</v>
      </c>
      <c r="BY61" s="66"/>
      <c r="BZ61" s="66"/>
    </row>
    <row r="62" spans="2:78">
      <c r="B62">
        <v>10177</v>
      </c>
      <c r="C62" t="s">
        <v>66</v>
      </c>
      <c r="D62" s="37">
        <v>287.31471758171028</v>
      </c>
      <c r="E62" s="37">
        <v>392.73236470395841</v>
      </c>
      <c r="F62" s="37">
        <v>-63.21943941801419</v>
      </c>
      <c r="G62" s="37">
        <v>317.94693049753596</v>
      </c>
      <c r="H62" s="37">
        <v>335.284522427105</v>
      </c>
      <c r="I62" s="37">
        <v>1253.0506312413681</v>
      </c>
      <c r="J62" s="37">
        <v>211.28536653797528</v>
      </c>
      <c r="K62" s="37">
        <v>1034.4492931605546</v>
      </c>
      <c r="L62" s="37">
        <v>506.74654265262598</v>
      </c>
      <c r="M62" s="37">
        <v>978.06743896094804</v>
      </c>
      <c r="N62" s="37">
        <v>-288.76203096755762</v>
      </c>
      <c r="O62" s="37">
        <v>602.62321257145641</v>
      </c>
      <c r="P62" s="37">
        <v>419.95362550541449</v>
      </c>
      <c r="Q62" s="37">
        <v>552.05635409742217</v>
      </c>
      <c r="R62" s="37">
        <v>-1224.5450571519018</v>
      </c>
      <c r="S62" s="37">
        <v>-553.15687708228461</v>
      </c>
      <c r="T62" s="37">
        <v>-1708.7230672008723</v>
      </c>
      <c r="U62" s="37">
        <v>-533.84935980926912</v>
      </c>
      <c r="V62" s="37">
        <v>-799.92856000533448</v>
      </c>
      <c r="W62" s="37">
        <v>-68.684909080096986</v>
      </c>
      <c r="X62" s="37">
        <v>-1187.9307255770555</v>
      </c>
      <c r="Y62" s="37">
        <v>-205.07418124270134</v>
      </c>
      <c r="Z62" s="37">
        <v>-361.01487309255754</v>
      </c>
      <c r="AA62" s="37">
        <v>101.74811080728796</v>
      </c>
      <c r="AB62" s="37">
        <v>272.56399624158166</v>
      </c>
      <c r="AC62" s="37">
        <v>384.65757721822274</v>
      </c>
      <c r="AD62" s="37">
        <v>-63.222034647935288</v>
      </c>
      <c r="AE62" s="37">
        <v>319.538489048879</v>
      </c>
      <c r="AF62" s="37">
        <v>337.61013126654234</v>
      </c>
      <c r="AG62" s="37">
        <v>1259.0281113675078</v>
      </c>
      <c r="AH62" s="37">
        <v>213.46687080462289</v>
      </c>
      <c r="AI62" s="37">
        <v>1039.7453324181793</v>
      </c>
      <c r="AJ62" s="37">
        <v>509.88469749070373</v>
      </c>
      <c r="AK62" s="37">
        <v>983.0565309516528</v>
      </c>
      <c r="AL62" s="37">
        <v>-289.61429272874375</v>
      </c>
      <c r="AM62" s="37">
        <v>605.62922557574484</v>
      </c>
      <c r="AN62" s="37">
        <v>422.32914121541444</v>
      </c>
      <c r="AO62" s="37">
        <v>554.77783594305538</v>
      </c>
      <c r="AP62" s="37">
        <v>-1230.4237857738208</v>
      </c>
      <c r="AQ62" s="37">
        <v>-555.9898930199638</v>
      </c>
      <c r="AR62" s="37">
        <v>-1716.9163129360136</v>
      </c>
      <c r="AS62" s="37">
        <v>-536.53537846646122</v>
      </c>
      <c r="AT62" s="37">
        <v>-803.68560338381621</v>
      </c>
      <c r="AU62" s="37">
        <v>-69.224138519826738</v>
      </c>
      <c r="AV62" s="37">
        <v>-1193.6045257193905</v>
      </c>
      <c r="AW62" s="37">
        <v>-206.12680770492625</v>
      </c>
      <c r="AX62" s="37">
        <v>-363.22314004264217</v>
      </c>
      <c r="AY62" s="37">
        <v>101.89918928348243</v>
      </c>
      <c r="AZ62" s="37">
        <v>289.36299624158164</v>
      </c>
      <c r="BA62" s="37">
        <v>395.66757721822296</v>
      </c>
      <c r="BB62" s="37">
        <v>-63.489749718853091</v>
      </c>
      <c r="BC62" s="37">
        <v>320.98796621859947</v>
      </c>
      <c r="BD62" s="37">
        <v>339.66336040062743</v>
      </c>
      <c r="BE62" s="37">
        <v>1264.9444741645179</v>
      </c>
      <c r="BF62" s="37">
        <v>214.84502521349259</v>
      </c>
      <c r="BG62" s="37">
        <v>1044.5697729843919</v>
      </c>
      <c r="BH62" s="37">
        <v>494.56569035191842</v>
      </c>
      <c r="BI62" s="37">
        <v>1008.0384091063147</v>
      </c>
      <c r="BJ62" s="37">
        <v>-290.78179654863743</v>
      </c>
      <c r="BK62" s="37">
        <v>608.5355056801759</v>
      </c>
      <c r="BL62" s="37">
        <v>423.82447411574822</v>
      </c>
      <c r="BM62" s="37">
        <v>556.92603385020948</v>
      </c>
      <c r="BN62" s="37">
        <v>-1236.6950386831359</v>
      </c>
      <c r="BO62" s="37">
        <v>-559.05967615556574</v>
      </c>
      <c r="BP62" s="37">
        <v>-1725.5739668623269</v>
      </c>
      <c r="BQ62" s="37">
        <v>-539.43803107889335</v>
      </c>
      <c r="BR62" s="37">
        <v>-808.38038154158039</v>
      </c>
      <c r="BS62" s="37">
        <v>-70.336808940880474</v>
      </c>
      <c r="BT62" s="37">
        <v>-1200.2568191998043</v>
      </c>
      <c r="BU62" s="37">
        <v>-207.70822171589225</v>
      </c>
      <c r="BV62" s="37">
        <v>-365.68181589106325</v>
      </c>
      <c r="BW62" s="37">
        <v>101.92710370888335</v>
      </c>
      <c r="BY62" s="66"/>
      <c r="BZ62" s="66"/>
    </row>
    <row r="63" spans="2:78">
      <c r="B63">
        <v>10179</v>
      </c>
      <c r="C63" t="s">
        <v>67</v>
      </c>
      <c r="D63" s="37">
        <v>0</v>
      </c>
      <c r="E63" s="37">
        <v>0</v>
      </c>
      <c r="F63" s="37">
        <v>0</v>
      </c>
      <c r="G63" s="37">
        <v>0</v>
      </c>
      <c r="H63" s="37">
        <v>0</v>
      </c>
      <c r="I63" s="37">
        <v>0</v>
      </c>
      <c r="J63" s="37">
        <v>0</v>
      </c>
      <c r="K63" s="37">
        <v>0</v>
      </c>
      <c r="L63" s="37">
        <v>0</v>
      </c>
      <c r="M63" s="37">
        <v>0</v>
      </c>
      <c r="N63" s="37">
        <v>0</v>
      </c>
      <c r="O63" s="37">
        <v>0</v>
      </c>
      <c r="P63" s="37">
        <v>0</v>
      </c>
      <c r="Q63" s="37">
        <v>0</v>
      </c>
      <c r="R63" s="37">
        <v>0</v>
      </c>
      <c r="S63" s="37">
        <v>0</v>
      </c>
      <c r="T63" s="37">
        <v>0</v>
      </c>
      <c r="U63" s="37">
        <v>0</v>
      </c>
      <c r="V63" s="37">
        <v>0</v>
      </c>
      <c r="W63" s="37">
        <v>0</v>
      </c>
      <c r="X63" s="37">
        <v>0</v>
      </c>
      <c r="Y63" s="37">
        <v>0</v>
      </c>
      <c r="Z63" s="37">
        <v>0</v>
      </c>
      <c r="AA63" s="37">
        <v>0</v>
      </c>
      <c r="AB63" s="37">
        <v>0</v>
      </c>
      <c r="AC63" s="37">
        <v>0</v>
      </c>
      <c r="AD63" s="37">
        <v>0</v>
      </c>
      <c r="AE63" s="37">
        <v>0</v>
      </c>
      <c r="AF63" s="37">
        <v>0</v>
      </c>
      <c r="AG63" s="37">
        <v>0</v>
      </c>
      <c r="AH63" s="37">
        <v>0</v>
      </c>
      <c r="AI63" s="37">
        <v>0</v>
      </c>
      <c r="AJ63" s="37">
        <v>0</v>
      </c>
      <c r="AK63" s="37">
        <v>0</v>
      </c>
      <c r="AL63" s="37">
        <v>0</v>
      </c>
      <c r="AM63" s="37">
        <v>0</v>
      </c>
      <c r="AN63" s="37">
        <v>0</v>
      </c>
      <c r="AO63" s="37">
        <v>0</v>
      </c>
      <c r="AP63" s="37">
        <v>0</v>
      </c>
      <c r="AQ63" s="37">
        <v>0</v>
      </c>
      <c r="AR63" s="37">
        <v>0</v>
      </c>
      <c r="AS63" s="37">
        <v>0</v>
      </c>
      <c r="AT63" s="37">
        <v>0</v>
      </c>
      <c r="AU63" s="37">
        <v>0</v>
      </c>
      <c r="AV63" s="37">
        <v>0</v>
      </c>
      <c r="AW63" s="37">
        <v>0</v>
      </c>
      <c r="AX63" s="37">
        <v>0</v>
      </c>
      <c r="AY63" s="37">
        <v>0</v>
      </c>
      <c r="AZ63" s="37">
        <v>0</v>
      </c>
      <c r="BA63" s="37">
        <v>0</v>
      </c>
      <c r="BB63" s="37">
        <v>0</v>
      </c>
      <c r="BC63" s="37">
        <v>0</v>
      </c>
      <c r="BD63" s="37">
        <v>0</v>
      </c>
      <c r="BE63" s="37">
        <v>0</v>
      </c>
      <c r="BF63" s="37">
        <v>0</v>
      </c>
      <c r="BG63" s="37">
        <v>0</v>
      </c>
      <c r="BH63" s="37">
        <v>0</v>
      </c>
      <c r="BI63" s="37">
        <v>0</v>
      </c>
      <c r="BJ63" s="37">
        <v>0</v>
      </c>
      <c r="BK63" s="37">
        <v>0</v>
      </c>
      <c r="BL63" s="37">
        <v>0</v>
      </c>
      <c r="BM63" s="37">
        <v>0</v>
      </c>
      <c r="BN63" s="37">
        <v>0</v>
      </c>
      <c r="BO63" s="37">
        <v>0</v>
      </c>
      <c r="BP63" s="37">
        <v>0</v>
      </c>
      <c r="BQ63" s="37">
        <v>0</v>
      </c>
      <c r="BR63" s="37">
        <v>0</v>
      </c>
      <c r="BS63" s="37">
        <v>0</v>
      </c>
      <c r="BT63" s="37">
        <v>0</v>
      </c>
      <c r="BU63" s="37">
        <v>0</v>
      </c>
      <c r="BV63" s="37">
        <v>0</v>
      </c>
      <c r="BW63" s="37">
        <v>0</v>
      </c>
      <c r="BY63" s="66"/>
      <c r="BZ63" s="66"/>
    </row>
    <row r="64" spans="2:78">
      <c r="B64">
        <v>10183</v>
      </c>
      <c r="C64" t="s">
        <v>68</v>
      </c>
      <c r="D64" s="37">
        <v>987.31792455756658</v>
      </c>
      <c r="E64" s="37">
        <v>3389.3332765802697</v>
      </c>
      <c r="F64" s="37">
        <v>-7609.9640953212365</v>
      </c>
      <c r="G64" s="37">
        <v>-391.71236072523607</v>
      </c>
      <c r="H64" s="37">
        <v>-8746.2516865023608</v>
      </c>
      <c r="I64" s="37">
        <v>894.21745273455599</v>
      </c>
      <c r="J64" s="37">
        <v>-8190.678147653849</v>
      </c>
      <c r="K64" s="37">
        <v>686.70728868266815</v>
      </c>
      <c r="L64" s="37">
        <v>-6610.0170103850942</v>
      </c>
      <c r="M64" s="37">
        <v>124.63101197961623</v>
      </c>
      <c r="N64" s="37">
        <v>-10695.930150324959</v>
      </c>
      <c r="O64" s="37">
        <v>-505.21667930154945</v>
      </c>
      <c r="P64" s="37">
        <v>-1552.3883607236166</v>
      </c>
      <c r="Q64" s="37">
        <v>1353.8050858880233</v>
      </c>
      <c r="R64" s="37">
        <v>-6493.2598473686521</v>
      </c>
      <c r="S64" s="37">
        <v>609.8238356358379</v>
      </c>
      <c r="T64" s="37">
        <v>-3921.4941257903811</v>
      </c>
      <c r="U64" s="37">
        <v>3547.4768498550038</v>
      </c>
      <c r="V64" s="37">
        <v>5962.8316452694744</v>
      </c>
      <c r="W64" s="37">
        <v>10643.699459988926</v>
      </c>
      <c r="X64" s="37">
        <v>2285.1668527546426</v>
      </c>
      <c r="Y64" s="37">
        <v>10438.226652808444</v>
      </c>
      <c r="Z64" s="37">
        <v>3691.4037186193455</v>
      </c>
      <c r="AA64" s="37">
        <v>7228.9033789977384</v>
      </c>
      <c r="AB64" s="37">
        <v>1344.4632446049218</v>
      </c>
      <c r="AC64" s="37">
        <v>3647.2715632811378</v>
      </c>
      <c r="AD64" s="37">
        <v>-7299.8459362018257</v>
      </c>
      <c r="AE64" s="37">
        <v>-119.55137212304544</v>
      </c>
      <c r="AF64" s="37">
        <v>-8365.64941457042</v>
      </c>
      <c r="AG64" s="37">
        <v>1194.3077056039729</v>
      </c>
      <c r="AH64" s="37">
        <v>-8844.0493515499875</v>
      </c>
      <c r="AI64" s="37">
        <v>2069.9777059200132</v>
      </c>
      <c r="AJ64" s="37">
        <v>-6281.9724201193785</v>
      </c>
      <c r="AK64" s="37">
        <v>370.6644546789048</v>
      </c>
      <c r="AL64" s="37">
        <v>-9555.0418873959825</v>
      </c>
      <c r="AM64" s="37">
        <v>-1080.2280240221717</v>
      </c>
      <c r="AN64" s="37">
        <v>-1225.4372524254868</v>
      </c>
      <c r="AO64" s="37">
        <v>1592.7308957982277</v>
      </c>
      <c r="AP64" s="37">
        <v>-6144.932930285453</v>
      </c>
      <c r="AQ64" s="37">
        <v>909.38498432738925</v>
      </c>
      <c r="AR64" s="37">
        <v>-3490.2977365855404</v>
      </c>
      <c r="AS64" s="37">
        <v>3862.5819035046916</v>
      </c>
      <c r="AT64" s="37">
        <v>6476.4154339005217</v>
      </c>
      <c r="AU64" s="37">
        <v>11048.640524101873</v>
      </c>
      <c r="AV64" s="37">
        <v>2775.8227936789663</v>
      </c>
      <c r="AW64" s="37">
        <v>10825.089990844932</v>
      </c>
      <c r="AX64" s="37">
        <v>4078.6785821274643</v>
      </c>
      <c r="AY64" s="37">
        <v>7538.7232698042299</v>
      </c>
      <c r="AZ64" s="37">
        <v>186.93323031965701</v>
      </c>
      <c r="BA64" s="37">
        <v>4334.4029498583877</v>
      </c>
      <c r="BB64" s="37">
        <v>-6673.0803221525748</v>
      </c>
      <c r="BC64" s="37">
        <v>-1191.6276870691836</v>
      </c>
      <c r="BD64" s="37">
        <v>-8656.7233181098709</v>
      </c>
      <c r="BE64" s="37">
        <v>964.80712781324837</v>
      </c>
      <c r="BF64" s="37">
        <v>-9144.1603039945039</v>
      </c>
      <c r="BG64" s="37">
        <v>1811.8822868177303</v>
      </c>
      <c r="BH64" s="37">
        <v>-7410.0316669821186</v>
      </c>
      <c r="BI64" s="37">
        <v>-445.16260746362423</v>
      </c>
      <c r="BJ64" s="37">
        <v>-9806.66400125367</v>
      </c>
      <c r="BK64" s="37">
        <v>-1261.3726476558313</v>
      </c>
      <c r="BL64" s="37">
        <v>-2316.2454140617119</v>
      </c>
      <c r="BM64" s="37">
        <v>2250.7723199431275</v>
      </c>
      <c r="BN64" s="37">
        <v>-5479.7604729801278</v>
      </c>
      <c r="BO64" s="37">
        <v>-251.27402749704925</v>
      </c>
      <c r="BP64" s="37">
        <v>-3820.0645967802229</v>
      </c>
      <c r="BQ64" s="37">
        <v>3621.5984287470419</v>
      </c>
      <c r="BR64" s="37">
        <v>4762.943987852017</v>
      </c>
      <c r="BS64" s="37">
        <v>12059.650019439796</v>
      </c>
      <c r="BT64" s="37">
        <v>3662.3202756414285</v>
      </c>
      <c r="BU64" s="37">
        <v>9267.4904666856964</v>
      </c>
      <c r="BV64" s="37">
        <v>3782.5016683853864</v>
      </c>
      <c r="BW64" s="37">
        <v>7301.7817388105668</v>
      </c>
      <c r="BY64" s="66"/>
      <c r="BZ64" s="66"/>
    </row>
    <row r="65" spans="2:78">
      <c r="B65">
        <v>10186</v>
      </c>
      <c r="C65" t="s">
        <v>69</v>
      </c>
      <c r="D65" s="37">
        <v>404.57345626711958</v>
      </c>
      <c r="E65" s="37">
        <v>751.61850232381221</v>
      </c>
      <c r="F65" s="37">
        <v>-139.83097225008532</v>
      </c>
      <c r="G65" s="37">
        <v>551.54667269794027</v>
      </c>
      <c r="H65" s="37">
        <v>-254.55937825142792</v>
      </c>
      <c r="I65" s="37">
        <v>1765.4946933458459</v>
      </c>
      <c r="J65" s="37">
        <v>-981.25772547923953</v>
      </c>
      <c r="K65" s="37">
        <v>1176.3543175259611</v>
      </c>
      <c r="L65" s="37">
        <v>568.50488639288778</v>
      </c>
      <c r="M65" s="37">
        <v>1356.4108264372644</v>
      </c>
      <c r="N65" s="37">
        <v>-668.99735244520161</v>
      </c>
      <c r="O65" s="37">
        <v>923.96150380893323</v>
      </c>
      <c r="P65" s="37">
        <v>535.82115168998735</v>
      </c>
      <c r="Q65" s="37">
        <v>914.03752205119599</v>
      </c>
      <c r="R65" s="37">
        <v>-1716.1745954579046</v>
      </c>
      <c r="S65" s="37">
        <v>-569.30502538501605</v>
      </c>
      <c r="T65" s="37">
        <v>-2448.6613220885429</v>
      </c>
      <c r="U65" s="37">
        <v>-598.75477091519133</v>
      </c>
      <c r="V65" s="37">
        <v>-731.39143718207379</v>
      </c>
      <c r="W65" s="37">
        <v>366.7692583678454</v>
      </c>
      <c r="X65" s="37">
        <v>-1568.8841150333756</v>
      </c>
      <c r="Y65" s="37">
        <v>-118.18817760016373</v>
      </c>
      <c r="Z65" s="37">
        <v>-87.543018412618949</v>
      </c>
      <c r="AA65" s="37">
        <v>565.31460145576375</v>
      </c>
      <c r="AB65" s="37">
        <v>405.64026908696087</v>
      </c>
      <c r="AC65" s="37">
        <v>752.28777578657673</v>
      </c>
      <c r="AD65" s="37">
        <v>-139.88497225008359</v>
      </c>
      <c r="AE65" s="37">
        <v>551.5056726979401</v>
      </c>
      <c r="AF65" s="37">
        <v>-254.16037825142848</v>
      </c>
      <c r="AG65" s="37">
        <v>1765.7966933458474</v>
      </c>
      <c r="AH65" s="37">
        <v>-921.07072547923963</v>
      </c>
      <c r="AI65" s="37">
        <v>1116.4993175259615</v>
      </c>
      <c r="AJ65" s="37">
        <v>568.74788639288818</v>
      </c>
      <c r="AK65" s="37">
        <v>1356.5808264372645</v>
      </c>
      <c r="AL65" s="37">
        <v>-722.0523524452019</v>
      </c>
      <c r="AM65" s="37">
        <v>976.92250380893256</v>
      </c>
      <c r="AN65" s="37">
        <v>535.55315168998732</v>
      </c>
      <c r="AO65" s="37">
        <v>913.84752205119548</v>
      </c>
      <c r="AP65" s="37">
        <v>-1715.9995954579044</v>
      </c>
      <c r="AQ65" s="37">
        <v>-569.17502538501594</v>
      </c>
      <c r="AR65" s="37">
        <v>-2448.5983220885428</v>
      </c>
      <c r="AS65" s="37">
        <v>-598.71277091519096</v>
      </c>
      <c r="AT65" s="37">
        <v>-731.49143718207415</v>
      </c>
      <c r="AU65" s="37">
        <v>366.70025836784589</v>
      </c>
      <c r="AV65" s="37">
        <v>-1569.1961150333755</v>
      </c>
      <c r="AW65" s="37">
        <v>-118.38217760016323</v>
      </c>
      <c r="AX65" s="37">
        <v>-87.495018412619174</v>
      </c>
      <c r="AY65" s="37">
        <v>565.3496014557636</v>
      </c>
      <c r="AZ65" s="37">
        <v>451.64226908696128</v>
      </c>
      <c r="BA65" s="37">
        <v>706.28877578657693</v>
      </c>
      <c r="BB65" s="37">
        <v>-191.8492924885868</v>
      </c>
      <c r="BC65" s="37">
        <v>605.19279477037435</v>
      </c>
      <c r="BD65" s="37">
        <v>-253.29730869339801</v>
      </c>
      <c r="BE65" s="37">
        <v>1766.2203693395404</v>
      </c>
      <c r="BF65" s="37">
        <v>-920.22520069257007</v>
      </c>
      <c r="BG65" s="37">
        <v>1116.9282155630808</v>
      </c>
      <c r="BH65" s="37">
        <v>527.99056375178588</v>
      </c>
      <c r="BI65" s="37">
        <v>1380.8063643881305</v>
      </c>
      <c r="BJ65" s="37">
        <v>-720.98548935714098</v>
      </c>
      <c r="BK65" s="37">
        <v>977.49410315871955</v>
      </c>
      <c r="BL65" s="37">
        <v>589.4229259044896</v>
      </c>
      <c r="BM65" s="37">
        <v>861.3959479589148</v>
      </c>
      <c r="BN65" s="37">
        <v>-1759.8143090268068</v>
      </c>
      <c r="BO65" s="37">
        <v>-523.38587458813072</v>
      </c>
      <c r="BP65" s="37">
        <v>-2447.3737098017846</v>
      </c>
      <c r="BQ65" s="37">
        <v>-598.04531998233142</v>
      </c>
      <c r="BR65" s="37">
        <v>-678.15533501314894</v>
      </c>
      <c r="BS65" s="37">
        <v>315.51691983983255</v>
      </c>
      <c r="BT65" s="37">
        <v>-1620.9868750262558</v>
      </c>
      <c r="BU65" s="37">
        <v>-64.75249627705125</v>
      </c>
      <c r="BV65" s="37">
        <v>-86.744905065114835</v>
      </c>
      <c r="BW65" s="37">
        <v>565.80384753195494</v>
      </c>
      <c r="BY65" s="66"/>
      <c r="BZ65" s="66"/>
    </row>
    <row r="66" spans="2:78">
      <c r="B66">
        <v>10190</v>
      </c>
      <c r="C66" t="s">
        <v>70</v>
      </c>
      <c r="D66" s="37">
        <v>-157.11578296644484</v>
      </c>
      <c r="E66" s="37">
        <v>87.421563153757461</v>
      </c>
      <c r="F66" s="37">
        <v>355.4809438577181</v>
      </c>
      <c r="G66" s="37">
        <v>296.295166684366</v>
      </c>
      <c r="H66" s="37">
        <v>722.09872194707623</v>
      </c>
      <c r="I66" s="37">
        <v>957.29816743942092</v>
      </c>
      <c r="J66" s="37">
        <v>596.11232223770503</v>
      </c>
      <c r="K66" s="37">
        <v>904.0096051332489</v>
      </c>
      <c r="L66" s="37">
        <v>611.15855218075922</v>
      </c>
      <c r="M66" s="37">
        <v>775.57045966224337</v>
      </c>
      <c r="N66" s="37">
        <v>-114.6578395692859</v>
      </c>
      <c r="O66" s="37">
        <v>339.41379172489565</v>
      </c>
      <c r="P66" s="37">
        <v>-225.97327709595629</v>
      </c>
      <c r="Q66" s="37">
        <v>62.837377905493668</v>
      </c>
      <c r="R66" s="37">
        <v>-891.06518332280507</v>
      </c>
      <c r="S66" s="37">
        <v>-673.61315077194649</v>
      </c>
      <c r="T66" s="37">
        <v>-1122.822877981401</v>
      </c>
      <c r="U66" s="37">
        <v>-579.81188364032312</v>
      </c>
      <c r="V66" s="37">
        <v>-391.68910952613101</v>
      </c>
      <c r="W66" s="37">
        <v>-179.76828342291265</v>
      </c>
      <c r="X66" s="37">
        <v>-537.12253742185817</v>
      </c>
      <c r="Y66" s="37">
        <v>-237.48287897633872</v>
      </c>
      <c r="Z66" s="37">
        <v>-370.19647469038682</v>
      </c>
      <c r="AA66" s="37">
        <v>-230.58039451377863</v>
      </c>
      <c r="AB66" s="37">
        <v>-157.11578296644484</v>
      </c>
      <c r="AC66" s="37">
        <v>87.421563153757461</v>
      </c>
      <c r="AD66" s="37">
        <v>355.4809438577181</v>
      </c>
      <c r="AE66" s="37">
        <v>296.295166684366</v>
      </c>
      <c r="AF66" s="37">
        <v>722.09872194707623</v>
      </c>
      <c r="AG66" s="37">
        <v>957.29816743942092</v>
      </c>
      <c r="AH66" s="37">
        <v>643.26432223770507</v>
      </c>
      <c r="AI66" s="37">
        <v>856.85760513324885</v>
      </c>
      <c r="AJ66" s="37">
        <v>611.15855218075922</v>
      </c>
      <c r="AK66" s="37">
        <v>775.57045966224337</v>
      </c>
      <c r="AL66" s="37">
        <v>-161.80983956928594</v>
      </c>
      <c r="AM66" s="37">
        <v>386.56579172489546</v>
      </c>
      <c r="AN66" s="37">
        <v>-225.97327709595629</v>
      </c>
      <c r="AO66" s="37">
        <v>62.837377905493668</v>
      </c>
      <c r="AP66" s="37">
        <v>-891.06518332280507</v>
      </c>
      <c r="AQ66" s="37">
        <v>-673.61315077194649</v>
      </c>
      <c r="AR66" s="37">
        <v>-1122.822877981401</v>
      </c>
      <c r="AS66" s="37">
        <v>-579.81188364032312</v>
      </c>
      <c r="AT66" s="37">
        <v>-391.68910952613101</v>
      </c>
      <c r="AU66" s="37">
        <v>-179.76828342291265</v>
      </c>
      <c r="AV66" s="37">
        <v>-537.12253742185817</v>
      </c>
      <c r="AW66" s="37">
        <v>-237.48287897633872</v>
      </c>
      <c r="AX66" s="37">
        <v>-370.19647469038682</v>
      </c>
      <c r="AY66" s="37">
        <v>-230.58039451377863</v>
      </c>
      <c r="AZ66" s="37">
        <v>-168.61978296644475</v>
      </c>
      <c r="BA66" s="37">
        <v>-5.9784368462426301</v>
      </c>
      <c r="BB66" s="37">
        <v>251.92894385771842</v>
      </c>
      <c r="BC66" s="37">
        <v>298.18616668436607</v>
      </c>
      <c r="BD66" s="37">
        <v>663.44272194707628</v>
      </c>
      <c r="BE66" s="37">
        <v>911.05016743942087</v>
      </c>
      <c r="BF66" s="37">
        <v>586.86432223770544</v>
      </c>
      <c r="BG66" s="37">
        <v>808.35360513324895</v>
      </c>
      <c r="BH66" s="37">
        <v>570.96447235995947</v>
      </c>
      <c r="BI66" s="37">
        <v>774.87741975184304</v>
      </c>
      <c r="BJ66" s="37">
        <v>-222.7218395692862</v>
      </c>
      <c r="BK66" s="37">
        <v>342.71479172489558</v>
      </c>
      <c r="BL66" s="37">
        <v>-235.22127709595634</v>
      </c>
      <c r="BM66" s="37">
        <v>-29.434622094506494</v>
      </c>
      <c r="BN66" s="37">
        <v>-996.87318332280506</v>
      </c>
      <c r="BO66" s="37">
        <v>-672.7091507719465</v>
      </c>
      <c r="BP66" s="37">
        <v>-1181.478877981401</v>
      </c>
      <c r="BQ66" s="37">
        <v>-622.67588364032315</v>
      </c>
      <c r="BR66" s="37">
        <v>-400.93710952613105</v>
      </c>
      <c r="BS66" s="37">
        <v>-275.42428342291259</v>
      </c>
      <c r="BT66" s="37">
        <v>-645.18653742185825</v>
      </c>
      <c r="BU66" s="37">
        <v>-234.32287897633864</v>
      </c>
      <c r="BV66" s="37">
        <v>-426.59647469038691</v>
      </c>
      <c r="BW66" s="37">
        <v>910.12760548622123</v>
      </c>
      <c r="BY66" s="66"/>
      <c r="BZ66" s="66"/>
    </row>
    <row r="67" spans="2:78">
      <c r="B67">
        <v>10191</v>
      </c>
      <c r="C67" t="s">
        <v>71</v>
      </c>
      <c r="D67" s="37">
        <v>8933.9712658851277</v>
      </c>
      <c r="E67" s="37">
        <v>5355.8306937027737</v>
      </c>
      <c r="F67" s="37">
        <v>458.63696965818235</v>
      </c>
      <c r="G67" s="37">
        <v>6244.4766604265242</v>
      </c>
      <c r="H67" s="37">
        <v>3681.8511860498547</v>
      </c>
      <c r="I67" s="37">
        <v>10267.450080815215</v>
      </c>
      <c r="J67" s="37">
        <v>-5599.6749042426673</v>
      </c>
      <c r="K67" s="37">
        <v>2900.0488743019087</v>
      </c>
      <c r="L67" s="37">
        <v>5173.6257477907056</v>
      </c>
      <c r="M67" s="37">
        <v>8020.884703831849</v>
      </c>
      <c r="N67" s="37">
        <v>-851.98005919386196</v>
      </c>
      <c r="O67" s="37">
        <v>9318.2692477106175</v>
      </c>
      <c r="P67" s="37">
        <v>7511.5367804840644</v>
      </c>
      <c r="Q67" s="37">
        <v>5298.1157174598156</v>
      </c>
      <c r="R67" s="37">
        <v>-13382.585112256667</v>
      </c>
      <c r="S67" s="37">
        <v>-4596.2795106293779</v>
      </c>
      <c r="T67" s="37">
        <v>-19754.688684590183</v>
      </c>
      <c r="U67" s="37">
        <v>-6740.6864346302027</v>
      </c>
      <c r="V67" s="37">
        <v>-10348.990184537681</v>
      </c>
      <c r="W67" s="37">
        <v>-1983.5463053044732</v>
      </c>
      <c r="X67" s="37">
        <v>-13468.723465198658</v>
      </c>
      <c r="Y67" s="37">
        <v>454.40466939528415</v>
      </c>
      <c r="Z67" s="37">
        <v>284.329940011492</v>
      </c>
      <c r="AA67" s="37">
        <v>2822.0279319361871</v>
      </c>
      <c r="AB67" s="37">
        <v>8923.1058864073784</v>
      </c>
      <c r="AC67" s="37">
        <v>5349.256865224077</v>
      </c>
      <c r="AD67" s="37">
        <v>458.63696965818235</v>
      </c>
      <c r="AE67" s="37">
        <v>6244.4766604265242</v>
      </c>
      <c r="AF67" s="37">
        <v>3681.867186049858</v>
      </c>
      <c r="AG67" s="37">
        <v>10267.458080815217</v>
      </c>
      <c r="AH67" s="37">
        <v>-8106.9009042426624</v>
      </c>
      <c r="AI67" s="37">
        <v>5407.3608743019067</v>
      </c>
      <c r="AJ67" s="37">
        <v>5173.6257477907056</v>
      </c>
      <c r="AK67" s="37">
        <v>8020.884703831849</v>
      </c>
      <c r="AL67" s="37">
        <v>1579.1409408061372</v>
      </c>
      <c r="AM67" s="37">
        <v>6887.2032477106186</v>
      </c>
      <c r="AN67" s="37">
        <v>7511.5287804840627</v>
      </c>
      <c r="AO67" s="37">
        <v>5298.1157174598156</v>
      </c>
      <c r="AP67" s="37">
        <v>-13382.589112256668</v>
      </c>
      <c r="AQ67" s="37">
        <v>-4596.2835106293787</v>
      </c>
      <c r="AR67" s="37">
        <v>-19754.692684590183</v>
      </c>
      <c r="AS67" s="37">
        <v>-6740.6904346302035</v>
      </c>
      <c r="AT67" s="37">
        <v>-10348.994184537674</v>
      </c>
      <c r="AU67" s="37">
        <v>-1983.550305304474</v>
      </c>
      <c r="AV67" s="37">
        <v>-13468.734465198664</v>
      </c>
      <c r="AW67" s="37">
        <v>454.40066939528697</v>
      </c>
      <c r="AX67" s="37">
        <v>284.32594001149118</v>
      </c>
      <c r="AY67" s="37">
        <v>2822.0239319361863</v>
      </c>
      <c r="AZ67" s="37">
        <v>6908.0198864073755</v>
      </c>
      <c r="BA67" s="37">
        <v>7332.9758652240816</v>
      </c>
      <c r="BB67" s="37">
        <v>2788.7284529972385</v>
      </c>
      <c r="BC67" s="37">
        <v>3856.0999514124633</v>
      </c>
      <c r="BD67" s="37">
        <v>3639.8212122374534</v>
      </c>
      <c r="BE67" s="37">
        <v>10241.003616903516</v>
      </c>
      <c r="BF67" s="37">
        <v>-8146.3562512560165</v>
      </c>
      <c r="BG67" s="37">
        <v>5380.6233017822451</v>
      </c>
      <c r="BH67" s="37">
        <v>5719.0328840813672</v>
      </c>
      <c r="BI67" s="37">
        <v>8075.0544821773437</v>
      </c>
      <c r="BJ67" s="37">
        <v>1540.5888575733115</v>
      </c>
      <c r="BK67" s="37">
        <v>6864.3418568136185</v>
      </c>
      <c r="BL67" s="37">
        <v>5392.0689414810695</v>
      </c>
      <c r="BM67" s="37">
        <v>7367.7457547517588</v>
      </c>
      <c r="BN67" s="37">
        <v>-11574.787122292008</v>
      </c>
      <c r="BO67" s="37">
        <v>-6456.3496217857537</v>
      </c>
      <c r="BP67" s="37">
        <v>-19786.729256604776</v>
      </c>
      <c r="BQ67" s="37">
        <v>-6759.1587476902387</v>
      </c>
      <c r="BR67" s="37">
        <v>-12140.80961490261</v>
      </c>
      <c r="BS67" s="37">
        <v>-240.66556591228436</v>
      </c>
      <c r="BT67" s="37">
        <v>-11701.291825298293</v>
      </c>
      <c r="BU67" s="37">
        <v>-1363.0978691282689</v>
      </c>
      <c r="BV67" s="37">
        <v>257.80035314643465</v>
      </c>
      <c r="BW67" s="37">
        <v>2805.000486869525</v>
      </c>
      <c r="BY67" s="66"/>
      <c r="BZ67" s="66"/>
    </row>
    <row r="68" spans="2:78">
      <c r="B68">
        <v>10197</v>
      </c>
      <c r="C68" t="s">
        <v>72</v>
      </c>
      <c r="D68" s="37">
        <v>-3952.7343483284221</v>
      </c>
      <c r="E68" s="37">
        <v>-2116.490406482415</v>
      </c>
      <c r="F68" s="37">
        <v>-8246.2997210114063</v>
      </c>
      <c r="G68" s="37">
        <v>-4841.2047558229333</v>
      </c>
      <c r="H68" s="37">
        <v>-9536.2199779367511</v>
      </c>
      <c r="I68" s="37">
        <v>-4702.6592949972655</v>
      </c>
      <c r="J68" s="37">
        <v>-10092.512611085613</v>
      </c>
      <c r="K68" s="37">
        <v>-5265.5943395929999</v>
      </c>
      <c r="L68" s="37">
        <v>-8207.8444011990341</v>
      </c>
      <c r="M68" s="37">
        <v>-4276.2552500533393</v>
      </c>
      <c r="N68" s="37">
        <v>-9308.2016928181092</v>
      </c>
      <c r="O68" s="37">
        <v>-4406.8932902994366</v>
      </c>
      <c r="P68" s="37">
        <v>-873.12013877513982</v>
      </c>
      <c r="Q68" s="37">
        <v>-536.80270587935502</v>
      </c>
      <c r="R68" s="37">
        <v>5764.6351186282063</v>
      </c>
      <c r="S68" s="37">
        <v>6272.2417166329797</v>
      </c>
      <c r="T68" s="37">
        <v>5355.0885712874006</v>
      </c>
      <c r="U68" s="37">
        <v>5354.8931243716324</v>
      </c>
      <c r="V68" s="37">
        <v>12032.627462223978</v>
      </c>
      <c r="W68" s="37">
        <v>10917.586846566355</v>
      </c>
      <c r="X68" s="37">
        <v>10187.534216975111</v>
      </c>
      <c r="Y68" s="37">
        <v>10513.429190565037</v>
      </c>
      <c r="Z68" s="37">
        <v>4804.9301901778081</v>
      </c>
      <c r="AA68" s="37">
        <v>5152.6577665292089</v>
      </c>
      <c r="AB68" s="37">
        <v>-3824.4353483284203</v>
      </c>
      <c r="AC68" s="37">
        <v>-2243.9044064824157</v>
      </c>
      <c r="AD68" s="37">
        <v>-8108.6967210114062</v>
      </c>
      <c r="AE68" s="37">
        <v>-4978.0057558229328</v>
      </c>
      <c r="AF68" s="37">
        <v>-9176.1399779367512</v>
      </c>
      <c r="AG68" s="37">
        <v>-5061.0902949972651</v>
      </c>
      <c r="AH68" s="37">
        <v>-9880.5266110856119</v>
      </c>
      <c r="AI68" s="37">
        <v>-5476.0523395929995</v>
      </c>
      <c r="AJ68" s="37">
        <v>-8171.2244011990351</v>
      </c>
      <c r="AK68" s="37">
        <v>-4312.9222500533388</v>
      </c>
      <c r="AL68" s="37">
        <v>-9156.3366928181058</v>
      </c>
      <c r="AM68" s="37">
        <v>-4558.7322902994383</v>
      </c>
      <c r="AN68" s="37">
        <v>-798.96213877514219</v>
      </c>
      <c r="AO68" s="37">
        <v>-610.26870587935355</v>
      </c>
      <c r="AP68" s="37">
        <v>5827.184118628209</v>
      </c>
      <c r="AQ68" s="37">
        <v>6210.06471663298</v>
      </c>
      <c r="AR68" s="37">
        <v>5428.5335712874039</v>
      </c>
      <c r="AS68" s="37">
        <v>5281.7431243716328</v>
      </c>
      <c r="AT68" s="37">
        <v>12327.414462223971</v>
      </c>
      <c r="AU68" s="37">
        <v>10622.97284656635</v>
      </c>
      <c r="AV68" s="37">
        <v>10442.424216975111</v>
      </c>
      <c r="AW68" s="37">
        <v>10258.500190565035</v>
      </c>
      <c r="AX68" s="37">
        <v>4822.5991901778098</v>
      </c>
      <c r="AY68" s="37">
        <v>5134.8117665292093</v>
      </c>
      <c r="AZ68" s="37">
        <v>-3868.9113483284218</v>
      </c>
      <c r="BA68" s="37">
        <v>-2163.7074064824155</v>
      </c>
      <c r="BB68" s="37">
        <v>-7833.8257210114061</v>
      </c>
      <c r="BC68" s="37">
        <v>-5218.301755822934</v>
      </c>
      <c r="BD68" s="37">
        <v>-9003.7619779367542</v>
      </c>
      <c r="BE68" s="37">
        <v>-5196.9852949972656</v>
      </c>
      <c r="BF68" s="37">
        <v>-9686.9186110856099</v>
      </c>
      <c r="BG68" s="37">
        <v>-5633.2943395930015</v>
      </c>
      <c r="BH68" s="37">
        <v>-8317.5600168406363</v>
      </c>
      <c r="BI68" s="37">
        <v>-4546.01305787414</v>
      </c>
      <c r="BJ68" s="37">
        <v>-8985.1976928181066</v>
      </c>
      <c r="BK68" s="37">
        <v>-4695.0192902994386</v>
      </c>
      <c r="BL68" s="37">
        <v>-774.57413877514045</v>
      </c>
      <c r="BM68" s="37">
        <v>-600.21170587935285</v>
      </c>
      <c r="BN68" s="37">
        <v>6875.6441186282045</v>
      </c>
      <c r="BO68" s="37">
        <v>5196.8517166329784</v>
      </c>
      <c r="BP68" s="37">
        <v>5783.1885712874027</v>
      </c>
      <c r="BQ68" s="37">
        <v>4961.1301243716352</v>
      </c>
      <c r="BR68" s="37">
        <v>11525.533462223977</v>
      </c>
      <c r="BS68" s="37">
        <v>11459.925846566352</v>
      </c>
      <c r="BT68" s="37">
        <v>11485.821216975108</v>
      </c>
      <c r="BU68" s="37">
        <v>9249.9611905650345</v>
      </c>
      <c r="BV68" s="37">
        <v>5178.1881901778097</v>
      </c>
      <c r="BW68" s="37">
        <v>4812.8267665292087</v>
      </c>
      <c r="BY68" s="66"/>
      <c r="BZ68" s="66"/>
    </row>
    <row r="69" spans="2:78">
      <c r="B69">
        <v>10202</v>
      </c>
      <c r="C69" t="s">
        <v>73</v>
      </c>
      <c r="D69" s="37">
        <v>1538.2648161263314</v>
      </c>
      <c r="E69" s="37">
        <v>489.33724499443406</v>
      </c>
      <c r="F69" s="37">
        <v>425.23267315952035</v>
      </c>
      <c r="G69" s="37">
        <v>524.88399927305318</v>
      </c>
      <c r="H69" s="37">
        <v>516.29802991276301</v>
      </c>
      <c r="I69" s="37">
        <v>787.18794562261246</v>
      </c>
      <c r="J69" s="37">
        <v>705.0735676830991</v>
      </c>
      <c r="K69" s="37">
        <v>734.29212406305669</v>
      </c>
      <c r="L69" s="37">
        <v>891.2084858264534</v>
      </c>
      <c r="M69" s="37">
        <v>661.47190979593734</v>
      </c>
      <c r="N69" s="37">
        <v>-443.55967391324521</v>
      </c>
      <c r="O69" s="37">
        <v>225.50868282438842</v>
      </c>
      <c r="P69" s="37">
        <v>497.36726843844372</v>
      </c>
      <c r="Q69" s="37">
        <v>-121.1056900069716</v>
      </c>
      <c r="R69" s="37">
        <v>-1790.1175227357817</v>
      </c>
      <c r="S69" s="37">
        <v>-1429.5160887532911</v>
      </c>
      <c r="T69" s="37">
        <v>-2286.0968912030721</v>
      </c>
      <c r="U69" s="37">
        <v>-1418.5245952961855</v>
      </c>
      <c r="V69" s="37">
        <v>-1353.2737300543586</v>
      </c>
      <c r="W69" s="37">
        <v>-1045.1126919698495</v>
      </c>
      <c r="X69" s="37">
        <v>-533.31077729126173</v>
      </c>
      <c r="Y69" s="37">
        <v>49.67436091618174</v>
      </c>
      <c r="Z69" s="37">
        <v>1558.8785569154579</v>
      </c>
      <c r="AA69" s="37">
        <v>812.86006939810568</v>
      </c>
      <c r="AB69" s="37">
        <v>1541.7438161263308</v>
      </c>
      <c r="AC69" s="37">
        <v>485.93024499443436</v>
      </c>
      <c r="AD69" s="37">
        <v>432.0176731595202</v>
      </c>
      <c r="AE69" s="37">
        <v>524.99199927305335</v>
      </c>
      <c r="AF69" s="37">
        <v>527.57802991276276</v>
      </c>
      <c r="AG69" s="37">
        <v>789.79894562261325</v>
      </c>
      <c r="AH69" s="37">
        <v>419.49956768309767</v>
      </c>
      <c r="AI69" s="37">
        <v>1037.5161240630568</v>
      </c>
      <c r="AJ69" s="37">
        <v>900.52948582645331</v>
      </c>
      <c r="AK69" s="37">
        <v>663.08790979593641</v>
      </c>
      <c r="AL69" s="37">
        <v>-211.70867391324555</v>
      </c>
      <c r="AM69" s="37">
        <v>-4.5123171756117699</v>
      </c>
      <c r="AN69" s="37">
        <v>497.24226843844372</v>
      </c>
      <c r="AO69" s="37">
        <v>-126.23469000697196</v>
      </c>
      <c r="AP69" s="37">
        <v>-1793.9525227357817</v>
      </c>
      <c r="AQ69" s="37">
        <v>-1438.7730887532912</v>
      </c>
      <c r="AR69" s="37">
        <v>-2290.3578912030716</v>
      </c>
      <c r="AS69" s="37">
        <v>-1427.1155952961858</v>
      </c>
      <c r="AT69" s="37">
        <v>-1357.4877300543585</v>
      </c>
      <c r="AU69" s="37">
        <v>-1054.5686919698496</v>
      </c>
      <c r="AV69" s="37">
        <v>-531.1687772912619</v>
      </c>
      <c r="AW69" s="37">
        <v>44.641360916181839</v>
      </c>
      <c r="AX69" s="37">
        <v>1563.8175569154573</v>
      </c>
      <c r="AY69" s="37">
        <v>810.14706939810503</v>
      </c>
      <c r="AZ69" s="37">
        <v>1321.1538161263306</v>
      </c>
      <c r="BA69" s="37">
        <v>699.77524499443371</v>
      </c>
      <c r="BB69" s="37">
        <v>686.2136731595192</v>
      </c>
      <c r="BC69" s="37">
        <v>270.34899927305332</v>
      </c>
      <c r="BD69" s="37">
        <v>533.84902991276158</v>
      </c>
      <c r="BE69" s="37">
        <v>789.12694562261368</v>
      </c>
      <c r="BF69" s="37">
        <v>427.56556768309929</v>
      </c>
      <c r="BG69" s="37">
        <v>1038.4201240630582</v>
      </c>
      <c r="BH69" s="37">
        <v>979.67648813045253</v>
      </c>
      <c r="BI69" s="37">
        <v>663.02491094793731</v>
      </c>
      <c r="BJ69" s="37">
        <v>-211.94867391324624</v>
      </c>
      <c r="BK69" s="37">
        <v>-9.4463171756110569</v>
      </c>
      <c r="BL69" s="37">
        <v>298.51726843844335</v>
      </c>
      <c r="BM69" s="37">
        <v>61.198309993028033</v>
      </c>
      <c r="BN69" s="37">
        <v>-1640.9445227357819</v>
      </c>
      <c r="BO69" s="37">
        <v>-1610.2980887532913</v>
      </c>
      <c r="BP69" s="37">
        <v>-2297.9768912030722</v>
      </c>
      <c r="BQ69" s="37">
        <v>-1437.578595296186</v>
      </c>
      <c r="BR69" s="37">
        <v>-1522.5447300543592</v>
      </c>
      <c r="BS69" s="37">
        <v>-908.54369196984999</v>
      </c>
      <c r="BT69" s="37">
        <v>-326.70977729126207</v>
      </c>
      <c r="BU69" s="37">
        <v>-169.20663908381812</v>
      </c>
      <c r="BV69" s="37">
        <v>1564.5705569154579</v>
      </c>
      <c r="BW69" s="37">
        <v>804.79206939810547</v>
      </c>
      <c r="BY69" s="66"/>
      <c r="BZ69" s="66"/>
    </row>
    <row r="70" spans="2:78">
      <c r="B70">
        <v>10203</v>
      </c>
      <c r="C70" t="s">
        <v>74</v>
      </c>
      <c r="D70" s="37">
        <v>406.35043787104451</v>
      </c>
      <c r="E70" s="37">
        <v>45.649754101515327</v>
      </c>
      <c r="F70" s="37">
        <v>475.6662988166313</v>
      </c>
      <c r="G70" s="37">
        <v>586.74332777172913</v>
      </c>
      <c r="H70" s="37">
        <v>1350.4801949775051</v>
      </c>
      <c r="I70" s="37">
        <v>1224.5473384793722</v>
      </c>
      <c r="J70" s="37">
        <v>1178.6703750639199</v>
      </c>
      <c r="K70" s="37">
        <v>1109.236751242001</v>
      </c>
      <c r="L70" s="37">
        <v>687.87868377844143</v>
      </c>
      <c r="M70" s="37">
        <v>627.92297663822364</v>
      </c>
      <c r="N70" s="37">
        <v>349.61115198610742</v>
      </c>
      <c r="O70" s="37">
        <v>664.56590512824482</v>
      </c>
      <c r="P70" s="37">
        <v>73.219551515052444</v>
      </c>
      <c r="Q70" s="37">
        <v>-74.63690961474822</v>
      </c>
      <c r="R70" s="37">
        <v>-1283.2912431110371</v>
      </c>
      <c r="S70" s="37">
        <v>-875.63383487001761</v>
      </c>
      <c r="T70" s="37">
        <v>-1540.7200001983269</v>
      </c>
      <c r="U70" s="37">
        <v>-972.78523327865469</v>
      </c>
      <c r="V70" s="37">
        <v>-610.50835494753437</v>
      </c>
      <c r="W70" s="37">
        <v>-599.36611292039811</v>
      </c>
      <c r="X70" s="37">
        <v>-1003.599220852142</v>
      </c>
      <c r="Y70" s="37">
        <v>-579.0222767159612</v>
      </c>
      <c r="Z70" s="37">
        <v>-686.19210818743204</v>
      </c>
      <c r="AA70" s="37">
        <v>-559.06400323748812</v>
      </c>
      <c r="AB70" s="37">
        <v>456.00543787104471</v>
      </c>
      <c r="AC70" s="37">
        <v>66.247754101515056</v>
      </c>
      <c r="AD70" s="37">
        <v>516.15029881663122</v>
      </c>
      <c r="AE70" s="37">
        <v>612.13532777172895</v>
      </c>
      <c r="AF70" s="37">
        <v>1393.4561949775048</v>
      </c>
      <c r="AG70" s="37">
        <v>1247.7333384793719</v>
      </c>
      <c r="AH70" s="37">
        <v>1009.1673750639202</v>
      </c>
      <c r="AI70" s="37">
        <v>1342.861751242001</v>
      </c>
      <c r="AJ70" s="37">
        <v>724.44568377844143</v>
      </c>
      <c r="AK70" s="37">
        <v>647.42797663822375</v>
      </c>
      <c r="AL70" s="37">
        <v>547.46315198610773</v>
      </c>
      <c r="AM70" s="37">
        <v>526.88790512824448</v>
      </c>
      <c r="AN70" s="37">
        <v>38.890551515052266</v>
      </c>
      <c r="AO70" s="37">
        <v>-102.04490961474835</v>
      </c>
      <c r="AP70" s="37">
        <v>-1316.2052431110369</v>
      </c>
      <c r="AQ70" s="37">
        <v>-906.95983487001763</v>
      </c>
      <c r="AR70" s="37">
        <v>-1574.6500001983272</v>
      </c>
      <c r="AS70" s="37">
        <v>-1001.4512332786549</v>
      </c>
      <c r="AT70" s="37">
        <v>-644.0563549475346</v>
      </c>
      <c r="AU70" s="37">
        <v>-630.65711292039828</v>
      </c>
      <c r="AV70" s="37">
        <v>-1037.3412208521422</v>
      </c>
      <c r="AW70" s="37">
        <v>-610.27427671596115</v>
      </c>
      <c r="AX70" s="37">
        <v>-719.22310818743199</v>
      </c>
      <c r="AY70" s="37">
        <v>-589.0800032374882</v>
      </c>
      <c r="AZ70" s="37">
        <v>383.92343787104437</v>
      </c>
      <c r="BA70" s="37">
        <v>199.78475410151509</v>
      </c>
      <c r="BB70" s="37">
        <v>714.09629881663159</v>
      </c>
      <c r="BC70" s="37">
        <v>472.85132777172885</v>
      </c>
      <c r="BD70" s="37">
        <v>1432.3941949775058</v>
      </c>
      <c r="BE70" s="37">
        <v>1268.8183384793724</v>
      </c>
      <c r="BF70" s="37">
        <v>1045.0663750639205</v>
      </c>
      <c r="BG70" s="37">
        <v>1366.272751242001</v>
      </c>
      <c r="BH70" s="37">
        <v>766.01094445044146</v>
      </c>
      <c r="BI70" s="37">
        <v>642.91460697422394</v>
      </c>
      <c r="BJ70" s="37">
        <v>586.1281519861077</v>
      </c>
      <c r="BK70" s="37">
        <v>546.23090512824479</v>
      </c>
      <c r="BL70" s="37">
        <v>-95.162448484947618</v>
      </c>
      <c r="BM70" s="37">
        <v>-22.003909614748181</v>
      </c>
      <c r="BN70" s="37">
        <v>-1270.7432431110369</v>
      </c>
      <c r="BO70" s="37">
        <v>-1008.3928348700176</v>
      </c>
      <c r="BP70" s="37">
        <v>-1603.9230001983274</v>
      </c>
      <c r="BQ70" s="37">
        <v>-1026.4942332786547</v>
      </c>
      <c r="BR70" s="37">
        <v>-760.01235494753473</v>
      </c>
      <c r="BS70" s="37">
        <v>-571.13511292039811</v>
      </c>
      <c r="BT70" s="37">
        <v>-986.32722085214232</v>
      </c>
      <c r="BU70" s="37">
        <v>-718.03227671596119</v>
      </c>
      <c r="BV70" s="37">
        <v>-748.04510818743211</v>
      </c>
      <c r="BW70" s="37">
        <v>-615.47100323748816</v>
      </c>
      <c r="BY70" s="66"/>
      <c r="BZ70" s="66"/>
    </row>
    <row r="71" spans="2:78">
      <c r="B71">
        <v>10204</v>
      </c>
      <c r="C71" t="s">
        <v>75</v>
      </c>
      <c r="D71" s="37">
        <v>432.09671488309687</v>
      </c>
      <c r="E71" s="37">
        <v>2063.204076397582</v>
      </c>
      <c r="F71" s="37">
        <v>-2320.2567386307965</v>
      </c>
      <c r="G71" s="37">
        <v>2077.3206002645547</v>
      </c>
      <c r="H71" s="37">
        <v>-1333.6454171697442</v>
      </c>
      <c r="I71" s="37">
        <v>4045.8126508984551</v>
      </c>
      <c r="J71" s="37">
        <v>-1570.076684167474</v>
      </c>
      <c r="K71" s="37">
        <v>3436.9945501541915</v>
      </c>
      <c r="L71" s="37">
        <v>-450.9399387036392</v>
      </c>
      <c r="M71" s="37">
        <v>2987.1377055866178</v>
      </c>
      <c r="N71" s="37">
        <v>-4203.0029738628291</v>
      </c>
      <c r="O71" s="37">
        <v>1866.8877374713666</v>
      </c>
      <c r="P71" s="37">
        <v>-402.1923530614622</v>
      </c>
      <c r="Q71" s="37">
        <v>1334.1944221550111</v>
      </c>
      <c r="R71" s="37">
        <v>-4254.9230723389246</v>
      </c>
      <c r="S71" s="37">
        <v>393.63521524646785</v>
      </c>
      <c r="T71" s="37">
        <v>-6083.8232359294634</v>
      </c>
      <c r="U71" s="37">
        <v>-249.60334086909097</v>
      </c>
      <c r="V71" s="37">
        <v>-1902.4079004129453</v>
      </c>
      <c r="W71" s="37">
        <v>2388.1418222520788</v>
      </c>
      <c r="X71" s="37">
        <v>-3708.9023272979593</v>
      </c>
      <c r="Y71" s="37">
        <v>2726.67238202523</v>
      </c>
      <c r="Z71" s="37">
        <v>-1165.3033888087302</v>
      </c>
      <c r="AA71" s="37">
        <v>1865.4811678963579</v>
      </c>
      <c r="AB71" s="37">
        <v>680.42106125089958</v>
      </c>
      <c r="AC71" s="37">
        <v>2242.5494376632178</v>
      </c>
      <c r="AD71" s="37">
        <v>-2058.6242601445374</v>
      </c>
      <c r="AE71" s="37">
        <v>2306.9303535194213</v>
      </c>
      <c r="AF71" s="37">
        <v>-994.34338234285315</v>
      </c>
      <c r="AG71" s="37">
        <v>4313.3392552811983</v>
      </c>
      <c r="AH71" s="37">
        <v>-2064.5234330238236</v>
      </c>
      <c r="AI71" s="37">
        <v>4555.6078993404044</v>
      </c>
      <c r="AJ71" s="37">
        <v>-157.02021685517684</v>
      </c>
      <c r="AK71" s="37">
        <v>3207.5774969729628</v>
      </c>
      <c r="AL71" s="37">
        <v>-3285.3577369883678</v>
      </c>
      <c r="AM71" s="37">
        <v>1428.9260915911073</v>
      </c>
      <c r="AN71" s="37">
        <v>-161.77262552698267</v>
      </c>
      <c r="AO71" s="37">
        <v>1509.885761507132</v>
      </c>
      <c r="AP71" s="37">
        <v>-4009.457314542924</v>
      </c>
      <c r="AQ71" s="37">
        <v>604.73576695102747</v>
      </c>
      <c r="AR71" s="37">
        <v>-5836.7251826301617</v>
      </c>
      <c r="AS71" s="37">
        <v>-69.031686534985056</v>
      </c>
      <c r="AT71" s="37">
        <v>-1634.1977205021685</v>
      </c>
      <c r="AU71" s="37">
        <v>2599.6152333355421</v>
      </c>
      <c r="AV71" s="37">
        <v>-3447.1550432886288</v>
      </c>
      <c r="AW71" s="37">
        <v>2933.0500482633543</v>
      </c>
      <c r="AX71" s="37">
        <v>-950.18424157569098</v>
      </c>
      <c r="AY71" s="37">
        <v>2037.57648568279</v>
      </c>
      <c r="AZ71" s="37">
        <v>-83.508629804779048</v>
      </c>
      <c r="BA71" s="37">
        <v>2673.7985351888874</v>
      </c>
      <c r="BB71" s="37">
        <v>-1585.6290265140997</v>
      </c>
      <c r="BC71" s="37">
        <v>1451.8020056990626</v>
      </c>
      <c r="BD71" s="37">
        <v>-1258.2835219351255</v>
      </c>
      <c r="BE71" s="37">
        <v>4105.2326067565209</v>
      </c>
      <c r="BF71" s="37">
        <v>-2325.5631315216633</v>
      </c>
      <c r="BG71" s="37">
        <v>4331.113758632262</v>
      </c>
      <c r="BH71" s="37">
        <v>-937.26321322317017</v>
      </c>
      <c r="BI71" s="37">
        <v>2603.0544429320671</v>
      </c>
      <c r="BJ71" s="37">
        <v>-3502.3122923266856</v>
      </c>
      <c r="BK71" s="37">
        <v>1272.7389001322736</v>
      </c>
      <c r="BL71" s="37">
        <v>-922.63857234990428</v>
      </c>
      <c r="BM71" s="37">
        <v>1947.0624821927067</v>
      </c>
      <c r="BN71" s="37">
        <v>-3591.0778196659339</v>
      </c>
      <c r="BO71" s="37">
        <v>-168.80273993774608</v>
      </c>
      <c r="BP71" s="37">
        <v>-6028.940636669724</v>
      </c>
      <c r="BQ71" s="37">
        <v>-209.49682602543544</v>
      </c>
      <c r="BR71" s="37">
        <v>-2483.0132256943925</v>
      </c>
      <c r="BS71" s="37">
        <v>3075.2889917305729</v>
      </c>
      <c r="BT71" s="37">
        <v>-3026.0148534203436</v>
      </c>
      <c r="BU71" s="37">
        <v>2147.7594789905415</v>
      </c>
      <c r="BV71" s="37">
        <v>-1117.5235791620926</v>
      </c>
      <c r="BW71" s="37">
        <v>1903.7050156136702</v>
      </c>
      <c r="BY71" s="66"/>
      <c r="BZ71" s="66"/>
    </row>
    <row r="72" spans="2:78">
      <c r="B72">
        <v>10209</v>
      </c>
      <c r="C72" t="s">
        <v>76</v>
      </c>
      <c r="D72" s="37">
        <v>0</v>
      </c>
      <c r="E72" s="37">
        <v>0</v>
      </c>
      <c r="F72" s="37">
        <v>0</v>
      </c>
      <c r="G72" s="37">
        <v>0</v>
      </c>
      <c r="H72" s="37">
        <v>0</v>
      </c>
      <c r="I72" s="37">
        <v>0</v>
      </c>
      <c r="J72" s="37">
        <v>0</v>
      </c>
      <c r="K72" s="37">
        <v>0</v>
      </c>
      <c r="L72" s="37">
        <v>0</v>
      </c>
      <c r="M72" s="37">
        <v>0</v>
      </c>
      <c r="N72" s="37">
        <v>0</v>
      </c>
      <c r="O72" s="37">
        <v>0</v>
      </c>
      <c r="P72" s="37">
        <v>0</v>
      </c>
      <c r="Q72" s="37">
        <v>0</v>
      </c>
      <c r="R72" s="37">
        <v>0</v>
      </c>
      <c r="S72" s="37">
        <v>0</v>
      </c>
      <c r="T72" s="37">
        <v>0</v>
      </c>
      <c r="U72" s="37">
        <v>0</v>
      </c>
      <c r="V72" s="37">
        <v>0</v>
      </c>
      <c r="W72" s="37">
        <v>0</v>
      </c>
      <c r="X72" s="37">
        <v>0</v>
      </c>
      <c r="Y72" s="37">
        <v>0</v>
      </c>
      <c r="Z72" s="37">
        <v>0</v>
      </c>
      <c r="AA72" s="37">
        <v>0</v>
      </c>
      <c r="AB72" s="37">
        <v>0</v>
      </c>
      <c r="AC72" s="37">
        <v>0</v>
      </c>
      <c r="AD72" s="37">
        <v>0</v>
      </c>
      <c r="AE72" s="37">
        <v>0</v>
      </c>
      <c r="AF72" s="37">
        <v>0</v>
      </c>
      <c r="AG72" s="37">
        <v>0</v>
      </c>
      <c r="AH72" s="37">
        <v>0</v>
      </c>
      <c r="AI72" s="37">
        <v>0</v>
      </c>
      <c r="AJ72" s="37">
        <v>0</v>
      </c>
      <c r="AK72" s="37">
        <v>0</v>
      </c>
      <c r="AL72" s="37">
        <v>0</v>
      </c>
      <c r="AM72" s="37">
        <v>0</v>
      </c>
      <c r="AN72" s="37">
        <v>0</v>
      </c>
      <c r="AO72" s="37">
        <v>0</v>
      </c>
      <c r="AP72" s="37">
        <v>0</v>
      </c>
      <c r="AQ72" s="37">
        <v>0</v>
      </c>
      <c r="AR72" s="37">
        <v>0</v>
      </c>
      <c r="AS72" s="37">
        <v>0</v>
      </c>
      <c r="AT72" s="37">
        <v>0</v>
      </c>
      <c r="AU72" s="37">
        <v>0</v>
      </c>
      <c r="AV72" s="37">
        <v>0</v>
      </c>
      <c r="AW72" s="37">
        <v>0</v>
      </c>
      <c r="AX72" s="37">
        <v>0</v>
      </c>
      <c r="AY72" s="37">
        <v>0</v>
      </c>
      <c r="AZ72" s="37">
        <v>0</v>
      </c>
      <c r="BA72" s="37">
        <v>0</v>
      </c>
      <c r="BB72" s="37">
        <v>0</v>
      </c>
      <c r="BC72" s="37">
        <v>0</v>
      </c>
      <c r="BD72" s="37">
        <v>0</v>
      </c>
      <c r="BE72" s="37">
        <v>0</v>
      </c>
      <c r="BF72" s="37">
        <v>0</v>
      </c>
      <c r="BG72" s="37">
        <v>0</v>
      </c>
      <c r="BH72" s="37">
        <v>0</v>
      </c>
      <c r="BI72" s="37">
        <v>0</v>
      </c>
      <c r="BJ72" s="37">
        <v>0</v>
      </c>
      <c r="BK72" s="37">
        <v>0</v>
      </c>
      <c r="BL72" s="37">
        <v>0</v>
      </c>
      <c r="BM72" s="37">
        <v>0</v>
      </c>
      <c r="BN72" s="37">
        <v>0</v>
      </c>
      <c r="BO72" s="37">
        <v>0</v>
      </c>
      <c r="BP72" s="37">
        <v>0</v>
      </c>
      <c r="BQ72" s="37">
        <v>0</v>
      </c>
      <c r="BR72" s="37">
        <v>0</v>
      </c>
      <c r="BS72" s="37">
        <v>0</v>
      </c>
      <c r="BT72" s="37">
        <v>0</v>
      </c>
      <c r="BU72" s="37">
        <v>0</v>
      </c>
      <c r="BV72" s="37">
        <v>0</v>
      </c>
      <c r="BW72" s="37">
        <v>0</v>
      </c>
      <c r="BY72" s="66"/>
      <c r="BZ72" s="66"/>
    </row>
    <row r="73" spans="2:78">
      <c r="B73">
        <v>10230</v>
      </c>
      <c r="C73" t="s">
        <v>77</v>
      </c>
      <c r="D73" s="37">
        <v>289.29934923550445</v>
      </c>
      <c r="E73" s="37">
        <v>-54.313092145244809</v>
      </c>
      <c r="F73" s="37">
        <v>379.99109115566171</v>
      </c>
      <c r="G73" s="37">
        <v>6.6785186196793802</v>
      </c>
      <c r="H73" s="37">
        <v>1160.471772021192</v>
      </c>
      <c r="I73" s="37">
        <v>1594.4193288543102</v>
      </c>
      <c r="J73" s="37">
        <v>1164.9921009957116</v>
      </c>
      <c r="K73" s="37">
        <v>1138.6284801816228</v>
      </c>
      <c r="L73" s="37">
        <v>333.5169192103649</v>
      </c>
      <c r="M73" s="37">
        <v>560.26779287367708</v>
      </c>
      <c r="N73" s="37">
        <v>2.153372128479532</v>
      </c>
      <c r="O73" s="37">
        <v>398.07497473096237</v>
      </c>
      <c r="P73" s="37">
        <v>729.01296866258144</v>
      </c>
      <c r="Q73" s="37">
        <v>372.3394721885752</v>
      </c>
      <c r="R73" s="37">
        <v>-1036.7534222638214</v>
      </c>
      <c r="S73" s="37">
        <v>-1034.6238957441401</v>
      </c>
      <c r="T73" s="37">
        <v>-1874.71521191377</v>
      </c>
      <c r="U73" s="37">
        <v>-1146.8870178327118</v>
      </c>
      <c r="V73" s="37">
        <v>-529.13642282763522</v>
      </c>
      <c r="W73" s="37">
        <v>-488.01723433816414</v>
      </c>
      <c r="X73" s="37">
        <v>-601.349032559232</v>
      </c>
      <c r="Y73" s="37">
        <v>-588.7390532339673</v>
      </c>
      <c r="Z73" s="37">
        <v>-358.12256483191186</v>
      </c>
      <c r="AA73" s="37">
        <v>-418.19279857048082</v>
      </c>
      <c r="AB73" s="37">
        <v>301.65234923550361</v>
      </c>
      <c r="AC73" s="37">
        <v>-57.121092145245257</v>
      </c>
      <c r="AD73" s="37">
        <v>418.20509115566074</v>
      </c>
      <c r="AE73" s="37">
        <v>10.155518619678787</v>
      </c>
      <c r="AF73" s="37">
        <v>1187.524772021191</v>
      </c>
      <c r="AG73" s="37">
        <v>1604.9123288543096</v>
      </c>
      <c r="AH73" s="37">
        <v>1275.0971009957111</v>
      </c>
      <c r="AI73" s="37">
        <v>1063.3464801816226</v>
      </c>
      <c r="AJ73" s="37">
        <v>350.68791921036518</v>
      </c>
      <c r="AK73" s="37">
        <v>565.4737928736763</v>
      </c>
      <c r="AL73" s="37">
        <v>-58.591627871520359</v>
      </c>
      <c r="AM73" s="37">
        <v>476.03997473096251</v>
      </c>
      <c r="AN73" s="37">
        <v>754.39096866258205</v>
      </c>
      <c r="AO73" s="37">
        <v>379.93347218857525</v>
      </c>
      <c r="AP73" s="37">
        <v>-1044.5034222638214</v>
      </c>
      <c r="AQ73" s="37">
        <v>-1055.4978957441399</v>
      </c>
      <c r="AR73" s="37">
        <v>-1882.1682119137704</v>
      </c>
      <c r="AS73" s="37">
        <v>-1167.0290178327116</v>
      </c>
      <c r="AT73" s="37">
        <v>-549.65542282763454</v>
      </c>
      <c r="AU73" s="37">
        <v>-520.49223433816451</v>
      </c>
      <c r="AV73" s="37">
        <v>-601.55903255923204</v>
      </c>
      <c r="AW73" s="37">
        <v>-620.7430532339672</v>
      </c>
      <c r="AX73" s="37">
        <v>-376.17556483191174</v>
      </c>
      <c r="AY73" s="37">
        <v>-448.65179857048088</v>
      </c>
      <c r="AZ73" s="37">
        <v>402.53934923550423</v>
      </c>
      <c r="BA73" s="37">
        <v>-149.8680921452451</v>
      </c>
      <c r="BB73" s="37">
        <v>366.9280911556616</v>
      </c>
      <c r="BC73" s="37">
        <v>103.78951861967926</v>
      </c>
      <c r="BD73" s="37">
        <v>1217.7377720211907</v>
      </c>
      <c r="BE73" s="37">
        <v>1614.8833288543101</v>
      </c>
      <c r="BF73" s="37">
        <v>1301.4331009957114</v>
      </c>
      <c r="BG73" s="37">
        <v>1069.491480181623</v>
      </c>
      <c r="BH73" s="37">
        <v>338.30815729036567</v>
      </c>
      <c r="BI73" s="37">
        <v>591.13191191367696</v>
      </c>
      <c r="BJ73" s="37">
        <v>-41.363627871521203</v>
      </c>
      <c r="BK73" s="37">
        <v>478.72297473096251</v>
      </c>
      <c r="BL73" s="37">
        <v>859.45396866258216</v>
      </c>
      <c r="BM73" s="37">
        <v>306.59647218857481</v>
      </c>
      <c r="BN73" s="37">
        <v>-1140.7494222638215</v>
      </c>
      <c r="BO73" s="37">
        <v>-987.4998957441403</v>
      </c>
      <c r="BP73" s="37">
        <v>-1889.5312119137707</v>
      </c>
      <c r="BQ73" s="37">
        <v>-1186.885017832712</v>
      </c>
      <c r="BR73" s="37">
        <v>-478.568422827635</v>
      </c>
      <c r="BS73" s="37">
        <v>-644.1712343381646</v>
      </c>
      <c r="BT73" s="37">
        <v>-693.27903255923229</v>
      </c>
      <c r="BU73" s="37">
        <v>-560.82905323396653</v>
      </c>
      <c r="BV73" s="37">
        <v>-394.13156483191187</v>
      </c>
      <c r="BW73" s="37">
        <v>-478.80079857048099</v>
      </c>
      <c r="BY73" s="66"/>
      <c r="BZ73" s="66"/>
    </row>
    <row r="74" spans="2:78">
      <c r="B74">
        <v>10231</v>
      </c>
      <c r="C74" t="s">
        <v>78</v>
      </c>
      <c r="D74" s="37">
        <v>3465.1933877124429</v>
      </c>
      <c r="E74" s="37">
        <v>1107.5240736865289</v>
      </c>
      <c r="F74" s="37">
        <v>-1079.2174770613783</v>
      </c>
      <c r="G74" s="37">
        <v>116.44377454401183</v>
      </c>
      <c r="H74" s="37">
        <v>364.46924021996529</v>
      </c>
      <c r="I74" s="37">
        <v>1775.7116556928613</v>
      </c>
      <c r="J74" s="37">
        <v>807.37018780602011</v>
      </c>
      <c r="K74" s="37">
        <v>1958.3729316735134</v>
      </c>
      <c r="L74" s="37">
        <v>-1797.7715016211623</v>
      </c>
      <c r="M74" s="37">
        <v>-453.85848936765615</v>
      </c>
      <c r="N74" s="37">
        <v>-2930.8695822526097</v>
      </c>
      <c r="O74" s="37">
        <v>45.906906706573864</v>
      </c>
      <c r="P74" s="37">
        <v>996.95174534364378</v>
      </c>
      <c r="Q74" s="37">
        <v>-438.04152475777482</v>
      </c>
      <c r="R74" s="37">
        <v>-4415.931772211421</v>
      </c>
      <c r="S74" s="37">
        <v>-3324.0624421341417</v>
      </c>
      <c r="T74" s="37">
        <v>-4580.2203970745395</v>
      </c>
      <c r="U74" s="37">
        <v>-2848.1754593664409</v>
      </c>
      <c r="V74" s="37">
        <v>2199.8071731991913</v>
      </c>
      <c r="W74" s="37">
        <v>964.07535426031427</v>
      </c>
      <c r="X74" s="37">
        <v>847.98574364140586</v>
      </c>
      <c r="Y74" s="37">
        <v>2009.0458611501999</v>
      </c>
      <c r="Z74" s="37">
        <v>3407.9712661433205</v>
      </c>
      <c r="AA74" s="37">
        <v>1804.0421629242164</v>
      </c>
      <c r="AB74" s="37">
        <v>3521.7963877124421</v>
      </c>
      <c r="AC74" s="37">
        <v>1101.1800736865298</v>
      </c>
      <c r="AD74" s="37">
        <v>-1064.7634770613768</v>
      </c>
      <c r="AE74" s="37">
        <v>92.437774544012427</v>
      </c>
      <c r="AF74" s="37">
        <v>282.17024021996258</v>
      </c>
      <c r="AG74" s="37">
        <v>1684.129655692861</v>
      </c>
      <c r="AH74" s="37">
        <v>-163.10781219397904</v>
      </c>
      <c r="AI74" s="37">
        <v>2772.3069316735146</v>
      </c>
      <c r="AJ74" s="37">
        <v>-1798.2675016211615</v>
      </c>
      <c r="AK74" s="37">
        <v>-482.7634893676568</v>
      </c>
      <c r="AL74" s="37">
        <v>-2248.4795822526103</v>
      </c>
      <c r="AM74" s="37">
        <v>-641.85109329342413</v>
      </c>
      <c r="AN74" s="37">
        <v>1039.0147453436421</v>
      </c>
      <c r="AO74" s="37">
        <v>-450.51152475777417</v>
      </c>
      <c r="AP74" s="37">
        <v>-4356.1627722114208</v>
      </c>
      <c r="AQ74" s="37">
        <v>-3330.3814421341431</v>
      </c>
      <c r="AR74" s="37">
        <v>-4518.018397074542</v>
      </c>
      <c r="AS74" s="37">
        <v>-2859.5154593664411</v>
      </c>
      <c r="AT74" s="37">
        <v>2276.8021731991903</v>
      </c>
      <c r="AU74" s="37">
        <v>959.98135426031513</v>
      </c>
      <c r="AV74" s="37">
        <v>917.08274364140379</v>
      </c>
      <c r="AW74" s="37">
        <v>2007.595861150201</v>
      </c>
      <c r="AX74" s="37">
        <v>3466.0962661433205</v>
      </c>
      <c r="AY74" s="37">
        <v>1796.8491629242171</v>
      </c>
      <c r="AZ74" s="37">
        <v>2893.2243877124456</v>
      </c>
      <c r="BA74" s="37">
        <v>1761.5140736865287</v>
      </c>
      <c r="BB74" s="37">
        <v>-355.34847706137589</v>
      </c>
      <c r="BC74" s="37">
        <v>-642.72922545598703</v>
      </c>
      <c r="BD74" s="37">
        <v>193.41924021996238</v>
      </c>
      <c r="BE74" s="37">
        <v>1587.759655692862</v>
      </c>
      <c r="BF74" s="37">
        <v>-214.61281219398006</v>
      </c>
      <c r="BG74" s="37">
        <v>2701.2699316735143</v>
      </c>
      <c r="BH74" s="37">
        <v>-1770.5156883731579</v>
      </c>
      <c r="BI74" s="37">
        <v>-588.1995827436549</v>
      </c>
      <c r="BJ74" s="37">
        <v>-2222.3195822526104</v>
      </c>
      <c r="BK74" s="37">
        <v>-659.23809329342657</v>
      </c>
      <c r="BL74" s="37">
        <v>472.54874534364535</v>
      </c>
      <c r="BM74" s="37">
        <v>154.17647524222775</v>
      </c>
      <c r="BN74" s="37">
        <v>-3738.1387722114214</v>
      </c>
      <c r="BO74" s="37">
        <v>-3889.4644421341418</v>
      </c>
      <c r="BP74" s="37">
        <v>-4451.8693970745408</v>
      </c>
      <c r="BQ74" s="37">
        <v>-2869.1034593664426</v>
      </c>
      <c r="BR74" s="37">
        <v>1602.9261731991901</v>
      </c>
      <c r="BS74" s="37">
        <v>1714.5913542603139</v>
      </c>
      <c r="BT74" s="37">
        <v>1754.8487436414034</v>
      </c>
      <c r="BU74" s="37">
        <v>1243.6558611502005</v>
      </c>
      <c r="BV74" s="37">
        <v>3526.3152661433214</v>
      </c>
      <c r="BW74" s="37">
        <v>1790.5031629242158</v>
      </c>
      <c r="BY74" s="66"/>
      <c r="BZ74" s="66"/>
    </row>
    <row r="75" spans="2:78">
      <c r="B75">
        <v>10234</v>
      </c>
      <c r="C75" t="s">
        <v>79</v>
      </c>
      <c r="D75" s="37">
        <v>0</v>
      </c>
      <c r="E75" s="37">
        <v>0</v>
      </c>
      <c r="F75" s="37">
        <v>0</v>
      </c>
      <c r="G75" s="37">
        <v>0</v>
      </c>
      <c r="H75" s="37">
        <v>0</v>
      </c>
      <c r="I75" s="37">
        <v>0</v>
      </c>
      <c r="J75" s="37">
        <v>0</v>
      </c>
      <c r="K75" s="37">
        <v>0</v>
      </c>
      <c r="L75" s="37">
        <v>0</v>
      </c>
      <c r="M75" s="37">
        <v>0</v>
      </c>
      <c r="N75" s="37">
        <v>0</v>
      </c>
      <c r="O75" s="37">
        <v>0</v>
      </c>
      <c r="P75" s="37">
        <v>0</v>
      </c>
      <c r="Q75" s="37">
        <v>0</v>
      </c>
      <c r="R75" s="37">
        <v>0</v>
      </c>
      <c r="S75" s="37">
        <v>0</v>
      </c>
      <c r="T75" s="37">
        <v>0</v>
      </c>
      <c r="U75" s="37">
        <v>0</v>
      </c>
      <c r="V75" s="37">
        <v>0</v>
      </c>
      <c r="W75" s="37">
        <v>0</v>
      </c>
      <c r="X75" s="37">
        <v>0</v>
      </c>
      <c r="Y75" s="37">
        <v>0</v>
      </c>
      <c r="Z75" s="37">
        <v>0</v>
      </c>
      <c r="AA75" s="37">
        <v>0</v>
      </c>
      <c r="AB75" s="37">
        <v>0</v>
      </c>
      <c r="AC75" s="37">
        <v>0</v>
      </c>
      <c r="AD75" s="37">
        <v>0</v>
      </c>
      <c r="AE75" s="37">
        <v>0</v>
      </c>
      <c r="AF75" s="37">
        <v>0</v>
      </c>
      <c r="AG75" s="37">
        <v>0</v>
      </c>
      <c r="AH75" s="37">
        <v>0</v>
      </c>
      <c r="AI75" s="37">
        <v>0</v>
      </c>
      <c r="AJ75" s="37">
        <v>0</v>
      </c>
      <c r="AK75" s="37">
        <v>0</v>
      </c>
      <c r="AL75" s="37">
        <v>0</v>
      </c>
      <c r="AM75" s="37">
        <v>0</v>
      </c>
      <c r="AN75" s="37">
        <v>0</v>
      </c>
      <c r="AO75" s="37">
        <v>0</v>
      </c>
      <c r="AP75" s="37">
        <v>0</v>
      </c>
      <c r="AQ75" s="37">
        <v>0</v>
      </c>
      <c r="AR75" s="37">
        <v>0</v>
      </c>
      <c r="AS75" s="37">
        <v>0</v>
      </c>
      <c r="AT75" s="37">
        <v>0</v>
      </c>
      <c r="AU75" s="37">
        <v>0</v>
      </c>
      <c r="AV75" s="37">
        <v>0</v>
      </c>
      <c r="AW75" s="37">
        <v>0</v>
      </c>
      <c r="AX75" s="37">
        <v>0</v>
      </c>
      <c r="AY75" s="37">
        <v>0</v>
      </c>
      <c r="AZ75" s="37">
        <v>0</v>
      </c>
      <c r="BA75" s="37">
        <v>0</v>
      </c>
      <c r="BB75" s="37">
        <v>0</v>
      </c>
      <c r="BC75" s="37">
        <v>0</v>
      </c>
      <c r="BD75" s="37">
        <v>0</v>
      </c>
      <c r="BE75" s="37">
        <v>0</v>
      </c>
      <c r="BF75" s="37">
        <v>0</v>
      </c>
      <c r="BG75" s="37">
        <v>0</v>
      </c>
      <c r="BH75" s="37">
        <v>0</v>
      </c>
      <c r="BI75" s="37">
        <v>0</v>
      </c>
      <c r="BJ75" s="37">
        <v>0</v>
      </c>
      <c r="BK75" s="37">
        <v>0</v>
      </c>
      <c r="BL75" s="37">
        <v>0</v>
      </c>
      <c r="BM75" s="37">
        <v>0</v>
      </c>
      <c r="BN75" s="37">
        <v>0</v>
      </c>
      <c r="BO75" s="37">
        <v>0</v>
      </c>
      <c r="BP75" s="37">
        <v>0</v>
      </c>
      <c r="BQ75" s="37">
        <v>0</v>
      </c>
      <c r="BR75" s="37">
        <v>0</v>
      </c>
      <c r="BS75" s="37">
        <v>0</v>
      </c>
      <c r="BT75" s="37">
        <v>0</v>
      </c>
      <c r="BU75" s="37">
        <v>0</v>
      </c>
      <c r="BV75" s="37">
        <v>0</v>
      </c>
      <c r="BW75" s="37">
        <v>0</v>
      </c>
      <c r="BY75" s="66"/>
      <c r="BZ75" s="66"/>
    </row>
    <row r="76" spans="2:78">
      <c r="B76">
        <v>10235</v>
      </c>
      <c r="C76" t="s">
        <v>80</v>
      </c>
      <c r="D76" s="37">
        <v>2756.1957190317498</v>
      </c>
      <c r="E76" s="37">
        <v>1034.2687273508509</v>
      </c>
      <c r="F76" s="37">
        <v>738.40100981175419</v>
      </c>
      <c r="G76" s="37">
        <v>1140.8897711182544</v>
      </c>
      <c r="H76" s="37">
        <v>588.95421872414227</v>
      </c>
      <c r="I76" s="37">
        <v>1670.7368768350716</v>
      </c>
      <c r="J76" s="37">
        <v>568.96629994215255</v>
      </c>
      <c r="K76" s="37">
        <v>1317.6460626586377</v>
      </c>
      <c r="L76" s="37">
        <v>1617.8273500861615</v>
      </c>
      <c r="M76" s="37">
        <v>1519.3462580220039</v>
      </c>
      <c r="N76" s="37">
        <v>-806.92994895515949</v>
      </c>
      <c r="O76" s="37">
        <v>1014.3939625654621</v>
      </c>
      <c r="P76" s="37">
        <v>1703.4146466985876</v>
      </c>
      <c r="Q76" s="37">
        <v>569.5159393200729</v>
      </c>
      <c r="R76" s="37">
        <v>-3153.2963432346296</v>
      </c>
      <c r="S76" s="37">
        <v>-1843.8795594510866</v>
      </c>
      <c r="T76" s="37">
        <v>-4199.7576596707913</v>
      </c>
      <c r="U76" s="37">
        <v>-1959.3831701162117</v>
      </c>
      <c r="V76" s="37">
        <v>-1613.7493417178321</v>
      </c>
      <c r="W76" s="37">
        <v>-731.88184450009976</v>
      </c>
      <c r="X76" s="37">
        <v>-2570.2666350794516</v>
      </c>
      <c r="Y76" s="37">
        <v>-183.21898274716477</v>
      </c>
      <c r="Z76" s="37">
        <v>532.39417518100527</v>
      </c>
      <c r="AA76" s="37">
        <v>294.19093073311979</v>
      </c>
      <c r="AB76" s="37">
        <v>2739.9529925741936</v>
      </c>
      <c r="AC76" s="37">
        <v>1023.1765644608922</v>
      </c>
      <c r="AD76" s="37">
        <v>739.83485664886757</v>
      </c>
      <c r="AE76" s="37">
        <v>1143.1442717085101</v>
      </c>
      <c r="AF76" s="37">
        <v>590.07989139400161</v>
      </c>
      <c r="AG76" s="37">
        <v>1674.050831682538</v>
      </c>
      <c r="AH76" s="37">
        <v>-70.344743942318019</v>
      </c>
      <c r="AI76" s="37">
        <v>1960.6433189278996</v>
      </c>
      <c r="AJ76" s="37">
        <v>1621.0216386874054</v>
      </c>
      <c r="AK76" s="37">
        <v>1522.3616898753462</v>
      </c>
      <c r="AL76" s="37">
        <v>-281.49935747952804</v>
      </c>
      <c r="AM76" s="37">
        <v>489.30044787161023</v>
      </c>
      <c r="AN76" s="37">
        <v>1706.7887858829217</v>
      </c>
      <c r="AO76" s="37">
        <v>570.6327299654813</v>
      </c>
      <c r="AP76" s="37">
        <v>-3159.6568875927132</v>
      </c>
      <c r="AQ76" s="37">
        <v>-1847.6025489617605</v>
      </c>
      <c r="AR76" s="37">
        <v>-4208.2162118911619</v>
      </c>
      <c r="AS76" s="37">
        <v>-1963.3324301915209</v>
      </c>
      <c r="AT76" s="37">
        <v>-1617.02493722699</v>
      </c>
      <c r="AU76" s="37">
        <v>-733.37180669704594</v>
      </c>
      <c r="AV76" s="37">
        <v>-2575.4608486167999</v>
      </c>
      <c r="AW76" s="37">
        <v>-183.60984734302019</v>
      </c>
      <c r="AX76" s="37">
        <v>533.42359255254996</v>
      </c>
      <c r="AY76" s="37">
        <v>294.75887654899907</v>
      </c>
      <c r="AZ76" s="37">
        <v>2293.0199925741945</v>
      </c>
      <c r="BA76" s="37">
        <v>1513.4235644608925</v>
      </c>
      <c r="BB76" s="37">
        <v>1300.9228233269805</v>
      </c>
      <c r="BC76" s="37">
        <v>586.90285368039258</v>
      </c>
      <c r="BD76" s="37">
        <v>592.04494376921502</v>
      </c>
      <c r="BE76" s="37">
        <v>1677.8419038591328</v>
      </c>
      <c r="BF76" s="37">
        <v>-69.67043796901271</v>
      </c>
      <c r="BG76" s="37">
        <v>1965.0451738885731</v>
      </c>
      <c r="BH76" s="37">
        <v>1678.0157608687186</v>
      </c>
      <c r="BI76" s="37">
        <v>1458.9441713663336</v>
      </c>
      <c r="BJ76" s="37">
        <v>-281.32852394518704</v>
      </c>
      <c r="BK76" s="37">
        <v>490.67466607761344</v>
      </c>
      <c r="BL76" s="37">
        <v>1240.3541078769231</v>
      </c>
      <c r="BM76" s="37">
        <v>1042.4968045493679</v>
      </c>
      <c r="BN76" s="37">
        <v>-2750.7219076633974</v>
      </c>
      <c r="BO76" s="37">
        <v>-2265.4307712745112</v>
      </c>
      <c r="BP76" s="37">
        <v>-4215.8893559203589</v>
      </c>
      <c r="BQ76" s="37">
        <v>-1966.8610563115899</v>
      </c>
      <c r="BR76" s="37">
        <v>-2044.8107979568631</v>
      </c>
      <c r="BS76" s="37">
        <v>-309.26632791266638</v>
      </c>
      <c r="BT76" s="37">
        <v>-2151.3765688160674</v>
      </c>
      <c r="BU76" s="37">
        <v>-612.16492439013473</v>
      </c>
      <c r="BV76" s="37">
        <v>535.00241882243063</v>
      </c>
      <c r="BW76" s="37">
        <v>295.65698641567269</v>
      </c>
      <c r="BY76" s="66"/>
      <c r="BZ76" s="66"/>
    </row>
    <row r="77" spans="2:78">
      <c r="B77">
        <v>10236</v>
      </c>
      <c r="C77" t="s">
        <v>81</v>
      </c>
      <c r="D77" s="37">
        <v>0</v>
      </c>
      <c r="E77" s="37">
        <v>0</v>
      </c>
      <c r="F77" s="37">
        <v>0</v>
      </c>
      <c r="G77" s="37">
        <v>0</v>
      </c>
      <c r="H77" s="37">
        <v>0</v>
      </c>
      <c r="I77" s="37">
        <v>0</v>
      </c>
      <c r="J77" s="37">
        <v>0</v>
      </c>
      <c r="K77" s="37">
        <v>0</v>
      </c>
      <c r="L77" s="37">
        <v>0</v>
      </c>
      <c r="M77" s="37">
        <v>0</v>
      </c>
      <c r="N77" s="37">
        <v>0</v>
      </c>
      <c r="O77" s="37">
        <v>0</v>
      </c>
      <c r="P77" s="37">
        <v>0</v>
      </c>
      <c r="Q77" s="37">
        <v>0</v>
      </c>
      <c r="R77" s="37">
        <v>0</v>
      </c>
      <c r="S77" s="37">
        <v>0</v>
      </c>
      <c r="T77" s="37">
        <v>0</v>
      </c>
      <c r="U77" s="37">
        <v>0</v>
      </c>
      <c r="V77" s="37">
        <v>0</v>
      </c>
      <c r="W77" s="37">
        <v>0</v>
      </c>
      <c r="X77" s="37">
        <v>0</v>
      </c>
      <c r="Y77" s="37">
        <v>0</v>
      </c>
      <c r="Z77" s="37">
        <v>0</v>
      </c>
      <c r="AA77" s="37">
        <v>0</v>
      </c>
      <c r="AB77" s="37">
        <v>0</v>
      </c>
      <c r="AC77" s="37">
        <v>0</v>
      </c>
      <c r="AD77" s="37">
        <v>0</v>
      </c>
      <c r="AE77" s="37">
        <v>0</v>
      </c>
      <c r="AF77" s="37">
        <v>0</v>
      </c>
      <c r="AG77" s="37">
        <v>0</v>
      </c>
      <c r="AH77" s="37">
        <v>0</v>
      </c>
      <c r="AI77" s="37">
        <v>0</v>
      </c>
      <c r="AJ77" s="37">
        <v>0</v>
      </c>
      <c r="AK77" s="37">
        <v>0</v>
      </c>
      <c r="AL77" s="37">
        <v>0</v>
      </c>
      <c r="AM77" s="37">
        <v>0</v>
      </c>
      <c r="AN77" s="37">
        <v>0</v>
      </c>
      <c r="AO77" s="37">
        <v>0</v>
      </c>
      <c r="AP77" s="37">
        <v>0</v>
      </c>
      <c r="AQ77" s="37">
        <v>0</v>
      </c>
      <c r="AR77" s="37">
        <v>0</v>
      </c>
      <c r="AS77" s="37">
        <v>0</v>
      </c>
      <c r="AT77" s="37">
        <v>0</v>
      </c>
      <c r="AU77" s="37">
        <v>0</v>
      </c>
      <c r="AV77" s="37">
        <v>0</v>
      </c>
      <c r="AW77" s="37">
        <v>0</v>
      </c>
      <c r="AX77" s="37">
        <v>0</v>
      </c>
      <c r="AY77" s="37">
        <v>0</v>
      </c>
      <c r="AZ77" s="37">
        <v>0</v>
      </c>
      <c r="BA77" s="37">
        <v>0</v>
      </c>
      <c r="BB77" s="37">
        <v>0</v>
      </c>
      <c r="BC77" s="37">
        <v>0</v>
      </c>
      <c r="BD77" s="37">
        <v>0</v>
      </c>
      <c r="BE77" s="37">
        <v>0</v>
      </c>
      <c r="BF77" s="37">
        <v>0</v>
      </c>
      <c r="BG77" s="37">
        <v>0</v>
      </c>
      <c r="BH77" s="37">
        <v>0</v>
      </c>
      <c r="BI77" s="37">
        <v>0</v>
      </c>
      <c r="BJ77" s="37">
        <v>0</v>
      </c>
      <c r="BK77" s="37">
        <v>0</v>
      </c>
      <c r="BL77" s="37">
        <v>0</v>
      </c>
      <c r="BM77" s="37">
        <v>0</v>
      </c>
      <c r="BN77" s="37">
        <v>0</v>
      </c>
      <c r="BO77" s="37">
        <v>0</v>
      </c>
      <c r="BP77" s="37">
        <v>0</v>
      </c>
      <c r="BQ77" s="37">
        <v>0</v>
      </c>
      <c r="BR77" s="37">
        <v>0</v>
      </c>
      <c r="BS77" s="37">
        <v>0</v>
      </c>
      <c r="BT77" s="37">
        <v>0</v>
      </c>
      <c r="BU77" s="37">
        <v>0</v>
      </c>
      <c r="BV77" s="37">
        <v>0</v>
      </c>
      <c r="BW77" s="37">
        <v>0</v>
      </c>
      <c r="BY77" s="66"/>
      <c r="BZ77" s="66"/>
    </row>
    <row r="78" spans="2:78">
      <c r="B78">
        <v>10237</v>
      </c>
      <c r="C78" t="s">
        <v>82</v>
      </c>
      <c r="D78" s="37">
        <v>1828.7332672166594</v>
      </c>
      <c r="E78" s="37">
        <v>3291.3429897725728</v>
      </c>
      <c r="F78" s="37">
        <v>-532.98103053037266</v>
      </c>
      <c r="G78" s="37">
        <v>4161.3673214824812</v>
      </c>
      <c r="H78" s="37">
        <v>666.75050313131942</v>
      </c>
      <c r="I78" s="37">
        <v>6261.8606643272615</v>
      </c>
      <c r="J78" s="37">
        <v>-3412.0875118992444</v>
      </c>
      <c r="K78" s="37">
        <v>2570.5161546563904</v>
      </c>
      <c r="L78" s="37">
        <v>-571.58428748288497</v>
      </c>
      <c r="M78" s="37">
        <v>3313.3955345861796</v>
      </c>
      <c r="N78" s="37">
        <v>-3441.5858727855593</v>
      </c>
      <c r="O78" s="37">
        <v>3113.4106725795918</v>
      </c>
      <c r="P78" s="37">
        <v>2274.4869966427686</v>
      </c>
      <c r="Q78" s="37">
        <v>3494.2678313737179</v>
      </c>
      <c r="R78" s="37">
        <v>-5703.8612856441614</v>
      </c>
      <c r="S78" s="37">
        <v>-344.53494790775585</v>
      </c>
      <c r="T78" s="37">
        <v>-8289.9504300522349</v>
      </c>
      <c r="U78" s="37">
        <v>-1335.8854277118498</v>
      </c>
      <c r="V78" s="37">
        <v>-5785.8493012582567</v>
      </c>
      <c r="W78" s="37">
        <v>-186.53280462669318</v>
      </c>
      <c r="X78" s="37">
        <v>-7144.8587795693202</v>
      </c>
      <c r="Y78" s="37">
        <v>725.7516401426783</v>
      </c>
      <c r="Z78" s="37">
        <v>-912.84068168169324</v>
      </c>
      <c r="AA78" s="37">
        <v>2418.0697870354961</v>
      </c>
      <c r="AB78" s="37">
        <v>2298.466325242076</v>
      </c>
      <c r="AC78" s="37">
        <v>3630.5946427909294</v>
      </c>
      <c r="AD78" s="37">
        <v>-21.334666818947881</v>
      </c>
      <c r="AE78" s="37">
        <v>4610.3903021355072</v>
      </c>
      <c r="AF78" s="37">
        <v>1316.9828380831641</v>
      </c>
      <c r="AG78" s="37">
        <v>6774.5438515008318</v>
      </c>
      <c r="AH78" s="37">
        <v>-3733.7402348754476</v>
      </c>
      <c r="AI78" s="37">
        <v>3913.5120753253213</v>
      </c>
      <c r="AJ78" s="37">
        <v>-57.301149747934687</v>
      </c>
      <c r="AK78" s="37">
        <v>3699.1078878873923</v>
      </c>
      <c r="AL78" s="37">
        <v>-2149.9666970150938</v>
      </c>
      <c r="AM78" s="37">
        <v>2721.7869878452857</v>
      </c>
      <c r="AN78" s="37">
        <v>2765.2710546759627</v>
      </c>
      <c r="AO78" s="37">
        <v>3852.9177199364349</v>
      </c>
      <c r="AP78" s="37">
        <v>-5296.1068949971232</v>
      </c>
      <c r="AQ78" s="37">
        <v>6.1338280486979784</v>
      </c>
      <c r="AR78" s="37">
        <v>-7892.6490497396408</v>
      </c>
      <c r="AS78" s="37">
        <v>-1045.549803637261</v>
      </c>
      <c r="AT78" s="37">
        <v>-5407.0182887210976</v>
      </c>
      <c r="AU78" s="37">
        <v>112.16087833529855</v>
      </c>
      <c r="AV78" s="37">
        <v>-6760.3735728151714</v>
      </c>
      <c r="AW78" s="37">
        <v>1028.9034377757562</v>
      </c>
      <c r="AX78" s="37">
        <v>-525.20217430657431</v>
      </c>
      <c r="AY78" s="37">
        <v>2728.1805929355905</v>
      </c>
      <c r="AZ78" s="37">
        <v>1211.9868424630258</v>
      </c>
      <c r="BA78" s="37">
        <v>4038.5863456006464</v>
      </c>
      <c r="BB78" s="37">
        <v>398.15210744599244</v>
      </c>
      <c r="BC78" s="37">
        <v>3385.1992891569862</v>
      </c>
      <c r="BD78" s="37">
        <v>771.63916547341069</v>
      </c>
      <c r="BE78" s="37">
        <v>6344.561340404678</v>
      </c>
      <c r="BF78" s="37">
        <v>-4194.2729349890433</v>
      </c>
      <c r="BG78" s="37">
        <v>3517.4539532276249</v>
      </c>
      <c r="BH78" s="37">
        <v>-1109.6735947169836</v>
      </c>
      <c r="BI78" s="37">
        <v>2888.6134040533852</v>
      </c>
      <c r="BJ78" s="37">
        <v>-2588.8377966830303</v>
      </c>
      <c r="BK78" s="37">
        <v>2405.8404322973038</v>
      </c>
      <c r="BL78" s="37">
        <v>1602.2721973933149</v>
      </c>
      <c r="BM78" s="37">
        <v>4303.5044082512923</v>
      </c>
      <c r="BN78" s="37">
        <v>-4988.8502137305732</v>
      </c>
      <c r="BO78" s="37">
        <v>-937.20514693909172</v>
      </c>
      <c r="BP78" s="37">
        <v>-8225.8619372357098</v>
      </c>
      <c r="BQ78" s="37">
        <v>-1289.0515291151587</v>
      </c>
      <c r="BR78" s="37">
        <v>-6304.7247799415709</v>
      </c>
      <c r="BS78" s="37">
        <v>441.63385383146851</v>
      </c>
      <c r="BT78" s="37">
        <v>-6494.1966465953319</v>
      </c>
      <c r="BU78" s="37">
        <v>186.0118985819463</v>
      </c>
      <c r="BV78" s="37">
        <v>-850.31090220853548</v>
      </c>
      <c r="BW78" s="37">
        <v>2468.0936106140234</v>
      </c>
      <c r="BY78" s="66"/>
      <c r="BZ78" s="66"/>
    </row>
    <row r="79" spans="2:78">
      <c r="B79">
        <v>10239</v>
      </c>
      <c r="C79" t="s">
        <v>83</v>
      </c>
      <c r="D79" s="37">
        <v>0</v>
      </c>
      <c r="E79" s="37">
        <v>0</v>
      </c>
      <c r="F79" s="37">
        <v>0</v>
      </c>
      <c r="G79" s="37">
        <v>0</v>
      </c>
      <c r="H79" s="37">
        <v>0</v>
      </c>
      <c r="I79" s="37">
        <v>0</v>
      </c>
      <c r="J79" s="37">
        <v>0</v>
      </c>
      <c r="K79" s="37">
        <v>0</v>
      </c>
      <c r="L79" s="37">
        <v>0</v>
      </c>
      <c r="M79" s="37">
        <v>0</v>
      </c>
      <c r="N79" s="37">
        <v>0</v>
      </c>
      <c r="O79" s="37">
        <v>0</v>
      </c>
      <c r="P79" s="37">
        <v>0</v>
      </c>
      <c r="Q79" s="37">
        <v>0</v>
      </c>
      <c r="R79" s="37">
        <v>0</v>
      </c>
      <c r="S79" s="37">
        <v>0</v>
      </c>
      <c r="T79" s="37">
        <v>0</v>
      </c>
      <c r="U79" s="37">
        <v>0</v>
      </c>
      <c r="V79" s="37">
        <v>0</v>
      </c>
      <c r="W79" s="37">
        <v>0</v>
      </c>
      <c r="X79" s="37">
        <v>0</v>
      </c>
      <c r="Y79" s="37">
        <v>0</v>
      </c>
      <c r="Z79" s="37">
        <v>0</v>
      </c>
      <c r="AA79" s="37">
        <v>0</v>
      </c>
      <c r="AB79" s="37">
        <v>0</v>
      </c>
      <c r="AC79" s="37">
        <v>0</v>
      </c>
      <c r="AD79" s="37">
        <v>0</v>
      </c>
      <c r="AE79" s="37">
        <v>0</v>
      </c>
      <c r="AF79" s="37">
        <v>0</v>
      </c>
      <c r="AG79" s="37">
        <v>0</v>
      </c>
      <c r="AH79" s="37">
        <v>0</v>
      </c>
      <c r="AI79" s="37">
        <v>0</v>
      </c>
      <c r="AJ79" s="37">
        <v>0</v>
      </c>
      <c r="AK79" s="37">
        <v>0</v>
      </c>
      <c r="AL79" s="37">
        <v>0</v>
      </c>
      <c r="AM79" s="37">
        <v>0</v>
      </c>
      <c r="AN79" s="37">
        <v>0</v>
      </c>
      <c r="AO79" s="37">
        <v>0</v>
      </c>
      <c r="AP79" s="37">
        <v>0</v>
      </c>
      <c r="AQ79" s="37">
        <v>0</v>
      </c>
      <c r="AR79" s="37">
        <v>0</v>
      </c>
      <c r="AS79" s="37">
        <v>0</v>
      </c>
      <c r="AT79" s="37">
        <v>0</v>
      </c>
      <c r="AU79" s="37">
        <v>0</v>
      </c>
      <c r="AV79" s="37">
        <v>0</v>
      </c>
      <c r="AW79" s="37">
        <v>0</v>
      </c>
      <c r="AX79" s="37">
        <v>0</v>
      </c>
      <c r="AY79" s="37">
        <v>0</v>
      </c>
      <c r="AZ79" s="37">
        <v>0</v>
      </c>
      <c r="BA79" s="37">
        <v>0</v>
      </c>
      <c r="BB79" s="37">
        <v>0</v>
      </c>
      <c r="BC79" s="37">
        <v>0</v>
      </c>
      <c r="BD79" s="37">
        <v>0</v>
      </c>
      <c r="BE79" s="37">
        <v>0</v>
      </c>
      <c r="BF79" s="37">
        <v>0</v>
      </c>
      <c r="BG79" s="37">
        <v>0</v>
      </c>
      <c r="BH79" s="37">
        <v>0</v>
      </c>
      <c r="BI79" s="37">
        <v>0</v>
      </c>
      <c r="BJ79" s="37">
        <v>0</v>
      </c>
      <c r="BK79" s="37">
        <v>0</v>
      </c>
      <c r="BL79" s="37">
        <v>0</v>
      </c>
      <c r="BM79" s="37">
        <v>0</v>
      </c>
      <c r="BN79" s="37">
        <v>0</v>
      </c>
      <c r="BO79" s="37">
        <v>0</v>
      </c>
      <c r="BP79" s="37">
        <v>0</v>
      </c>
      <c r="BQ79" s="37">
        <v>0</v>
      </c>
      <c r="BR79" s="37">
        <v>0</v>
      </c>
      <c r="BS79" s="37">
        <v>0</v>
      </c>
      <c r="BT79" s="37">
        <v>0</v>
      </c>
      <c r="BU79" s="37">
        <v>0</v>
      </c>
      <c r="BV79" s="37">
        <v>0</v>
      </c>
      <c r="BW79" s="37">
        <v>0</v>
      </c>
      <c r="BY79" s="66"/>
      <c r="BZ79" s="66"/>
    </row>
    <row r="80" spans="2:78">
      <c r="B80">
        <v>10242</v>
      </c>
      <c r="C80" t="s">
        <v>84</v>
      </c>
      <c r="D80" s="37">
        <v>-847.51218671783909</v>
      </c>
      <c r="E80" s="37">
        <v>-304.06839473583386</v>
      </c>
      <c r="F80" s="37">
        <v>-1802.4524886401673</v>
      </c>
      <c r="G80" s="37">
        <v>-773.28934936839369</v>
      </c>
      <c r="H80" s="37">
        <v>-1924.8844546624723</v>
      </c>
      <c r="I80" s="37">
        <v>-312.77356366916729</v>
      </c>
      <c r="J80" s="37">
        <v>-2074.4573417108777</v>
      </c>
      <c r="K80" s="37">
        <v>-488.40998273751939</v>
      </c>
      <c r="L80" s="37">
        <v>-1451.2198233676581</v>
      </c>
      <c r="M80" s="37">
        <v>-255.59153888774699</v>
      </c>
      <c r="N80" s="37">
        <v>-2242.1829915625954</v>
      </c>
      <c r="O80" s="37">
        <v>-640.72627923683444</v>
      </c>
      <c r="P80" s="37">
        <v>-1286.6397715339194</v>
      </c>
      <c r="Q80" s="37">
        <v>-618.54017747080161</v>
      </c>
      <c r="R80" s="37">
        <v>426.43535151713968</v>
      </c>
      <c r="S80" s="37">
        <v>889.58362039722897</v>
      </c>
      <c r="T80" s="37">
        <v>2523.8666078870701</v>
      </c>
      <c r="U80" s="37">
        <v>2672.0564095946356</v>
      </c>
      <c r="V80" s="37">
        <v>4353.2730571930633</v>
      </c>
      <c r="W80" s="37">
        <v>4294.6656678367144</v>
      </c>
      <c r="X80" s="37">
        <v>3077.6518880314597</v>
      </c>
      <c r="Y80" s="37">
        <v>2639.7914965842674</v>
      </c>
      <c r="Z80" s="37">
        <v>987.37384301094016</v>
      </c>
      <c r="AA80" s="37">
        <v>1438.9006257533119</v>
      </c>
      <c r="AB80" s="37">
        <v>-1253.0411867178391</v>
      </c>
      <c r="AC80" s="37">
        <v>-598.29539473583372</v>
      </c>
      <c r="AD80" s="37">
        <v>-2162.0844886401669</v>
      </c>
      <c r="AE80" s="37">
        <v>-1090.816349368394</v>
      </c>
      <c r="AF80" s="37">
        <v>-2317.1694546624726</v>
      </c>
      <c r="AG80" s="37">
        <v>-621.93456366916735</v>
      </c>
      <c r="AH80" s="37">
        <v>-2451.1283417108775</v>
      </c>
      <c r="AI80" s="37">
        <v>-814.04498273751915</v>
      </c>
      <c r="AJ80" s="37">
        <v>-1811.437823367658</v>
      </c>
      <c r="AK80" s="37">
        <v>-525.15153888774717</v>
      </c>
      <c r="AL80" s="37">
        <v>-2651.5119915625951</v>
      </c>
      <c r="AM80" s="37">
        <v>-934.37427923683435</v>
      </c>
      <c r="AN80" s="37">
        <v>-1679.2837715339197</v>
      </c>
      <c r="AO80" s="37">
        <v>-906.27517747080174</v>
      </c>
      <c r="AP80" s="37">
        <v>48.375351517139279</v>
      </c>
      <c r="AQ80" s="37">
        <v>561.94662039722925</v>
      </c>
      <c r="AR80" s="37">
        <v>2130.129607887071</v>
      </c>
      <c r="AS80" s="37">
        <v>2383.7124095946365</v>
      </c>
      <c r="AT80" s="37">
        <v>3958.1590571930637</v>
      </c>
      <c r="AU80" s="37">
        <v>3983.0046678367139</v>
      </c>
      <c r="AV80" s="37">
        <v>2684.7318880314606</v>
      </c>
      <c r="AW80" s="37">
        <v>2325.7144965842672</v>
      </c>
      <c r="AX80" s="37">
        <v>608.10484301094039</v>
      </c>
      <c r="AY80" s="37">
        <v>1135.389625753312</v>
      </c>
      <c r="AZ80" s="37">
        <v>-1222.4451867178391</v>
      </c>
      <c r="BA80" s="37">
        <v>-606.49339473583359</v>
      </c>
      <c r="BB80" s="37">
        <v>-2165.8364886401669</v>
      </c>
      <c r="BC80" s="37">
        <v>-1064.0313493683939</v>
      </c>
      <c r="BD80" s="37">
        <v>-2304.9774546624726</v>
      </c>
      <c r="BE80" s="37">
        <v>-612.19856366916702</v>
      </c>
      <c r="BF80" s="37">
        <v>-2438.6463417108771</v>
      </c>
      <c r="BG80" s="37">
        <v>-804.82898273751971</v>
      </c>
      <c r="BH80" s="37">
        <v>-1968.1271397708588</v>
      </c>
      <c r="BI80" s="37">
        <v>-599.57119708934715</v>
      </c>
      <c r="BJ80" s="37">
        <v>-2639.6959915625948</v>
      </c>
      <c r="BK80" s="37">
        <v>-924.92427923683454</v>
      </c>
      <c r="BL80" s="37">
        <v>-1649.2847715339196</v>
      </c>
      <c r="BM80" s="37">
        <v>-914.36517747080165</v>
      </c>
      <c r="BN80" s="37">
        <v>43.888351517139199</v>
      </c>
      <c r="BO80" s="37">
        <v>587.20162039722936</v>
      </c>
      <c r="BP80" s="37">
        <v>2142.8536078870702</v>
      </c>
      <c r="BQ80" s="37">
        <v>2392.4294095946352</v>
      </c>
      <c r="BR80" s="37">
        <v>3986.3040571930642</v>
      </c>
      <c r="BS80" s="37">
        <v>3974.8276678367133</v>
      </c>
      <c r="BT80" s="37">
        <v>2680.9008880314605</v>
      </c>
      <c r="BU80" s="37">
        <v>2348.9534965842677</v>
      </c>
      <c r="BV80" s="37">
        <v>619.13784301093938</v>
      </c>
      <c r="BW80" s="37">
        <v>1144.1266257533116</v>
      </c>
      <c r="BY80" s="66"/>
      <c r="BZ80" s="66"/>
    </row>
    <row r="81" spans="2:78">
      <c r="B81">
        <v>10244</v>
      </c>
      <c r="C81" t="s">
        <v>85</v>
      </c>
      <c r="D81" s="37">
        <v>2323.7784820291599</v>
      </c>
      <c r="E81" s="37">
        <v>4476.1039177146558</v>
      </c>
      <c r="F81" s="37">
        <v>2497.9188364240545</v>
      </c>
      <c r="G81" s="37">
        <v>6601.8663586357434</v>
      </c>
      <c r="H81" s="37">
        <v>13821.853271387037</v>
      </c>
      <c r="I81" s="37">
        <v>20743.67570121483</v>
      </c>
      <c r="J81" s="37">
        <v>10393.120705179739</v>
      </c>
      <c r="K81" s="37">
        <v>18788.164436708637</v>
      </c>
      <c r="L81" s="37">
        <v>13063.911032697302</v>
      </c>
      <c r="M81" s="37">
        <v>15717.378309276992</v>
      </c>
      <c r="N81" s="37">
        <v>4008.2980333148007</v>
      </c>
      <c r="O81" s="37">
        <v>10273.377913399221</v>
      </c>
      <c r="P81" s="37">
        <v>5492.1617521163898</v>
      </c>
      <c r="Q81" s="37">
        <v>7667.9333559898223</v>
      </c>
      <c r="R81" s="37">
        <v>-19902.810558136156</v>
      </c>
      <c r="S81" s="37">
        <v>-11530.57036397831</v>
      </c>
      <c r="T81" s="37">
        <v>-23487.170290118229</v>
      </c>
      <c r="U81" s="37">
        <v>-11767.517614024822</v>
      </c>
      <c r="V81" s="37">
        <v>-16721.938462808212</v>
      </c>
      <c r="W81" s="37">
        <v>-8718.0528004543066</v>
      </c>
      <c r="X81" s="37">
        <v>-18588.652075403603</v>
      </c>
      <c r="Y81" s="37">
        <v>-9305.6328537208738</v>
      </c>
      <c r="Z81" s="37">
        <v>-10392.076326043814</v>
      </c>
      <c r="AA81" s="37">
        <v>-5453.1576391408016</v>
      </c>
      <c r="AB81" s="37">
        <v>2452.7044820291521</v>
      </c>
      <c r="AC81" s="37">
        <v>4550.7219177146508</v>
      </c>
      <c r="AD81" s="37">
        <v>2664.6628364240605</v>
      </c>
      <c r="AE81" s="37">
        <v>6675.2193586357462</v>
      </c>
      <c r="AF81" s="37">
        <v>13934.544271387043</v>
      </c>
      <c r="AG81" s="37">
        <v>20821.316701214826</v>
      </c>
      <c r="AH81" s="37">
        <v>10947.56670517975</v>
      </c>
      <c r="AI81" s="37">
        <v>18417.449436708634</v>
      </c>
      <c r="AJ81" s="37">
        <v>13251.420032697293</v>
      </c>
      <c r="AK81" s="37">
        <v>15842.134309276986</v>
      </c>
      <c r="AL81" s="37">
        <v>3681.6570333147974</v>
      </c>
      <c r="AM81" s="37">
        <v>10772.407913399227</v>
      </c>
      <c r="AN81" s="37">
        <v>6186.8267521163834</v>
      </c>
      <c r="AO81" s="37">
        <v>8182.2353559898256</v>
      </c>
      <c r="AP81" s="37">
        <v>-20153.913558136155</v>
      </c>
      <c r="AQ81" s="37">
        <v>-11792.244363978311</v>
      </c>
      <c r="AR81" s="37">
        <v>-23729.146290118228</v>
      </c>
      <c r="AS81" s="37">
        <v>-11999.864614024824</v>
      </c>
      <c r="AT81" s="37">
        <v>-16981.184462808214</v>
      </c>
      <c r="AU81" s="37">
        <v>-8979.4948004543057</v>
      </c>
      <c r="AV81" s="37">
        <v>-18823.160075403601</v>
      </c>
      <c r="AW81" s="37">
        <v>-9593.1208537208749</v>
      </c>
      <c r="AX81" s="37">
        <v>-10629.917326043815</v>
      </c>
      <c r="AY81" s="37">
        <v>-5693.5886391407985</v>
      </c>
      <c r="AZ81" s="37">
        <v>3205.8834820291559</v>
      </c>
      <c r="BA81" s="37">
        <v>4234.4079177146523</v>
      </c>
      <c r="BB81" s="37">
        <v>2466.3398364240566</v>
      </c>
      <c r="BC81" s="37">
        <v>7344.2193586357462</v>
      </c>
      <c r="BD81" s="37">
        <v>14184.020271387046</v>
      </c>
      <c r="BE81" s="37">
        <v>21007.158701214823</v>
      </c>
      <c r="BF81" s="37">
        <v>11208.896705179744</v>
      </c>
      <c r="BG81" s="37">
        <v>18589.969436708638</v>
      </c>
      <c r="BH81" s="37">
        <v>11546.905813292498</v>
      </c>
      <c r="BI81" s="37">
        <v>15017.008699574591</v>
      </c>
      <c r="BJ81" s="37">
        <v>3932.2290333148048</v>
      </c>
      <c r="BK81" s="37">
        <v>10954.597913399222</v>
      </c>
      <c r="BL81" s="37">
        <v>7513.4177521163911</v>
      </c>
      <c r="BM81" s="37">
        <v>8321.2813559898204</v>
      </c>
      <c r="BN81" s="37">
        <v>-20764.277558136157</v>
      </c>
      <c r="BO81" s="37">
        <v>-11424.273363978309</v>
      </c>
      <c r="BP81" s="37">
        <v>-23817.291290118228</v>
      </c>
      <c r="BQ81" s="37">
        <v>-12118.808614024822</v>
      </c>
      <c r="BR81" s="37">
        <v>-16578.64446280821</v>
      </c>
      <c r="BS81" s="37">
        <v>-9625.923800454304</v>
      </c>
      <c r="BT81" s="37">
        <v>-19404.4440754036</v>
      </c>
      <c r="BU81" s="37">
        <v>-9256.9368537208738</v>
      </c>
      <c r="BV81" s="37">
        <v>-10719.573326043817</v>
      </c>
      <c r="BW81" s="37">
        <v>-5814.5956391407999</v>
      </c>
      <c r="BY81" s="66"/>
      <c r="BZ81" s="66"/>
    </row>
    <row r="82" spans="2:78">
      <c r="B82">
        <v>10246</v>
      </c>
      <c r="C82" t="s">
        <v>86</v>
      </c>
      <c r="D82" s="37">
        <v>785.24126952132656</v>
      </c>
      <c r="E82" s="37">
        <v>486.28606480621897</v>
      </c>
      <c r="F82" s="37">
        <v>808.71717077982385</v>
      </c>
      <c r="G82" s="37">
        <v>1112.4026570295523</v>
      </c>
      <c r="H82" s="37">
        <v>1541.7932130766785</v>
      </c>
      <c r="I82" s="37">
        <v>1607.3131387288672</v>
      </c>
      <c r="J82" s="37">
        <v>691.80595410269416</v>
      </c>
      <c r="K82" s="37">
        <v>1040.0931186906491</v>
      </c>
      <c r="L82" s="37">
        <v>1368.5794101887495</v>
      </c>
      <c r="M82" s="37">
        <v>1293.9871928303046</v>
      </c>
      <c r="N82" s="37">
        <v>501.52923280447976</v>
      </c>
      <c r="O82" s="37">
        <v>1163.9459556087036</v>
      </c>
      <c r="P82" s="37">
        <v>910.02987894907574</v>
      </c>
      <c r="Q82" s="37">
        <v>653.20200308965786</v>
      </c>
      <c r="R82" s="37">
        <v>-1185.8898949844966</v>
      </c>
      <c r="S82" s="37">
        <v>-429.16607719424383</v>
      </c>
      <c r="T82" s="37">
        <v>-1804.4318712766244</v>
      </c>
      <c r="U82" s="37">
        <v>-722.41905345902364</v>
      </c>
      <c r="V82" s="37">
        <v>-952.65799190022199</v>
      </c>
      <c r="W82" s="37">
        <v>-298.08431827871891</v>
      </c>
      <c r="X82" s="37">
        <v>-1381.5791501608796</v>
      </c>
      <c r="Y82" s="37">
        <v>-266.7374473454754</v>
      </c>
      <c r="Z82" s="37">
        <v>-276.63336672298237</v>
      </c>
      <c r="AA82" s="37">
        <v>44.69912910563994</v>
      </c>
      <c r="AB82" s="37">
        <v>800.96226952132611</v>
      </c>
      <c r="AC82" s="37">
        <v>495.85506480621893</v>
      </c>
      <c r="AD82" s="37">
        <v>827.02217077982414</v>
      </c>
      <c r="AE82" s="37">
        <v>1126.557657029552</v>
      </c>
      <c r="AF82" s="37">
        <v>1568.4322130766786</v>
      </c>
      <c r="AG82" s="37">
        <v>1625.4081387288666</v>
      </c>
      <c r="AH82" s="37">
        <v>457.76795410269369</v>
      </c>
      <c r="AI82" s="37">
        <v>1315.6491186906487</v>
      </c>
      <c r="AJ82" s="37">
        <v>1386.0644101887492</v>
      </c>
      <c r="AK82" s="37">
        <v>1305.7311928303047</v>
      </c>
      <c r="AL82" s="37">
        <v>748.56323280447941</v>
      </c>
      <c r="AM82" s="37">
        <v>953.5919556087033</v>
      </c>
      <c r="AN82" s="37">
        <v>925.96887894907604</v>
      </c>
      <c r="AO82" s="37">
        <v>663.59200308965774</v>
      </c>
      <c r="AP82" s="37">
        <v>-1173.0908949844966</v>
      </c>
      <c r="AQ82" s="37">
        <v>-419.41907719424398</v>
      </c>
      <c r="AR82" s="37">
        <v>-1794.1018712766245</v>
      </c>
      <c r="AS82" s="37">
        <v>-715.99705345902362</v>
      </c>
      <c r="AT82" s="37">
        <v>-939.91799190022175</v>
      </c>
      <c r="AU82" s="37">
        <v>-289.65731827871923</v>
      </c>
      <c r="AV82" s="37">
        <v>-1369.8831501608797</v>
      </c>
      <c r="AW82" s="37">
        <v>-259.15244734547537</v>
      </c>
      <c r="AX82" s="37">
        <v>-266.86236672298219</v>
      </c>
      <c r="AY82" s="37">
        <v>51.340129105640017</v>
      </c>
      <c r="AZ82" s="37">
        <v>657.5542695213262</v>
      </c>
      <c r="BA82" s="37">
        <v>664.66906480621878</v>
      </c>
      <c r="BB82" s="37">
        <v>1072.5711707798241</v>
      </c>
      <c r="BC82" s="37">
        <v>913.66365702955227</v>
      </c>
      <c r="BD82" s="37">
        <v>1594.7482130766784</v>
      </c>
      <c r="BE82" s="37">
        <v>1643.2871387288665</v>
      </c>
      <c r="BF82" s="37">
        <v>481.65195410269371</v>
      </c>
      <c r="BG82" s="37">
        <v>1334.1201186906492</v>
      </c>
      <c r="BH82" s="37">
        <v>1453.8410595839496</v>
      </c>
      <c r="BI82" s="37">
        <v>1313.6845175279045</v>
      </c>
      <c r="BJ82" s="37">
        <v>770.4332328044793</v>
      </c>
      <c r="BK82" s="37">
        <v>967.77195560870359</v>
      </c>
      <c r="BL82" s="37">
        <v>753.22387894907524</v>
      </c>
      <c r="BM82" s="37">
        <v>862.850003089658</v>
      </c>
      <c r="BN82" s="37">
        <v>-1016.1768949844968</v>
      </c>
      <c r="BO82" s="37">
        <v>-553.66007719424397</v>
      </c>
      <c r="BP82" s="37">
        <v>-1783.3078712766242</v>
      </c>
      <c r="BQ82" s="37">
        <v>-709.28605345902361</v>
      </c>
      <c r="BR82" s="37">
        <v>-1055.5859919002219</v>
      </c>
      <c r="BS82" s="37">
        <v>-153.39531827871906</v>
      </c>
      <c r="BT82" s="37">
        <v>-1236.8051501608797</v>
      </c>
      <c r="BU82" s="37">
        <v>-372.84944734547526</v>
      </c>
      <c r="BV82" s="37">
        <v>-257.00236672298206</v>
      </c>
      <c r="BW82" s="37">
        <v>58.042129105640015</v>
      </c>
      <c r="BY82" s="66"/>
      <c r="BZ82" s="66"/>
    </row>
    <row r="83" spans="2:78">
      <c r="B83">
        <v>10247</v>
      </c>
      <c r="C83" t="s">
        <v>87</v>
      </c>
      <c r="D83" s="37">
        <v>4655.3716117127078</v>
      </c>
      <c r="E83" s="37">
        <v>4539.124339450118</v>
      </c>
      <c r="F83" s="37">
        <v>3580.3666693736232</v>
      </c>
      <c r="G83" s="37">
        <v>2183.2080086239985</v>
      </c>
      <c r="H83" s="37">
        <v>5120.6069782134873</v>
      </c>
      <c r="I83" s="37">
        <v>7470.2846803799293</v>
      </c>
      <c r="J83" s="37">
        <v>4955.8004406402251</v>
      </c>
      <c r="K83" s="37">
        <v>6333.0183823021107</v>
      </c>
      <c r="L83" s="37">
        <v>5210.2872641861104</v>
      </c>
      <c r="M83" s="37">
        <v>6484.8089595491729</v>
      </c>
      <c r="N83" s="37">
        <v>-514.60903101557051</v>
      </c>
      <c r="O83" s="37">
        <v>4410.041773681558</v>
      </c>
      <c r="P83" s="37">
        <v>5143.6626726860086</v>
      </c>
      <c r="Q83" s="37">
        <v>4306.6552541571327</v>
      </c>
      <c r="R83" s="37">
        <v>-8904.6991122925174</v>
      </c>
      <c r="S83" s="37">
        <v>-6992.5043017545649</v>
      </c>
      <c r="T83" s="37">
        <v>-14821.64549606658</v>
      </c>
      <c r="U83" s="37">
        <v>-5676.4632934339097</v>
      </c>
      <c r="V83" s="37">
        <v>-8462.359481527601</v>
      </c>
      <c r="W83" s="37">
        <v>-3871.8653201519082</v>
      </c>
      <c r="X83" s="37">
        <v>-10837.463361569218</v>
      </c>
      <c r="Y83" s="37">
        <v>-2338.9508556117362</v>
      </c>
      <c r="Z83" s="37">
        <v>-1373.1234763332577</v>
      </c>
      <c r="AA83" s="37">
        <v>-600.2987756620314</v>
      </c>
      <c r="AB83" s="37">
        <v>4669.4716117127064</v>
      </c>
      <c r="AC83" s="37">
        <v>4522.9543394501197</v>
      </c>
      <c r="AD83" s="37">
        <v>3639.7066693736269</v>
      </c>
      <c r="AE83" s="37">
        <v>2144.4630086239958</v>
      </c>
      <c r="AF83" s="37">
        <v>5180.4669782134806</v>
      </c>
      <c r="AG83" s="37">
        <v>7459.6846803799344</v>
      </c>
      <c r="AH83" s="37">
        <v>5090.7084406402282</v>
      </c>
      <c r="AI83" s="37">
        <v>6251.0403823021152</v>
      </c>
      <c r="AJ83" s="37">
        <v>5250.0472641861197</v>
      </c>
      <c r="AK83" s="37">
        <v>6478.4989595491752</v>
      </c>
      <c r="AL83" s="37">
        <v>-545.59703101556806</v>
      </c>
      <c r="AM83" s="37">
        <v>4456.3947736815571</v>
      </c>
      <c r="AN83" s="37">
        <v>5159.9326726860054</v>
      </c>
      <c r="AO83" s="37">
        <v>4289.5652541571326</v>
      </c>
      <c r="AP83" s="37">
        <v>-8868.8891122925161</v>
      </c>
      <c r="AQ83" s="37">
        <v>-7057.4243017545632</v>
      </c>
      <c r="AR83" s="37">
        <v>-14816.785496066579</v>
      </c>
      <c r="AS83" s="37">
        <v>-5714.4632934339097</v>
      </c>
      <c r="AT83" s="37">
        <v>-8446.1194815276031</v>
      </c>
      <c r="AU83" s="37">
        <v>-3924.9653201519068</v>
      </c>
      <c r="AV83" s="37">
        <v>-10821.343361569216</v>
      </c>
      <c r="AW83" s="37">
        <v>-2392.1108556117324</v>
      </c>
      <c r="AX83" s="37">
        <v>-1356.5334763332576</v>
      </c>
      <c r="AY83" s="37">
        <v>-655.01877566203257</v>
      </c>
      <c r="AZ83" s="37">
        <v>4773.8656117127066</v>
      </c>
      <c r="BA83" s="37">
        <v>4423.7743394501158</v>
      </c>
      <c r="BB83" s="37">
        <v>3628.2286693736169</v>
      </c>
      <c r="BC83" s="37">
        <v>2197.157008623999</v>
      </c>
      <c r="BD83" s="37">
        <v>5264.8829782134853</v>
      </c>
      <c r="BE83" s="37">
        <v>7461.542680379931</v>
      </c>
      <c r="BF83" s="37">
        <v>5194.9084406402253</v>
      </c>
      <c r="BG83" s="37">
        <v>6239.534382302114</v>
      </c>
      <c r="BH83" s="37">
        <v>5095.6632421957111</v>
      </c>
      <c r="BI83" s="37">
        <v>6559.5379485539743</v>
      </c>
      <c r="BJ83" s="37">
        <v>-508.34503101556766</v>
      </c>
      <c r="BK83" s="37">
        <v>4454.5607736815582</v>
      </c>
      <c r="BL83" s="37">
        <v>5272.4006726860061</v>
      </c>
      <c r="BM83" s="37">
        <v>4188.1972541571304</v>
      </c>
      <c r="BN83" s="37">
        <v>-8928.371112292516</v>
      </c>
      <c r="BO83" s="37">
        <v>-7029.558301754565</v>
      </c>
      <c r="BP83" s="37">
        <v>-14812.779496066578</v>
      </c>
      <c r="BQ83" s="37">
        <v>-5756.0592934339074</v>
      </c>
      <c r="BR83" s="37">
        <v>-8339.4914815276024</v>
      </c>
      <c r="BS83" s="37">
        <v>-4073.7593201519085</v>
      </c>
      <c r="BT83" s="37">
        <v>-10892.979361569218</v>
      </c>
      <c r="BU83" s="37">
        <v>-2362.2508556117355</v>
      </c>
      <c r="BV83" s="37">
        <v>-1340.1134763332557</v>
      </c>
      <c r="BW83" s="37">
        <v>-714.69877566203286</v>
      </c>
      <c r="BY83" s="66"/>
      <c r="BZ83" s="66"/>
    </row>
    <row r="84" spans="2:78">
      <c r="B84">
        <v>10256</v>
      </c>
      <c r="C84" t="s">
        <v>88</v>
      </c>
      <c r="D84" s="37">
        <v>15.322012283762888</v>
      </c>
      <c r="E84" s="37">
        <v>903.03306029341547</v>
      </c>
      <c r="F84" s="37">
        <v>-913.37798265699166</v>
      </c>
      <c r="G84" s="37">
        <v>453.00015736253226</v>
      </c>
      <c r="H84" s="37">
        <v>2671.5437323853803</v>
      </c>
      <c r="I84" s="37">
        <v>6127.5620710241656</v>
      </c>
      <c r="J84" s="37">
        <v>197.50812748600947</v>
      </c>
      <c r="K84" s="37">
        <v>4679.9705677909296</v>
      </c>
      <c r="L84" s="37">
        <v>714.70675478778139</v>
      </c>
      <c r="M84" s="37">
        <v>2739.2203375550762</v>
      </c>
      <c r="N84" s="37">
        <v>-530.08205009222365</v>
      </c>
      <c r="O84" s="37">
        <v>2741.0005326764167</v>
      </c>
      <c r="P84" s="37">
        <v>3267.1599897768974</v>
      </c>
      <c r="Q84" s="37">
        <v>2768.253716164545</v>
      </c>
      <c r="R84" s="37">
        <v>-3378.0748006473004</v>
      </c>
      <c r="S84" s="37">
        <v>-2397.2620157132405</v>
      </c>
      <c r="T84" s="37">
        <v>-7355.0796369869349</v>
      </c>
      <c r="U84" s="37">
        <v>-3177.3629130243626</v>
      </c>
      <c r="V84" s="37">
        <v>-2460.067109593343</v>
      </c>
      <c r="W84" s="37">
        <v>412.96117300193328</v>
      </c>
      <c r="X84" s="37">
        <v>-3760.0884768750038</v>
      </c>
      <c r="Y84" s="37">
        <v>-512.71140534127335</v>
      </c>
      <c r="Z84" s="37">
        <v>-2327.1875190360297</v>
      </c>
      <c r="AA84" s="37">
        <v>-880.26325746209841</v>
      </c>
      <c r="AB84" s="37">
        <v>148.17801228376265</v>
      </c>
      <c r="AC84" s="37">
        <v>984.43706029341411</v>
      </c>
      <c r="AD84" s="37">
        <v>-729.91798265699254</v>
      </c>
      <c r="AE84" s="37">
        <v>507.74515736253306</v>
      </c>
      <c r="AF84" s="37">
        <v>2800.5397323853795</v>
      </c>
      <c r="AG84" s="37">
        <v>6208.0700710241636</v>
      </c>
      <c r="AH84" s="37">
        <v>640.34012748600799</v>
      </c>
      <c r="AI84" s="37">
        <v>4444.295567790934</v>
      </c>
      <c r="AJ84" s="37">
        <v>896.57575478778017</v>
      </c>
      <c r="AK84" s="37">
        <v>2844.5223375550722</v>
      </c>
      <c r="AL84" s="37">
        <v>-701.22305009223055</v>
      </c>
      <c r="AM84" s="37">
        <v>3115.7525326764171</v>
      </c>
      <c r="AN84" s="37">
        <v>3410.014989776897</v>
      </c>
      <c r="AO84" s="37">
        <v>2852.9997161645406</v>
      </c>
      <c r="AP84" s="37">
        <v>-3512.9058006473024</v>
      </c>
      <c r="AQ84" s="37">
        <v>-2587.9640157132399</v>
      </c>
      <c r="AR84" s="37">
        <v>-7504.5506369869363</v>
      </c>
      <c r="AS84" s="37">
        <v>-3327.1269130243636</v>
      </c>
      <c r="AT84" s="37">
        <v>-2628.7351095933445</v>
      </c>
      <c r="AU84" s="37">
        <v>253.78417300193178</v>
      </c>
      <c r="AV84" s="37">
        <v>-3913.8774768750045</v>
      </c>
      <c r="AW84" s="37">
        <v>-687.90440534127447</v>
      </c>
      <c r="AX84" s="37">
        <v>-2468.9285190360315</v>
      </c>
      <c r="AY84" s="37">
        <v>-1041.1862574620991</v>
      </c>
      <c r="AZ84" s="37">
        <v>607.1330122837644</v>
      </c>
      <c r="BA84" s="37">
        <v>708.16706029341549</v>
      </c>
      <c r="BB84" s="37">
        <v>-909.2629826569937</v>
      </c>
      <c r="BC84" s="37">
        <v>893.92815736253215</v>
      </c>
      <c r="BD84" s="37">
        <v>2911.483732385379</v>
      </c>
      <c r="BE84" s="37">
        <v>6275.3120710241656</v>
      </c>
      <c r="BF84" s="37">
        <v>774.37812748600481</v>
      </c>
      <c r="BG84" s="37">
        <v>4488.2755677909336</v>
      </c>
      <c r="BH84" s="37">
        <v>1060.4996520549794</v>
      </c>
      <c r="BI84" s="37">
        <v>3153.7872861886772</v>
      </c>
      <c r="BJ84" s="37">
        <v>-593.82905009223032</v>
      </c>
      <c r="BK84" s="37">
        <v>3187.2335326764169</v>
      </c>
      <c r="BL84" s="37">
        <v>3882.8379897768973</v>
      </c>
      <c r="BM84" s="37">
        <v>2585.0817161645427</v>
      </c>
      <c r="BN84" s="37">
        <v>-3995.7948006473016</v>
      </c>
      <c r="BO84" s="37">
        <v>-2437.4790157132411</v>
      </c>
      <c r="BP84" s="37">
        <v>-7657.4436369869363</v>
      </c>
      <c r="BQ84" s="37">
        <v>-3478.4779130243642</v>
      </c>
      <c r="BR84" s="37">
        <v>-2455.265109593347</v>
      </c>
      <c r="BS84" s="37">
        <v>-250.12282699806565</v>
      </c>
      <c r="BT84" s="37">
        <v>-4413.7474768750071</v>
      </c>
      <c r="BU84" s="37">
        <v>-517.48640534127298</v>
      </c>
      <c r="BV84" s="37">
        <v>-2610.0955190360328</v>
      </c>
      <c r="BW84" s="37">
        <v>-1201.5052574621004</v>
      </c>
      <c r="BY84" s="66"/>
      <c r="BZ84" s="66"/>
    </row>
    <row r="85" spans="2:78">
      <c r="B85">
        <v>10258</v>
      </c>
      <c r="C85" t="s">
        <v>89</v>
      </c>
      <c r="D85" s="37">
        <v>-845.3144323894885</v>
      </c>
      <c r="E85" s="37">
        <v>-576.24973859950296</v>
      </c>
      <c r="F85" s="37">
        <v>1587.8388684260462</v>
      </c>
      <c r="G85" s="37">
        <v>1731.0843103599709</v>
      </c>
      <c r="H85" s="37">
        <v>3378.3058098227848</v>
      </c>
      <c r="I85" s="37">
        <v>5729.2472995401022</v>
      </c>
      <c r="J85" s="37">
        <v>409.71506793878143</v>
      </c>
      <c r="K85" s="37">
        <v>3644.2931290310626</v>
      </c>
      <c r="L85" s="37">
        <v>7427.9952209402218</v>
      </c>
      <c r="M85" s="37">
        <v>7434.509816348831</v>
      </c>
      <c r="N85" s="37">
        <v>1048.0519340311839</v>
      </c>
      <c r="O85" s="37">
        <v>3272.6173033373689</v>
      </c>
      <c r="P85" s="37">
        <v>77.224474498652853</v>
      </c>
      <c r="Q85" s="37">
        <v>552.21767153403562</v>
      </c>
      <c r="R85" s="37">
        <v>-7052.6164951799292</v>
      </c>
      <c r="S85" s="37">
        <v>-5132.5334282333606</v>
      </c>
      <c r="T85" s="37">
        <v>-9687.882891996378</v>
      </c>
      <c r="U85" s="37">
        <v>-5364.1125284108039</v>
      </c>
      <c r="V85" s="37">
        <v>153.57285015550224</v>
      </c>
      <c r="W85" s="37">
        <v>654.90985634856042</v>
      </c>
      <c r="X85" s="37">
        <v>-1885.5866606998316</v>
      </c>
      <c r="Y85" s="37">
        <v>-584.38374594765992</v>
      </c>
      <c r="Z85" s="37">
        <v>-3855.6828758342708</v>
      </c>
      <c r="AA85" s="37">
        <v>-2122.0929435518465</v>
      </c>
      <c r="AB85" s="37">
        <v>-1169.6084323894902</v>
      </c>
      <c r="AC85" s="37">
        <v>-829.76073859950338</v>
      </c>
      <c r="AD85" s="37">
        <v>1422.5668684260454</v>
      </c>
      <c r="AE85" s="37">
        <v>1535.8893103599676</v>
      </c>
      <c r="AF85" s="37">
        <v>3287.699809822785</v>
      </c>
      <c r="AG85" s="37">
        <v>5629.4862995401036</v>
      </c>
      <c r="AH85" s="37">
        <v>598.08406793878021</v>
      </c>
      <c r="AI85" s="37">
        <v>3327.7841290310644</v>
      </c>
      <c r="AJ85" s="37">
        <v>7452.5162209402224</v>
      </c>
      <c r="AK85" s="37">
        <v>7430.5348163488325</v>
      </c>
      <c r="AL85" s="37">
        <v>797.60293403118703</v>
      </c>
      <c r="AM85" s="37">
        <v>3481.4173033373681</v>
      </c>
      <c r="AN85" s="37">
        <v>59.100474498653057</v>
      </c>
      <c r="AO85" s="37">
        <v>519.97867153403422</v>
      </c>
      <c r="AP85" s="37">
        <v>-7009.4824951799292</v>
      </c>
      <c r="AQ85" s="37">
        <v>-5186.3584282333604</v>
      </c>
      <c r="AR85" s="37">
        <v>-9581.0648919963787</v>
      </c>
      <c r="AS85" s="37">
        <v>-5378.8655284108045</v>
      </c>
      <c r="AT85" s="37">
        <v>420.03885015550259</v>
      </c>
      <c r="AU85" s="37">
        <v>776.87085634855976</v>
      </c>
      <c r="AV85" s="37">
        <v>-1523.3196606998281</v>
      </c>
      <c r="AW85" s="37">
        <v>-480.59074594766207</v>
      </c>
      <c r="AX85" s="37">
        <v>-3585.0038758342689</v>
      </c>
      <c r="AY85" s="37">
        <v>-2001.233943551847</v>
      </c>
      <c r="AZ85" s="37">
        <v>-608.7924323894913</v>
      </c>
      <c r="BA85" s="37">
        <v>-1040.6487385995024</v>
      </c>
      <c r="BB85" s="37">
        <v>1474.6878684260482</v>
      </c>
      <c r="BC85" s="37">
        <v>1978.0013103599686</v>
      </c>
      <c r="BD85" s="37">
        <v>3561.3338098227869</v>
      </c>
      <c r="BE85" s="37">
        <v>5788.7142995401027</v>
      </c>
      <c r="BF85" s="37">
        <v>813.75206793878533</v>
      </c>
      <c r="BG85" s="37">
        <v>3460.3861290310651</v>
      </c>
      <c r="BH85" s="37">
        <v>7536.5252659322214</v>
      </c>
      <c r="BI85" s="37">
        <v>7655.2663388448309</v>
      </c>
      <c r="BJ85" s="37">
        <v>840.40393403118287</v>
      </c>
      <c r="BK85" s="37">
        <v>3496.7603033373671</v>
      </c>
      <c r="BL85" s="37">
        <v>340.17647449865399</v>
      </c>
      <c r="BM85" s="37">
        <v>126.04467153403493</v>
      </c>
      <c r="BN85" s="37">
        <v>-7446.6684951799289</v>
      </c>
      <c r="BO85" s="37">
        <v>-5004.669428233361</v>
      </c>
      <c r="BP85" s="37">
        <v>-9745.4208919963785</v>
      </c>
      <c r="BQ85" s="37">
        <v>-5550.6245284108045</v>
      </c>
      <c r="BR85" s="37">
        <v>625.87285015550515</v>
      </c>
      <c r="BS85" s="37">
        <v>289.5918563485593</v>
      </c>
      <c r="BT85" s="37">
        <v>-2051.6376606998274</v>
      </c>
      <c r="BU85" s="37">
        <v>-360.71474594766187</v>
      </c>
      <c r="BV85" s="37">
        <v>-3907.2288758342693</v>
      </c>
      <c r="BW85" s="37">
        <v>-2279.1319435518462</v>
      </c>
      <c r="BY85" s="66"/>
      <c r="BZ85" s="66"/>
    </row>
    <row r="86" spans="2:78">
      <c r="B86">
        <v>10259</v>
      </c>
      <c r="C86" t="s">
        <v>90</v>
      </c>
      <c r="D86" s="37">
        <v>2118.6278675457488</v>
      </c>
      <c r="E86" s="37">
        <v>858.2951863282542</v>
      </c>
      <c r="F86" s="37">
        <v>-35.142965036984606</v>
      </c>
      <c r="G86" s="37">
        <v>1182.2426282918941</v>
      </c>
      <c r="H86" s="37">
        <v>2223.382874091727</v>
      </c>
      <c r="I86" s="37">
        <v>3007.4969802559772</v>
      </c>
      <c r="J86" s="37">
        <v>1469.4650896547373</v>
      </c>
      <c r="K86" s="37">
        <v>2398.1814776636402</v>
      </c>
      <c r="L86" s="37">
        <v>768.49301572719196</v>
      </c>
      <c r="M86" s="37">
        <v>1564.3337790858013</v>
      </c>
      <c r="N86" s="37">
        <v>-604.28979555521437</v>
      </c>
      <c r="O86" s="37">
        <v>1759.564273978468</v>
      </c>
      <c r="P86" s="37">
        <v>1714.0311204877289</v>
      </c>
      <c r="Q86" s="37">
        <v>938.3733242840708</v>
      </c>
      <c r="R86" s="37">
        <v>-4479.4148356955466</v>
      </c>
      <c r="S86" s="37">
        <v>-2447.5728903484551</v>
      </c>
      <c r="T86" s="37">
        <v>-4309.5533489842019</v>
      </c>
      <c r="U86" s="37">
        <v>-2239.795120638526</v>
      </c>
      <c r="V86" s="37">
        <v>-840.98709955883169</v>
      </c>
      <c r="W86" s="37">
        <v>-656.20123102800972</v>
      </c>
      <c r="X86" s="37">
        <v>-2395.0560905609236</v>
      </c>
      <c r="Y86" s="37">
        <v>-206.1928365906515</v>
      </c>
      <c r="Z86" s="37">
        <v>-1169.6623469914939</v>
      </c>
      <c r="AA86" s="37">
        <v>-613.41431952117273</v>
      </c>
      <c r="AB86" s="37">
        <v>2234.6518675457464</v>
      </c>
      <c r="AC86" s="37">
        <v>891.06918632825364</v>
      </c>
      <c r="AD86" s="37">
        <v>60.075034963016151</v>
      </c>
      <c r="AE86" s="37">
        <v>1227.1366282918943</v>
      </c>
      <c r="AF86" s="37">
        <v>2326.8948740917258</v>
      </c>
      <c r="AG86" s="37">
        <v>3048.1229802559774</v>
      </c>
      <c r="AH86" s="37">
        <v>824.67708965473685</v>
      </c>
      <c r="AI86" s="37">
        <v>3185.577477663639</v>
      </c>
      <c r="AJ86" s="37">
        <v>857.47101572719112</v>
      </c>
      <c r="AK86" s="37">
        <v>1602.9197790858007</v>
      </c>
      <c r="AL86" s="37">
        <v>89.622204444782255</v>
      </c>
      <c r="AM86" s="37">
        <v>1206.1182739784699</v>
      </c>
      <c r="AN86" s="37">
        <v>1812.6831204877271</v>
      </c>
      <c r="AO86" s="37">
        <v>972.74032428407099</v>
      </c>
      <c r="AP86" s="37">
        <v>-4573.6648356955466</v>
      </c>
      <c r="AQ86" s="37">
        <v>-2550.4578903484553</v>
      </c>
      <c r="AR86" s="37">
        <v>-4403.9013489842037</v>
      </c>
      <c r="AS86" s="37">
        <v>-2336.2891206385266</v>
      </c>
      <c r="AT86" s="37">
        <v>-932.31509955883303</v>
      </c>
      <c r="AU86" s="37">
        <v>-762.34223102800843</v>
      </c>
      <c r="AV86" s="37">
        <v>-2489.0640905609253</v>
      </c>
      <c r="AW86" s="37">
        <v>-310.37383659065017</v>
      </c>
      <c r="AX86" s="37">
        <v>-1263.0223469914927</v>
      </c>
      <c r="AY86" s="37">
        <v>-713.33731952117341</v>
      </c>
      <c r="AZ86" s="37">
        <v>1837.2318675457482</v>
      </c>
      <c r="BA86" s="37">
        <v>1441.4071863282525</v>
      </c>
      <c r="BB86" s="37">
        <v>755.90503496301608</v>
      </c>
      <c r="BC86" s="37">
        <v>675.54662829189238</v>
      </c>
      <c r="BD86" s="37">
        <v>2432.2248740917275</v>
      </c>
      <c r="BE86" s="37">
        <v>3091.2429802559764</v>
      </c>
      <c r="BF86" s="37">
        <v>921.76708965473699</v>
      </c>
      <c r="BG86" s="37">
        <v>3235.5074776636411</v>
      </c>
      <c r="BH86" s="37">
        <v>942.39957956719081</v>
      </c>
      <c r="BI86" s="37">
        <v>1552.7240610057988</v>
      </c>
      <c r="BJ86" s="37">
        <v>191.81220444478458</v>
      </c>
      <c r="BK86" s="37">
        <v>1248.9282739784694</v>
      </c>
      <c r="BL86" s="37">
        <v>1375.2531204877287</v>
      </c>
      <c r="BM86" s="37">
        <v>1547.6803242840706</v>
      </c>
      <c r="BN86" s="37">
        <v>-4272.5248356955472</v>
      </c>
      <c r="BO86" s="37">
        <v>-3035.4238903484547</v>
      </c>
      <c r="BP86" s="37">
        <v>-4491.2113489842031</v>
      </c>
      <c r="BQ86" s="37">
        <v>-2426.9311206385264</v>
      </c>
      <c r="BR86" s="37">
        <v>-1490.1250995588325</v>
      </c>
      <c r="BS86" s="37">
        <v>-388.65123102800953</v>
      </c>
      <c r="BT86" s="37">
        <v>-2114.554090560925</v>
      </c>
      <c r="BU86" s="37">
        <v>-869.69683659065049</v>
      </c>
      <c r="BV86" s="37">
        <v>-1349.5323469914929</v>
      </c>
      <c r="BW86" s="37">
        <v>-807.12831952117358</v>
      </c>
      <c r="BY86" s="66"/>
      <c r="BZ86" s="66"/>
    </row>
    <row r="87" spans="2:78">
      <c r="B87">
        <v>10260</v>
      </c>
      <c r="C87" t="s">
        <v>91</v>
      </c>
      <c r="D87" s="37">
        <v>1921.9637023659743</v>
      </c>
      <c r="E87" s="37">
        <v>888.49985352795738</v>
      </c>
      <c r="F87" s="37">
        <v>200.3189161772043</v>
      </c>
      <c r="G87" s="37">
        <v>408.21695288554838</v>
      </c>
      <c r="H87" s="37">
        <v>478.93451809369435</v>
      </c>
      <c r="I87" s="37">
        <v>2120.6106168392471</v>
      </c>
      <c r="J87" s="37">
        <v>-52.812555816062741</v>
      </c>
      <c r="K87" s="37">
        <v>1331.1721292585389</v>
      </c>
      <c r="L87" s="37">
        <v>676.49322498493348</v>
      </c>
      <c r="M87" s="37">
        <v>1238.2532097059966</v>
      </c>
      <c r="N87" s="37">
        <v>-515.48135546627782</v>
      </c>
      <c r="O87" s="37">
        <v>836.13292585763975</v>
      </c>
      <c r="P87" s="37">
        <v>1467.4542026775543</v>
      </c>
      <c r="Q87" s="37">
        <v>746.22701580036392</v>
      </c>
      <c r="R87" s="37">
        <v>-2113.186551290195</v>
      </c>
      <c r="S87" s="37">
        <v>-1533.0207437777863</v>
      </c>
      <c r="T87" s="37">
        <v>-2577.3220902587709</v>
      </c>
      <c r="U87" s="37">
        <v>-988.26949581723511</v>
      </c>
      <c r="V87" s="37">
        <v>302.36198357575449</v>
      </c>
      <c r="W87" s="37">
        <v>419.93927521819296</v>
      </c>
      <c r="X87" s="37">
        <v>-186.11614154335257</v>
      </c>
      <c r="Y87" s="37">
        <v>483.009893810432</v>
      </c>
      <c r="Z87" s="37">
        <v>1023.1947621340732</v>
      </c>
      <c r="AA87" s="37">
        <v>963.2149676470126</v>
      </c>
      <c r="AB87" s="37">
        <v>1981.6437023659728</v>
      </c>
      <c r="AC87" s="37">
        <v>923.18085352795697</v>
      </c>
      <c r="AD87" s="37">
        <v>254.73691617720397</v>
      </c>
      <c r="AE87" s="37">
        <v>445.11695288554802</v>
      </c>
      <c r="AF87" s="37">
        <v>534.94651809369316</v>
      </c>
      <c r="AG87" s="37">
        <v>2158.9606168392456</v>
      </c>
      <c r="AH87" s="37">
        <v>3.4124441839358042</v>
      </c>
      <c r="AI87" s="37">
        <v>1369.3051292585387</v>
      </c>
      <c r="AJ87" s="37">
        <v>728.50622498493249</v>
      </c>
      <c r="AK87" s="37">
        <v>1271.4702097059971</v>
      </c>
      <c r="AL87" s="37">
        <v>-457.37335546627764</v>
      </c>
      <c r="AM87" s="37">
        <v>872.38792585763986</v>
      </c>
      <c r="AN87" s="37">
        <v>1524.2012026775537</v>
      </c>
      <c r="AO87" s="37">
        <v>780.79601580036433</v>
      </c>
      <c r="AP87" s="37">
        <v>-2055.5235512901963</v>
      </c>
      <c r="AQ87" s="37">
        <v>-1496.3227437777859</v>
      </c>
      <c r="AR87" s="37">
        <v>-2519.1250902587708</v>
      </c>
      <c r="AS87" s="37">
        <v>-955.14749581723481</v>
      </c>
      <c r="AT87" s="37">
        <v>361.40498357575416</v>
      </c>
      <c r="AU87" s="37">
        <v>455.25927521819267</v>
      </c>
      <c r="AV87" s="37">
        <v>-125.24314154335298</v>
      </c>
      <c r="AW87" s="37">
        <v>516.49489381043168</v>
      </c>
      <c r="AX87" s="37">
        <v>1078.8837621340735</v>
      </c>
      <c r="AY87" s="37">
        <v>998.8409676470128</v>
      </c>
      <c r="AZ87" s="37">
        <v>1582.0607023659741</v>
      </c>
      <c r="BA87" s="37">
        <v>595.75085352795668</v>
      </c>
      <c r="BB87" s="37">
        <v>-132.44608382279694</v>
      </c>
      <c r="BC87" s="37">
        <v>127.63295288554764</v>
      </c>
      <c r="BD87" s="37">
        <v>131.69151809369396</v>
      </c>
      <c r="BE87" s="37">
        <v>1835.199616839247</v>
      </c>
      <c r="BF87" s="37">
        <v>-381.95655581606297</v>
      </c>
      <c r="BG87" s="37">
        <v>1027.6601292585401</v>
      </c>
      <c r="BH87" s="37">
        <v>263.09869447613346</v>
      </c>
      <c r="BI87" s="37">
        <v>988.1239444515968</v>
      </c>
      <c r="BJ87" s="37">
        <v>-876.19635546627796</v>
      </c>
      <c r="BK87" s="37">
        <v>565.29992585763921</v>
      </c>
      <c r="BL87" s="37">
        <v>1139.3522026775536</v>
      </c>
      <c r="BM87" s="37">
        <v>462.08301580036459</v>
      </c>
      <c r="BN87" s="37">
        <v>-2457.1255512901953</v>
      </c>
      <c r="BO87" s="37">
        <v>-1821.7377437777859</v>
      </c>
      <c r="BP87" s="37">
        <v>-2920.1920902587699</v>
      </c>
      <c r="BQ87" s="37">
        <v>-1257.6434958172349</v>
      </c>
      <c r="BR87" s="37">
        <v>-21.154016424246947</v>
      </c>
      <c r="BS87" s="37">
        <v>110.80227521819324</v>
      </c>
      <c r="BT87" s="37">
        <v>-541.29514154335266</v>
      </c>
      <c r="BU87" s="37">
        <v>205.53289381043123</v>
      </c>
      <c r="BV87" s="37">
        <v>692.9747621340739</v>
      </c>
      <c r="BW87" s="37">
        <v>681.18896764701276</v>
      </c>
      <c r="BY87" s="66"/>
      <c r="BZ87" s="66"/>
    </row>
    <row r="88" spans="2:78">
      <c r="B88">
        <v>10273</v>
      </c>
      <c r="C88" t="s">
        <v>92</v>
      </c>
      <c r="D88" s="37">
        <v>153.92344631252445</v>
      </c>
      <c r="E88" s="37">
        <v>74.169263267873475</v>
      </c>
      <c r="F88" s="37">
        <v>-987.06553854899039</v>
      </c>
      <c r="G88" s="37">
        <v>-480.07654754712325</v>
      </c>
      <c r="H88" s="37">
        <v>-969.88357426474931</v>
      </c>
      <c r="I88" s="37">
        <v>-136.61808917538337</v>
      </c>
      <c r="J88" s="37">
        <v>-1022.771408358155</v>
      </c>
      <c r="K88" s="37">
        <v>-246.5735562760583</v>
      </c>
      <c r="L88" s="37">
        <v>-888.7471957865032</v>
      </c>
      <c r="M88" s="37">
        <v>-242.16624395562872</v>
      </c>
      <c r="N88" s="37">
        <v>-1438.3839642179273</v>
      </c>
      <c r="O88" s="37">
        <v>-436.41486340534721</v>
      </c>
      <c r="P88" s="37">
        <v>-416.18748821328336</v>
      </c>
      <c r="Q88" s="37">
        <v>-216.26018407220749</v>
      </c>
      <c r="R88" s="37">
        <v>-286.75803557267682</v>
      </c>
      <c r="S88" s="37">
        <v>-264.62454335819621</v>
      </c>
      <c r="T88" s="37">
        <v>76.165924726953563</v>
      </c>
      <c r="U88" s="37">
        <v>481.17674620268417</v>
      </c>
      <c r="V88" s="37">
        <v>1548.2953181839043</v>
      </c>
      <c r="W88" s="37">
        <v>1365.5985176908177</v>
      </c>
      <c r="X88" s="37">
        <v>1551.4487135961522</v>
      </c>
      <c r="Y88" s="37">
        <v>1211.5337972381346</v>
      </c>
      <c r="Z88" s="37">
        <v>726.80398292156588</v>
      </c>
      <c r="AA88" s="37">
        <v>843.74254869898687</v>
      </c>
      <c r="AB88" s="37">
        <v>154.80744631252401</v>
      </c>
      <c r="AC88" s="37">
        <v>73.49726326787345</v>
      </c>
      <c r="AD88" s="37">
        <v>-986.43053854899017</v>
      </c>
      <c r="AE88" s="37">
        <v>-480.52554754712332</v>
      </c>
      <c r="AF88" s="37">
        <v>-969.51357426474942</v>
      </c>
      <c r="AG88" s="37">
        <v>-136.76408917538356</v>
      </c>
      <c r="AH88" s="37">
        <v>-985.25840835815507</v>
      </c>
      <c r="AI88" s="37">
        <v>-283.86355627605826</v>
      </c>
      <c r="AJ88" s="37">
        <v>-888.48519578650348</v>
      </c>
      <c r="AK88" s="37">
        <v>-242.22524395562891</v>
      </c>
      <c r="AL88" s="37">
        <v>-1475.1139642179276</v>
      </c>
      <c r="AM88" s="37">
        <v>-399.42786340534735</v>
      </c>
      <c r="AN88" s="37">
        <v>-415.63348821328373</v>
      </c>
      <c r="AO88" s="37">
        <v>-216.61418407220754</v>
      </c>
      <c r="AP88" s="37">
        <v>-285.29903557267698</v>
      </c>
      <c r="AQ88" s="37">
        <v>-265.8855433581964</v>
      </c>
      <c r="AR88" s="37">
        <v>76.600924726953508</v>
      </c>
      <c r="AS88" s="37">
        <v>480.92374620268401</v>
      </c>
      <c r="AT88" s="37">
        <v>1549.0043181839033</v>
      </c>
      <c r="AU88" s="37">
        <v>1365.0725176908179</v>
      </c>
      <c r="AV88" s="37">
        <v>1552.7617135961523</v>
      </c>
      <c r="AW88" s="37">
        <v>1210.4067972381347</v>
      </c>
      <c r="AX88" s="37">
        <v>727.16698292156616</v>
      </c>
      <c r="AY88" s="37">
        <v>843.56554869898719</v>
      </c>
      <c r="AZ88" s="37">
        <v>196.52244631252461</v>
      </c>
      <c r="BA88" s="37">
        <v>37.947263267873268</v>
      </c>
      <c r="BB88" s="37">
        <v>-1020.0995385489905</v>
      </c>
      <c r="BC88" s="37">
        <v>-440.9015475471233</v>
      </c>
      <c r="BD88" s="37">
        <v>-965.81457426474935</v>
      </c>
      <c r="BE88" s="37">
        <v>-134.28608917538349</v>
      </c>
      <c r="BF88" s="37">
        <v>-981.05840835815479</v>
      </c>
      <c r="BG88" s="37">
        <v>-281.89055627605785</v>
      </c>
      <c r="BH88" s="37">
        <v>-948.67755201050295</v>
      </c>
      <c r="BI88" s="37">
        <v>-256.01942206762874</v>
      </c>
      <c r="BJ88" s="37">
        <v>-1471.8749642179278</v>
      </c>
      <c r="BK88" s="37">
        <v>-396.46486340534739</v>
      </c>
      <c r="BL88" s="37">
        <v>-374.37548821328346</v>
      </c>
      <c r="BM88" s="37">
        <v>-251.91318407220751</v>
      </c>
      <c r="BN88" s="37">
        <v>-318.01603557267663</v>
      </c>
      <c r="BO88" s="37">
        <v>-227.01854335819667</v>
      </c>
      <c r="BP88" s="37">
        <v>80.363924726953883</v>
      </c>
      <c r="BQ88" s="37">
        <v>483.10274620268365</v>
      </c>
      <c r="BR88" s="37">
        <v>1590.4163181839044</v>
      </c>
      <c r="BS88" s="37">
        <v>1329.7935176908179</v>
      </c>
      <c r="BT88" s="37">
        <v>1520.0287135961521</v>
      </c>
      <c r="BU88" s="37">
        <v>1249.278797238135</v>
      </c>
      <c r="BV88" s="37">
        <v>730.72998292156581</v>
      </c>
      <c r="BW88" s="37">
        <v>845.9495486989872</v>
      </c>
      <c r="BY88" s="66"/>
      <c r="BZ88" s="66"/>
    </row>
    <row r="89" spans="2:78">
      <c r="B89">
        <v>10278</v>
      </c>
      <c r="C89" t="s">
        <v>93</v>
      </c>
      <c r="D89" s="37">
        <v>0</v>
      </c>
      <c r="E89" s="37">
        <v>0</v>
      </c>
      <c r="F89" s="37">
        <v>0</v>
      </c>
      <c r="G89" s="37">
        <v>0</v>
      </c>
      <c r="H89" s="37">
        <v>0</v>
      </c>
      <c r="I89" s="37">
        <v>0</v>
      </c>
      <c r="J89" s="37">
        <v>0</v>
      </c>
      <c r="K89" s="37">
        <v>0</v>
      </c>
      <c r="L89" s="37">
        <v>0</v>
      </c>
      <c r="M89" s="37">
        <v>0</v>
      </c>
      <c r="N89" s="37">
        <v>0</v>
      </c>
      <c r="O89" s="37">
        <v>0</v>
      </c>
      <c r="P89" s="37">
        <v>0</v>
      </c>
      <c r="Q89" s="37">
        <v>0</v>
      </c>
      <c r="R89" s="37">
        <v>0</v>
      </c>
      <c r="S89" s="37">
        <v>0</v>
      </c>
      <c r="T89" s="37">
        <v>0</v>
      </c>
      <c r="U89" s="37">
        <v>0</v>
      </c>
      <c r="V89" s="37">
        <v>0</v>
      </c>
      <c r="W89" s="37">
        <v>0</v>
      </c>
      <c r="X89" s="37">
        <v>0</v>
      </c>
      <c r="Y89" s="37">
        <v>0</v>
      </c>
      <c r="Z89" s="37">
        <v>0</v>
      </c>
      <c r="AA89" s="37">
        <v>0</v>
      </c>
      <c r="AB89" s="37">
        <v>0</v>
      </c>
      <c r="AC89" s="37">
        <v>0</v>
      </c>
      <c r="AD89" s="37">
        <v>0</v>
      </c>
      <c r="AE89" s="37">
        <v>0</v>
      </c>
      <c r="AF89" s="37">
        <v>0</v>
      </c>
      <c r="AG89" s="37">
        <v>0</v>
      </c>
      <c r="AH89" s="37">
        <v>0</v>
      </c>
      <c r="AI89" s="37">
        <v>0</v>
      </c>
      <c r="AJ89" s="37">
        <v>0</v>
      </c>
      <c r="AK89" s="37">
        <v>0</v>
      </c>
      <c r="AL89" s="37">
        <v>0</v>
      </c>
      <c r="AM89" s="37">
        <v>0</v>
      </c>
      <c r="AN89" s="37">
        <v>0</v>
      </c>
      <c r="AO89" s="37">
        <v>0</v>
      </c>
      <c r="AP89" s="37">
        <v>0</v>
      </c>
      <c r="AQ89" s="37">
        <v>0</v>
      </c>
      <c r="AR89" s="37">
        <v>0</v>
      </c>
      <c r="AS89" s="37">
        <v>0</v>
      </c>
      <c r="AT89" s="37">
        <v>0</v>
      </c>
      <c r="AU89" s="37">
        <v>0</v>
      </c>
      <c r="AV89" s="37">
        <v>0</v>
      </c>
      <c r="AW89" s="37">
        <v>0</v>
      </c>
      <c r="AX89" s="37">
        <v>0</v>
      </c>
      <c r="AY89" s="37">
        <v>0</v>
      </c>
      <c r="AZ89" s="37">
        <v>0</v>
      </c>
      <c r="BA89" s="37">
        <v>0</v>
      </c>
      <c r="BB89" s="37">
        <v>0</v>
      </c>
      <c r="BC89" s="37">
        <v>0</v>
      </c>
      <c r="BD89" s="37">
        <v>0</v>
      </c>
      <c r="BE89" s="37">
        <v>0</v>
      </c>
      <c r="BF89" s="37">
        <v>0</v>
      </c>
      <c r="BG89" s="37">
        <v>0</v>
      </c>
      <c r="BH89" s="37">
        <v>0</v>
      </c>
      <c r="BI89" s="37">
        <v>0</v>
      </c>
      <c r="BJ89" s="37">
        <v>0</v>
      </c>
      <c r="BK89" s="37">
        <v>0</v>
      </c>
      <c r="BL89" s="37">
        <v>0</v>
      </c>
      <c r="BM89" s="37">
        <v>0</v>
      </c>
      <c r="BN89" s="37">
        <v>0</v>
      </c>
      <c r="BO89" s="37">
        <v>0</v>
      </c>
      <c r="BP89" s="37">
        <v>0</v>
      </c>
      <c r="BQ89" s="37">
        <v>0</v>
      </c>
      <c r="BR89" s="37">
        <v>0</v>
      </c>
      <c r="BS89" s="37">
        <v>0</v>
      </c>
      <c r="BT89" s="37">
        <v>0</v>
      </c>
      <c r="BU89" s="37">
        <v>0</v>
      </c>
      <c r="BV89" s="37">
        <v>0</v>
      </c>
      <c r="BW89" s="37">
        <v>0</v>
      </c>
      <c r="BY89" s="66"/>
      <c r="BZ89" s="66"/>
    </row>
    <row r="90" spans="2:78">
      <c r="B90">
        <v>10279</v>
      </c>
      <c r="C90" t="s">
        <v>94</v>
      </c>
      <c r="D90" s="37">
        <v>4442.6224821097894</v>
      </c>
      <c r="E90" s="37">
        <v>2253.0914471878168</v>
      </c>
      <c r="F90" s="37">
        <v>-2415.2739160887577</v>
      </c>
      <c r="G90" s="37">
        <v>1551.9189079005482</v>
      </c>
      <c r="H90" s="37">
        <v>-2678.7723021798447</v>
      </c>
      <c r="I90" s="37">
        <v>1992.4471526143425</v>
      </c>
      <c r="J90" s="37">
        <v>-2739.043984828626</v>
      </c>
      <c r="K90" s="37">
        <v>1373.6059463927377</v>
      </c>
      <c r="L90" s="37">
        <v>-11578.742562254734</v>
      </c>
      <c r="M90" s="37">
        <v>13108.665469805917</v>
      </c>
      <c r="N90" s="37">
        <v>12780.79429066748</v>
      </c>
      <c r="O90" s="37">
        <v>-15665.954142451676</v>
      </c>
      <c r="P90" s="37">
        <v>21306.77048917054</v>
      </c>
      <c r="Q90" s="37">
        <v>-16097.287221718225</v>
      </c>
      <c r="R90" s="37">
        <v>-4737.449605669306</v>
      </c>
      <c r="S90" s="37">
        <v>-2744.3973368363004</v>
      </c>
      <c r="T90" s="37">
        <v>-5273.1292375620833</v>
      </c>
      <c r="U90" s="37">
        <v>-2632.6044895324594</v>
      </c>
      <c r="V90" s="37">
        <v>1695.2617610588204</v>
      </c>
      <c r="W90" s="37">
        <v>483.94764553278219</v>
      </c>
      <c r="X90" s="37">
        <v>-1422.8998173462242</v>
      </c>
      <c r="Y90" s="37">
        <v>1463.8273921824457</v>
      </c>
      <c r="Z90" s="37">
        <v>3223.4383672204131</v>
      </c>
      <c r="AA90" s="37">
        <v>2301.6458331491976</v>
      </c>
      <c r="AB90" s="37">
        <v>4833.413482109816</v>
      </c>
      <c r="AC90" s="37">
        <v>1862.5264471877999</v>
      </c>
      <c r="AD90" s="37">
        <v>-2178.3879160887736</v>
      </c>
      <c r="AE90" s="37">
        <v>1315.4869079005548</v>
      </c>
      <c r="AF90" s="37">
        <v>-2313.2433021798643</v>
      </c>
      <c r="AG90" s="37">
        <v>1627.537152614339</v>
      </c>
      <c r="AH90" s="37">
        <v>-3923.8319848286264</v>
      </c>
      <c r="AI90" s="37">
        <v>2558.8089463927463</v>
      </c>
      <c r="AJ90" s="37">
        <v>-12978.427562254747</v>
      </c>
      <c r="AK90" s="37">
        <v>14508.948469805913</v>
      </c>
      <c r="AL90" s="37">
        <v>15328.71729066749</v>
      </c>
      <c r="AM90" s="37">
        <v>-18213.060142451661</v>
      </c>
      <c r="AN90" s="37">
        <v>21943.821489170547</v>
      </c>
      <c r="AO90" s="37">
        <v>-16733.390221718211</v>
      </c>
      <c r="AP90" s="37">
        <v>-4671.7696056692985</v>
      </c>
      <c r="AQ90" s="37">
        <v>-2809.1863368362901</v>
      </c>
      <c r="AR90" s="37">
        <v>-5231.686237562084</v>
      </c>
      <c r="AS90" s="37">
        <v>-2673.0504895324557</v>
      </c>
      <c r="AT90" s="37">
        <v>1710.6657610588009</v>
      </c>
      <c r="AU90" s="37">
        <v>469.61564553278731</v>
      </c>
      <c r="AV90" s="37">
        <v>-1417.0108173462286</v>
      </c>
      <c r="AW90" s="37">
        <v>1459.0103921824357</v>
      </c>
      <c r="AX90" s="37">
        <v>3228.2113672204141</v>
      </c>
      <c r="AY90" s="37">
        <v>2297.8068331491904</v>
      </c>
      <c r="AZ90" s="37">
        <v>3614.380482109791</v>
      </c>
      <c r="BA90" s="37">
        <v>3069.1844471878103</v>
      </c>
      <c r="BB90" s="37">
        <v>-857.99091608874733</v>
      </c>
      <c r="BC90" s="37">
        <v>-17.013092099459755</v>
      </c>
      <c r="BD90" s="37">
        <v>-2316.6243021798437</v>
      </c>
      <c r="BE90" s="37">
        <v>1618.4881526143399</v>
      </c>
      <c r="BF90" s="37">
        <v>-3927.2349848286322</v>
      </c>
      <c r="BG90" s="37">
        <v>2549.8759463927418</v>
      </c>
      <c r="BH90" s="37">
        <v>-13287.35800903873</v>
      </c>
      <c r="BI90" s="37">
        <v>14956.723746413922</v>
      </c>
      <c r="BJ90" s="37">
        <v>15235.388290667477</v>
      </c>
      <c r="BK90" s="37">
        <v>-18132.045142451676</v>
      </c>
      <c r="BL90" s="37">
        <v>20695.914489170555</v>
      </c>
      <c r="BM90" s="37">
        <v>-15497.274221718233</v>
      </c>
      <c r="BN90" s="37">
        <v>-3491.2786056693185</v>
      </c>
      <c r="BO90" s="37">
        <v>-4001.9733368362868</v>
      </c>
      <c r="BP90" s="37">
        <v>-5215.4342375620909</v>
      </c>
      <c r="BQ90" s="37">
        <v>-2701.383489532469</v>
      </c>
      <c r="BR90" s="37">
        <v>410.60976105881855</v>
      </c>
      <c r="BS90" s="37">
        <v>1757.3656455327873</v>
      </c>
      <c r="BT90" s="37">
        <v>-152.98281734620832</v>
      </c>
      <c r="BU90" s="37">
        <v>182.64539218244499</v>
      </c>
      <c r="BV90" s="37">
        <v>3218.511367220417</v>
      </c>
      <c r="BW90" s="37">
        <v>2295.5748331491868</v>
      </c>
      <c r="BY90" s="66"/>
      <c r="BZ90" s="66"/>
    </row>
    <row r="91" spans="2:78">
      <c r="B91">
        <v>10284</v>
      </c>
      <c r="C91" t="s">
        <v>95</v>
      </c>
      <c r="D91" s="37">
        <v>785.44367690498711</v>
      </c>
      <c r="E91" s="37">
        <v>554.55471099221268</v>
      </c>
      <c r="F91" s="37">
        <v>113.60244412704196</v>
      </c>
      <c r="G91" s="37">
        <v>765.96269697731623</v>
      </c>
      <c r="H91" s="37">
        <v>1141.2274913685205</v>
      </c>
      <c r="I91" s="37">
        <v>1474.3014665083701</v>
      </c>
      <c r="J91" s="37">
        <v>1165.9605270441562</v>
      </c>
      <c r="K91" s="37">
        <v>1446.3931099330316</v>
      </c>
      <c r="L91" s="37">
        <v>750.39815295884819</v>
      </c>
      <c r="M91" s="37">
        <v>1042.6195215201974</v>
      </c>
      <c r="N91" s="37">
        <v>-255.01511058229971</v>
      </c>
      <c r="O91" s="37">
        <v>898.69974938252471</v>
      </c>
      <c r="P91" s="37">
        <v>568.98358239442314</v>
      </c>
      <c r="Q91" s="37">
        <v>531.89873389932018</v>
      </c>
      <c r="R91" s="37">
        <v>-1867.7764284595874</v>
      </c>
      <c r="S91" s="37">
        <v>-944.24198986817828</v>
      </c>
      <c r="T91" s="37">
        <v>-2311.8062317410531</v>
      </c>
      <c r="U91" s="37">
        <v>-1034.9629430305463</v>
      </c>
      <c r="V91" s="37">
        <v>-1289.3384835080037</v>
      </c>
      <c r="W91" s="37">
        <v>-618.08455156909577</v>
      </c>
      <c r="X91" s="37">
        <v>-1586.5810492635433</v>
      </c>
      <c r="Y91" s="37">
        <v>-421.54710661432864</v>
      </c>
      <c r="Z91" s="37">
        <v>-648.03658709975571</v>
      </c>
      <c r="AA91" s="37">
        <v>-267.34935665927128</v>
      </c>
      <c r="AB91" s="37">
        <v>788.80767690498669</v>
      </c>
      <c r="AC91" s="37">
        <v>551.87571099221259</v>
      </c>
      <c r="AD91" s="37">
        <v>115.76744412704193</v>
      </c>
      <c r="AE91" s="37">
        <v>764.09969697731549</v>
      </c>
      <c r="AF91" s="37">
        <v>1144.4594913685214</v>
      </c>
      <c r="AG91" s="37">
        <v>1471.2994665083706</v>
      </c>
      <c r="AH91" s="37">
        <v>847.64052704415644</v>
      </c>
      <c r="AI91" s="37">
        <v>1764.7411099330316</v>
      </c>
      <c r="AJ91" s="37">
        <v>752.11215295884813</v>
      </c>
      <c r="AK91" s="37">
        <v>1040.7465215201973</v>
      </c>
      <c r="AL91" s="37">
        <v>-15.386110582299807</v>
      </c>
      <c r="AM91" s="37">
        <v>658.812749382525</v>
      </c>
      <c r="AN91" s="37">
        <v>570.5225823944229</v>
      </c>
      <c r="AO91" s="37">
        <v>529.79373389932016</v>
      </c>
      <c r="AP91" s="37">
        <v>-1865.1954284595872</v>
      </c>
      <c r="AQ91" s="37">
        <v>-947.60698986817806</v>
      </c>
      <c r="AR91" s="37">
        <v>-2308.6742317410535</v>
      </c>
      <c r="AS91" s="37">
        <v>-1039.0489430305468</v>
      </c>
      <c r="AT91" s="37">
        <v>-1282.5034835080041</v>
      </c>
      <c r="AU91" s="37">
        <v>-621.54855156909571</v>
      </c>
      <c r="AV91" s="37">
        <v>-1579.6300492635428</v>
      </c>
      <c r="AW91" s="37">
        <v>-425.23010661432863</v>
      </c>
      <c r="AX91" s="37">
        <v>-645.03858709975566</v>
      </c>
      <c r="AY91" s="37">
        <v>-271.87735665927175</v>
      </c>
      <c r="AZ91" s="37">
        <v>591.65667690498685</v>
      </c>
      <c r="BA91" s="37">
        <v>752.48871099221242</v>
      </c>
      <c r="BB91" s="37">
        <v>362.02044412704163</v>
      </c>
      <c r="BC91" s="37">
        <v>520.85469697731605</v>
      </c>
      <c r="BD91" s="37">
        <v>1149.1774913685213</v>
      </c>
      <c r="BE91" s="37">
        <v>1469.6144665083702</v>
      </c>
      <c r="BF91" s="37">
        <v>851.43852704415622</v>
      </c>
      <c r="BG91" s="37">
        <v>1763.7801099330313</v>
      </c>
      <c r="BH91" s="37">
        <v>752.03311361164742</v>
      </c>
      <c r="BI91" s="37">
        <v>1002.8325018465976</v>
      </c>
      <c r="BJ91" s="37">
        <v>-12.214110582300236</v>
      </c>
      <c r="BK91" s="37">
        <v>658.20874938252518</v>
      </c>
      <c r="BL91" s="37">
        <v>365.48858239442325</v>
      </c>
      <c r="BM91" s="37">
        <v>737.01173389932001</v>
      </c>
      <c r="BN91" s="37">
        <v>-1711.2214284595875</v>
      </c>
      <c r="BO91" s="37">
        <v>-1099.512989868178</v>
      </c>
      <c r="BP91" s="37">
        <v>-2304.0352317410534</v>
      </c>
      <c r="BQ91" s="37">
        <v>-1041.8689430305467</v>
      </c>
      <c r="BR91" s="37">
        <v>-1427.9894835080045</v>
      </c>
      <c r="BS91" s="37">
        <v>-469.93455156909567</v>
      </c>
      <c r="BT91" s="37">
        <v>-1415.0290492635431</v>
      </c>
      <c r="BU91" s="37">
        <v>-583.79810661432839</v>
      </c>
      <c r="BV91" s="37">
        <v>-640.58358709975573</v>
      </c>
      <c r="BW91" s="37">
        <v>-275.06335665927145</v>
      </c>
      <c r="BY91" s="66"/>
      <c r="BZ91" s="66"/>
    </row>
    <row r="92" spans="2:78">
      <c r="B92">
        <v>10285</v>
      </c>
      <c r="C92" t="s">
        <v>96</v>
      </c>
      <c r="D92" s="37">
        <v>0</v>
      </c>
      <c r="E92" s="37">
        <v>0</v>
      </c>
      <c r="F92" s="37">
        <v>0</v>
      </c>
      <c r="G92" s="37">
        <v>0</v>
      </c>
      <c r="H92" s="37">
        <v>0</v>
      </c>
      <c r="I92" s="37">
        <v>0</v>
      </c>
      <c r="J92" s="37">
        <v>0</v>
      </c>
      <c r="K92" s="37">
        <v>0</v>
      </c>
      <c r="L92" s="37">
        <v>0</v>
      </c>
      <c r="M92" s="37">
        <v>0</v>
      </c>
      <c r="N92" s="37">
        <v>0</v>
      </c>
      <c r="O92" s="37">
        <v>0</v>
      </c>
      <c r="P92" s="37">
        <v>0</v>
      </c>
      <c r="Q92" s="37">
        <v>0</v>
      </c>
      <c r="R92" s="37">
        <v>0</v>
      </c>
      <c r="S92" s="37">
        <v>0</v>
      </c>
      <c r="T92" s="37">
        <v>0</v>
      </c>
      <c r="U92" s="37">
        <v>0</v>
      </c>
      <c r="V92" s="37">
        <v>0</v>
      </c>
      <c r="W92" s="37">
        <v>0</v>
      </c>
      <c r="X92" s="37">
        <v>0</v>
      </c>
      <c r="Y92" s="37">
        <v>0</v>
      </c>
      <c r="Z92" s="37">
        <v>0</v>
      </c>
      <c r="AA92" s="37">
        <v>0</v>
      </c>
      <c r="AB92" s="37">
        <v>0</v>
      </c>
      <c r="AC92" s="37">
        <v>0</v>
      </c>
      <c r="AD92" s="37">
        <v>0</v>
      </c>
      <c r="AE92" s="37">
        <v>0</v>
      </c>
      <c r="AF92" s="37">
        <v>0</v>
      </c>
      <c r="AG92" s="37">
        <v>0</v>
      </c>
      <c r="AH92" s="37">
        <v>0</v>
      </c>
      <c r="AI92" s="37">
        <v>0</v>
      </c>
      <c r="AJ92" s="37">
        <v>0</v>
      </c>
      <c r="AK92" s="37">
        <v>0</v>
      </c>
      <c r="AL92" s="37">
        <v>0</v>
      </c>
      <c r="AM92" s="37">
        <v>0</v>
      </c>
      <c r="AN92" s="37">
        <v>0</v>
      </c>
      <c r="AO92" s="37">
        <v>0</v>
      </c>
      <c r="AP92" s="37">
        <v>0</v>
      </c>
      <c r="AQ92" s="37">
        <v>0</v>
      </c>
      <c r="AR92" s="37">
        <v>0</v>
      </c>
      <c r="AS92" s="37">
        <v>0</v>
      </c>
      <c r="AT92" s="37">
        <v>0</v>
      </c>
      <c r="AU92" s="37">
        <v>0</v>
      </c>
      <c r="AV92" s="37">
        <v>0</v>
      </c>
      <c r="AW92" s="37">
        <v>0</v>
      </c>
      <c r="AX92" s="37">
        <v>0</v>
      </c>
      <c r="AY92" s="37">
        <v>0</v>
      </c>
      <c r="AZ92" s="37">
        <v>0</v>
      </c>
      <c r="BA92" s="37">
        <v>0</v>
      </c>
      <c r="BB92" s="37">
        <v>0</v>
      </c>
      <c r="BC92" s="37">
        <v>0</v>
      </c>
      <c r="BD92" s="37">
        <v>0</v>
      </c>
      <c r="BE92" s="37">
        <v>0</v>
      </c>
      <c r="BF92" s="37">
        <v>0</v>
      </c>
      <c r="BG92" s="37">
        <v>0</v>
      </c>
      <c r="BH92" s="37">
        <v>0</v>
      </c>
      <c r="BI92" s="37">
        <v>0</v>
      </c>
      <c r="BJ92" s="37">
        <v>0</v>
      </c>
      <c r="BK92" s="37">
        <v>0</v>
      </c>
      <c r="BL92" s="37">
        <v>0</v>
      </c>
      <c r="BM92" s="37">
        <v>0</v>
      </c>
      <c r="BN92" s="37">
        <v>0</v>
      </c>
      <c r="BO92" s="37">
        <v>0</v>
      </c>
      <c r="BP92" s="37">
        <v>0</v>
      </c>
      <c r="BQ92" s="37">
        <v>0</v>
      </c>
      <c r="BR92" s="37">
        <v>0</v>
      </c>
      <c r="BS92" s="37">
        <v>0</v>
      </c>
      <c r="BT92" s="37">
        <v>0</v>
      </c>
      <c r="BU92" s="37">
        <v>0</v>
      </c>
      <c r="BV92" s="37">
        <v>0</v>
      </c>
      <c r="BW92" s="37">
        <v>0</v>
      </c>
      <c r="BY92" s="66"/>
      <c r="BZ92" s="66"/>
    </row>
    <row r="93" spans="2:78">
      <c r="B93">
        <v>10286</v>
      </c>
      <c r="C93" t="s">
        <v>97</v>
      </c>
      <c r="D93" s="37">
        <v>1891.8923667538656</v>
      </c>
      <c r="E93" s="37">
        <v>2299.0401636472488</v>
      </c>
      <c r="F93" s="37">
        <v>52.244539531446208</v>
      </c>
      <c r="G93" s="37">
        <v>272.9277165194635</v>
      </c>
      <c r="H93" s="37">
        <v>3766.306422543119</v>
      </c>
      <c r="I93" s="37">
        <v>5189.0150712100913</v>
      </c>
      <c r="J93" s="37">
        <v>5737.9278795752653</v>
      </c>
      <c r="K93" s="37">
        <v>5913.4350197243039</v>
      </c>
      <c r="L93" s="37">
        <v>5248.5094243055755</v>
      </c>
      <c r="M93" s="37">
        <v>5494.7325604045491</v>
      </c>
      <c r="N93" s="37">
        <v>2547.0377565444505</v>
      </c>
      <c r="O93" s="37">
        <v>4721.2432715920695</v>
      </c>
      <c r="P93" s="37">
        <v>46.827823480223742</v>
      </c>
      <c r="Q93" s="37">
        <v>762.04422386708575</v>
      </c>
      <c r="R93" s="37">
        <v>-8523.806391082906</v>
      </c>
      <c r="S93" s="37">
        <v>-5349.7066489388671</v>
      </c>
      <c r="T93" s="37">
        <v>-14821.745676195806</v>
      </c>
      <c r="U93" s="37">
        <v>-6699.5881274329167</v>
      </c>
      <c r="V93" s="37">
        <v>-1391.4571098165434</v>
      </c>
      <c r="W93" s="37">
        <v>914.17067198327823</v>
      </c>
      <c r="X93" s="37">
        <v>-7586.1869914090748</v>
      </c>
      <c r="Y93" s="37">
        <v>-1424.3838075841668</v>
      </c>
      <c r="Z93" s="37">
        <v>-22.032517017694772</v>
      </c>
      <c r="AA93" s="37">
        <v>963.07170050607237</v>
      </c>
      <c r="AB93" s="37">
        <v>1891.8923667538656</v>
      </c>
      <c r="AC93" s="37">
        <v>2299.0401636472488</v>
      </c>
      <c r="AD93" s="37">
        <v>52.244539531446208</v>
      </c>
      <c r="AE93" s="37">
        <v>272.9277165194635</v>
      </c>
      <c r="AF93" s="37">
        <v>3766.306422543119</v>
      </c>
      <c r="AG93" s="37">
        <v>5189.0150712100913</v>
      </c>
      <c r="AH93" s="37">
        <v>5737.9278795752653</v>
      </c>
      <c r="AI93" s="37">
        <v>5913.4350197243293</v>
      </c>
      <c r="AJ93" s="37">
        <v>5248.5094243055755</v>
      </c>
      <c r="AK93" s="37">
        <v>5494.7325604045491</v>
      </c>
      <c r="AL93" s="37">
        <v>2547.0377565444505</v>
      </c>
      <c r="AM93" s="37">
        <v>4721.2432715920877</v>
      </c>
      <c r="AN93" s="37">
        <v>46.827823480223742</v>
      </c>
      <c r="AO93" s="37">
        <v>762.04422386708575</v>
      </c>
      <c r="AP93" s="37">
        <v>-8523.806391082906</v>
      </c>
      <c r="AQ93" s="37">
        <v>-5349.7066489388671</v>
      </c>
      <c r="AR93" s="37">
        <v>-14821.745676195806</v>
      </c>
      <c r="AS93" s="37">
        <v>-6699.5881274329167</v>
      </c>
      <c r="AT93" s="37">
        <v>-1391.4571098165434</v>
      </c>
      <c r="AU93" s="37">
        <v>914.17067198327823</v>
      </c>
      <c r="AV93" s="37">
        <v>-7586.1869914090748</v>
      </c>
      <c r="AW93" s="37">
        <v>-1424.3838075841668</v>
      </c>
      <c r="AX93" s="37">
        <v>-22.032517017694772</v>
      </c>
      <c r="AY93" s="37">
        <v>963.07170050607237</v>
      </c>
      <c r="AZ93" s="37">
        <v>1943.0923155538658</v>
      </c>
      <c r="BA93" s="37">
        <v>2333.1734628472477</v>
      </c>
      <c r="BB93" s="37">
        <v>109.42889793144423</v>
      </c>
      <c r="BC93" s="37">
        <v>311.05062211946824</v>
      </c>
      <c r="BD93" s="37">
        <v>3845.4336161431202</v>
      </c>
      <c r="BE93" s="37">
        <v>5241.7665336100908</v>
      </c>
      <c r="BF93" s="37">
        <v>5825.0342859752636</v>
      </c>
      <c r="BG93" s="37">
        <v>5971.5059573243016</v>
      </c>
      <c r="BH93" s="37">
        <v>4581.5090709487777</v>
      </c>
      <c r="BI93" s="37">
        <v>5173.2012029261514</v>
      </c>
      <c r="BJ93" s="37">
        <v>2618.1857373444509</v>
      </c>
      <c r="BK93" s="37">
        <v>4768.6752587920819</v>
      </c>
      <c r="BL93" s="37">
        <v>94.038165880225279</v>
      </c>
      <c r="BM93" s="37">
        <v>793.51778546709102</v>
      </c>
      <c r="BN93" s="37">
        <v>-8487.2349990829061</v>
      </c>
      <c r="BO93" s="37">
        <v>-5325.3257209388721</v>
      </c>
      <c r="BP93" s="37">
        <v>-14796.478168995805</v>
      </c>
      <c r="BQ93" s="37">
        <v>-6682.7431226329154</v>
      </c>
      <c r="BR93" s="37">
        <v>-1338.2623578165403</v>
      </c>
      <c r="BS93" s="37">
        <v>949.63383998329118</v>
      </c>
      <c r="BT93" s="37">
        <v>-7545.6259930090728</v>
      </c>
      <c r="BU93" s="37">
        <v>-1397.3431419841818</v>
      </c>
      <c r="BV93" s="37">
        <v>22.518087782305884</v>
      </c>
      <c r="BW93" s="37">
        <v>992.77210370607281</v>
      </c>
      <c r="BY93" s="66"/>
      <c r="BZ93" s="66"/>
    </row>
    <row r="94" spans="2:78">
      <c r="B94">
        <v>10288</v>
      </c>
      <c r="C94" t="s">
        <v>98</v>
      </c>
      <c r="D94" s="37">
        <v>0</v>
      </c>
      <c r="E94" s="37">
        <v>0</v>
      </c>
      <c r="F94" s="37">
        <v>0</v>
      </c>
      <c r="G94" s="37">
        <v>0</v>
      </c>
      <c r="H94" s="37">
        <v>0</v>
      </c>
      <c r="I94" s="37">
        <v>0</v>
      </c>
      <c r="J94" s="37">
        <v>0</v>
      </c>
      <c r="K94" s="37">
        <v>0</v>
      </c>
      <c r="L94" s="37">
        <v>0</v>
      </c>
      <c r="M94" s="37">
        <v>0</v>
      </c>
      <c r="N94" s="37">
        <v>0</v>
      </c>
      <c r="O94" s="37">
        <v>0</v>
      </c>
      <c r="P94" s="37">
        <v>0</v>
      </c>
      <c r="Q94" s="37">
        <v>0</v>
      </c>
      <c r="R94" s="37">
        <v>0</v>
      </c>
      <c r="S94" s="37">
        <v>0</v>
      </c>
      <c r="T94" s="37">
        <v>0</v>
      </c>
      <c r="U94" s="37">
        <v>0</v>
      </c>
      <c r="V94" s="37">
        <v>0</v>
      </c>
      <c r="W94" s="37">
        <v>0</v>
      </c>
      <c r="X94" s="37">
        <v>0</v>
      </c>
      <c r="Y94" s="37">
        <v>0</v>
      </c>
      <c r="Z94" s="37">
        <v>0</v>
      </c>
      <c r="AA94" s="37">
        <v>0</v>
      </c>
      <c r="AB94" s="37">
        <v>0</v>
      </c>
      <c r="AC94" s="37">
        <v>0</v>
      </c>
      <c r="AD94" s="37">
        <v>0</v>
      </c>
      <c r="AE94" s="37">
        <v>0</v>
      </c>
      <c r="AF94" s="37">
        <v>0</v>
      </c>
      <c r="AG94" s="37">
        <v>0</v>
      </c>
      <c r="AH94" s="37">
        <v>0</v>
      </c>
      <c r="AI94" s="37">
        <v>0</v>
      </c>
      <c r="AJ94" s="37">
        <v>0</v>
      </c>
      <c r="AK94" s="37">
        <v>0</v>
      </c>
      <c r="AL94" s="37">
        <v>0</v>
      </c>
      <c r="AM94" s="37">
        <v>0</v>
      </c>
      <c r="AN94" s="37">
        <v>0</v>
      </c>
      <c r="AO94" s="37">
        <v>0</v>
      </c>
      <c r="AP94" s="37">
        <v>0</v>
      </c>
      <c r="AQ94" s="37">
        <v>0</v>
      </c>
      <c r="AR94" s="37">
        <v>0</v>
      </c>
      <c r="AS94" s="37">
        <v>0</v>
      </c>
      <c r="AT94" s="37">
        <v>0</v>
      </c>
      <c r="AU94" s="37">
        <v>0</v>
      </c>
      <c r="AV94" s="37">
        <v>0</v>
      </c>
      <c r="AW94" s="37">
        <v>0</v>
      </c>
      <c r="AX94" s="37">
        <v>0</v>
      </c>
      <c r="AY94" s="37">
        <v>0</v>
      </c>
      <c r="AZ94" s="37">
        <v>0</v>
      </c>
      <c r="BA94" s="37">
        <v>0</v>
      </c>
      <c r="BB94" s="37">
        <v>0</v>
      </c>
      <c r="BC94" s="37">
        <v>0</v>
      </c>
      <c r="BD94" s="37">
        <v>0</v>
      </c>
      <c r="BE94" s="37">
        <v>0</v>
      </c>
      <c r="BF94" s="37">
        <v>0</v>
      </c>
      <c r="BG94" s="37">
        <v>0</v>
      </c>
      <c r="BH94" s="37">
        <v>0</v>
      </c>
      <c r="BI94" s="37">
        <v>0</v>
      </c>
      <c r="BJ94" s="37">
        <v>0</v>
      </c>
      <c r="BK94" s="37">
        <v>0</v>
      </c>
      <c r="BL94" s="37">
        <v>0</v>
      </c>
      <c r="BM94" s="37">
        <v>0</v>
      </c>
      <c r="BN94" s="37">
        <v>0</v>
      </c>
      <c r="BO94" s="37">
        <v>0</v>
      </c>
      <c r="BP94" s="37">
        <v>0</v>
      </c>
      <c r="BQ94" s="37">
        <v>0</v>
      </c>
      <c r="BR94" s="37">
        <v>0</v>
      </c>
      <c r="BS94" s="37">
        <v>0</v>
      </c>
      <c r="BT94" s="37">
        <v>0</v>
      </c>
      <c r="BU94" s="37">
        <v>0</v>
      </c>
      <c r="BV94" s="37">
        <v>0</v>
      </c>
      <c r="BW94" s="37">
        <v>0</v>
      </c>
      <c r="BY94" s="66"/>
      <c r="BZ94" s="66"/>
    </row>
    <row r="95" spans="2:78">
      <c r="B95">
        <v>10291</v>
      </c>
      <c r="C95" t="s">
        <v>99</v>
      </c>
      <c r="D95" s="37">
        <v>2854.3537242961174</v>
      </c>
      <c r="E95" s="37">
        <v>529.65459834303692</v>
      </c>
      <c r="F95" s="37">
        <v>-1133.5900545797776</v>
      </c>
      <c r="G95" s="37">
        <v>1643.4319781203594</v>
      </c>
      <c r="H95" s="37">
        <v>-2076.1605373606071</v>
      </c>
      <c r="I95" s="37">
        <v>2936.2246301598825</v>
      </c>
      <c r="J95" s="37">
        <v>-5675.0308344527803</v>
      </c>
      <c r="K95" s="37">
        <v>-381.2715086320859</v>
      </c>
      <c r="L95" s="37">
        <v>211.10813903593953</v>
      </c>
      <c r="M95" s="37">
        <v>2198.5405405127713</v>
      </c>
      <c r="N95" s="37">
        <v>-3949.4152240186741</v>
      </c>
      <c r="O95" s="37">
        <v>2442.7557448060797</v>
      </c>
      <c r="P95" s="37">
        <v>2779.1291961900024</v>
      </c>
      <c r="Q95" s="37">
        <v>836.39717367399135</v>
      </c>
      <c r="R95" s="37">
        <v>-6332.2382885467523</v>
      </c>
      <c r="S95" s="37">
        <v>-3041.5132212514109</v>
      </c>
      <c r="T95" s="37">
        <v>-4093.7519711280765</v>
      </c>
      <c r="U95" s="37">
        <v>-981.04656506732863</v>
      </c>
      <c r="V95" s="37">
        <v>6075.8364819336712</v>
      </c>
      <c r="W95" s="37">
        <v>4425.8415179873336</v>
      </c>
      <c r="X95" s="37">
        <v>-1505.0228790641122</v>
      </c>
      <c r="Y95" s="37">
        <v>2536.234970123427</v>
      </c>
      <c r="Z95" s="37">
        <v>-251.02957801176308</v>
      </c>
      <c r="AA95" s="37">
        <v>-50.640156843059231</v>
      </c>
      <c r="AB95" s="37">
        <v>2941.8457242961194</v>
      </c>
      <c r="AC95" s="37">
        <v>541.44659834304184</v>
      </c>
      <c r="AD95" s="37">
        <v>-1056.736054579771</v>
      </c>
      <c r="AE95" s="37">
        <v>1658.7589781203606</v>
      </c>
      <c r="AF95" s="37">
        <v>-2026.0845373606062</v>
      </c>
      <c r="AG95" s="37">
        <v>2934.2126301598801</v>
      </c>
      <c r="AH95" s="37">
        <v>-7097.10083445278</v>
      </c>
      <c r="AI95" s="37">
        <v>1062.8824913679164</v>
      </c>
      <c r="AJ95" s="37">
        <v>243.21213903593889</v>
      </c>
      <c r="AK95" s="37">
        <v>2189.49854051277</v>
      </c>
      <c r="AL95" s="37">
        <v>-2590.0332240186835</v>
      </c>
      <c r="AM95" s="37">
        <v>1069.7467448060816</v>
      </c>
      <c r="AN95" s="37">
        <v>2757.8351961899971</v>
      </c>
      <c r="AO95" s="37">
        <v>788.36117367398765</v>
      </c>
      <c r="AP95" s="37">
        <v>-6351.6582885467506</v>
      </c>
      <c r="AQ95" s="37">
        <v>-3098.1992212514087</v>
      </c>
      <c r="AR95" s="37">
        <v>-4074.7859711280835</v>
      </c>
      <c r="AS95" s="37">
        <v>-1014.7025650673277</v>
      </c>
      <c r="AT95" s="37">
        <v>6131.7824819336674</v>
      </c>
      <c r="AU95" s="37">
        <v>4407.8495179873316</v>
      </c>
      <c r="AV95" s="37">
        <v>-1489.6668790641124</v>
      </c>
      <c r="AW95" s="37">
        <v>2494.6829701234237</v>
      </c>
      <c r="AX95" s="37">
        <v>-298.38957801176366</v>
      </c>
      <c r="AY95" s="37">
        <v>-127.74015684305778</v>
      </c>
      <c r="AZ95" s="37">
        <v>1823.6137242961231</v>
      </c>
      <c r="BA95" s="37">
        <v>1584.9745983430366</v>
      </c>
      <c r="BB95" s="37">
        <v>354.58994542022265</v>
      </c>
      <c r="BC95" s="37">
        <v>267.72197812036029</v>
      </c>
      <c r="BD95" s="37">
        <v>-1961.5105373606129</v>
      </c>
      <c r="BE95" s="37">
        <v>2943.2846301598802</v>
      </c>
      <c r="BF95" s="37">
        <v>-7051.1408344527808</v>
      </c>
      <c r="BG95" s="37">
        <v>1064.9084913679144</v>
      </c>
      <c r="BH95" s="37">
        <v>398.22441610474198</v>
      </c>
      <c r="BI95" s="37">
        <v>2079.9336790471716</v>
      </c>
      <c r="BJ95" s="37">
        <v>-2563.6152240186784</v>
      </c>
      <c r="BK95" s="37">
        <v>1054.2457448060813</v>
      </c>
      <c r="BL95" s="37">
        <v>1572.6591961899976</v>
      </c>
      <c r="BM95" s="37">
        <v>1928.1371736739893</v>
      </c>
      <c r="BN95" s="37">
        <v>-5193.2682885467548</v>
      </c>
      <c r="BO95" s="37">
        <v>-4308.5832212514106</v>
      </c>
      <c r="BP95" s="37">
        <v>-4041.8719711280864</v>
      </c>
      <c r="BQ95" s="37">
        <v>-1038.5065650673278</v>
      </c>
      <c r="BR95" s="37">
        <v>4699.606481933668</v>
      </c>
      <c r="BS95" s="37">
        <v>5903.3115179873312</v>
      </c>
      <c r="BT95" s="37">
        <v>-147.92287906411366</v>
      </c>
      <c r="BU95" s="37">
        <v>1151.6749701234221</v>
      </c>
      <c r="BV95" s="37">
        <v>-332.96957801176541</v>
      </c>
      <c r="BW95" s="37">
        <v>-194.87015684305879</v>
      </c>
      <c r="BY95" s="66"/>
      <c r="BZ95" s="66"/>
    </row>
    <row r="96" spans="2:78">
      <c r="B96">
        <v>10294</v>
      </c>
      <c r="C96" t="s">
        <v>100</v>
      </c>
      <c r="D96" s="37">
        <v>1072.3923961539222</v>
      </c>
      <c r="E96" s="37">
        <v>1292.323582852885</v>
      </c>
      <c r="F96" s="37">
        <v>2119.0076855730003</v>
      </c>
      <c r="G96" s="37">
        <v>2005.7848992251584</v>
      </c>
      <c r="H96" s="37">
        <v>3078.5764709777068</v>
      </c>
      <c r="I96" s="37">
        <v>4856.4342280381043</v>
      </c>
      <c r="J96" s="37">
        <v>1103.1084043839437</v>
      </c>
      <c r="K96" s="37">
        <v>4014.1906241554534</v>
      </c>
      <c r="L96" s="37">
        <v>3148.4456188138938</v>
      </c>
      <c r="M96" s="37">
        <v>3732.9472900384881</v>
      </c>
      <c r="N96" s="37">
        <v>1644.2733015433514</v>
      </c>
      <c r="O96" s="37">
        <v>3249.6591381729795</v>
      </c>
      <c r="P96" s="37">
        <v>2461.2757056153041</v>
      </c>
      <c r="Q96" s="37">
        <v>2301.9762007847639</v>
      </c>
      <c r="R96" s="37">
        <v>-4799.636564673061</v>
      </c>
      <c r="S96" s="37">
        <v>-2620.3271506223227</v>
      </c>
      <c r="T96" s="37">
        <v>-7248.2104721492669</v>
      </c>
      <c r="U96" s="37">
        <v>-2808.9764798851047</v>
      </c>
      <c r="V96" s="37">
        <v>-5596.3521536693752</v>
      </c>
      <c r="W96" s="37">
        <v>-2175.106015128471</v>
      </c>
      <c r="X96" s="37">
        <v>-5859.4633219103052</v>
      </c>
      <c r="Y96" s="37">
        <v>-2347.7930648957044</v>
      </c>
      <c r="Z96" s="37">
        <v>-1826.5816427476839</v>
      </c>
      <c r="AA96" s="37">
        <v>-795.19228513930921</v>
      </c>
      <c r="AB96" s="37">
        <v>1061.9483961539227</v>
      </c>
      <c r="AC96" s="37">
        <v>1277.2915828528858</v>
      </c>
      <c r="AD96" s="37">
        <v>2151.5496855730016</v>
      </c>
      <c r="AE96" s="37">
        <v>2009.0708992251584</v>
      </c>
      <c r="AF96" s="37">
        <v>3134.0244709777035</v>
      </c>
      <c r="AG96" s="37">
        <v>4884.9882280381044</v>
      </c>
      <c r="AH96" s="37">
        <v>1173.8304043839453</v>
      </c>
      <c r="AI96" s="37">
        <v>4019.590624155453</v>
      </c>
      <c r="AJ96" s="37">
        <v>3189.2276188138931</v>
      </c>
      <c r="AK96" s="37">
        <v>3752.1112900384887</v>
      </c>
      <c r="AL96" s="37">
        <v>1655.6873015433521</v>
      </c>
      <c r="AM96" s="37">
        <v>3282.589138172978</v>
      </c>
      <c r="AN96" s="37">
        <v>2467.2337056153046</v>
      </c>
      <c r="AO96" s="37">
        <v>2299.5282007847636</v>
      </c>
      <c r="AP96" s="37">
        <v>-4814.9965646730634</v>
      </c>
      <c r="AQ96" s="37">
        <v>-2648.6471506223206</v>
      </c>
      <c r="AR96" s="37">
        <v>-7273.0424721492673</v>
      </c>
      <c r="AS96" s="37">
        <v>-2836.0994798851052</v>
      </c>
      <c r="AT96" s="37">
        <v>-5627.7141536693762</v>
      </c>
      <c r="AU96" s="37">
        <v>-2208.6360151284707</v>
      </c>
      <c r="AV96" s="37">
        <v>-5883.7153219103056</v>
      </c>
      <c r="AW96" s="37">
        <v>-2386.7490648957046</v>
      </c>
      <c r="AX96" s="37">
        <v>-1852.3616427476845</v>
      </c>
      <c r="AY96" s="37">
        <v>-828.93828513930839</v>
      </c>
      <c r="AZ96" s="37">
        <v>1066.4263961539218</v>
      </c>
      <c r="BA96" s="37">
        <v>1224.533582852886</v>
      </c>
      <c r="BB96" s="37">
        <v>2139.5956855730001</v>
      </c>
      <c r="BC96" s="37">
        <v>2029.2438992251573</v>
      </c>
      <c r="BD96" s="37">
        <v>3170.3684709777008</v>
      </c>
      <c r="BE96" s="37">
        <v>4899.8602280381056</v>
      </c>
      <c r="BF96" s="37">
        <v>1206.6904043839422</v>
      </c>
      <c r="BG96" s="37">
        <v>4030.8066241554534</v>
      </c>
      <c r="BH96" s="37">
        <v>3332.8778151658917</v>
      </c>
      <c r="BI96" s="37">
        <v>3945.1053882144879</v>
      </c>
      <c r="BJ96" s="37">
        <v>1669.3853015433524</v>
      </c>
      <c r="BK96" s="37">
        <v>3284.0981381729798</v>
      </c>
      <c r="BL96" s="37">
        <v>2487.1677056153057</v>
      </c>
      <c r="BM96" s="37">
        <v>2258.4742007847635</v>
      </c>
      <c r="BN96" s="37">
        <v>-4871.0365646730625</v>
      </c>
      <c r="BO96" s="37">
        <v>-2657.4461506223215</v>
      </c>
      <c r="BP96" s="37">
        <v>-7309.6684721492657</v>
      </c>
      <c r="BQ96" s="37">
        <v>-2871.0214798851048</v>
      </c>
      <c r="BR96" s="37">
        <v>-5641.7001536693751</v>
      </c>
      <c r="BS96" s="37">
        <v>-2278.7470151284706</v>
      </c>
      <c r="BT96" s="37">
        <v>-5948.3613219103045</v>
      </c>
      <c r="BU96" s="37">
        <v>-2404.675064895705</v>
      </c>
      <c r="BV96" s="37">
        <v>-1889.301642747685</v>
      </c>
      <c r="BW96" s="37">
        <v>-870.41928513930907</v>
      </c>
      <c r="BY96" s="66"/>
      <c r="BZ96" s="66"/>
    </row>
    <row r="97" spans="2:78">
      <c r="B97">
        <v>10304</v>
      </c>
      <c r="C97" t="s">
        <v>101</v>
      </c>
      <c r="D97" s="37">
        <v>882.79407009575152</v>
      </c>
      <c r="E97" s="37">
        <v>597.6342013086246</v>
      </c>
      <c r="F97" s="37">
        <v>743.28327680574694</v>
      </c>
      <c r="G97" s="37">
        <v>676.1246600178406</v>
      </c>
      <c r="H97" s="37">
        <v>389.66030079361008</v>
      </c>
      <c r="I97" s="37">
        <v>1297.7202387767857</v>
      </c>
      <c r="J97" s="37">
        <v>383.10453172292819</v>
      </c>
      <c r="K97" s="37">
        <v>1007.0277832703232</v>
      </c>
      <c r="L97" s="37">
        <v>858.25500259486762</v>
      </c>
      <c r="M97" s="37">
        <v>1094.7467015108841</v>
      </c>
      <c r="N97" s="37">
        <v>79.989380971894207</v>
      </c>
      <c r="O97" s="37">
        <v>682.49100181362746</v>
      </c>
      <c r="P97" s="37">
        <v>710.99558718494791</v>
      </c>
      <c r="Q97" s="37">
        <v>529.36636888057137</v>
      </c>
      <c r="R97" s="37">
        <v>-1692.4039396263342</v>
      </c>
      <c r="S97" s="37">
        <v>-1021.5406845830562</v>
      </c>
      <c r="T97" s="37">
        <v>-2445.3779396796217</v>
      </c>
      <c r="U97" s="37">
        <v>-965.00011600949392</v>
      </c>
      <c r="V97" s="37">
        <v>-1306.2184269674635</v>
      </c>
      <c r="W97" s="37">
        <v>-286.78574134337578</v>
      </c>
      <c r="X97" s="37">
        <v>-1547.6866985936313</v>
      </c>
      <c r="Y97" s="37">
        <v>-275.36532121317668</v>
      </c>
      <c r="Z97" s="37">
        <v>-365.8311856778173</v>
      </c>
      <c r="AA97" s="37">
        <v>-27.472962544713937</v>
      </c>
      <c r="AB97" s="37">
        <v>873.16868550057461</v>
      </c>
      <c r="AC97" s="37">
        <v>591.96199742570479</v>
      </c>
      <c r="AD97" s="37">
        <v>743.42276014480285</v>
      </c>
      <c r="AE97" s="37">
        <v>676.5899510037807</v>
      </c>
      <c r="AF97" s="37">
        <v>386.34032698121609</v>
      </c>
      <c r="AG97" s="37">
        <v>1297.6577748650825</v>
      </c>
      <c r="AH97" s="37">
        <v>379.26318470958086</v>
      </c>
      <c r="AI97" s="37">
        <v>1006.04121075066</v>
      </c>
      <c r="AJ97" s="37">
        <v>857.20391098152231</v>
      </c>
      <c r="AK97" s="37">
        <v>1095.2238659043774</v>
      </c>
      <c r="AL97" s="37">
        <v>78.895297739063608</v>
      </c>
      <c r="AM97" s="37">
        <v>683.19461091662879</v>
      </c>
      <c r="AN97" s="37">
        <v>712.7337481819477</v>
      </c>
      <c r="AO97" s="37">
        <v>530.64140617251405</v>
      </c>
      <c r="AP97" s="37">
        <v>-1694.3129496616766</v>
      </c>
      <c r="AQ97" s="37">
        <v>-1022.5757957394317</v>
      </c>
      <c r="AR97" s="37">
        <v>-2447.8895116942213</v>
      </c>
      <c r="AS97" s="37">
        <v>-965.37742906952826</v>
      </c>
      <c r="AT97" s="37">
        <v>-1305.8028573324009</v>
      </c>
      <c r="AU97" s="37">
        <v>-285.19400195118669</v>
      </c>
      <c r="AV97" s="37">
        <v>-1547.716058693265</v>
      </c>
      <c r="AW97" s="37">
        <v>-273.92785973673426</v>
      </c>
      <c r="AX97" s="37">
        <v>-364.37077254287669</v>
      </c>
      <c r="AY97" s="37">
        <v>-26.059407611377992</v>
      </c>
      <c r="AZ97" s="37">
        <v>886.46168550057428</v>
      </c>
      <c r="BA97" s="37">
        <v>600.14799742570449</v>
      </c>
      <c r="BB97" s="37">
        <v>741.28288396086464</v>
      </c>
      <c r="BC97" s="37">
        <v>675.55399784485417</v>
      </c>
      <c r="BD97" s="37">
        <v>380.36421405276542</v>
      </c>
      <c r="BE97" s="37">
        <v>1296.058958965994</v>
      </c>
      <c r="BF97" s="37">
        <v>372.67678812289887</v>
      </c>
      <c r="BG97" s="37">
        <v>1003.4108421567589</v>
      </c>
      <c r="BH97" s="37">
        <v>859.80443119118445</v>
      </c>
      <c r="BI97" s="37">
        <v>1132.6309376665413</v>
      </c>
      <c r="BJ97" s="37">
        <v>75.274488330113854</v>
      </c>
      <c r="BK97" s="37">
        <v>682.50602132005952</v>
      </c>
      <c r="BL97" s="37">
        <v>712.55036074994678</v>
      </c>
      <c r="BM97" s="37">
        <v>530.7135916490206</v>
      </c>
      <c r="BN97" s="37">
        <v>-1698.5605325592123</v>
      </c>
      <c r="BO97" s="37">
        <v>-1025.1372084895756</v>
      </c>
      <c r="BP97" s="37">
        <v>-2452.9563082823361</v>
      </c>
      <c r="BQ97" s="37">
        <v>-967.14564399528263</v>
      </c>
      <c r="BR97" s="37">
        <v>-1307.6654920351857</v>
      </c>
      <c r="BS97" s="37">
        <v>-284.95358550297078</v>
      </c>
      <c r="BT97" s="37">
        <v>-1550.1828988071347</v>
      </c>
      <c r="BU97" s="37">
        <v>-273.7567609065145</v>
      </c>
      <c r="BV97" s="37">
        <v>-364.72158610294537</v>
      </c>
      <c r="BW97" s="37">
        <v>-25.758344830422175</v>
      </c>
      <c r="BY97" s="66"/>
      <c r="BZ97" s="66"/>
    </row>
    <row r="98" spans="2:78">
      <c r="B98">
        <v>10306</v>
      </c>
      <c r="C98" t="s">
        <v>102</v>
      </c>
      <c r="D98" s="37">
        <v>-2913.8629023069793</v>
      </c>
      <c r="E98" s="37">
        <v>-1452.6402411320889</v>
      </c>
      <c r="F98" s="37">
        <v>3730.1993922376587</v>
      </c>
      <c r="G98" s="37">
        <v>4804.8195168315042</v>
      </c>
      <c r="H98" s="37">
        <v>1791.6783000022751</v>
      </c>
      <c r="I98" s="37">
        <v>3310.028149673909</v>
      </c>
      <c r="J98" s="37">
        <v>5594.44774036319</v>
      </c>
      <c r="K98" s="37">
        <v>6151.1372413263807</v>
      </c>
      <c r="L98" s="37">
        <v>5909.3275920319584</v>
      </c>
      <c r="M98" s="37">
        <v>5669.7720526722451</v>
      </c>
      <c r="N98" s="37">
        <v>4162.8035065071681</v>
      </c>
      <c r="O98" s="37">
        <v>5196.8650785231157</v>
      </c>
      <c r="P98" s="37">
        <v>-4910.5071624865377</v>
      </c>
      <c r="Q98" s="37">
        <v>-2982.4261125966768</v>
      </c>
      <c r="R98" s="37">
        <v>-7233.6508466467676</v>
      </c>
      <c r="S98" s="37">
        <v>-4712.3597056891904</v>
      </c>
      <c r="T98" s="37">
        <v>-7951.9839731808952</v>
      </c>
      <c r="U98" s="37">
        <v>-4249.1086792748019</v>
      </c>
      <c r="V98" s="37">
        <v>-4039.1544869157178</v>
      </c>
      <c r="W98" s="37">
        <v>-1737.4627020038697</v>
      </c>
      <c r="X98" s="37">
        <v>-4488.0230651496386</v>
      </c>
      <c r="Y98" s="37">
        <v>-1435.1892192829969</v>
      </c>
      <c r="Z98" s="37">
        <v>411.74003186962</v>
      </c>
      <c r="AA98" s="37">
        <v>1370.7753744776733</v>
      </c>
      <c r="AB98" s="37">
        <v>-2974.8935108009987</v>
      </c>
      <c r="AC98" s="37">
        <v>-1489.5564202028561</v>
      </c>
      <c r="AD98" s="37">
        <v>3730.1993922376587</v>
      </c>
      <c r="AE98" s="37">
        <v>4804.8195168315042</v>
      </c>
      <c r="AF98" s="37">
        <v>1791.6783000022751</v>
      </c>
      <c r="AG98" s="37">
        <v>3310.028149673909</v>
      </c>
      <c r="AH98" s="37">
        <v>5047.8444629438345</v>
      </c>
      <c r="AI98" s="37">
        <v>6697.7405187457362</v>
      </c>
      <c r="AJ98" s="37">
        <v>5909.3275920319584</v>
      </c>
      <c r="AK98" s="37">
        <v>5669.7720526722451</v>
      </c>
      <c r="AL98" s="37">
        <v>4620.8397840845582</v>
      </c>
      <c r="AM98" s="37">
        <v>4738.8288009457274</v>
      </c>
      <c r="AN98" s="37">
        <v>-4910.5071624865377</v>
      </c>
      <c r="AO98" s="37">
        <v>-2982.4261125966768</v>
      </c>
      <c r="AP98" s="37">
        <v>-7233.6508466467676</v>
      </c>
      <c r="AQ98" s="37">
        <v>-4712.3597056891904</v>
      </c>
      <c r="AR98" s="37">
        <v>-7951.9839731808952</v>
      </c>
      <c r="AS98" s="37">
        <v>-4249.1086792748019</v>
      </c>
      <c r="AT98" s="37">
        <v>-4039.1544869157178</v>
      </c>
      <c r="AU98" s="37">
        <v>-1737.4627020038697</v>
      </c>
      <c r="AV98" s="37">
        <v>-4488.0230651496386</v>
      </c>
      <c r="AW98" s="37">
        <v>-1435.1892192829969</v>
      </c>
      <c r="AX98" s="37">
        <v>411.74003186962</v>
      </c>
      <c r="AY98" s="37">
        <v>1370.7753744776733</v>
      </c>
      <c r="AZ98" s="37">
        <v>-3037.6848160913219</v>
      </c>
      <c r="BA98" s="37">
        <v>-1364.1297709125338</v>
      </c>
      <c r="BB98" s="37">
        <v>4249.1563969638964</v>
      </c>
      <c r="BC98" s="37">
        <v>4435.1309518361704</v>
      </c>
      <c r="BD98" s="37">
        <v>1839.4770896094251</v>
      </c>
      <c r="BE98" s="37">
        <v>3368.5618699980032</v>
      </c>
      <c r="BF98" s="37">
        <v>5141.3505345646627</v>
      </c>
      <c r="BG98" s="37">
        <v>6804.0475583203242</v>
      </c>
      <c r="BH98" s="37">
        <v>5837.8050715503205</v>
      </c>
      <c r="BI98" s="37">
        <v>5560.5462237236598</v>
      </c>
      <c r="BJ98" s="37">
        <v>4706.0402636982653</v>
      </c>
      <c r="BK98" s="37">
        <v>4815.6816202215405</v>
      </c>
      <c r="BL98" s="37">
        <v>-4992.4437473605376</v>
      </c>
      <c r="BM98" s="37">
        <v>-2983.4844440038532</v>
      </c>
      <c r="BN98" s="37">
        <v>-7313.126712559646</v>
      </c>
      <c r="BO98" s="37">
        <v>-4764.1342350440618</v>
      </c>
      <c r="BP98" s="37">
        <v>-8039.3521397391205</v>
      </c>
      <c r="BQ98" s="37">
        <v>-4295.7934859930911</v>
      </c>
      <c r="BR98" s="37">
        <v>-4186.445175387209</v>
      </c>
      <c r="BS98" s="37">
        <v>-1639.4865452840118</v>
      </c>
      <c r="BT98" s="37">
        <v>-4415.4684857525017</v>
      </c>
      <c r="BU98" s="37">
        <v>-1558.2965193247405</v>
      </c>
      <c r="BV98" s="37">
        <v>432.40314186595242</v>
      </c>
      <c r="BW98" s="37">
        <v>1398.7475044840398</v>
      </c>
      <c r="BY98" s="66"/>
      <c r="BZ98" s="66"/>
    </row>
    <row r="99" spans="2:78">
      <c r="B99">
        <v>10307</v>
      </c>
      <c r="C99" t="s">
        <v>103</v>
      </c>
      <c r="D99" s="37">
        <v>5554.8825125971744</v>
      </c>
      <c r="E99" s="37">
        <v>1797.9935551033268</v>
      </c>
      <c r="F99" s="37">
        <v>3094.3561093806493</v>
      </c>
      <c r="G99" s="37">
        <v>3713.5691957245108</v>
      </c>
      <c r="H99" s="37">
        <v>4278.3666145058014</v>
      </c>
      <c r="I99" s="37">
        <v>5214.6221633142122</v>
      </c>
      <c r="J99" s="37">
        <v>2992.3388172938285</v>
      </c>
      <c r="K99" s="37">
        <v>3715.8547063923506</v>
      </c>
      <c r="L99" s="37">
        <v>6014.1033787535998</v>
      </c>
      <c r="M99" s="37">
        <v>4677.0461177542493</v>
      </c>
      <c r="N99" s="37">
        <v>-443.43521395963035</v>
      </c>
      <c r="O99" s="37">
        <v>3540.2849689027498</v>
      </c>
      <c r="P99" s="37">
        <v>3569.2613372402484</v>
      </c>
      <c r="Q99" s="37">
        <v>1289.6541378573602</v>
      </c>
      <c r="R99" s="37">
        <v>-9905.3573153052566</v>
      </c>
      <c r="S99" s="37">
        <v>-5480.9282590323783</v>
      </c>
      <c r="T99" s="37">
        <v>-12328.323877295985</v>
      </c>
      <c r="U99" s="37">
        <v>-5578.8868332395941</v>
      </c>
      <c r="V99" s="37">
        <v>-5243.9761022809507</v>
      </c>
      <c r="W99" s="37">
        <v>-1709.9432340972453</v>
      </c>
      <c r="X99" s="37">
        <v>-7059.470139095698</v>
      </c>
      <c r="Y99" s="37">
        <v>-423.44822526467033</v>
      </c>
      <c r="Z99" s="37">
        <v>-961.0145205902445</v>
      </c>
      <c r="AA99" s="37">
        <v>-321.03868432339368</v>
      </c>
      <c r="AB99" s="37">
        <v>5535.3049254695543</v>
      </c>
      <c r="AC99" s="37">
        <v>1784.1194984705016</v>
      </c>
      <c r="AD99" s="37">
        <v>3093.9159189208076</v>
      </c>
      <c r="AE99" s="37">
        <v>3715.1333128271981</v>
      </c>
      <c r="AF99" s="37">
        <v>4270.1628321846802</v>
      </c>
      <c r="AG99" s="37">
        <v>5212.579123566491</v>
      </c>
      <c r="AH99" s="37">
        <v>1397.4948258271252</v>
      </c>
      <c r="AI99" s="37">
        <v>5296.3317849076011</v>
      </c>
      <c r="AJ99" s="37">
        <v>6012.8086884297554</v>
      </c>
      <c r="AK99" s="37">
        <v>4677.5373017356615</v>
      </c>
      <c r="AL99" s="37">
        <v>871.87226251799439</v>
      </c>
      <c r="AM99" s="37">
        <v>2222.6319949113276</v>
      </c>
      <c r="AN99" s="37">
        <v>3574.9403686602527</v>
      </c>
      <c r="AO99" s="37">
        <v>1292.0081015486248</v>
      </c>
      <c r="AP99" s="37">
        <v>-9910.3957725490982</v>
      </c>
      <c r="AQ99" s="37">
        <v>-5482.7212909077352</v>
      </c>
      <c r="AR99" s="37">
        <v>-12335.109368766272</v>
      </c>
      <c r="AS99" s="37">
        <v>-5580.9268705539816</v>
      </c>
      <c r="AT99" s="37">
        <v>-5241.1031890379127</v>
      </c>
      <c r="AU99" s="37">
        <v>-1706.1966929767041</v>
      </c>
      <c r="AV99" s="37">
        <v>-7059.4357393803657</v>
      </c>
      <c r="AW99" s="37">
        <v>-418.57247818911856</v>
      </c>
      <c r="AX99" s="37">
        <v>-954.66005449041404</v>
      </c>
      <c r="AY99" s="37">
        <v>-316.7755273710045</v>
      </c>
      <c r="AZ99" s="37">
        <v>4470.9109254695541</v>
      </c>
      <c r="BA99" s="37">
        <v>2909.3014984705023</v>
      </c>
      <c r="BB99" s="37">
        <v>4489.1347677454542</v>
      </c>
      <c r="BC99" s="37">
        <v>2324.1137961471795</v>
      </c>
      <c r="BD99" s="37">
        <v>4264.4432585376417</v>
      </c>
      <c r="BE99" s="37">
        <v>5211.8671117998492</v>
      </c>
      <c r="BF99" s="37">
        <v>1388.5704087204213</v>
      </c>
      <c r="BG99" s="37">
        <v>5295.0045575342047</v>
      </c>
      <c r="BH99" s="37">
        <v>6136.8896870914032</v>
      </c>
      <c r="BI99" s="37">
        <v>4521.332928024065</v>
      </c>
      <c r="BJ99" s="37">
        <v>871.27332825979829</v>
      </c>
      <c r="BK99" s="37">
        <v>2224.2178189692604</v>
      </c>
      <c r="BL99" s="37">
        <v>2466.8327227237496</v>
      </c>
      <c r="BM99" s="37">
        <v>2410.4843429630473</v>
      </c>
      <c r="BN99" s="37">
        <v>-9014.2253704996438</v>
      </c>
      <c r="BO99" s="37">
        <v>-6382.249870392443</v>
      </c>
      <c r="BP99" s="37">
        <v>-12339.53202337628</v>
      </c>
      <c r="BQ99" s="37">
        <v>-5581.7425550697844</v>
      </c>
      <c r="BR99" s="37">
        <v>-6215.5659692881018</v>
      </c>
      <c r="BS99" s="37">
        <v>-722.28216744020392</v>
      </c>
      <c r="BT99" s="37">
        <v>-6061.0146196436945</v>
      </c>
      <c r="BU99" s="37">
        <v>-1409.1286871442353</v>
      </c>
      <c r="BV99" s="37">
        <v>-946.97624834807357</v>
      </c>
      <c r="BW99" s="37">
        <v>-311.72263219004344</v>
      </c>
      <c r="BY99" s="66"/>
      <c r="BZ99" s="66"/>
    </row>
    <row r="100" spans="2:78">
      <c r="B100">
        <v>10326</v>
      </c>
      <c r="C100" t="s">
        <v>104</v>
      </c>
      <c r="D100" s="37">
        <v>3142.8539441985704</v>
      </c>
      <c r="E100" s="37">
        <v>2649.7082451366996</v>
      </c>
      <c r="F100" s="37">
        <v>-1680.070438095041</v>
      </c>
      <c r="G100" s="37">
        <v>597.44871011098439</v>
      </c>
      <c r="H100" s="37">
        <v>-5158.2658124240352</v>
      </c>
      <c r="I100" s="37">
        <v>-1171.7942236050239</v>
      </c>
      <c r="J100" s="37">
        <v>-3312.1792502438529</v>
      </c>
      <c r="K100" s="37">
        <v>-307.10371920974831</v>
      </c>
      <c r="L100" s="37">
        <v>187.6440997858117</v>
      </c>
      <c r="M100" s="37">
        <v>1676.945419949202</v>
      </c>
      <c r="N100" s="37">
        <v>-218.23733496137902</v>
      </c>
      <c r="O100" s="37">
        <v>2724.1619048145112</v>
      </c>
      <c r="P100" s="37">
        <v>1841.2896937065761</v>
      </c>
      <c r="Q100" s="37">
        <v>1812.5327783537869</v>
      </c>
      <c r="R100" s="37">
        <v>-1468.6346957431033</v>
      </c>
      <c r="S100" s="37">
        <v>563.49760155522381</v>
      </c>
      <c r="T100" s="37">
        <v>-2167.0616097937873</v>
      </c>
      <c r="U100" s="37">
        <v>398.13928661695172</v>
      </c>
      <c r="V100" s="37">
        <v>-321.57141479528582</v>
      </c>
      <c r="W100" s="37">
        <v>1428.3508317783853</v>
      </c>
      <c r="X100" s="37">
        <v>-1812.1526700692448</v>
      </c>
      <c r="Y100" s="37">
        <v>1587.2486687231558</v>
      </c>
      <c r="Z100" s="37">
        <v>-1231.9150281760085</v>
      </c>
      <c r="AA100" s="37">
        <v>235.50416837106877</v>
      </c>
      <c r="AB100" s="37">
        <v>3127.1754049211759</v>
      </c>
      <c r="AC100" s="37">
        <v>2641.8148087839763</v>
      </c>
      <c r="AD100" s="37">
        <v>-1683.136031337428</v>
      </c>
      <c r="AE100" s="37">
        <v>599.04525139205361</v>
      </c>
      <c r="AF100" s="37">
        <v>-5168.6074499014994</v>
      </c>
      <c r="AG100" s="37">
        <v>-1173.9417100929932</v>
      </c>
      <c r="AH100" s="37">
        <v>-3842.0091191994343</v>
      </c>
      <c r="AI100" s="37">
        <v>216.04983640522005</v>
      </c>
      <c r="AJ100" s="37">
        <v>188.54915247308963</v>
      </c>
      <c r="AK100" s="37">
        <v>1680.7943002693673</v>
      </c>
      <c r="AL100" s="37">
        <v>371.29287754360848</v>
      </c>
      <c r="AM100" s="37">
        <v>2140.8342565705889</v>
      </c>
      <c r="AN100" s="37">
        <v>1845.6114242957428</v>
      </c>
      <c r="AO100" s="37">
        <v>1816.6377109684354</v>
      </c>
      <c r="AP100" s="37">
        <v>-1471.2264779574871</v>
      </c>
      <c r="AQ100" s="37">
        <v>565.03699564351155</v>
      </c>
      <c r="AR100" s="37">
        <v>-2171.0819579185718</v>
      </c>
      <c r="AS100" s="37">
        <v>399.29384351926456</v>
      </c>
      <c r="AT100" s="37">
        <v>-321.75164291480178</v>
      </c>
      <c r="AU100" s="37">
        <v>1431.6740900721015</v>
      </c>
      <c r="AV100" s="37">
        <v>-1815.4551369375531</v>
      </c>
      <c r="AW100" s="37">
        <v>1590.8936979016698</v>
      </c>
      <c r="AX100" s="37">
        <v>-1234.1369063552957</v>
      </c>
      <c r="AY100" s="37">
        <v>236.24419621234574</v>
      </c>
      <c r="AZ100" s="37">
        <v>2617.0914049211751</v>
      </c>
      <c r="BA100" s="37">
        <v>3190.3928087839759</v>
      </c>
      <c r="BB100" s="37">
        <v>-1194.1343043413108</v>
      </c>
      <c r="BC100" s="37">
        <v>98.179670600691679</v>
      </c>
      <c r="BD100" s="37">
        <v>-5184.6571569369917</v>
      </c>
      <c r="BE100" s="37">
        <v>-1180.0218725746554</v>
      </c>
      <c r="BF100" s="37">
        <v>-3856.0925129416846</v>
      </c>
      <c r="BG100" s="37">
        <v>211.9644939830705</v>
      </c>
      <c r="BH100" s="37">
        <v>279.23169057907216</v>
      </c>
      <c r="BI100" s="37">
        <v>1693.2852240274678</v>
      </c>
      <c r="BJ100" s="37">
        <v>365.095226960535</v>
      </c>
      <c r="BK100" s="37">
        <v>2140.784008976877</v>
      </c>
      <c r="BL100" s="37">
        <v>1330.0083806704097</v>
      </c>
      <c r="BM100" s="37">
        <v>2330.3052176753636</v>
      </c>
      <c r="BN100" s="37">
        <v>-968.94454660296833</v>
      </c>
      <c r="BO100" s="37">
        <v>50.709238934916357</v>
      </c>
      <c r="BP100" s="37">
        <v>-2181.7509183301117</v>
      </c>
      <c r="BQ100" s="37">
        <v>396.22994948871565</v>
      </c>
      <c r="BR100" s="37">
        <v>-838.3189732032406</v>
      </c>
      <c r="BS100" s="37">
        <v>1940.5636868938318</v>
      </c>
      <c r="BT100" s="37">
        <v>-1333.843843812976</v>
      </c>
      <c r="BU100" s="37">
        <v>1099.0930457570739</v>
      </c>
      <c r="BV100" s="37">
        <v>-1240.9638978820858</v>
      </c>
      <c r="BW100" s="37">
        <v>233.76797797743166</v>
      </c>
      <c r="BY100" s="66"/>
      <c r="BZ100" s="66"/>
    </row>
    <row r="101" spans="2:78">
      <c r="B101">
        <v>10331</v>
      </c>
      <c r="C101" t="s">
        <v>105</v>
      </c>
      <c r="D101" s="37">
        <v>0</v>
      </c>
      <c r="E101" s="37">
        <v>0</v>
      </c>
      <c r="F101" s="37">
        <v>0</v>
      </c>
      <c r="G101" s="37">
        <v>0</v>
      </c>
      <c r="H101" s="37">
        <v>0</v>
      </c>
      <c r="I101" s="37">
        <v>0</v>
      </c>
      <c r="J101" s="37">
        <v>0</v>
      </c>
      <c r="K101" s="37">
        <v>0</v>
      </c>
      <c r="L101" s="37">
        <v>0</v>
      </c>
      <c r="M101" s="37">
        <v>0</v>
      </c>
      <c r="N101" s="37">
        <v>0</v>
      </c>
      <c r="O101" s="37">
        <v>0</v>
      </c>
      <c r="P101" s="37">
        <v>0</v>
      </c>
      <c r="Q101" s="37">
        <v>0</v>
      </c>
      <c r="R101" s="37">
        <v>0</v>
      </c>
      <c r="S101" s="37">
        <v>0</v>
      </c>
      <c r="T101" s="37">
        <v>0</v>
      </c>
      <c r="U101" s="37">
        <v>0</v>
      </c>
      <c r="V101" s="37">
        <v>0</v>
      </c>
      <c r="W101" s="37">
        <v>0</v>
      </c>
      <c r="X101" s="37">
        <v>0</v>
      </c>
      <c r="Y101" s="37">
        <v>0</v>
      </c>
      <c r="Z101" s="37">
        <v>0</v>
      </c>
      <c r="AA101" s="37">
        <v>0</v>
      </c>
      <c r="AB101" s="37">
        <v>0</v>
      </c>
      <c r="AC101" s="37">
        <v>0</v>
      </c>
      <c r="AD101" s="37">
        <v>0</v>
      </c>
      <c r="AE101" s="37">
        <v>0</v>
      </c>
      <c r="AF101" s="37">
        <v>0</v>
      </c>
      <c r="AG101" s="37">
        <v>0</v>
      </c>
      <c r="AH101" s="37">
        <v>0</v>
      </c>
      <c r="AI101" s="37">
        <v>0</v>
      </c>
      <c r="AJ101" s="37">
        <v>0</v>
      </c>
      <c r="AK101" s="37">
        <v>0</v>
      </c>
      <c r="AL101" s="37">
        <v>0</v>
      </c>
      <c r="AM101" s="37">
        <v>0</v>
      </c>
      <c r="AN101" s="37">
        <v>0</v>
      </c>
      <c r="AO101" s="37">
        <v>0</v>
      </c>
      <c r="AP101" s="37">
        <v>0</v>
      </c>
      <c r="AQ101" s="37">
        <v>0</v>
      </c>
      <c r="AR101" s="37">
        <v>0</v>
      </c>
      <c r="AS101" s="37">
        <v>0</v>
      </c>
      <c r="AT101" s="37">
        <v>0</v>
      </c>
      <c r="AU101" s="37">
        <v>0</v>
      </c>
      <c r="AV101" s="37">
        <v>0</v>
      </c>
      <c r="AW101" s="37">
        <v>0</v>
      </c>
      <c r="AX101" s="37">
        <v>0</v>
      </c>
      <c r="AY101" s="37">
        <v>0</v>
      </c>
      <c r="AZ101" s="37">
        <v>0</v>
      </c>
      <c r="BA101" s="37">
        <v>0</v>
      </c>
      <c r="BB101" s="37">
        <v>0</v>
      </c>
      <c r="BC101" s="37">
        <v>0</v>
      </c>
      <c r="BD101" s="37">
        <v>0</v>
      </c>
      <c r="BE101" s="37">
        <v>0</v>
      </c>
      <c r="BF101" s="37">
        <v>0</v>
      </c>
      <c r="BG101" s="37">
        <v>0</v>
      </c>
      <c r="BH101" s="37">
        <v>0</v>
      </c>
      <c r="BI101" s="37">
        <v>0</v>
      </c>
      <c r="BJ101" s="37">
        <v>0</v>
      </c>
      <c r="BK101" s="37">
        <v>0</v>
      </c>
      <c r="BL101" s="37">
        <v>0</v>
      </c>
      <c r="BM101" s="37">
        <v>0</v>
      </c>
      <c r="BN101" s="37">
        <v>0</v>
      </c>
      <c r="BO101" s="37">
        <v>0</v>
      </c>
      <c r="BP101" s="37">
        <v>0</v>
      </c>
      <c r="BQ101" s="37">
        <v>0</v>
      </c>
      <c r="BR101" s="37">
        <v>0</v>
      </c>
      <c r="BS101" s="37">
        <v>0</v>
      </c>
      <c r="BT101" s="37">
        <v>0</v>
      </c>
      <c r="BU101" s="37">
        <v>0</v>
      </c>
      <c r="BV101" s="37">
        <v>0</v>
      </c>
      <c r="BW101" s="37">
        <v>0</v>
      </c>
      <c r="BY101" s="66"/>
      <c r="BZ101" s="66"/>
    </row>
    <row r="102" spans="2:78">
      <c r="B102">
        <v>10333</v>
      </c>
      <c r="C102" t="s">
        <v>106</v>
      </c>
      <c r="D102" s="37">
        <v>0</v>
      </c>
      <c r="E102" s="37">
        <v>0</v>
      </c>
      <c r="F102" s="37">
        <v>0</v>
      </c>
      <c r="G102" s="37">
        <v>0</v>
      </c>
      <c r="H102" s="37">
        <v>0</v>
      </c>
      <c r="I102" s="37">
        <v>0</v>
      </c>
      <c r="J102" s="37">
        <v>0</v>
      </c>
      <c r="K102" s="37">
        <v>0</v>
      </c>
      <c r="L102" s="37">
        <v>0</v>
      </c>
      <c r="M102" s="37">
        <v>0</v>
      </c>
      <c r="N102" s="37">
        <v>0</v>
      </c>
      <c r="O102" s="37">
        <v>0</v>
      </c>
      <c r="P102" s="37">
        <v>0</v>
      </c>
      <c r="Q102" s="37">
        <v>0</v>
      </c>
      <c r="R102" s="37">
        <v>0</v>
      </c>
      <c r="S102" s="37">
        <v>0</v>
      </c>
      <c r="T102" s="37">
        <v>0</v>
      </c>
      <c r="U102" s="37">
        <v>0</v>
      </c>
      <c r="V102" s="37">
        <v>0</v>
      </c>
      <c r="W102" s="37">
        <v>0</v>
      </c>
      <c r="X102" s="37">
        <v>0</v>
      </c>
      <c r="Y102" s="37">
        <v>0</v>
      </c>
      <c r="Z102" s="37">
        <v>0</v>
      </c>
      <c r="AA102" s="37">
        <v>0</v>
      </c>
      <c r="AB102" s="37">
        <v>0</v>
      </c>
      <c r="AC102" s="37">
        <v>0</v>
      </c>
      <c r="AD102" s="37">
        <v>0</v>
      </c>
      <c r="AE102" s="37">
        <v>0</v>
      </c>
      <c r="AF102" s="37">
        <v>0</v>
      </c>
      <c r="AG102" s="37">
        <v>0</v>
      </c>
      <c r="AH102" s="37">
        <v>0</v>
      </c>
      <c r="AI102" s="37">
        <v>0</v>
      </c>
      <c r="AJ102" s="37">
        <v>0</v>
      </c>
      <c r="AK102" s="37">
        <v>0</v>
      </c>
      <c r="AL102" s="37">
        <v>0</v>
      </c>
      <c r="AM102" s="37">
        <v>0</v>
      </c>
      <c r="AN102" s="37">
        <v>0</v>
      </c>
      <c r="AO102" s="37">
        <v>0</v>
      </c>
      <c r="AP102" s="37">
        <v>0</v>
      </c>
      <c r="AQ102" s="37">
        <v>0</v>
      </c>
      <c r="AR102" s="37">
        <v>0</v>
      </c>
      <c r="AS102" s="37">
        <v>0</v>
      </c>
      <c r="AT102" s="37">
        <v>0</v>
      </c>
      <c r="AU102" s="37">
        <v>0</v>
      </c>
      <c r="AV102" s="37">
        <v>0</v>
      </c>
      <c r="AW102" s="37">
        <v>0</v>
      </c>
      <c r="AX102" s="37">
        <v>0</v>
      </c>
      <c r="AY102" s="37">
        <v>0</v>
      </c>
      <c r="AZ102" s="37">
        <v>0</v>
      </c>
      <c r="BA102" s="37">
        <v>0</v>
      </c>
      <c r="BB102" s="37">
        <v>0</v>
      </c>
      <c r="BC102" s="37">
        <v>0</v>
      </c>
      <c r="BD102" s="37">
        <v>0</v>
      </c>
      <c r="BE102" s="37">
        <v>0</v>
      </c>
      <c r="BF102" s="37">
        <v>0</v>
      </c>
      <c r="BG102" s="37">
        <v>0</v>
      </c>
      <c r="BH102" s="37">
        <v>0</v>
      </c>
      <c r="BI102" s="37">
        <v>0</v>
      </c>
      <c r="BJ102" s="37">
        <v>0</v>
      </c>
      <c r="BK102" s="37">
        <v>0</v>
      </c>
      <c r="BL102" s="37">
        <v>0</v>
      </c>
      <c r="BM102" s="37">
        <v>0</v>
      </c>
      <c r="BN102" s="37">
        <v>0</v>
      </c>
      <c r="BO102" s="37">
        <v>0</v>
      </c>
      <c r="BP102" s="37">
        <v>0</v>
      </c>
      <c r="BQ102" s="37">
        <v>0</v>
      </c>
      <c r="BR102" s="37">
        <v>0</v>
      </c>
      <c r="BS102" s="37">
        <v>0</v>
      </c>
      <c r="BT102" s="37">
        <v>0</v>
      </c>
      <c r="BU102" s="37">
        <v>0</v>
      </c>
      <c r="BV102" s="37">
        <v>0</v>
      </c>
      <c r="BW102" s="37">
        <v>0</v>
      </c>
      <c r="BY102" s="66"/>
      <c r="BZ102" s="66"/>
    </row>
    <row r="103" spans="2:78">
      <c r="B103">
        <v>10338</v>
      </c>
      <c r="C103" t="s">
        <v>107</v>
      </c>
      <c r="D103" s="37">
        <v>15.608058873176901</v>
      </c>
      <c r="E103" s="37">
        <v>57.46641965468541</v>
      </c>
      <c r="F103" s="37">
        <v>-237.15409319355922</v>
      </c>
      <c r="G103" s="37">
        <v>5.5554416384438809</v>
      </c>
      <c r="H103" s="37">
        <v>35.831854419170668</v>
      </c>
      <c r="I103" s="37">
        <v>290.04712172204472</v>
      </c>
      <c r="J103" s="37">
        <v>-17.562061352159844</v>
      </c>
      <c r="K103" s="37">
        <v>250.62839580980142</v>
      </c>
      <c r="L103" s="37">
        <v>-30.013272723498403</v>
      </c>
      <c r="M103" s="37">
        <v>155.12094534674384</v>
      </c>
      <c r="N103" s="37">
        <v>-278.39417450905842</v>
      </c>
      <c r="O103" s="37">
        <v>73.68719403986222</v>
      </c>
      <c r="P103" s="37">
        <v>170.03824537935338</v>
      </c>
      <c r="Q103" s="37">
        <v>163.75955123241238</v>
      </c>
      <c r="R103" s="37">
        <v>163.85424574736726</v>
      </c>
      <c r="S103" s="37">
        <v>226.58764188580437</v>
      </c>
      <c r="T103" s="37">
        <v>428.65005521438161</v>
      </c>
      <c r="U103" s="37">
        <v>354.96522310771729</v>
      </c>
      <c r="V103" s="37">
        <v>602.21704036360325</v>
      </c>
      <c r="W103" s="37">
        <v>490.36803333778664</v>
      </c>
      <c r="X103" s="37">
        <v>383.44517870537084</v>
      </c>
      <c r="Y103" s="37">
        <v>415.20749321288213</v>
      </c>
      <c r="Z103" s="37">
        <v>160.16386859192005</v>
      </c>
      <c r="AA103" s="37">
        <v>177.90372276848575</v>
      </c>
      <c r="AB103" s="37">
        <v>24.680058873176904</v>
      </c>
      <c r="AC103" s="37">
        <v>63.447419654685405</v>
      </c>
      <c r="AD103" s="37">
        <v>-226.5970931935592</v>
      </c>
      <c r="AE103" s="37">
        <v>14.499441638443841</v>
      </c>
      <c r="AF103" s="37">
        <v>48.547854419170562</v>
      </c>
      <c r="AG103" s="37">
        <v>299.74312172204463</v>
      </c>
      <c r="AH103" s="37">
        <v>-57.410061352159801</v>
      </c>
      <c r="AI103" s="37">
        <v>312.94839580980158</v>
      </c>
      <c r="AJ103" s="37">
        <v>-18.864272723498289</v>
      </c>
      <c r="AK103" s="37">
        <v>163.31594534674389</v>
      </c>
      <c r="AL103" s="37">
        <v>-230.13017450905841</v>
      </c>
      <c r="AM103" s="37">
        <v>45.764194039862218</v>
      </c>
      <c r="AN103" s="37">
        <v>182.07324537935324</v>
      </c>
      <c r="AO103" s="37">
        <v>171.92655123241241</v>
      </c>
      <c r="AP103" s="37">
        <v>176.55624574736726</v>
      </c>
      <c r="AQ103" s="37">
        <v>236.03764188580431</v>
      </c>
      <c r="AR103" s="37">
        <v>442.90905521438162</v>
      </c>
      <c r="AS103" s="37">
        <v>363.65922310771714</v>
      </c>
      <c r="AT103" s="37">
        <v>616.50404036360328</v>
      </c>
      <c r="AU103" s="37">
        <v>499.83903333778665</v>
      </c>
      <c r="AV103" s="37">
        <v>397.40517870537087</v>
      </c>
      <c r="AW103" s="37">
        <v>424.25849321288217</v>
      </c>
      <c r="AX103" s="37">
        <v>171.99486859192007</v>
      </c>
      <c r="AY103" s="37">
        <v>186.03472276848572</v>
      </c>
      <c r="AZ103" s="37">
        <v>3.7220588731768203</v>
      </c>
      <c r="BA103" s="37">
        <v>104.24641965468538</v>
      </c>
      <c r="BB103" s="37">
        <v>-180.03909319355921</v>
      </c>
      <c r="BC103" s="37">
        <v>-12.45455836155611</v>
      </c>
      <c r="BD103" s="37">
        <v>61.327854419170535</v>
      </c>
      <c r="BE103" s="37">
        <v>309.48812172204475</v>
      </c>
      <c r="BF103" s="37">
        <v>-45.238061352159775</v>
      </c>
      <c r="BG103" s="37">
        <v>323.36139580980159</v>
      </c>
      <c r="BH103" s="37">
        <v>-13.017723142698287</v>
      </c>
      <c r="BI103" s="37">
        <v>163.98622013714385</v>
      </c>
      <c r="BJ103" s="37">
        <v>-218.17617450905846</v>
      </c>
      <c r="BK103" s="37">
        <v>54.25719403986227</v>
      </c>
      <c r="BL103" s="37">
        <v>153.0032453793533</v>
      </c>
      <c r="BM103" s="37">
        <v>221.30455123241234</v>
      </c>
      <c r="BN103" s="37">
        <v>239.79524574736729</v>
      </c>
      <c r="BO103" s="37">
        <v>195.06464188580435</v>
      </c>
      <c r="BP103" s="37">
        <v>457.24005521438153</v>
      </c>
      <c r="BQ103" s="37">
        <v>372.39622310771722</v>
      </c>
      <c r="BR103" s="37">
        <v>568.64004036360325</v>
      </c>
      <c r="BS103" s="37">
        <v>571.57903333778665</v>
      </c>
      <c r="BT103" s="37">
        <v>468.13717870537084</v>
      </c>
      <c r="BU103" s="37">
        <v>376.65249321288218</v>
      </c>
      <c r="BV103" s="37">
        <v>183.88986859191994</v>
      </c>
      <c r="BW103" s="37">
        <v>194.2087227684857</v>
      </c>
      <c r="BY103" s="66"/>
      <c r="BZ103" s="66"/>
    </row>
    <row r="104" spans="2:78">
      <c r="B104">
        <v>10342</v>
      </c>
      <c r="C104" t="s">
        <v>108</v>
      </c>
      <c r="D104" s="37">
        <v>3115.5511020331724</v>
      </c>
      <c r="E104" s="37">
        <v>438.0486718710381</v>
      </c>
      <c r="F104" s="37">
        <v>135.65275150492744</v>
      </c>
      <c r="G104" s="37">
        <v>442.50378846252352</v>
      </c>
      <c r="H104" s="37">
        <v>-119.69108622369095</v>
      </c>
      <c r="I104" s="37">
        <v>949.00449507035592</v>
      </c>
      <c r="J104" s="37">
        <v>-2055.4207327504373</v>
      </c>
      <c r="K104" s="37">
        <v>-735.40768723197652</v>
      </c>
      <c r="L104" s="37">
        <v>1108.9737510367486</v>
      </c>
      <c r="M104" s="37">
        <v>761.0321685202689</v>
      </c>
      <c r="N104" s="37">
        <v>-1644.1210416428221</v>
      </c>
      <c r="O104" s="37">
        <v>522.76486316205592</v>
      </c>
      <c r="P104" s="37">
        <v>2030.973456447824</v>
      </c>
      <c r="Q104" s="37">
        <v>4.2033136788122647</v>
      </c>
      <c r="R104" s="37">
        <v>-3378.4369353450074</v>
      </c>
      <c r="S104" s="37">
        <v>-2427.3322891479438</v>
      </c>
      <c r="T104" s="37">
        <v>-3898.7471718834386</v>
      </c>
      <c r="U104" s="37">
        <v>-2197.1392700235683</v>
      </c>
      <c r="V104" s="37">
        <v>1635.449927980284</v>
      </c>
      <c r="W104" s="37">
        <v>486.81644360659811</v>
      </c>
      <c r="X104" s="37">
        <v>723.8130701544942</v>
      </c>
      <c r="Y104" s="37">
        <v>1355.5232598352522</v>
      </c>
      <c r="Z104" s="37">
        <v>2006.1689747850833</v>
      </c>
      <c r="AA104" s="37">
        <v>738.59733990854147</v>
      </c>
      <c r="AB104" s="37">
        <v>3118.1021020331755</v>
      </c>
      <c r="AC104" s="37">
        <v>422.85267187103818</v>
      </c>
      <c r="AD104" s="37">
        <v>150.0547515049293</v>
      </c>
      <c r="AE104" s="37">
        <v>437.44878846252504</v>
      </c>
      <c r="AF104" s="37">
        <v>-97.994086223690829</v>
      </c>
      <c r="AG104" s="37">
        <v>947.93449507035803</v>
      </c>
      <c r="AH104" s="37">
        <v>-2815.1967327504353</v>
      </c>
      <c r="AI104" s="37">
        <v>32.403312768024989</v>
      </c>
      <c r="AJ104" s="37">
        <v>1127.7237510367486</v>
      </c>
      <c r="AK104" s="37">
        <v>759.32216852026795</v>
      </c>
      <c r="AL104" s="37">
        <v>-927.91404164281994</v>
      </c>
      <c r="AM104" s="37">
        <v>-191.38613683794392</v>
      </c>
      <c r="AN104" s="37">
        <v>2031.7694564478261</v>
      </c>
      <c r="AO104" s="37">
        <v>-9.8586863211876334</v>
      </c>
      <c r="AP104" s="37">
        <v>-3380.4989353450073</v>
      </c>
      <c r="AQ104" s="37">
        <v>-2445.6582891479429</v>
      </c>
      <c r="AR104" s="37">
        <v>-3897.535171883439</v>
      </c>
      <c r="AS104" s="37">
        <v>-2212.593270023568</v>
      </c>
      <c r="AT104" s="37">
        <v>1651.0679279802862</v>
      </c>
      <c r="AU104" s="37">
        <v>476.93744360660094</v>
      </c>
      <c r="AV104" s="37">
        <v>741.90807015449172</v>
      </c>
      <c r="AW104" s="37">
        <v>1347.0912598352534</v>
      </c>
      <c r="AX104" s="37">
        <v>2007.3279747850847</v>
      </c>
      <c r="AY104" s="37">
        <v>722.23733990854271</v>
      </c>
      <c r="AZ104" s="37">
        <v>2480.2231020331747</v>
      </c>
      <c r="BA104" s="37">
        <v>1040.8056718710395</v>
      </c>
      <c r="BB104" s="37">
        <v>894.32575150492994</v>
      </c>
      <c r="BC104" s="37">
        <v>-309.15321153747755</v>
      </c>
      <c r="BD104" s="37">
        <v>-87.500086223688413</v>
      </c>
      <c r="BE104" s="37">
        <v>942.27649507035676</v>
      </c>
      <c r="BF104" s="37">
        <v>-2811.5857327504345</v>
      </c>
      <c r="BG104" s="37">
        <v>22.954312768024465</v>
      </c>
      <c r="BH104" s="37">
        <v>1303.15662508475</v>
      </c>
      <c r="BI104" s="37">
        <v>719.36410554426948</v>
      </c>
      <c r="BJ104" s="37">
        <v>-926.05304164281915</v>
      </c>
      <c r="BK104" s="37">
        <v>-201.81513683794401</v>
      </c>
      <c r="BL104" s="37">
        <v>1389.2024564478252</v>
      </c>
      <c r="BM104" s="37">
        <v>612.19731367881286</v>
      </c>
      <c r="BN104" s="37">
        <v>-2793.2529353450082</v>
      </c>
      <c r="BO104" s="37">
        <v>-3058.7902891479425</v>
      </c>
      <c r="BP104" s="37">
        <v>-3902.2921718834368</v>
      </c>
      <c r="BQ104" s="37">
        <v>-2228.686270023567</v>
      </c>
      <c r="BR104" s="37">
        <v>938.04592798028898</v>
      </c>
      <c r="BS104" s="37">
        <v>1184.4324436065999</v>
      </c>
      <c r="BT104" s="37">
        <v>1486.294070154494</v>
      </c>
      <c r="BU104" s="37">
        <v>600.38825983525203</v>
      </c>
      <c r="BV104" s="37">
        <v>2002.7519747850838</v>
      </c>
      <c r="BW104" s="37">
        <v>705.22733990854249</v>
      </c>
      <c r="BY104" s="66"/>
      <c r="BZ104" s="66"/>
    </row>
    <row r="105" spans="2:78">
      <c r="B105">
        <v>10343</v>
      </c>
      <c r="C105" t="s">
        <v>109</v>
      </c>
      <c r="D105" s="37">
        <v>-147.37409714009573</v>
      </c>
      <c r="E105" s="37">
        <v>351.30227734419395</v>
      </c>
      <c r="F105" s="37">
        <v>-922.99632473010843</v>
      </c>
      <c r="G105" s="37">
        <v>-71.805188776395426</v>
      </c>
      <c r="H105" s="37">
        <v>-310.96592267259985</v>
      </c>
      <c r="I105" s="37">
        <v>1086.59145344741</v>
      </c>
      <c r="J105" s="37">
        <v>-684.03702354294728</v>
      </c>
      <c r="K105" s="37">
        <v>932.49962463568454</v>
      </c>
      <c r="L105" s="37">
        <v>-439.1480393139318</v>
      </c>
      <c r="M105" s="37">
        <v>666.79356490361488</v>
      </c>
      <c r="N105" s="37">
        <v>-1182.9803096179567</v>
      </c>
      <c r="O105" s="37">
        <v>345.60245238244397</v>
      </c>
      <c r="P105" s="37">
        <v>-104.92720156256837</v>
      </c>
      <c r="Q105" s="37">
        <v>427.08026090257135</v>
      </c>
      <c r="R105" s="37">
        <v>-695.60890535028557</v>
      </c>
      <c r="S105" s="37">
        <v>220.40473878389412</v>
      </c>
      <c r="T105" s="37">
        <v>-1125.2305573698659</v>
      </c>
      <c r="U105" s="37">
        <v>301.86092225687571</v>
      </c>
      <c r="V105" s="37">
        <v>-39.373094226622925</v>
      </c>
      <c r="W105" s="37">
        <v>948.34820248520282</v>
      </c>
      <c r="X105" s="37">
        <v>-728.31089257995973</v>
      </c>
      <c r="Y105" s="37">
        <v>600.20439681582911</v>
      </c>
      <c r="Z105" s="37">
        <v>-61.556407036732708</v>
      </c>
      <c r="AA105" s="37">
        <v>633.97597183606331</v>
      </c>
      <c r="AB105" s="37">
        <v>-167.80383472919493</v>
      </c>
      <c r="AC105" s="37">
        <v>338.94474282474266</v>
      </c>
      <c r="AD105" s="37">
        <v>-922.99632473010843</v>
      </c>
      <c r="AE105" s="37">
        <v>-71.805188776395426</v>
      </c>
      <c r="AF105" s="37">
        <v>-310.96592267259985</v>
      </c>
      <c r="AG105" s="37">
        <v>1086.59145344741</v>
      </c>
      <c r="AH105" s="37">
        <v>-680.03702354294728</v>
      </c>
      <c r="AI105" s="37">
        <v>928.49962463568454</v>
      </c>
      <c r="AJ105" s="37">
        <v>-439.1480393139318</v>
      </c>
      <c r="AK105" s="37">
        <v>666.79356490361488</v>
      </c>
      <c r="AL105" s="37">
        <v>-1187.9803096179567</v>
      </c>
      <c r="AM105" s="37">
        <v>350.60245238244397</v>
      </c>
      <c r="AN105" s="37">
        <v>-104.92720156256837</v>
      </c>
      <c r="AO105" s="37">
        <v>427.08026090257135</v>
      </c>
      <c r="AP105" s="37">
        <v>-695.60890535028557</v>
      </c>
      <c r="AQ105" s="37">
        <v>220.40473878389412</v>
      </c>
      <c r="AR105" s="37">
        <v>-1125.2305573698659</v>
      </c>
      <c r="AS105" s="37">
        <v>301.86092225687571</v>
      </c>
      <c r="AT105" s="37">
        <v>-39.373094226622925</v>
      </c>
      <c r="AU105" s="37">
        <v>948.34820248520282</v>
      </c>
      <c r="AV105" s="37">
        <v>-728.31089257995973</v>
      </c>
      <c r="AW105" s="37">
        <v>600.20439681582911</v>
      </c>
      <c r="AX105" s="37">
        <v>-61.556407036732708</v>
      </c>
      <c r="AY105" s="37">
        <v>633.97597183606331</v>
      </c>
      <c r="AZ105" s="37">
        <v>-164.80383472919493</v>
      </c>
      <c r="BA105" s="37">
        <v>338.94474282474266</v>
      </c>
      <c r="BB105" s="37">
        <v>-949.32055844950355</v>
      </c>
      <c r="BC105" s="37">
        <v>-86.39840335046074</v>
      </c>
      <c r="BD105" s="37">
        <v>-329.51442103400768</v>
      </c>
      <c r="BE105" s="37">
        <v>1078.4833189468263</v>
      </c>
      <c r="BF105" s="37">
        <v>-644.72984292519413</v>
      </c>
      <c r="BG105" s="37">
        <v>966.91097632489027</v>
      </c>
      <c r="BH105" s="37">
        <v>-445.98173474406212</v>
      </c>
      <c r="BI105" s="37">
        <v>716.72146970790891</v>
      </c>
      <c r="BJ105" s="37">
        <v>-1115.4693709368521</v>
      </c>
      <c r="BK105" s="37">
        <v>408.2870028380903</v>
      </c>
      <c r="BL105" s="37">
        <v>-81.829922544400688</v>
      </c>
      <c r="BM105" s="37">
        <v>444.0340453326553</v>
      </c>
      <c r="BN105" s="37">
        <v>-724.21311470247747</v>
      </c>
      <c r="BO105" s="37">
        <v>205.07343446594996</v>
      </c>
      <c r="BP105" s="37">
        <v>-1154.476680921136</v>
      </c>
      <c r="BQ105" s="37">
        <v>286.23338102490607</v>
      </c>
      <c r="BR105" s="37">
        <v>-62.682118008289763</v>
      </c>
      <c r="BS105" s="37">
        <v>931.71578372289196</v>
      </c>
      <c r="BT105" s="37">
        <v>-756.54587943403385</v>
      </c>
      <c r="BU105" s="37">
        <v>587.46678864056639</v>
      </c>
      <c r="BV105" s="37">
        <v>-78.362058521011022</v>
      </c>
      <c r="BW105" s="37">
        <v>624.96149182971976</v>
      </c>
      <c r="BY105" s="66"/>
      <c r="BZ105" s="66"/>
    </row>
    <row r="106" spans="2:78">
      <c r="B106">
        <v>10349</v>
      </c>
      <c r="C106" t="s">
        <v>110</v>
      </c>
      <c r="D106" s="37">
        <v>28370.11724389618</v>
      </c>
      <c r="E106" s="37">
        <v>30151.136778974134</v>
      </c>
      <c r="F106" s="37">
        <v>108317.34062599618</v>
      </c>
      <c r="G106" s="37">
        <v>74789.836954439903</v>
      </c>
      <c r="H106" s="37">
        <v>67063.784908258647</v>
      </c>
      <c r="I106" s="37">
        <v>73709.834519912169</v>
      </c>
      <c r="J106" s="37">
        <v>85785.514577864844</v>
      </c>
      <c r="K106" s="37">
        <v>79802.15423067825</v>
      </c>
      <c r="L106" s="37">
        <v>85742.248160897812</v>
      </c>
      <c r="M106" s="37">
        <v>78772.48974417444</v>
      </c>
      <c r="N106" s="37">
        <v>77513.891842689132</v>
      </c>
      <c r="O106" s="37">
        <v>84413.252551217243</v>
      </c>
      <c r="P106" s="37">
        <v>-25774.783405922644</v>
      </c>
      <c r="Q106" s="37">
        <v>-9269.3446198268648</v>
      </c>
      <c r="R106" s="37">
        <v>-184285.63900254614</v>
      </c>
      <c r="S106" s="37">
        <v>-119252.98792188818</v>
      </c>
      <c r="T106" s="37">
        <v>-260367.872262285</v>
      </c>
      <c r="U106" s="37">
        <v>-139126.46071285295</v>
      </c>
      <c r="V106" s="37">
        <v>-99167.970393273616</v>
      </c>
      <c r="W106" s="37">
        <v>-46167.70603511401</v>
      </c>
      <c r="X106" s="37">
        <v>-92661.143623096548</v>
      </c>
      <c r="Y106" s="37">
        <v>-22432.862270683268</v>
      </c>
      <c r="Z106" s="37">
        <v>68091.569528046093</v>
      </c>
      <c r="AA106" s="37">
        <v>55982.18611223271</v>
      </c>
      <c r="AB106" s="37">
        <v>24394.240540257597</v>
      </c>
      <c r="AC106" s="37">
        <v>28105.333283768545</v>
      </c>
      <c r="AD106" s="37">
        <v>111311.71246774041</v>
      </c>
      <c r="AE106" s="37">
        <v>76857.361387002573</v>
      </c>
      <c r="AF106" s="37">
        <v>68917.699854678474</v>
      </c>
      <c r="AG106" s="37">
        <v>75747.501572787558</v>
      </c>
      <c r="AH106" s="37">
        <v>88156.986755471909</v>
      </c>
      <c r="AI106" s="37">
        <v>82008.239932111261</v>
      </c>
      <c r="AJ106" s="37">
        <v>88112.53490817704</v>
      </c>
      <c r="AK106" s="37">
        <v>80950.117451762082</v>
      </c>
      <c r="AL106" s="37">
        <v>79656.701856976491</v>
      </c>
      <c r="AM106" s="37">
        <v>86746.816957257164</v>
      </c>
      <c r="AN106" s="37">
        <v>-26487.359122096939</v>
      </c>
      <c r="AO106" s="37">
        <v>-9525.6166157496336</v>
      </c>
      <c r="AP106" s="37">
        <v>-189380.23160247877</v>
      </c>
      <c r="AQ106" s="37">
        <v>-122549.74739649303</v>
      </c>
      <c r="AR106" s="37">
        <v>-267565.75049275783</v>
      </c>
      <c r="AS106" s="37">
        <v>-142972.61620871606</v>
      </c>
      <c r="AT106" s="37">
        <v>-101909.49652607046</v>
      </c>
      <c r="AU106" s="37">
        <v>-47444.030019058322</v>
      </c>
      <c r="AV106" s="37">
        <v>-95222.792893220205</v>
      </c>
      <c r="AW106" s="37">
        <v>-23053.038781767129</v>
      </c>
      <c r="AX106" s="37">
        <v>69973.915906871116</v>
      </c>
      <c r="AY106" s="37">
        <v>57529.783948443583</v>
      </c>
      <c r="AZ106" s="37">
        <v>30504.086812257709</v>
      </c>
      <c r="BA106" s="37">
        <v>32178.564131768406</v>
      </c>
      <c r="BB106" s="37">
        <v>115110.54696792123</v>
      </c>
      <c r="BC106" s="37">
        <v>79457.396362445492</v>
      </c>
      <c r="BD106" s="37">
        <v>71652.026850070048</v>
      </c>
      <c r="BE106" s="37">
        <v>78329.3909765516</v>
      </c>
      <c r="BF106" s="37">
        <v>91464.7908154084</v>
      </c>
      <c r="BG106" s="37">
        <v>84805.238859696168</v>
      </c>
      <c r="BH106" s="37">
        <v>82828.919184956641</v>
      </c>
      <c r="BI106" s="37">
        <v>79398.458648762695</v>
      </c>
      <c r="BJ106" s="37">
        <v>82641.75844807364</v>
      </c>
      <c r="BK106" s="37">
        <v>89593.655799022556</v>
      </c>
      <c r="BL106" s="37">
        <v>-26698.935328464082</v>
      </c>
      <c r="BM106" s="37">
        <v>-9459.5463219400553</v>
      </c>
      <c r="BN106" s="37">
        <v>-194051.55081353951</v>
      </c>
      <c r="BO106" s="37">
        <v>-125569.63359057407</v>
      </c>
      <c r="BP106" s="37">
        <v>-274380.09728020383</v>
      </c>
      <c r="BQ106" s="37">
        <v>-146613.83331576502</v>
      </c>
      <c r="BR106" s="37">
        <v>-104140.59130399904</v>
      </c>
      <c r="BS106" s="37">
        <v>-48409.445081876809</v>
      </c>
      <c r="BT106" s="37">
        <v>-97215.279361419874</v>
      </c>
      <c r="BU106" s="37">
        <v>-23351.724507403414</v>
      </c>
      <c r="BV106" s="37">
        <v>72461.895402234222</v>
      </c>
      <c r="BW106" s="37">
        <v>59465.540967765468</v>
      </c>
      <c r="BY106" s="66"/>
      <c r="BZ106" s="66"/>
    </row>
    <row r="107" spans="2:78">
      <c r="B107">
        <v>10352</v>
      </c>
      <c r="C107" t="s">
        <v>111</v>
      </c>
      <c r="D107" s="37">
        <v>1084.6576426591864</v>
      </c>
      <c r="E107" s="37">
        <v>-14.841819705085527</v>
      </c>
      <c r="F107" s="37">
        <v>303.87966893877638</v>
      </c>
      <c r="G107" s="37">
        <v>383.42137537195049</v>
      </c>
      <c r="H107" s="37">
        <v>1426.1279350834866</v>
      </c>
      <c r="I107" s="37">
        <v>1457.9439299730193</v>
      </c>
      <c r="J107" s="37">
        <v>830.56775013519109</v>
      </c>
      <c r="K107" s="37">
        <v>775.71812291780498</v>
      </c>
      <c r="L107" s="37">
        <v>1611.0235361072246</v>
      </c>
      <c r="M107" s="37">
        <v>1178.2345995805817</v>
      </c>
      <c r="N107" s="37">
        <v>489.49059749617663</v>
      </c>
      <c r="O107" s="37">
        <v>1088.3921437082781</v>
      </c>
      <c r="P107" s="37">
        <v>1397.354208440468</v>
      </c>
      <c r="Q107" s="37">
        <v>349.01240817394046</v>
      </c>
      <c r="R107" s="37">
        <v>-1991.1367575067752</v>
      </c>
      <c r="S107" s="37">
        <v>-1566.7897438276605</v>
      </c>
      <c r="T107" s="37">
        <v>-2602.7595588694821</v>
      </c>
      <c r="U107" s="37">
        <v>-1611.2296304023084</v>
      </c>
      <c r="V107" s="37">
        <v>-1205.0530017098308</v>
      </c>
      <c r="W107" s="37">
        <v>-988.03348087995437</v>
      </c>
      <c r="X107" s="37">
        <v>-1394.6165467138671</v>
      </c>
      <c r="Y107" s="37">
        <v>-514.37771088311229</v>
      </c>
      <c r="Z107" s="37">
        <v>-65.669515180158669</v>
      </c>
      <c r="AA107" s="37">
        <v>-417.01773547781113</v>
      </c>
      <c r="AB107" s="37">
        <v>1084.3166426591861</v>
      </c>
      <c r="AC107" s="37">
        <v>-29.612819705085258</v>
      </c>
      <c r="AD107" s="37">
        <v>317.12466893877536</v>
      </c>
      <c r="AE107" s="37">
        <v>380.45637537195034</v>
      </c>
      <c r="AF107" s="37">
        <v>1459.9609350834871</v>
      </c>
      <c r="AG107" s="37">
        <v>1468.3909299730194</v>
      </c>
      <c r="AH107" s="37">
        <v>471.15275013519022</v>
      </c>
      <c r="AI107" s="37">
        <v>1174.3781229178048</v>
      </c>
      <c r="AJ107" s="37">
        <v>1637.5595361072228</v>
      </c>
      <c r="AK107" s="37">
        <v>1185.1245995805812</v>
      </c>
      <c r="AL107" s="37">
        <v>853.59959749617701</v>
      </c>
      <c r="AM107" s="37">
        <v>745.05114370827869</v>
      </c>
      <c r="AN107" s="37">
        <v>1403.9432084404671</v>
      </c>
      <c r="AO107" s="37">
        <v>341.0054081739404</v>
      </c>
      <c r="AP107" s="37">
        <v>-1999.3397575067756</v>
      </c>
      <c r="AQ107" s="37">
        <v>-1587.9197438276601</v>
      </c>
      <c r="AR107" s="37">
        <v>-2612.1125588694831</v>
      </c>
      <c r="AS107" s="37">
        <v>-1631.2606304023084</v>
      </c>
      <c r="AT107" s="37">
        <v>-1211.7150017098311</v>
      </c>
      <c r="AU107" s="37">
        <v>-1008.5224808799539</v>
      </c>
      <c r="AV107" s="37">
        <v>-1397.7685467138681</v>
      </c>
      <c r="AW107" s="37">
        <v>-532.72871088311194</v>
      </c>
      <c r="AX107" s="37">
        <v>-74.009515180158814</v>
      </c>
      <c r="AY107" s="37">
        <v>-437.95973547781114</v>
      </c>
      <c r="AZ107" s="37">
        <v>822.95364265918488</v>
      </c>
      <c r="BA107" s="37">
        <v>207.09918029491428</v>
      </c>
      <c r="BB107" s="37">
        <v>645.00066893877556</v>
      </c>
      <c r="BC107" s="37">
        <v>52.995375371950104</v>
      </c>
      <c r="BD107" s="37">
        <v>1487.3959350834866</v>
      </c>
      <c r="BE107" s="37">
        <v>1474.2029299730193</v>
      </c>
      <c r="BF107" s="37">
        <v>495.05175013518965</v>
      </c>
      <c r="BG107" s="37">
        <v>1178.821122917805</v>
      </c>
      <c r="BH107" s="37">
        <v>1777.0089135408243</v>
      </c>
      <c r="BI107" s="37">
        <v>1195.923288297382</v>
      </c>
      <c r="BJ107" s="37">
        <v>867.04159749617611</v>
      </c>
      <c r="BK107" s="37">
        <v>741.96014370827925</v>
      </c>
      <c r="BL107" s="37">
        <v>1115.2372084404669</v>
      </c>
      <c r="BM107" s="37">
        <v>618.74940817394099</v>
      </c>
      <c r="BN107" s="37">
        <v>-1793.300757506775</v>
      </c>
      <c r="BO107" s="37">
        <v>-1832.4587438276603</v>
      </c>
      <c r="BP107" s="37">
        <v>-2626.7785588694824</v>
      </c>
      <c r="BQ107" s="37">
        <v>-1654.8416304023081</v>
      </c>
      <c r="BR107" s="37">
        <v>-1448.7300017098314</v>
      </c>
      <c r="BS107" s="37">
        <v>-807.89348087995404</v>
      </c>
      <c r="BT107" s="37">
        <v>-1167.111546713867</v>
      </c>
      <c r="BU107" s="37">
        <v>-794.24571088311222</v>
      </c>
      <c r="BV107" s="37">
        <v>-87.468515180159557</v>
      </c>
      <c r="BW107" s="37">
        <v>-462.63973547781097</v>
      </c>
      <c r="BY107" s="66"/>
      <c r="BZ107" s="66"/>
    </row>
    <row r="108" spans="2:78">
      <c r="B108">
        <v>10354</v>
      </c>
      <c r="C108" t="s">
        <v>112</v>
      </c>
      <c r="D108" s="37">
        <v>54584.190221521363</v>
      </c>
      <c r="E108" s="37">
        <v>22548.81761319848</v>
      </c>
      <c r="F108" s="37">
        <v>13746.002624887507</v>
      </c>
      <c r="G108" s="37">
        <v>1886.546950827993</v>
      </c>
      <c r="H108" s="37">
        <v>-6102.5968883627793</v>
      </c>
      <c r="I108" s="37">
        <v>30517.17803956315</v>
      </c>
      <c r="J108" s="37">
        <v>-4507.4769536813837</v>
      </c>
      <c r="K108" s="37">
        <v>21693.006886892952</v>
      </c>
      <c r="L108" s="37">
        <v>28125.509013519099</v>
      </c>
      <c r="M108" s="37">
        <v>29326.702284751955</v>
      </c>
      <c r="N108" s="37">
        <v>2204.0441969027161</v>
      </c>
      <c r="O108" s="37">
        <v>23116.547019489197</v>
      </c>
      <c r="P108" s="37">
        <v>45789.291923846176</v>
      </c>
      <c r="Q108" s="37">
        <v>17839.611316978495</v>
      </c>
      <c r="R108" s="37">
        <v>-64876.874432081182</v>
      </c>
      <c r="S108" s="37">
        <v>-47502.708593233663</v>
      </c>
      <c r="T108" s="37">
        <v>-97297.621677735995</v>
      </c>
      <c r="U108" s="37">
        <v>-39137.558930622909</v>
      </c>
      <c r="V108" s="37">
        <v>-31255.190112085838</v>
      </c>
      <c r="W108" s="37">
        <v>-2724.8898120477679</v>
      </c>
      <c r="X108" s="37">
        <v>-43699.099481937068</v>
      </c>
      <c r="Y108" s="37">
        <v>-1285.5557934879907</v>
      </c>
      <c r="Z108" s="37">
        <v>26437.665481012955</v>
      </c>
      <c r="AA108" s="37">
        <v>20575.199033840065</v>
      </c>
      <c r="AB108" s="37">
        <v>53588.840078107198</v>
      </c>
      <c r="AC108" s="37">
        <v>21810.258367394825</v>
      </c>
      <c r="AD108" s="37">
        <v>14984.157784674491</v>
      </c>
      <c r="AE108" s="37">
        <v>2646.9742882336141</v>
      </c>
      <c r="AF108" s="37">
        <v>-4884.1184674089309</v>
      </c>
      <c r="AG108" s="37">
        <v>31782.378257450153</v>
      </c>
      <c r="AH108" s="37">
        <v>-4240.7348378545139</v>
      </c>
      <c r="AI108" s="37">
        <v>20969.671173510549</v>
      </c>
      <c r="AJ108" s="37">
        <v>28064.327197032108</v>
      </c>
      <c r="AK108" s="37">
        <v>29464.923208381108</v>
      </c>
      <c r="AL108" s="37">
        <v>1331.1893762287218</v>
      </c>
      <c r="AM108" s="37">
        <v>23595.352896559925</v>
      </c>
      <c r="AN108" s="37">
        <v>45983.311463399848</v>
      </c>
      <c r="AO108" s="37">
        <v>17855.053090768313</v>
      </c>
      <c r="AP108" s="37">
        <v>-66018.677867796097</v>
      </c>
      <c r="AQ108" s="37">
        <v>-48279.476634326333</v>
      </c>
      <c r="AR108" s="37">
        <v>-98870.733703981037</v>
      </c>
      <c r="AS108" s="37">
        <v>-39817.209120655985</v>
      </c>
      <c r="AT108" s="37">
        <v>-32024.91999819479</v>
      </c>
      <c r="AU108" s="37">
        <v>-2981.0545162212511</v>
      </c>
      <c r="AV108" s="37">
        <v>-44648.848740823683</v>
      </c>
      <c r="AW108" s="37">
        <v>-1509.9810369870102</v>
      </c>
      <c r="AX108" s="37">
        <v>26408.797652412031</v>
      </c>
      <c r="AY108" s="37">
        <v>20624.420964901306</v>
      </c>
      <c r="AZ108" s="37">
        <v>57846.840078107198</v>
      </c>
      <c r="BA108" s="37">
        <v>23654.258367394825</v>
      </c>
      <c r="BB108" s="37">
        <v>15306.636182867747</v>
      </c>
      <c r="BC108" s="37">
        <v>3960.1657524916518</v>
      </c>
      <c r="BD108" s="37">
        <v>-3872.284588276525</v>
      </c>
      <c r="BE108" s="37">
        <v>32790.029265224119</v>
      </c>
      <c r="BF108" s="37">
        <v>-2905.7311239021365</v>
      </c>
      <c r="BG108" s="37">
        <v>22089.465742619737</v>
      </c>
      <c r="BH108" s="37">
        <v>16304.211647830438</v>
      </c>
      <c r="BI108" s="37">
        <v>23869.428538772336</v>
      </c>
      <c r="BJ108" s="37">
        <v>2533.1542415233562</v>
      </c>
      <c r="BK108" s="37">
        <v>24536.33373927747</v>
      </c>
      <c r="BL108" s="37">
        <v>47831.313758873264</v>
      </c>
      <c r="BM108" s="37">
        <v>18224.427719604224</v>
      </c>
      <c r="BN108" s="37">
        <v>-66124.369790530414</v>
      </c>
      <c r="BO108" s="37">
        <v>-47671.487967898021</v>
      </c>
      <c r="BP108" s="37">
        <v>-98856.282823661517</v>
      </c>
      <c r="BQ108" s="37">
        <v>-39635.691575959499</v>
      </c>
      <c r="BR108" s="37">
        <v>-31044.908590194013</v>
      </c>
      <c r="BS108" s="37">
        <v>-2728.1682424693718</v>
      </c>
      <c r="BT108" s="37">
        <v>-44395.20529797452</v>
      </c>
      <c r="BU108" s="37">
        <v>-629.67453166600899</v>
      </c>
      <c r="BV108" s="37">
        <v>27539.124982764537</v>
      </c>
      <c r="BW108" s="37">
        <v>21382.117429917853</v>
      </c>
      <c r="BY108" s="66"/>
      <c r="BZ108" s="66"/>
    </row>
    <row r="109" spans="2:78">
      <c r="B109">
        <v>10360</v>
      </c>
      <c r="C109" t="s">
        <v>113</v>
      </c>
      <c r="D109" s="37">
        <v>-447.7968952871563</v>
      </c>
      <c r="E109" s="37">
        <v>-136.16134621712172</v>
      </c>
      <c r="F109" s="37">
        <v>-1356.1704391723363</v>
      </c>
      <c r="G109" s="37">
        <v>-535.59341106081365</v>
      </c>
      <c r="H109" s="37">
        <v>-1158.9178901098139</v>
      </c>
      <c r="I109" s="37">
        <v>-123.15641988081961</v>
      </c>
      <c r="J109" s="37">
        <v>-1345.9070694696566</v>
      </c>
      <c r="K109" s="37">
        <v>-294.44173840887925</v>
      </c>
      <c r="L109" s="37">
        <v>-1080.3713033265428</v>
      </c>
      <c r="M109" s="37">
        <v>-273.21682748261651</v>
      </c>
      <c r="N109" s="37">
        <v>-1642.5132509093228</v>
      </c>
      <c r="O109" s="37">
        <v>-434.8719258160063</v>
      </c>
      <c r="P109" s="37">
        <v>-238.36874425494261</v>
      </c>
      <c r="Q109" s="37">
        <v>-12.528645621517398</v>
      </c>
      <c r="R109" s="37">
        <v>48.757284804024493</v>
      </c>
      <c r="S109" s="37">
        <v>445.35695794015191</v>
      </c>
      <c r="T109" s="37">
        <v>1919.0958052448245</v>
      </c>
      <c r="U109" s="37">
        <v>1813.8785241778471</v>
      </c>
      <c r="V109" s="37">
        <v>2780.1970811322071</v>
      </c>
      <c r="W109" s="37">
        <v>2560.4299043631158</v>
      </c>
      <c r="X109" s="37">
        <v>1724.438377297497</v>
      </c>
      <c r="Y109" s="37">
        <v>1992.1585792751141</v>
      </c>
      <c r="Z109" s="37">
        <v>397.76742146146489</v>
      </c>
      <c r="AA109" s="37">
        <v>662.59701695304193</v>
      </c>
      <c r="AB109" s="37">
        <v>-420.32789528715648</v>
      </c>
      <c r="AC109" s="37">
        <v>-117.72134621712166</v>
      </c>
      <c r="AD109" s="37">
        <v>-1332.4354391723361</v>
      </c>
      <c r="AE109" s="37">
        <v>-515.14441106081381</v>
      </c>
      <c r="AF109" s="37">
        <v>-1131.0528901098141</v>
      </c>
      <c r="AG109" s="37">
        <v>-101.78541988081952</v>
      </c>
      <c r="AH109" s="37">
        <v>-1413.6150694696566</v>
      </c>
      <c r="AI109" s="37">
        <v>-177.60573840887946</v>
      </c>
      <c r="AJ109" s="37">
        <v>-1055.7903033265429</v>
      </c>
      <c r="AK109" s="37">
        <v>-254.95682748261652</v>
      </c>
      <c r="AL109" s="37">
        <v>-1547.6602509093229</v>
      </c>
      <c r="AM109" s="37">
        <v>-484.26792581600625</v>
      </c>
      <c r="AN109" s="37">
        <v>-210.90974425494278</v>
      </c>
      <c r="AO109" s="37">
        <v>6.2403543784823796</v>
      </c>
      <c r="AP109" s="37">
        <v>41.790284804024395</v>
      </c>
      <c r="AQ109" s="37">
        <v>439.93695794015184</v>
      </c>
      <c r="AR109" s="37">
        <v>1918.2868052448252</v>
      </c>
      <c r="AS109" s="37">
        <v>1813.3295241778471</v>
      </c>
      <c r="AT109" s="37">
        <v>2780.6050811322066</v>
      </c>
      <c r="AU109" s="37">
        <v>2560.7319043631164</v>
      </c>
      <c r="AV109" s="37">
        <v>1722.2353772974975</v>
      </c>
      <c r="AW109" s="37">
        <v>1990.555579275114</v>
      </c>
      <c r="AX109" s="37">
        <v>389.72042146146487</v>
      </c>
      <c r="AY109" s="37">
        <v>656.50401695304208</v>
      </c>
      <c r="AZ109" s="37">
        <v>-466.35889528715643</v>
      </c>
      <c r="BA109" s="37">
        <v>-25.535346217121742</v>
      </c>
      <c r="BB109" s="37">
        <v>-1237.0594391723362</v>
      </c>
      <c r="BC109" s="37">
        <v>-566.10141106081369</v>
      </c>
      <c r="BD109" s="37">
        <v>-1103.0428901098139</v>
      </c>
      <c r="BE109" s="37">
        <v>-80.304419880819523</v>
      </c>
      <c r="BF109" s="37">
        <v>-1386.9960694696565</v>
      </c>
      <c r="BG109" s="37">
        <v>-154.84373840887929</v>
      </c>
      <c r="BH109" s="37">
        <v>-1071.243763550543</v>
      </c>
      <c r="BI109" s="37">
        <v>-260.75855759461638</v>
      </c>
      <c r="BJ109" s="37">
        <v>-1521.092250909323</v>
      </c>
      <c r="BK109" s="37">
        <v>-465.13192581600629</v>
      </c>
      <c r="BL109" s="37">
        <v>-269.78374425494258</v>
      </c>
      <c r="BM109" s="37">
        <v>111.58335437848245</v>
      </c>
      <c r="BN109" s="37">
        <v>157.31328480402453</v>
      </c>
      <c r="BO109" s="37">
        <v>311.89195794015177</v>
      </c>
      <c r="BP109" s="37">
        <v>1917.4228052448248</v>
      </c>
      <c r="BQ109" s="37">
        <v>1812.7425241778471</v>
      </c>
      <c r="BR109" s="37">
        <v>2565.509081132207</v>
      </c>
      <c r="BS109" s="37">
        <v>2776.443904363116</v>
      </c>
      <c r="BT109" s="37">
        <v>1903.5093772974969</v>
      </c>
      <c r="BU109" s="37">
        <v>1805.3795792751141</v>
      </c>
      <c r="BV109" s="37">
        <v>381.59642146146507</v>
      </c>
      <c r="BW109" s="37">
        <v>650.35201695304204</v>
      </c>
      <c r="BY109" s="66"/>
      <c r="BZ109" s="66"/>
    </row>
    <row r="110" spans="2:78">
      <c r="B110">
        <v>10363</v>
      </c>
      <c r="C110" t="s">
        <v>114</v>
      </c>
      <c r="D110" s="37">
        <v>6378.7485471791479</v>
      </c>
      <c r="E110" s="37">
        <v>2123.1706831166521</v>
      </c>
      <c r="F110" s="37">
        <v>-2427.5301927022665</v>
      </c>
      <c r="G110" s="37">
        <v>1207.6525360026535</v>
      </c>
      <c r="H110" s="37">
        <v>2833.3861086532634</v>
      </c>
      <c r="I110" s="37">
        <v>6226.6965310221349</v>
      </c>
      <c r="J110" s="37">
        <v>750.85466191161686</v>
      </c>
      <c r="K110" s="37">
        <v>3978.794988988946</v>
      </c>
      <c r="L110" s="37">
        <v>2902.7135713578682</v>
      </c>
      <c r="M110" s="37">
        <v>4006.8192115542734</v>
      </c>
      <c r="N110" s="37">
        <v>-2438.6480686174837</v>
      </c>
      <c r="O110" s="37">
        <v>3808.5999244826453</v>
      </c>
      <c r="P110" s="37">
        <v>5482.0188485689141</v>
      </c>
      <c r="Q110" s="37">
        <v>1843.0840694877988</v>
      </c>
      <c r="R110" s="37">
        <v>-9055.1509584903033</v>
      </c>
      <c r="S110" s="37">
        <v>-5258.8018531328744</v>
      </c>
      <c r="T110" s="37">
        <v>-11233.42539602553</v>
      </c>
      <c r="U110" s="37">
        <v>-5318.3158146215137</v>
      </c>
      <c r="V110" s="37">
        <v>-2483.6443354851508</v>
      </c>
      <c r="W110" s="37">
        <v>-1140.2633893932871</v>
      </c>
      <c r="X110" s="37">
        <v>-5390.0482864701844</v>
      </c>
      <c r="Y110" s="37">
        <v>615.1756888411328</v>
      </c>
      <c r="Z110" s="37">
        <v>1600.9644185870857</v>
      </c>
      <c r="AA110" s="37">
        <v>986.56671238333001</v>
      </c>
      <c r="AB110" s="37">
        <v>6324.433031061526</v>
      </c>
      <c r="AC110" s="37">
        <v>2086.5086108439646</v>
      </c>
      <c r="AD110" s="37">
        <v>-2440.143251395908</v>
      </c>
      <c r="AE110" s="37">
        <v>1204.7736308653184</v>
      </c>
      <c r="AF110" s="37">
        <v>2761.5192281360869</v>
      </c>
      <c r="AG110" s="37">
        <v>6189.2958089188942</v>
      </c>
      <c r="AH110" s="37">
        <v>-1362.2342190306808</v>
      </c>
      <c r="AI110" s="37">
        <v>6025.7077643396697</v>
      </c>
      <c r="AJ110" s="37">
        <v>2888.6037963012932</v>
      </c>
      <c r="AK110" s="37">
        <v>4002.64702244609</v>
      </c>
      <c r="AL110" s="37">
        <v>-713.28250448412291</v>
      </c>
      <c r="AM110" s="37">
        <v>2072.2547159018031</v>
      </c>
      <c r="AN110" s="37">
        <v>5491.6873520735899</v>
      </c>
      <c r="AO110" s="37">
        <v>1845.8490217316248</v>
      </c>
      <c r="AP110" s="37">
        <v>-9067.2472130015376</v>
      </c>
      <c r="AQ110" s="37">
        <v>-5265.1926576545084</v>
      </c>
      <c r="AR110" s="37">
        <v>-11247.879093642492</v>
      </c>
      <c r="AS110" s="37">
        <v>-5324.4067646236363</v>
      </c>
      <c r="AT110" s="37">
        <v>-2418.3347959090315</v>
      </c>
      <c r="AU110" s="37">
        <v>-1101.3264808907443</v>
      </c>
      <c r="AV110" s="37">
        <v>-5333.3343937726095</v>
      </c>
      <c r="AW110" s="37">
        <v>656.80715730986412</v>
      </c>
      <c r="AX110" s="37">
        <v>1615.2136262100466</v>
      </c>
      <c r="AY110" s="37">
        <v>995.24772957700043</v>
      </c>
      <c r="AZ110" s="37">
        <v>4924.9140310615257</v>
      </c>
      <c r="BA110" s="37">
        <v>3619.7076108439614</v>
      </c>
      <c r="BB110" s="37">
        <v>-801.48466961254599</v>
      </c>
      <c r="BC110" s="37">
        <v>-454.68151841688086</v>
      </c>
      <c r="BD110" s="37">
        <v>2686.2462085028455</v>
      </c>
      <c r="BE110" s="37">
        <v>6149.8957348282602</v>
      </c>
      <c r="BF110" s="37">
        <v>-1439.464149546322</v>
      </c>
      <c r="BG110" s="37">
        <v>5984.9197436161558</v>
      </c>
      <c r="BH110" s="37">
        <v>3276.9701177013121</v>
      </c>
      <c r="BI110" s="37">
        <v>3986.6119830233765</v>
      </c>
      <c r="BJ110" s="37">
        <v>-754.44366652687313</v>
      </c>
      <c r="BK110" s="37">
        <v>2053.2783086213858</v>
      </c>
      <c r="BL110" s="37">
        <v>3922.2983071492563</v>
      </c>
      <c r="BM110" s="37">
        <v>3382.2191221600187</v>
      </c>
      <c r="BN110" s="37">
        <v>-7744.2270403749644</v>
      </c>
      <c r="BO110" s="37">
        <v>-6653.4447637699086</v>
      </c>
      <c r="BP110" s="37">
        <v>-11291.651015832977</v>
      </c>
      <c r="BQ110" s="37">
        <v>-5346.6856164914825</v>
      </c>
      <c r="BR110" s="37">
        <v>-3855.9944606707577</v>
      </c>
      <c r="BS110" s="37">
        <v>392.61210466782359</v>
      </c>
      <c r="BT110" s="37">
        <v>-3822.0609810892711</v>
      </c>
      <c r="BU110" s="37">
        <v>-803.92773686763394</v>
      </c>
      <c r="BV110" s="37">
        <v>1601.9226071379926</v>
      </c>
      <c r="BW110" s="37">
        <v>987.21425461828767</v>
      </c>
      <c r="BY110" s="66"/>
      <c r="BZ110" s="66"/>
    </row>
    <row r="111" spans="2:78">
      <c r="B111">
        <v>10369</v>
      </c>
      <c r="C111" t="s">
        <v>115</v>
      </c>
      <c r="D111" s="37">
        <v>-1368.5269366609446</v>
      </c>
      <c r="E111" s="37">
        <v>-725.25163847055455</v>
      </c>
      <c r="F111" s="37">
        <v>-3825.0039119122393</v>
      </c>
      <c r="G111" s="37">
        <v>-1956.5898985913977</v>
      </c>
      <c r="H111" s="37">
        <v>-4133.7803153074983</v>
      </c>
      <c r="I111" s="37">
        <v>-1500.8827164628565</v>
      </c>
      <c r="J111" s="37">
        <v>-4221.1623969583761</v>
      </c>
      <c r="K111" s="37">
        <v>-1748.1795902876502</v>
      </c>
      <c r="L111" s="37">
        <v>-3481.9969439006081</v>
      </c>
      <c r="M111" s="37">
        <v>-1461.4310597346816</v>
      </c>
      <c r="N111" s="37">
        <v>-4296.4804483425414</v>
      </c>
      <c r="O111" s="37">
        <v>-1523.634495038546</v>
      </c>
      <c r="P111" s="37">
        <v>-1252.034796755529</v>
      </c>
      <c r="Q111" s="37">
        <v>-737.18921694020901</v>
      </c>
      <c r="R111" s="37">
        <v>556.34320758143531</v>
      </c>
      <c r="S111" s="37">
        <v>1340.4058585451166</v>
      </c>
      <c r="T111" s="37">
        <v>1240.1275940147534</v>
      </c>
      <c r="U111" s="37">
        <v>1733.4925382485089</v>
      </c>
      <c r="V111" s="37">
        <v>6217.9746603969988</v>
      </c>
      <c r="W111" s="37">
        <v>5518.3574740673967</v>
      </c>
      <c r="X111" s="37">
        <v>5138.9109315211717</v>
      </c>
      <c r="Y111" s="37">
        <v>5481.368320985297</v>
      </c>
      <c r="Z111" s="37">
        <v>2449.7083746387871</v>
      </c>
      <c r="AA111" s="37">
        <v>2552.905237627002</v>
      </c>
      <c r="AB111" s="37">
        <v>-1368.5269366609446</v>
      </c>
      <c r="AC111" s="37">
        <v>-725.25163847055455</v>
      </c>
      <c r="AD111" s="37">
        <v>-3825.0039119122393</v>
      </c>
      <c r="AE111" s="37">
        <v>-1956.5898985913977</v>
      </c>
      <c r="AF111" s="37">
        <v>-4133.7803153074983</v>
      </c>
      <c r="AG111" s="37">
        <v>-1500.8827164628565</v>
      </c>
      <c r="AH111" s="37">
        <v>-4427.0263969583748</v>
      </c>
      <c r="AI111" s="37">
        <v>-1542.3155902876501</v>
      </c>
      <c r="AJ111" s="37">
        <v>-3481.9969439006081</v>
      </c>
      <c r="AK111" s="37">
        <v>-1461.4310597346816</v>
      </c>
      <c r="AL111" s="37">
        <v>-4130.893448342541</v>
      </c>
      <c r="AM111" s="37">
        <v>-1689.221495038546</v>
      </c>
      <c r="AN111" s="37">
        <v>-1252.034796755529</v>
      </c>
      <c r="AO111" s="37">
        <v>-737.18921694020901</v>
      </c>
      <c r="AP111" s="37">
        <v>556.34320758143531</v>
      </c>
      <c r="AQ111" s="37">
        <v>1340.4058585451166</v>
      </c>
      <c r="AR111" s="37">
        <v>1240.1275940147534</v>
      </c>
      <c r="AS111" s="37">
        <v>1733.4925382485089</v>
      </c>
      <c r="AT111" s="37">
        <v>6217.9746603969988</v>
      </c>
      <c r="AU111" s="37">
        <v>5518.3574740673967</v>
      </c>
      <c r="AV111" s="37">
        <v>5138.9109315211717</v>
      </c>
      <c r="AW111" s="37">
        <v>5481.368320985297</v>
      </c>
      <c r="AX111" s="37">
        <v>2449.7083746387871</v>
      </c>
      <c r="AY111" s="37">
        <v>2552.905237627002</v>
      </c>
      <c r="AZ111" s="37">
        <v>-1533.8419366609451</v>
      </c>
      <c r="BA111" s="37">
        <v>-540.7796384705548</v>
      </c>
      <c r="BB111" s="37">
        <v>-3656.0849119122395</v>
      </c>
      <c r="BC111" s="37">
        <v>-2106.9428985913978</v>
      </c>
      <c r="BD111" s="37">
        <v>-4122.7503153074986</v>
      </c>
      <c r="BE111" s="37">
        <v>-1492.7537164628557</v>
      </c>
      <c r="BF111" s="37">
        <v>-4416.4433969583752</v>
      </c>
      <c r="BG111" s="37">
        <v>-1533.7405902876503</v>
      </c>
      <c r="BH111" s="37">
        <v>-3608.4187771678071</v>
      </c>
      <c r="BI111" s="37">
        <v>-1539.6639763682815</v>
      </c>
      <c r="BJ111" s="37">
        <v>-4119.4544483425407</v>
      </c>
      <c r="BK111" s="37">
        <v>-1681.527495038546</v>
      </c>
      <c r="BL111" s="37">
        <v>-1434.199796755528</v>
      </c>
      <c r="BM111" s="37">
        <v>-536.48421694020908</v>
      </c>
      <c r="BN111" s="37">
        <v>911.72520758143673</v>
      </c>
      <c r="BO111" s="37">
        <v>1004.1828585451167</v>
      </c>
      <c r="BP111" s="37">
        <v>1251.3635940147524</v>
      </c>
      <c r="BQ111" s="37">
        <v>1740.7975382485092</v>
      </c>
      <c r="BR111" s="37">
        <v>5684.7546603969977</v>
      </c>
      <c r="BS111" s="37">
        <v>6070.7354740673973</v>
      </c>
      <c r="BT111" s="37">
        <v>5675.599931521172</v>
      </c>
      <c r="BU111" s="37">
        <v>4963.8353209852976</v>
      </c>
      <c r="BV111" s="37">
        <v>2460.3543746387877</v>
      </c>
      <c r="BW111" s="37">
        <v>2560.8002376270024</v>
      </c>
      <c r="BY111" s="66"/>
      <c r="BZ111" s="66"/>
    </row>
    <row r="112" spans="2:78">
      <c r="B112">
        <v>10370</v>
      </c>
      <c r="C112" t="s">
        <v>116</v>
      </c>
      <c r="D112" s="37">
        <v>-2660.022437204374</v>
      </c>
      <c r="E112" s="37">
        <v>3403.4046664688576</v>
      </c>
      <c r="F112" s="37">
        <v>-5542.2264354853323</v>
      </c>
      <c r="G112" s="37">
        <v>7643.9715019412688</v>
      </c>
      <c r="H112" s="37">
        <v>-1915.3078519695118</v>
      </c>
      <c r="I112" s="37">
        <v>13988.924558008614</v>
      </c>
      <c r="J112" s="37">
        <v>-8086.3937945447469</v>
      </c>
      <c r="K112" s="37">
        <v>7838.899713785424</v>
      </c>
      <c r="L112" s="37">
        <v>-2231.7538813818246</v>
      </c>
      <c r="M112" s="37">
        <v>8437.2846248211681</v>
      </c>
      <c r="N112" s="37">
        <v>-2098.1957667069291</v>
      </c>
      <c r="O112" s="37">
        <v>14072.796968188079</v>
      </c>
      <c r="P112" s="37">
        <v>6704.7607516975258</v>
      </c>
      <c r="Q112" s="37">
        <v>9850.0774602759775</v>
      </c>
      <c r="R112" s="37">
        <v>-14884.983100579702</v>
      </c>
      <c r="S112" s="37">
        <v>-477.85485033658188</v>
      </c>
      <c r="T112" s="37">
        <v>-22452.828351323318</v>
      </c>
      <c r="U112" s="37">
        <v>-3648.5855037697329</v>
      </c>
      <c r="V112" s="37">
        <v>-12054.809144596416</v>
      </c>
      <c r="W112" s="37">
        <v>2317.5298758061908</v>
      </c>
      <c r="X112" s="37">
        <v>-18752.160767313522</v>
      </c>
      <c r="Y112" s="37">
        <v>2397.1779981651052</v>
      </c>
      <c r="Z112" s="37">
        <v>-715.50102332293318</v>
      </c>
      <c r="AA112" s="37">
        <v>7934.4115337216681</v>
      </c>
      <c r="AB112" s="37">
        <v>-551.59400066665694</v>
      </c>
      <c r="AC112" s="37">
        <v>4547.8137690891126</v>
      </c>
      <c r="AD112" s="37">
        <v>-3807.3410548359097</v>
      </c>
      <c r="AE112" s="37">
        <v>8486.1793480128326</v>
      </c>
      <c r="AF112" s="37">
        <v>52.864738434909668</v>
      </c>
      <c r="AG112" s="37">
        <v>14697.717954438289</v>
      </c>
      <c r="AH112" s="37">
        <v>-8218.9410556299772</v>
      </c>
      <c r="AI112" s="37">
        <v>11135.084976784012</v>
      </c>
      <c r="AJ112" s="37">
        <v>-572.41287721653498</v>
      </c>
      <c r="AK112" s="37">
        <v>9131.8212174731088</v>
      </c>
      <c r="AL112" s="37">
        <v>2036.9824473247572</v>
      </c>
      <c r="AM112" s="37">
        <v>12375.296577223184</v>
      </c>
      <c r="AN112" s="37">
        <v>7842.0970267918383</v>
      </c>
      <c r="AO112" s="37">
        <v>10411.94019315633</v>
      </c>
      <c r="AP112" s="37">
        <v>-12825.671563405886</v>
      </c>
      <c r="AQ112" s="37">
        <v>622.86034658430435</v>
      </c>
      <c r="AR112" s="37">
        <v>-20029.939737161549</v>
      </c>
      <c r="AS112" s="37">
        <v>-2572.0220465986022</v>
      </c>
      <c r="AT112" s="37">
        <v>-10150.753617658396</v>
      </c>
      <c r="AU112" s="37">
        <v>3175.7595380750317</v>
      </c>
      <c r="AV112" s="37">
        <v>-16552.222228501218</v>
      </c>
      <c r="AW112" s="37">
        <v>3197.1419020966932</v>
      </c>
      <c r="AX112" s="37">
        <v>546.78632698363072</v>
      </c>
      <c r="AY112" s="37">
        <v>8481.5336540654316</v>
      </c>
      <c r="AZ112" s="37">
        <v>-3803.0667836045395</v>
      </c>
      <c r="BA112" s="37">
        <v>4739.7164865258383</v>
      </c>
      <c r="BB112" s="37">
        <v>-3009.1521254040126</v>
      </c>
      <c r="BC112" s="37">
        <v>5280.0229918725381</v>
      </c>
      <c r="BD112" s="37">
        <v>-1558.6494408891085</v>
      </c>
      <c r="BE112" s="37">
        <v>13168.81995788405</v>
      </c>
      <c r="BF112" s="37">
        <v>-9537.4909268295523</v>
      </c>
      <c r="BG112" s="37">
        <v>9680.3368512155212</v>
      </c>
      <c r="BH112" s="37">
        <v>-3453.8419459638681</v>
      </c>
      <c r="BI112" s="37">
        <v>6755.6906229607957</v>
      </c>
      <c r="BJ112" s="37">
        <v>449.2255056679569</v>
      </c>
      <c r="BK112" s="37">
        <v>11040.01348748133</v>
      </c>
      <c r="BL112" s="37">
        <v>4500.931340604533</v>
      </c>
      <c r="BM112" s="37">
        <v>11185.183683255607</v>
      </c>
      <c r="BN112" s="37">
        <v>-12030.958841429085</v>
      </c>
      <c r="BO112" s="37">
        <v>-1965.2017088266803</v>
      </c>
      <c r="BP112" s="37">
        <v>-20715.214555069673</v>
      </c>
      <c r="BQ112" s="37">
        <v>-3285.4236761386201</v>
      </c>
      <c r="BR112" s="37">
        <v>-12633.915798842107</v>
      </c>
      <c r="BS112" s="37">
        <v>3852.7222285957323</v>
      </c>
      <c r="BT112" s="37">
        <v>-15783.429427903015</v>
      </c>
      <c r="BU112" s="37">
        <v>840.29001509234877</v>
      </c>
      <c r="BV112" s="37">
        <v>-519.90096100250958</v>
      </c>
      <c r="BW112" s="37">
        <v>7486.4238184426649</v>
      </c>
      <c r="BY112" s="66"/>
      <c r="BZ112" s="66"/>
    </row>
    <row r="113" spans="2:78">
      <c r="B113">
        <v>10371</v>
      </c>
      <c r="C113" t="s">
        <v>117</v>
      </c>
      <c r="D113" s="37">
        <v>751.83710692302475</v>
      </c>
      <c r="E113" s="37">
        <v>303.73302221414679</v>
      </c>
      <c r="F113" s="37">
        <v>334.23132077715218</v>
      </c>
      <c r="G113" s="37">
        <v>-140.98806148653284</v>
      </c>
      <c r="H113" s="37">
        <v>268.63546928486267</v>
      </c>
      <c r="I113" s="37">
        <v>560.34292214420611</v>
      </c>
      <c r="J113" s="37">
        <v>202.86188482623493</v>
      </c>
      <c r="K113" s="37">
        <v>651.11911156244696</v>
      </c>
      <c r="L113" s="37">
        <v>700.38690929808217</v>
      </c>
      <c r="M113" s="37">
        <v>629.27477831544502</v>
      </c>
      <c r="N113" s="37">
        <v>140.70159488591344</v>
      </c>
      <c r="O113" s="37">
        <v>318.08631596547457</v>
      </c>
      <c r="P113" s="37">
        <v>630.63894476626047</v>
      </c>
      <c r="Q113" s="37">
        <v>295.6942860799345</v>
      </c>
      <c r="R113" s="37">
        <v>-1094.3437767046589</v>
      </c>
      <c r="S113" s="37">
        <v>-806.58682898934785</v>
      </c>
      <c r="T113" s="37">
        <v>-1638.4463198060621</v>
      </c>
      <c r="U113" s="37">
        <v>-697.8735697133061</v>
      </c>
      <c r="V113" s="37">
        <v>-644.59985013267033</v>
      </c>
      <c r="W113" s="37">
        <v>-120.65619776435187</v>
      </c>
      <c r="X113" s="37">
        <v>-728.30426369048655</v>
      </c>
      <c r="Y113" s="37">
        <v>-153.6011365990903</v>
      </c>
      <c r="Z113" s="37">
        <v>111.38266183376027</v>
      </c>
      <c r="AA113" s="37">
        <v>124.12482963282446</v>
      </c>
      <c r="AB113" s="37">
        <v>747.20810692302575</v>
      </c>
      <c r="AC113" s="37">
        <v>298.03702221414687</v>
      </c>
      <c r="AD113" s="37">
        <v>335.3073207771522</v>
      </c>
      <c r="AE113" s="37">
        <v>-144.50706148653308</v>
      </c>
      <c r="AF113" s="37">
        <v>267.88446928486155</v>
      </c>
      <c r="AG113" s="37">
        <v>556.76592214420589</v>
      </c>
      <c r="AH113" s="37">
        <v>256.66788482623542</v>
      </c>
      <c r="AI113" s="37">
        <v>603.56811156244657</v>
      </c>
      <c r="AJ113" s="37">
        <v>707.70090929808157</v>
      </c>
      <c r="AK113" s="37">
        <v>631.53577831544453</v>
      </c>
      <c r="AL113" s="37">
        <v>97.930594885913706</v>
      </c>
      <c r="AM113" s="37">
        <v>366.59531596547458</v>
      </c>
      <c r="AN113" s="37">
        <v>632.94094476626015</v>
      </c>
      <c r="AO113" s="37">
        <v>294.67328607993431</v>
      </c>
      <c r="AP113" s="37">
        <v>-1092.723776704659</v>
      </c>
      <c r="AQ113" s="37">
        <v>-809.17782898934729</v>
      </c>
      <c r="AR113" s="37">
        <v>-1637.7753198060627</v>
      </c>
      <c r="AS113" s="37">
        <v>-699.99556971330639</v>
      </c>
      <c r="AT113" s="37">
        <v>-641.53585013267002</v>
      </c>
      <c r="AU113" s="37">
        <v>-121.42419776435145</v>
      </c>
      <c r="AV113" s="37">
        <v>-724.72826369048653</v>
      </c>
      <c r="AW113" s="37">
        <v>-155.52513659909027</v>
      </c>
      <c r="AX113" s="37">
        <v>112.21066183375979</v>
      </c>
      <c r="AY113" s="37">
        <v>121.72482963282437</v>
      </c>
      <c r="AZ113" s="37">
        <v>786.01810692302524</v>
      </c>
      <c r="BA113" s="37">
        <v>236.9650222141463</v>
      </c>
      <c r="BB113" s="37">
        <v>281.01032077715172</v>
      </c>
      <c r="BC113" s="37">
        <v>-103.94206148653302</v>
      </c>
      <c r="BD113" s="37">
        <v>262.1574692848626</v>
      </c>
      <c r="BE113" s="37">
        <v>548.33192214420569</v>
      </c>
      <c r="BF113" s="37">
        <v>254.38788482623477</v>
      </c>
      <c r="BG113" s="37">
        <v>596.18111156244777</v>
      </c>
      <c r="BH113" s="37">
        <v>788.16186439568173</v>
      </c>
      <c r="BI113" s="37">
        <v>709.49075586424442</v>
      </c>
      <c r="BJ113" s="37">
        <v>93.797594885913895</v>
      </c>
      <c r="BK113" s="37">
        <v>360.39031596547466</v>
      </c>
      <c r="BL113" s="37">
        <v>676.19094476626015</v>
      </c>
      <c r="BM113" s="37">
        <v>236.82628607993456</v>
      </c>
      <c r="BN113" s="37">
        <v>-1149.1227767046594</v>
      </c>
      <c r="BO113" s="37">
        <v>-769.30082898934734</v>
      </c>
      <c r="BP113" s="37">
        <v>-1645.321319806063</v>
      </c>
      <c r="BQ113" s="37">
        <v>-708.51556971330592</v>
      </c>
      <c r="BR113" s="37">
        <v>-596.60285013267003</v>
      </c>
      <c r="BS113" s="37">
        <v>-178.97019776435172</v>
      </c>
      <c r="BT113" s="37">
        <v>-778.99826369048606</v>
      </c>
      <c r="BU113" s="37">
        <v>-114.4161365990899</v>
      </c>
      <c r="BV113" s="37">
        <v>104.95566183375968</v>
      </c>
      <c r="BW113" s="37">
        <v>112.42382963282398</v>
      </c>
      <c r="BY113" s="66"/>
      <c r="BZ113" s="66"/>
    </row>
    <row r="114" spans="2:78">
      <c r="B114">
        <v>10376</v>
      </c>
      <c r="C114" t="s">
        <v>118</v>
      </c>
      <c r="D114" s="37">
        <v>3775.993319157762</v>
      </c>
      <c r="E114" s="37">
        <v>1663.416645049243</v>
      </c>
      <c r="F114" s="37">
        <v>-2237.7619818726671</v>
      </c>
      <c r="G114" s="37">
        <v>704.71787639008107</v>
      </c>
      <c r="H114" s="37">
        <v>2282.6048586913457</v>
      </c>
      <c r="I114" s="37">
        <v>4807.2596180398759</v>
      </c>
      <c r="J114" s="37">
        <v>1444.545101091273</v>
      </c>
      <c r="K114" s="37">
        <v>4042.6125458210627</v>
      </c>
      <c r="L114" s="37">
        <v>1104.1201103647836</v>
      </c>
      <c r="M114" s="37">
        <v>2604.9251948274159</v>
      </c>
      <c r="N114" s="37">
        <v>-2062.2908120600223</v>
      </c>
      <c r="O114" s="37">
        <v>2482.3143096042113</v>
      </c>
      <c r="P114" s="37">
        <v>4131.8573389972953</v>
      </c>
      <c r="Q114" s="37">
        <v>2474.3624284332527</v>
      </c>
      <c r="R114" s="37">
        <v>-5739.7529489649423</v>
      </c>
      <c r="S114" s="37">
        <v>-2209.6988588832719</v>
      </c>
      <c r="T114" s="37">
        <v>-8101.5004720605466</v>
      </c>
      <c r="U114" s="37">
        <v>-2969.5451478176947</v>
      </c>
      <c r="V114" s="37">
        <v>-3651.8302164195484</v>
      </c>
      <c r="W114" s="37">
        <v>-878.48954984721968</v>
      </c>
      <c r="X114" s="37">
        <v>-5530.7783976838255</v>
      </c>
      <c r="Y114" s="37">
        <v>105.08089990056214</v>
      </c>
      <c r="Z114" s="37">
        <v>623.23655069925371</v>
      </c>
      <c r="AA114" s="37">
        <v>1130.6537243926687</v>
      </c>
      <c r="AB114" s="37">
        <v>3497.1680913008786</v>
      </c>
      <c r="AC114" s="37">
        <v>1491.8822648002624</v>
      </c>
      <c r="AD114" s="37">
        <v>-2389.5895154890604</v>
      </c>
      <c r="AE114" s="37">
        <v>616.41389956294006</v>
      </c>
      <c r="AF114" s="37">
        <v>2124.0588317068468</v>
      </c>
      <c r="AG114" s="37">
        <v>4736.643133128644</v>
      </c>
      <c r="AH114" s="37">
        <v>-119.89596453120612</v>
      </c>
      <c r="AI114" s="37">
        <v>5354.6975921563389</v>
      </c>
      <c r="AJ114" s="37">
        <v>968.18209852803921</v>
      </c>
      <c r="AK114" s="37">
        <v>2537.4207250313921</v>
      </c>
      <c r="AL114" s="37">
        <v>-1121.8293715698746</v>
      </c>
      <c r="AM114" s="37">
        <v>1301.5858239138943</v>
      </c>
      <c r="AN114" s="37">
        <v>4134.0535159614701</v>
      </c>
      <c r="AO114" s="37">
        <v>2484.8188841183146</v>
      </c>
      <c r="AP114" s="37">
        <v>-5637.1693389532993</v>
      </c>
      <c r="AQ114" s="37">
        <v>-2076.6641640159723</v>
      </c>
      <c r="AR114" s="37">
        <v>-8014.780891874605</v>
      </c>
      <c r="AS114" s="37">
        <v>-2858.9323241302864</v>
      </c>
      <c r="AT114" s="37">
        <v>-3520.2169867700832</v>
      </c>
      <c r="AU114" s="37">
        <v>-734.45865955012232</v>
      </c>
      <c r="AV114" s="37">
        <v>-5419.7018663313247</v>
      </c>
      <c r="AW114" s="37">
        <v>258.78959830126587</v>
      </c>
      <c r="AX114" s="37">
        <v>795.97833564391112</v>
      </c>
      <c r="AY114" s="37">
        <v>1293.2752331863758</v>
      </c>
      <c r="AZ114" s="37">
        <v>2944.2380913008783</v>
      </c>
      <c r="BA114" s="37">
        <v>2758.0722648002629</v>
      </c>
      <c r="BB114" s="37">
        <v>-1174.9504185661135</v>
      </c>
      <c r="BC114" s="37">
        <v>-270.94523505770485</v>
      </c>
      <c r="BD114" s="37">
        <v>2302.2888971907923</v>
      </c>
      <c r="BE114" s="37">
        <v>4921.3171293005689</v>
      </c>
      <c r="BF114" s="37">
        <v>31.602786384122737</v>
      </c>
      <c r="BG114" s="37">
        <v>5547.533260630662</v>
      </c>
      <c r="BH114" s="37">
        <v>1255.7353159307095</v>
      </c>
      <c r="BI114" s="37">
        <v>2579.6417742879312</v>
      </c>
      <c r="BJ114" s="37">
        <v>-940.30402858670277</v>
      </c>
      <c r="BK114" s="37">
        <v>1464.3374457650698</v>
      </c>
      <c r="BL114" s="37">
        <v>3195.5260701008083</v>
      </c>
      <c r="BM114" s="37">
        <v>3656.2272341428707</v>
      </c>
      <c r="BN114" s="37">
        <v>-4857.0610338415245</v>
      </c>
      <c r="BO114" s="37">
        <v>-3072.4128208722777</v>
      </c>
      <c r="BP114" s="37">
        <v>-8173.3170243139684</v>
      </c>
      <c r="BQ114" s="37">
        <v>-2936.3592801061113</v>
      </c>
      <c r="BR114" s="37">
        <v>-4542.7900377532969</v>
      </c>
      <c r="BS114" s="37">
        <v>105.45346913576941</v>
      </c>
      <c r="BT114" s="37">
        <v>-4651.0104813631951</v>
      </c>
      <c r="BU114" s="37">
        <v>-700.83834414795274</v>
      </c>
      <c r="BV114" s="37">
        <v>720.00395003956146</v>
      </c>
      <c r="BW114" s="37">
        <v>1251.2745030022998</v>
      </c>
      <c r="BY114" s="66"/>
      <c r="BZ114" s="66"/>
    </row>
    <row r="115" spans="2:78">
      <c r="B115">
        <v>10378</v>
      </c>
      <c r="C115" t="s">
        <v>119</v>
      </c>
      <c r="D115" s="37">
        <v>18.746778419930251</v>
      </c>
      <c r="E115" s="37">
        <v>8.4529654983314231</v>
      </c>
      <c r="F115" s="37">
        <v>75.726627373784481</v>
      </c>
      <c r="G115" s="37">
        <v>108.89562428067632</v>
      </c>
      <c r="H115" s="37">
        <v>330.92402134649205</v>
      </c>
      <c r="I115" s="37">
        <v>417.96321934596176</v>
      </c>
      <c r="J115" s="37">
        <v>231.15770337688423</v>
      </c>
      <c r="K115" s="37">
        <v>322.73587128010502</v>
      </c>
      <c r="L115" s="37">
        <v>220.53971394838936</v>
      </c>
      <c r="M115" s="37">
        <v>259.51838489025261</v>
      </c>
      <c r="N115" s="37">
        <v>-14.442143949912634</v>
      </c>
      <c r="O115" s="37">
        <v>135.37295320441183</v>
      </c>
      <c r="P115" s="37">
        <v>32.827582176683677</v>
      </c>
      <c r="Q115" s="37">
        <v>36.729967975178624</v>
      </c>
      <c r="R115" s="37">
        <v>-364.26973097810776</v>
      </c>
      <c r="S115" s="37">
        <v>-247.55809302938007</v>
      </c>
      <c r="T115" s="37">
        <v>-413.88471337510975</v>
      </c>
      <c r="U115" s="37">
        <v>-200.83855599282742</v>
      </c>
      <c r="V115" s="37">
        <v>-182.17073437428314</v>
      </c>
      <c r="W115" s="37">
        <v>-77.838603293781432</v>
      </c>
      <c r="X115" s="37">
        <v>-259.83747345132269</v>
      </c>
      <c r="Y115" s="37">
        <v>-91.35819469939122</v>
      </c>
      <c r="Z115" s="37">
        <v>-119.34272462071169</v>
      </c>
      <c r="AA115" s="37">
        <v>-56.149592634723149</v>
      </c>
      <c r="AB115" s="37">
        <v>23.20877841993024</v>
      </c>
      <c r="AC115" s="37">
        <v>11.134965498331439</v>
      </c>
      <c r="AD115" s="37">
        <v>79.758627373784407</v>
      </c>
      <c r="AE115" s="37">
        <v>111.77862428067635</v>
      </c>
      <c r="AF115" s="37">
        <v>335.07302134649217</v>
      </c>
      <c r="AG115" s="37">
        <v>420.95821934596188</v>
      </c>
      <c r="AH115" s="37">
        <v>235.30570337688414</v>
      </c>
      <c r="AI115" s="37">
        <v>325.73287128010497</v>
      </c>
      <c r="AJ115" s="37">
        <v>224.36171394838948</v>
      </c>
      <c r="AK115" s="37">
        <v>262.1483848902526</v>
      </c>
      <c r="AL115" s="37">
        <v>-10.185143949912572</v>
      </c>
      <c r="AM115" s="37">
        <v>138.25995320441177</v>
      </c>
      <c r="AN115" s="37">
        <v>37.031582176683742</v>
      </c>
      <c r="AO115" s="37">
        <v>39.439967975178604</v>
      </c>
      <c r="AP115" s="37">
        <v>-359.89873097810778</v>
      </c>
      <c r="AQ115" s="37">
        <v>-244.78509302938011</v>
      </c>
      <c r="AR115" s="37">
        <v>-409.46971337510979</v>
      </c>
      <c r="AS115" s="37">
        <v>-198.34055599282743</v>
      </c>
      <c r="AT115" s="37">
        <v>-177.74873437428323</v>
      </c>
      <c r="AU115" s="37">
        <v>-75.116603293781452</v>
      </c>
      <c r="AV115" s="37">
        <v>-255.2554734513227</v>
      </c>
      <c r="AW115" s="37">
        <v>-88.796194699391208</v>
      </c>
      <c r="AX115" s="37">
        <v>-115.11072462071172</v>
      </c>
      <c r="AY115" s="37">
        <v>-53.468592634723166</v>
      </c>
      <c r="AZ115" s="37">
        <v>27.67077841993023</v>
      </c>
      <c r="BA115" s="37">
        <v>13.816965498331399</v>
      </c>
      <c r="BB115" s="37">
        <v>83.789627373784469</v>
      </c>
      <c r="BC115" s="37">
        <v>114.6606242806763</v>
      </c>
      <c r="BD115" s="37">
        <v>339.22202134649206</v>
      </c>
      <c r="BE115" s="37">
        <v>423.95321934596177</v>
      </c>
      <c r="BF115" s="37">
        <v>239.45370337688428</v>
      </c>
      <c r="BG115" s="37">
        <v>328.72887128010495</v>
      </c>
      <c r="BH115" s="37">
        <v>216.40640399638949</v>
      </c>
      <c r="BI115" s="37">
        <v>262.79572991425255</v>
      </c>
      <c r="BJ115" s="37">
        <v>-5.9281439499125099</v>
      </c>
      <c r="BK115" s="37">
        <v>141.14795320441181</v>
      </c>
      <c r="BL115" s="37">
        <v>41.234582176683716</v>
      </c>
      <c r="BM115" s="37">
        <v>42.14996797517864</v>
      </c>
      <c r="BN115" s="37">
        <v>-355.5277309781078</v>
      </c>
      <c r="BO115" s="37">
        <v>-242.01209302938008</v>
      </c>
      <c r="BP115" s="37">
        <v>-405.05471337510971</v>
      </c>
      <c r="BQ115" s="37">
        <v>-195.84155599282741</v>
      </c>
      <c r="BR115" s="37">
        <v>-173.32673437428321</v>
      </c>
      <c r="BS115" s="37">
        <v>-72.394603293781415</v>
      </c>
      <c r="BT115" s="37">
        <v>-250.67347345132271</v>
      </c>
      <c r="BU115" s="37">
        <v>-86.234194699391253</v>
      </c>
      <c r="BV115" s="37">
        <v>-110.87972462071173</v>
      </c>
      <c r="BW115" s="37">
        <v>-50.786592634723149</v>
      </c>
      <c r="BY115" s="66"/>
      <c r="BZ115" s="66"/>
    </row>
    <row r="116" spans="2:78">
      <c r="B116">
        <v>10379</v>
      </c>
      <c r="C116" t="s">
        <v>120</v>
      </c>
      <c r="D116" s="37">
        <v>334.7227262403735</v>
      </c>
      <c r="E116" s="37">
        <v>188.99401838013796</v>
      </c>
      <c r="F116" s="37">
        <v>310.85895485056926</v>
      </c>
      <c r="G116" s="37">
        <v>282.56748630827246</v>
      </c>
      <c r="H116" s="37">
        <v>209.01251406988922</v>
      </c>
      <c r="I116" s="37">
        <v>365.85908828127572</v>
      </c>
      <c r="J116" s="37">
        <v>142.22116051353214</v>
      </c>
      <c r="K116" s="37">
        <v>361.25443720627982</v>
      </c>
      <c r="L116" s="37">
        <v>235.61777885656329</v>
      </c>
      <c r="M116" s="37">
        <v>295.47372886338303</v>
      </c>
      <c r="N116" s="37">
        <v>-56.369786090780963</v>
      </c>
      <c r="O116" s="37">
        <v>171.36587026285702</v>
      </c>
      <c r="P116" s="37">
        <v>216.45206229937185</v>
      </c>
      <c r="Q116" s="37">
        <v>149.45660720533442</v>
      </c>
      <c r="R116" s="37">
        <v>-550.11064259238674</v>
      </c>
      <c r="S116" s="37">
        <v>-294.68318687351916</v>
      </c>
      <c r="T116" s="37">
        <v>-859.21072301301115</v>
      </c>
      <c r="U116" s="37">
        <v>-340.18674706627621</v>
      </c>
      <c r="V116" s="37">
        <v>-438.07021531743294</v>
      </c>
      <c r="W116" s="37">
        <v>-69.365897528156665</v>
      </c>
      <c r="X116" s="37">
        <v>-521.09642869607183</v>
      </c>
      <c r="Y116" s="37">
        <v>-58.720082822817403</v>
      </c>
      <c r="Z116" s="37">
        <v>-85.249012812492765</v>
      </c>
      <c r="AA116" s="37">
        <v>10.66180353060588</v>
      </c>
      <c r="AB116" s="37">
        <v>337.02534676262417</v>
      </c>
      <c r="AC116" s="37">
        <v>190.29818990144213</v>
      </c>
      <c r="AD116" s="37">
        <v>315.16083699710543</v>
      </c>
      <c r="AE116" s="37">
        <v>285.81338765637702</v>
      </c>
      <c r="AF116" s="37">
        <v>209.56388804763583</v>
      </c>
      <c r="AG116" s="37">
        <v>367.17600433803864</v>
      </c>
      <c r="AH116" s="37">
        <v>139.41343743352354</v>
      </c>
      <c r="AI116" s="37">
        <v>360.42035487221051</v>
      </c>
      <c r="AJ116" s="37">
        <v>234.76114853369791</v>
      </c>
      <c r="AK116" s="37">
        <v>295.52662025919994</v>
      </c>
      <c r="AL116" s="37">
        <v>-57.784553883315766</v>
      </c>
      <c r="AM116" s="37">
        <v>171.3414761147867</v>
      </c>
      <c r="AN116" s="37">
        <v>216.76109436887191</v>
      </c>
      <c r="AO116" s="37">
        <v>149.70477403586938</v>
      </c>
      <c r="AP116" s="37">
        <v>-552.32722047225002</v>
      </c>
      <c r="AQ116" s="37">
        <v>-295.8595440454751</v>
      </c>
      <c r="AR116" s="37">
        <v>-862.40223359382503</v>
      </c>
      <c r="AS116" s="37">
        <v>-341.36680546201274</v>
      </c>
      <c r="AT116" s="37">
        <v>-439.96313483774929</v>
      </c>
      <c r="AU116" s="37">
        <v>-69.700850776035168</v>
      </c>
      <c r="AV116" s="37">
        <v>-524.01758876012309</v>
      </c>
      <c r="AW116" s="37">
        <v>-59.43121473081851</v>
      </c>
      <c r="AX116" s="37">
        <v>-86.874032940030929</v>
      </c>
      <c r="AY116" s="37">
        <v>9.8845888448935284</v>
      </c>
      <c r="AZ116" s="37">
        <v>342.3603467626242</v>
      </c>
      <c r="BA116" s="37">
        <v>193.49018990144214</v>
      </c>
      <c r="BB116" s="37">
        <v>315.33443818962496</v>
      </c>
      <c r="BC116" s="37">
        <v>286.09177729421253</v>
      </c>
      <c r="BD116" s="37">
        <v>207.47054025749503</v>
      </c>
      <c r="BE116" s="37">
        <v>366.34362436957326</v>
      </c>
      <c r="BF116" s="37">
        <v>139.05881350018535</v>
      </c>
      <c r="BG116" s="37">
        <v>360.78686468661704</v>
      </c>
      <c r="BH116" s="37">
        <v>234.5795913456177</v>
      </c>
      <c r="BI116" s="37">
        <v>306.1718453080764</v>
      </c>
      <c r="BJ116" s="37">
        <v>-57.340869323612424</v>
      </c>
      <c r="BK116" s="37">
        <v>172.09747936585882</v>
      </c>
      <c r="BL116" s="37">
        <v>217.6902232963721</v>
      </c>
      <c r="BM116" s="37">
        <v>150.3206444972775</v>
      </c>
      <c r="BN116" s="37">
        <v>-553.19565262772926</v>
      </c>
      <c r="BO116" s="37">
        <v>-296.26129802989476</v>
      </c>
      <c r="BP116" s="37">
        <v>-864.23929502761052</v>
      </c>
      <c r="BQ116" s="37">
        <v>-342.06006012631076</v>
      </c>
      <c r="BR116" s="37">
        <v>-441.16464568236984</v>
      </c>
      <c r="BS116" s="37">
        <v>-69.991158135967453</v>
      </c>
      <c r="BT116" s="37">
        <v>-525.87078879570663</v>
      </c>
      <c r="BU116" s="37">
        <v>-59.970621346374855</v>
      </c>
      <c r="BV116" s="37">
        <v>-87.970599677551945</v>
      </c>
      <c r="BW116" s="37">
        <v>9.3273584639421188</v>
      </c>
      <c r="BY116" s="66"/>
      <c r="BZ116" s="66"/>
    </row>
    <row r="117" spans="2:78">
      <c r="B117">
        <v>10388</v>
      </c>
      <c r="C117" t="s">
        <v>121</v>
      </c>
      <c r="D117" s="37">
        <v>27309.092735963466</v>
      </c>
      <c r="E117" s="37">
        <v>-13674.114450432095</v>
      </c>
      <c r="F117" s="37">
        <v>-33420.801146034537</v>
      </c>
      <c r="G117" s="37">
        <v>16139.392430737258</v>
      </c>
      <c r="H117" s="37">
        <v>-372.01677268125059</v>
      </c>
      <c r="I117" s="37">
        <v>-22199.665979265475</v>
      </c>
      <c r="J117" s="37">
        <v>8320.1781150298921</v>
      </c>
      <c r="K117" s="37">
        <v>-42210.761099808289</v>
      </c>
      <c r="L117" s="37">
        <v>-1926.9119520085587</v>
      </c>
      <c r="M117" s="37">
        <v>-16525.529276214533</v>
      </c>
      <c r="N117" s="37">
        <v>-39642.369134576787</v>
      </c>
      <c r="O117" s="37">
        <v>21724.901115597917</v>
      </c>
      <c r="P117" s="37">
        <v>11366.170913631402</v>
      </c>
      <c r="Q117" s="37">
        <v>-6902.204638990097</v>
      </c>
      <c r="R117" s="37">
        <v>-12822.077842642117</v>
      </c>
      <c r="S117" s="37">
        <v>11313.800803568221</v>
      </c>
      <c r="T117" s="37">
        <v>16352.557397751145</v>
      </c>
      <c r="U117" s="37">
        <v>-3051.7017563073714</v>
      </c>
      <c r="V117" s="37">
        <v>40635.676098974785</v>
      </c>
      <c r="W117" s="37">
        <v>-5273.1366508303727</v>
      </c>
      <c r="X117" s="37">
        <v>-5173.9752199716677</v>
      </c>
      <c r="Y117" s="37">
        <v>32145.910477767236</v>
      </c>
      <c r="Z117" s="37">
        <v>24124.291263400955</v>
      </c>
      <c r="AA117" s="37">
        <v>-6234.7842538746336</v>
      </c>
      <c r="AB117" s="37">
        <v>33368.342735963466</v>
      </c>
      <c r="AC117" s="37">
        <v>-19733.739450432095</v>
      </c>
      <c r="AD117" s="37">
        <v>-40836.551146034537</v>
      </c>
      <c r="AE117" s="37">
        <v>23555.267430737316</v>
      </c>
      <c r="AF117" s="37">
        <v>5335.2342273186805</v>
      </c>
      <c r="AG117" s="37">
        <v>-27907.665979265534</v>
      </c>
      <c r="AH117" s="37">
        <v>-23323.953884970091</v>
      </c>
      <c r="AI117" s="37">
        <v>-10566.534099808334</v>
      </c>
      <c r="AJ117" s="37">
        <v>-1088.2239520085932</v>
      </c>
      <c r="AK117" s="37">
        <v>-17364.81027621455</v>
      </c>
      <c r="AL117" s="37">
        <v>-4497.6121345766878</v>
      </c>
      <c r="AM117" s="37">
        <v>-13419.887884402073</v>
      </c>
      <c r="AN117" s="37">
        <v>14070.170913631402</v>
      </c>
      <c r="AO117" s="37">
        <v>-9606.0166389901897</v>
      </c>
      <c r="AP117" s="37">
        <v>-16569.952842642117</v>
      </c>
      <c r="AQ117" s="37">
        <v>15062.425803568221</v>
      </c>
      <c r="AR117" s="37">
        <v>19649.619397751179</v>
      </c>
      <c r="AS117" s="37">
        <v>-6349.1087563074361</v>
      </c>
      <c r="AT117" s="37">
        <v>47378.552098974717</v>
      </c>
      <c r="AU117" s="37">
        <v>-12015.636650830431</v>
      </c>
      <c r="AV117" s="37">
        <v>-10608.288219971633</v>
      </c>
      <c r="AW117" s="37">
        <v>37580.597477767325</v>
      </c>
      <c r="AX117" s="37">
        <v>28026.166263400955</v>
      </c>
      <c r="AY117" s="37">
        <v>-10137.346253874668</v>
      </c>
      <c r="AZ117" s="37">
        <v>-15869.695264036593</v>
      </c>
      <c r="BA117" s="37">
        <v>29561.274549567872</v>
      </c>
      <c r="BB117" s="37">
        <v>4565.8188539654584</v>
      </c>
      <c r="BC117" s="37">
        <v>-21791.522569262721</v>
      </c>
      <c r="BD117" s="37">
        <v>14246.141227318687</v>
      </c>
      <c r="BE117" s="37">
        <v>-36761.096979265516</v>
      </c>
      <c r="BF117" s="37">
        <v>-22645.778884970045</v>
      </c>
      <c r="BG117" s="37">
        <v>-11186.796099808322</v>
      </c>
      <c r="BH117" s="37">
        <v>7312.7578119977989</v>
      </c>
      <c r="BI117" s="37">
        <v>-26389.583894211399</v>
      </c>
      <c r="BJ117" s="37">
        <v>-691.97313457672135</v>
      </c>
      <c r="BK117" s="37">
        <v>-17168.253884401995</v>
      </c>
      <c r="BL117" s="37">
        <v>-40685.286086368535</v>
      </c>
      <c r="BM117" s="37">
        <v>45204.693361009893</v>
      </c>
      <c r="BN117" s="37">
        <v>35750.274157357839</v>
      </c>
      <c r="BO117" s="37">
        <v>-37200.825196431826</v>
      </c>
      <c r="BP117" s="37">
        <v>24399.089397751151</v>
      </c>
      <c r="BQ117" s="37">
        <v>-11043.262756307417</v>
      </c>
      <c r="BR117" s="37">
        <v>-2044.9679010251857</v>
      </c>
      <c r="BS117" s="37">
        <v>37465.109349169608</v>
      </c>
      <c r="BT117" s="37">
        <v>39983.357780028433</v>
      </c>
      <c r="BU117" s="37">
        <v>-12953.82352223276</v>
      </c>
      <c r="BV117" s="37">
        <v>33776.654263400967</v>
      </c>
      <c r="BW117" s="37">
        <v>-15832.206253874654</v>
      </c>
      <c r="BY117" s="66"/>
      <c r="BZ117" s="66"/>
    </row>
    <row r="118" spans="2:78">
      <c r="B118">
        <v>10391</v>
      </c>
      <c r="C118" t="s">
        <v>122</v>
      </c>
      <c r="D118" s="37">
        <v>-335.60602124741308</v>
      </c>
      <c r="E118" s="37">
        <v>94.437330368265066</v>
      </c>
      <c r="F118" s="37">
        <v>-3610.4071085078831</v>
      </c>
      <c r="G118" s="37">
        <v>-2122.107615910867</v>
      </c>
      <c r="H118" s="37">
        <v>-3151.4102722860007</v>
      </c>
      <c r="I118" s="37">
        <v>620.85415315508726</v>
      </c>
      <c r="J118" s="37">
        <v>-3843.5933843332496</v>
      </c>
      <c r="K118" s="37">
        <v>-263.97165271094855</v>
      </c>
      <c r="L118" s="37">
        <v>-2926.1973604464001</v>
      </c>
      <c r="M118" s="37">
        <v>-363.57158096998955</v>
      </c>
      <c r="N118" s="37">
        <v>-4767.683612806959</v>
      </c>
      <c r="O118" s="37">
        <v>-1435.2924085689883</v>
      </c>
      <c r="P118" s="37">
        <v>23.823703828249563</v>
      </c>
      <c r="Q118" s="37">
        <v>169.96236849348679</v>
      </c>
      <c r="R118" s="37">
        <v>-1006.6589899718856</v>
      </c>
      <c r="S118" s="37">
        <v>-606.31566475172986</v>
      </c>
      <c r="T118" s="37">
        <v>2254.5387144015167</v>
      </c>
      <c r="U118" s="37">
        <v>2939.7816130965657</v>
      </c>
      <c r="V118" s="37">
        <v>4433.9837400893011</v>
      </c>
      <c r="W118" s="37">
        <v>4902.8874319990628</v>
      </c>
      <c r="X118" s="37">
        <v>3621.7712593973101</v>
      </c>
      <c r="Y118" s="37">
        <v>3556.049816499376</v>
      </c>
      <c r="Z118" s="37">
        <v>752.0237196800208</v>
      </c>
      <c r="AA118" s="37">
        <v>1062.9624669743571</v>
      </c>
      <c r="AB118" s="37">
        <v>-326.68202124741401</v>
      </c>
      <c r="AC118" s="37">
        <v>85.214330368266019</v>
      </c>
      <c r="AD118" s="37">
        <v>-3596.6401085078833</v>
      </c>
      <c r="AE118" s="37">
        <v>-2136.6616159108671</v>
      </c>
      <c r="AF118" s="37">
        <v>-3146.5212722860015</v>
      </c>
      <c r="AG118" s="37">
        <v>615.6831531550888</v>
      </c>
      <c r="AH118" s="37">
        <v>-3620.1263843332526</v>
      </c>
      <c r="AI118" s="37">
        <v>-487.72065271094834</v>
      </c>
      <c r="AJ118" s="37">
        <v>-2921.236360446399</v>
      </c>
      <c r="AK118" s="37">
        <v>-368.78458096998929</v>
      </c>
      <c r="AL118" s="37">
        <v>-4974.3146128069584</v>
      </c>
      <c r="AM118" s="37">
        <v>-1228.4074085689881</v>
      </c>
      <c r="AN118" s="37">
        <v>32.982703828252852</v>
      </c>
      <c r="AO118" s="37">
        <v>160.5223684934881</v>
      </c>
      <c r="AP118" s="37">
        <v>-989.44898997188648</v>
      </c>
      <c r="AQ118" s="37">
        <v>-623.84666475172889</v>
      </c>
      <c r="AR118" s="37">
        <v>2264.4167144015173</v>
      </c>
      <c r="AS118" s="37">
        <v>2929.5876130965662</v>
      </c>
      <c r="AT118" s="37">
        <v>4441.6047400893003</v>
      </c>
      <c r="AU118" s="37">
        <v>4894.9404319990626</v>
      </c>
      <c r="AV118" s="37">
        <v>3641.0842593973084</v>
      </c>
      <c r="AW118" s="37">
        <v>3536.4058164993758</v>
      </c>
      <c r="AX118" s="37">
        <v>763.22871968001891</v>
      </c>
      <c r="AY118" s="37">
        <v>1051.4444669743561</v>
      </c>
      <c r="AZ118" s="37">
        <v>-75.899021247410928</v>
      </c>
      <c r="BA118" s="37">
        <v>-139.82466963173374</v>
      </c>
      <c r="BB118" s="37">
        <v>-3796.1691085078837</v>
      </c>
      <c r="BC118" s="37">
        <v>-1912.683615910868</v>
      </c>
      <c r="BD118" s="37">
        <v>-3127.0702722859969</v>
      </c>
      <c r="BE118" s="37">
        <v>621.99215315508809</v>
      </c>
      <c r="BF118" s="37">
        <v>-3593.8563843332504</v>
      </c>
      <c r="BG118" s="37">
        <v>-488.23065271094674</v>
      </c>
      <c r="BH118" s="37">
        <v>-3165.4103703920009</v>
      </c>
      <c r="BI118" s="37">
        <v>-400.0920859427888</v>
      </c>
      <c r="BJ118" s="37">
        <v>-4954.6256128069581</v>
      </c>
      <c r="BK118" s="37">
        <v>-1221.8394085689879</v>
      </c>
      <c r="BL118" s="37">
        <v>283.43870382825298</v>
      </c>
      <c r="BM118" s="37">
        <v>-65.012631506511752</v>
      </c>
      <c r="BN118" s="37">
        <v>-1184.9769899718849</v>
      </c>
      <c r="BO118" s="37">
        <v>-402.5986647517293</v>
      </c>
      <c r="BP118" s="37">
        <v>2288.8557144015194</v>
      </c>
      <c r="BQ118" s="37">
        <v>2930.0376130965669</v>
      </c>
      <c r="BR118" s="37">
        <v>4690.5227400893018</v>
      </c>
      <c r="BS118" s="37">
        <v>4671.7364319990611</v>
      </c>
      <c r="BT118" s="37">
        <v>3448.2222593973111</v>
      </c>
      <c r="BU118" s="37">
        <v>3754.9828164993769</v>
      </c>
      <c r="BV118" s="37">
        <v>788.43471968001904</v>
      </c>
      <c r="BW118" s="37">
        <v>1051.1254669743576</v>
      </c>
      <c r="BY118" s="66"/>
      <c r="BZ118" s="66"/>
    </row>
    <row r="119" spans="2:78">
      <c r="B119">
        <v>10406</v>
      </c>
      <c r="C119" t="s">
        <v>123</v>
      </c>
      <c r="D119" s="37">
        <v>137.61443091472546</v>
      </c>
      <c r="E119" s="37">
        <v>113.4289320429786</v>
      </c>
      <c r="F119" s="37">
        <v>121.23617151685747</v>
      </c>
      <c r="G119" s="37">
        <v>154.07663235450286</v>
      </c>
      <c r="H119" s="37">
        <v>191.20297546591851</v>
      </c>
      <c r="I119" s="37">
        <v>203.29298536230183</v>
      </c>
      <c r="J119" s="37">
        <v>203.9066460797975</v>
      </c>
      <c r="K119" s="37">
        <v>215.35902398234549</v>
      </c>
      <c r="L119" s="37">
        <v>170.95287225124346</v>
      </c>
      <c r="M119" s="37">
        <v>170.18639349960966</v>
      </c>
      <c r="N119" s="37">
        <v>116.43657297918065</v>
      </c>
      <c r="O119" s="37">
        <v>157.3955404463143</v>
      </c>
      <c r="P119" s="37">
        <v>154.48076966800383</v>
      </c>
      <c r="Q119" s="37">
        <v>139.04200393283767</v>
      </c>
      <c r="R119" s="37">
        <v>36.657130883281866</v>
      </c>
      <c r="S119" s="37">
        <v>69.019427873063563</v>
      </c>
      <c r="T119" s="37">
        <v>7.9967460604646305</v>
      </c>
      <c r="U119" s="37">
        <v>42.642598502324432</v>
      </c>
      <c r="V119" s="37">
        <v>47.893931512400172</v>
      </c>
      <c r="W119" s="37">
        <v>60.519122050919449</v>
      </c>
      <c r="X119" s="37">
        <v>41.800158462777262</v>
      </c>
      <c r="Y119" s="37">
        <v>71.516834207970092</v>
      </c>
      <c r="Z119" s="37">
        <v>82.337516939083514</v>
      </c>
      <c r="AA119" s="37">
        <v>82.263847542901871</v>
      </c>
      <c r="AB119" s="37">
        <v>148.59443091472548</v>
      </c>
      <c r="AC119" s="37">
        <v>122.7499320429786</v>
      </c>
      <c r="AD119" s="37">
        <v>131.62817151685746</v>
      </c>
      <c r="AE119" s="37">
        <v>162.98963235450287</v>
      </c>
      <c r="AF119" s="37">
        <v>202.22797546591849</v>
      </c>
      <c r="AG119" s="37">
        <v>211.73598536230182</v>
      </c>
      <c r="AH119" s="37">
        <v>196.10064607979751</v>
      </c>
      <c r="AI119" s="37">
        <v>240.62202398234547</v>
      </c>
      <c r="AJ119" s="37">
        <v>178.69487225124348</v>
      </c>
      <c r="AK119" s="37">
        <v>176.16539349960965</v>
      </c>
      <c r="AL119" s="37">
        <v>136.70257297918062</v>
      </c>
      <c r="AM119" s="37">
        <v>150.0615404463143</v>
      </c>
      <c r="AN119" s="37">
        <v>160.05376966800387</v>
      </c>
      <c r="AO119" s="37">
        <v>143.48500393283769</v>
      </c>
      <c r="AP119" s="37">
        <v>41.203130883281887</v>
      </c>
      <c r="AQ119" s="37">
        <v>72.681427873063569</v>
      </c>
      <c r="AR119" s="37">
        <v>11.807746060464609</v>
      </c>
      <c r="AS119" s="37">
        <v>45.299598502324443</v>
      </c>
      <c r="AT119" s="37">
        <v>51.424931512400207</v>
      </c>
      <c r="AU119" s="37">
        <v>63.087122050919461</v>
      </c>
      <c r="AV119" s="37">
        <v>44.882158462777255</v>
      </c>
      <c r="AW119" s="37">
        <v>73.643834207970102</v>
      </c>
      <c r="AX119" s="37">
        <v>84.737516939083491</v>
      </c>
      <c r="AY119" s="37">
        <v>84.032847542901877</v>
      </c>
      <c r="AZ119" s="37">
        <v>140.20943091472549</v>
      </c>
      <c r="BA119" s="37">
        <v>135.44193204297861</v>
      </c>
      <c r="BB119" s="37">
        <v>147.19817151685746</v>
      </c>
      <c r="BC119" s="37">
        <v>151.58863235450286</v>
      </c>
      <c r="BD119" s="37">
        <v>204.64997546591852</v>
      </c>
      <c r="BE119" s="37">
        <v>213.62098536230187</v>
      </c>
      <c r="BF119" s="37">
        <v>198.41564607979751</v>
      </c>
      <c r="BG119" s="37">
        <v>242.61502398234546</v>
      </c>
      <c r="BH119" s="37">
        <v>186.4076887376435</v>
      </c>
      <c r="BI119" s="37">
        <v>180.14080174280966</v>
      </c>
      <c r="BJ119" s="37">
        <v>139.17457297918065</v>
      </c>
      <c r="BK119" s="37">
        <v>151.89754044631431</v>
      </c>
      <c r="BL119" s="37">
        <v>150.17276966800384</v>
      </c>
      <c r="BM119" s="37">
        <v>157.53400393283766</v>
      </c>
      <c r="BN119" s="37">
        <v>53.229130883281897</v>
      </c>
      <c r="BO119" s="37">
        <v>64.963427873063551</v>
      </c>
      <c r="BP119" s="37">
        <v>14.277746060464608</v>
      </c>
      <c r="BQ119" s="37">
        <v>46.998598502324427</v>
      </c>
      <c r="BR119" s="37">
        <v>44.922931512400169</v>
      </c>
      <c r="BS119" s="37">
        <v>73.897122050919435</v>
      </c>
      <c r="BT119" s="37">
        <v>56.721158462777254</v>
      </c>
      <c r="BU119" s="37">
        <v>66.112834207970096</v>
      </c>
      <c r="BV119" s="37">
        <v>87.137516939083497</v>
      </c>
      <c r="BW119" s="37">
        <v>85.801847542901882</v>
      </c>
      <c r="BY119" s="66"/>
      <c r="BZ119" s="66"/>
    </row>
    <row r="120" spans="2:78">
      <c r="B120">
        <v>10408</v>
      </c>
      <c r="C120" t="s">
        <v>124</v>
      </c>
      <c r="D120" s="37">
        <v>248.75476971575154</v>
      </c>
      <c r="E120" s="37">
        <v>269.10610680992863</v>
      </c>
      <c r="F120" s="37">
        <v>42.065571722858294</v>
      </c>
      <c r="G120" s="37">
        <v>213.26210784834302</v>
      </c>
      <c r="H120" s="37">
        <v>8.9959182197284235</v>
      </c>
      <c r="I120" s="37">
        <v>223.90628454100619</v>
      </c>
      <c r="J120" s="37">
        <v>-46.471846400674849</v>
      </c>
      <c r="K120" s="37">
        <v>210.44741327448486</v>
      </c>
      <c r="L120" s="37">
        <v>59.154574170811657</v>
      </c>
      <c r="M120" s="37">
        <v>192.00731166536565</v>
      </c>
      <c r="N120" s="37">
        <v>3.4365765972688678</v>
      </c>
      <c r="O120" s="37">
        <v>233.05046815438101</v>
      </c>
      <c r="P120" s="37">
        <v>197.81556556001283</v>
      </c>
      <c r="Q120" s="37">
        <v>236.65934644279224</v>
      </c>
      <c r="R120" s="37">
        <v>-66.437230389060232</v>
      </c>
      <c r="S120" s="37">
        <v>133.5164262435452</v>
      </c>
      <c r="T120" s="37">
        <v>-121.24384646511783</v>
      </c>
      <c r="U120" s="37">
        <v>99.601328341081398</v>
      </c>
      <c r="V120" s="37">
        <v>-15.872561625332651</v>
      </c>
      <c r="W120" s="37">
        <v>163.64774016973161</v>
      </c>
      <c r="X120" s="37">
        <v>-97.699805124075851</v>
      </c>
      <c r="Y120" s="37">
        <v>153.04644735990041</v>
      </c>
      <c r="Z120" s="37">
        <v>-107.48161020305491</v>
      </c>
      <c r="AA120" s="37">
        <v>44.640825143006282</v>
      </c>
      <c r="AB120" s="37">
        <v>248.75476971575154</v>
      </c>
      <c r="AC120" s="37">
        <v>269.10610680992863</v>
      </c>
      <c r="AD120" s="37">
        <v>42.065571722858294</v>
      </c>
      <c r="AE120" s="37">
        <v>213.26210784834302</v>
      </c>
      <c r="AF120" s="37">
        <v>8.9959182197284235</v>
      </c>
      <c r="AG120" s="37">
        <v>223.90628454100619</v>
      </c>
      <c r="AH120" s="37">
        <v>-85.376846400674935</v>
      </c>
      <c r="AI120" s="37">
        <v>249.35241327448495</v>
      </c>
      <c r="AJ120" s="37">
        <v>59.154574170811657</v>
      </c>
      <c r="AK120" s="37">
        <v>192.00731166536565</v>
      </c>
      <c r="AL120" s="37">
        <v>39.760576597268823</v>
      </c>
      <c r="AM120" s="37">
        <v>196.72646815438094</v>
      </c>
      <c r="AN120" s="37">
        <v>197.81556556001283</v>
      </c>
      <c r="AO120" s="37">
        <v>236.65934644279224</v>
      </c>
      <c r="AP120" s="37">
        <v>-66.437230389060232</v>
      </c>
      <c r="AQ120" s="37">
        <v>133.5164262435452</v>
      </c>
      <c r="AR120" s="37">
        <v>-121.24384646511783</v>
      </c>
      <c r="AS120" s="37">
        <v>99.601328341081398</v>
      </c>
      <c r="AT120" s="37">
        <v>-15.872561625332651</v>
      </c>
      <c r="AU120" s="37">
        <v>163.64774016973161</v>
      </c>
      <c r="AV120" s="37">
        <v>-97.699805124075851</v>
      </c>
      <c r="AW120" s="37">
        <v>153.04644735990041</v>
      </c>
      <c r="AX120" s="37">
        <v>-107.48161020305491</v>
      </c>
      <c r="AY120" s="37">
        <v>44.640825143006282</v>
      </c>
      <c r="AZ120" s="37">
        <v>212.18076971575147</v>
      </c>
      <c r="BA120" s="37">
        <v>305.6801068099287</v>
      </c>
      <c r="BB120" s="37">
        <v>78.670571722858313</v>
      </c>
      <c r="BC120" s="37">
        <v>176.657107848343</v>
      </c>
      <c r="BD120" s="37">
        <v>8.9959182197284235</v>
      </c>
      <c r="BE120" s="37">
        <v>223.90628454100619</v>
      </c>
      <c r="BF120" s="37">
        <v>-85.376846400674935</v>
      </c>
      <c r="BG120" s="37">
        <v>249.35241327448495</v>
      </c>
      <c r="BH120" s="37">
        <v>67.013962458811648</v>
      </c>
      <c r="BI120" s="37">
        <v>195.3900058093655</v>
      </c>
      <c r="BJ120" s="37">
        <v>39.760576597268823</v>
      </c>
      <c r="BK120" s="37">
        <v>196.72646815438094</v>
      </c>
      <c r="BL120" s="37">
        <v>162.23056556001291</v>
      </c>
      <c r="BM120" s="37">
        <v>272.24434644279228</v>
      </c>
      <c r="BN120" s="37">
        <v>-34.461230389060233</v>
      </c>
      <c r="BO120" s="37">
        <v>101.54142624354517</v>
      </c>
      <c r="BP120" s="37">
        <v>-121.24384646511783</v>
      </c>
      <c r="BQ120" s="37">
        <v>99.601328341081398</v>
      </c>
      <c r="BR120" s="37">
        <v>-46.746561625332674</v>
      </c>
      <c r="BS120" s="37">
        <v>194.52274016973161</v>
      </c>
      <c r="BT120" s="37">
        <v>-66.787805124075817</v>
      </c>
      <c r="BU120" s="37">
        <v>122.13544735990035</v>
      </c>
      <c r="BV120" s="37">
        <v>-107.48161020305491</v>
      </c>
      <c r="BW120" s="37">
        <v>44.640825143006282</v>
      </c>
      <c r="BY120" s="66"/>
      <c r="BZ120" s="66"/>
    </row>
    <row r="121" spans="2:78">
      <c r="B121">
        <v>10409</v>
      </c>
      <c r="C121" t="s">
        <v>125</v>
      </c>
      <c r="D121" s="37">
        <v>1568.8581492214562</v>
      </c>
      <c r="E121" s="37">
        <v>1556.4959780703848</v>
      </c>
      <c r="F121" s="37">
        <v>-288.16354328627131</v>
      </c>
      <c r="G121" s="37">
        <v>580.17948316239836</v>
      </c>
      <c r="H121" s="37">
        <v>-1028.9501539584562</v>
      </c>
      <c r="I121" s="37">
        <v>1097.9137394005238</v>
      </c>
      <c r="J121" s="37">
        <v>-1361.9195206801378</v>
      </c>
      <c r="K121" s="37">
        <v>801.17720189194188</v>
      </c>
      <c r="L121" s="37">
        <v>-438.6306813793617</v>
      </c>
      <c r="M121" s="37">
        <v>799.42524199108539</v>
      </c>
      <c r="N121" s="37">
        <v>-1159.308916982176</v>
      </c>
      <c r="O121" s="37">
        <v>942.72912801477469</v>
      </c>
      <c r="P121" s="37">
        <v>1130.2169057700057</v>
      </c>
      <c r="Q121" s="37">
        <v>1186.9056506415864</v>
      </c>
      <c r="R121" s="37">
        <v>-1960.0755693099836</v>
      </c>
      <c r="S121" s="37">
        <v>-229.76079039362321</v>
      </c>
      <c r="T121" s="37">
        <v>-2589.4651173753646</v>
      </c>
      <c r="U121" s="37">
        <v>-408.61766646041633</v>
      </c>
      <c r="V121" s="37">
        <v>-1120.4195193491814</v>
      </c>
      <c r="W121" s="37">
        <v>305.33324526082106</v>
      </c>
      <c r="X121" s="37">
        <v>-1711.5915218654754</v>
      </c>
      <c r="Y121" s="37">
        <v>705.82275221303826</v>
      </c>
      <c r="Z121" s="37">
        <v>537.35616798330648</v>
      </c>
      <c r="AA121" s="37">
        <v>1082.4863683131061</v>
      </c>
      <c r="AB121" s="37">
        <v>1568.8581492214562</v>
      </c>
      <c r="AC121" s="37">
        <v>1556.4959780703848</v>
      </c>
      <c r="AD121" s="37">
        <v>-288.16354328627131</v>
      </c>
      <c r="AE121" s="37">
        <v>580.17948316239836</v>
      </c>
      <c r="AF121" s="37">
        <v>-1028.9501539584562</v>
      </c>
      <c r="AG121" s="37">
        <v>1097.9137394005238</v>
      </c>
      <c r="AH121" s="37">
        <v>-1613.3015206801374</v>
      </c>
      <c r="AI121" s="37">
        <v>1052.5592018919415</v>
      </c>
      <c r="AJ121" s="37">
        <v>-438.6306813793617</v>
      </c>
      <c r="AK121" s="37">
        <v>799.42524199108539</v>
      </c>
      <c r="AL121" s="37">
        <v>-950.44591698217664</v>
      </c>
      <c r="AM121" s="37">
        <v>733.8661280147744</v>
      </c>
      <c r="AN121" s="37">
        <v>1130.2169057700057</v>
      </c>
      <c r="AO121" s="37">
        <v>1186.9056506415864</v>
      </c>
      <c r="AP121" s="37">
        <v>-1960.0755693099836</v>
      </c>
      <c r="AQ121" s="37">
        <v>-229.76079039362321</v>
      </c>
      <c r="AR121" s="37">
        <v>-2589.4651173753646</v>
      </c>
      <c r="AS121" s="37">
        <v>-408.61766646041633</v>
      </c>
      <c r="AT121" s="37">
        <v>-1120.4195193491814</v>
      </c>
      <c r="AU121" s="37">
        <v>305.33324526082106</v>
      </c>
      <c r="AV121" s="37">
        <v>-1711.5915218654754</v>
      </c>
      <c r="AW121" s="37">
        <v>705.82275221303826</v>
      </c>
      <c r="AX121" s="37">
        <v>537.35616798330648</v>
      </c>
      <c r="AY121" s="37">
        <v>1082.4863683131061</v>
      </c>
      <c r="AZ121" s="37">
        <v>1373.3641492214556</v>
      </c>
      <c r="BA121" s="37">
        <v>1749.0149780703841</v>
      </c>
      <c r="BB121" s="37">
        <v>-74.626543286272863</v>
      </c>
      <c r="BC121" s="37">
        <v>363.75748316239788</v>
      </c>
      <c r="BD121" s="37">
        <v>-1030.6141539584569</v>
      </c>
      <c r="BE121" s="37">
        <v>1096.6017394005239</v>
      </c>
      <c r="BF121" s="37">
        <v>-1614.9015206801378</v>
      </c>
      <c r="BG121" s="37">
        <v>1051.1832018919422</v>
      </c>
      <c r="BH121" s="37">
        <v>-419.24423774416391</v>
      </c>
      <c r="BI121" s="37">
        <v>820.52596380868545</v>
      </c>
      <c r="BJ121" s="37">
        <v>-952.1739169821758</v>
      </c>
      <c r="BK121" s="37">
        <v>732.62212801477472</v>
      </c>
      <c r="BL121" s="37">
        <v>932.50090577000537</v>
      </c>
      <c r="BM121" s="37">
        <v>1381.7406506415864</v>
      </c>
      <c r="BN121" s="37">
        <v>-1794.1985693099832</v>
      </c>
      <c r="BO121" s="37">
        <v>-398.61379039362237</v>
      </c>
      <c r="BP121" s="37">
        <v>-2591.1291173753652</v>
      </c>
      <c r="BQ121" s="37">
        <v>-409.83366646041577</v>
      </c>
      <c r="BR121" s="37">
        <v>-1287.7415193491825</v>
      </c>
      <c r="BS121" s="37">
        <v>469.67724526082111</v>
      </c>
      <c r="BT121" s="37">
        <v>-1543.6435218654751</v>
      </c>
      <c r="BU121" s="37">
        <v>534.89775221303717</v>
      </c>
      <c r="BV121" s="37">
        <v>535.75616798330702</v>
      </c>
      <c r="BW121" s="37">
        <v>1081.2063683131064</v>
      </c>
      <c r="BY121" s="66"/>
      <c r="BZ121" s="66"/>
    </row>
    <row r="122" spans="2:78">
      <c r="B122">
        <v>10426</v>
      </c>
      <c r="C122" t="s">
        <v>126</v>
      </c>
      <c r="D122" s="37">
        <v>-347.85922869766182</v>
      </c>
      <c r="E122" s="37">
        <v>2009.2900844934939</v>
      </c>
      <c r="F122" s="37">
        <v>-343.88799490034216</v>
      </c>
      <c r="G122" s="37">
        <v>3126.7308303338523</v>
      </c>
      <c r="H122" s="37">
        <v>-430.89805103129402</v>
      </c>
      <c r="I122" s="37">
        <v>5703.9349634298542</v>
      </c>
      <c r="J122" s="37">
        <v>-632.36364559048889</v>
      </c>
      <c r="K122" s="37">
        <v>5043.1071246522552</v>
      </c>
      <c r="L122" s="37">
        <v>1479.1350923252685</v>
      </c>
      <c r="M122" s="37">
        <v>5200.8524806937785</v>
      </c>
      <c r="N122" s="37">
        <v>-2836.0282376622054</v>
      </c>
      <c r="O122" s="37">
        <v>3056.3387002242798</v>
      </c>
      <c r="P122" s="37">
        <v>-956.9146737786723</v>
      </c>
      <c r="Q122" s="37">
        <v>1684.9740369388655</v>
      </c>
      <c r="R122" s="37">
        <v>-6053.0172619174755</v>
      </c>
      <c r="S122" s="37">
        <v>-1873.7208845703299</v>
      </c>
      <c r="T122" s="37">
        <v>-7033.0250722285946</v>
      </c>
      <c r="U122" s="37">
        <v>-1683.7399731965652</v>
      </c>
      <c r="V122" s="37">
        <v>-2763.8628956483881</v>
      </c>
      <c r="W122" s="37">
        <v>576.05473970337152</v>
      </c>
      <c r="X122" s="37">
        <v>-3563.8126102511615</v>
      </c>
      <c r="Y122" s="37">
        <v>675.34042441791098</v>
      </c>
      <c r="Z122" s="37">
        <v>-1399.137486022657</v>
      </c>
      <c r="AA122" s="37">
        <v>1360.7433135656975</v>
      </c>
      <c r="AB122" s="37">
        <v>-673.71860290387303</v>
      </c>
      <c r="AC122" s="37">
        <v>1945.9154086861545</v>
      </c>
      <c r="AD122" s="37">
        <v>-364.86677183046777</v>
      </c>
      <c r="AE122" s="37">
        <v>3314.952184440408</v>
      </c>
      <c r="AF122" s="37">
        <v>-456.83177353634892</v>
      </c>
      <c r="AG122" s="37">
        <v>6047.7193423864228</v>
      </c>
      <c r="AH122" s="37">
        <v>-670.42548528485713</v>
      </c>
      <c r="AI122" s="37">
        <v>5347.0755897102463</v>
      </c>
      <c r="AJ122" s="37">
        <v>1567.7517316452759</v>
      </c>
      <c r="AK122" s="37">
        <v>5513.8695039811373</v>
      </c>
      <c r="AL122" s="37">
        <v>-3007.541223791668</v>
      </c>
      <c r="AM122" s="37">
        <v>3240.0526174107799</v>
      </c>
      <c r="AN122" s="37">
        <v>-1014.5096323721536</v>
      </c>
      <c r="AO122" s="37">
        <v>1786.581260725532</v>
      </c>
      <c r="AP122" s="37">
        <v>-6418.1251954162726</v>
      </c>
      <c r="AQ122" s="37">
        <v>-1986.8992135333428</v>
      </c>
      <c r="AR122" s="37">
        <v>-7457.0304245216848</v>
      </c>
      <c r="AS122" s="37">
        <v>-1785.316352140715</v>
      </c>
      <c r="AT122" s="37">
        <v>-2930.5115879716432</v>
      </c>
      <c r="AU122" s="37">
        <v>610.71313610227844</v>
      </c>
      <c r="AV122" s="37">
        <v>-3778.6553381009617</v>
      </c>
      <c r="AW122" s="37">
        <v>716.00192502620121</v>
      </c>
      <c r="AX122" s="37">
        <v>-1483.1835083198384</v>
      </c>
      <c r="AY122" s="37">
        <v>1442.9688915278293</v>
      </c>
      <c r="AZ122" s="37">
        <v>-198.40060290387373</v>
      </c>
      <c r="BA122" s="37">
        <v>2309.5974086861552</v>
      </c>
      <c r="BB122" s="37">
        <v>-150.42535817790485</v>
      </c>
      <c r="BC122" s="37">
        <v>3570.4632506651087</v>
      </c>
      <c r="BD122" s="37">
        <v>-198.86341998873468</v>
      </c>
      <c r="BE122" s="37">
        <v>6396.1242355296199</v>
      </c>
      <c r="BF122" s="37">
        <v>-409.14655151633633</v>
      </c>
      <c r="BG122" s="37">
        <v>5686.0299604682805</v>
      </c>
      <c r="BH122" s="37">
        <v>1170.8744432019448</v>
      </c>
      <c r="BI122" s="37">
        <v>5484.8321125165039</v>
      </c>
      <c r="BJ122" s="37">
        <v>-2849.8197963696366</v>
      </c>
      <c r="BK122" s="37">
        <v>3482.144939394977</v>
      </c>
      <c r="BL122" s="37">
        <v>-860.8773072658114</v>
      </c>
      <c r="BM122" s="37">
        <v>1960.7230209614627</v>
      </c>
      <c r="BN122" s="37">
        <v>-6387.9520006932707</v>
      </c>
      <c r="BO122" s="37">
        <v>-1896.2120931097779</v>
      </c>
      <c r="BP122" s="37">
        <v>-7437.0218491216419</v>
      </c>
      <c r="BQ122" s="37">
        <v>-1703.4537517769204</v>
      </c>
      <c r="BR122" s="37">
        <v>-2799.4343729691573</v>
      </c>
      <c r="BS122" s="37">
        <v>761.05339810225269</v>
      </c>
      <c r="BT122" s="37">
        <v>-3657.5529142288142</v>
      </c>
      <c r="BU122" s="37">
        <v>861.94105881785254</v>
      </c>
      <c r="BV122" s="37">
        <v>-1354.4913494398352</v>
      </c>
      <c r="BW122" s="37">
        <v>1596.7942656104515</v>
      </c>
      <c r="BY122" s="66"/>
      <c r="BZ122" s="66"/>
    </row>
    <row r="123" spans="2:78">
      <c r="B123">
        <v>10434</v>
      </c>
      <c r="C123" t="s">
        <v>127</v>
      </c>
      <c r="D123" s="37">
        <v>1130.7666334120477</v>
      </c>
      <c r="E123" s="37">
        <v>307.83746033195803</v>
      </c>
      <c r="F123" s="37">
        <v>-55.405465797664874</v>
      </c>
      <c r="G123" s="37">
        <v>153.53978111564265</v>
      </c>
      <c r="H123" s="37">
        <v>980.07092974412262</v>
      </c>
      <c r="I123" s="37">
        <v>2230.8797834314064</v>
      </c>
      <c r="J123" s="37">
        <v>103.08175686355207</v>
      </c>
      <c r="K123" s="37">
        <v>1336.8570360027261</v>
      </c>
      <c r="L123" s="37">
        <v>761.0861069074399</v>
      </c>
      <c r="M123" s="37">
        <v>1020.3432501149764</v>
      </c>
      <c r="N123" s="37">
        <v>-976.63308465866976</v>
      </c>
      <c r="O123" s="37">
        <v>526.53359309576717</v>
      </c>
      <c r="P123" s="37">
        <v>828.63200051806234</v>
      </c>
      <c r="Q123" s="37">
        <v>237.47696772812469</v>
      </c>
      <c r="R123" s="37">
        <v>-2907.4552744706161</v>
      </c>
      <c r="S123" s="37">
        <v>-2119.3337212970955</v>
      </c>
      <c r="T123" s="37">
        <v>-3180.0717401159418</v>
      </c>
      <c r="U123" s="37">
        <v>-1534.3388292225345</v>
      </c>
      <c r="V123" s="37">
        <v>711.64299214796119</v>
      </c>
      <c r="W123" s="37">
        <v>408.24841023174849</v>
      </c>
      <c r="X123" s="37">
        <v>-443.2927844683436</v>
      </c>
      <c r="Y123" s="37">
        <v>108.31287001170858</v>
      </c>
      <c r="Z123" s="37">
        <v>113.67817630983154</v>
      </c>
      <c r="AA123" s="37">
        <v>262.45583033281218</v>
      </c>
      <c r="AB123" s="37">
        <v>1180.8496334120482</v>
      </c>
      <c r="AC123" s="37">
        <v>324.02346033195772</v>
      </c>
      <c r="AD123" s="37">
        <v>12.99153420233597</v>
      </c>
      <c r="AE123" s="37">
        <v>184.27378111564303</v>
      </c>
      <c r="AF123" s="37">
        <v>1077.6349297441229</v>
      </c>
      <c r="AG123" s="37">
        <v>2286.1527834314056</v>
      </c>
      <c r="AH123" s="37">
        <v>234.80275686355344</v>
      </c>
      <c r="AI123" s="37">
        <v>1353.2170360027249</v>
      </c>
      <c r="AJ123" s="37">
        <v>837.3311069074407</v>
      </c>
      <c r="AK123" s="37">
        <v>1057.4782501149766</v>
      </c>
      <c r="AL123" s="37">
        <v>-944.10408465866931</v>
      </c>
      <c r="AM123" s="37">
        <v>593.82459309576552</v>
      </c>
      <c r="AN123" s="37">
        <v>765.63800051806174</v>
      </c>
      <c r="AO123" s="37">
        <v>188.20796772812537</v>
      </c>
      <c r="AP123" s="37">
        <v>-2966.7662744706158</v>
      </c>
      <c r="AQ123" s="37">
        <v>-2176.0267212970957</v>
      </c>
      <c r="AR123" s="37">
        <v>-3242.2897401159425</v>
      </c>
      <c r="AS123" s="37">
        <v>-1584.3828292225344</v>
      </c>
      <c r="AT123" s="37">
        <v>649.82799214796069</v>
      </c>
      <c r="AU123" s="37">
        <v>354.0594102317491</v>
      </c>
      <c r="AV123" s="37">
        <v>-504.31278446834403</v>
      </c>
      <c r="AW123" s="37">
        <v>53.335870011708721</v>
      </c>
      <c r="AX123" s="37">
        <v>53.616176309831644</v>
      </c>
      <c r="AY123" s="37">
        <v>210.26383033281218</v>
      </c>
      <c r="AZ123" s="37">
        <v>1161.4576334120502</v>
      </c>
      <c r="BA123" s="37">
        <v>236.33646033195873</v>
      </c>
      <c r="BB123" s="37">
        <v>-80.222465797665791</v>
      </c>
      <c r="BC123" s="37">
        <v>173.66378111564245</v>
      </c>
      <c r="BD123" s="37">
        <v>1019.4659297441231</v>
      </c>
      <c r="BE123" s="37">
        <v>2237.247783431405</v>
      </c>
      <c r="BF123" s="37">
        <v>179.84275686355068</v>
      </c>
      <c r="BG123" s="37">
        <v>1301.1030360027253</v>
      </c>
      <c r="BH123" s="37">
        <v>708.70885221303797</v>
      </c>
      <c r="BI123" s="37">
        <v>1026.4971227677761</v>
      </c>
      <c r="BJ123" s="37">
        <v>-872.03608465866819</v>
      </c>
      <c r="BK123" s="37">
        <v>631.32859309576634</v>
      </c>
      <c r="BL123" s="37">
        <v>861.74800051806051</v>
      </c>
      <c r="BM123" s="37">
        <v>171.17296772812551</v>
      </c>
      <c r="BN123" s="37">
        <v>-2957.7172744706168</v>
      </c>
      <c r="BO123" s="37">
        <v>-2120.7227212970947</v>
      </c>
      <c r="BP123" s="37">
        <v>-3185.456740115942</v>
      </c>
      <c r="BQ123" s="37">
        <v>-1566.5988292225347</v>
      </c>
      <c r="BR123" s="37">
        <v>766.43099214795984</v>
      </c>
      <c r="BS123" s="37">
        <v>341.85441023174826</v>
      </c>
      <c r="BT123" s="37">
        <v>-470.03578446834399</v>
      </c>
      <c r="BU123" s="37">
        <v>114.38187001170809</v>
      </c>
      <c r="BV123" s="37">
        <v>99.711176309830989</v>
      </c>
      <c r="BW123" s="37">
        <v>226.81583033281277</v>
      </c>
      <c r="BY123" s="66"/>
      <c r="BZ123" s="66"/>
    </row>
    <row r="124" spans="2:78">
      <c r="B124">
        <v>10436</v>
      </c>
      <c r="C124" t="s">
        <v>128</v>
      </c>
      <c r="D124" s="37">
        <v>-1272.638784514681</v>
      </c>
      <c r="E124" s="37">
        <v>-475.90049119675177</v>
      </c>
      <c r="F124" s="37">
        <v>-2644.6450459116477</v>
      </c>
      <c r="G124" s="37">
        <v>-1161.338517522754</v>
      </c>
      <c r="H124" s="37">
        <v>-1585.6695582576212</v>
      </c>
      <c r="I124" s="37">
        <v>966.53098362896435</v>
      </c>
      <c r="J124" s="37">
        <v>-2286.6276982529107</v>
      </c>
      <c r="K124" s="37">
        <v>348.08122808896678</v>
      </c>
      <c r="L124" s="37">
        <v>-2023.9259110378989</v>
      </c>
      <c r="M124" s="37">
        <v>-166.13420853098251</v>
      </c>
      <c r="N124" s="37">
        <v>-3106.4427903226861</v>
      </c>
      <c r="O124" s="37">
        <v>-542.70746081344896</v>
      </c>
      <c r="P124" s="37">
        <v>-1526.2591139590058</v>
      </c>
      <c r="Q124" s="37">
        <v>-577.31965654284477</v>
      </c>
      <c r="R124" s="37">
        <v>-1340.3052835146264</v>
      </c>
      <c r="S124" s="37">
        <v>-123.54261385701193</v>
      </c>
      <c r="T124" s="37">
        <v>1210.1430301053842</v>
      </c>
      <c r="U124" s="37">
        <v>2245.5069913896305</v>
      </c>
      <c r="V124" s="37">
        <v>4089.3475776674113</v>
      </c>
      <c r="W124" s="37">
        <v>4323.2778055087383</v>
      </c>
      <c r="X124" s="37">
        <v>1576.6300023903532</v>
      </c>
      <c r="Y124" s="37">
        <v>2502.3571834335644</v>
      </c>
      <c r="Z124" s="37">
        <v>349.61394979084344</v>
      </c>
      <c r="AA124" s="37">
        <v>1218.5645218748878</v>
      </c>
      <c r="AB124" s="37">
        <v>-1264.1807845146805</v>
      </c>
      <c r="AC124" s="37">
        <v>-479.5464911967515</v>
      </c>
      <c r="AD124" s="37">
        <v>-2633.1380459116463</v>
      </c>
      <c r="AE124" s="37">
        <v>-1169.0585175227534</v>
      </c>
      <c r="AF124" s="37">
        <v>-1582.0415582576206</v>
      </c>
      <c r="AG124" s="37">
        <v>966.33198362896383</v>
      </c>
      <c r="AH124" s="37">
        <v>-2172.9266982529098</v>
      </c>
      <c r="AI124" s="37">
        <v>237.18022808896694</v>
      </c>
      <c r="AJ124" s="37">
        <v>-2020.3949110378981</v>
      </c>
      <c r="AK124" s="37">
        <v>-167.76920853098181</v>
      </c>
      <c r="AL124" s="37">
        <v>-3210.5487903226858</v>
      </c>
      <c r="AM124" s="37">
        <v>-436.88846081344855</v>
      </c>
      <c r="AN124" s="37">
        <v>-1522.7271139590048</v>
      </c>
      <c r="AO124" s="37">
        <v>-580.30665654284485</v>
      </c>
      <c r="AP124" s="37">
        <v>-1331.8622835146252</v>
      </c>
      <c r="AQ124" s="37">
        <v>-133.29161385701173</v>
      </c>
      <c r="AR124" s="37">
        <v>1213.9020301053843</v>
      </c>
      <c r="AS124" s="37">
        <v>2239.2979913896297</v>
      </c>
      <c r="AT124" s="37">
        <v>4092.6395776674126</v>
      </c>
      <c r="AU124" s="37">
        <v>4316.2298055087376</v>
      </c>
      <c r="AV124" s="37">
        <v>1586.2560023903552</v>
      </c>
      <c r="AW124" s="37">
        <v>2488.4791834335638</v>
      </c>
      <c r="AX124" s="37">
        <v>351.30494979084415</v>
      </c>
      <c r="AY124" s="37">
        <v>1212.4205218748875</v>
      </c>
      <c r="AZ124" s="37">
        <v>-1125.0087845146818</v>
      </c>
      <c r="BA124" s="37">
        <v>-592.88749119675231</v>
      </c>
      <c r="BB124" s="37">
        <v>-2729.6670459116467</v>
      </c>
      <c r="BC124" s="37">
        <v>-1048.3365175227536</v>
      </c>
      <c r="BD124" s="37">
        <v>-1566.6615582576214</v>
      </c>
      <c r="BE124" s="37">
        <v>975.47998362896305</v>
      </c>
      <c r="BF124" s="37">
        <v>-2151.9996982529101</v>
      </c>
      <c r="BG124" s="37">
        <v>240.18622808896725</v>
      </c>
      <c r="BH124" s="37">
        <v>-2208.9972093418983</v>
      </c>
      <c r="BI124" s="37">
        <v>-211.76385768298132</v>
      </c>
      <c r="BJ124" s="37">
        <v>-3198.3907903226864</v>
      </c>
      <c r="BK124" s="37">
        <v>-426.15846081344807</v>
      </c>
      <c r="BL124" s="37">
        <v>-1388.7381139590052</v>
      </c>
      <c r="BM124" s="37">
        <v>-693.17965654284399</v>
      </c>
      <c r="BN124" s="37">
        <v>-1430.8432835146268</v>
      </c>
      <c r="BO124" s="37">
        <v>-14.289613857011318</v>
      </c>
      <c r="BP124" s="37">
        <v>1229.4770301053832</v>
      </c>
      <c r="BQ124" s="37">
        <v>2241.955991389631</v>
      </c>
      <c r="BR124" s="37">
        <v>4226.4285776674133</v>
      </c>
      <c r="BS124" s="37">
        <v>4200.1138055087395</v>
      </c>
      <c r="BT124" s="37">
        <v>1488.9170023903553</v>
      </c>
      <c r="BU124" s="37">
        <v>2603.0221834335653</v>
      </c>
      <c r="BV124" s="37">
        <v>364.43794979084396</v>
      </c>
      <c r="BW124" s="37">
        <v>1215.6195218748871</v>
      </c>
      <c r="BY124" s="66"/>
      <c r="BZ124" s="66"/>
    </row>
    <row r="125" spans="2:78">
      <c r="B125">
        <v>10440</v>
      </c>
      <c r="C125" t="s">
        <v>129</v>
      </c>
      <c r="D125" s="37">
        <v>297.18114090612812</v>
      </c>
      <c r="E125" s="37">
        <v>278.50120338940042</v>
      </c>
      <c r="F125" s="37">
        <v>282.5742029488697</v>
      </c>
      <c r="G125" s="37">
        <v>306.51286836764643</v>
      </c>
      <c r="H125" s="37">
        <v>935.39915320087812</v>
      </c>
      <c r="I125" s="37">
        <v>1062.0420962198448</v>
      </c>
      <c r="J125" s="37">
        <v>412.36532853556537</v>
      </c>
      <c r="K125" s="37">
        <v>778.02933305399438</v>
      </c>
      <c r="L125" s="37">
        <v>948.43750680718358</v>
      </c>
      <c r="M125" s="37">
        <v>873.22640643632099</v>
      </c>
      <c r="N125" s="37">
        <v>689.46349115058365</v>
      </c>
      <c r="O125" s="37">
        <v>778.41866805609789</v>
      </c>
      <c r="P125" s="37">
        <v>467.12626237520863</v>
      </c>
      <c r="Q125" s="37">
        <v>407.79871581546854</v>
      </c>
      <c r="R125" s="37">
        <v>-621.80773953006315</v>
      </c>
      <c r="S125" s="37">
        <v>-328.15126424511891</v>
      </c>
      <c r="T125" s="37">
        <v>-952.34420084236126</v>
      </c>
      <c r="U125" s="37">
        <v>-358.23101852629748</v>
      </c>
      <c r="V125" s="37">
        <v>-682.21748605045423</v>
      </c>
      <c r="W125" s="37">
        <v>-277.68829437876457</v>
      </c>
      <c r="X125" s="37">
        <v>-719.53216346462136</v>
      </c>
      <c r="Y125" s="37">
        <v>-285.53581631691941</v>
      </c>
      <c r="Z125" s="37">
        <v>-170.52320455918198</v>
      </c>
      <c r="AA125" s="37">
        <v>-62.902821834431734</v>
      </c>
      <c r="AB125" s="37">
        <v>303.67414090612806</v>
      </c>
      <c r="AC125" s="37">
        <v>282.73020338940046</v>
      </c>
      <c r="AD125" s="37">
        <v>290.36120294886996</v>
      </c>
      <c r="AE125" s="37">
        <v>311.98486836764641</v>
      </c>
      <c r="AF125" s="37">
        <v>935.39915320087812</v>
      </c>
      <c r="AG125" s="37">
        <v>1062.0420962198448</v>
      </c>
      <c r="AH125" s="37">
        <v>422.2913285355653</v>
      </c>
      <c r="AI125" s="37">
        <v>785.48633305399426</v>
      </c>
      <c r="AJ125" s="37">
        <v>948.43750680718358</v>
      </c>
      <c r="AK125" s="37">
        <v>873.22640643632099</v>
      </c>
      <c r="AL125" s="37">
        <v>689.46349115058365</v>
      </c>
      <c r="AM125" s="37">
        <v>778.41866805609789</v>
      </c>
      <c r="AN125" s="37">
        <v>474.26626237520895</v>
      </c>
      <c r="AO125" s="37">
        <v>412.60971581546846</v>
      </c>
      <c r="AP125" s="37">
        <v>-616.42773953006326</v>
      </c>
      <c r="AQ125" s="37">
        <v>-324.4112642451189</v>
      </c>
      <c r="AR125" s="37">
        <v>-947.25320084236114</v>
      </c>
      <c r="AS125" s="37">
        <v>-355.05001852629744</v>
      </c>
      <c r="AT125" s="37">
        <v>-677.37648605045433</v>
      </c>
      <c r="AU125" s="37">
        <v>-274.53429437876457</v>
      </c>
      <c r="AV125" s="37">
        <v>-714.27916346462121</v>
      </c>
      <c r="AW125" s="37">
        <v>-282.64981631691944</v>
      </c>
      <c r="AX125" s="37">
        <v>-165.62720455918179</v>
      </c>
      <c r="AY125" s="37">
        <v>-59.808821834431797</v>
      </c>
      <c r="AZ125" s="37">
        <v>307.87814090612778</v>
      </c>
      <c r="BA125" s="37">
        <v>285.46820338940029</v>
      </c>
      <c r="BB125" s="37">
        <v>295.40220294886967</v>
      </c>
      <c r="BC125" s="37">
        <v>315.52786836764653</v>
      </c>
      <c r="BD125" s="37">
        <v>935.39915320087812</v>
      </c>
      <c r="BE125" s="37">
        <v>1062.0420962198448</v>
      </c>
      <c r="BF125" s="37">
        <v>428.71732853556523</v>
      </c>
      <c r="BG125" s="37">
        <v>790.31433305399423</v>
      </c>
      <c r="BH125" s="37">
        <v>867.26312646798397</v>
      </c>
      <c r="BI125" s="37">
        <v>832.53021626672103</v>
      </c>
      <c r="BJ125" s="37">
        <v>689.46349115058365</v>
      </c>
      <c r="BK125" s="37">
        <v>778.41866805609789</v>
      </c>
      <c r="BL125" s="37">
        <v>478.88926237520855</v>
      </c>
      <c r="BM125" s="37">
        <v>415.72471581546847</v>
      </c>
      <c r="BN125" s="37">
        <v>-612.94573953006329</v>
      </c>
      <c r="BO125" s="37">
        <v>-321.99126424511905</v>
      </c>
      <c r="BP125" s="37">
        <v>-943.95520084236114</v>
      </c>
      <c r="BQ125" s="37">
        <v>-352.99101852629747</v>
      </c>
      <c r="BR125" s="37">
        <v>-674.24448605045427</v>
      </c>
      <c r="BS125" s="37">
        <v>-272.49229437876443</v>
      </c>
      <c r="BT125" s="37">
        <v>-710.87916346462134</v>
      </c>
      <c r="BU125" s="37">
        <v>-280.7818163169195</v>
      </c>
      <c r="BV125" s="37">
        <v>-162.45720455918195</v>
      </c>
      <c r="BW125" s="37">
        <v>-57.805821834431754</v>
      </c>
      <c r="BY125" s="66"/>
      <c r="BZ125" s="66"/>
    </row>
    <row r="126" spans="2:78">
      <c r="B126">
        <v>10442</v>
      </c>
      <c r="C126" t="s">
        <v>130</v>
      </c>
      <c r="D126" s="37">
        <v>-245.12144628456826</v>
      </c>
      <c r="E126" s="37">
        <v>5.0457795138859183</v>
      </c>
      <c r="F126" s="37">
        <v>-966.66009312108417</v>
      </c>
      <c r="G126" s="37">
        <v>234.34221384711873</v>
      </c>
      <c r="H126" s="37">
        <v>-382.79247172582927</v>
      </c>
      <c r="I126" s="37">
        <v>928.57308012319663</v>
      </c>
      <c r="J126" s="37">
        <v>-790.09561293465322</v>
      </c>
      <c r="K126" s="37">
        <v>523.25377237385237</v>
      </c>
      <c r="L126" s="37">
        <v>-301.26115137701527</v>
      </c>
      <c r="M126" s="37">
        <v>596.29633867484245</v>
      </c>
      <c r="N126" s="37">
        <v>-1557.7996125943482</v>
      </c>
      <c r="O126" s="37">
        <v>260.67813236874235</v>
      </c>
      <c r="P126" s="37">
        <v>-44.42601057972297</v>
      </c>
      <c r="Q126" s="37">
        <v>159.89552556294439</v>
      </c>
      <c r="R126" s="37">
        <v>-1331.3053133835892</v>
      </c>
      <c r="S126" s="37">
        <v>-360.38678443534627</v>
      </c>
      <c r="T126" s="37">
        <v>-857.970767651801</v>
      </c>
      <c r="U126" s="37">
        <v>-59.163054064215885</v>
      </c>
      <c r="V126" s="37">
        <v>1169.4562937273095</v>
      </c>
      <c r="W126" s="37">
        <v>1040.9987267924616</v>
      </c>
      <c r="X126" s="37">
        <v>215.15220956281337</v>
      </c>
      <c r="Y126" s="37">
        <v>987.6819690914449</v>
      </c>
      <c r="Z126" s="37">
        <v>242.64120839973748</v>
      </c>
      <c r="AA126" s="37">
        <v>538.6125494044486</v>
      </c>
      <c r="AB126" s="37">
        <v>-250.6214086691989</v>
      </c>
      <c r="AC126" s="37">
        <v>1.8656489855425207</v>
      </c>
      <c r="AD126" s="37">
        <v>-968.18929153105819</v>
      </c>
      <c r="AE126" s="37">
        <v>234.19640003089989</v>
      </c>
      <c r="AF126" s="37">
        <v>-383.53526877935019</v>
      </c>
      <c r="AG126" s="37">
        <v>929.34090683190971</v>
      </c>
      <c r="AH126" s="37">
        <v>-1078.6181115124373</v>
      </c>
      <c r="AI126" s="37">
        <v>810.63678545972653</v>
      </c>
      <c r="AJ126" s="37">
        <v>-302.17843309765703</v>
      </c>
      <c r="AK126" s="37">
        <v>596.52636933841086</v>
      </c>
      <c r="AL126" s="37">
        <v>-1335.9540331814114</v>
      </c>
      <c r="AM126" s="37">
        <v>36.879803370171885</v>
      </c>
      <c r="AN126" s="37">
        <v>-44.786838676390289</v>
      </c>
      <c r="AO126" s="37">
        <v>159.86068617815545</v>
      </c>
      <c r="AP126" s="37">
        <v>-1333.1065562575623</v>
      </c>
      <c r="AQ126" s="37">
        <v>-361.04745641457293</v>
      </c>
      <c r="AR126" s="37">
        <v>-859.60684956351542</v>
      </c>
      <c r="AS126" s="37">
        <v>-59.65139361661295</v>
      </c>
      <c r="AT126" s="37">
        <v>1170.1149459344815</v>
      </c>
      <c r="AU126" s="37">
        <v>1041.7443169792182</v>
      </c>
      <c r="AV126" s="37">
        <v>214.76327618203413</v>
      </c>
      <c r="AW126" s="37">
        <v>988.35609360403669</v>
      </c>
      <c r="AX126" s="37">
        <v>242.34011941637527</v>
      </c>
      <c r="AY126" s="37">
        <v>538.80790889651371</v>
      </c>
      <c r="AZ126" s="37">
        <v>-432.02240866919874</v>
      </c>
      <c r="BA126" s="37">
        <v>190.43564898554268</v>
      </c>
      <c r="BB126" s="37">
        <v>-734.9033701000335</v>
      </c>
      <c r="BC126" s="37">
        <v>0.42166759630254091</v>
      </c>
      <c r="BD126" s="37">
        <v>-384.01968612751898</v>
      </c>
      <c r="BE126" s="37">
        <v>930.16585086975147</v>
      </c>
      <c r="BF126" s="37">
        <v>-1079.4282602324429</v>
      </c>
      <c r="BG126" s="37">
        <v>811.62239723701441</v>
      </c>
      <c r="BH126" s="37">
        <v>-288.33679773103358</v>
      </c>
      <c r="BI126" s="37">
        <v>583.21849139322285</v>
      </c>
      <c r="BJ126" s="37">
        <v>-1337.4092117097671</v>
      </c>
      <c r="BK126" s="37">
        <v>36.811207271458443</v>
      </c>
      <c r="BL126" s="37">
        <v>-253.04648396338871</v>
      </c>
      <c r="BM126" s="37">
        <v>368.21613073184517</v>
      </c>
      <c r="BN126" s="37">
        <v>-1119.7362748441374</v>
      </c>
      <c r="BO126" s="37">
        <v>-576.02736119587644</v>
      </c>
      <c r="BP126" s="37">
        <v>-860.33952328405758</v>
      </c>
      <c r="BQ126" s="37">
        <v>-59.647099213770616</v>
      </c>
      <c r="BR126" s="37">
        <v>882.43033292093787</v>
      </c>
      <c r="BS126" s="37">
        <v>1331.9023481472996</v>
      </c>
      <c r="BT126" s="37">
        <v>484.81783613933385</v>
      </c>
      <c r="BU126" s="37">
        <v>719.53700566536963</v>
      </c>
      <c r="BV126" s="37">
        <v>242.84243933135076</v>
      </c>
      <c r="BW126" s="37">
        <v>539.51543243937249</v>
      </c>
      <c r="BY126" s="66"/>
      <c r="BZ126" s="66"/>
    </row>
    <row r="127" spans="2:78">
      <c r="B127">
        <v>10446</v>
      </c>
      <c r="C127" t="s">
        <v>131</v>
      </c>
      <c r="D127" s="37">
        <v>3548.8605374241706</v>
      </c>
      <c r="E127" s="37">
        <v>6365.2294263400727</v>
      </c>
      <c r="F127" s="37">
        <v>-7180.4378204193854</v>
      </c>
      <c r="G127" s="37">
        <v>3020.6554525655774</v>
      </c>
      <c r="H127" s="37">
        <v>-9739.1244839495703</v>
      </c>
      <c r="I127" s="37">
        <v>3279.5911463783377</v>
      </c>
      <c r="J127" s="37">
        <v>-11497.136220664477</v>
      </c>
      <c r="K127" s="37">
        <v>1185.5004688886111</v>
      </c>
      <c r="L127" s="37">
        <v>-6118.1396457898009</v>
      </c>
      <c r="M127" s="37">
        <v>2884.3579630544264</v>
      </c>
      <c r="N127" s="37">
        <v>-9306.818930697722</v>
      </c>
      <c r="O127" s="37">
        <v>4179.7244250981203</v>
      </c>
      <c r="P127" s="37">
        <v>372.55960657222022</v>
      </c>
      <c r="Q127" s="37">
        <v>3849.3988639960262</v>
      </c>
      <c r="R127" s="37">
        <v>-6680.7776253916236</v>
      </c>
      <c r="S127" s="37">
        <v>3805.7379092790397</v>
      </c>
      <c r="T127" s="37">
        <v>-6798.5323617744507</v>
      </c>
      <c r="U127" s="37">
        <v>3725.6525249733859</v>
      </c>
      <c r="V127" s="37">
        <v>-3826.7587792146442</v>
      </c>
      <c r="W127" s="37">
        <v>4768.7598503691406</v>
      </c>
      <c r="X127" s="37">
        <v>-4609.0372070407684</v>
      </c>
      <c r="Y127" s="37">
        <v>8026.4511949539701</v>
      </c>
      <c r="Z127" s="37">
        <v>6084.0043551113631</v>
      </c>
      <c r="AA127" s="37">
        <v>10662.299009017879</v>
      </c>
      <c r="AB127" s="37">
        <v>1746.6883588851197</v>
      </c>
      <c r="AC127" s="37">
        <v>5530.0421912485508</v>
      </c>
      <c r="AD127" s="37">
        <v>-7918.0138064089988</v>
      </c>
      <c r="AE127" s="37">
        <v>2719.4291323884136</v>
      </c>
      <c r="AF127" s="37">
        <v>-10858.790224374614</v>
      </c>
      <c r="AG127" s="37">
        <v>2987.3135964996072</v>
      </c>
      <c r="AH127" s="37">
        <v>-14151.277218013238</v>
      </c>
      <c r="AI127" s="37">
        <v>2484.4697637796817</v>
      </c>
      <c r="AJ127" s="37">
        <v>-6639.8800116669518</v>
      </c>
      <c r="AK127" s="37">
        <v>2916.1226114138117</v>
      </c>
      <c r="AL127" s="37">
        <v>-8541.3563848626</v>
      </c>
      <c r="AM127" s="37">
        <v>2768.8904809282067</v>
      </c>
      <c r="AN127" s="37">
        <v>-500.84885969323659</v>
      </c>
      <c r="AO127" s="37">
        <v>3530.9552566146558</v>
      </c>
      <c r="AP127" s="37">
        <v>-5533.3399446153853</v>
      </c>
      <c r="AQ127" s="37">
        <v>5163.790275055846</v>
      </c>
      <c r="AR127" s="37">
        <v>-6987.6382718236127</v>
      </c>
      <c r="AS127" s="37">
        <v>4072.512886300723</v>
      </c>
      <c r="AT127" s="37">
        <v>-3704.6465354356405</v>
      </c>
      <c r="AU127" s="37">
        <v>5509.1028145914061</v>
      </c>
      <c r="AV127" s="37">
        <v>-4272.5205829752231</v>
      </c>
      <c r="AW127" s="37">
        <v>8779.1717125078831</v>
      </c>
      <c r="AX127" s="37">
        <v>7028.8895700493631</v>
      </c>
      <c r="AY127" s="37">
        <v>11742.21504442787</v>
      </c>
      <c r="AZ127" s="37">
        <v>2880.8403588851143</v>
      </c>
      <c r="BA127" s="37">
        <v>8950.1661912485506</v>
      </c>
      <c r="BB127" s="37">
        <v>-5740.6630394417298</v>
      </c>
      <c r="BC127" s="37">
        <v>2111.3388361271464</v>
      </c>
      <c r="BD127" s="37">
        <v>-10677.700580223325</v>
      </c>
      <c r="BE127" s="37">
        <v>3578.8247925947035</v>
      </c>
      <c r="BF127" s="37">
        <v>-14250.880678997062</v>
      </c>
      <c r="BG127" s="37">
        <v>2998.8314131093503</v>
      </c>
      <c r="BH127" s="37">
        <v>-6471.8871119369214</v>
      </c>
      <c r="BI127" s="37">
        <v>3410.0140378180877</v>
      </c>
      <c r="BJ127" s="37">
        <v>-8723.3444341212089</v>
      </c>
      <c r="BK127" s="37">
        <v>2976.2321237440738</v>
      </c>
      <c r="BL127" s="37">
        <v>-2419.060261035047</v>
      </c>
      <c r="BM127" s="37">
        <v>4599.0205160779187</v>
      </c>
      <c r="BN127" s="37">
        <v>-5570.1433582087193</v>
      </c>
      <c r="BO127" s="37">
        <v>2665.9846319728349</v>
      </c>
      <c r="BP127" s="37">
        <v>-7556.6860371268194</v>
      </c>
      <c r="BQ127" s="37">
        <v>4027.1987778646071</v>
      </c>
      <c r="BR127" s="37">
        <v>-5632.3932030097567</v>
      </c>
      <c r="BS127" s="37">
        <v>6911.7771228917991</v>
      </c>
      <c r="BT127" s="37">
        <v>-3497.4117817854712</v>
      </c>
      <c r="BU127" s="37">
        <v>7183.0564815057223</v>
      </c>
      <c r="BV127" s="37">
        <v>6601.4404947579606</v>
      </c>
      <c r="BW127" s="37">
        <v>11647.901156421871</v>
      </c>
      <c r="BY127" s="66"/>
      <c r="BZ127" s="66"/>
    </row>
    <row r="128" spans="2:78">
      <c r="B128">
        <v>10448</v>
      </c>
      <c r="C128" t="s">
        <v>132</v>
      </c>
      <c r="D128" s="37">
        <v>0</v>
      </c>
      <c r="E128" s="37">
        <v>0</v>
      </c>
      <c r="F128" s="37">
        <v>0</v>
      </c>
      <c r="G128" s="37">
        <v>0</v>
      </c>
      <c r="H128" s="37">
        <v>0</v>
      </c>
      <c r="I128" s="37">
        <v>0</v>
      </c>
      <c r="J128" s="37">
        <v>0</v>
      </c>
      <c r="K128" s="37">
        <v>0</v>
      </c>
      <c r="L128" s="37">
        <v>0</v>
      </c>
      <c r="M128" s="37">
        <v>0</v>
      </c>
      <c r="N128" s="37">
        <v>0</v>
      </c>
      <c r="O128" s="37">
        <v>0</v>
      </c>
      <c r="P128" s="37">
        <v>0</v>
      </c>
      <c r="Q128" s="37">
        <v>0</v>
      </c>
      <c r="R128" s="37">
        <v>0</v>
      </c>
      <c r="S128" s="37">
        <v>0</v>
      </c>
      <c r="T128" s="37">
        <v>0</v>
      </c>
      <c r="U128" s="37">
        <v>0</v>
      </c>
      <c r="V128" s="37">
        <v>0</v>
      </c>
      <c r="W128" s="37">
        <v>0</v>
      </c>
      <c r="X128" s="37">
        <v>0</v>
      </c>
      <c r="Y128" s="37">
        <v>0</v>
      </c>
      <c r="Z128" s="37">
        <v>0</v>
      </c>
      <c r="AA128" s="37">
        <v>0</v>
      </c>
      <c r="AB128" s="37">
        <v>0</v>
      </c>
      <c r="AC128" s="37">
        <v>0</v>
      </c>
      <c r="AD128" s="37">
        <v>0</v>
      </c>
      <c r="AE128" s="37">
        <v>0</v>
      </c>
      <c r="AF128" s="37">
        <v>0</v>
      </c>
      <c r="AG128" s="37">
        <v>0</v>
      </c>
      <c r="AH128" s="37">
        <v>0</v>
      </c>
      <c r="AI128" s="37">
        <v>0</v>
      </c>
      <c r="AJ128" s="37">
        <v>0</v>
      </c>
      <c r="AK128" s="37">
        <v>0</v>
      </c>
      <c r="AL128" s="37">
        <v>0</v>
      </c>
      <c r="AM128" s="37">
        <v>0</v>
      </c>
      <c r="AN128" s="37">
        <v>0</v>
      </c>
      <c r="AO128" s="37">
        <v>0</v>
      </c>
      <c r="AP128" s="37">
        <v>0</v>
      </c>
      <c r="AQ128" s="37">
        <v>0</v>
      </c>
      <c r="AR128" s="37">
        <v>0</v>
      </c>
      <c r="AS128" s="37">
        <v>0</v>
      </c>
      <c r="AT128" s="37">
        <v>0</v>
      </c>
      <c r="AU128" s="37">
        <v>0</v>
      </c>
      <c r="AV128" s="37">
        <v>0</v>
      </c>
      <c r="AW128" s="37">
        <v>0</v>
      </c>
      <c r="AX128" s="37">
        <v>0</v>
      </c>
      <c r="AY128" s="37">
        <v>0</v>
      </c>
      <c r="AZ128" s="37">
        <v>0</v>
      </c>
      <c r="BA128" s="37">
        <v>0</v>
      </c>
      <c r="BB128" s="37">
        <v>0</v>
      </c>
      <c r="BC128" s="37">
        <v>0</v>
      </c>
      <c r="BD128" s="37">
        <v>0</v>
      </c>
      <c r="BE128" s="37">
        <v>0</v>
      </c>
      <c r="BF128" s="37">
        <v>0</v>
      </c>
      <c r="BG128" s="37">
        <v>0</v>
      </c>
      <c r="BH128" s="37">
        <v>0</v>
      </c>
      <c r="BI128" s="37">
        <v>0</v>
      </c>
      <c r="BJ128" s="37">
        <v>0</v>
      </c>
      <c r="BK128" s="37">
        <v>0</v>
      </c>
      <c r="BL128" s="37">
        <v>0</v>
      </c>
      <c r="BM128" s="37">
        <v>0</v>
      </c>
      <c r="BN128" s="37">
        <v>0</v>
      </c>
      <c r="BO128" s="37">
        <v>0</v>
      </c>
      <c r="BP128" s="37">
        <v>0</v>
      </c>
      <c r="BQ128" s="37">
        <v>0</v>
      </c>
      <c r="BR128" s="37">
        <v>0</v>
      </c>
      <c r="BS128" s="37">
        <v>0</v>
      </c>
      <c r="BT128" s="37">
        <v>0</v>
      </c>
      <c r="BU128" s="37">
        <v>0</v>
      </c>
      <c r="BV128" s="37">
        <v>0</v>
      </c>
      <c r="BW128" s="37">
        <v>0</v>
      </c>
      <c r="BY128" s="66"/>
      <c r="BZ128" s="66"/>
    </row>
    <row r="129" spans="2:78">
      <c r="B129">
        <v>10451</v>
      </c>
      <c r="C129" t="s">
        <v>133</v>
      </c>
      <c r="D129" s="37">
        <v>1641.9963905741715</v>
      </c>
      <c r="E129" s="37">
        <v>2410.1088756472591</v>
      </c>
      <c r="F129" s="37">
        <v>-1578.5090222092713</v>
      </c>
      <c r="G129" s="37">
        <v>1025.47441750706</v>
      </c>
      <c r="H129" s="37">
        <v>-3319.3451177302468</v>
      </c>
      <c r="I129" s="37">
        <v>640.29065180187536</v>
      </c>
      <c r="J129" s="37">
        <v>-3867.377125705194</v>
      </c>
      <c r="K129" s="37">
        <v>104.32213633618994</v>
      </c>
      <c r="L129" s="37">
        <v>-1813.3029416898898</v>
      </c>
      <c r="M129" s="37">
        <v>768.30064791926543</v>
      </c>
      <c r="N129" s="37">
        <v>-2183.4056532149425</v>
      </c>
      <c r="O129" s="37">
        <v>1474.1434271630305</v>
      </c>
      <c r="P129" s="37">
        <v>1081.6578639317249</v>
      </c>
      <c r="Q129" s="37">
        <v>1990.6399896397916</v>
      </c>
      <c r="R129" s="37">
        <v>-1943.6442126566399</v>
      </c>
      <c r="S129" s="37">
        <v>813.78896702718885</v>
      </c>
      <c r="T129" s="37">
        <v>-2905.302264337688</v>
      </c>
      <c r="U129" s="37">
        <v>595.97834652736401</v>
      </c>
      <c r="V129" s="37">
        <v>-1039.4817433962962</v>
      </c>
      <c r="W129" s="37">
        <v>1779.8213949550181</v>
      </c>
      <c r="X129" s="37">
        <v>-1685.9418100485182</v>
      </c>
      <c r="Y129" s="37">
        <v>2132.5602186733577</v>
      </c>
      <c r="Z129" s="37">
        <v>1168.6548140288123</v>
      </c>
      <c r="AA129" s="37">
        <v>2710.910397964527</v>
      </c>
      <c r="AB129" s="37">
        <v>1693.404390574171</v>
      </c>
      <c r="AC129" s="37">
        <v>2447.2368756472597</v>
      </c>
      <c r="AD129" s="37">
        <v>-1532.8130222092714</v>
      </c>
      <c r="AE129" s="37">
        <v>1065.577417507061</v>
      </c>
      <c r="AF129" s="37">
        <v>-3269.841117730246</v>
      </c>
      <c r="AG129" s="37">
        <v>679.32265180187642</v>
      </c>
      <c r="AH129" s="37">
        <v>-4188.0911257051939</v>
      </c>
      <c r="AI129" s="37">
        <v>513.57113633618974</v>
      </c>
      <c r="AJ129" s="37">
        <v>-1767.6069416898899</v>
      </c>
      <c r="AK129" s="37">
        <v>802.57264791926536</v>
      </c>
      <c r="AL129" s="37">
        <v>-1763.7506532149437</v>
      </c>
      <c r="AM129" s="37">
        <v>1142.9054271630312</v>
      </c>
      <c r="AN129" s="37">
        <v>1131.1618639317257</v>
      </c>
      <c r="AO129" s="37">
        <v>2026.8159896397929</v>
      </c>
      <c r="AP129" s="37">
        <v>-2457.3312126566398</v>
      </c>
      <c r="AQ129" s="37">
        <v>373.40196702719004</v>
      </c>
      <c r="AR129" s="37">
        <v>-2855.798264337689</v>
      </c>
      <c r="AS129" s="37">
        <v>632.1543465273644</v>
      </c>
      <c r="AT129" s="37">
        <v>-989.97774339629723</v>
      </c>
      <c r="AU129" s="37">
        <v>1818.8533949550192</v>
      </c>
      <c r="AV129" s="37">
        <v>-1636.4378100485173</v>
      </c>
      <c r="AW129" s="37">
        <v>2171.5922186733587</v>
      </c>
      <c r="AX129" s="37">
        <v>1216.2548140288127</v>
      </c>
      <c r="AY129" s="37">
        <v>2748.9903979645269</v>
      </c>
      <c r="AZ129" s="37">
        <v>1302.2833905741718</v>
      </c>
      <c r="BA129" s="37">
        <v>2785.5318756472598</v>
      </c>
      <c r="BB129" s="37">
        <v>-1194.5030222092701</v>
      </c>
      <c r="BC129" s="37">
        <v>676.0764175070608</v>
      </c>
      <c r="BD129" s="37">
        <v>-3299.377117730246</v>
      </c>
      <c r="BE129" s="37">
        <v>656.03465180187595</v>
      </c>
      <c r="BF129" s="37">
        <v>-4216.4911257051936</v>
      </c>
      <c r="BG129" s="37">
        <v>489.14713633619067</v>
      </c>
      <c r="BH129" s="37">
        <v>-1800.9183166786897</v>
      </c>
      <c r="BI129" s="37">
        <v>791.92746042486488</v>
      </c>
      <c r="BJ129" s="37">
        <v>-2403.2826532149411</v>
      </c>
      <c r="BK129" s="37">
        <v>686.90142716303217</v>
      </c>
      <c r="BL129" s="37">
        <v>738.62086393172649</v>
      </c>
      <c r="BM129" s="37">
        <v>2368.2359896397911</v>
      </c>
      <c r="BN129" s="37">
        <v>-1564.1392126566407</v>
      </c>
      <c r="BO129" s="37">
        <v>469.99596702718918</v>
      </c>
      <c r="BP129" s="37">
        <v>-2885.3342643376891</v>
      </c>
      <c r="BQ129" s="37">
        <v>610.57034652736456</v>
      </c>
      <c r="BR129" s="37">
        <v>-1380.1627433962967</v>
      </c>
      <c r="BS129" s="37">
        <v>2156.2153949550184</v>
      </c>
      <c r="BT129" s="37">
        <v>-1178.9978100485168</v>
      </c>
      <c r="BU129" s="37">
        <v>1872.6502186733596</v>
      </c>
      <c r="BV129" s="37">
        <v>1412.9558140288118</v>
      </c>
      <c r="BW129" s="37">
        <v>2904.3913979645249</v>
      </c>
      <c r="BY129" s="66"/>
      <c r="BZ129" s="66"/>
    </row>
    <row r="130" spans="2:78">
      <c r="B130">
        <v>10482</v>
      </c>
      <c r="C130" t="s">
        <v>134</v>
      </c>
      <c r="D130" s="37">
        <v>153.35863845600579</v>
      </c>
      <c r="E130" s="37">
        <v>194.0685879421992</v>
      </c>
      <c r="F130" s="37">
        <v>-167.10561932599535</v>
      </c>
      <c r="G130" s="37">
        <v>109.80510735297833</v>
      </c>
      <c r="H130" s="37">
        <v>-268.08002282082725</v>
      </c>
      <c r="I130" s="37">
        <v>85.925130617632249</v>
      </c>
      <c r="J130" s="37">
        <v>-321.40058105895923</v>
      </c>
      <c r="K130" s="37">
        <v>33.407874538936085</v>
      </c>
      <c r="L130" s="37">
        <v>-150.10977337314353</v>
      </c>
      <c r="M130" s="37">
        <v>95.810898480746573</v>
      </c>
      <c r="N130" s="37">
        <v>-219.41873301348573</v>
      </c>
      <c r="O130" s="37">
        <v>170.1180863703097</v>
      </c>
      <c r="P130" s="37">
        <v>120.400306920356</v>
      </c>
      <c r="Q130" s="37">
        <v>176.47907233640763</v>
      </c>
      <c r="R130" s="37">
        <v>-219.60542746825286</v>
      </c>
      <c r="S130" s="37">
        <v>44.061228728281435</v>
      </c>
      <c r="T130" s="37">
        <v>-254.62188950512768</v>
      </c>
      <c r="U130" s="37">
        <v>13.273190641652832</v>
      </c>
      <c r="V130" s="37">
        <v>-25.961467623614908</v>
      </c>
      <c r="W130" s="37">
        <v>122.46110431570594</v>
      </c>
      <c r="X130" s="37">
        <v>-148.76090230521072</v>
      </c>
      <c r="Y130" s="37">
        <v>146.40674533108484</v>
      </c>
      <c r="Z130" s="37">
        <v>109.69177324631767</v>
      </c>
      <c r="AA130" s="37">
        <v>204.12977994946755</v>
      </c>
      <c r="AB130" s="37">
        <v>152.84142990944633</v>
      </c>
      <c r="AC130" s="37">
        <v>193.75573896702326</v>
      </c>
      <c r="AD130" s="37">
        <v>-167.10561932599535</v>
      </c>
      <c r="AE130" s="37">
        <v>109.80510735297833</v>
      </c>
      <c r="AF130" s="37">
        <v>-268.08002282082725</v>
      </c>
      <c r="AG130" s="37">
        <v>85.925130617632249</v>
      </c>
      <c r="AH130" s="37">
        <v>-370.16958105895924</v>
      </c>
      <c r="AI130" s="37">
        <v>82.17687453893609</v>
      </c>
      <c r="AJ130" s="37">
        <v>-150.10977337314353</v>
      </c>
      <c r="AK130" s="37">
        <v>95.810898480746573</v>
      </c>
      <c r="AL130" s="37">
        <v>-172.22873301348568</v>
      </c>
      <c r="AM130" s="37">
        <v>122.92908637030962</v>
      </c>
      <c r="AN130" s="37">
        <v>120.400306920356</v>
      </c>
      <c r="AO130" s="37">
        <v>176.47907233640763</v>
      </c>
      <c r="AP130" s="37">
        <v>-219.60542746825286</v>
      </c>
      <c r="AQ130" s="37">
        <v>44.061228728281435</v>
      </c>
      <c r="AR130" s="37">
        <v>-254.62188950512768</v>
      </c>
      <c r="AS130" s="37">
        <v>13.273190641652832</v>
      </c>
      <c r="AT130" s="37">
        <v>-25.961467623614908</v>
      </c>
      <c r="AU130" s="37">
        <v>122.46110431570594</v>
      </c>
      <c r="AV130" s="37">
        <v>-148.76090230521072</v>
      </c>
      <c r="AW130" s="37">
        <v>146.40674533108484</v>
      </c>
      <c r="AX130" s="37">
        <v>109.69177324631767</v>
      </c>
      <c r="AY130" s="37">
        <v>204.12977994946755</v>
      </c>
      <c r="AZ130" s="37">
        <v>108.72342990944617</v>
      </c>
      <c r="BA130" s="37">
        <v>237.8737389670232</v>
      </c>
      <c r="BB130" s="37">
        <v>-121.45273916699261</v>
      </c>
      <c r="BC130" s="37">
        <v>63.090025971356454</v>
      </c>
      <c r="BD130" s="37">
        <v>-268.85340252617925</v>
      </c>
      <c r="BE130" s="37">
        <v>85.492013288503472</v>
      </c>
      <c r="BF130" s="37">
        <v>-370.97193091673785</v>
      </c>
      <c r="BG130" s="37">
        <v>81.706275847523557</v>
      </c>
      <c r="BH130" s="37">
        <v>-146.32637317400781</v>
      </c>
      <c r="BI130" s="37">
        <v>97.262965732703492</v>
      </c>
      <c r="BJ130" s="37">
        <v>-172.94997507219205</v>
      </c>
      <c r="BK130" s="37">
        <v>122.54135347045258</v>
      </c>
      <c r="BL130" s="37">
        <v>74.162124110689206</v>
      </c>
      <c r="BM130" s="37">
        <v>221.85778839792863</v>
      </c>
      <c r="BN130" s="37">
        <v>-175.91295175565006</v>
      </c>
      <c r="BO130" s="37">
        <v>-0.74253846964120385</v>
      </c>
      <c r="BP130" s="37">
        <v>-255.36229769629904</v>
      </c>
      <c r="BQ130" s="37">
        <v>12.877556686413072</v>
      </c>
      <c r="BR130" s="37">
        <v>-72.828202402897659</v>
      </c>
      <c r="BS130" s="37">
        <v>168.31666333438159</v>
      </c>
      <c r="BT130" s="37">
        <v>-104.36339564328841</v>
      </c>
      <c r="BU130" s="37">
        <v>100.97195778234391</v>
      </c>
      <c r="BV130" s="37">
        <v>109.19036434798147</v>
      </c>
      <c r="BW130" s="37">
        <v>203.82561589867396</v>
      </c>
      <c r="BY130" s="66"/>
      <c r="BZ130" s="66"/>
    </row>
    <row r="131" spans="2:78">
      <c r="B131">
        <v>10502</v>
      </c>
      <c r="C131" t="s">
        <v>135</v>
      </c>
      <c r="D131" s="37">
        <v>-244.9524667087644</v>
      </c>
      <c r="E131" s="37">
        <v>-22.161517090786219</v>
      </c>
      <c r="F131" s="37">
        <v>-3243.8519364744889</v>
      </c>
      <c r="G131" s="37">
        <v>-1829.4076381669875</v>
      </c>
      <c r="H131" s="37">
        <v>-3953.6838119556505</v>
      </c>
      <c r="I131" s="37">
        <v>-1196.4317057081107</v>
      </c>
      <c r="J131" s="37">
        <v>-4612.0544434793792</v>
      </c>
      <c r="K131" s="37">
        <v>-1944.3183880418546</v>
      </c>
      <c r="L131" s="37">
        <v>-2887.0319523215258</v>
      </c>
      <c r="M131" s="37">
        <v>-1126.6799836324508</v>
      </c>
      <c r="N131" s="37">
        <v>-4169.2868156541044</v>
      </c>
      <c r="O131" s="37">
        <v>-1604.9583986589041</v>
      </c>
      <c r="P131" s="37">
        <v>-370.33698048500901</v>
      </c>
      <c r="Q131" s="37">
        <v>-162.15436410655548</v>
      </c>
      <c r="R131" s="37">
        <v>25.783439877710407</v>
      </c>
      <c r="S131" s="37">
        <v>356.58835508238917</v>
      </c>
      <c r="T131" s="37">
        <v>1667.1648348978924</v>
      </c>
      <c r="U131" s="37">
        <v>1969.7635891558675</v>
      </c>
      <c r="V131" s="37">
        <v>4969.9092374793163</v>
      </c>
      <c r="W131" s="37">
        <v>4453.7860375698729</v>
      </c>
      <c r="X131" s="37">
        <v>4986.2878838991091</v>
      </c>
      <c r="Y131" s="37">
        <v>4247.4516239331488</v>
      </c>
      <c r="Z131" s="37">
        <v>2373.9529794617447</v>
      </c>
      <c r="AA131" s="37">
        <v>2317.5076900272238</v>
      </c>
      <c r="AB131" s="37">
        <v>-231.62648807516325</v>
      </c>
      <c r="AC131" s="37">
        <v>-13.795639528725587</v>
      </c>
      <c r="AD131" s="37">
        <v>-3233.6707360769815</v>
      </c>
      <c r="AE131" s="37">
        <v>-1822.0198416210428</v>
      </c>
      <c r="AF131" s="37">
        <v>-3941.2622612190316</v>
      </c>
      <c r="AG131" s="37">
        <v>-1187.1194990309323</v>
      </c>
      <c r="AH131" s="37">
        <v>-4600.3293181238259</v>
      </c>
      <c r="AI131" s="37">
        <v>-1935.6348847703848</v>
      </c>
      <c r="AJ131" s="37">
        <v>-2875.7807727516865</v>
      </c>
      <c r="AK131" s="37">
        <v>-1119.0232259665586</v>
      </c>
      <c r="AL131" s="37">
        <v>-4158.9799208008708</v>
      </c>
      <c r="AM131" s="37">
        <v>-1597.9727309085474</v>
      </c>
      <c r="AN131" s="37">
        <v>-357.02493750917529</v>
      </c>
      <c r="AO131" s="37">
        <v>-153.68607395275285</v>
      </c>
      <c r="AP131" s="37">
        <v>44.661629159216318</v>
      </c>
      <c r="AQ131" s="37">
        <v>369.62843708758282</v>
      </c>
      <c r="AR131" s="37">
        <v>1692.1018144199625</v>
      </c>
      <c r="AS131" s="37">
        <v>1985.6755042677678</v>
      </c>
      <c r="AT131" s="37">
        <v>5000.0444005311074</v>
      </c>
      <c r="AU131" s="37">
        <v>4475.0529351165615</v>
      </c>
      <c r="AV131" s="37">
        <v>5017.9441505539144</v>
      </c>
      <c r="AW131" s="37">
        <v>4267.5341550612984</v>
      </c>
      <c r="AX131" s="37">
        <v>2393.4854572159038</v>
      </c>
      <c r="AY131" s="37">
        <v>2331.4472799002397</v>
      </c>
      <c r="AZ131" s="37">
        <v>-216.9684880751638</v>
      </c>
      <c r="BA131" s="37">
        <v>-4.6266395287257183</v>
      </c>
      <c r="BB131" s="37">
        <v>-3221.8567360769821</v>
      </c>
      <c r="BC131" s="37">
        <v>-1813.5598416210428</v>
      </c>
      <c r="BD131" s="37">
        <v>-3926.8732612190315</v>
      </c>
      <c r="BE131" s="37">
        <v>-1176.698499030932</v>
      </c>
      <c r="BF131" s="37">
        <v>-4586.5633181238254</v>
      </c>
      <c r="BG131" s="37">
        <v>-1925.7508847703848</v>
      </c>
      <c r="BH131" s="37">
        <v>-2969.7662673564855</v>
      </c>
      <c r="BI131" s="37">
        <v>-1132.0409732689582</v>
      </c>
      <c r="BJ131" s="37">
        <v>-4146.8399208008705</v>
      </c>
      <c r="BK131" s="37">
        <v>-1589.9997309085475</v>
      </c>
      <c r="BL131" s="37">
        <v>-342.35493750917522</v>
      </c>
      <c r="BM131" s="37">
        <v>-144.37007395275305</v>
      </c>
      <c r="BN131" s="37">
        <v>65.2766291592161</v>
      </c>
      <c r="BO131" s="37">
        <v>383.8024370875828</v>
      </c>
      <c r="BP131" s="37">
        <v>1718.9588144199624</v>
      </c>
      <c r="BQ131" s="37">
        <v>2002.6195042677682</v>
      </c>
      <c r="BR131" s="37">
        <v>5031.8604005311081</v>
      </c>
      <c r="BS131" s="37">
        <v>4497.2999351165627</v>
      </c>
      <c r="BT131" s="37">
        <v>5051.4121505539151</v>
      </c>
      <c r="BU131" s="37">
        <v>4288.5371550612972</v>
      </c>
      <c r="BV131" s="37">
        <v>2414.3234572159035</v>
      </c>
      <c r="BW131" s="37">
        <v>2346.1802799002398</v>
      </c>
      <c r="BY131" s="66"/>
      <c r="BZ131" s="66"/>
    </row>
    <row r="132" spans="2:78">
      <c r="B132">
        <v>13927</v>
      </c>
      <c r="C132" t="s">
        <v>238</v>
      </c>
      <c r="D132" s="37">
        <v>386.68257308883153</v>
      </c>
      <c r="E132" s="37">
        <v>431.06467803037913</v>
      </c>
      <c r="F132" s="37">
        <v>-7.6498218338738297</v>
      </c>
      <c r="G132" s="37">
        <v>214.69349885648171</v>
      </c>
      <c r="H132" s="37">
        <v>-248.96162097208594</v>
      </c>
      <c r="I132" s="37">
        <v>295.22341611565685</v>
      </c>
      <c r="J132" s="37">
        <v>-408.65311518846715</v>
      </c>
      <c r="K132" s="37">
        <v>166.06587069484112</v>
      </c>
      <c r="L132" s="37">
        <v>-37.798427802598326</v>
      </c>
      <c r="M132" s="37">
        <v>279.90748570717687</v>
      </c>
      <c r="N132" s="37">
        <v>-216.17299216200922</v>
      </c>
      <c r="O132" s="37">
        <v>214.25364906189725</v>
      </c>
      <c r="P132" s="37">
        <v>229.76273394553459</v>
      </c>
      <c r="Q132" s="37">
        <v>323.98183127306095</v>
      </c>
      <c r="R132" s="37">
        <v>-134.8722341352568</v>
      </c>
      <c r="S132" s="37">
        <v>114.91531918590317</v>
      </c>
      <c r="T132" s="37">
        <v>-200.70820286040475</v>
      </c>
      <c r="U132" s="37">
        <v>143.96075797669096</v>
      </c>
      <c r="V132" s="37">
        <v>175.33073349685537</v>
      </c>
      <c r="W132" s="37">
        <v>406.80231231396442</v>
      </c>
      <c r="X132" s="37">
        <v>120.47294632868102</v>
      </c>
      <c r="Y132" s="37">
        <v>379.54217830328969</v>
      </c>
      <c r="Z132" s="37">
        <v>324.44125944434904</v>
      </c>
      <c r="AA132" s="37">
        <v>449.03228763849324</v>
      </c>
      <c r="AB132" s="37">
        <v>407.21057308883155</v>
      </c>
      <c r="AC132" s="37">
        <v>445.55067803037923</v>
      </c>
      <c r="AD132" s="37">
        <v>11.906178166125983</v>
      </c>
      <c r="AE132" s="37">
        <v>230.27949885648172</v>
      </c>
      <c r="AF132" s="37">
        <v>-227.42162097208598</v>
      </c>
      <c r="AG132" s="37">
        <v>312.26441611565679</v>
      </c>
      <c r="AH132" s="37">
        <v>-387.9341151884671</v>
      </c>
      <c r="AI132" s="37">
        <v>182.49587069484119</v>
      </c>
      <c r="AJ132" s="37">
        <v>-17.556427802598364</v>
      </c>
      <c r="AK132" s="37">
        <v>294.94348570717693</v>
      </c>
      <c r="AL132" s="37">
        <v>-195.98299216200917</v>
      </c>
      <c r="AM132" s="37">
        <v>228.86364906189715</v>
      </c>
      <c r="AN132" s="37">
        <v>248.95573394553458</v>
      </c>
      <c r="AO132" s="37">
        <v>337.80483127306104</v>
      </c>
      <c r="AP132" s="37">
        <v>-115.10423413525677</v>
      </c>
      <c r="AQ132" s="37">
        <v>130.25131918590318</v>
      </c>
      <c r="AR132" s="37">
        <v>-179.2542028604048</v>
      </c>
      <c r="AS132" s="37">
        <v>158.39275797669097</v>
      </c>
      <c r="AT132" s="37">
        <v>198.08673349685546</v>
      </c>
      <c r="AU132" s="37">
        <v>423.32531231396433</v>
      </c>
      <c r="AV132" s="37">
        <v>144.42394632868104</v>
      </c>
      <c r="AW132" s="37">
        <v>395.43517830328972</v>
      </c>
      <c r="AX132" s="37">
        <v>344.10625944434901</v>
      </c>
      <c r="AY132" s="37">
        <v>463.94828763849318</v>
      </c>
      <c r="AZ132" s="37">
        <v>427.99557308883163</v>
      </c>
      <c r="BA132" s="37">
        <v>460.21767803037915</v>
      </c>
      <c r="BB132" s="37">
        <v>31.707178166126141</v>
      </c>
      <c r="BC132" s="37">
        <v>246.0604988564819</v>
      </c>
      <c r="BD132" s="37">
        <v>-205.61362097208576</v>
      </c>
      <c r="BE132" s="37">
        <v>329.51741611565694</v>
      </c>
      <c r="BF132" s="37">
        <v>-366.95611518846704</v>
      </c>
      <c r="BG132" s="37">
        <v>199.1298706948412</v>
      </c>
      <c r="BH132" s="37">
        <v>-48.197184884198123</v>
      </c>
      <c r="BI132" s="37">
        <v>287.71760716637687</v>
      </c>
      <c r="BJ132" s="37">
        <v>-175.54099216200916</v>
      </c>
      <c r="BK132" s="37">
        <v>243.65564906189707</v>
      </c>
      <c r="BL132" s="37">
        <v>268.38873394553457</v>
      </c>
      <c r="BM132" s="37">
        <v>351.80083127306091</v>
      </c>
      <c r="BN132" s="37">
        <v>-95.090234135256651</v>
      </c>
      <c r="BO132" s="37">
        <v>145.78031918590318</v>
      </c>
      <c r="BP132" s="37">
        <v>-157.53220286040482</v>
      </c>
      <c r="BQ132" s="37">
        <v>173.00575797669103</v>
      </c>
      <c r="BR132" s="37">
        <v>221.12873349685538</v>
      </c>
      <c r="BS132" s="37">
        <v>440.05431231396437</v>
      </c>
      <c r="BT132" s="37">
        <v>168.67594632868099</v>
      </c>
      <c r="BU132" s="37">
        <v>411.52817830328979</v>
      </c>
      <c r="BV132" s="37">
        <v>364.01825944434904</v>
      </c>
      <c r="BW132" s="37">
        <v>479.05128763849325</v>
      </c>
      <c r="BY132" s="66"/>
      <c r="BZ132" s="66"/>
    </row>
    <row r="133" spans="2:78">
      <c r="B133">
        <v>10597</v>
      </c>
      <c r="C133" t="s">
        <v>136</v>
      </c>
      <c r="D133" s="37">
        <v>603.79019982482077</v>
      </c>
      <c r="E133" s="37">
        <v>362.53682805630933</v>
      </c>
      <c r="F133" s="37">
        <v>-395.69722886234649</v>
      </c>
      <c r="G133" s="37">
        <v>63.588270627687052</v>
      </c>
      <c r="H133" s="37">
        <v>-393.49688089597112</v>
      </c>
      <c r="I133" s="37">
        <v>572.34369570693843</v>
      </c>
      <c r="J133" s="37">
        <v>-1165.9249770145925</v>
      </c>
      <c r="K133" s="37">
        <v>370.08504282369086</v>
      </c>
      <c r="L133" s="37">
        <v>-110.37686234267403</v>
      </c>
      <c r="M133" s="37">
        <v>413.23213510551705</v>
      </c>
      <c r="N133" s="37">
        <v>-1134.2116487824323</v>
      </c>
      <c r="O133" s="37">
        <v>-184.28731054540913</v>
      </c>
      <c r="P133" s="37">
        <v>-257.19891242272479</v>
      </c>
      <c r="Q133" s="37">
        <v>-199.09736452764491</v>
      </c>
      <c r="R133" s="37">
        <v>-1265.653408931259</v>
      </c>
      <c r="S133" s="37">
        <v>-894.8558318410046</v>
      </c>
      <c r="T133" s="37">
        <v>-670.23135672583157</v>
      </c>
      <c r="U133" s="37">
        <v>-444.77429249548186</v>
      </c>
      <c r="V133" s="37">
        <v>1166.0720368762977</v>
      </c>
      <c r="W133" s="37">
        <v>908.07038394356914</v>
      </c>
      <c r="X133" s="37">
        <v>801.35805003252062</v>
      </c>
      <c r="Y133" s="37">
        <v>620.11693641678721</v>
      </c>
      <c r="Z133" s="37">
        <v>772.46068933501738</v>
      </c>
      <c r="AA133" s="37">
        <v>459.0687904330066</v>
      </c>
      <c r="AB133" s="37">
        <v>637.72559043411366</v>
      </c>
      <c r="AC133" s="37">
        <v>383.04102816449767</v>
      </c>
      <c r="AD133" s="37">
        <v>-389.72666496678175</v>
      </c>
      <c r="AE133" s="37">
        <v>68.783276777950505</v>
      </c>
      <c r="AF133" s="37">
        <v>-385.67768367709687</v>
      </c>
      <c r="AG133" s="37">
        <v>579.90632114328537</v>
      </c>
      <c r="AH133" s="37">
        <v>-1161.0125485301623</v>
      </c>
      <c r="AI133" s="37">
        <v>377.172374884085</v>
      </c>
      <c r="AJ133" s="37">
        <v>-103.18130255824326</v>
      </c>
      <c r="AK133" s="37">
        <v>419.23916023125958</v>
      </c>
      <c r="AL133" s="37">
        <v>-1130.1160792207338</v>
      </c>
      <c r="AM133" s="37">
        <v>-180.38676659190696</v>
      </c>
      <c r="AN133" s="37">
        <v>-251.53289125955689</v>
      </c>
      <c r="AO133" s="37">
        <v>-195.71832102037797</v>
      </c>
      <c r="AP133" s="37">
        <v>-1262.7367539724919</v>
      </c>
      <c r="AQ133" s="37">
        <v>-893.23662819010906</v>
      </c>
      <c r="AR133" s="37">
        <v>-663.87035740953161</v>
      </c>
      <c r="AS133" s="37">
        <v>-441.72332439885531</v>
      </c>
      <c r="AT133" s="37">
        <v>1178.7630347838713</v>
      </c>
      <c r="AU133" s="37">
        <v>916.35457990112354</v>
      </c>
      <c r="AV133" s="37">
        <v>812.83046324961288</v>
      </c>
      <c r="AW133" s="37">
        <v>626.76714147263738</v>
      </c>
      <c r="AX133" s="37">
        <v>781.66017132578145</v>
      </c>
      <c r="AY133" s="37">
        <v>464.6117711885654</v>
      </c>
      <c r="AZ133" s="37">
        <v>658.7525904341137</v>
      </c>
      <c r="BA133" s="37">
        <v>395.74802816449755</v>
      </c>
      <c r="BB133" s="37">
        <v>-367.40966496678175</v>
      </c>
      <c r="BC133" s="37">
        <v>84.726276777950716</v>
      </c>
      <c r="BD133" s="37">
        <v>-359.26468367709731</v>
      </c>
      <c r="BE133" s="37">
        <v>597.83932114328536</v>
      </c>
      <c r="BF133" s="37">
        <v>-1136.1945485301621</v>
      </c>
      <c r="BG133" s="37">
        <v>395.97737488408529</v>
      </c>
      <c r="BH133" s="37">
        <v>-98.277735684643631</v>
      </c>
      <c r="BI133" s="37">
        <v>454.47694366805945</v>
      </c>
      <c r="BJ133" s="37">
        <v>-1108.2260792207344</v>
      </c>
      <c r="BK133" s="37">
        <v>-166.9087665919069</v>
      </c>
      <c r="BL133" s="37">
        <v>-233.43589125955714</v>
      </c>
      <c r="BM133" s="37">
        <v>-184.57532102037794</v>
      </c>
      <c r="BN133" s="37">
        <v>-1242.9447539724924</v>
      </c>
      <c r="BO133" s="37">
        <v>-880.62762819010914</v>
      </c>
      <c r="BP133" s="37">
        <v>-639.71435740953075</v>
      </c>
      <c r="BQ133" s="37">
        <v>-429.15932439885546</v>
      </c>
      <c r="BR133" s="37">
        <v>1206.7030347838709</v>
      </c>
      <c r="BS133" s="37">
        <v>933.44057990112287</v>
      </c>
      <c r="BT133" s="37">
        <v>841.36746324961314</v>
      </c>
      <c r="BU133" s="37">
        <v>642.0301414726373</v>
      </c>
      <c r="BV133" s="37">
        <v>803.04817132578137</v>
      </c>
      <c r="BW133" s="37">
        <v>477.54777118856555</v>
      </c>
      <c r="BY133" s="66"/>
      <c r="BZ133" s="66"/>
    </row>
    <row r="134" spans="2:78">
      <c r="B134">
        <v>10706</v>
      </c>
      <c r="C134" t="s">
        <v>137</v>
      </c>
      <c r="D134" s="37">
        <v>939.05483010204625</v>
      </c>
      <c r="E134" s="37">
        <v>1417.9622563541952</v>
      </c>
      <c r="F134" s="37">
        <v>-1037.8721178061714</v>
      </c>
      <c r="G134" s="37">
        <v>213.72664505070315</v>
      </c>
      <c r="H134" s="37">
        <v>-2460.7662621055224</v>
      </c>
      <c r="I134" s="37">
        <v>109.72361643903787</v>
      </c>
      <c r="J134" s="37">
        <v>-2805.037441451841</v>
      </c>
      <c r="K134" s="37">
        <v>-261.08100959563308</v>
      </c>
      <c r="L134" s="37">
        <v>-1454.9457368083495</v>
      </c>
      <c r="M134" s="37">
        <v>170.68454799885694</v>
      </c>
      <c r="N134" s="37">
        <v>-1526.7958699350283</v>
      </c>
      <c r="O134" s="37">
        <v>468.33679794211548</v>
      </c>
      <c r="P134" s="37">
        <v>536.78449057097441</v>
      </c>
      <c r="Q134" s="37">
        <v>1017.6178782560683</v>
      </c>
      <c r="R134" s="37">
        <v>-1150.6347520652789</v>
      </c>
      <c r="S134" s="37">
        <v>256.72429459071009</v>
      </c>
      <c r="T134" s="37">
        <v>-1592.749962991511</v>
      </c>
      <c r="U134" s="37">
        <v>465.51605484958509</v>
      </c>
      <c r="V134" s="37">
        <v>135.96705024085622</v>
      </c>
      <c r="W134" s="37">
        <v>1701.1128835733307</v>
      </c>
      <c r="X134" s="37">
        <v>24.193610503474702</v>
      </c>
      <c r="Y134" s="37">
        <v>1787.3258917803896</v>
      </c>
      <c r="Z134" s="37">
        <v>1078.9111659456821</v>
      </c>
      <c r="AA134" s="37">
        <v>1969.4420487317943</v>
      </c>
      <c r="AB134" s="37">
        <v>939.83064292188465</v>
      </c>
      <c r="AC134" s="37">
        <v>1418.431529816959</v>
      </c>
      <c r="AD134" s="37">
        <v>-1037.8721178061714</v>
      </c>
      <c r="AE134" s="37">
        <v>213.72664505070315</v>
      </c>
      <c r="AF134" s="37">
        <v>-2460.7662621055224</v>
      </c>
      <c r="AG134" s="37">
        <v>109.72361643903787</v>
      </c>
      <c r="AH134" s="37">
        <v>-2805.037441451841</v>
      </c>
      <c r="AI134" s="37">
        <v>-261.08100959563308</v>
      </c>
      <c r="AJ134" s="37">
        <v>-1454.9457368083495</v>
      </c>
      <c r="AK134" s="37">
        <v>170.68454799885694</v>
      </c>
      <c r="AL134" s="37">
        <v>-1526.7958699350283</v>
      </c>
      <c r="AM134" s="37">
        <v>468.33679794211548</v>
      </c>
      <c r="AN134" s="37">
        <v>536.78449057097441</v>
      </c>
      <c r="AO134" s="37">
        <v>1017.6178782560683</v>
      </c>
      <c r="AP134" s="37">
        <v>-1150.6347520652789</v>
      </c>
      <c r="AQ134" s="37">
        <v>256.72429459071009</v>
      </c>
      <c r="AR134" s="37">
        <v>-1592.749962991511</v>
      </c>
      <c r="AS134" s="37">
        <v>465.51605484958509</v>
      </c>
      <c r="AT134" s="37">
        <v>135.96705024085622</v>
      </c>
      <c r="AU134" s="37">
        <v>1701.1128835733307</v>
      </c>
      <c r="AV134" s="37">
        <v>24.193610503474702</v>
      </c>
      <c r="AW134" s="37">
        <v>1787.3258917803896</v>
      </c>
      <c r="AX134" s="37">
        <v>1078.9111659456821</v>
      </c>
      <c r="AY134" s="37">
        <v>1969.4420487317943</v>
      </c>
      <c r="AZ134" s="37">
        <v>939.83064292188465</v>
      </c>
      <c r="BA134" s="37">
        <v>1418.431529816959</v>
      </c>
      <c r="BB134" s="37">
        <v>-1036.9104380446752</v>
      </c>
      <c r="BC134" s="37">
        <v>214.3567671231358</v>
      </c>
      <c r="BD134" s="37">
        <v>-2459.6061925474951</v>
      </c>
      <c r="BE134" s="37">
        <v>110.37329243273143</v>
      </c>
      <c r="BF134" s="37">
        <v>-2803.8339166651731</v>
      </c>
      <c r="BG134" s="37">
        <v>-260.37511155851462</v>
      </c>
      <c r="BH134" s="37">
        <v>-1502.3071484606535</v>
      </c>
      <c r="BI134" s="37">
        <v>198.65404144412059</v>
      </c>
      <c r="BJ134" s="37">
        <v>-1525.714006846968</v>
      </c>
      <c r="BK134" s="37">
        <v>468.91839729190178</v>
      </c>
      <c r="BL134" s="37">
        <v>537.57826478547486</v>
      </c>
      <c r="BM134" s="37">
        <v>1018.1133041637868</v>
      </c>
      <c r="BN134" s="37">
        <v>-1149.6244656341833</v>
      </c>
      <c r="BO134" s="37">
        <v>257.38244538759409</v>
      </c>
      <c r="BP134" s="37">
        <v>-1591.6393507047542</v>
      </c>
      <c r="BQ134" s="37">
        <v>466.1095057824441</v>
      </c>
      <c r="BR134" s="37">
        <v>136.92815240978052</v>
      </c>
      <c r="BS134" s="37">
        <v>1701.6685450453169</v>
      </c>
      <c r="BT134" s="37">
        <v>25.227850510591452</v>
      </c>
      <c r="BU134" s="37">
        <v>1787.8475731035014</v>
      </c>
      <c r="BV134" s="37">
        <v>1079.663279293186</v>
      </c>
      <c r="BW134" s="37">
        <v>1969.8982948079847</v>
      </c>
      <c r="BY134" s="66"/>
      <c r="BZ134" s="66"/>
    </row>
    <row r="135" spans="2:78">
      <c r="B135">
        <v>11680</v>
      </c>
      <c r="C135" t="s">
        <v>138</v>
      </c>
      <c r="D135" s="37">
        <v>334.6709413264457</v>
      </c>
      <c r="E135" s="37">
        <v>28.483562624671777</v>
      </c>
      <c r="F135" s="37">
        <v>-42.791968224652919</v>
      </c>
      <c r="G135" s="37">
        <v>106.33569516954367</v>
      </c>
      <c r="H135" s="37">
        <v>17.878748991309294</v>
      </c>
      <c r="I135" s="37">
        <v>270.86127615538317</v>
      </c>
      <c r="J135" s="37">
        <v>-172.61713834502007</v>
      </c>
      <c r="K135" s="37">
        <v>83.235957891881299</v>
      </c>
      <c r="L135" s="37">
        <v>197.4091377552204</v>
      </c>
      <c r="M135" s="37">
        <v>210.13487654630444</v>
      </c>
      <c r="N135" s="37">
        <v>-365.97607579845044</v>
      </c>
      <c r="O135" s="37">
        <v>34.547673789894816</v>
      </c>
      <c r="P135" s="37">
        <v>177.72715252721991</v>
      </c>
      <c r="Q135" s="37">
        <v>-79.298050600778197</v>
      </c>
      <c r="R135" s="37">
        <v>-649.7834725339153</v>
      </c>
      <c r="S135" s="37">
        <v>-478.51436150071322</v>
      </c>
      <c r="T135" s="37">
        <v>-406.66726777879649</v>
      </c>
      <c r="U135" s="37">
        <v>-278.55140063069371</v>
      </c>
      <c r="V135" s="37">
        <v>744.88476054092416</v>
      </c>
      <c r="W135" s="37">
        <v>315.33794710166944</v>
      </c>
      <c r="X135" s="37">
        <v>282.08807209451334</v>
      </c>
      <c r="Y135" s="37">
        <v>290.28803806166115</v>
      </c>
      <c r="Z135" s="37">
        <v>290.87406659817043</v>
      </c>
      <c r="AA135" s="37">
        <v>72.190626622840455</v>
      </c>
      <c r="AB135" s="37">
        <v>348.00394132644578</v>
      </c>
      <c r="AC135" s="37">
        <v>35.673562624671831</v>
      </c>
      <c r="AD135" s="37">
        <v>-28.646968224652937</v>
      </c>
      <c r="AE135" s="37">
        <v>116.27569516954372</v>
      </c>
      <c r="AF135" s="37">
        <v>35.150748991309229</v>
      </c>
      <c r="AG135" s="37">
        <v>281.82927615538347</v>
      </c>
      <c r="AH135" s="37">
        <v>-282.59113834501977</v>
      </c>
      <c r="AI135" s="37">
        <v>221.76595789188104</v>
      </c>
      <c r="AJ135" s="37">
        <v>212.88213775522036</v>
      </c>
      <c r="AK135" s="37">
        <v>219.46487654630459</v>
      </c>
      <c r="AL135" s="37">
        <v>-246.24407579845047</v>
      </c>
      <c r="AM135" s="37">
        <v>-61.907326210105111</v>
      </c>
      <c r="AN135" s="37">
        <v>190.43715252721995</v>
      </c>
      <c r="AO135" s="37">
        <v>-72.314050600778273</v>
      </c>
      <c r="AP135" s="37">
        <v>-638.19847253391526</v>
      </c>
      <c r="AQ135" s="37">
        <v>-471.23736150071318</v>
      </c>
      <c r="AR135" s="37">
        <v>-392.21626777879646</v>
      </c>
      <c r="AS135" s="37">
        <v>-271.13440063069356</v>
      </c>
      <c r="AT135" s="37">
        <v>762.95076054092397</v>
      </c>
      <c r="AU135" s="37">
        <v>325.20594710166938</v>
      </c>
      <c r="AV135" s="37">
        <v>298.68007209451343</v>
      </c>
      <c r="AW135" s="37">
        <v>299.38703806166109</v>
      </c>
      <c r="AX135" s="37">
        <v>303.92406659817061</v>
      </c>
      <c r="AY135" s="37">
        <v>79.570626622840564</v>
      </c>
      <c r="AZ135" s="37">
        <v>268.31094132644557</v>
      </c>
      <c r="BA135" s="37">
        <v>135.99356262467177</v>
      </c>
      <c r="BB135" s="37">
        <v>98.937031775346895</v>
      </c>
      <c r="BC135" s="37">
        <v>12.895695169543842</v>
      </c>
      <c r="BD135" s="37">
        <v>52.514748991309261</v>
      </c>
      <c r="BE135" s="37">
        <v>292.85527615538331</v>
      </c>
      <c r="BF135" s="37">
        <v>-266.16713834501979</v>
      </c>
      <c r="BG135" s="37">
        <v>233.32295789188129</v>
      </c>
      <c r="BH135" s="37">
        <v>242.17122726562047</v>
      </c>
      <c r="BI135" s="37">
        <v>219.10042130150441</v>
      </c>
      <c r="BJ135" s="37">
        <v>-231.28607579845084</v>
      </c>
      <c r="BK135" s="37">
        <v>-53.513326210105106</v>
      </c>
      <c r="BL135" s="37">
        <v>110.18015252721989</v>
      </c>
      <c r="BM135" s="37">
        <v>27.767949399221834</v>
      </c>
      <c r="BN135" s="37">
        <v>-538.19447253391536</v>
      </c>
      <c r="BO135" s="37">
        <v>-551.50836150071314</v>
      </c>
      <c r="BP135" s="37">
        <v>-377.66526777879653</v>
      </c>
      <c r="BQ135" s="37">
        <v>-263.66540063069351</v>
      </c>
      <c r="BR135" s="37">
        <v>653.63776054092432</v>
      </c>
      <c r="BS135" s="37">
        <v>462.6419471016693</v>
      </c>
      <c r="BT135" s="37">
        <v>434.92407209451312</v>
      </c>
      <c r="BU135" s="37">
        <v>189.78903806166113</v>
      </c>
      <c r="BV135" s="37">
        <v>316.59106659817053</v>
      </c>
      <c r="BW135" s="37">
        <v>86.732626622840598</v>
      </c>
      <c r="BY135" s="66"/>
      <c r="BZ135" s="66"/>
    </row>
    <row r="136" spans="2:78">
      <c r="B136">
        <v>12026</v>
      </c>
      <c r="C136" t="s">
        <v>139</v>
      </c>
      <c r="D136" s="37">
        <v>3306.131520331197</v>
      </c>
      <c r="E136" s="37">
        <v>1620.6955451767044</v>
      </c>
      <c r="F136" s="37">
        <v>812.0588404525588</v>
      </c>
      <c r="G136" s="37">
        <v>1939.5086944169016</v>
      </c>
      <c r="H136" s="37">
        <v>2900.0726545895959</v>
      </c>
      <c r="I136" s="37">
        <v>3920.7060996798446</v>
      </c>
      <c r="J136" s="37">
        <v>2360.8143442644759</v>
      </c>
      <c r="K136" s="37">
        <v>3448.8496119873544</v>
      </c>
      <c r="L136" s="37">
        <v>3856.8038462090444</v>
      </c>
      <c r="M136" s="37">
        <v>3727.7301762331117</v>
      </c>
      <c r="N136" s="37">
        <v>429.37274021845587</v>
      </c>
      <c r="O136" s="37">
        <v>3316.7353837673909</v>
      </c>
      <c r="P136" s="37">
        <v>3292.9308655310488</v>
      </c>
      <c r="Q136" s="37">
        <v>2007.8075977223125</v>
      </c>
      <c r="R136" s="37">
        <v>-5525.8250309178293</v>
      </c>
      <c r="S136" s="37">
        <v>-2731.2925080243003</v>
      </c>
      <c r="T136" s="37">
        <v>-7941.2065243087472</v>
      </c>
      <c r="U136" s="37">
        <v>-3578.1991378201546</v>
      </c>
      <c r="V136" s="37">
        <v>-5166.1326676413228</v>
      </c>
      <c r="W136" s="37">
        <v>-2663.5002352747561</v>
      </c>
      <c r="X136" s="37">
        <v>-6704.0701382633997</v>
      </c>
      <c r="Y136" s="37">
        <v>-1945.9177573670968</v>
      </c>
      <c r="Z136" s="37">
        <v>-648.55711963705107</v>
      </c>
      <c r="AA136" s="37">
        <v>-37.667750954316944</v>
      </c>
      <c r="AB136" s="37">
        <v>3346.0975203312009</v>
      </c>
      <c r="AC136" s="37">
        <v>1638.046545176705</v>
      </c>
      <c r="AD136" s="37">
        <v>827.72884045256069</v>
      </c>
      <c r="AE136" s="37">
        <v>1944.4776944169007</v>
      </c>
      <c r="AF136" s="37">
        <v>2814.517654589592</v>
      </c>
      <c r="AG136" s="37">
        <v>3858.8860996798412</v>
      </c>
      <c r="AH136" s="37">
        <v>1331.0283442644759</v>
      </c>
      <c r="AI136" s="37">
        <v>4346.5306119873549</v>
      </c>
      <c r="AJ136" s="37">
        <v>3809.9128462090484</v>
      </c>
      <c r="AK136" s="37">
        <v>3693.0871762331117</v>
      </c>
      <c r="AL136" s="37">
        <v>1233.0317402184592</v>
      </c>
      <c r="AM136" s="37">
        <v>2502.4083837673898</v>
      </c>
      <c r="AN136" s="37">
        <v>3296.7178655310454</v>
      </c>
      <c r="AO136" s="37">
        <v>2005.3605977223142</v>
      </c>
      <c r="AP136" s="37">
        <v>-5490.7800309178274</v>
      </c>
      <c r="AQ136" s="37">
        <v>-2712.8525080242998</v>
      </c>
      <c r="AR136" s="37">
        <v>-7905.3415243087456</v>
      </c>
      <c r="AS136" s="37">
        <v>-3564.0281378201544</v>
      </c>
      <c r="AT136" s="37">
        <v>-5125.7366676413221</v>
      </c>
      <c r="AU136" s="37">
        <v>-2647.232235274756</v>
      </c>
      <c r="AV136" s="37">
        <v>-6659.6051382633977</v>
      </c>
      <c r="AW136" s="37">
        <v>-1927.280757367098</v>
      </c>
      <c r="AX136" s="37">
        <v>-601.55311963705026</v>
      </c>
      <c r="AY136" s="37">
        <v>-14.902750954317526</v>
      </c>
      <c r="AZ136" s="37">
        <v>2696.9515203311967</v>
      </c>
      <c r="BA136" s="37">
        <v>2273.9655451767048</v>
      </c>
      <c r="BB136" s="37">
        <v>1590.7188404525587</v>
      </c>
      <c r="BC136" s="37">
        <v>1145.0606944169012</v>
      </c>
      <c r="BD136" s="37">
        <v>2711.2236545895939</v>
      </c>
      <c r="BE136" s="37">
        <v>3780.9950996798416</v>
      </c>
      <c r="BF136" s="37">
        <v>1266.6463442644745</v>
      </c>
      <c r="BG136" s="37">
        <v>4289.6806119873527</v>
      </c>
      <c r="BH136" s="37">
        <v>3818.4107485962486</v>
      </c>
      <c r="BI136" s="37">
        <v>3576.2981274267113</v>
      </c>
      <c r="BJ136" s="37">
        <v>1247.3857402184585</v>
      </c>
      <c r="BK136" s="37">
        <v>2502.8743837673901</v>
      </c>
      <c r="BL136" s="37">
        <v>2623.3738655310481</v>
      </c>
      <c r="BM136" s="37">
        <v>2708.7185977223126</v>
      </c>
      <c r="BN136" s="37">
        <v>-4868.7900309178294</v>
      </c>
      <c r="BO136" s="37">
        <v>-3246.2285080243</v>
      </c>
      <c r="BP136" s="37">
        <v>-7839.5815243087491</v>
      </c>
      <c r="BQ136" s="37">
        <v>-3537.2051378201541</v>
      </c>
      <c r="BR136" s="37">
        <v>-5569.1646676413238</v>
      </c>
      <c r="BS136" s="37">
        <v>-2117.3732352747575</v>
      </c>
      <c r="BT136" s="37">
        <v>-6094.5481382634007</v>
      </c>
      <c r="BU136" s="37">
        <v>-2412.1457573670978</v>
      </c>
      <c r="BV136" s="37">
        <v>-548.62711963705078</v>
      </c>
      <c r="BW136" s="37">
        <v>6.547249045683202</v>
      </c>
      <c r="BY136" s="66"/>
      <c r="BZ136" s="66"/>
    </row>
    <row r="137" spans="2:78">
      <c r="B137">
        <v>10298</v>
      </c>
      <c r="C137" t="s">
        <v>140</v>
      </c>
      <c r="D137" s="37">
        <v>30866.133210561471</v>
      </c>
      <c r="E137" s="37">
        <v>10208.290181066579</v>
      </c>
      <c r="F137" s="37">
        <v>-13033.481852095283</v>
      </c>
      <c r="G137" s="37">
        <v>11651.451124199782</v>
      </c>
      <c r="H137" s="37">
        <v>46741.280537631712</v>
      </c>
      <c r="I137" s="37">
        <v>74890.420284968161</v>
      </c>
      <c r="J137" s="37">
        <v>27721.118786443083</v>
      </c>
      <c r="K137" s="37">
        <v>59520.664264956053</v>
      </c>
      <c r="L137" s="37">
        <v>30972.396757543378</v>
      </c>
      <c r="M137" s="37">
        <v>46179.694822406542</v>
      </c>
      <c r="N137" s="37">
        <v>-23475.994962921366</v>
      </c>
      <c r="O137" s="37">
        <v>33823.982465299021</v>
      </c>
      <c r="P137" s="37">
        <v>25197.722638385545</v>
      </c>
      <c r="Q137" s="37">
        <v>13247.153395320143</v>
      </c>
      <c r="R137" s="37">
        <v>-95277.919954834913</v>
      </c>
      <c r="S137" s="37">
        <v>-54861.080077549559</v>
      </c>
      <c r="T137" s="37">
        <v>-103280.28147467726</v>
      </c>
      <c r="U137" s="37">
        <v>-45343.832455320953</v>
      </c>
      <c r="V137" s="37">
        <v>-18137.693490635196</v>
      </c>
      <c r="W137" s="37">
        <v>-1479.6500114413211</v>
      </c>
      <c r="X137" s="37">
        <v>-49977.248207413591</v>
      </c>
      <c r="Y137" s="37">
        <v>-2751.5596950753534</v>
      </c>
      <c r="Z137" s="37">
        <v>-5841.6636702439864</v>
      </c>
      <c r="AA137" s="37">
        <v>2462.5687494390295</v>
      </c>
      <c r="AB137" s="37">
        <v>31657.174425122153</v>
      </c>
      <c r="AC137" s="37">
        <v>10017.242026267049</v>
      </c>
      <c r="AD137" s="37">
        <v>-11846.99924692756</v>
      </c>
      <c r="AE137" s="37">
        <v>11707.550479297061</v>
      </c>
      <c r="AF137" s="37">
        <v>48137.916697207838</v>
      </c>
      <c r="AG137" s="37">
        <v>75241.609971771453</v>
      </c>
      <c r="AH137" s="37">
        <v>16919.158416065329</v>
      </c>
      <c r="AI137" s="37">
        <v>71534.15680748524</v>
      </c>
      <c r="AJ137" s="37">
        <v>31872.305091951217</v>
      </c>
      <c r="AK137" s="37">
        <v>46323.244672063156</v>
      </c>
      <c r="AL137" s="37">
        <v>-13410.553329829301</v>
      </c>
      <c r="AM137" s="37">
        <v>24591.269146053673</v>
      </c>
      <c r="AN137" s="37">
        <v>25016.067197071447</v>
      </c>
      <c r="AO137" s="37">
        <v>12632.156167319597</v>
      </c>
      <c r="AP137" s="37">
        <v>-95536.235494175286</v>
      </c>
      <c r="AQ137" s="37">
        <v>-55902.798011482024</v>
      </c>
      <c r="AR137" s="37">
        <v>-103415.22174089035</v>
      </c>
      <c r="AS137" s="37">
        <v>-46207.593558866269</v>
      </c>
      <c r="AT137" s="37">
        <v>-18200.47137096175</v>
      </c>
      <c r="AU137" s="37">
        <v>-2397.7073433343321</v>
      </c>
      <c r="AV137" s="37">
        <v>-50087.350740901136</v>
      </c>
      <c r="AW137" s="37">
        <v>-3883.160790409398</v>
      </c>
      <c r="AX137" s="37">
        <v>-6222.2034594398574</v>
      </c>
      <c r="AY137" s="37">
        <v>1443.3784177882771</v>
      </c>
      <c r="AZ137" s="37">
        <v>25909.919425122149</v>
      </c>
      <c r="BA137" s="37">
        <v>17247.861026267055</v>
      </c>
      <c r="BB137" s="37">
        <v>-1870.6485612035613</v>
      </c>
      <c r="BC137" s="37">
        <v>3190.867549558694</v>
      </c>
      <c r="BD137" s="37">
        <v>49540.265027815127</v>
      </c>
      <c r="BE137" s="37">
        <v>75720.640747922764</v>
      </c>
      <c r="BF137" s="37">
        <v>17856.73082118528</v>
      </c>
      <c r="BG137" s="37">
        <v>71748.193254594371</v>
      </c>
      <c r="BH137" s="37">
        <v>31186.583974678535</v>
      </c>
      <c r="BI137" s="37">
        <v>44796.443830912845</v>
      </c>
      <c r="BJ137" s="37">
        <v>-12798.274043942743</v>
      </c>
      <c r="BK137" s="37">
        <v>24647.250761658826</v>
      </c>
      <c r="BL137" s="37">
        <v>17471.645615923393</v>
      </c>
      <c r="BM137" s="37">
        <v>19528.294945534348</v>
      </c>
      <c r="BN137" s="37">
        <v>-89840.741368521587</v>
      </c>
      <c r="BO137" s="37">
        <v>-62284.159630607261</v>
      </c>
      <c r="BP137" s="37">
        <v>-103538.9054357725</v>
      </c>
      <c r="BQ137" s="37">
        <v>-46900.873381254874</v>
      </c>
      <c r="BR137" s="37">
        <v>-24773.771823015995</v>
      </c>
      <c r="BS137" s="37">
        <v>3446.4007813379576</v>
      </c>
      <c r="BT137" s="37">
        <v>-43751.611501071893</v>
      </c>
      <c r="BU137" s="37">
        <v>-10908.770142164081</v>
      </c>
      <c r="BV137" s="37">
        <v>-6371.339179779985</v>
      </c>
      <c r="BW137" s="37">
        <v>751.44951195968315</v>
      </c>
      <c r="BY137" s="66"/>
      <c r="BZ137" s="66"/>
    </row>
    <row r="138" spans="2:78">
      <c r="B138" s="2"/>
      <c r="C138" s="3"/>
      <c r="D138" s="20"/>
      <c r="E138" s="21"/>
      <c r="F138" s="20"/>
      <c r="G138" s="21"/>
      <c r="H138" s="20"/>
      <c r="I138" s="21"/>
      <c r="J138" s="20"/>
      <c r="K138" s="21"/>
      <c r="L138" s="20"/>
      <c r="M138" s="21"/>
      <c r="N138" s="20"/>
      <c r="O138" s="21"/>
      <c r="P138" s="20"/>
      <c r="Q138" s="21"/>
      <c r="R138" s="20"/>
      <c r="S138" s="21"/>
      <c r="T138" s="20"/>
      <c r="U138" s="21"/>
      <c r="V138" s="20"/>
      <c r="W138" s="21"/>
      <c r="X138" s="20"/>
      <c r="Y138" s="21"/>
      <c r="Z138" s="20"/>
      <c r="AA138" s="21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20"/>
      <c r="AQ138" s="20"/>
      <c r="AR138" s="20"/>
      <c r="AS138" s="20"/>
      <c r="AT138" s="20"/>
      <c r="AU138" s="20"/>
      <c r="AV138" s="20"/>
      <c r="AW138" s="20"/>
      <c r="AX138" s="20"/>
      <c r="AY138" s="20"/>
      <c r="AZ138" s="20"/>
      <c r="BA138" s="21"/>
      <c r="BB138" s="20"/>
      <c r="BC138" s="21"/>
      <c r="BD138" s="20"/>
      <c r="BE138" s="21"/>
      <c r="BF138" s="20"/>
      <c r="BG138" s="21"/>
      <c r="BH138" s="20"/>
      <c r="BI138" s="21"/>
      <c r="BJ138" s="20"/>
      <c r="BK138" s="21"/>
      <c r="BL138" s="20"/>
      <c r="BM138" s="21"/>
      <c r="BN138" s="20"/>
      <c r="BO138" s="21"/>
      <c r="BP138" s="20"/>
      <c r="BQ138" s="21"/>
      <c r="BR138" s="20"/>
      <c r="BS138" s="21"/>
      <c r="BT138" s="20"/>
      <c r="BU138" s="21"/>
      <c r="BV138" s="20"/>
      <c r="BW138" s="21"/>
    </row>
    <row r="139" spans="2:78">
      <c r="B139" s="2"/>
      <c r="C139" s="3"/>
      <c r="D139" s="20"/>
      <c r="E139" s="21"/>
      <c r="F139" s="20"/>
      <c r="G139" s="21"/>
      <c r="H139" s="20"/>
      <c r="I139" s="21"/>
      <c r="J139" s="20"/>
      <c r="K139" s="21"/>
      <c r="L139" s="20"/>
      <c r="M139" s="21"/>
      <c r="N139" s="20"/>
      <c r="O139" s="21"/>
      <c r="P139" s="20"/>
      <c r="Q139" s="21"/>
      <c r="R139" s="20"/>
      <c r="S139" s="21"/>
      <c r="T139" s="20"/>
      <c r="U139" s="21"/>
      <c r="V139" s="20"/>
      <c r="W139" s="21"/>
      <c r="X139" s="20"/>
      <c r="Y139" s="21"/>
      <c r="Z139" s="20"/>
      <c r="AA139" s="21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  <c r="AX139" s="20"/>
      <c r="AY139" s="20"/>
      <c r="AZ139" s="20"/>
      <c r="BA139" s="21"/>
      <c r="BB139" s="20"/>
      <c r="BC139" s="21"/>
      <c r="BD139" s="20"/>
      <c r="BE139" s="21"/>
      <c r="BF139" s="20"/>
      <c r="BG139" s="21"/>
      <c r="BH139" s="20"/>
      <c r="BI139" s="21"/>
      <c r="BJ139" s="20"/>
      <c r="BK139" s="21"/>
      <c r="BL139" s="20"/>
      <c r="BM139" s="21"/>
      <c r="BN139" s="20"/>
      <c r="BO139" s="21"/>
      <c r="BP139" s="20"/>
      <c r="BQ139" s="21"/>
      <c r="BR139" s="20"/>
      <c r="BS139" s="21"/>
      <c r="BT139" s="20"/>
      <c r="BU139" s="21"/>
      <c r="BV139" s="20"/>
      <c r="BW139" s="21"/>
    </row>
    <row r="140" spans="2:78">
      <c r="B140" s="2"/>
      <c r="C140" s="3"/>
      <c r="D140" s="20"/>
      <c r="E140" s="21"/>
      <c r="F140" s="20"/>
      <c r="G140" s="21"/>
      <c r="H140" s="20"/>
      <c r="I140" s="21"/>
      <c r="J140" s="20"/>
      <c r="K140" s="21"/>
      <c r="L140" s="20"/>
      <c r="M140" s="21"/>
      <c r="N140" s="20"/>
      <c r="O140" s="21"/>
      <c r="P140" s="20"/>
      <c r="Q140" s="21"/>
      <c r="R140" s="20"/>
      <c r="S140" s="21"/>
      <c r="T140" s="20"/>
      <c r="U140" s="21"/>
      <c r="V140" s="20"/>
      <c r="W140" s="21"/>
      <c r="X140" s="20"/>
      <c r="Y140" s="21"/>
      <c r="Z140" s="20"/>
      <c r="AA140" s="21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1"/>
      <c r="BB140" s="20"/>
      <c r="BC140" s="21"/>
      <c r="BD140" s="20"/>
      <c r="BE140" s="21"/>
      <c r="BF140" s="20"/>
      <c r="BG140" s="21"/>
      <c r="BH140" s="20"/>
      <c r="BI140" s="21"/>
      <c r="BJ140" s="20"/>
      <c r="BK140" s="21"/>
      <c r="BL140" s="20"/>
      <c r="BM140" s="21"/>
      <c r="BN140" s="20"/>
      <c r="BO140" s="21"/>
      <c r="BP140" s="20"/>
      <c r="BQ140" s="21"/>
      <c r="BR140" s="20"/>
      <c r="BS140" s="21"/>
      <c r="BT140" s="20"/>
      <c r="BU140" s="21"/>
      <c r="BV140" s="20"/>
      <c r="BW140" s="21"/>
    </row>
    <row r="141" spans="2:78">
      <c r="B141" s="2"/>
      <c r="C141" s="3"/>
      <c r="D141" s="20"/>
      <c r="E141" s="21"/>
      <c r="F141" s="20"/>
      <c r="G141" s="21"/>
      <c r="H141" s="20"/>
      <c r="I141" s="21"/>
      <c r="J141" s="20"/>
      <c r="K141" s="21"/>
      <c r="L141" s="20"/>
      <c r="M141" s="21"/>
      <c r="N141" s="20"/>
      <c r="O141" s="21"/>
      <c r="P141" s="20"/>
      <c r="Q141" s="21"/>
      <c r="R141" s="20"/>
      <c r="S141" s="21"/>
      <c r="T141" s="20"/>
      <c r="U141" s="21"/>
      <c r="V141" s="20"/>
      <c r="W141" s="21"/>
      <c r="X141" s="20"/>
      <c r="Y141" s="21"/>
      <c r="Z141" s="20"/>
      <c r="AA141" s="21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  <c r="AX141" s="20"/>
      <c r="AY141" s="20"/>
      <c r="AZ141" s="20"/>
      <c r="BA141" s="21"/>
      <c r="BB141" s="20"/>
      <c r="BC141" s="21"/>
      <c r="BD141" s="20"/>
      <c r="BE141" s="21"/>
      <c r="BF141" s="20"/>
      <c r="BG141" s="21"/>
      <c r="BH141" s="20"/>
      <c r="BI141" s="21"/>
      <c r="BJ141" s="20"/>
      <c r="BK141" s="21"/>
      <c r="BL141" s="20"/>
      <c r="BM141" s="21"/>
      <c r="BN141" s="20"/>
      <c r="BO141" s="21"/>
      <c r="BP141" s="20"/>
      <c r="BQ141" s="21"/>
      <c r="BR141" s="20"/>
      <c r="BS141" s="21"/>
      <c r="BT141" s="20"/>
      <c r="BU141" s="21"/>
      <c r="BV141" s="20"/>
      <c r="BW141" s="21"/>
    </row>
    <row r="142" spans="2:78">
      <c r="B142" s="2"/>
      <c r="C142" s="3"/>
      <c r="D142" s="20"/>
      <c r="E142" s="21"/>
      <c r="F142" s="20"/>
      <c r="G142" s="21"/>
      <c r="H142" s="20"/>
      <c r="I142" s="21"/>
      <c r="J142" s="20"/>
      <c r="K142" s="21"/>
      <c r="L142" s="20"/>
      <c r="M142" s="21"/>
      <c r="N142" s="20"/>
      <c r="O142" s="21"/>
      <c r="P142" s="20"/>
      <c r="Q142" s="21"/>
      <c r="R142" s="20"/>
      <c r="S142" s="21"/>
      <c r="T142" s="20"/>
      <c r="U142" s="21"/>
      <c r="V142" s="20"/>
      <c r="W142" s="21"/>
      <c r="X142" s="20"/>
      <c r="Y142" s="21"/>
      <c r="Z142" s="20"/>
      <c r="AA142" s="21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1"/>
      <c r="BB142" s="20"/>
      <c r="BC142" s="21"/>
      <c r="BD142" s="20"/>
      <c r="BE142" s="21"/>
      <c r="BF142" s="20"/>
      <c r="BG142" s="21"/>
      <c r="BH142" s="20"/>
      <c r="BI142" s="21"/>
      <c r="BJ142" s="20"/>
      <c r="BK142" s="21"/>
      <c r="BL142" s="20"/>
      <c r="BM142" s="21"/>
      <c r="BN142" s="20"/>
      <c r="BO142" s="21"/>
      <c r="BP142" s="20"/>
      <c r="BQ142" s="21"/>
      <c r="BR142" s="20"/>
      <c r="BS142" s="21"/>
      <c r="BT142" s="20"/>
      <c r="BU142" s="21"/>
      <c r="BV142" s="20"/>
      <c r="BW142" s="21"/>
    </row>
    <row r="143" spans="2:78">
      <c r="B143" s="2"/>
      <c r="C143" s="3"/>
      <c r="D143" s="20"/>
      <c r="E143" s="21"/>
      <c r="F143" s="20"/>
      <c r="G143" s="21"/>
      <c r="H143" s="20"/>
      <c r="I143" s="21"/>
      <c r="J143" s="20"/>
      <c r="K143" s="21"/>
      <c r="L143" s="20"/>
      <c r="M143" s="21"/>
      <c r="N143" s="20"/>
      <c r="O143" s="21"/>
      <c r="P143" s="20"/>
      <c r="Q143" s="21"/>
      <c r="R143" s="20"/>
      <c r="S143" s="21"/>
      <c r="T143" s="20"/>
      <c r="U143" s="21"/>
      <c r="V143" s="20"/>
      <c r="W143" s="21"/>
      <c r="X143" s="20"/>
      <c r="Y143" s="21"/>
      <c r="Z143" s="20"/>
      <c r="AA143" s="21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1"/>
      <c r="BB143" s="20"/>
      <c r="BC143" s="21"/>
      <c r="BD143" s="20"/>
      <c r="BE143" s="21"/>
      <c r="BF143" s="20"/>
      <c r="BG143" s="21"/>
      <c r="BH143" s="20"/>
      <c r="BI143" s="21"/>
      <c r="BJ143" s="20"/>
      <c r="BK143" s="21"/>
      <c r="BL143" s="20"/>
      <c r="BM143" s="21"/>
      <c r="BN143" s="20"/>
      <c r="BO143" s="21"/>
      <c r="BP143" s="20"/>
      <c r="BQ143" s="21"/>
      <c r="BR143" s="20"/>
      <c r="BS143" s="21"/>
      <c r="BT143" s="20"/>
      <c r="BU143" s="21"/>
      <c r="BV143" s="20"/>
      <c r="BW143" s="21"/>
    </row>
    <row r="144" spans="2:78">
      <c r="B144" s="2"/>
      <c r="C144" s="3"/>
      <c r="D144" s="20"/>
      <c r="E144" s="21"/>
      <c r="F144" s="20"/>
      <c r="G144" s="21"/>
      <c r="H144" s="20"/>
      <c r="I144" s="21"/>
      <c r="J144" s="20"/>
      <c r="K144" s="21"/>
      <c r="L144" s="20"/>
      <c r="M144" s="21"/>
      <c r="N144" s="20"/>
      <c r="O144" s="21"/>
      <c r="P144" s="20"/>
      <c r="Q144" s="21"/>
      <c r="R144" s="20"/>
      <c r="S144" s="21"/>
      <c r="T144" s="20"/>
      <c r="U144" s="21"/>
      <c r="V144" s="20"/>
      <c r="W144" s="21"/>
      <c r="X144" s="20"/>
      <c r="Y144" s="21"/>
      <c r="Z144" s="20"/>
      <c r="AA144" s="21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0"/>
      <c r="AX144" s="20"/>
      <c r="AY144" s="20"/>
      <c r="AZ144" s="20"/>
      <c r="BA144" s="21"/>
      <c r="BB144" s="20"/>
      <c r="BC144" s="21"/>
      <c r="BD144" s="20"/>
      <c r="BE144" s="21"/>
      <c r="BF144" s="20"/>
      <c r="BG144" s="21"/>
      <c r="BH144" s="20"/>
      <c r="BI144" s="21"/>
      <c r="BJ144" s="20"/>
      <c r="BK144" s="21"/>
      <c r="BL144" s="20"/>
      <c r="BM144" s="21"/>
      <c r="BN144" s="20"/>
      <c r="BO144" s="21"/>
      <c r="BP144" s="20"/>
      <c r="BQ144" s="21"/>
      <c r="BR144" s="20"/>
      <c r="BS144" s="21"/>
      <c r="BT144" s="20"/>
      <c r="BU144" s="21"/>
      <c r="BV144" s="20"/>
      <c r="BW144" s="21"/>
    </row>
    <row r="145" spans="2:75">
      <c r="B145" s="2"/>
      <c r="C145" s="3"/>
      <c r="D145" s="20"/>
      <c r="E145" s="21"/>
      <c r="F145" s="20"/>
      <c r="G145" s="21"/>
      <c r="H145" s="20"/>
      <c r="I145" s="21"/>
      <c r="J145" s="20"/>
      <c r="K145" s="21"/>
      <c r="L145" s="20"/>
      <c r="M145" s="21"/>
      <c r="N145" s="20"/>
      <c r="O145" s="21"/>
      <c r="P145" s="20"/>
      <c r="Q145" s="21"/>
      <c r="R145" s="20"/>
      <c r="S145" s="21"/>
      <c r="T145" s="20"/>
      <c r="U145" s="21"/>
      <c r="V145" s="20"/>
      <c r="W145" s="21"/>
      <c r="X145" s="20"/>
      <c r="Y145" s="21"/>
      <c r="Z145" s="20"/>
      <c r="AA145" s="21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  <c r="AX145" s="20"/>
      <c r="AY145" s="20"/>
      <c r="AZ145" s="20"/>
      <c r="BA145" s="21"/>
      <c r="BB145" s="20"/>
      <c r="BC145" s="21"/>
      <c r="BD145" s="20"/>
      <c r="BE145" s="21"/>
      <c r="BF145" s="20"/>
      <c r="BG145" s="21"/>
      <c r="BH145" s="20"/>
      <c r="BI145" s="21"/>
      <c r="BJ145" s="20"/>
      <c r="BK145" s="21"/>
      <c r="BL145" s="20"/>
      <c r="BM145" s="21"/>
      <c r="BN145" s="20"/>
      <c r="BO145" s="21"/>
      <c r="BP145" s="20"/>
      <c r="BQ145" s="21"/>
      <c r="BR145" s="20"/>
      <c r="BS145" s="21"/>
      <c r="BT145" s="20"/>
      <c r="BU145" s="21"/>
      <c r="BV145" s="20"/>
      <c r="BW145" s="21"/>
    </row>
    <row r="146" spans="2:75">
      <c r="B146" s="2"/>
      <c r="C146" s="3"/>
      <c r="D146" s="20"/>
      <c r="E146" s="21"/>
      <c r="F146" s="20"/>
      <c r="G146" s="21"/>
      <c r="H146" s="20"/>
      <c r="I146" s="21"/>
      <c r="J146" s="20"/>
      <c r="K146" s="21"/>
      <c r="L146" s="20"/>
      <c r="M146" s="21"/>
      <c r="N146" s="20"/>
      <c r="O146" s="21"/>
      <c r="P146" s="20"/>
      <c r="Q146" s="21"/>
      <c r="R146" s="20"/>
      <c r="S146" s="21"/>
      <c r="T146" s="20"/>
      <c r="U146" s="21"/>
      <c r="V146" s="20"/>
      <c r="W146" s="21"/>
      <c r="X146" s="20"/>
      <c r="Y146" s="21"/>
      <c r="Z146" s="20"/>
      <c r="AA146" s="21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  <c r="AX146" s="20"/>
      <c r="AY146" s="20"/>
      <c r="AZ146" s="20"/>
      <c r="BA146" s="21"/>
      <c r="BB146" s="20"/>
      <c r="BC146" s="21"/>
      <c r="BD146" s="20"/>
      <c r="BE146" s="21"/>
      <c r="BF146" s="20"/>
      <c r="BG146" s="21"/>
      <c r="BH146" s="20"/>
      <c r="BI146" s="21"/>
      <c r="BJ146" s="20"/>
      <c r="BK146" s="21"/>
      <c r="BL146" s="20"/>
      <c r="BM146" s="21"/>
      <c r="BN146" s="20"/>
      <c r="BO146" s="21"/>
      <c r="BP146" s="20"/>
      <c r="BQ146" s="21"/>
      <c r="BR146" s="20"/>
      <c r="BS146" s="21"/>
      <c r="BT146" s="20"/>
      <c r="BU146" s="21"/>
      <c r="BV146" s="20"/>
      <c r="BW146" s="21"/>
    </row>
    <row r="147" spans="2:75">
      <c r="B147" s="2">
        <v>1</v>
      </c>
      <c r="C147" s="3">
        <v>2</v>
      </c>
      <c r="D147" s="20">
        <v>3</v>
      </c>
      <c r="E147" s="21">
        <v>4</v>
      </c>
      <c r="F147" s="20">
        <v>5</v>
      </c>
      <c r="G147" s="21">
        <v>6</v>
      </c>
      <c r="H147" s="20">
        <v>7</v>
      </c>
      <c r="I147" s="21">
        <v>8</v>
      </c>
      <c r="J147" s="20">
        <v>9</v>
      </c>
      <c r="K147" s="21">
        <v>10</v>
      </c>
      <c r="L147" s="20">
        <v>11</v>
      </c>
      <c r="M147" s="21">
        <v>12</v>
      </c>
      <c r="N147" s="20">
        <v>13</v>
      </c>
      <c r="O147" s="21">
        <v>14</v>
      </c>
      <c r="P147" s="20">
        <v>15</v>
      </c>
      <c r="Q147" s="21">
        <v>16</v>
      </c>
      <c r="R147" s="20">
        <v>17</v>
      </c>
      <c r="S147" s="21">
        <v>18</v>
      </c>
      <c r="T147" s="20">
        <v>19</v>
      </c>
      <c r="U147" s="21">
        <v>20</v>
      </c>
      <c r="V147" s="20">
        <v>21</v>
      </c>
      <c r="W147" s="21">
        <v>22</v>
      </c>
      <c r="X147" s="20">
        <v>23</v>
      </c>
      <c r="Y147" s="21">
        <v>24</v>
      </c>
      <c r="Z147" s="20">
        <v>25</v>
      </c>
      <c r="AA147" s="21">
        <v>26</v>
      </c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>
        <v>27</v>
      </c>
      <c r="BA147" s="21">
        <v>28</v>
      </c>
      <c r="BB147" s="20">
        <v>29</v>
      </c>
      <c r="BC147" s="21">
        <v>30</v>
      </c>
      <c r="BD147" s="20">
        <v>31</v>
      </c>
      <c r="BE147" s="21">
        <v>32</v>
      </c>
      <c r="BF147" s="20">
        <v>33</v>
      </c>
      <c r="BG147" s="21">
        <v>34</v>
      </c>
      <c r="BH147" s="20">
        <v>35</v>
      </c>
      <c r="BI147" s="21">
        <v>36</v>
      </c>
      <c r="BJ147" s="20">
        <v>37</v>
      </c>
      <c r="BK147" s="21">
        <v>38</v>
      </c>
      <c r="BL147" s="20">
        <v>39</v>
      </c>
      <c r="BM147" s="21">
        <v>40</v>
      </c>
      <c r="BN147" s="20">
        <v>41</v>
      </c>
      <c r="BO147" s="21">
        <v>42</v>
      </c>
      <c r="BP147" s="20">
        <v>43</v>
      </c>
      <c r="BQ147" s="21">
        <v>44</v>
      </c>
      <c r="BR147" s="20">
        <v>45</v>
      </c>
      <c r="BS147" s="21">
        <v>46</v>
      </c>
      <c r="BT147" s="20">
        <v>47</v>
      </c>
      <c r="BU147" s="21">
        <v>48</v>
      </c>
      <c r="BV147" s="20">
        <v>49</v>
      </c>
      <c r="BW147" s="21">
        <v>50</v>
      </c>
    </row>
    <row r="148" spans="2:75">
      <c r="B148" s="2"/>
      <c r="C148" s="3"/>
      <c r="D148" s="20"/>
      <c r="E148" s="21"/>
      <c r="F148" s="20"/>
      <c r="G148" s="21"/>
      <c r="H148" s="20"/>
      <c r="I148" s="21"/>
      <c r="J148" s="20"/>
      <c r="K148" s="21"/>
      <c r="L148" s="20"/>
      <c r="M148" s="21"/>
      <c r="N148" s="20"/>
      <c r="O148" s="21"/>
      <c r="P148" s="20"/>
      <c r="Q148" s="21"/>
      <c r="R148" s="20"/>
      <c r="S148" s="21"/>
      <c r="T148" s="20"/>
      <c r="U148" s="21"/>
      <c r="V148" s="20"/>
      <c r="W148" s="21"/>
      <c r="X148" s="20"/>
      <c r="Y148" s="21"/>
      <c r="Z148" s="20"/>
      <c r="AA148" s="21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1"/>
      <c r="BB148" s="20"/>
      <c r="BC148" s="21"/>
      <c r="BD148" s="20"/>
      <c r="BE148" s="21"/>
      <c r="BF148" s="20"/>
      <c r="BG148" s="21"/>
      <c r="BH148" s="20"/>
      <c r="BI148" s="21"/>
      <c r="BJ148" s="20"/>
      <c r="BK148" s="21"/>
      <c r="BL148" s="20"/>
      <c r="BM148" s="21"/>
      <c r="BN148" s="20"/>
      <c r="BO148" s="21"/>
      <c r="BP148" s="20"/>
      <c r="BQ148" s="21"/>
      <c r="BR148" s="20"/>
      <c r="BS148" s="21"/>
      <c r="BT148" s="20"/>
      <c r="BU148" s="21"/>
      <c r="BV148" s="20"/>
      <c r="BW148" s="21"/>
    </row>
    <row r="149" spans="2:75">
      <c r="B149" s="2"/>
      <c r="C149" s="3"/>
      <c r="D149" s="20"/>
      <c r="E149" s="21"/>
      <c r="F149" s="20"/>
      <c r="G149" s="21"/>
      <c r="H149" s="20"/>
      <c r="I149" s="21"/>
      <c r="J149" s="20"/>
      <c r="K149" s="21"/>
      <c r="L149" s="20"/>
      <c r="M149" s="21"/>
      <c r="N149" s="20"/>
      <c r="O149" s="21"/>
      <c r="P149" s="20"/>
      <c r="Q149" s="21"/>
      <c r="R149" s="20"/>
      <c r="S149" s="21"/>
      <c r="T149" s="20"/>
      <c r="U149" s="21"/>
      <c r="V149" s="20"/>
      <c r="W149" s="21"/>
      <c r="X149" s="20"/>
      <c r="Y149" s="21"/>
      <c r="Z149" s="20"/>
      <c r="AA149" s="21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0"/>
      <c r="AX149" s="20"/>
      <c r="AY149" s="20"/>
      <c r="AZ149" s="20"/>
      <c r="BA149" s="21"/>
      <c r="BB149" s="20"/>
      <c r="BC149" s="21"/>
      <c r="BD149" s="20"/>
      <c r="BE149" s="21"/>
      <c r="BF149" s="20"/>
      <c r="BG149" s="21"/>
      <c r="BH149" s="20"/>
      <c r="BI149" s="21"/>
      <c r="BJ149" s="20"/>
      <c r="BK149" s="21"/>
      <c r="BL149" s="20"/>
      <c r="BM149" s="21"/>
      <c r="BN149" s="20"/>
      <c r="BO149" s="21"/>
      <c r="BP149" s="20"/>
      <c r="BQ149" s="21"/>
      <c r="BR149" s="20"/>
      <c r="BS149" s="21"/>
      <c r="BT149" s="20"/>
      <c r="BU149" s="21"/>
      <c r="BV149" s="20"/>
      <c r="BW149" s="21"/>
    </row>
    <row r="150" spans="2:75">
      <c r="B150" s="2"/>
      <c r="C150" s="3"/>
      <c r="D150" s="20"/>
      <c r="E150" s="21"/>
      <c r="F150" s="20"/>
      <c r="G150" s="21"/>
      <c r="H150" s="20"/>
      <c r="I150" s="21"/>
      <c r="J150" s="20"/>
      <c r="K150" s="21"/>
      <c r="L150" s="20"/>
      <c r="M150" s="21"/>
      <c r="N150" s="20"/>
      <c r="O150" s="21"/>
      <c r="P150" s="20"/>
      <c r="Q150" s="21"/>
      <c r="R150" s="20"/>
      <c r="S150" s="21"/>
      <c r="T150" s="20"/>
      <c r="U150" s="21"/>
      <c r="V150" s="20"/>
      <c r="W150" s="21"/>
      <c r="X150" s="20"/>
      <c r="Y150" s="21"/>
      <c r="Z150" s="20"/>
      <c r="AA150" s="21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1"/>
      <c r="BB150" s="20"/>
      <c r="BC150" s="21"/>
      <c r="BD150" s="20"/>
      <c r="BE150" s="21"/>
      <c r="BF150" s="20"/>
      <c r="BG150" s="21"/>
      <c r="BH150" s="20"/>
      <c r="BI150" s="21"/>
      <c r="BJ150" s="20"/>
      <c r="BK150" s="21"/>
      <c r="BL150" s="20"/>
      <c r="BM150" s="21"/>
      <c r="BN150" s="20"/>
      <c r="BO150" s="21"/>
      <c r="BP150" s="20"/>
      <c r="BQ150" s="21"/>
      <c r="BR150" s="20"/>
      <c r="BS150" s="21"/>
      <c r="BT150" s="20"/>
      <c r="BU150" s="21"/>
      <c r="BV150" s="20"/>
      <c r="BW150" s="21"/>
    </row>
    <row r="151" spans="2:75">
      <c r="B151" s="2"/>
      <c r="C151" s="3"/>
      <c r="D151" s="20"/>
      <c r="E151" s="21"/>
      <c r="F151" s="20"/>
      <c r="G151" s="21"/>
      <c r="H151" s="20"/>
      <c r="I151" s="21"/>
      <c r="J151" s="20"/>
      <c r="K151" s="21"/>
      <c r="L151" s="20"/>
      <c r="M151" s="21"/>
      <c r="N151" s="20"/>
      <c r="O151" s="21"/>
      <c r="P151" s="20"/>
      <c r="Q151" s="21"/>
      <c r="R151" s="20"/>
      <c r="S151" s="21"/>
      <c r="T151" s="20"/>
      <c r="U151" s="21"/>
      <c r="V151" s="20"/>
      <c r="W151" s="21"/>
      <c r="X151" s="20"/>
      <c r="Y151" s="21"/>
      <c r="Z151" s="20"/>
      <c r="AA151" s="21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0"/>
      <c r="AX151" s="20"/>
      <c r="AY151" s="20"/>
      <c r="AZ151" s="20"/>
      <c r="BA151" s="21"/>
      <c r="BB151" s="20"/>
      <c r="BC151" s="21"/>
      <c r="BD151" s="20"/>
      <c r="BE151" s="21"/>
      <c r="BF151" s="20"/>
      <c r="BG151" s="21"/>
      <c r="BH151" s="20"/>
      <c r="BI151" s="21"/>
      <c r="BJ151" s="20"/>
      <c r="BK151" s="21"/>
      <c r="BL151" s="20"/>
      <c r="BM151" s="21"/>
      <c r="BN151" s="20"/>
      <c r="BO151" s="21"/>
      <c r="BP151" s="20"/>
      <c r="BQ151" s="21"/>
      <c r="BR151" s="20"/>
      <c r="BS151" s="21"/>
      <c r="BT151" s="20"/>
      <c r="BU151" s="21"/>
      <c r="BV151" s="20"/>
      <c r="BW151" s="21"/>
    </row>
    <row r="152" spans="2:75">
      <c r="B152" s="2"/>
      <c r="C152" s="3"/>
      <c r="D152" s="20"/>
      <c r="E152" s="21"/>
      <c r="F152" s="20"/>
      <c r="G152" s="21"/>
      <c r="H152" s="20"/>
      <c r="I152" s="21"/>
      <c r="J152" s="20"/>
      <c r="K152" s="21"/>
      <c r="L152" s="20"/>
      <c r="M152" s="21"/>
      <c r="N152" s="20"/>
      <c r="O152" s="21"/>
      <c r="P152" s="20"/>
      <c r="Q152" s="21"/>
      <c r="R152" s="20"/>
      <c r="S152" s="21"/>
      <c r="T152" s="20"/>
      <c r="U152" s="21"/>
      <c r="V152" s="20"/>
      <c r="W152" s="21"/>
      <c r="X152" s="20"/>
      <c r="Y152" s="21"/>
      <c r="Z152" s="20"/>
      <c r="AA152" s="21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0"/>
      <c r="AV152" s="20"/>
      <c r="AW152" s="20"/>
      <c r="AX152" s="20"/>
      <c r="AY152" s="20"/>
      <c r="AZ152" s="20"/>
      <c r="BA152" s="21"/>
      <c r="BB152" s="20"/>
      <c r="BC152" s="21"/>
      <c r="BD152" s="20"/>
      <c r="BE152" s="21"/>
      <c r="BF152" s="20"/>
      <c r="BG152" s="21"/>
      <c r="BH152" s="20"/>
      <c r="BI152" s="21"/>
      <c r="BJ152" s="20"/>
      <c r="BK152" s="21"/>
      <c r="BL152" s="20"/>
      <c r="BM152" s="21"/>
      <c r="BN152" s="20"/>
      <c r="BO152" s="21"/>
      <c r="BP152" s="20"/>
      <c r="BQ152" s="21"/>
      <c r="BR152" s="20"/>
      <c r="BS152" s="21"/>
      <c r="BT152" s="20"/>
      <c r="BU152" s="21"/>
      <c r="BV152" s="20"/>
      <c r="BW152" s="21"/>
    </row>
    <row r="153" spans="2:75">
      <c r="B153" s="2"/>
      <c r="C153" s="3"/>
      <c r="D153" s="20"/>
      <c r="E153" s="21"/>
      <c r="F153" s="20"/>
      <c r="G153" s="21"/>
      <c r="H153" s="20"/>
      <c r="I153" s="21"/>
      <c r="J153" s="20"/>
      <c r="K153" s="21"/>
      <c r="L153" s="20"/>
      <c r="M153" s="21"/>
      <c r="N153" s="20"/>
      <c r="O153" s="21"/>
      <c r="P153" s="20"/>
      <c r="Q153" s="21"/>
      <c r="R153" s="20"/>
      <c r="S153" s="21"/>
      <c r="T153" s="20"/>
      <c r="U153" s="21"/>
      <c r="V153" s="20"/>
      <c r="W153" s="21"/>
      <c r="X153" s="20"/>
      <c r="Y153" s="21"/>
      <c r="Z153" s="20"/>
      <c r="AA153" s="21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0"/>
      <c r="AV153" s="20"/>
      <c r="AW153" s="20"/>
      <c r="AX153" s="20"/>
      <c r="AY153" s="20"/>
      <c r="AZ153" s="20"/>
      <c r="BA153" s="21"/>
      <c r="BB153" s="20"/>
      <c r="BC153" s="21"/>
      <c r="BD153" s="20"/>
      <c r="BE153" s="21"/>
      <c r="BF153" s="20"/>
      <c r="BG153" s="21"/>
      <c r="BH153" s="20"/>
      <c r="BI153" s="21"/>
      <c r="BJ153" s="20"/>
      <c r="BK153" s="21"/>
      <c r="BL153" s="20"/>
      <c r="BM153" s="21"/>
      <c r="BN153" s="20"/>
      <c r="BO153" s="21"/>
      <c r="BP153" s="20"/>
      <c r="BQ153" s="21"/>
      <c r="BR153" s="20"/>
      <c r="BS153" s="21"/>
      <c r="BT153" s="20"/>
      <c r="BU153" s="21"/>
      <c r="BV153" s="20"/>
      <c r="BW153" s="21"/>
    </row>
    <row r="154" spans="2:75">
      <c r="B154" s="2"/>
      <c r="C154" s="3"/>
      <c r="D154" s="20"/>
      <c r="E154" s="21"/>
      <c r="F154" s="20"/>
      <c r="G154" s="21"/>
      <c r="H154" s="20"/>
      <c r="I154" s="21"/>
      <c r="J154" s="20"/>
      <c r="K154" s="21"/>
      <c r="L154" s="20"/>
      <c r="M154" s="21"/>
      <c r="N154" s="20"/>
      <c r="O154" s="21"/>
      <c r="P154" s="20"/>
      <c r="Q154" s="21"/>
      <c r="R154" s="20"/>
      <c r="S154" s="21"/>
      <c r="T154" s="20"/>
      <c r="U154" s="21"/>
      <c r="V154" s="20"/>
      <c r="W154" s="21"/>
      <c r="X154" s="20"/>
      <c r="Y154" s="21"/>
      <c r="Z154" s="20"/>
      <c r="AA154" s="21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  <c r="AX154" s="20"/>
      <c r="AY154" s="20"/>
      <c r="AZ154" s="20"/>
      <c r="BA154" s="21"/>
      <c r="BB154" s="20"/>
      <c r="BC154" s="21"/>
      <c r="BD154" s="20"/>
      <c r="BE154" s="21"/>
      <c r="BF154" s="20"/>
      <c r="BG154" s="21"/>
      <c r="BH154" s="20"/>
      <c r="BI154" s="21"/>
      <c r="BJ154" s="20"/>
      <c r="BK154" s="21"/>
      <c r="BL154" s="20"/>
      <c r="BM154" s="21"/>
      <c r="BN154" s="20"/>
      <c r="BO154" s="21"/>
      <c r="BP154" s="20"/>
      <c r="BQ154" s="21"/>
      <c r="BR154" s="20"/>
      <c r="BS154" s="21"/>
      <c r="BT154" s="20"/>
      <c r="BU154" s="21"/>
      <c r="BV154" s="20"/>
      <c r="BW154" s="21"/>
    </row>
    <row r="155" spans="2:75">
      <c r="B155" s="2"/>
      <c r="C155" s="3"/>
      <c r="D155" s="20"/>
      <c r="E155" s="21"/>
      <c r="F155" s="20"/>
      <c r="G155" s="21"/>
      <c r="H155" s="20"/>
      <c r="I155" s="21"/>
      <c r="J155" s="20"/>
      <c r="K155" s="21"/>
      <c r="L155" s="20"/>
      <c r="M155" s="21"/>
      <c r="N155" s="20"/>
      <c r="O155" s="21"/>
      <c r="P155" s="20"/>
      <c r="Q155" s="21"/>
      <c r="R155" s="20"/>
      <c r="S155" s="21"/>
      <c r="T155" s="20"/>
      <c r="U155" s="21"/>
      <c r="V155" s="20"/>
      <c r="W155" s="21"/>
      <c r="X155" s="20"/>
      <c r="Y155" s="21"/>
      <c r="Z155" s="20"/>
      <c r="AA155" s="21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  <c r="AX155" s="20"/>
      <c r="AY155" s="20"/>
      <c r="AZ155" s="20"/>
      <c r="BA155" s="21"/>
      <c r="BB155" s="20"/>
      <c r="BC155" s="21"/>
      <c r="BD155" s="20"/>
      <c r="BE155" s="21"/>
      <c r="BF155" s="20"/>
      <c r="BG155" s="21"/>
      <c r="BH155" s="20"/>
      <c r="BI155" s="21"/>
      <c r="BJ155" s="20"/>
      <c r="BK155" s="21"/>
      <c r="BL155" s="20"/>
      <c r="BM155" s="21"/>
      <c r="BN155" s="20"/>
      <c r="BO155" s="21"/>
      <c r="BP155" s="20"/>
      <c r="BQ155" s="21"/>
      <c r="BR155" s="20"/>
      <c r="BS155" s="21"/>
      <c r="BT155" s="20"/>
      <c r="BU155" s="21"/>
      <c r="BV155" s="20"/>
      <c r="BW155" s="21"/>
    </row>
    <row r="156" spans="2:75">
      <c r="B156" s="2"/>
      <c r="C156" s="3"/>
      <c r="D156" s="20"/>
      <c r="E156" s="21"/>
      <c r="F156" s="20"/>
      <c r="G156" s="21"/>
      <c r="H156" s="20"/>
      <c r="I156" s="21"/>
      <c r="J156" s="20"/>
      <c r="K156" s="21"/>
      <c r="L156" s="20"/>
      <c r="M156" s="21"/>
      <c r="N156" s="20"/>
      <c r="O156" s="21"/>
      <c r="P156" s="20"/>
      <c r="Q156" s="21"/>
      <c r="R156" s="20"/>
      <c r="S156" s="21"/>
      <c r="T156" s="20"/>
      <c r="U156" s="21"/>
      <c r="V156" s="20"/>
      <c r="W156" s="21"/>
      <c r="X156" s="20"/>
      <c r="Y156" s="21"/>
      <c r="Z156" s="20"/>
      <c r="AA156" s="21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  <c r="AX156" s="20"/>
      <c r="AY156" s="20"/>
      <c r="AZ156" s="20"/>
      <c r="BA156" s="21"/>
      <c r="BB156" s="20"/>
      <c r="BC156" s="21"/>
      <c r="BD156" s="20"/>
      <c r="BE156" s="21"/>
      <c r="BF156" s="20"/>
      <c r="BG156" s="21"/>
      <c r="BH156" s="20"/>
      <c r="BI156" s="21"/>
      <c r="BJ156" s="20"/>
      <c r="BK156" s="21"/>
      <c r="BL156" s="20"/>
      <c r="BM156" s="21"/>
      <c r="BN156" s="20"/>
      <c r="BO156" s="21"/>
      <c r="BP156" s="20"/>
      <c r="BQ156" s="21"/>
      <c r="BR156" s="20"/>
      <c r="BS156" s="21"/>
      <c r="BT156" s="20"/>
      <c r="BU156" s="21"/>
      <c r="BV156" s="20"/>
      <c r="BW156" s="21"/>
    </row>
    <row r="157" spans="2:75">
      <c r="B157" s="2"/>
      <c r="C157" s="3"/>
      <c r="D157" s="20"/>
      <c r="E157" s="21"/>
      <c r="F157" s="20"/>
      <c r="G157" s="21"/>
      <c r="H157" s="20"/>
      <c r="I157" s="21"/>
      <c r="J157" s="20"/>
      <c r="K157" s="21"/>
      <c r="L157" s="20"/>
      <c r="M157" s="21"/>
      <c r="N157" s="20"/>
      <c r="O157" s="21"/>
      <c r="P157" s="20"/>
      <c r="Q157" s="21"/>
      <c r="R157" s="20"/>
      <c r="S157" s="21"/>
      <c r="T157" s="20"/>
      <c r="U157" s="21"/>
      <c r="V157" s="20"/>
      <c r="W157" s="21"/>
      <c r="X157" s="20"/>
      <c r="Y157" s="21"/>
      <c r="Z157" s="20"/>
      <c r="AA157" s="21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  <c r="AQ157" s="20"/>
      <c r="AR157" s="20"/>
      <c r="AS157" s="20"/>
      <c r="AT157" s="20"/>
      <c r="AU157" s="20"/>
      <c r="AV157" s="20"/>
      <c r="AW157" s="20"/>
      <c r="AX157" s="20"/>
      <c r="AY157" s="20"/>
      <c r="AZ157" s="20"/>
      <c r="BA157" s="21"/>
      <c r="BB157" s="20"/>
      <c r="BC157" s="21"/>
      <c r="BD157" s="20"/>
      <c r="BE157" s="21"/>
      <c r="BF157" s="20"/>
      <c r="BG157" s="21"/>
      <c r="BH157" s="20"/>
      <c r="BI157" s="21"/>
      <c r="BJ157" s="20"/>
      <c r="BK157" s="21"/>
      <c r="BL157" s="20"/>
      <c r="BM157" s="21"/>
      <c r="BN157" s="20"/>
      <c r="BO157" s="21"/>
      <c r="BP157" s="20"/>
      <c r="BQ157" s="21"/>
      <c r="BR157" s="20"/>
      <c r="BS157" s="21"/>
      <c r="BT157" s="20"/>
      <c r="BU157" s="21"/>
      <c r="BV157" s="20"/>
      <c r="BW157" s="21"/>
    </row>
    <row r="158" spans="2:75">
      <c r="B158" s="2"/>
      <c r="C158" s="3"/>
      <c r="D158" s="20"/>
      <c r="E158" s="21"/>
      <c r="F158" s="20"/>
      <c r="G158" s="21"/>
      <c r="H158" s="20"/>
      <c r="I158" s="21"/>
      <c r="J158" s="20"/>
      <c r="K158" s="21"/>
      <c r="L158" s="20"/>
      <c r="M158" s="21"/>
      <c r="N158" s="20"/>
      <c r="O158" s="21"/>
      <c r="P158" s="20"/>
      <c r="Q158" s="21"/>
      <c r="R158" s="20"/>
      <c r="S158" s="21"/>
      <c r="T158" s="20"/>
      <c r="U158" s="21"/>
      <c r="V158" s="20"/>
      <c r="W158" s="21"/>
      <c r="X158" s="20"/>
      <c r="Y158" s="21"/>
      <c r="Z158" s="20"/>
      <c r="AA158" s="21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  <c r="AX158" s="20"/>
      <c r="AY158" s="20"/>
      <c r="AZ158" s="20"/>
      <c r="BA158" s="21"/>
      <c r="BB158" s="20"/>
      <c r="BC158" s="21"/>
      <c r="BD158" s="20"/>
      <c r="BE158" s="21"/>
      <c r="BF158" s="20"/>
      <c r="BG158" s="21"/>
      <c r="BH158" s="20"/>
      <c r="BI158" s="21"/>
      <c r="BJ158" s="20"/>
      <c r="BK158" s="21"/>
      <c r="BL158" s="20"/>
      <c r="BM158" s="21"/>
      <c r="BN158" s="20"/>
      <c r="BO158" s="21"/>
      <c r="BP158" s="20"/>
      <c r="BQ158" s="21"/>
      <c r="BR158" s="20"/>
      <c r="BS158" s="21"/>
      <c r="BT158" s="20"/>
      <c r="BU158" s="21"/>
      <c r="BV158" s="20"/>
      <c r="BW158" s="21"/>
    </row>
    <row r="159" spans="2:75">
      <c r="B159" s="2"/>
      <c r="C159" s="3"/>
      <c r="D159" s="20"/>
      <c r="E159" s="21"/>
      <c r="F159" s="20"/>
      <c r="G159" s="21"/>
      <c r="H159" s="20"/>
      <c r="I159" s="21"/>
      <c r="J159" s="20"/>
      <c r="K159" s="21"/>
      <c r="L159" s="20"/>
      <c r="M159" s="21"/>
      <c r="N159" s="20"/>
      <c r="O159" s="21"/>
      <c r="P159" s="20"/>
      <c r="Q159" s="21"/>
      <c r="R159" s="20"/>
      <c r="S159" s="21"/>
      <c r="T159" s="20"/>
      <c r="U159" s="21"/>
      <c r="V159" s="20"/>
      <c r="W159" s="21"/>
      <c r="X159" s="20"/>
      <c r="Y159" s="21"/>
      <c r="Z159" s="20"/>
      <c r="AA159" s="21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  <c r="AX159" s="20"/>
      <c r="AY159" s="20"/>
      <c r="AZ159" s="20"/>
      <c r="BA159" s="21"/>
      <c r="BB159" s="20"/>
      <c r="BC159" s="21"/>
      <c r="BD159" s="20"/>
      <c r="BE159" s="21"/>
      <c r="BF159" s="20"/>
      <c r="BG159" s="21"/>
      <c r="BH159" s="20"/>
      <c r="BI159" s="21"/>
      <c r="BJ159" s="20"/>
      <c r="BK159" s="21"/>
      <c r="BL159" s="20"/>
      <c r="BM159" s="21"/>
      <c r="BN159" s="20"/>
      <c r="BO159" s="21"/>
      <c r="BP159" s="20"/>
      <c r="BQ159" s="21"/>
      <c r="BR159" s="20"/>
      <c r="BS159" s="21"/>
      <c r="BT159" s="20"/>
      <c r="BU159" s="21"/>
      <c r="BV159" s="20"/>
      <c r="BW159" s="21"/>
    </row>
    <row r="160" spans="2:75">
      <c r="B160" s="2"/>
      <c r="C160" s="3"/>
      <c r="D160" s="20"/>
      <c r="E160" s="21"/>
      <c r="F160" s="20"/>
      <c r="G160" s="21"/>
      <c r="H160" s="20"/>
      <c r="I160" s="21"/>
      <c r="J160" s="20"/>
      <c r="K160" s="21"/>
      <c r="L160" s="20"/>
      <c r="M160" s="21"/>
      <c r="N160" s="20"/>
      <c r="O160" s="21"/>
      <c r="P160" s="20"/>
      <c r="Q160" s="21"/>
      <c r="R160" s="20"/>
      <c r="S160" s="21"/>
      <c r="T160" s="20"/>
      <c r="U160" s="21"/>
      <c r="V160" s="20"/>
      <c r="W160" s="21"/>
      <c r="X160" s="20"/>
      <c r="Y160" s="21"/>
      <c r="Z160" s="20"/>
      <c r="AA160" s="21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  <c r="AX160" s="20"/>
      <c r="AY160" s="20"/>
      <c r="AZ160" s="20"/>
      <c r="BA160" s="21"/>
      <c r="BB160" s="20"/>
      <c r="BC160" s="21"/>
      <c r="BD160" s="20"/>
      <c r="BE160" s="21"/>
      <c r="BF160" s="20"/>
      <c r="BG160" s="21"/>
      <c r="BH160" s="20"/>
      <c r="BI160" s="21"/>
      <c r="BJ160" s="20"/>
      <c r="BK160" s="21"/>
      <c r="BL160" s="20"/>
      <c r="BM160" s="21"/>
      <c r="BN160" s="20"/>
      <c r="BO160" s="21"/>
      <c r="BP160" s="20"/>
      <c r="BQ160" s="21"/>
      <c r="BR160" s="20"/>
      <c r="BS160" s="21"/>
      <c r="BT160" s="20"/>
      <c r="BU160" s="21"/>
      <c r="BV160" s="20"/>
      <c r="BW160" s="21"/>
    </row>
    <row r="161" spans="2:75">
      <c r="B161" s="2"/>
      <c r="C161" s="3"/>
      <c r="D161" s="20"/>
      <c r="E161" s="21"/>
      <c r="F161" s="20"/>
      <c r="G161" s="21"/>
      <c r="H161" s="20"/>
      <c r="I161" s="21"/>
      <c r="J161" s="20"/>
      <c r="K161" s="21"/>
      <c r="L161" s="20"/>
      <c r="M161" s="21"/>
      <c r="N161" s="20"/>
      <c r="O161" s="21"/>
      <c r="P161" s="20"/>
      <c r="Q161" s="21"/>
      <c r="R161" s="20"/>
      <c r="S161" s="21"/>
      <c r="T161" s="20"/>
      <c r="U161" s="21"/>
      <c r="V161" s="20"/>
      <c r="W161" s="21"/>
      <c r="X161" s="20"/>
      <c r="Y161" s="21"/>
      <c r="Z161" s="20"/>
      <c r="AA161" s="21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0"/>
      <c r="AU161" s="20"/>
      <c r="AV161" s="20"/>
      <c r="AW161" s="20"/>
      <c r="AX161" s="20"/>
      <c r="AY161" s="20"/>
      <c r="AZ161" s="20"/>
      <c r="BA161" s="21"/>
      <c r="BB161" s="20"/>
      <c r="BC161" s="21"/>
      <c r="BD161" s="20"/>
      <c r="BE161" s="21"/>
      <c r="BF161" s="20"/>
      <c r="BG161" s="21"/>
      <c r="BH161" s="20"/>
      <c r="BI161" s="21"/>
      <c r="BJ161" s="20"/>
      <c r="BK161" s="21"/>
      <c r="BL161" s="20"/>
      <c r="BM161" s="21"/>
      <c r="BN161" s="20"/>
      <c r="BO161" s="21"/>
      <c r="BP161" s="20"/>
      <c r="BQ161" s="21"/>
      <c r="BR161" s="20"/>
      <c r="BS161" s="21"/>
      <c r="BT161" s="20"/>
      <c r="BU161" s="21"/>
      <c r="BV161" s="20"/>
      <c r="BW161" s="21"/>
    </row>
    <row r="162" spans="2:75">
      <c r="B162" s="2"/>
      <c r="C162" s="3"/>
      <c r="D162" s="20"/>
      <c r="E162" s="21"/>
      <c r="F162" s="20"/>
      <c r="G162" s="21"/>
      <c r="H162" s="20"/>
      <c r="I162" s="21"/>
      <c r="J162" s="20"/>
      <c r="K162" s="21"/>
      <c r="L162" s="20"/>
      <c r="M162" s="21"/>
      <c r="N162" s="20"/>
      <c r="O162" s="21"/>
      <c r="P162" s="20"/>
      <c r="Q162" s="21"/>
      <c r="R162" s="20"/>
      <c r="S162" s="21"/>
      <c r="T162" s="20"/>
      <c r="U162" s="21"/>
      <c r="V162" s="20"/>
      <c r="W162" s="21"/>
      <c r="X162" s="20"/>
      <c r="Y162" s="21"/>
      <c r="Z162" s="20"/>
      <c r="AA162" s="21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0"/>
      <c r="AU162" s="20"/>
      <c r="AV162" s="20"/>
      <c r="AW162" s="20"/>
      <c r="AX162" s="20"/>
      <c r="AY162" s="20"/>
      <c r="AZ162" s="20"/>
      <c r="BA162" s="21"/>
      <c r="BB162" s="20"/>
      <c r="BC162" s="21"/>
      <c r="BD162" s="20"/>
      <c r="BE162" s="21"/>
      <c r="BF162" s="20"/>
      <c r="BG162" s="21"/>
      <c r="BH162" s="20"/>
      <c r="BI162" s="21"/>
      <c r="BJ162" s="20"/>
      <c r="BK162" s="21"/>
      <c r="BL162" s="20"/>
      <c r="BM162" s="21"/>
      <c r="BN162" s="20"/>
      <c r="BO162" s="21"/>
      <c r="BP162" s="20"/>
      <c r="BQ162" s="21"/>
      <c r="BR162" s="20"/>
      <c r="BS162" s="21"/>
      <c r="BT162" s="20"/>
      <c r="BU162" s="21"/>
      <c r="BV162" s="20"/>
      <c r="BW162" s="21"/>
    </row>
    <row r="163" spans="2:75">
      <c r="B163" s="2"/>
      <c r="C163" s="3"/>
      <c r="D163" s="20"/>
      <c r="E163" s="21"/>
      <c r="F163" s="20"/>
      <c r="G163" s="21"/>
      <c r="H163" s="20"/>
      <c r="I163" s="21"/>
      <c r="J163" s="20"/>
      <c r="K163" s="21"/>
      <c r="L163" s="20"/>
      <c r="M163" s="21"/>
      <c r="N163" s="20"/>
      <c r="O163" s="21"/>
      <c r="P163" s="20"/>
      <c r="Q163" s="21"/>
      <c r="R163" s="20"/>
      <c r="S163" s="21"/>
      <c r="T163" s="20"/>
      <c r="U163" s="21"/>
      <c r="V163" s="20"/>
      <c r="W163" s="21"/>
      <c r="X163" s="20"/>
      <c r="Y163" s="21"/>
      <c r="Z163" s="20"/>
      <c r="AA163" s="21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0"/>
      <c r="AU163" s="20"/>
      <c r="AV163" s="20"/>
      <c r="AW163" s="20"/>
      <c r="AX163" s="20"/>
      <c r="AY163" s="20"/>
      <c r="AZ163" s="20"/>
      <c r="BA163" s="21"/>
      <c r="BB163" s="20"/>
      <c r="BC163" s="21"/>
      <c r="BD163" s="20"/>
      <c r="BE163" s="21"/>
      <c r="BF163" s="20"/>
      <c r="BG163" s="21"/>
      <c r="BH163" s="20"/>
      <c r="BI163" s="21"/>
      <c r="BJ163" s="20"/>
      <c r="BK163" s="21"/>
      <c r="BL163" s="20"/>
      <c r="BM163" s="21"/>
      <c r="BN163" s="20"/>
      <c r="BO163" s="21"/>
      <c r="BP163" s="20"/>
      <c r="BQ163" s="21"/>
      <c r="BR163" s="20"/>
      <c r="BS163" s="21"/>
      <c r="BT163" s="20"/>
      <c r="BU163" s="21"/>
      <c r="BV163" s="20"/>
      <c r="BW163" s="21"/>
    </row>
    <row r="164" spans="2:75">
      <c r="B164" s="2"/>
      <c r="C164" s="3"/>
      <c r="D164" s="20"/>
      <c r="E164" s="21"/>
      <c r="F164" s="20"/>
      <c r="G164" s="21"/>
      <c r="H164" s="20"/>
      <c r="I164" s="21"/>
      <c r="J164" s="20"/>
      <c r="K164" s="21"/>
      <c r="L164" s="20"/>
      <c r="M164" s="21"/>
      <c r="N164" s="20"/>
      <c r="O164" s="21"/>
      <c r="P164" s="20"/>
      <c r="Q164" s="21"/>
      <c r="R164" s="20"/>
      <c r="S164" s="21"/>
      <c r="T164" s="20"/>
      <c r="U164" s="21"/>
      <c r="V164" s="20"/>
      <c r="W164" s="21"/>
      <c r="X164" s="20"/>
      <c r="Y164" s="21"/>
      <c r="Z164" s="20"/>
      <c r="AA164" s="21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  <c r="AU164" s="20"/>
      <c r="AV164" s="20"/>
      <c r="AW164" s="20"/>
      <c r="AX164" s="20"/>
      <c r="AY164" s="20"/>
      <c r="AZ164" s="20"/>
      <c r="BA164" s="21"/>
      <c r="BB164" s="20"/>
      <c r="BC164" s="21"/>
      <c r="BD164" s="20"/>
      <c r="BE164" s="21"/>
      <c r="BF164" s="20"/>
      <c r="BG164" s="21"/>
      <c r="BH164" s="20"/>
      <c r="BI164" s="21"/>
      <c r="BJ164" s="20"/>
      <c r="BK164" s="21"/>
      <c r="BL164" s="20"/>
      <c r="BM164" s="21"/>
      <c r="BN164" s="20"/>
      <c r="BO164" s="21"/>
      <c r="BP164" s="20"/>
      <c r="BQ164" s="21"/>
      <c r="BR164" s="20"/>
      <c r="BS164" s="21"/>
      <c r="BT164" s="20"/>
      <c r="BU164" s="21"/>
      <c r="BV164" s="20"/>
      <c r="BW164" s="21"/>
    </row>
    <row r="165" spans="2:75">
      <c r="B165" s="2"/>
      <c r="C165" s="3"/>
      <c r="D165" s="20"/>
      <c r="E165" s="21"/>
      <c r="F165" s="20"/>
      <c r="G165" s="21"/>
      <c r="H165" s="20"/>
      <c r="I165" s="21"/>
      <c r="J165" s="20"/>
      <c r="K165" s="21"/>
      <c r="L165" s="20"/>
      <c r="M165" s="21"/>
      <c r="N165" s="20"/>
      <c r="O165" s="21"/>
      <c r="P165" s="20"/>
      <c r="Q165" s="21"/>
      <c r="R165" s="20"/>
      <c r="S165" s="21"/>
      <c r="T165" s="20"/>
      <c r="U165" s="21"/>
      <c r="V165" s="20"/>
      <c r="W165" s="21"/>
      <c r="X165" s="20"/>
      <c r="Y165" s="21"/>
      <c r="Z165" s="20"/>
      <c r="AA165" s="21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  <c r="AV165" s="20"/>
      <c r="AW165" s="20"/>
      <c r="AX165" s="20"/>
      <c r="AY165" s="20"/>
      <c r="AZ165" s="20"/>
      <c r="BA165" s="21"/>
      <c r="BB165" s="20"/>
      <c r="BC165" s="21"/>
      <c r="BD165" s="20"/>
      <c r="BE165" s="21"/>
      <c r="BF165" s="20"/>
      <c r="BG165" s="21"/>
      <c r="BH165" s="20"/>
      <c r="BI165" s="21"/>
      <c r="BJ165" s="20"/>
      <c r="BK165" s="21"/>
      <c r="BL165" s="20"/>
      <c r="BM165" s="21"/>
      <c r="BN165" s="20"/>
      <c r="BO165" s="21"/>
      <c r="BP165" s="20"/>
      <c r="BQ165" s="21"/>
      <c r="BR165" s="20"/>
      <c r="BS165" s="21"/>
      <c r="BT165" s="20"/>
      <c r="BU165" s="21"/>
      <c r="BV165" s="20"/>
      <c r="BW165" s="21"/>
    </row>
  </sheetData>
  <conditionalFormatting sqref="B2:M2">
    <cfRule type="expression" dxfId="8" priority="1" stopIfTrue="1">
      <formula>A1 &gt; 30</formula>
    </cfRule>
  </conditionalFormatting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rgb="FF00B0F0"/>
  </sheetPr>
  <dimension ref="B1:AY166"/>
  <sheetViews>
    <sheetView topLeftCell="A40" workbookViewId="0">
      <selection activeCell="D4" sqref="D4:AY137"/>
    </sheetView>
  </sheetViews>
  <sheetFormatPr defaultRowHeight="15"/>
  <cols>
    <col min="3" max="3" width="29.42578125" bestFit="1" customWidth="1"/>
    <col min="4" max="4" width="11.5703125" bestFit="1" customWidth="1"/>
    <col min="5" max="5" width="9.28515625" bestFit="1" customWidth="1"/>
    <col min="6" max="6" width="11.5703125" bestFit="1" customWidth="1"/>
    <col min="7" max="7" width="9.28515625" bestFit="1" customWidth="1"/>
    <col min="8" max="8" width="11.5703125" bestFit="1" customWidth="1"/>
    <col min="9" max="9" width="9.28515625" bestFit="1" customWidth="1"/>
    <col min="10" max="10" width="11.5703125" bestFit="1" customWidth="1"/>
    <col min="11" max="11" width="9.28515625" bestFit="1" customWidth="1"/>
    <col min="12" max="12" width="11.5703125" bestFit="1" customWidth="1"/>
    <col min="13" max="13" width="9.28515625" bestFit="1" customWidth="1"/>
    <col min="14" max="14" width="11.5703125" bestFit="1" customWidth="1"/>
    <col min="15" max="15" width="9.28515625" bestFit="1" customWidth="1"/>
    <col min="16" max="16" width="11.5703125" bestFit="1" customWidth="1"/>
    <col min="17" max="17" width="9.28515625" bestFit="1" customWidth="1"/>
    <col min="18" max="18" width="11.5703125" bestFit="1" customWidth="1"/>
    <col min="19" max="19" width="9.28515625" bestFit="1" customWidth="1"/>
    <col min="20" max="20" width="11.5703125" bestFit="1" customWidth="1"/>
    <col min="21" max="21" width="9.28515625" bestFit="1" customWidth="1"/>
    <col min="22" max="22" width="11.5703125" bestFit="1" customWidth="1"/>
    <col min="23" max="23" width="9.28515625" bestFit="1" customWidth="1"/>
    <col min="24" max="24" width="11.5703125" bestFit="1" customWidth="1"/>
    <col min="25" max="25" width="9.28515625" bestFit="1" customWidth="1"/>
    <col min="26" max="26" width="11.5703125" bestFit="1" customWidth="1"/>
    <col min="27" max="27" width="9.28515625" bestFit="1" customWidth="1"/>
    <col min="28" max="28" width="11.5703125" bestFit="1" customWidth="1"/>
    <col min="29" max="29" width="9.28515625" bestFit="1" customWidth="1"/>
    <col min="30" max="30" width="11.5703125" bestFit="1" customWidth="1"/>
    <col min="31" max="31" width="9.28515625" bestFit="1" customWidth="1"/>
    <col min="32" max="32" width="11.5703125" bestFit="1" customWidth="1"/>
    <col min="33" max="33" width="9.28515625" bestFit="1" customWidth="1"/>
    <col min="34" max="34" width="11.5703125" bestFit="1" customWidth="1"/>
    <col min="35" max="35" width="9.28515625" bestFit="1" customWidth="1"/>
    <col min="36" max="36" width="11.5703125" bestFit="1" customWidth="1"/>
    <col min="37" max="37" width="9.28515625" bestFit="1" customWidth="1"/>
    <col min="38" max="38" width="11.5703125" bestFit="1" customWidth="1"/>
    <col min="39" max="39" width="9.28515625" bestFit="1" customWidth="1"/>
    <col min="40" max="40" width="11.5703125" bestFit="1" customWidth="1"/>
    <col min="41" max="41" width="9.28515625" bestFit="1" customWidth="1"/>
    <col min="42" max="42" width="11.5703125" bestFit="1" customWidth="1"/>
    <col min="43" max="43" width="9.28515625" bestFit="1" customWidth="1"/>
    <col min="44" max="44" width="11.5703125" bestFit="1" customWidth="1"/>
    <col min="45" max="45" width="9.28515625" bestFit="1" customWidth="1"/>
    <col min="46" max="46" width="11.5703125" bestFit="1" customWidth="1"/>
    <col min="47" max="47" width="9.28515625" bestFit="1" customWidth="1"/>
    <col min="48" max="48" width="11.5703125" bestFit="1" customWidth="1"/>
    <col min="49" max="49" width="9.28515625" bestFit="1" customWidth="1"/>
    <col min="50" max="50" width="11.5703125" bestFit="1" customWidth="1"/>
    <col min="51" max="51" width="9.28515625" bestFit="1" customWidth="1"/>
    <col min="259" max="259" width="29.42578125" bestFit="1" customWidth="1"/>
    <col min="260" max="260" width="11.5703125" bestFit="1" customWidth="1"/>
    <col min="261" max="261" width="9.28515625" bestFit="1" customWidth="1"/>
    <col min="262" max="262" width="11.5703125" bestFit="1" customWidth="1"/>
    <col min="263" max="263" width="9.28515625" bestFit="1" customWidth="1"/>
    <col min="264" max="264" width="11.5703125" bestFit="1" customWidth="1"/>
    <col min="265" max="265" width="9.28515625" bestFit="1" customWidth="1"/>
    <col min="266" max="266" width="11.5703125" bestFit="1" customWidth="1"/>
    <col min="267" max="267" width="9.28515625" bestFit="1" customWidth="1"/>
    <col min="268" max="268" width="11.5703125" bestFit="1" customWidth="1"/>
    <col min="269" max="269" width="9.28515625" bestFit="1" customWidth="1"/>
    <col min="270" max="270" width="11.5703125" bestFit="1" customWidth="1"/>
    <col min="271" max="271" width="9.28515625" bestFit="1" customWidth="1"/>
    <col min="272" max="272" width="11.5703125" bestFit="1" customWidth="1"/>
    <col min="273" max="273" width="9.28515625" bestFit="1" customWidth="1"/>
    <col min="274" max="274" width="11.5703125" bestFit="1" customWidth="1"/>
    <col min="275" max="275" width="9.28515625" bestFit="1" customWidth="1"/>
    <col min="276" max="276" width="11.5703125" bestFit="1" customWidth="1"/>
    <col min="277" max="277" width="9.28515625" bestFit="1" customWidth="1"/>
    <col min="278" max="278" width="11.5703125" bestFit="1" customWidth="1"/>
    <col min="279" max="279" width="9.28515625" bestFit="1" customWidth="1"/>
    <col min="280" max="280" width="11.5703125" bestFit="1" customWidth="1"/>
    <col min="281" max="281" width="9.28515625" bestFit="1" customWidth="1"/>
    <col min="282" max="282" width="11.5703125" bestFit="1" customWidth="1"/>
    <col min="283" max="283" width="9.28515625" bestFit="1" customWidth="1"/>
    <col min="284" max="284" width="11.5703125" bestFit="1" customWidth="1"/>
    <col min="285" max="285" width="9.28515625" bestFit="1" customWidth="1"/>
    <col min="286" max="286" width="11.5703125" bestFit="1" customWidth="1"/>
    <col min="287" max="287" width="9.28515625" bestFit="1" customWidth="1"/>
    <col min="288" max="288" width="11.5703125" bestFit="1" customWidth="1"/>
    <col min="289" max="289" width="9.28515625" bestFit="1" customWidth="1"/>
    <col min="290" max="290" width="11.5703125" bestFit="1" customWidth="1"/>
    <col min="291" max="291" width="9.28515625" bestFit="1" customWidth="1"/>
    <col min="292" max="292" width="11.5703125" bestFit="1" customWidth="1"/>
    <col min="293" max="293" width="9.28515625" bestFit="1" customWidth="1"/>
    <col min="294" max="294" width="11.5703125" bestFit="1" customWidth="1"/>
    <col min="295" max="295" width="9.28515625" bestFit="1" customWidth="1"/>
    <col min="296" max="296" width="11.5703125" bestFit="1" customWidth="1"/>
    <col min="297" max="297" width="9.28515625" bestFit="1" customWidth="1"/>
    <col min="298" max="298" width="11.5703125" bestFit="1" customWidth="1"/>
    <col min="299" max="299" width="9.28515625" bestFit="1" customWidth="1"/>
    <col min="300" max="300" width="11.5703125" bestFit="1" customWidth="1"/>
    <col min="301" max="301" width="9.28515625" bestFit="1" customWidth="1"/>
    <col min="302" max="302" width="11.5703125" bestFit="1" customWidth="1"/>
    <col min="303" max="303" width="9.28515625" bestFit="1" customWidth="1"/>
    <col min="304" max="304" width="11.5703125" bestFit="1" customWidth="1"/>
    <col min="305" max="305" width="9.28515625" bestFit="1" customWidth="1"/>
    <col min="306" max="306" width="11.5703125" bestFit="1" customWidth="1"/>
    <col min="307" max="307" width="9.28515625" bestFit="1" customWidth="1"/>
    <col min="515" max="515" width="29.42578125" bestFit="1" customWidth="1"/>
    <col min="516" max="516" width="11.5703125" bestFit="1" customWidth="1"/>
    <col min="517" max="517" width="9.28515625" bestFit="1" customWidth="1"/>
    <col min="518" max="518" width="11.5703125" bestFit="1" customWidth="1"/>
    <col min="519" max="519" width="9.28515625" bestFit="1" customWidth="1"/>
    <col min="520" max="520" width="11.5703125" bestFit="1" customWidth="1"/>
    <col min="521" max="521" width="9.28515625" bestFit="1" customWidth="1"/>
    <col min="522" max="522" width="11.5703125" bestFit="1" customWidth="1"/>
    <col min="523" max="523" width="9.28515625" bestFit="1" customWidth="1"/>
    <col min="524" max="524" width="11.5703125" bestFit="1" customWidth="1"/>
    <col min="525" max="525" width="9.28515625" bestFit="1" customWidth="1"/>
    <col min="526" max="526" width="11.5703125" bestFit="1" customWidth="1"/>
    <col min="527" max="527" width="9.28515625" bestFit="1" customWidth="1"/>
    <col min="528" max="528" width="11.5703125" bestFit="1" customWidth="1"/>
    <col min="529" max="529" width="9.28515625" bestFit="1" customWidth="1"/>
    <col min="530" max="530" width="11.5703125" bestFit="1" customWidth="1"/>
    <col min="531" max="531" width="9.28515625" bestFit="1" customWidth="1"/>
    <col min="532" max="532" width="11.5703125" bestFit="1" customWidth="1"/>
    <col min="533" max="533" width="9.28515625" bestFit="1" customWidth="1"/>
    <col min="534" max="534" width="11.5703125" bestFit="1" customWidth="1"/>
    <col min="535" max="535" width="9.28515625" bestFit="1" customWidth="1"/>
    <col min="536" max="536" width="11.5703125" bestFit="1" customWidth="1"/>
    <col min="537" max="537" width="9.28515625" bestFit="1" customWidth="1"/>
    <col min="538" max="538" width="11.5703125" bestFit="1" customWidth="1"/>
    <col min="539" max="539" width="9.28515625" bestFit="1" customWidth="1"/>
    <col min="540" max="540" width="11.5703125" bestFit="1" customWidth="1"/>
    <col min="541" max="541" width="9.28515625" bestFit="1" customWidth="1"/>
    <col min="542" max="542" width="11.5703125" bestFit="1" customWidth="1"/>
    <col min="543" max="543" width="9.28515625" bestFit="1" customWidth="1"/>
    <col min="544" max="544" width="11.5703125" bestFit="1" customWidth="1"/>
    <col min="545" max="545" width="9.28515625" bestFit="1" customWidth="1"/>
    <col min="546" max="546" width="11.5703125" bestFit="1" customWidth="1"/>
    <col min="547" max="547" width="9.28515625" bestFit="1" customWidth="1"/>
    <col min="548" max="548" width="11.5703125" bestFit="1" customWidth="1"/>
    <col min="549" max="549" width="9.28515625" bestFit="1" customWidth="1"/>
    <col min="550" max="550" width="11.5703125" bestFit="1" customWidth="1"/>
    <col min="551" max="551" width="9.28515625" bestFit="1" customWidth="1"/>
    <col min="552" max="552" width="11.5703125" bestFit="1" customWidth="1"/>
    <col min="553" max="553" width="9.28515625" bestFit="1" customWidth="1"/>
    <col min="554" max="554" width="11.5703125" bestFit="1" customWidth="1"/>
    <col min="555" max="555" width="9.28515625" bestFit="1" customWidth="1"/>
    <col min="556" max="556" width="11.5703125" bestFit="1" customWidth="1"/>
    <col min="557" max="557" width="9.28515625" bestFit="1" customWidth="1"/>
    <col min="558" max="558" width="11.5703125" bestFit="1" customWidth="1"/>
    <col min="559" max="559" width="9.28515625" bestFit="1" customWidth="1"/>
    <col min="560" max="560" width="11.5703125" bestFit="1" customWidth="1"/>
    <col min="561" max="561" width="9.28515625" bestFit="1" customWidth="1"/>
    <col min="562" max="562" width="11.5703125" bestFit="1" customWidth="1"/>
    <col min="563" max="563" width="9.28515625" bestFit="1" customWidth="1"/>
    <col min="771" max="771" width="29.42578125" bestFit="1" customWidth="1"/>
    <col min="772" max="772" width="11.5703125" bestFit="1" customWidth="1"/>
    <col min="773" max="773" width="9.28515625" bestFit="1" customWidth="1"/>
    <col min="774" max="774" width="11.5703125" bestFit="1" customWidth="1"/>
    <col min="775" max="775" width="9.28515625" bestFit="1" customWidth="1"/>
    <col min="776" max="776" width="11.5703125" bestFit="1" customWidth="1"/>
    <col min="777" max="777" width="9.28515625" bestFit="1" customWidth="1"/>
    <col min="778" max="778" width="11.5703125" bestFit="1" customWidth="1"/>
    <col min="779" max="779" width="9.28515625" bestFit="1" customWidth="1"/>
    <col min="780" max="780" width="11.5703125" bestFit="1" customWidth="1"/>
    <col min="781" max="781" width="9.28515625" bestFit="1" customWidth="1"/>
    <col min="782" max="782" width="11.5703125" bestFit="1" customWidth="1"/>
    <col min="783" max="783" width="9.28515625" bestFit="1" customWidth="1"/>
    <col min="784" max="784" width="11.5703125" bestFit="1" customWidth="1"/>
    <col min="785" max="785" width="9.28515625" bestFit="1" customWidth="1"/>
    <col min="786" max="786" width="11.5703125" bestFit="1" customWidth="1"/>
    <col min="787" max="787" width="9.28515625" bestFit="1" customWidth="1"/>
    <col min="788" max="788" width="11.5703125" bestFit="1" customWidth="1"/>
    <col min="789" max="789" width="9.28515625" bestFit="1" customWidth="1"/>
    <col min="790" max="790" width="11.5703125" bestFit="1" customWidth="1"/>
    <col min="791" max="791" width="9.28515625" bestFit="1" customWidth="1"/>
    <col min="792" max="792" width="11.5703125" bestFit="1" customWidth="1"/>
    <col min="793" max="793" width="9.28515625" bestFit="1" customWidth="1"/>
    <col min="794" max="794" width="11.5703125" bestFit="1" customWidth="1"/>
    <col min="795" max="795" width="9.28515625" bestFit="1" customWidth="1"/>
    <col min="796" max="796" width="11.5703125" bestFit="1" customWidth="1"/>
    <col min="797" max="797" width="9.28515625" bestFit="1" customWidth="1"/>
    <col min="798" max="798" width="11.5703125" bestFit="1" customWidth="1"/>
    <col min="799" max="799" width="9.28515625" bestFit="1" customWidth="1"/>
    <col min="800" max="800" width="11.5703125" bestFit="1" customWidth="1"/>
    <col min="801" max="801" width="9.28515625" bestFit="1" customWidth="1"/>
    <col min="802" max="802" width="11.5703125" bestFit="1" customWidth="1"/>
    <col min="803" max="803" width="9.28515625" bestFit="1" customWidth="1"/>
    <col min="804" max="804" width="11.5703125" bestFit="1" customWidth="1"/>
    <col min="805" max="805" width="9.28515625" bestFit="1" customWidth="1"/>
    <col min="806" max="806" width="11.5703125" bestFit="1" customWidth="1"/>
    <col min="807" max="807" width="9.28515625" bestFit="1" customWidth="1"/>
    <col min="808" max="808" width="11.5703125" bestFit="1" customWidth="1"/>
    <col min="809" max="809" width="9.28515625" bestFit="1" customWidth="1"/>
    <col min="810" max="810" width="11.5703125" bestFit="1" customWidth="1"/>
    <col min="811" max="811" width="9.28515625" bestFit="1" customWidth="1"/>
    <col min="812" max="812" width="11.5703125" bestFit="1" customWidth="1"/>
    <col min="813" max="813" width="9.28515625" bestFit="1" customWidth="1"/>
    <col min="814" max="814" width="11.5703125" bestFit="1" customWidth="1"/>
    <col min="815" max="815" width="9.28515625" bestFit="1" customWidth="1"/>
    <col min="816" max="816" width="11.5703125" bestFit="1" customWidth="1"/>
    <col min="817" max="817" width="9.28515625" bestFit="1" customWidth="1"/>
    <col min="818" max="818" width="11.5703125" bestFit="1" customWidth="1"/>
    <col min="819" max="819" width="9.28515625" bestFit="1" customWidth="1"/>
    <col min="1027" max="1027" width="29.42578125" bestFit="1" customWidth="1"/>
    <col min="1028" max="1028" width="11.5703125" bestFit="1" customWidth="1"/>
    <col min="1029" max="1029" width="9.28515625" bestFit="1" customWidth="1"/>
    <col min="1030" max="1030" width="11.5703125" bestFit="1" customWidth="1"/>
    <col min="1031" max="1031" width="9.28515625" bestFit="1" customWidth="1"/>
    <col min="1032" max="1032" width="11.5703125" bestFit="1" customWidth="1"/>
    <col min="1033" max="1033" width="9.28515625" bestFit="1" customWidth="1"/>
    <col min="1034" max="1034" width="11.5703125" bestFit="1" customWidth="1"/>
    <col min="1035" max="1035" width="9.28515625" bestFit="1" customWidth="1"/>
    <col min="1036" max="1036" width="11.5703125" bestFit="1" customWidth="1"/>
    <col min="1037" max="1037" width="9.28515625" bestFit="1" customWidth="1"/>
    <col min="1038" max="1038" width="11.5703125" bestFit="1" customWidth="1"/>
    <col min="1039" max="1039" width="9.28515625" bestFit="1" customWidth="1"/>
    <col min="1040" max="1040" width="11.5703125" bestFit="1" customWidth="1"/>
    <col min="1041" max="1041" width="9.28515625" bestFit="1" customWidth="1"/>
    <col min="1042" max="1042" width="11.5703125" bestFit="1" customWidth="1"/>
    <col min="1043" max="1043" width="9.28515625" bestFit="1" customWidth="1"/>
    <col min="1044" max="1044" width="11.5703125" bestFit="1" customWidth="1"/>
    <col min="1045" max="1045" width="9.28515625" bestFit="1" customWidth="1"/>
    <col min="1046" max="1046" width="11.5703125" bestFit="1" customWidth="1"/>
    <col min="1047" max="1047" width="9.28515625" bestFit="1" customWidth="1"/>
    <col min="1048" max="1048" width="11.5703125" bestFit="1" customWidth="1"/>
    <col min="1049" max="1049" width="9.28515625" bestFit="1" customWidth="1"/>
    <col min="1050" max="1050" width="11.5703125" bestFit="1" customWidth="1"/>
    <col min="1051" max="1051" width="9.28515625" bestFit="1" customWidth="1"/>
    <col min="1052" max="1052" width="11.5703125" bestFit="1" customWidth="1"/>
    <col min="1053" max="1053" width="9.28515625" bestFit="1" customWidth="1"/>
    <col min="1054" max="1054" width="11.5703125" bestFit="1" customWidth="1"/>
    <col min="1055" max="1055" width="9.28515625" bestFit="1" customWidth="1"/>
    <col min="1056" max="1056" width="11.5703125" bestFit="1" customWidth="1"/>
    <col min="1057" max="1057" width="9.28515625" bestFit="1" customWidth="1"/>
    <col min="1058" max="1058" width="11.5703125" bestFit="1" customWidth="1"/>
    <col min="1059" max="1059" width="9.28515625" bestFit="1" customWidth="1"/>
    <col min="1060" max="1060" width="11.5703125" bestFit="1" customWidth="1"/>
    <col min="1061" max="1061" width="9.28515625" bestFit="1" customWidth="1"/>
    <col min="1062" max="1062" width="11.5703125" bestFit="1" customWidth="1"/>
    <col min="1063" max="1063" width="9.28515625" bestFit="1" customWidth="1"/>
    <col min="1064" max="1064" width="11.5703125" bestFit="1" customWidth="1"/>
    <col min="1065" max="1065" width="9.28515625" bestFit="1" customWidth="1"/>
    <col min="1066" max="1066" width="11.5703125" bestFit="1" customWidth="1"/>
    <col min="1067" max="1067" width="9.28515625" bestFit="1" customWidth="1"/>
    <col min="1068" max="1068" width="11.5703125" bestFit="1" customWidth="1"/>
    <col min="1069" max="1069" width="9.28515625" bestFit="1" customWidth="1"/>
    <col min="1070" max="1070" width="11.5703125" bestFit="1" customWidth="1"/>
    <col min="1071" max="1071" width="9.28515625" bestFit="1" customWidth="1"/>
    <col min="1072" max="1072" width="11.5703125" bestFit="1" customWidth="1"/>
    <col min="1073" max="1073" width="9.28515625" bestFit="1" customWidth="1"/>
    <col min="1074" max="1074" width="11.5703125" bestFit="1" customWidth="1"/>
    <col min="1075" max="1075" width="9.28515625" bestFit="1" customWidth="1"/>
    <col min="1283" max="1283" width="29.42578125" bestFit="1" customWidth="1"/>
    <col min="1284" max="1284" width="11.5703125" bestFit="1" customWidth="1"/>
    <col min="1285" max="1285" width="9.28515625" bestFit="1" customWidth="1"/>
    <col min="1286" max="1286" width="11.5703125" bestFit="1" customWidth="1"/>
    <col min="1287" max="1287" width="9.28515625" bestFit="1" customWidth="1"/>
    <col min="1288" max="1288" width="11.5703125" bestFit="1" customWidth="1"/>
    <col min="1289" max="1289" width="9.28515625" bestFit="1" customWidth="1"/>
    <col min="1290" max="1290" width="11.5703125" bestFit="1" customWidth="1"/>
    <col min="1291" max="1291" width="9.28515625" bestFit="1" customWidth="1"/>
    <col min="1292" max="1292" width="11.5703125" bestFit="1" customWidth="1"/>
    <col min="1293" max="1293" width="9.28515625" bestFit="1" customWidth="1"/>
    <col min="1294" max="1294" width="11.5703125" bestFit="1" customWidth="1"/>
    <col min="1295" max="1295" width="9.28515625" bestFit="1" customWidth="1"/>
    <col min="1296" max="1296" width="11.5703125" bestFit="1" customWidth="1"/>
    <col min="1297" max="1297" width="9.28515625" bestFit="1" customWidth="1"/>
    <col min="1298" max="1298" width="11.5703125" bestFit="1" customWidth="1"/>
    <col min="1299" max="1299" width="9.28515625" bestFit="1" customWidth="1"/>
    <col min="1300" max="1300" width="11.5703125" bestFit="1" customWidth="1"/>
    <col min="1301" max="1301" width="9.28515625" bestFit="1" customWidth="1"/>
    <col min="1302" max="1302" width="11.5703125" bestFit="1" customWidth="1"/>
    <col min="1303" max="1303" width="9.28515625" bestFit="1" customWidth="1"/>
    <col min="1304" max="1304" width="11.5703125" bestFit="1" customWidth="1"/>
    <col min="1305" max="1305" width="9.28515625" bestFit="1" customWidth="1"/>
    <col min="1306" max="1306" width="11.5703125" bestFit="1" customWidth="1"/>
    <col min="1307" max="1307" width="9.28515625" bestFit="1" customWidth="1"/>
    <col min="1308" max="1308" width="11.5703125" bestFit="1" customWidth="1"/>
    <col min="1309" max="1309" width="9.28515625" bestFit="1" customWidth="1"/>
    <col min="1310" max="1310" width="11.5703125" bestFit="1" customWidth="1"/>
    <col min="1311" max="1311" width="9.28515625" bestFit="1" customWidth="1"/>
    <col min="1312" max="1312" width="11.5703125" bestFit="1" customWidth="1"/>
    <col min="1313" max="1313" width="9.28515625" bestFit="1" customWidth="1"/>
    <col min="1314" max="1314" width="11.5703125" bestFit="1" customWidth="1"/>
    <col min="1315" max="1315" width="9.28515625" bestFit="1" customWidth="1"/>
    <col min="1316" max="1316" width="11.5703125" bestFit="1" customWidth="1"/>
    <col min="1317" max="1317" width="9.28515625" bestFit="1" customWidth="1"/>
    <col min="1318" max="1318" width="11.5703125" bestFit="1" customWidth="1"/>
    <col min="1319" max="1319" width="9.28515625" bestFit="1" customWidth="1"/>
    <col min="1320" max="1320" width="11.5703125" bestFit="1" customWidth="1"/>
    <col min="1321" max="1321" width="9.28515625" bestFit="1" customWidth="1"/>
    <col min="1322" max="1322" width="11.5703125" bestFit="1" customWidth="1"/>
    <col min="1323" max="1323" width="9.28515625" bestFit="1" customWidth="1"/>
    <col min="1324" max="1324" width="11.5703125" bestFit="1" customWidth="1"/>
    <col min="1325" max="1325" width="9.28515625" bestFit="1" customWidth="1"/>
    <col min="1326" max="1326" width="11.5703125" bestFit="1" customWidth="1"/>
    <col min="1327" max="1327" width="9.28515625" bestFit="1" customWidth="1"/>
    <col min="1328" max="1328" width="11.5703125" bestFit="1" customWidth="1"/>
    <col min="1329" max="1329" width="9.28515625" bestFit="1" customWidth="1"/>
    <col min="1330" max="1330" width="11.5703125" bestFit="1" customWidth="1"/>
    <col min="1331" max="1331" width="9.28515625" bestFit="1" customWidth="1"/>
    <col min="1539" max="1539" width="29.42578125" bestFit="1" customWidth="1"/>
    <col min="1540" max="1540" width="11.5703125" bestFit="1" customWidth="1"/>
    <col min="1541" max="1541" width="9.28515625" bestFit="1" customWidth="1"/>
    <col min="1542" max="1542" width="11.5703125" bestFit="1" customWidth="1"/>
    <col min="1543" max="1543" width="9.28515625" bestFit="1" customWidth="1"/>
    <col min="1544" max="1544" width="11.5703125" bestFit="1" customWidth="1"/>
    <col min="1545" max="1545" width="9.28515625" bestFit="1" customWidth="1"/>
    <col min="1546" max="1546" width="11.5703125" bestFit="1" customWidth="1"/>
    <col min="1547" max="1547" width="9.28515625" bestFit="1" customWidth="1"/>
    <col min="1548" max="1548" width="11.5703125" bestFit="1" customWidth="1"/>
    <col min="1549" max="1549" width="9.28515625" bestFit="1" customWidth="1"/>
    <col min="1550" max="1550" width="11.5703125" bestFit="1" customWidth="1"/>
    <col min="1551" max="1551" width="9.28515625" bestFit="1" customWidth="1"/>
    <col min="1552" max="1552" width="11.5703125" bestFit="1" customWidth="1"/>
    <col min="1553" max="1553" width="9.28515625" bestFit="1" customWidth="1"/>
    <col min="1554" max="1554" width="11.5703125" bestFit="1" customWidth="1"/>
    <col min="1555" max="1555" width="9.28515625" bestFit="1" customWidth="1"/>
    <col min="1556" max="1556" width="11.5703125" bestFit="1" customWidth="1"/>
    <col min="1557" max="1557" width="9.28515625" bestFit="1" customWidth="1"/>
    <col min="1558" max="1558" width="11.5703125" bestFit="1" customWidth="1"/>
    <col min="1559" max="1559" width="9.28515625" bestFit="1" customWidth="1"/>
    <col min="1560" max="1560" width="11.5703125" bestFit="1" customWidth="1"/>
    <col min="1561" max="1561" width="9.28515625" bestFit="1" customWidth="1"/>
    <col min="1562" max="1562" width="11.5703125" bestFit="1" customWidth="1"/>
    <col min="1563" max="1563" width="9.28515625" bestFit="1" customWidth="1"/>
    <col min="1564" max="1564" width="11.5703125" bestFit="1" customWidth="1"/>
    <col min="1565" max="1565" width="9.28515625" bestFit="1" customWidth="1"/>
    <col min="1566" max="1566" width="11.5703125" bestFit="1" customWidth="1"/>
    <col min="1567" max="1567" width="9.28515625" bestFit="1" customWidth="1"/>
    <col min="1568" max="1568" width="11.5703125" bestFit="1" customWidth="1"/>
    <col min="1569" max="1569" width="9.28515625" bestFit="1" customWidth="1"/>
    <col min="1570" max="1570" width="11.5703125" bestFit="1" customWidth="1"/>
    <col min="1571" max="1571" width="9.28515625" bestFit="1" customWidth="1"/>
    <col min="1572" max="1572" width="11.5703125" bestFit="1" customWidth="1"/>
    <col min="1573" max="1573" width="9.28515625" bestFit="1" customWidth="1"/>
    <col min="1574" max="1574" width="11.5703125" bestFit="1" customWidth="1"/>
    <col min="1575" max="1575" width="9.28515625" bestFit="1" customWidth="1"/>
    <col min="1576" max="1576" width="11.5703125" bestFit="1" customWidth="1"/>
    <col min="1577" max="1577" width="9.28515625" bestFit="1" customWidth="1"/>
    <col min="1578" max="1578" width="11.5703125" bestFit="1" customWidth="1"/>
    <col min="1579" max="1579" width="9.28515625" bestFit="1" customWidth="1"/>
    <col min="1580" max="1580" width="11.5703125" bestFit="1" customWidth="1"/>
    <col min="1581" max="1581" width="9.28515625" bestFit="1" customWidth="1"/>
    <col min="1582" max="1582" width="11.5703125" bestFit="1" customWidth="1"/>
    <col min="1583" max="1583" width="9.28515625" bestFit="1" customWidth="1"/>
    <col min="1584" max="1584" width="11.5703125" bestFit="1" customWidth="1"/>
    <col min="1585" max="1585" width="9.28515625" bestFit="1" customWidth="1"/>
    <col min="1586" max="1586" width="11.5703125" bestFit="1" customWidth="1"/>
    <col min="1587" max="1587" width="9.28515625" bestFit="1" customWidth="1"/>
    <col min="1795" max="1795" width="29.42578125" bestFit="1" customWidth="1"/>
    <col min="1796" max="1796" width="11.5703125" bestFit="1" customWidth="1"/>
    <col min="1797" max="1797" width="9.28515625" bestFit="1" customWidth="1"/>
    <col min="1798" max="1798" width="11.5703125" bestFit="1" customWidth="1"/>
    <col min="1799" max="1799" width="9.28515625" bestFit="1" customWidth="1"/>
    <col min="1800" max="1800" width="11.5703125" bestFit="1" customWidth="1"/>
    <col min="1801" max="1801" width="9.28515625" bestFit="1" customWidth="1"/>
    <col min="1802" max="1802" width="11.5703125" bestFit="1" customWidth="1"/>
    <col min="1803" max="1803" width="9.28515625" bestFit="1" customWidth="1"/>
    <col min="1804" max="1804" width="11.5703125" bestFit="1" customWidth="1"/>
    <col min="1805" max="1805" width="9.28515625" bestFit="1" customWidth="1"/>
    <col min="1806" max="1806" width="11.5703125" bestFit="1" customWidth="1"/>
    <col min="1807" max="1807" width="9.28515625" bestFit="1" customWidth="1"/>
    <col min="1808" max="1808" width="11.5703125" bestFit="1" customWidth="1"/>
    <col min="1809" max="1809" width="9.28515625" bestFit="1" customWidth="1"/>
    <col min="1810" max="1810" width="11.5703125" bestFit="1" customWidth="1"/>
    <col min="1811" max="1811" width="9.28515625" bestFit="1" customWidth="1"/>
    <col min="1812" max="1812" width="11.5703125" bestFit="1" customWidth="1"/>
    <col min="1813" max="1813" width="9.28515625" bestFit="1" customWidth="1"/>
    <col min="1814" max="1814" width="11.5703125" bestFit="1" customWidth="1"/>
    <col min="1815" max="1815" width="9.28515625" bestFit="1" customWidth="1"/>
    <col min="1816" max="1816" width="11.5703125" bestFit="1" customWidth="1"/>
    <col min="1817" max="1817" width="9.28515625" bestFit="1" customWidth="1"/>
    <col min="1818" max="1818" width="11.5703125" bestFit="1" customWidth="1"/>
    <col min="1819" max="1819" width="9.28515625" bestFit="1" customWidth="1"/>
    <col min="1820" max="1820" width="11.5703125" bestFit="1" customWidth="1"/>
    <col min="1821" max="1821" width="9.28515625" bestFit="1" customWidth="1"/>
    <col min="1822" max="1822" width="11.5703125" bestFit="1" customWidth="1"/>
    <col min="1823" max="1823" width="9.28515625" bestFit="1" customWidth="1"/>
    <col min="1824" max="1824" width="11.5703125" bestFit="1" customWidth="1"/>
    <col min="1825" max="1825" width="9.28515625" bestFit="1" customWidth="1"/>
    <col min="1826" max="1826" width="11.5703125" bestFit="1" customWidth="1"/>
    <col min="1827" max="1827" width="9.28515625" bestFit="1" customWidth="1"/>
    <col min="1828" max="1828" width="11.5703125" bestFit="1" customWidth="1"/>
    <col min="1829" max="1829" width="9.28515625" bestFit="1" customWidth="1"/>
    <col min="1830" max="1830" width="11.5703125" bestFit="1" customWidth="1"/>
    <col min="1831" max="1831" width="9.28515625" bestFit="1" customWidth="1"/>
    <col min="1832" max="1832" width="11.5703125" bestFit="1" customWidth="1"/>
    <col min="1833" max="1833" width="9.28515625" bestFit="1" customWidth="1"/>
    <col min="1834" max="1834" width="11.5703125" bestFit="1" customWidth="1"/>
    <col min="1835" max="1835" width="9.28515625" bestFit="1" customWidth="1"/>
    <col min="1836" max="1836" width="11.5703125" bestFit="1" customWidth="1"/>
    <col min="1837" max="1837" width="9.28515625" bestFit="1" customWidth="1"/>
    <col min="1838" max="1838" width="11.5703125" bestFit="1" customWidth="1"/>
    <col min="1839" max="1839" width="9.28515625" bestFit="1" customWidth="1"/>
    <col min="1840" max="1840" width="11.5703125" bestFit="1" customWidth="1"/>
    <col min="1841" max="1841" width="9.28515625" bestFit="1" customWidth="1"/>
    <col min="1842" max="1842" width="11.5703125" bestFit="1" customWidth="1"/>
    <col min="1843" max="1843" width="9.28515625" bestFit="1" customWidth="1"/>
    <col min="2051" max="2051" width="29.42578125" bestFit="1" customWidth="1"/>
    <col min="2052" max="2052" width="11.5703125" bestFit="1" customWidth="1"/>
    <col min="2053" max="2053" width="9.28515625" bestFit="1" customWidth="1"/>
    <col min="2054" max="2054" width="11.5703125" bestFit="1" customWidth="1"/>
    <col min="2055" max="2055" width="9.28515625" bestFit="1" customWidth="1"/>
    <col min="2056" max="2056" width="11.5703125" bestFit="1" customWidth="1"/>
    <col min="2057" max="2057" width="9.28515625" bestFit="1" customWidth="1"/>
    <col min="2058" max="2058" width="11.5703125" bestFit="1" customWidth="1"/>
    <col min="2059" max="2059" width="9.28515625" bestFit="1" customWidth="1"/>
    <col min="2060" max="2060" width="11.5703125" bestFit="1" customWidth="1"/>
    <col min="2061" max="2061" width="9.28515625" bestFit="1" customWidth="1"/>
    <col min="2062" max="2062" width="11.5703125" bestFit="1" customWidth="1"/>
    <col min="2063" max="2063" width="9.28515625" bestFit="1" customWidth="1"/>
    <col min="2064" max="2064" width="11.5703125" bestFit="1" customWidth="1"/>
    <col min="2065" max="2065" width="9.28515625" bestFit="1" customWidth="1"/>
    <col min="2066" max="2066" width="11.5703125" bestFit="1" customWidth="1"/>
    <col min="2067" max="2067" width="9.28515625" bestFit="1" customWidth="1"/>
    <col min="2068" max="2068" width="11.5703125" bestFit="1" customWidth="1"/>
    <col min="2069" max="2069" width="9.28515625" bestFit="1" customWidth="1"/>
    <col min="2070" max="2070" width="11.5703125" bestFit="1" customWidth="1"/>
    <col min="2071" max="2071" width="9.28515625" bestFit="1" customWidth="1"/>
    <col min="2072" max="2072" width="11.5703125" bestFit="1" customWidth="1"/>
    <col min="2073" max="2073" width="9.28515625" bestFit="1" customWidth="1"/>
    <col min="2074" max="2074" width="11.5703125" bestFit="1" customWidth="1"/>
    <col min="2075" max="2075" width="9.28515625" bestFit="1" customWidth="1"/>
    <col min="2076" max="2076" width="11.5703125" bestFit="1" customWidth="1"/>
    <col min="2077" max="2077" width="9.28515625" bestFit="1" customWidth="1"/>
    <col min="2078" max="2078" width="11.5703125" bestFit="1" customWidth="1"/>
    <col min="2079" max="2079" width="9.28515625" bestFit="1" customWidth="1"/>
    <col min="2080" max="2080" width="11.5703125" bestFit="1" customWidth="1"/>
    <col min="2081" max="2081" width="9.28515625" bestFit="1" customWidth="1"/>
    <col min="2082" max="2082" width="11.5703125" bestFit="1" customWidth="1"/>
    <col min="2083" max="2083" width="9.28515625" bestFit="1" customWidth="1"/>
    <col min="2084" max="2084" width="11.5703125" bestFit="1" customWidth="1"/>
    <col min="2085" max="2085" width="9.28515625" bestFit="1" customWidth="1"/>
    <col min="2086" max="2086" width="11.5703125" bestFit="1" customWidth="1"/>
    <col min="2087" max="2087" width="9.28515625" bestFit="1" customWidth="1"/>
    <col min="2088" max="2088" width="11.5703125" bestFit="1" customWidth="1"/>
    <col min="2089" max="2089" width="9.28515625" bestFit="1" customWidth="1"/>
    <col min="2090" max="2090" width="11.5703125" bestFit="1" customWidth="1"/>
    <col min="2091" max="2091" width="9.28515625" bestFit="1" customWidth="1"/>
    <col min="2092" max="2092" width="11.5703125" bestFit="1" customWidth="1"/>
    <col min="2093" max="2093" width="9.28515625" bestFit="1" customWidth="1"/>
    <col min="2094" max="2094" width="11.5703125" bestFit="1" customWidth="1"/>
    <col min="2095" max="2095" width="9.28515625" bestFit="1" customWidth="1"/>
    <col min="2096" max="2096" width="11.5703125" bestFit="1" customWidth="1"/>
    <col min="2097" max="2097" width="9.28515625" bestFit="1" customWidth="1"/>
    <col min="2098" max="2098" width="11.5703125" bestFit="1" customWidth="1"/>
    <col min="2099" max="2099" width="9.28515625" bestFit="1" customWidth="1"/>
    <col min="2307" max="2307" width="29.42578125" bestFit="1" customWidth="1"/>
    <col min="2308" max="2308" width="11.5703125" bestFit="1" customWidth="1"/>
    <col min="2309" max="2309" width="9.28515625" bestFit="1" customWidth="1"/>
    <col min="2310" max="2310" width="11.5703125" bestFit="1" customWidth="1"/>
    <col min="2311" max="2311" width="9.28515625" bestFit="1" customWidth="1"/>
    <col min="2312" max="2312" width="11.5703125" bestFit="1" customWidth="1"/>
    <col min="2313" max="2313" width="9.28515625" bestFit="1" customWidth="1"/>
    <col min="2314" max="2314" width="11.5703125" bestFit="1" customWidth="1"/>
    <col min="2315" max="2315" width="9.28515625" bestFit="1" customWidth="1"/>
    <col min="2316" max="2316" width="11.5703125" bestFit="1" customWidth="1"/>
    <col min="2317" max="2317" width="9.28515625" bestFit="1" customWidth="1"/>
    <col min="2318" max="2318" width="11.5703125" bestFit="1" customWidth="1"/>
    <col min="2319" max="2319" width="9.28515625" bestFit="1" customWidth="1"/>
    <col min="2320" max="2320" width="11.5703125" bestFit="1" customWidth="1"/>
    <col min="2321" max="2321" width="9.28515625" bestFit="1" customWidth="1"/>
    <col min="2322" max="2322" width="11.5703125" bestFit="1" customWidth="1"/>
    <col min="2323" max="2323" width="9.28515625" bestFit="1" customWidth="1"/>
    <col min="2324" max="2324" width="11.5703125" bestFit="1" customWidth="1"/>
    <col min="2325" max="2325" width="9.28515625" bestFit="1" customWidth="1"/>
    <col min="2326" max="2326" width="11.5703125" bestFit="1" customWidth="1"/>
    <col min="2327" max="2327" width="9.28515625" bestFit="1" customWidth="1"/>
    <col min="2328" max="2328" width="11.5703125" bestFit="1" customWidth="1"/>
    <col min="2329" max="2329" width="9.28515625" bestFit="1" customWidth="1"/>
    <col min="2330" max="2330" width="11.5703125" bestFit="1" customWidth="1"/>
    <col min="2331" max="2331" width="9.28515625" bestFit="1" customWidth="1"/>
    <col min="2332" max="2332" width="11.5703125" bestFit="1" customWidth="1"/>
    <col min="2333" max="2333" width="9.28515625" bestFit="1" customWidth="1"/>
    <col min="2334" max="2334" width="11.5703125" bestFit="1" customWidth="1"/>
    <col min="2335" max="2335" width="9.28515625" bestFit="1" customWidth="1"/>
    <col min="2336" max="2336" width="11.5703125" bestFit="1" customWidth="1"/>
    <col min="2337" max="2337" width="9.28515625" bestFit="1" customWidth="1"/>
    <col min="2338" max="2338" width="11.5703125" bestFit="1" customWidth="1"/>
    <col min="2339" max="2339" width="9.28515625" bestFit="1" customWidth="1"/>
    <col min="2340" max="2340" width="11.5703125" bestFit="1" customWidth="1"/>
    <col min="2341" max="2341" width="9.28515625" bestFit="1" customWidth="1"/>
    <col min="2342" max="2342" width="11.5703125" bestFit="1" customWidth="1"/>
    <col min="2343" max="2343" width="9.28515625" bestFit="1" customWidth="1"/>
    <col min="2344" max="2344" width="11.5703125" bestFit="1" customWidth="1"/>
    <col min="2345" max="2345" width="9.28515625" bestFit="1" customWidth="1"/>
    <col min="2346" max="2346" width="11.5703125" bestFit="1" customWidth="1"/>
    <col min="2347" max="2347" width="9.28515625" bestFit="1" customWidth="1"/>
    <col min="2348" max="2348" width="11.5703125" bestFit="1" customWidth="1"/>
    <col min="2349" max="2349" width="9.28515625" bestFit="1" customWidth="1"/>
    <col min="2350" max="2350" width="11.5703125" bestFit="1" customWidth="1"/>
    <col min="2351" max="2351" width="9.28515625" bestFit="1" customWidth="1"/>
    <col min="2352" max="2352" width="11.5703125" bestFit="1" customWidth="1"/>
    <col min="2353" max="2353" width="9.28515625" bestFit="1" customWidth="1"/>
    <col min="2354" max="2354" width="11.5703125" bestFit="1" customWidth="1"/>
    <col min="2355" max="2355" width="9.28515625" bestFit="1" customWidth="1"/>
    <col min="2563" max="2563" width="29.42578125" bestFit="1" customWidth="1"/>
    <col min="2564" max="2564" width="11.5703125" bestFit="1" customWidth="1"/>
    <col min="2565" max="2565" width="9.28515625" bestFit="1" customWidth="1"/>
    <col min="2566" max="2566" width="11.5703125" bestFit="1" customWidth="1"/>
    <col min="2567" max="2567" width="9.28515625" bestFit="1" customWidth="1"/>
    <col min="2568" max="2568" width="11.5703125" bestFit="1" customWidth="1"/>
    <col min="2569" max="2569" width="9.28515625" bestFit="1" customWidth="1"/>
    <col min="2570" max="2570" width="11.5703125" bestFit="1" customWidth="1"/>
    <col min="2571" max="2571" width="9.28515625" bestFit="1" customWidth="1"/>
    <col min="2572" max="2572" width="11.5703125" bestFit="1" customWidth="1"/>
    <col min="2573" max="2573" width="9.28515625" bestFit="1" customWidth="1"/>
    <col min="2574" max="2574" width="11.5703125" bestFit="1" customWidth="1"/>
    <col min="2575" max="2575" width="9.28515625" bestFit="1" customWidth="1"/>
    <col min="2576" max="2576" width="11.5703125" bestFit="1" customWidth="1"/>
    <col min="2577" max="2577" width="9.28515625" bestFit="1" customWidth="1"/>
    <col min="2578" max="2578" width="11.5703125" bestFit="1" customWidth="1"/>
    <col min="2579" max="2579" width="9.28515625" bestFit="1" customWidth="1"/>
    <col min="2580" max="2580" width="11.5703125" bestFit="1" customWidth="1"/>
    <col min="2581" max="2581" width="9.28515625" bestFit="1" customWidth="1"/>
    <col min="2582" max="2582" width="11.5703125" bestFit="1" customWidth="1"/>
    <col min="2583" max="2583" width="9.28515625" bestFit="1" customWidth="1"/>
    <col min="2584" max="2584" width="11.5703125" bestFit="1" customWidth="1"/>
    <col min="2585" max="2585" width="9.28515625" bestFit="1" customWidth="1"/>
    <col min="2586" max="2586" width="11.5703125" bestFit="1" customWidth="1"/>
    <col min="2587" max="2587" width="9.28515625" bestFit="1" customWidth="1"/>
    <col min="2588" max="2588" width="11.5703125" bestFit="1" customWidth="1"/>
    <col min="2589" max="2589" width="9.28515625" bestFit="1" customWidth="1"/>
    <col min="2590" max="2590" width="11.5703125" bestFit="1" customWidth="1"/>
    <col min="2591" max="2591" width="9.28515625" bestFit="1" customWidth="1"/>
    <col min="2592" max="2592" width="11.5703125" bestFit="1" customWidth="1"/>
    <col min="2593" max="2593" width="9.28515625" bestFit="1" customWidth="1"/>
    <col min="2594" max="2594" width="11.5703125" bestFit="1" customWidth="1"/>
    <col min="2595" max="2595" width="9.28515625" bestFit="1" customWidth="1"/>
    <col min="2596" max="2596" width="11.5703125" bestFit="1" customWidth="1"/>
    <col min="2597" max="2597" width="9.28515625" bestFit="1" customWidth="1"/>
    <col min="2598" max="2598" width="11.5703125" bestFit="1" customWidth="1"/>
    <col min="2599" max="2599" width="9.28515625" bestFit="1" customWidth="1"/>
    <col min="2600" max="2600" width="11.5703125" bestFit="1" customWidth="1"/>
    <col min="2601" max="2601" width="9.28515625" bestFit="1" customWidth="1"/>
    <col min="2602" max="2602" width="11.5703125" bestFit="1" customWidth="1"/>
    <col min="2603" max="2603" width="9.28515625" bestFit="1" customWidth="1"/>
    <col min="2604" max="2604" width="11.5703125" bestFit="1" customWidth="1"/>
    <col min="2605" max="2605" width="9.28515625" bestFit="1" customWidth="1"/>
    <col min="2606" max="2606" width="11.5703125" bestFit="1" customWidth="1"/>
    <col min="2607" max="2607" width="9.28515625" bestFit="1" customWidth="1"/>
    <col min="2608" max="2608" width="11.5703125" bestFit="1" customWidth="1"/>
    <col min="2609" max="2609" width="9.28515625" bestFit="1" customWidth="1"/>
    <col min="2610" max="2610" width="11.5703125" bestFit="1" customWidth="1"/>
    <col min="2611" max="2611" width="9.28515625" bestFit="1" customWidth="1"/>
    <col min="2819" max="2819" width="29.42578125" bestFit="1" customWidth="1"/>
    <col min="2820" max="2820" width="11.5703125" bestFit="1" customWidth="1"/>
    <col min="2821" max="2821" width="9.28515625" bestFit="1" customWidth="1"/>
    <col min="2822" max="2822" width="11.5703125" bestFit="1" customWidth="1"/>
    <col min="2823" max="2823" width="9.28515625" bestFit="1" customWidth="1"/>
    <col min="2824" max="2824" width="11.5703125" bestFit="1" customWidth="1"/>
    <col min="2825" max="2825" width="9.28515625" bestFit="1" customWidth="1"/>
    <col min="2826" max="2826" width="11.5703125" bestFit="1" customWidth="1"/>
    <col min="2827" max="2827" width="9.28515625" bestFit="1" customWidth="1"/>
    <col min="2828" max="2828" width="11.5703125" bestFit="1" customWidth="1"/>
    <col min="2829" max="2829" width="9.28515625" bestFit="1" customWidth="1"/>
    <col min="2830" max="2830" width="11.5703125" bestFit="1" customWidth="1"/>
    <col min="2831" max="2831" width="9.28515625" bestFit="1" customWidth="1"/>
    <col min="2832" max="2832" width="11.5703125" bestFit="1" customWidth="1"/>
    <col min="2833" max="2833" width="9.28515625" bestFit="1" customWidth="1"/>
    <col min="2834" max="2834" width="11.5703125" bestFit="1" customWidth="1"/>
    <col min="2835" max="2835" width="9.28515625" bestFit="1" customWidth="1"/>
    <col min="2836" max="2836" width="11.5703125" bestFit="1" customWidth="1"/>
    <col min="2837" max="2837" width="9.28515625" bestFit="1" customWidth="1"/>
    <col min="2838" max="2838" width="11.5703125" bestFit="1" customWidth="1"/>
    <col min="2839" max="2839" width="9.28515625" bestFit="1" customWidth="1"/>
    <col min="2840" max="2840" width="11.5703125" bestFit="1" customWidth="1"/>
    <col min="2841" max="2841" width="9.28515625" bestFit="1" customWidth="1"/>
    <col min="2842" max="2842" width="11.5703125" bestFit="1" customWidth="1"/>
    <col min="2843" max="2843" width="9.28515625" bestFit="1" customWidth="1"/>
    <col min="2844" max="2844" width="11.5703125" bestFit="1" customWidth="1"/>
    <col min="2845" max="2845" width="9.28515625" bestFit="1" customWidth="1"/>
    <col min="2846" max="2846" width="11.5703125" bestFit="1" customWidth="1"/>
    <col min="2847" max="2847" width="9.28515625" bestFit="1" customWidth="1"/>
    <col min="2848" max="2848" width="11.5703125" bestFit="1" customWidth="1"/>
    <col min="2849" max="2849" width="9.28515625" bestFit="1" customWidth="1"/>
    <col min="2850" max="2850" width="11.5703125" bestFit="1" customWidth="1"/>
    <col min="2851" max="2851" width="9.28515625" bestFit="1" customWidth="1"/>
    <col min="2852" max="2852" width="11.5703125" bestFit="1" customWidth="1"/>
    <col min="2853" max="2853" width="9.28515625" bestFit="1" customWidth="1"/>
    <col min="2854" max="2854" width="11.5703125" bestFit="1" customWidth="1"/>
    <col min="2855" max="2855" width="9.28515625" bestFit="1" customWidth="1"/>
    <col min="2856" max="2856" width="11.5703125" bestFit="1" customWidth="1"/>
    <col min="2857" max="2857" width="9.28515625" bestFit="1" customWidth="1"/>
    <col min="2858" max="2858" width="11.5703125" bestFit="1" customWidth="1"/>
    <col min="2859" max="2859" width="9.28515625" bestFit="1" customWidth="1"/>
    <col min="2860" max="2860" width="11.5703125" bestFit="1" customWidth="1"/>
    <col min="2861" max="2861" width="9.28515625" bestFit="1" customWidth="1"/>
    <col min="2862" max="2862" width="11.5703125" bestFit="1" customWidth="1"/>
    <col min="2863" max="2863" width="9.28515625" bestFit="1" customWidth="1"/>
    <col min="2864" max="2864" width="11.5703125" bestFit="1" customWidth="1"/>
    <col min="2865" max="2865" width="9.28515625" bestFit="1" customWidth="1"/>
    <col min="2866" max="2866" width="11.5703125" bestFit="1" customWidth="1"/>
    <col min="2867" max="2867" width="9.28515625" bestFit="1" customWidth="1"/>
    <col min="3075" max="3075" width="29.42578125" bestFit="1" customWidth="1"/>
    <col min="3076" max="3076" width="11.5703125" bestFit="1" customWidth="1"/>
    <col min="3077" max="3077" width="9.28515625" bestFit="1" customWidth="1"/>
    <col min="3078" max="3078" width="11.5703125" bestFit="1" customWidth="1"/>
    <col min="3079" max="3079" width="9.28515625" bestFit="1" customWidth="1"/>
    <col min="3080" max="3080" width="11.5703125" bestFit="1" customWidth="1"/>
    <col min="3081" max="3081" width="9.28515625" bestFit="1" customWidth="1"/>
    <col min="3082" max="3082" width="11.5703125" bestFit="1" customWidth="1"/>
    <col min="3083" max="3083" width="9.28515625" bestFit="1" customWidth="1"/>
    <col min="3084" max="3084" width="11.5703125" bestFit="1" customWidth="1"/>
    <col min="3085" max="3085" width="9.28515625" bestFit="1" customWidth="1"/>
    <col min="3086" max="3086" width="11.5703125" bestFit="1" customWidth="1"/>
    <col min="3087" max="3087" width="9.28515625" bestFit="1" customWidth="1"/>
    <col min="3088" max="3088" width="11.5703125" bestFit="1" customWidth="1"/>
    <col min="3089" max="3089" width="9.28515625" bestFit="1" customWidth="1"/>
    <col min="3090" max="3090" width="11.5703125" bestFit="1" customWidth="1"/>
    <col min="3091" max="3091" width="9.28515625" bestFit="1" customWidth="1"/>
    <col min="3092" max="3092" width="11.5703125" bestFit="1" customWidth="1"/>
    <col min="3093" max="3093" width="9.28515625" bestFit="1" customWidth="1"/>
    <col min="3094" max="3094" width="11.5703125" bestFit="1" customWidth="1"/>
    <col min="3095" max="3095" width="9.28515625" bestFit="1" customWidth="1"/>
    <col min="3096" max="3096" width="11.5703125" bestFit="1" customWidth="1"/>
    <col min="3097" max="3097" width="9.28515625" bestFit="1" customWidth="1"/>
    <col min="3098" max="3098" width="11.5703125" bestFit="1" customWidth="1"/>
    <col min="3099" max="3099" width="9.28515625" bestFit="1" customWidth="1"/>
    <col min="3100" max="3100" width="11.5703125" bestFit="1" customWidth="1"/>
    <col min="3101" max="3101" width="9.28515625" bestFit="1" customWidth="1"/>
    <col min="3102" max="3102" width="11.5703125" bestFit="1" customWidth="1"/>
    <col min="3103" max="3103" width="9.28515625" bestFit="1" customWidth="1"/>
    <col min="3104" max="3104" width="11.5703125" bestFit="1" customWidth="1"/>
    <col min="3105" max="3105" width="9.28515625" bestFit="1" customWidth="1"/>
    <col min="3106" max="3106" width="11.5703125" bestFit="1" customWidth="1"/>
    <col min="3107" max="3107" width="9.28515625" bestFit="1" customWidth="1"/>
    <col min="3108" max="3108" width="11.5703125" bestFit="1" customWidth="1"/>
    <col min="3109" max="3109" width="9.28515625" bestFit="1" customWidth="1"/>
    <col min="3110" max="3110" width="11.5703125" bestFit="1" customWidth="1"/>
    <col min="3111" max="3111" width="9.28515625" bestFit="1" customWidth="1"/>
    <col min="3112" max="3112" width="11.5703125" bestFit="1" customWidth="1"/>
    <col min="3113" max="3113" width="9.28515625" bestFit="1" customWidth="1"/>
    <col min="3114" max="3114" width="11.5703125" bestFit="1" customWidth="1"/>
    <col min="3115" max="3115" width="9.28515625" bestFit="1" customWidth="1"/>
    <col min="3116" max="3116" width="11.5703125" bestFit="1" customWidth="1"/>
    <col min="3117" max="3117" width="9.28515625" bestFit="1" customWidth="1"/>
    <col min="3118" max="3118" width="11.5703125" bestFit="1" customWidth="1"/>
    <col min="3119" max="3119" width="9.28515625" bestFit="1" customWidth="1"/>
    <col min="3120" max="3120" width="11.5703125" bestFit="1" customWidth="1"/>
    <col min="3121" max="3121" width="9.28515625" bestFit="1" customWidth="1"/>
    <col min="3122" max="3122" width="11.5703125" bestFit="1" customWidth="1"/>
    <col min="3123" max="3123" width="9.28515625" bestFit="1" customWidth="1"/>
    <col min="3331" max="3331" width="29.42578125" bestFit="1" customWidth="1"/>
    <col min="3332" max="3332" width="11.5703125" bestFit="1" customWidth="1"/>
    <col min="3333" max="3333" width="9.28515625" bestFit="1" customWidth="1"/>
    <col min="3334" max="3334" width="11.5703125" bestFit="1" customWidth="1"/>
    <col min="3335" max="3335" width="9.28515625" bestFit="1" customWidth="1"/>
    <col min="3336" max="3336" width="11.5703125" bestFit="1" customWidth="1"/>
    <col min="3337" max="3337" width="9.28515625" bestFit="1" customWidth="1"/>
    <col min="3338" max="3338" width="11.5703125" bestFit="1" customWidth="1"/>
    <col min="3339" max="3339" width="9.28515625" bestFit="1" customWidth="1"/>
    <col min="3340" max="3340" width="11.5703125" bestFit="1" customWidth="1"/>
    <col min="3341" max="3341" width="9.28515625" bestFit="1" customWidth="1"/>
    <col min="3342" max="3342" width="11.5703125" bestFit="1" customWidth="1"/>
    <col min="3343" max="3343" width="9.28515625" bestFit="1" customWidth="1"/>
    <col min="3344" max="3344" width="11.5703125" bestFit="1" customWidth="1"/>
    <col min="3345" max="3345" width="9.28515625" bestFit="1" customWidth="1"/>
    <col min="3346" max="3346" width="11.5703125" bestFit="1" customWidth="1"/>
    <col min="3347" max="3347" width="9.28515625" bestFit="1" customWidth="1"/>
    <col min="3348" max="3348" width="11.5703125" bestFit="1" customWidth="1"/>
    <col min="3349" max="3349" width="9.28515625" bestFit="1" customWidth="1"/>
    <col min="3350" max="3350" width="11.5703125" bestFit="1" customWidth="1"/>
    <col min="3351" max="3351" width="9.28515625" bestFit="1" customWidth="1"/>
    <col min="3352" max="3352" width="11.5703125" bestFit="1" customWidth="1"/>
    <col min="3353" max="3353" width="9.28515625" bestFit="1" customWidth="1"/>
    <col min="3354" max="3354" width="11.5703125" bestFit="1" customWidth="1"/>
    <col min="3355" max="3355" width="9.28515625" bestFit="1" customWidth="1"/>
    <col min="3356" max="3356" width="11.5703125" bestFit="1" customWidth="1"/>
    <col min="3357" max="3357" width="9.28515625" bestFit="1" customWidth="1"/>
    <col min="3358" max="3358" width="11.5703125" bestFit="1" customWidth="1"/>
    <col min="3359" max="3359" width="9.28515625" bestFit="1" customWidth="1"/>
    <col min="3360" max="3360" width="11.5703125" bestFit="1" customWidth="1"/>
    <col min="3361" max="3361" width="9.28515625" bestFit="1" customWidth="1"/>
    <col min="3362" max="3362" width="11.5703125" bestFit="1" customWidth="1"/>
    <col min="3363" max="3363" width="9.28515625" bestFit="1" customWidth="1"/>
    <col min="3364" max="3364" width="11.5703125" bestFit="1" customWidth="1"/>
    <col min="3365" max="3365" width="9.28515625" bestFit="1" customWidth="1"/>
    <col min="3366" max="3366" width="11.5703125" bestFit="1" customWidth="1"/>
    <col min="3367" max="3367" width="9.28515625" bestFit="1" customWidth="1"/>
    <col min="3368" max="3368" width="11.5703125" bestFit="1" customWidth="1"/>
    <col min="3369" max="3369" width="9.28515625" bestFit="1" customWidth="1"/>
    <col min="3370" max="3370" width="11.5703125" bestFit="1" customWidth="1"/>
    <col min="3371" max="3371" width="9.28515625" bestFit="1" customWidth="1"/>
    <col min="3372" max="3372" width="11.5703125" bestFit="1" customWidth="1"/>
    <col min="3373" max="3373" width="9.28515625" bestFit="1" customWidth="1"/>
    <col min="3374" max="3374" width="11.5703125" bestFit="1" customWidth="1"/>
    <col min="3375" max="3375" width="9.28515625" bestFit="1" customWidth="1"/>
    <col min="3376" max="3376" width="11.5703125" bestFit="1" customWidth="1"/>
    <col min="3377" max="3377" width="9.28515625" bestFit="1" customWidth="1"/>
    <col min="3378" max="3378" width="11.5703125" bestFit="1" customWidth="1"/>
    <col min="3379" max="3379" width="9.28515625" bestFit="1" customWidth="1"/>
    <col min="3587" max="3587" width="29.42578125" bestFit="1" customWidth="1"/>
    <col min="3588" max="3588" width="11.5703125" bestFit="1" customWidth="1"/>
    <col min="3589" max="3589" width="9.28515625" bestFit="1" customWidth="1"/>
    <col min="3590" max="3590" width="11.5703125" bestFit="1" customWidth="1"/>
    <col min="3591" max="3591" width="9.28515625" bestFit="1" customWidth="1"/>
    <col min="3592" max="3592" width="11.5703125" bestFit="1" customWidth="1"/>
    <col min="3593" max="3593" width="9.28515625" bestFit="1" customWidth="1"/>
    <col min="3594" max="3594" width="11.5703125" bestFit="1" customWidth="1"/>
    <col min="3595" max="3595" width="9.28515625" bestFit="1" customWidth="1"/>
    <col min="3596" max="3596" width="11.5703125" bestFit="1" customWidth="1"/>
    <col min="3597" max="3597" width="9.28515625" bestFit="1" customWidth="1"/>
    <col min="3598" max="3598" width="11.5703125" bestFit="1" customWidth="1"/>
    <col min="3599" max="3599" width="9.28515625" bestFit="1" customWidth="1"/>
    <col min="3600" max="3600" width="11.5703125" bestFit="1" customWidth="1"/>
    <col min="3601" max="3601" width="9.28515625" bestFit="1" customWidth="1"/>
    <col min="3602" max="3602" width="11.5703125" bestFit="1" customWidth="1"/>
    <col min="3603" max="3603" width="9.28515625" bestFit="1" customWidth="1"/>
    <col min="3604" max="3604" width="11.5703125" bestFit="1" customWidth="1"/>
    <col min="3605" max="3605" width="9.28515625" bestFit="1" customWidth="1"/>
    <col min="3606" max="3606" width="11.5703125" bestFit="1" customWidth="1"/>
    <col min="3607" max="3607" width="9.28515625" bestFit="1" customWidth="1"/>
    <col min="3608" max="3608" width="11.5703125" bestFit="1" customWidth="1"/>
    <col min="3609" max="3609" width="9.28515625" bestFit="1" customWidth="1"/>
    <col min="3610" max="3610" width="11.5703125" bestFit="1" customWidth="1"/>
    <col min="3611" max="3611" width="9.28515625" bestFit="1" customWidth="1"/>
    <col min="3612" max="3612" width="11.5703125" bestFit="1" customWidth="1"/>
    <col min="3613" max="3613" width="9.28515625" bestFit="1" customWidth="1"/>
    <col min="3614" max="3614" width="11.5703125" bestFit="1" customWidth="1"/>
    <col min="3615" max="3615" width="9.28515625" bestFit="1" customWidth="1"/>
    <col min="3616" max="3616" width="11.5703125" bestFit="1" customWidth="1"/>
    <col min="3617" max="3617" width="9.28515625" bestFit="1" customWidth="1"/>
    <col min="3618" max="3618" width="11.5703125" bestFit="1" customWidth="1"/>
    <col min="3619" max="3619" width="9.28515625" bestFit="1" customWidth="1"/>
    <col min="3620" max="3620" width="11.5703125" bestFit="1" customWidth="1"/>
    <col min="3621" max="3621" width="9.28515625" bestFit="1" customWidth="1"/>
    <col min="3622" max="3622" width="11.5703125" bestFit="1" customWidth="1"/>
    <col min="3623" max="3623" width="9.28515625" bestFit="1" customWidth="1"/>
    <col min="3624" max="3624" width="11.5703125" bestFit="1" customWidth="1"/>
    <col min="3625" max="3625" width="9.28515625" bestFit="1" customWidth="1"/>
    <col min="3626" max="3626" width="11.5703125" bestFit="1" customWidth="1"/>
    <col min="3627" max="3627" width="9.28515625" bestFit="1" customWidth="1"/>
    <col min="3628" max="3628" width="11.5703125" bestFit="1" customWidth="1"/>
    <col min="3629" max="3629" width="9.28515625" bestFit="1" customWidth="1"/>
    <col min="3630" max="3630" width="11.5703125" bestFit="1" customWidth="1"/>
    <col min="3631" max="3631" width="9.28515625" bestFit="1" customWidth="1"/>
    <col min="3632" max="3632" width="11.5703125" bestFit="1" customWidth="1"/>
    <col min="3633" max="3633" width="9.28515625" bestFit="1" customWidth="1"/>
    <col min="3634" max="3634" width="11.5703125" bestFit="1" customWidth="1"/>
    <col min="3635" max="3635" width="9.28515625" bestFit="1" customWidth="1"/>
    <col min="3843" max="3843" width="29.42578125" bestFit="1" customWidth="1"/>
    <col min="3844" max="3844" width="11.5703125" bestFit="1" customWidth="1"/>
    <col min="3845" max="3845" width="9.28515625" bestFit="1" customWidth="1"/>
    <col min="3846" max="3846" width="11.5703125" bestFit="1" customWidth="1"/>
    <col min="3847" max="3847" width="9.28515625" bestFit="1" customWidth="1"/>
    <col min="3848" max="3848" width="11.5703125" bestFit="1" customWidth="1"/>
    <col min="3849" max="3849" width="9.28515625" bestFit="1" customWidth="1"/>
    <col min="3850" max="3850" width="11.5703125" bestFit="1" customWidth="1"/>
    <col min="3851" max="3851" width="9.28515625" bestFit="1" customWidth="1"/>
    <col min="3852" max="3852" width="11.5703125" bestFit="1" customWidth="1"/>
    <col min="3853" max="3853" width="9.28515625" bestFit="1" customWidth="1"/>
    <col min="3854" max="3854" width="11.5703125" bestFit="1" customWidth="1"/>
    <col min="3855" max="3855" width="9.28515625" bestFit="1" customWidth="1"/>
    <col min="3856" max="3856" width="11.5703125" bestFit="1" customWidth="1"/>
    <col min="3857" max="3857" width="9.28515625" bestFit="1" customWidth="1"/>
    <col min="3858" max="3858" width="11.5703125" bestFit="1" customWidth="1"/>
    <col min="3859" max="3859" width="9.28515625" bestFit="1" customWidth="1"/>
    <col min="3860" max="3860" width="11.5703125" bestFit="1" customWidth="1"/>
    <col min="3861" max="3861" width="9.28515625" bestFit="1" customWidth="1"/>
    <col min="3862" max="3862" width="11.5703125" bestFit="1" customWidth="1"/>
    <col min="3863" max="3863" width="9.28515625" bestFit="1" customWidth="1"/>
    <col min="3864" max="3864" width="11.5703125" bestFit="1" customWidth="1"/>
    <col min="3865" max="3865" width="9.28515625" bestFit="1" customWidth="1"/>
    <col min="3866" max="3866" width="11.5703125" bestFit="1" customWidth="1"/>
    <col min="3867" max="3867" width="9.28515625" bestFit="1" customWidth="1"/>
    <col min="3868" max="3868" width="11.5703125" bestFit="1" customWidth="1"/>
    <col min="3869" max="3869" width="9.28515625" bestFit="1" customWidth="1"/>
    <col min="3870" max="3870" width="11.5703125" bestFit="1" customWidth="1"/>
    <col min="3871" max="3871" width="9.28515625" bestFit="1" customWidth="1"/>
    <col min="3872" max="3872" width="11.5703125" bestFit="1" customWidth="1"/>
    <col min="3873" max="3873" width="9.28515625" bestFit="1" customWidth="1"/>
    <col min="3874" max="3874" width="11.5703125" bestFit="1" customWidth="1"/>
    <col min="3875" max="3875" width="9.28515625" bestFit="1" customWidth="1"/>
    <col min="3876" max="3876" width="11.5703125" bestFit="1" customWidth="1"/>
    <col min="3877" max="3877" width="9.28515625" bestFit="1" customWidth="1"/>
    <col min="3878" max="3878" width="11.5703125" bestFit="1" customWidth="1"/>
    <col min="3879" max="3879" width="9.28515625" bestFit="1" customWidth="1"/>
    <col min="3880" max="3880" width="11.5703125" bestFit="1" customWidth="1"/>
    <col min="3881" max="3881" width="9.28515625" bestFit="1" customWidth="1"/>
    <col min="3882" max="3882" width="11.5703125" bestFit="1" customWidth="1"/>
    <col min="3883" max="3883" width="9.28515625" bestFit="1" customWidth="1"/>
    <col min="3884" max="3884" width="11.5703125" bestFit="1" customWidth="1"/>
    <col min="3885" max="3885" width="9.28515625" bestFit="1" customWidth="1"/>
    <col min="3886" max="3886" width="11.5703125" bestFit="1" customWidth="1"/>
    <col min="3887" max="3887" width="9.28515625" bestFit="1" customWidth="1"/>
    <col min="3888" max="3888" width="11.5703125" bestFit="1" customWidth="1"/>
    <col min="3889" max="3889" width="9.28515625" bestFit="1" customWidth="1"/>
    <col min="3890" max="3890" width="11.5703125" bestFit="1" customWidth="1"/>
    <col min="3891" max="3891" width="9.28515625" bestFit="1" customWidth="1"/>
    <col min="4099" max="4099" width="29.42578125" bestFit="1" customWidth="1"/>
    <col min="4100" max="4100" width="11.5703125" bestFit="1" customWidth="1"/>
    <col min="4101" max="4101" width="9.28515625" bestFit="1" customWidth="1"/>
    <col min="4102" max="4102" width="11.5703125" bestFit="1" customWidth="1"/>
    <col min="4103" max="4103" width="9.28515625" bestFit="1" customWidth="1"/>
    <col min="4104" max="4104" width="11.5703125" bestFit="1" customWidth="1"/>
    <col min="4105" max="4105" width="9.28515625" bestFit="1" customWidth="1"/>
    <col min="4106" max="4106" width="11.5703125" bestFit="1" customWidth="1"/>
    <col min="4107" max="4107" width="9.28515625" bestFit="1" customWidth="1"/>
    <col min="4108" max="4108" width="11.5703125" bestFit="1" customWidth="1"/>
    <col min="4109" max="4109" width="9.28515625" bestFit="1" customWidth="1"/>
    <col min="4110" max="4110" width="11.5703125" bestFit="1" customWidth="1"/>
    <col min="4111" max="4111" width="9.28515625" bestFit="1" customWidth="1"/>
    <col min="4112" max="4112" width="11.5703125" bestFit="1" customWidth="1"/>
    <col min="4113" max="4113" width="9.28515625" bestFit="1" customWidth="1"/>
    <col min="4114" max="4114" width="11.5703125" bestFit="1" customWidth="1"/>
    <col min="4115" max="4115" width="9.28515625" bestFit="1" customWidth="1"/>
    <col min="4116" max="4116" width="11.5703125" bestFit="1" customWidth="1"/>
    <col min="4117" max="4117" width="9.28515625" bestFit="1" customWidth="1"/>
    <col min="4118" max="4118" width="11.5703125" bestFit="1" customWidth="1"/>
    <col min="4119" max="4119" width="9.28515625" bestFit="1" customWidth="1"/>
    <col min="4120" max="4120" width="11.5703125" bestFit="1" customWidth="1"/>
    <col min="4121" max="4121" width="9.28515625" bestFit="1" customWidth="1"/>
    <col min="4122" max="4122" width="11.5703125" bestFit="1" customWidth="1"/>
    <col min="4123" max="4123" width="9.28515625" bestFit="1" customWidth="1"/>
    <col min="4124" max="4124" width="11.5703125" bestFit="1" customWidth="1"/>
    <col min="4125" max="4125" width="9.28515625" bestFit="1" customWidth="1"/>
    <col min="4126" max="4126" width="11.5703125" bestFit="1" customWidth="1"/>
    <col min="4127" max="4127" width="9.28515625" bestFit="1" customWidth="1"/>
    <col min="4128" max="4128" width="11.5703125" bestFit="1" customWidth="1"/>
    <col min="4129" max="4129" width="9.28515625" bestFit="1" customWidth="1"/>
    <col min="4130" max="4130" width="11.5703125" bestFit="1" customWidth="1"/>
    <col min="4131" max="4131" width="9.28515625" bestFit="1" customWidth="1"/>
    <col min="4132" max="4132" width="11.5703125" bestFit="1" customWidth="1"/>
    <col min="4133" max="4133" width="9.28515625" bestFit="1" customWidth="1"/>
    <col min="4134" max="4134" width="11.5703125" bestFit="1" customWidth="1"/>
    <col min="4135" max="4135" width="9.28515625" bestFit="1" customWidth="1"/>
    <col min="4136" max="4136" width="11.5703125" bestFit="1" customWidth="1"/>
    <col min="4137" max="4137" width="9.28515625" bestFit="1" customWidth="1"/>
    <col min="4138" max="4138" width="11.5703125" bestFit="1" customWidth="1"/>
    <col min="4139" max="4139" width="9.28515625" bestFit="1" customWidth="1"/>
    <col min="4140" max="4140" width="11.5703125" bestFit="1" customWidth="1"/>
    <col min="4141" max="4141" width="9.28515625" bestFit="1" customWidth="1"/>
    <col min="4142" max="4142" width="11.5703125" bestFit="1" customWidth="1"/>
    <col min="4143" max="4143" width="9.28515625" bestFit="1" customWidth="1"/>
    <col min="4144" max="4144" width="11.5703125" bestFit="1" customWidth="1"/>
    <col min="4145" max="4145" width="9.28515625" bestFit="1" customWidth="1"/>
    <col min="4146" max="4146" width="11.5703125" bestFit="1" customWidth="1"/>
    <col min="4147" max="4147" width="9.28515625" bestFit="1" customWidth="1"/>
    <col min="4355" max="4355" width="29.42578125" bestFit="1" customWidth="1"/>
    <col min="4356" max="4356" width="11.5703125" bestFit="1" customWidth="1"/>
    <col min="4357" max="4357" width="9.28515625" bestFit="1" customWidth="1"/>
    <col min="4358" max="4358" width="11.5703125" bestFit="1" customWidth="1"/>
    <col min="4359" max="4359" width="9.28515625" bestFit="1" customWidth="1"/>
    <col min="4360" max="4360" width="11.5703125" bestFit="1" customWidth="1"/>
    <col min="4361" max="4361" width="9.28515625" bestFit="1" customWidth="1"/>
    <col min="4362" max="4362" width="11.5703125" bestFit="1" customWidth="1"/>
    <col min="4363" max="4363" width="9.28515625" bestFit="1" customWidth="1"/>
    <col min="4364" max="4364" width="11.5703125" bestFit="1" customWidth="1"/>
    <col min="4365" max="4365" width="9.28515625" bestFit="1" customWidth="1"/>
    <col min="4366" max="4366" width="11.5703125" bestFit="1" customWidth="1"/>
    <col min="4367" max="4367" width="9.28515625" bestFit="1" customWidth="1"/>
    <col min="4368" max="4368" width="11.5703125" bestFit="1" customWidth="1"/>
    <col min="4369" max="4369" width="9.28515625" bestFit="1" customWidth="1"/>
    <col min="4370" max="4370" width="11.5703125" bestFit="1" customWidth="1"/>
    <col min="4371" max="4371" width="9.28515625" bestFit="1" customWidth="1"/>
    <col min="4372" max="4372" width="11.5703125" bestFit="1" customWidth="1"/>
    <col min="4373" max="4373" width="9.28515625" bestFit="1" customWidth="1"/>
    <col min="4374" max="4374" width="11.5703125" bestFit="1" customWidth="1"/>
    <col min="4375" max="4375" width="9.28515625" bestFit="1" customWidth="1"/>
    <col min="4376" max="4376" width="11.5703125" bestFit="1" customWidth="1"/>
    <col min="4377" max="4377" width="9.28515625" bestFit="1" customWidth="1"/>
    <col min="4378" max="4378" width="11.5703125" bestFit="1" customWidth="1"/>
    <col min="4379" max="4379" width="9.28515625" bestFit="1" customWidth="1"/>
    <col min="4380" max="4380" width="11.5703125" bestFit="1" customWidth="1"/>
    <col min="4381" max="4381" width="9.28515625" bestFit="1" customWidth="1"/>
    <col min="4382" max="4382" width="11.5703125" bestFit="1" customWidth="1"/>
    <col min="4383" max="4383" width="9.28515625" bestFit="1" customWidth="1"/>
    <col min="4384" max="4384" width="11.5703125" bestFit="1" customWidth="1"/>
    <col min="4385" max="4385" width="9.28515625" bestFit="1" customWidth="1"/>
    <col min="4386" max="4386" width="11.5703125" bestFit="1" customWidth="1"/>
    <col min="4387" max="4387" width="9.28515625" bestFit="1" customWidth="1"/>
    <col min="4388" max="4388" width="11.5703125" bestFit="1" customWidth="1"/>
    <col min="4389" max="4389" width="9.28515625" bestFit="1" customWidth="1"/>
    <col min="4390" max="4390" width="11.5703125" bestFit="1" customWidth="1"/>
    <col min="4391" max="4391" width="9.28515625" bestFit="1" customWidth="1"/>
    <col min="4392" max="4392" width="11.5703125" bestFit="1" customWidth="1"/>
    <col min="4393" max="4393" width="9.28515625" bestFit="1" customWidth="1"/>
    <col min="4394" max="4394" width="11.5703125" bestFit="1" customWidth="1"/>
    <col min="4395" max="4395" width="9.28515625" bestFit="1" customWidth="1"/>
    <col min="4396" max="4396" width="11.5703125" bestFit="1" customWidth="1"/>
    <col min="4397" max="4397" width="9.28515625" bestFit="1" customWidth="1"/>
    <col min="4398" max="4398" width="11.5703125" bestFit="1" customWidth="1"/>
    <col min="4399" max="4399" width="9.28515625" bestFit="1" customWidth="1"/>
    <col min="4400" max="4400" width="11.5703125" bestFit="1" customWidth="1"/>
    <col min="4401" max="4401" width="9.28515625" bestFit="1" customWidth="1"/>
    <col min="4402" max="4402" width="11.5703125" bestFit="1" customWidth="1"/>
    <col min="4403" max="4403" width="9.28515625" bestFit="1" customWidth="1"/>
    <col min="4611" max="4611" width="29.42578125" bestFit="1" customWidth="1"/>
    <col min="4612" max="4612" width="11.5703125" bestFit="1" customWidth="1"/>
    <col min="4613" max="4613" width="9.28515625" bestFit="1" customWidth="1"/>
    <col min="4614" max="4614" width="11.5703125" bestFit="1" customWidth="1"/>
    <col min="4615" max="4615" width="9.28515625" bestFit="1" customWidth="1"/>
    <col min="4616" max="4616" width="11.5703125" bestFit="1" customWidth="1"/>
    <col min="4617" max="4617" width="9.28515625" bestFit="1" customWidth="1"/>
    <col min="4618" max="4618" width="11.5703125" bestFit="1" customWidth="1"/>
    <col min="4619" max="4619" width="9.28515625" bestFit="1" customWidth="1"/>
    <col min="4620" max="4620" width="11.5703125" bestFit="1" customWidth="1"/>
    <col min="4621" max="4621" width="9.28515625" bestFit="1" customWidth="1"/>
    <col min="4622" max="4622" width="11.5703125" bestFit="1" customWidth="1"/>
    <col min="4623" max="4623" width="9.28515625" bestFit="1" customWidth="1"/>
    <col min="4624" max="4624" width="11.5703125" bestFit="1" customWidth="1"/>
    <col min="4625" max="4625" width="9.28515625" bestFit="1" customWidth="1"/>
    <col min="4626" max="4626" width="11.5703125" bestFit="1" customWidth="1"/>
    <col min="4627" max="4627" width="9.28515625" bestFit="1" customWidth="1"/>
    <col min="4628" max="4628" width="11.5703125" bestFit="1" customWidth="1"/>
    <col min="4629" max="4629" width="9.28515625" bestFit="1" customWidth="1"/>
    <col min="4630" max="4630" width="11.5703125" bestFit="1" customWidth="1"/>
    <col min="4631" max="4631" width="9.28515625" bestFit="1" customWidth="1"/>
    <col min="4632" max="4632" width="11.5703125" bestFit="1" customWidth="1"/>
    <col min="4633" max="4633" width="9.28515625" bestFit="1" customWidth="1"/>
    <col min="4634" max="4634" width="11.5703125" bestFit="1" customWidth="1"/>
    <col min="4635" max="4635" width="9.28515625" bestFit="1" customWidth="1"/>
    <col min="4636" max="4636" width="11.5703125" bestFit="1" customWidth="1"/>
    <col min="4637" max="4637" width="9.28515625" bestFit="1" customWidth="1"/>
    <col min="4638" max="4638" width="11.5703125" bestFit="1" customWidth="1"/>
    <col min="4639" max="4639" width="9.28515625" bestFit="1" customWidth="1"/>
    <col min="4640" max="4640" width="11.5703125" bestFit="1" customWidth="1"/>
    <col min="4641" max="4641" width="9.28515625" bestFit="1" customWidth="1"/>
    <col min="4642" max="4642" width="11.5703125" bestFit="1" customWidth="1"/>
    <col min="4643" max="4643" width="9.28515625" bestFit="1" customWidth="1"/>
    <col min="4644" max="4644" width="11.5703125" bestFit="1" customWidth="1"/>
    <col min="4645" max="4645" width="9.28515625" bestFit="1" customWidth="1"/>
    <col min="4646" max="4646" width="11.5703125" bestFit="1" customWidth="1"/>
    <col min="4647" max="4647" width="9.28515625" bestFit="1" customWidth="1"/>
    <col min="4648" max="4648" width="11.5703125" bestFit="1" customWidth="1"/>
    <col min="4649" max="4649" width="9.28515625" bestFit="1" customWidth="1"/>
    <col min="4650" max="4650" width="11.5703125" bestFit="1" customWidth="1"/>
    <col min="4651" max="4651" width="9.28515625" bestFit="1" customWidth="1"/>
    <col min="4652" max="4652" width="11.5703125" bestFit="1" customWidth="1"/>
    <col min="4653" max="4653" width="9.28515625" bestFit="1" customWidth="1"/>
    <col min="4654" max="4654" width="11.5703125" bestFit="1" customWidth="1"/>
    <col min="4655" max="4655" width="9.28515625" bestFit="1" customWidth="1"/>
    <col min="4656" max="4656" width="11.5703125" bestFit="1" customWidth="1"/>
    <col min="4657" max="4657" width="9.28515625" bestFit="1" customWidth="1"/>
    <col min="4658" max="4658" width="11.5703125" bestFit="1" customWidth="1"/>
    <col min="4659" max="4659" width="9.28515625" bestFit="1" customWidth="1"/>
    <col min="4867" max="4867" width="29.42578125" bestFit="1" customWidth="1"/>
    <col min="4868" max="4868" width="11.5703125" bestFit="1" customWidth="1"/>
    <col min="4869" max="4869" width="9.28515625" bestFit="1" customWidth="1"/>
    <col min="4870" max="4870" width="11.5703125" bestFit="1" customWidth="1"/>
    <col min="4871" max="4871" width="9.28515625" bestFit="1" customWidth="1"/>
    <col min="4872" max="4872" width="11.5703125" bestFit="1" customWidth="1"/>
    <col min="4873" max="4873" width="9.28515625" bestFit="1" customWidth="1"/>
    <col min="4874" max="4874" width="11.5703125" bestFit="1" customWidth="1"/>
    <col min="4875" max="4875" width="9.28515625" bestFit="1" customWidth="1"/>
    <col min="4876" max="4876" width="11.5703125" bestFit="1" customWidth="1"/>
    <col min="4877" max="4877" width="9.28515625" bestFit="1" customWidth="1"/>
    <col min="4878" max="4878" width="11.5703125" bestFit="1" customWidth="1"/>
    <col min="4879" max="4879" width="9.28515625" bestFit="1" customWidth="1"/>
    <col min="4880" max="4880" width="11.5703125" bestFit="1" customWidth="1"/>
    <col min="4881" max="4881" width="9.28515625" bestFit="1" customWidth="1"/>
    <col min="4882" max="4882" width="11.5703125" bestFit="1" customWidth="1"/>
    <col min="4883" max="4883" width="9.28515625" bestFit="1" customWidth="1"/>
    <col min="4884" max="4884" width="11.5703125" bestFit="1" customWidth="1"/>
    <col min="4885" max="4885" width="9.28515625" bestFit="1" customWidth="1"/>
    <col min="4886" max="4886" width="11.5703125" bestFit="1" customWidth="1"/>
    <col min="4887" max="4887" width="9.28515625" bestFit="1" customWidth="1"/>
    <col min="4888" max="4888" width="11.5703125" bestFit="1" customWidth="1"/>
    <col min="4889" max="4889" width="9.28515625" bestFit="1" customWidth="1"/>
    <col min="4890" max="4890" width="11.5703125" bestFit="1" customWidth="1"/>
    <col min="4891" max="4891" width="9.28515625" bestFit="1" customWidth="1"/>
    <col min="4892" max="4892" width="11.5703125" bestFit="1" customWidth="1"/>
    <col min="4893" max="4893" width="9.28515625" bestFit="1" customWidth="1"/>
    <col min="4894" max="4894" width="11.5703125" bestFit="1" customWidth="1"/>
    <col min="4895" max="4895" width="9.28515625" bestFit="1" customWidth="1"/>
    <col min="4896" max="4896" width="11.5703125" bestFit="1" customWidth="1"/>
    <col min="4897" max="4897" width="9.28515625" bestFit="1" customWidth="1"/>
    <col min="4898" max="4898" width="11.5703125" bestFit="1" customWidth="1"/>
    <col min="4899" max="4899" width="9.28515625" bestFit="1" customWidth="1"/>
    <col min="4900" max="4900" width="11.5703125" bestFit="1" customWidth="1"/>
    <col min="4901" max="4901" width="9.28515625" bestFit="1" customWidth="1"/>
    <col min="4902" max="4902" width="11.5703125" bestFit="1" customWidth="1"/>
    <col min="4903" max="4903" width="9.28515625" bestFit="1" customWidth="1"/>
    <col min="4904" max="4904" width="11.5703125" bestFit="1" customWidth="1"/>
    <col min="4905" max="4905" width="9.28515625" bestFit="1" customWidth="1"/>
    <col min="4906" max="4906" width="11.5703125" bestFit="1" customWidth="1"/>
    <col min="4907" max="4907" width="9.28515625" bestFit="1" customWidth="1"/>
    <col min="4908" max="4908" width="11.5703125" bestFit="1" customWidth="1"/>
    <col min="4909" max="4909" width="9.28515625" bestFit="1" customWidth="1"/>
    <col min="4910" max="4910" width="11.5703125" bestFit="1" customWidth="1"/>
    <col min="4911" max="4911" width="9.28515625" bestFit="1" customWidth="1"/>
    <col min="4912" max="4912" width="11.5703125" bestFit="1" customWidth="1"/>
    <col min="4913" max="4913" width="9.28515625" bestFit="1" customWidth="1"/>
    <col min="4914" max="4914" width="11.5703125" bestFit="1" customWidth="1"/>
    <col min="4915" max="4915" width="9.28515625" bestFit="1" customWidth="1"/>
    <col min="5123" max="5123" width="29.42578125" bestFit="1" customWidth="1"/>
    <col min="5124" max="5124" width="11.5703125" bestFit="1" customWidth="1"/>
    <col min="5125" max="5125" width="9.28515625" bestFit="1" customWidth="1"/>
    <col min="5126" max="5126" width="11.5703125" bestFit="1" customWidth="1"/>
    <col min="5127" max="5127" width="9.28515625" bestFit="1" customWidth="1"/>
    <col min="5128" max="5128" width="11.5703125" bestFit="1" customWidth="1"/>
    <col min="5129" max="5129" width="9.28515625" bestFit="1" customWidth="1"/>
    <col min="5130" max="5130" width="11.5703125" bestFit="1" customWidth="1"/>
    <col min="5131" max="5131" width="9.28515625" bestFit="1" customWidth="1"/>
    <col min="5132" max="5132" width="11.5703125" bestFit="1" customWidth="1"/>
    <col min="5133" max="5133" width="9.28515625" bestFit="1" customWidth="1"/>
    <col min="5134" max="5134" width="11.5703125" bestFit="1" customWidth="1"/>
    <col min="5135" max="5135" width="9.28515625" bestFit="1" customWidth="1"/>
    <col min="5136" max="5136" width="11.5703125" bestFit="1" customWidth="1"/>
    <col min="5137" max="5137" width="9.28515625" bestFit="1" customWidth="1"/>
    <col min="5138" max="5138" width="11.5703125" bestFit="1" customWidth="1"/>
    <col min="5139" max="5139" width="9.28515625" bestFit="1" customWidth="1"/>
    <col min="5140" max="5140" width="11.5703125" bestFit="1" customWidth="1"/>
    <col min="5141" max="5141" width="9.28515625" bestFit="1" customWidth="1"/>
    <col min="5142" max="5142" width="11.5703125" bestFit="1" customWidth="1"/>
    <col min="5143" max="5143" width="9.28515625" bestFit="1" customWidth="1"/>
    <col min="5144" max="5144" width="11.5703125" bestFit="1" customWidth="1"/>
    <col min="5145" max="5145" width="9.28515625" bestFit="1" customWidth="1"/>
    <col min="5146" max="5146" width="11.5703125" bestFit="1" customWidth="1"/>
    <col min="5147" max="5147" width="9.28515625" bestFit="1" customWidth="1"/>
    <col min="5148" max="5148" width="11.5703125" bestFit="1" customWidth="1"/>
    <col min="5149" max="5149" width="9.28515625" bestFit="1" customWidth="1"/>
    <col min="5150" max="5150" width="11.5703125" bestFit="1" customWidth="1"/>
    <col min="5151" max="5151" width="9.28515625" bestFit="1" customWidth="1"/>
    <col min="5152" max="5152" width="11.5703125" bestFit="1" customWidth="1"/>
    <col min="5153" max="5153" width="9.28515625" bestFit="1" customWidth="1"/>
    <col min="5154" max="5154" width="11.5703125" bestFit="1" customWidth="1"/>
    <col min="5155" max="5155" width="9.28515625" bestFit="1" customWidth="1"/>
    <col min="5156" max="5156" width="11.5703125" bestFit="1" customWidth="1"/>
    <col min="5157" max="5157" width="9.28515625" bestFit="1" customWidth="1"/>
    <col min="5158" max="5158" width="11.5703125" bestFit="1" customWidth="1"/>
    <col min="5159" max="5159" width="9.28515625" bestFit="1" customWidth="1"/>
    <col min="5160" max="5160" width="11.5703125" bestFit="1" customWidth="1"/>
    <col min="5161" max="5161" width="9.28515625" bestFit="1" customWidth="1"/>
    <col min="5162" max="5162" width="11.5703125" bestFit="1" customWidth="1"/>
    <col min="5163" max="5163" width="9.28515625" bestFit="1" customWidth="1"/>
    <col min="5164" max="5164" width="11.5703125" bestFit="1" customWidth="1"/>
    <col min="5165" max="5165" width="9.28515625" bestFit="1" customWidth="1"/>
    <col min="5166" max="5166" width="11.5703125" bestFit="1" customWidth="1"/>
    <col min="5167" max="5167" width="9.28515625" bestFit="1" customWidth="1"/>
    <col min="5168" max="5168" width="11.5703125" bestFit="1" customWidth="1"/>
    <col min="5169" max="5169" width="9.28515625" bestFit="1" customWidth="1"/>
    <col min="5170" max="5170" width="11.5703125" bestFit="1" customWidth="1"/>
    <col min="5171" max="5171" width="9.28515625" bestFit="1" customWidth="1"/>
    <col min="5379" max="5379" width="29.42578125" bestFit="1" customWidth="1"/>
    <col min="5380" max="5380" width="11.5703125" bestFit="1" customWidth="1"/>
    <col min="5381" max="5381" width="9.28515625" bestFit="1" customWidth="1"/>
    <col min="5382" max="5382" width="11.5703125" bestFit="1" customWidth="1"/>
    <col min="5383" max="5383" width="9.28515625" bestFit="1" customWidth="1"/>
    <col min="5384" max="5384" width="11.5703125" bestFit="1" customWidth="1"/>
    <col min="5385" max="5385" width="9.28515625" bestFit="1" customWidth="1"/>
    <col min="5386" max="5386" width="11.5703125" bestFit="1" customWidth="1"/>
    <col min="5387" max="5387" width="9.28515625" bestFit="1" customWidth="1"/>
    <col min="5388" max="5388" width="11.5703125" bestFit="1" customWidth="1"/>
    <col min="5389" max="5389" width="9.28515625" bestFit="1" customWidth="1"/>
    <col min="5390" max="5390" width="11.5703125" bestFit="1" customWidth="1"/>
    <col min="5391" max="5391" width="9.28515625" bestFit="1" customWidth="1"/>
    <col min="5392" max="5392" width="11.5703125" bestFit="1" customWidth="1"/>
    <col min="5393" max="5393" width="9.28515625" bestFit="1" customWidth="1"/>
    <col min="5394" max="5394" width="11.5703125" bestFit="1" customWidth="1"/>
    <col min="5395" max="5395" width="9.28515625" bestFit="1" customWidth="1"/>
    <col min="5396" max="5396" width="11.5703125" bestFit="1" customWidth="1"/>
    <col min="5397" max="5397" width="9.28515625" bestFit="1" customWidth="1"/>
    <col min="5398" max="5398" width="11.5703125" bestFit="1" customWidth="1"/>
    <col min="5399" max="5399" width="9.28515625" bestFit="1" customWidth="1"/>
    <col min="5400" max="5400" width="11.5703125" bestFit="1" customWidth="1"/>
    <col min="5401" max="5401" width="9.28515625" bestFit="1" customWidth="1"/>
    <col min="5402" max="5402" width="11.5703125" bestFit="1" customWidth="1"/>
    <col min="5403" max="5403" width="9.28515625" bestFit="1" customWidth="1"/>
    <col min="5404" max="5404" width="11.5703125" bestFit="1" customWidth="1"/>
    <col min="5405" max="5405" width="9.28515625" bestFit="1" customWidth="1"/>
    <col min="5406" max="5406" width="11.5703125" bestFit="1" customWidth="1"/>
    <col min="5407" max="5407" width="9.28515625" bestFit="1" customWidth="1"/>
    <col min="5408" max="5408" width="11.5703125" bestFit="1" customWidth="1"/>
    <col min="5409" max="5409" width="9.28515625" bestFit="1" customWidth="1"/>
    <col min="5410" max="5410" width="11.5703125" bestFit="1" customWidth="1"/>
    <col min="5411" max="5411" width="9.28515625" bestFit="1" customWidth="1"/>
    <col min="5412" max="5412" width="11.5703125" bestFit="1" customWidth="1"/>
    <col min="5413" max="5413" width="9.28515625" bestFit="1" customWidth="1"/>
    <col min="5414" max="5414" width="11.5703125" bestFit="1" customWidth="1"/>
    <col min="5415" max="5415" width="9.28515625" bestFit="1" customWidth="1"/>
    <col min="5416" max="5416" width="11.5703125" bestFit="1" customWidth="1"/>
    <col min="5417" max="5417" width="9.28515625" bestFit="1" customWidth="1"/>
    <col min="5418" max="5418" width="11.5703125" bestFit="1" customWidth="1"/>
    <col min="5419" max="5419" width="9.28515625" bestFit="1" customWidth="1"/>
    <col min="5420" max="5420" width="11.5703125" bestFit="1" customWidth="1"/>
    <col min="5421" max="5421" width="9.28515625" bestFit="1" customWidth="1"/>
    <col min="5422" max="5422" width="11.5703125" bestFit="1" customWidth="1"/>
    <col min="5423" max="5423" width="9.28515625" bestFit="1" customWidth="1"/>
    <col min="5424" max="5424" width="11.5703125" bestFit="1" customWidth="1"/>
    <col min="5425" max="5425" width="9.28515625" bestFit="1" customWidth="1"/>
    <col min="5426" max="5426" width="11.5703125" bestFit="1" customWidth="1"/>
    <col min="5427" max="5427" width="9.28515625" bestFit="1" customWidth="1"/>
    <col min="5635" max="5635" width="29.42578125" bestFit="1" customWidth="1"/>
    <col min="5636" max="5636" width="11.5703125" bestFit="1" customWidth="1"/>
    <col min="5637" max="5637" width="9.28515625" bestFit="1" customWidth="1"/>
    <col min="5638" max="5638" width="11.5703125" bestFit="1" customWidth="1"/>
    <col min="5639" max="5639" width="9.28515625" bestFit="1" customWidth="1"/>
    <col min="5640" max="5640" width="11.5703125" bestFit="1" customWidth="1"/>
    <col min="5641" max="5641" width="9.28515625" bestFit="1" customWidth="1"/>
    <col min="5642" max="5642" width="11.5703125" bestFit="1" customWidth="1"/>
    <col min="5643" max="5643" width="9.28515625" bestFit="1" customWidth="1"/>
    <col min="5644" max="5644" width="11.5703125" bestFit="1" customWidth="1"/>
    <col min="5645" max="5645" width="9.28515625" bestFit="1" customWidth="1"/>
    <col min="5646" max="5646" width="11.5703125" bestFit="1" customWidth="1"/>
    <col min="5647" max="5647" width="9.28515625" bestFit="1" customWidth="1"/>
    <col min="5648" max="5648" width="11.5703125" bestFit="1" customWidth="1"/>
    <col min="5649" max="5649" width="9.28515625" bestFit="1" customWidth="1"/>
    <col min="5650" max="5650" width="11.5703125" bestFit="1" customWidth="1"/>
    <col min="5651" max="5651" width="9.28515625" bestFit="1" customWidth="1"/>
    <col min="5652" max="5652" width="11.5703125" bestFit="1" customWidth="1"/>
    <col min="5653" max="5653" width="9.28515625" bestFit="1" customWidth="1"/>
    <col min="5654" max="5654" width="11.5703125" bestFit="1" customWidth="1"/>
    <col min="5655" max="5655" width="9.28515625" bestFit="1" customWidth="1"/>
    <col min="5656" max="5656" width="11.5703125" bestFit="1" customWidth="1"/>
    <col min="5657" max="5657" width="9.28515625" bestFit="1" customWidth="1"/>
    <col min="5658" max="5658" width="11.5703125" bestFit="1" customWidth="1"/>
    <col min="5659" max="5659" width="9.28515625" bestFit="1" customWidth="1"/>
    <col min="5660" max="5660" width="11.5703125" bestFit="1" customWidth="1"/>
    <col min="5661" max="5661" width="9.28515625" bestFit="1" customWidth="1"/>
    <col min="5662" max="5662" width="11.5703125" bestFit="1" customWidth="1"/>
    <col min="5663" max="5663" width="9.28515625" bestFit="1" customWidth="1"/>
    <col min="5664" max="5664" width="11.5703125" bestFit="1" customWidth="1"/>
    <col min="5665" max="5665" width="9.28515625" bestFit="1" customWidth="1"/>
    <col min="5666" max="5666" width="11.5703125" bestFit="1" customWidth="1"/>
    <col min="5667" max="5667" width="9.28515625" bestFit="1" customWidth="1"/>
    <col min="5668" max="5668" width="11.5703125" bestFit="1" customWidth="1"/>
    <col min="5669" max="5669" width="9.28515625" bestFit="1" customWidth="1"/>
    <col min="5670" max="5670" width="11.5703125" bestFit="1" customWidth="1"/>
    <col min="5671" max="5671" width="9.28515625" bestFit="1" customWidth="1"/>
    <col min="5672" max="5672" width="11.5703125" bestFit="1" customWidth="1"/>
    <col min="5673" max="5673" width="9.28515625" bestFit="1" customWidth="1"/>
    <col min="5674" max="5674" width="11.5703125" bestFit="1" customWidth="1"/>
    <col min="5675" max="5675" width="9.28515625" bestFit="1" customWidth="1"/>
    <col min="5676" max="5676" width="11.5703125" bestFit="1" customWidth="1"/>
    <col min="5677" max="5677" width="9.28515625" bestFit="1" customWidth="1"/>
    <col min="5678" max="5678" width="11.5703125" bestFit="1" customWidth="1"/>
    <col min="5679" max="5679" width="9.28515625" bestFit="1" customWidth="1"/>
    <col min="5680" max="5680" width="11.5703125" bestFit="1" customWidth="1"/>
    <col min="5681" max="5681" width="9.28515625" bestFit="1" customWidth="1"/>
    <col min="5682" max="5682" width="11.5703125" bestFit="1" customWidth="1"/>
    <col min="5683" max="5683" width="9.28515625" bestFit="1" customWidth="1"/>
    <col min="5891" max="5891" width="29.42578125" bestFit="1" customWidth="1"/>
    <col min="5892" max="5892" width="11.5703125" bestFit="1" customWidth="1"/>
    <col min="5893" max="5893" width="9.28515625" bestFit="1" customWidth="1"/>
    <col min="5894" max="5894" width="11.5703125" bestFit="1" customWidth="1"/>
    <col min="5895" max="5895" width="9.28515625" bestFit="1" customWidth="1"/>
    <col min="5896" max="5896" width="11.5703125" bestFit="1" customWidth="1"/>
    <col min="5897" max="5897" width="9.28515625" bestFit="1" customWidth="1"/>
    <col min="5898" max="5898" width="11.5703125" bestFit="1" customWidth="1"/>
    <col min="5899" max="5899" width="9.28515625" bestFit="1" customWidth="1"/>
    <col min="5900" max="5900" width="11.5703125" bestFit="1" customWidth="1"/>
    <col min="5901" max="5901" width="9.28515625" bestFit="1" customWidth="1"/>
    <col min="5902" max="5902" width="11.5703125" bestFit="1" customWidth="1"/>
    <col min="5903" max="5903" width="9.28515625" bestFit="1" customWidth="1"/>
    <col min="5904" max="5904" width="11.5703125" bestFit="1" customWidth="1"/>
    <col min="5905" max="5905" width="9.28515625" bestFit="1" customWidth="1"/>
    <col min="5906" max="5906" width="11.5703125" bestFit="1" customWidth="1"/>
    <col min="5907" max="5907" width="9.28515625" bestFit="1" customWidth="1"/>
    <col min="5908" max="5908" width="11.5703125" bestFit="1" customWidth="1"/>
    <col min="5909" max="5909" width="9.28515625" bestFit="1" customWidth="1"/>
    <col min="5910" max="5910" width="11.5703125" bestFit="1" customWidth="1"/>
    <col min="5911" max="5911" width="9.28515625" bestFit="1" customWidth="1"/>
    <col min="5912" max="5912" width="11.5703125" bestFit="1" customWidth="1"/>
    <col min="5913" max="5913" width="9.28515625" bestFit="1" customWidth="1"/>
    <col min="5914" max="5914" width="11.5703125" bestFit="1" customWidth="1"/>
    <col min="5915" max="5915" width="9.28515625" bestFit="1" customWidth="1"/>
    <col min="5916" max="5916" width="11.5703125" bestFit="1" customWidth="1"/>
    <col min="5917" max="5917" width="9.28515625" bestFit="1" customWidth="1"/>
    <col min="5918" max="5918" width="11.5703125" bestFit="1" customWidth="1"/>
    <col min="5919" max="5919" width="9.28515625" bestFit="1" customWidth="1"/>
    <col min="5920" max="5920" width="11.5703125" bestFit="1" customWidth="1"/>
    <col min="5921" max="5921" width="9.28515625" bestFit="1" customWidth="1"/>
    <col min="5922" max="5922" width="11.5703125" bestFit="1" customWidth="1"/>
    <col min="5923" max="5923" width="9.28515625" bestFit="1" customWidth="1"/>
    <col min="5924" max="5924" width="11.5703125" bestFit="1" customWidth="1"/>
    <col min="5925" max="5925" width="9.28515625" bestFit="1" customWidth="1"/>
    <col min="5926" max="5926" width="11.5703125" bestFit="1" customWidth="1"/>
    <col min="5927" max="5927" width="9.28515625" bestFit="1" customWidth="1"/>
    <col min="5928" max="5928" width="11.5703125" bestFit="1" customWidth="1"/>
    <col min="5929" max="5929" width="9.28515625" bestFit="1" customWidth="1"/>
    <col min="5930" max="5930" width="11.5703125" bestFit="1" customWidth="1"/>
    <col min="5931" max="5931" width="9.28515625" bestFit="1" customWidth="1"/>
    <col min="5932" max="5932" width="11.5703125" bestFit="1" customWidth="1"/>
    <col min="5933" max="5933" width="9.28515625" bestFit="1" customWidth="1"/>
    <col min="5934" max="5934" width="11.5703125" bestFit="1" customWidth="1"/>
    <col min="5935" max="5935" width="9.28515625" bestFit="1" customWidth="1"/>
    <col min="5936" max="5936" width="11.5703125" bestFit="1" customWidth="1"/>
    <col min="5937" max="5937" width="9.28515625" bestFit="1" customWidth="1"/>
    <col min="5938" max="5938" width="11.5703125" bestFit="1" customWidth="1"/>
    <col min="5939" max="5939" width="9.28515625" bestFit="1" customWidth="1"/>
    <col min="6147" max="6147" width="29.42578125" bestFit="1" customWidth="1"/>
    <col min="6148" max="6148" width="11.5703125" bestFit="1" customWidth="1"/>
    <col min="6149" max="6149" width="9.28515625" bestFit="1" customWidth="1"/>
    <col min="6150" max="6150" width="11.5703125" bestFit="1" customWidth="1"/>
    <col min="6151" max="6151" width="9.28515625" bestFit="1" customWidth="1"/>
    <col min="6152" max="6152" width="11.5703125" bestFit="1" customWidth="1"/>
    <col min="6153" max="6153" width="9.28515625" bestFit="1" customWidth="1"/>
    <col min="6154" max="6154" width="11.5703125" bestFit="1" customWidth="1"/>
    <col min="6155" max="6155" width="9.28515625" bestFit="1" customWidth="1"/>
    <col min="6156" max="6156" width="11.5703125" bestFit="1" customWidth="1"/>
    <col min="6157" max="6157" width="9.28515625" bestFit="1" customWidth="1"/>
    <col min="6158" max="6158" width="11.5703125" bestFit="1" customWidth="1"/>
    <col min="6159" max="6159" width="9.28515625" bestFit="1" customWidth="1"/>
    <col min="6160" max="6160" width="11.5703125" bestFit="1" customWidth="1"/>
    <col min="6161" max="6161" width="9.28515625" bestFit="1" customWidth="1"/>
    <col min="6162" max="6162" width="11.5703125" bestFit="1" customWidth="1"/>
    <col min="6163" max="6163" width="9.28515625" bestFit="1" customWidth="1"/>
    <col min="6164" max="6164" width="11.5703125" bestFit="1" customWidth="1"/>
    <col min="6165" max="6165" width="9.28515625" bestFit="1" customWidth="1"/>
    <col min="6166" max="6166" width="11.5703125" bestFit="1" customWidth="1"/>
    <col min="6167" max="6167" width="9.28515625" bestFit="1" customWidth="1"/>
    <col min="6168" max="6168" width="11.5703125" bestFit="1" customWidth="1"/>
    <col min="6169" max="6169" width="9.28515625" bestFit="1" customWidth="1"/>
    <col min="6170" max="6170" width="11.5703125" bestFit="1" customWidth="1"/>
    <col min="6171" max="6171" width="9.28515625" bestFit="1" customWidth="1"/>
    <col min="6172" max="6172" width="11.5703125" bestFit="1" customWidth="1"/>
    <col min="6173" max="6173" width="9.28515625" bestFit="1" customWidth="1"/>
    <col min="6174" max="6174" width="11.5703125" bestFit="1" customWidth="1"/>
    <col min="6175" max="6175" width="9.28515625" bestFit="1" customWidth="1"/>
    <col min="6176" max="6176" width="11.5703125" bestFit="1" customWidth="1"/>
    <col min="6177" max="6177" width="9.28515625" bestFit="1" customWidth="1"/>
    <col min="6178" max="6178" width="11.5703125" bestFit="1" customWidth="1"/>
    <col min="6179" max="6179" width="9.28515625" bestFit="1" customWidth="1"/>
    <col min="6180" max="6180" width="11.5703125" bestFit="1" customWidth="1"/>
    <col min="6181" max="6181" width="9.28515625" bestFit="1" customWidth="1"/>
    <col min="6182" max="6182" width="11.5703125" bestFit="1" customWidth="1"/>
    <col min="6183" max="6183" width="9.28515625" bestFit="1" customWidth="1"/>
    <col min="6184" max="6184" width="11.5703125" bestFit="1" customWidth="1"/>
    <col min="6185" max="6185" width="9.28515625" bestFit="1" customWidth="1"/>
    <col min="6186" max="6186" width="11.5703125" bestFit="1" customWidth="1"/>
    <col min="6187" max="6187" width="9.28515625" bestFit="1" customWidth="1"/>
    <col min="6188" max="6188" width="11.5703125" bestFit="1" customWidth="1"/>
    <col min="6189" max="6189" width="9.28515625" bestFit="1" customWidth="1"/>
    <col min="6190" max="6190" width="11.5703125" bestFit="1" customWidth="1"/>
    <col min="6191" max="6191" width="9.28515625" bestFit="1" customWidth="1"/>
    <col min="6192" max="6192" width="11.5703125" bestFit="1" customWidth="1"/>
    <col min="6193" max="6193" width="9.28515625" bestFit="1" customWidth="1"/>
    <col min="6194" max="6194" width="11.5703125" bestFit="1" customWidth="1"/>
    <col min="6195" max="6195" width="9.28515625" bestFit="1" customWidth="1"/>
    <col min="6403" max="6403" width="29.42578125" bestFit="1" customWidth="1"/>
    <col min="6404" max="6404" width="11.5703125" bestFit="1" customWidth="1"/>
    <col min="6405" max="6405" width="9.28515625" bestFit="1" customWidth="1"/>
    <col min="6406" max="6406" width="11.5703125" bestFit="1" customWidth="1"/>
    <col min="6407" max="6407" width="9.28515625" bestFit="1" customWidth="1"/>
    <col min="6408" max="6408" width="11.5703125" bestFit="1" customWidth="1"/>
    <col min="6409" max="6409" width="9.28515625" bestFit="1" customWidth="1"/>
    <col min="6410" max="6410" width="11.5703125" bestFit="1" customWidth="1"/>
    <col min="6411" max="6411" width="9.28515625" bestFit="1" customWidth="1"/>
    <col min="6412" max="6412" width="11.5703125" bestFit="1" customWidth="1"/>
    <col min="6413" max="6413" width="9.28515625" bestFit="1" customWidth="1"/>
    <col min="6414" max="6414" width="11.5703125" bestFit="1" customWidth="1"/>
    <col min="6415" max="6415" width="9.28515625" bestFit="1" customWidth="1"/>
    <col min="6416" max="6416" width="11.5703125" bestFit="1" customWidth="1"/>
    <col min="6417" max="6417" width="9.28515625" bestFit="1" customWidth="1"/>
    <col min="6418" max="6418" width="11.5703125" bestFit="1" customWidth="1"/>
    <col min="6419" max="6419" width="9.28515625" bestFit="1" customWidth="1"/>
    <col min="6420" max="6420" width="11.5703125" bestFit="1" customWidth="1"/>
    <col min="6421" max="6421" width="9.28515625" bestFit="1" customWidth="1"/>
    <col min="6422" max="6422" width="11.5703125" bestFit="1" customWidth="1"/>
    <col min="6423" max="6423" width="9.28515625" bestFit="1" customWidth="1"/>
    <col min="6424" max="6424" width="11.5703125" bestFit="1" customWidth="1"/>
    <col min="6425" max="6425" width="9.28515625" bestFit="1" customWidth="1"/>
    <col min="6426" max="6426" width="11.5703125" bestFit="1" customWidth="1"/>
    <col min="6427" max="6427" width="9.28515625" bestFit="1" customWidth="1"/>
    <col min="6428" max="6428" width="11.5703125" bestFit="1" customWidth="1"/>
    <col min="6429" max="6429" width="9.28515625" bestFit="1" customWidth="1"/>
    <col min="6430" max="6430" width="11.5703125" bestFit="1" customWidth="1"/>
    <col min="6431" max="6431" width="9.28515625" bestFit="1" customWidth="1"/>
    <col min="6432" max="6432" width="11.5703125" bestFit="1" customWidth="1"/>
    <col min="6433" max="6433" width="9.28515625" bestFit="1" customWidth="1"/>
    <col min="6434" max="6434" width="11.5703125" bestFit="1" customWidth="1"/>
    <col min="6435" max="6435" width="9.28515625" bestFit="1" customWidth="1"/>
    <col min="6436" max="6436" width="11.5703125" bestFit="1" customWidth="1"/>
    <col min="6437" max="6437" width="9.28515625" bestFit="1" customWidth="1"/>
    <col min="6438" max="6438" width="11.5703125" bestFit="1" customWidth="1"/>
    <col min="6439" max="6439" width="9.28515625" bestFit="1" customWidth="1"/>
    <col min="6440" max="6440" width="11.5703125" bestFit="1" customWidth="1"/>
    <col min="6441" max="6441" width="9.28515625" bestFit="1" customWidth="1"/>
    <col min="6442" max="6442" width="11.5703125" bestFit="1" customWidth="1"/>
    <col min="6443" max="6443" width="9.28515625" bestFit="1" customWidth="1"/>
    <col min="6444" max="6444" width="11.5703125" bestFit="1" customWidth="1"/>
    <col min="6445" max="6445" width="9.28515625" bestFit="1" customWidth="1"/>
    <col min="6446" max="6446" width="11.5703125" bestFit="1" customWidth="1"/>
    <col min="6447" max="6447" width="9.28515625" bestFit="1" customWidth="1"/>
    <col min="6448" max="6448" width="11.5703125" bestFit="1" customWidth="1"/>
    <col min="6449" max="6449" width="9.28515625" bestFit="1" customWidth="1"/>
    <col min="6450" max="6450" width="11.5703125" bestFit="1" customWidth="1"/>
    <col min="6451" max="6451" width="9.28515625" bestFit="1" customWidth="1"/>
    <col min="6659" max="6659" width="29.42578125" bestFit="1" customWidth="1"/>
    <col min="6660" max="6660" width="11.5703125" bestFit="1" customWidth="1"/>
    <col min="6661" max="6661" width="9.28515625" bestFit="1" customWidth="1"/>
    <col min="6662" max="6662" width="11.5703125" bestFit="1" customWidth="1"/>
    <col min="6663" max="6663" width="9.28515625" bestFit="1" customWidth="1"/>
    <col min="6664" max="6664" width="11.5703125" bestFit="1" customWidth="1"/>
    <col min="6665" max="6665" width="9.28515625" bestFit="1" customWidth="1"/>
    <col min="6666" max="6666" width="11.5703125" bestFit="1" customWidth="1"/>
    <col min="6667" max="6667" width="9.28515625" bestFit="1" customWidth="1"/>
    <col min="6668" max="6668" width="11.5703125" bestFit="1" customWidth="1"/>
    <col min="6669" max="6669" width="9.28515625" bestFit="1" customWidth="1"/>
    <col min="6670" max="6670" width="11.5703125" bestFit="1" customWidth="1"/>
    <col min="6671" max="6671" width="9.28515625" bestFit="1" customWidth="1"/>
    <col min="6672" max="6672" width="11.5703125" bestFit="1" customWidth="1"/>
    <col min="6673" max="6673" width="9.28515625" bestFit="1" customWidth="1"/>
    <col min="6674" max="6674" width="11.5703125" bestFit="1" customWidth="1"/>
    <col min="6675" max="6675" width="9.28515625" bestFit="1" customWidth="1"/>
    <col min="6676" max="6676" width="11.5703125" bestFit="1" customWidth="1"/>
    <col min="6677" max="6677" width="9.28515625" bestFit="1" customWidth="1"/>
    <col min="6678" max="6678" width="11.5703125" bestFit="1" customWidth="1"/>
    <col min="6679" max="6679" width="9.28515625" bestFit="1" customWidth="1"/>
    <col min="6680" max="6680" width="11.5703125" bestFit="1" customWidth="1"/>
    <col min="6681" max="6681" width="9.28515625" bestFit="1" customWidth="1"/>
    <col min="6682" max="6682" width="11.5703125" bestFit="1" customWidth="1"/>
    <col min="6683" max="6683" width="9.28515625" bestFit="1" customWidth="1"/>
    <col min="6684" max="6684" width="11.5703125" bestFit="1" customWidth="1"/>
    <col min="6685" max="6685" width="9.28515625" bestFit="1" customWidth="1"/>
    <col min="6686" max="6686" width="11.5703125" bestFit="1" customWidth="1"/>
    <col min="6687" max="6687" width="9.28515625" bestFit="1" customWidth="1"/>
    <col min="6688" max="6688" width="11.5703125" bestFit="1" customWidth="1"/>
    <col min="6689" max="6689" width="9.28515625" bestFit="1" customWidth="1"/>
    <col min="6690" max="6690" width="11.5703125" bestFit="1" customWidth="1"/>
    <col min="6691" max="6691" width="9.28515625" bestFit="1" customWidth="1"/>
    <col min="6692" max="6692" width="11.5703125" bestFit="1" customWidth="1"/>
    <col min="6693" max="6693" width="9.28515625" bestFit="1" customWidth="1"/>
    <col min="6694" max="6694" width="11.5703125" bestFit="1" customWidth="1"/>
    <col min="6695" max="6695" width="9.28515625" bestFit="1" customWidth="1"/>
    <col min="6696" max="6696" width="11.5703125" bestFit="1" customWidth="1"/>
    <col min="6697" max="6697" width="9.28515625" bestFit="1" customWidth="1"/>
    <col min="6698" max="6698" width="11.5703125" bestFit="1" customWidth="1"/>
    <col min="6699" max="6699" width="9.28515625" bestFit="1" customWidth="1"/>
    <col min="6700" max="6700" width="11.5703125" bestFit="1" customWidth="1"/>
    <col min="6701" max="6701" width="9.28515625" bestFit="1" customWidth="1"/>
    <col min="6702" max="6702" width="11.5703125" bestFit="1" customWidth="1"/>
    <col min="6703" max="6703" width="9.28515625" bestFit="1" customWidth="1"/>
    <col min="6704" max="6704" width="11.5703125" bestFit="1" customWidth="1"/>
    <col min="6705" max="6705" width="9.28515625" bestFit="1" customWidth="1"/>
    <col min="6706" max="6706" width="11.5703125" bestFit="1" customWidth="1"/>
    <col min="6707" max="6707" width="9.28515625" bestFit="1" customWidth="1"/>
    <col min="6915" max="6915" width="29.42578125" bestFit="1" customWidth="1"/>
    <col min="6916" max="6916" width="11.5703125" bestFit="1" customWidth="1"/>
    <col min="6917" max="6917" width="9.28515625" bestFit="1" customWidth="1"/>
    <col min="6918" max="6918" width="11.5703125" bestFit="1" customWidth="1"/>
    <col min="6919" max="6919" width="9.28515625" bestFit="1" customWidth="1"/>
    <col min="6920" max="6920" width="11.5703125" bestFit="1" customWidth="1"/>
    <col min="6921" max="6921" width="9.28515625" bestFit="1" customWidth="1"/>
    <col min="6922" max="6922" width="11.5703125" bestFit="1" customWidth="1"/>
    <col min="6923" max="6923" width="9.28515625" bestFit="1" customWidth="1"/>
    <col min="6924" max="6924" width="11.5703125" bestFit="1" customWidth="1"/>
    <col min="6925" max="6925" width="9.28515625" bestFit="1" customWidth="1"/>
    <col min="6926" max="6926" width="11.5703125" bestFit="1" customWidth="1"/>
    <col min="6927" max="6927" width="9.28515625" bestFit="1" customWidth="1"/>
    <col min="6928" max="6928" width="11.5703125" bestFit="1" customWidth="1"/>
    <col min="6929" max="6929" width="9.28515625" bestFit="1" customWidth="1"/>
    <col min="6930" max="6930" width="11.5703125" bestFit="1" customWidth="1"/>
    <col min="6931" max="6931" width="9.28515625" bestFit="1" customWidth="1"/>
    <col min="6932" max="6932" width="11.5703125" bestFit="1" customWidth="1"/>
    <col min="6933" max="6933" width="9.28515625" bestFit="1" customWidth="1"/>
    <col min="6934" max="6934" width="11.5703125" bestFit="1" customWidth="1"/>
    <col min="6935" max="6935" width="9.28515625" bestFit="1" customWidth="1"/>
    <col min="6936" max="6936" width="11.5703125" bestFit="1" customWidth="1"/>
    <col min="6937" max="6937" width="9.28515625" bestFit="1" customWidth="1"/>
    <col min="6938" max="6938" width="11.5703125" bestFit="1" customWidth="1"/>
    <col min="6939" max="6939" width="9.28515625" bestFit="1" customWidth="1"/>
    <col min="6940" max="6940" width="11.5703125" bestFit="1" customWidth="1"/>
    <col min="6941" max="6941" width="9.28515625" bestFit="1" customWidth="1"/>
    <col min="6942" max="6942" width="11.5703125" bestFit="1" customWidth="1"/>
    <col min="6943" max="6943" width="9.28515625" bestFit="1" customWidth="1"/>
    <col min="6944" max="6944" width="11.5703125" bestFit="1" customWidth="1"/>
    <col min="6945" max="6945" width="9.28515625" bestFit="1" customWidth="1"/>
    <col min="6946" max="6946" width="11.5703125" bestFit="1" customWidth="1"/>
    <col min="6947" max="6947" width="9.28515625" bestFit="1" customWidth="1"/>
    <col min="6948" max="6948" width="11.5703125" bestFit="1" customWidth="1"/>
    <col min="6949" max="6949" width="9.28515625" bestFit="1" customWidth="1"/>
    <col min="6950" max="6950" width="11.5703125" bestFit="1" customWidth="1"/>
    <col min="6951" max="6951" width="9.28515625" bestFit="1" customWidth="1"/>
    <col min="6952" max="6952" width="11.5703125" bestFit="1" customWidth="1"/>
    <col min="6953" max="6953" width="9.28515625" bestFit="1" customWidth="1"/>
    <col min="6954" max="6954" width="11.5703125" bestFit="1" customWidth="1"/>
    <col min="6955" max="6955" width="9.28515625" bestFit="1" customWidth="1"/>
    <col min="6956" max="6956" width="11.5703125" bestFit="1" customWidth="1"/>
    <col min="6957" max="6957" width="9.28515625" bestFit="1" customWidth="1"/>
    <col min="6958" max="6958" width="11.5703125" bestFit="1" customWidth="1"/>
    <col min="6959" max="6959" width="9.28515625" bestFit="1" customWidth="1"/>
    <col min="6960" max="6960" width="11.5703125" bestFit="1" customWidth="1"/>
    <col min="6961" max="6961" width="9.28515625" bestFit="1" customWidth="1"/>
    <col min="6962" max="6962" width="11.5703125" bestFit="1" customWidth="1"/>
    <col min="6963" max="6963" width="9.28515625" bestFit="1" customWidth="1"/>
    <col min="7171" max="7171" width="29.42578125" bestFit="1" customWidth="1"/>
    <col min="7172" max="7172" width="11.5703125" bestFit="1" customWidth="1"/>
    <col min="7173" max="7173" width="9.28515625" bestFit="1" customWidth="1"/>
    <col min="7174" max="7174" width="11.5703125" bestFit="1" customWidth="1"/>
    <col min="7175" max="7175" width="9.28515625" bestFit="1" customWidth="1"/>
    <col min="7176" max="7176" width="11.5703125" bestFit="1" customWidth="1"/>
    <col min="7177" max="7177" width="9.28515625" bestFit="1" customWidth="1"/>
    <col min="7178" max="7178" width="11.5703125" bestFit="1" customWidth="1"/>
    <col min="7179" max="7179" width="9.28515625" bestFit="1" customWidth="1"/>
    <col min="7180" max="7180" width="11.5703125" bestFit="1" customWidth="1"/>
    <col min="7181" max="7181" width="9.28515625" bestFit="1" customWidth="1"/>
    <col min="7182" max="7182" width="11.5703125" bestFit="1" customWidth="1"/>
    <col min="7183" max="7183" width="9.28515625" bestFit="1" customWidth="1"/>
    <col min="7184" max="7184" width="11.5703125" bestFit="1" customWidth="1"/>
    <col min="7185" max="7185" width="9.28515625" bestFit="1" customWidth="1"/>
    <col min="7186" max="7186" width="11.5703125" bestFit="1" customWidth="1"/>
    <col min="7187" max="7187" width="9.28515625" bestFit="1" customWidth="1"/>
    <col min="7188" max="7188" width="11.5703125" bestFit="1" customWidth="1"/>
    <col min="7189" max="7189" width="9.28515625" bestFit="1" customWidth="1"/>
    <col min="7190" max="7190" width="11.5703125" bestFit="1" customWidth="1"/>
    <col min="7191" max="7191" width="9.28515625" bestFit="1" customWidth="1"/>
    <col min="7192" max="7192" width="11.5703125" bestFit="1" customWidth="1"/>
    <col min="7193" max="7193" width="9.28515625" bestFit="1" customWidth="1"/>
    <col min="7194" max="7194" width="11.5703125" bestFit="1" customWidth="1"/>
    <col min="7195" max="7195" width="9.28515625" bestFit="1" customWidth="1"/>
    <col min="7196" max="7196" width="11.5703125" bestFit="1" customWidth="1"/>
    <col min="7197" max="7197" width="9.28515625" bestFit="1" customWidth="1"/>
    <col min="7198" max="7198" width="11.5703125" bestFit="1" customWidth="1"/>
    <col min="7199" max="7199" width="9.28515625" bestFit="1" customWidth="1"/>
    <col min="7200" max="7200" width="11.5703125" bestFit="1" customWidth="1"/>
    <col min="7201" max="7201" width="9.28515625" bestFit="1" customWidth="1"/>
    <col min="7202" max="7202" width="11.5703125" bestFit="1" customWidth="1"/>
    <col min="7203" max="7203" width="9.28515625" bestFit="1" customWidth="1"/>
    <col min="7204" max="7204" width="11.5703125" bestFit="1" customWidth="1"/>
    <col min="7205" max="7205" width="9.28515625" bestFit="1" customWidth="1"/>
    <col min="7206" max="7206" width="11.5703125" bestFit="1" customWidth="1"/>
    <col min="7207" max="7207" width="9.28515625" bestFit="1" customWidth="1"/>
    <col min="7208" max="7208" width="11.5703125" bestFit="1" customWidth="1"/>
    <col min="7209" max="7209" width="9.28515625" bestFit="1" customWidth="1"/>
    <col min="7210" max="7210" width="11.5703125" bestFit="1" customWidth="1"/>
    <col min="7211" max="7211" width="9.28515625" bestFit="1" customWidth="1"/>
    <col min="7212" max="7212" width="11.5703125" bestFit="1" customWidth="1"/>
    <col min="7213" max="7213" width="9.28515625" bestFit="1" customWidth="1"/>
    <col min="7214" max="7214" width="11.5703125" bestFit="1" customWidth="1"/>
    <col min="7215" max="7215" width="9.28515625" bestFit="1" customWidth="1"/>
    <col min="7216" max="7216" width="11.5703125" bestFit="1" customWidth="1"/>
    <col min="7217" max="7217" width="9.28515625" bestFit="1" customWidth="1"/>
    <col min="7218" max="7218" width="11.5703125" bestFit="1" customWidth="1"/>
    <col min="7219" max="7219" width="9.28515625" bestFit="1" customWidth="1"/>
    <col min="7427" max="7427" width="29.42578125" bestFit="1" customWidth="1"/>
    <col min="7428" max="7428" width="11.5703125" bestFit="1" customWidth="1"/>
    <col min="7429" max="7429" width="9.28515625" bestFit="1" customWidth="1"/>
    <col min="7430" max="7430" width="11.5703125" bestFit="1" customWidth="1"/>
    <col min="7431" max="7431" width="9.28515625" bestFit="1" customWidth="1"/>
    <col min="7432" max="7432" width="11.5703125" bestFit="1" customWidth="1"/>
    <col min="7433" max="7433" width="9.28515625" bestFit="1" customWidth="1"/>
    <col min="7434" max="7434" width="11.5703125" bestFit="1" customWidth="1"/>
    <col min="7435" max="7435" width="9.28515625" bestFit="1" customWidth="1"/>
    <col min="7436" max="7436" width="11.5703125" bestFit="1" customWidth="1"/>
    <col min="7437" max="7437" width="9.28515625" bestFit="1" customWidth="1"/>
    <col min="7438" max="7438" width="11.5703125" bestFit="1" customWidth="1"/>
    <col min="7439" max="7439" width="9.28515625" bestFit="1" customWidth="1"/>
    <col min="7440" max="7440" width="11.5703125" bestFit="1" customWidth="1"/>
    <col min="7441" max="7441" width="9.28515625" bestFit="1" customWidth="1"/>
    <col min="7442" max="7442" width="11.5703125" bestFit="1" customWidth="1"/>
    <col min="7443" max="7443" width="9.28515625" bestFit="1" customWidth="1"/>
    <col min="7444" max="7444" width="11.5703125" bestFit="1" customWidth="1"/>
    <col min="7445" max="7445" width="9.28515625" bestFit="1" customWidth="1"/>
    <col min="7446" max="7446" width="11.5703125" bestFit="1" customWidth="1"/>
    <col min="7447" max="7447" width="9.28515625" bestFit="1" customWidth="1"/>
    <col min="7448" max="7448" width="11.5703125" bestFit="1" customWidth="1"/>
    <col min="7449" max="7449" width="9.28515625" bestFit="1" customWidth="1"/>
    <col min="7450" max="7450" width="11.5703125" bestFit="1" customWidth="1"/>
    <col min="7451" max="7451" width="9.28515625" bestFit="1" customWidth="1"/>
    <col min="7452" max="7452" width="11.5703125" bestFit="1" customWidth="1"/>
    <col min="7453" max="7453" width="9.28515625" bestFit="1" customWidth="1"/>
    <col min="7454" max="7454" width="11.5703125" bestFit="1" customWidth="1"/>
    <col min="7455" max="7455" width="9.28515625" bestFit="1" customWidth="1"/>
    <col min="7456" max="7456" width="11.5703125" bestFit="1" customWidth="1"/>
    <col min="7457" max="7457" width="9.28515625" bestFit="1" customWidth="1"/>
    <col min="7458" max="7458" width="11.5703125" bestFit="1" customWidth="1"/>
    <col min="7459" max="7459" width="9.28515625" bestFit="1" customWidth="1"/>
    <col min="7460" max="7460" width="11.5703125" bestFit="1" customWidth="1"/>
    <col min="7461" max="7461" width="9.28515625" bestFit="1" customWidth="1"/>
    <col min="7462" max="7462" width="11.5703125" bestFit="1" customWidth="1"/>
    <col min="7463" max="7463" width="9.28515625" bestFit="1" customWidth="1"/>
    <col min="7464" max="7464" width="11.5703125" bestFit="1" customWidth="1"/>
    <col min="7465" max="7465" width="9.28515625" bestFit="1" customWidth="1"/>
    <col min="7466" max="7466" width="11.5703125" bestFit="1" customWidth="1"/>
    <col min="7467" max="7467" width="9.28515625" bestFit="1" customWidth="1"/>
    <col min="7468" max="7468" width="11.5703125" bestFit="1" customWidth="1"/>
    <col min="7469" max="7469" width="9.28515625" bestFit="1" customWidth="1"/>
    <col min="7470" max="7470" width="11.5703125" bestFit="1" customWidth="1"/>
    <col min="7471" max="7471" width="9.28515625" bestFit="1" customWidth="1"/>
    <col min="7472" max="7472" width="11.5703125" bestFit="1" customWidth="1"/>
    <col min="7473" max="7473" width="9.28515625" bestFit="1" customWidth="1"/>
    <col min="7474" max="7474" width="11.5703125" bestFit="1" customWidth="1"/>
    <col min="7475" max="7475" width="9.28515625" bestFit="1" customWidth="1"/>
    <col min="7683" max="7683" width="29.42578125" bestFit="1" customWidth="1"/>
    <col min="7684" max="7684" width="11.5703125" bestFit="1" customWidth="1"/>
    <col min="7685" max="7685" width="9.28515625" bestFit="1" customWidth="1"/>
    <col min="7686" max="7686" width="11.5703125" bestFit="1" customWidth="1"/>
    <col min="7687" max="7687" width="9.28515625" bestFit="1" customWidth="1"/>
    <col min="7688" max="7688" width="11.5703125" bestFit="1" customWidth="1"/>
    <col min="7689" max="7689" width="9.28515625" bestFit="1" customWidth="1"/>
    <col min="7690" max="7690" width="11.5703125" bestFit="1" customWidth="1"/>
    <col min="7691" max="7691" width="9.28515625" bestFit="1" customWidth="1"/>
    <col min="7692" max="7692" width="11.5703125" bestFit="1" customWidth="1"/>
    <col min="7693" max="7693" width="9.28515625" bestFit="1" customWidth="1"/>
    <col min="7694" max="7694" width="11.5703125" bestFit="1" customWidth="1"/>
    <col min="7695" max="7695" width="9.28515625" bestFit="1" customWidth="1"/>
    <col min="7696" max="7696" width="11.5703125" bestFit="1" customWidth="1"/>
    <col min="7697" max="7697" width="9.28515625" bestFit="1" customWidth="1"/>
    <col min="7698" max="7698" width="11.5703125" bestFit="1" customWidth="1"/>
    <col min="7699" max="7699" width="9.28515625" bestFit="1" customWidth="1"/>
    <col min="7700" max="7700" width="11.5703125" bestFit="1" customWidth="1"/>
    <col min="7701" max="7701" width="9.28515625" bestFit="1" customWidth="1"/>
    <col min="7702" max="7702" width="11.5703125" bestFit="1" customWidth="1"/>
    <col min="7703" max="7703" width="9.28515625" bestFit="1" customWidth="1"/>
    <col min="7704" max="7704" width="11.5703125" bestFit="1" customWidth="1"/>
    <col min="7705" max="7705" width="9.28515625" bestFit="1" customWidth="1"/>
    <col min="7706" max="7706" width="11.5703125" bestFit="1" customWidth="1"/>
    <col min="7707" max="7707" width="9.28515625" bestFit="1" customWidth="1"/>
    <col min="7708" max="7708" width="11.5703125" bestFit="1" customWidth="1"/>
    <col min="7709" max="7709" width="9.28515625" bestFit="1" customWidth="1"/>
    <col min="7710" max="7710" width="11.5703125" bestFit="1" customWidth="1"/>
    <col min="7711" max="7711" width="9.28515625" bestFit="1" customWidth="1"/>
    <col min="7712" max="7712" width="11.5703125" bestFit="1" customWidth="1"/>
    <col min="7713" max="7713" width="9.28515625" bestFit="1" customWidth="1"/>
    <col min="7714" max="7714" width="11.5703125" bestFit="1" customWidth="1"/>
    <col min="7715" max="7715" width="9.28515625" bestFit="1" customWidth="1"/>
    <col min="7716" max="7716" width="11.5703125" bestFit="1" customWidth="1"/>
    <col min="7717" max="7717" width="9.28515625" bestFit="1" customWidth="1"/>
    <col min="7718" max="7718" width="11.5703125" bestFit="1" customWidth="1"/>
    <col min="7719" max="7719" width="9.28515625" bestFit="1" customWidth="1"/>
    <col min="7720" max="7720" width="11.5703125" bestFit="1" customWidth="1"/>
    <col min="7721" max="7721" width="9.28515625" bestFit="1" customWidth="1"/>
    <col min="7722" max="7722" width="11.5703125" bestFit="1" customWidth="1"/>
    <col min="7723" max="7723" width="9.28515625" bestFit="1" customWidth="1"/>
    <col min="7724" max="7724" width="11.5703125" bestFit="1" customWidth="1"/>
    <col min="7725" max="7725" width="9.28515625" bestFit="1" customWidth="1"/>
    <col min="7726" max="7726" width="11.5703125" bestFit="1" customWidth="1"/>
    <col min="7727" max="7727" width="9.28515625" bestFit="1" customWidth="1"/>
    <col min="7728" max="7728" width="11.5703125" bestFit="1" customWidth="1"/>
    <col min="7729" max="7729" width="9.28515625" bestFit="1" customWidth="1"/>
    <col min="7730" max="7730" width="11.5703125" bestFit="1" customWidth="1"/>
    <col min="7731" max="7731" width="9.28515625" bestFit="1" customWidth="1"/>
    <col min="7939" max="7939" width="29.42578125" bestFit="1" customWidth="1"/>
    <col min="7940" max="7940" width="11.5703125" bestFit="1" customWidth="1"/>
    <col min="7941" max="7941" width="9.28515625" bestFit="1" customWidth="1"/>
    <col min="7942" max="7942" width="11.5703125" bestFit="1" customWidth="1"/>
    <col min="7943" max="7943" width="9.28515625" bestFit="1" customWidth="1"/>
    <col min="7944" max="7944" width="11.5703125" bestFit="1" customWidth="1"/>
    <col min="7945" max="7945" width="9.28515625" bestFit="1" customWidth="1"/>
    <col min="7946" max="7946" width="11.5703125" bestFit="1" customWidth="1"/>
    <col min="7947" max="7947" width="9.28515625" bestFit="1" customWidth="1"/>
    <col min="7948" max="7948" width="11.5703125" bestFit="1" customWidth="1"/>
    <col min="7949" max="7949" width="9.28515625" bestFit="1" customWidth="1"/>
    <col min="7950" max="7950" width="11.5703125" bestFit="1" customWidth="1"/>
    <col min="7951" max="7951" width="9.28515625" bestFit="1" customWidth="1"/>
    <col min="7952" max="7952" width="11.5703125" bestFit="1" customWidth="1"/>
    <col min="7953" max="7953" width="9.28515625" bestFit="1" customWidth="1"/>
    <col min="7954" max="7954" width="11.5703125" bestFit="1" customWidth="1"/>
    <col min="7955" max="7955" width="9.28515625" bestFit="1" customWidth="1"/>
    <col min="7956" max="7956" width="11.5703125" bestFit="1" customWidth="1"/>
    <col min="7957" max="7957" width="9.28515625" bestFit="1" customWidth="1"/>
    <col min="7958" max="7958" width="11.5703125" bestFit="1" customWidth="1"/>
    <col min="7959" max="7959" width="9.28515625" bestFit="1" customWidth="1"/>
    <col min="7960" max="7960" width="11.5703125" bestFit="1" customWidth="1"/>
    <col min="7961" max="7961" width="9.28515625" bestFit="1" customWidth="1"/>
    <col min="7962" max="7962" width="11.5703125" bestFit="1" customWidth="1"/>
    <col min="7963" max="7963" width="9.28515625" bestFit="1" customWidth="1"/>
    <col min="7964" max="7964" width="11.5703125" bestFit="1" customWidth="1"/>
    <col min="7965" max="7965" width="9.28515625" bestFit="1" customWidth="1"/>
    <col min="7966" max="7966" width="11.5703125" bestFit="1" customWidth="1"/>
    <col min="7967" max="7967" width="9.28515625" bestFit="1" customWidth="1"/>
    <col min="7968" max="7968" width="11.5703125" bestFit="1" customWidth="1"/>
    <col min="7969" max="7969" width="9.28515625" bestFit="1" customWidth="1"/>
    <col min="7970" max="7970" width="11.5703125" bestFit="1" customWidth="1"/>
    <col min="7971" max="7971" width="9.28515625" bestFit="1" customWidth="1"/>
    <col min="7972" max="7972" width="11.5703125" bestFit="1" customWidth="1"/>
    <col min="7973" max="7973" width="9.28515625" bestFit="1" customWidth="1"/>
    <col min="7974" max="7974" width="11.5703125" bestFit="1" customWidth="1"/>
    <col min="7975" max="7975" width="9.28515625" bestFit="1" customWidth="1"/>
    <col min="7976" max="7976" width="11.5703125" bestFit="1" customWidth="1"/>
    <col min="7977" max="7977" width="9.28515625" bestFit="1" customWidth="1"/>
    <col min="7978" max="7978" width="11.5703125" bestFit="1" customWidth="1"/>
    <col min="7979" max="7979" width="9.28515625" bestFit="1" customWidth="1"/>
    <col min="7980" max="7980" width="11.5703125" bestFit="1" customWidth="1"/>
    <col min="7981" max="7981" width="9.28515625" bestFit="1" customWidth="1"/>
    <col min="7982" max="7982" width="11.5703125" bestFit="1" customWidth="1"/>
    <col min="7983" max="7983" width="9.28515625" bestFit="1" customWidth="1"/>
    <col min="7984" max="7984" width="11.5703125" bestFit="1" customWidth="1"/>
    <col min="7985" max="7985" width="9.28515625" bestFit="1" customWidth="1"/>
    <col min="7986" max="7986" width="11.5703125" bestFit="1" customWidth="1"/>
    <col min="7987" max="7987" width="9.28515625" bestFit="1" customWidth="1"/>
    <col min="8195" max="8195" width="29.42578125" bestFit="1" customWidth="1"/>
    <col min="8196" max="8196" width="11.5703125" bestFit="1" customWidth="1"/>
    <col min="8197" max="8197" width="9.28515625" bestFit="1" customWidth="1"/>
    <col min="8198" max="8198" width="11.5703125" bestFit="1" customWidth="1"/>
    <col min="8199" max="8199" width="9.28515625" bestFit="1" customWidth="1"/>
    <col min="8200" max="8200" width="11.5703125" bestFit="1" customWidth="1"/>
    <col min="8201" max="8201" width="9.28515625" bestFit="1" customWidth="1"/>
    <col min="8202" max="8202" width="11.5703125" bestFit="1" customWidth="1"/>
    <col min="8203" max="8203" width="9.28515625" bestFit="1" customWidth="1"/>
    <col min="8204" max="8204" width="11.5703125" bestFit="1" customWidth="1"/>
    <col min="8205" max="8205" width="9.28515625" bestFit="1" customWidth="1"/>
    <col min="8206" max="8206" width="11.5703125" bestFit="1" customWidth="1"/>
    <col min="8207" max="8207" width="9.28515625" bestFit="1" customWidth="1"/>
    <col min="8208" max="8208" width="11.5703125" bestFit="1" customWidth="1"/>
    <col min="8209" max="8209" width="9.28515625" bestFit="1" customWidth="1"/>
    <col min="8210" max="8210" width="11.5703125" bestFit="1" customWidth="1"/>
    <col min="8211" max="8211" width="9.28515625" bestFit="1" customWidth="1"/>
    <col min="8212" max="8212" width="11.5703125" bestFit="1" customWidth="1"/>
    <col min="8213" max="8213" width="9.28515625" bestFit="1" customWidth="1"/>
    <col min="8214" max="8214" width="11.5703125" bestFit="1" customWidth="1"/>
    <col min="8215" max="8215" width="9.28515625" bestFit="1" customWidth="1"/>
    <col min="8216" max="8216" width="11.5703125" bestFit="1" customWidth="1"/>
    <col min="8217" max="8217" width="9.28515625" bestFit="1" customWidth="1"/>
    <col min="8218" max="8218" width="11.5703125" bestFit="1" customWidth="1"/>
    <col min="8219" max="8219" width="9.28515625" bestFit="1" customWidth="1"/>
    <col min="8220" max="8220" width="11.5703125" bestFit="1" customWidth="1"/>
    <col min="8221" max="8221" width="9.28515625" bestFit="1" customWidth="1"/>
    <col min="8222" max="8222" width="11.5703125" bestFit="1" customWidth="1"/>
    <col min="8223" max="8223" width="9.28515625" bestFit="1" customWidth="1"/>
    <col min="8224" max="8224" width="11.5703125" bestFit="1" customWidth="1"/>
    <col min="8225" max="8225" width="9.28515625" bestFit="1" customWidth="1"/>
    <col min="8226" max="8226" width="11.5703125" bestFit="1" customWidth="1"/>
    <col min="8227" max="8227" width="9.28515625" bestFit="1" customWidth="1"/>
    <col min="8228" max="8228" width="11.5703125" bestFit="1" customWidth="1"/>
    <col min="8229" max="8229" width="9.28515625" bestFit="1" customWidth="1"/>
    <col min="8230" max="8230" width="11.5703125" bestFit="1" customWidth="1"/>
    <col min="8231" max="8231" width="9.28515625" bestFit="1" customWidth="1"/>
    <col min="8232" max="8232" width="11.5703125" bestFit="1" customWidth="1"/>
    <col min="8233" max="8233" width="9.28515625" bestFit="1" customWidth="1"/>
    <col min="8234" max="8234" width="11.5703125" bestFit="1" customWidth="1"/>
    <col min="8235" max="8235" width="9.28515625" bestFit="1" customWidth="1"/>
    <col min="8236" max="8236" width="11.5703125" bestFit="1" customWidth="1"/>
    <col min="8237" max="8237" width="9.28515625" bestFit="1" customWidth="1"/>
    <col min="8238" max="8238" width="11.5703125" bestFit="1" customWidth="1"/>
    <col min="8239" max="8239" width="9.28515625" bestFit="1" customWidth="1"/>
    <col min="8240" max="8240" width="11.5703125" bestFit="1" customWidth="1"/>
    <col min="8241" max="8241" width="9.28515625" bestFit="1" customWidth="1"/>
    <col min="8242" max="8242" width="11.5703125" bestFit="1" customWidth="1"/>
    <col min="8243" max="8243" width="9.28515625" bestFit="1" customWidth="1"/>
    <col min="8451" max="8451" width="29.42578125" bestFit="1" customWidth="1"/>
    <col min="8452" max="8452" width="11.5703125" bestFit="1" customWidth="1"/>
    <col min="8453" max="8453" width="9.28515625" bestFit="1" customWidth="1"/>
    <col min="8454" max="8454" width="11.5703125" bestFit="1" customWidth="1"/>
    <col min="8455" max="8455" width="9.28515625" bestFit="1" customWidth="1"/>
    <col min="8456" max="8456" width="11.5703125" bestFit="1" customWidth="1"/>
    <col min="8457" max="8457" width="9.28515625" bestFit="1" customWidth="1"/>
    <col min="8458" max="8458" width="11.5703125" bestFit="1" customWidth="1"/>
    <col min="8459" max="8459" width="9.28515625" bestFit="1" customWidth="1"/>
    <col min="8460" max="8460" width="11.5703125" bestFit="1" customWidth="1"/>
    <col min="8461" max="8461" width="9.28515625" bestFit="1" customWidth="1"/>
    <col min="8462" max="8462" width="11.5703125" bestFit="1" customWidth="1"/>
    <col min="8463" max="8463" width="9.28515625" bestFit="1" customWidth="1"/>
    <col min="8464" max="8464" width="11.5703125" bestFit="1" customWidth="1"/>
    <col min="8465" max="8465" width="9.28515625" bestFit="1" customWidth="1"/>
    <col min="8466" max="8466" width="11.5703125" bestFit="1" customWidth="1"/>
    <col min="8467" max="8467" width="9.28515625" bestFit="1" customWidth="1"/>
    <col min="8468" max="8468" width="11.5703125" bestFit="1" customWidth="1"/>
    <col min="8469" max="8469" width="9.28515625" bestFit="1" customWidth="1"/>
    <col min="8470" max="8470" width="11.5703125" bestFit="1" customWidth="1"/>
    <col min="8471" max="8471" width="9.28515625" bestFit="1" customWidth="1"/>
    <col min="8472" max="8472" width="11.5703125" bestFit="1" customWidth="1"/>
    <col min="8473" max="8473" width="9.28515625" bestFit="1" customWidth="1"/>
    <col min="8474" max="8474" width="11.5703125" bestFit="1" customWidth="1"/>
    <col min="8475" max="8475" width="9.28515625" bestFit="1" customWidth="1"/>
    <col min="8476" max="8476" width="11.5703125" bestFit="1" customWidth="1"/>
    <col min="8477" max="8477" width="9.28515625" bestFit="1" customWidth="1"/>
    <col min="8478" max="8478" width="11.5703125" bestFit="1" customWidth="1"/>
    <col min="8479" max="8479" width="9.28515625" bestFit="1" customWidth="1"/>
    <col min="8480" max="8480" width="11.5703125" bestFit="1" customWidth="1"/>
    <col min="8481" max="8481" width="9.28515625" bestFit="1" customWidth="1"/>
    <col min="8482" max="8482" width="11.5703125" bestFit="1" customWidth="1"/>
    <col min="8483" max="8483" width="9.28515625" bestFit="1" customWidth="1"/>
    <col min="8484" max="8484" width="11.5703125" bestFit="1" customWidth="1"/>
    <col min="8485" max="8485" width="9.28515625" bestFit="1" customWidth="1"/>
    <col min="8486" max="8486" width="11.5703125" bestFit="1" customWidth="1"/>
    <col min="8487" max="8487" width="9.28515625" bestFit="1" customWidth="1"/>
    <col min="8488" max="8488" width="11.5703125" bestFit="1" customWidth="1"/>
    <col min="8489" max="8489" width="9.28515625" bestFit="1" customWidth="1"/>
    <col min="8490" max="8490" width="11.5703125" bestFit="1" customWidth="1"/>
    <col min="8491" max="8491" width="9.28515625" bestFit="1" customWidth="1"/>
    <col min="8492" max="8492" width="11.5703125" bestFit="1" customWidth="1"/>
    <col min="8493" max="8493" width="9.28515625" bestFit="1" customWidth="1"/>
    <col min="8494" max="8494" width="11.5703125" bestFit="1" customWidth="1"/>
    <col min="8495" max="8495" width="9.28515625" bestFit="1" customWidth="1"/>
    <col min="8496" max="8496" width="11.5703125" bestFit="1" customWidth="1"/>
    <col min="8497" max="8497" width="9.28515625" bestFit="1" customWidth="1"/>
    <col min="8498" max="8498" width="11.5703125" bestFit="1" customWidth="1"/>
    <col min="8499" max="8499" width="9.28515625" bestFit="1" customWidth="1"/>
    <col min="8707" max="8707" width="29.42578125" bestFit="1" customWidth="1"/>
    <col min="8708" max="8708" width="11.5703125" bestFit="1" customWidth="1"/>
    <col min="8709" max="8709" width="9.28515625" bestFit="1" customWidth="1"/>
    <col min="8710" max="8710" width="11.5703125" bestFit="1" customWidth="1"/>
    <col min="8711" max="8711" width="9.28515625" bestFit="1" customWidth="1"/>
    <col min="8712" max="8712" width="11.5703125" bestFit="1" customWidth="1"/>
    <col min="8713" max="8713" width="9.28515625" bestFit="1" customWidth="1"/>
    <col min="8714" max="8714" width="11.5703125" bestFit="1" customWidth="1"/>
    <col min="8715" max="8715" width="9.28515625" bestFit="1" customWidth="1"/>
    <col min="8716" max="8716" width="11.5703125" bestFit="1" customWidth="1"/>
    <col min="8717" max="8717" width="9.28515625" bestFit="1" customWidth="1"/>
    <col min="8718" max="8718" width="11.5703125" bestFit="1" customWidth="1"/>
    <col min="8719" max="8719" width="9.28515625" bestFit="1" customWidth="1"/>
    <col min="8720" max="8720" width="11.5703125" bestFit="1" customWidth="1"/>
    <col min="8721" max="8721" width="9.28515625" bestFit="1" customWidth="1"/>
    <col min="8722" max="8722" width="11.5703125" bestFit="1" customWidth="1"/>
    <col min="8723" max="8723" width="9.28515625" bestFit="1" customWidth="1"/>
    <col min="8724" max="8724" width="11.5703125" bestFit="1" customWidth="1"/>
    <col min="8725" max="8725" width="9.28515625" bestFit="1" customWidth="1"/>
    <col min="8726" max="8726" width="11.5703125" bestFit="1" customWidth="1"/>
    <col min="8727" max="8727" width="9.28515625" bestFit="1" customWidth="1"/>
    <col min="8728" max="8728" width="11.5703125" bestFit="1" customWidth="1"/>
    <col min="8729" max="8729" width="9.28515625" bestFit="1" customWidth="1"/>
    <col min="8730" max="8730" width="11.5703125" bestFit="1" customWidth="1"/>
    <col min="8731" max="8731" width="9.28515625" bestFit="1" customWidth="1"/>
    <col min="8732" max="8732" width="11.5703125" bestFit="1" customWidth="1"/>
    <col min="8733" max="8733" width="9.28515625" bestFit="1" customWidth="1"/>
    <col min="8734" max="8734" width="11.5703125" bestFit="1" customWidth="1"/>
    <col min="8735" max="8735" width="9.28515625" bestFit="1" customWidth="1"/>
    <col min="8736" max="8736" width="11.5703125" bestFit="1" customWidth="1"/>
    <col min="8737" max="8737" width="9.28515625" bestFit="1" customWidth="1"/>
    <col min="8738" max="8738" width="11.5703125" bestFit="1" customWidth="1"/>
    <col min="8739" max="8739" width="9.28515625" bestFit="1" customWidth="1"/>
    <col min="8740" max="8740" width="11.5703125" bestFit="1" customWidth="1"/>
    <col min="8741" max="8741" width="9.28515625" bestFit="1" customWidth="1"/>
    <col min="8742" max="8742" width="11.5703125" bestFit="1" customWidth="1"/>
    <col min="8743" max="8743" width="9.28515625" bestFit="1" customWidth="1"/>
    <col min="8744" max="8744" width="11.5703125" bestFit="1" customWidth="1"/>
    <col min="8745" max="8745" width="9.28515625" bestFit="1" customWidth="1"/>
    <col min="8746" max="8746" width="11.5703125" bestFit="1" customWidth="1"/>
    <col min="8747" max="8747" width="9.28515625" bestFit="1" customWidth="1"/>
    <col min="8748" max="8748" width="11.5703125" bestFit="1" customWidth="1"/>
    <col min="8749" max="8749" width="9.28515625" bestFit="1" customWidth="1"/>
    <col min="8750" max="8750" width="11.5703125" bestFit="1" customWidth="1"/>
    <col min="8751" max="8751" width="9.28515625" bestFit="1" customWidth="1"/>
    <col min="8752" max="8752" width="11.5703125" bestFit="1" customWidth="1"/>
    <col min="8753" max="8753" width="9.28515625" bestFit="1" customWidth="1"/>
    <col min="8754" max="8754" width="11.5703125" bestFit="1" customWidth="1"/>
    <col min="8755" max="8755" width="9.28515625" bestFit="1" customWidth="1"/>
    <col min="8963" max="8963" width="29.42578125" bestFit="1" customWidth="1"/>
    <col min="8964" max="8964" width="11.5703125" bestFit="1" customWidth="1"/>
    <col min="8965" max="8965" width="9.28515625" bestFit="1" customWidth="1"/>
    <col min="8966" max="8966" width="11.5703125" bestFit="1" customWidth="1"/>
    <col min="8967" max="8967" width="9.28515625" bestFit="1" customWidth="1"/>
    <col min="8968" max="8968" width="11.5703125" bestFit="1" customWidth="1"/>
    <col min="8969" max="8969" width="9.28515625" bestFit="1" customWidth="1"/>
    <col min="8970" max="8970" width="11.5703125" bestFit="1" customWidth="1"/>
    <col min="8971" max="8971" width="9.28515625" bestFit="1" customWidth="1"/>
    <col min="8972" max="8972" width="11.5703125" bestFit="1" customWidth="1"/>
    <col min="8973" max="8973" width="9.28515625" bestFit="1" customWidth="1"/>
    <col min="8974" max="8974" width="11.5703125" bestFit="1" customWidth="1"/>
    <col min="8975" max="8975" width="9.28515625" bestFit="1" customWidth="1"/>
    <col min="8976" max="8976" width="11.5703125" bestFit="1" customWidth="1"/>
    <col min="8977" max="8977" width="9.28515625" bestFit="1" customWidth="1"/>
    <col min="8978" max="8978" width="11.5703125" bestFit="1" customWidth="1"/>
    <col min="8979" max="8979" width="9.28515625" bestFit="1" customWidth="1"/>
    <col min="8980" max="8980" width="11.5703125" bestFit="1" customWidth="1"/>
    <col min="8981" max="8981" width="9.28515625" bestFit="1" customWidth="1"/>
    <col min="8982" max="8982" width="11.5703125" bestFit="1" customWidth="1"/>
    <col min="8983" max="8983" width="9.28515625" bestFit="1" customWidth="1"/>
    <col min="8984" max="8984" width="11.5703125" bestFit="1" customWidth="1"/>
    <col min="8985" max="8985" width="9.28515625" bestFit="1" customWidth="1"/>
    <col min="8986" max="8986" width="11.5703125" bestFit="1" customWidth="1"/>
    <col min="8987" max="8987" width="9.28515625" bestFit="1" customWidth="1"/>
    <col min="8988" max="8988" width="11.5703125" bestFit="1" customWidth="1"/>
    <col min="8989" max="8989" width="9.28515625" bestFit="1" customWidth="1"/>
    <col min="8990" max="8990" width="11.5703125" bestFit="1" customWidth="1"/>
    <col min="8991" max="8991" width="9.28515625" bestFit="1" customWidth="1"/>
    <col min="8992" max="8992" width="11.5703125" bestFit="1" customWidth="1"/>
    <col min="8993" max="8993" width="9.28515625" bestFit="1" customWidth="1"/>
    <col min="8994" max="8994" width="11.5703125" bestFit="1" customWidth="1"/>
    <col min="8995" max="8995" width="9.28515625" bestFit="1" customWidth="1"/>
    <col min="8996" max="8996" width="11.5703125" bestFit="1" customWidth="1"/>
    <col min="8997" max="8997" width="9.28515625" bestFit="1" customWidth="1"/>
    <col min="8998" max="8998" width="11.5703125" bestFit="1" customWidth="1"/>
    <col min="8999" max="8999" width="9.28515625" bestFit="1" customWidth="1"/>
    <col min="9000" max="9000" width="11.5703125" bestFit="1" customWidth="1"/>
    <col min="9001" max="9001" width="9.28515625" bestFit="1" customWidth="1"/>
    <col min="9002" max="9002" width="11.5703125" bestFit="1" customWidth="1"/>
    <col min="9003" max="9003" width="9.28515625" bestFit="1" customWidth="1"/>
    <col min="9004" max="9004" width="11.5703125" bestFit="1" customWidth="1"/>
    <col min="9005" max="9005" width="9.28515625" bestFit="1" customWidth="1"/>
    <col min="9006" max="9006" width="11.5703125" bestFit="1" customWidth="1"/>
    <col min="9007" max="9007" width="9.28515625" bestFit="1" customWidth="1"/>
    <col min="9008" max="9008" width="11.5703125" bestFit="1" customWidth="1"/>
    <col min="9009" max="9009" width="9.28515625" bestFit="1" customWidth="1"/>
    <col min="9010" max="9010" width="11.5703125" bestFit="1" customWidth="1"/>
    <col min="9011" max="9011" width="9.28515625" bestFit="1" customWidth="1"/>
    <col min="9219" max="9219" width="29.42578125" bestFit="1" customWidth="1"/>
    <col min="9220" max="9220" width="11.5703125" bestFit="1" customWidth="1"/>
    <col min="9221" max="9221" width="9.28515625" bestFit="1" customWidth="1"/>
    <col min="9222" max="9222" width="11.5703125" bestFit="1" customWidth="1"/>
    <col min="9223" max="9223" width="9.28515625" bestFit="1" customWidth="1"/>
    <col min="9224" max="9224" width="11.5703125" bestFit="1" customWidth="1"/>
    <col min="9225" max="9225" width="9.28515625" bestFit="1" customWidth="1"/>
    <col min="9226" max="9226" width="11.5703125" bestFit="1" customWidth="1"/>
    <col min="9227" max="9227" width="9.28515625" bestFit="1" customWidth="1"/>
    <col min="9228" max="9228" width="11.5703125" bestFit="1" customWidth="1"/>
    <col min="9229" max="9229" width="9.28515625" bestFit="1" customWidth="1"/>
    <col min="9230" max="9230" width="11.5703125" bestFit="1" customWidth="1"/>
    <col min="9231" max="9231" width="9.28515625" bestFit="1" customWidth="1"/>
    <col min="9232" max="9232" width="11.5703125" bestFit="1" customWidth="1"/>
    <col min="9233" max="9233" width="9.28515625" bestFit="1" customWidth="1"/>
    <col min="9234" max="9234" width="11.5703125" bestFit="1" customWidth="1"/>
    <col min="9235" max="9235" width="9.28515625" bestFit="1" customWidth="1"/>
    <col min="9236" max="9236" width="11.5703125" bestFit="1" customWidth="1"/>
    <col min="9237" max="9237" width="9.28515625" bestFit="1" customWidth="1"/>
    <col min="9238" max="9238" width="11.5703125" bestFit="1" customWidth="1"/>
    <col min="9239" max="9239" width="9.28515625" bestFit="1" customWidth="1"/>
    <col min="9240" max="9240" width="11.5703125" bestFit="1" customWidth="1"/>
    <col min="9241" max="9241" width="9.28515625" bestFit="1" customWidth="1"/>
    <col min="9242" max="9242" width="11.5703125" bestFit="1" customWidth="1"/>
    <col min="9243" max="9243" width="9.28515625" bestFit="1" customWidth="1"/>
    <col min="9244" max="9244" width="11.5703125" bestFit="1" customWidth="1"/>
    <col min="9245" max="9245" width="9.28515625" bestFit="1" customWidth="1"/>
    <col min="9246" max="9246" width="11.5703125" bestFit="1" customWidth="1"/>
    <col min="9247" max="9247" width="9.28515625" bestFit="1" customWidth="1"/>
    <col min="9248" max="9248" width="11.5703125" bestFit="1" customWidth="1"/>
    <col min="9249" max="9249" width="9.28515625" bestFit="1" customWidth="1"/>
    <col min="9250" max="9250" width="11.5703125" bestFit="1" customWidth="1"/>
    <col min="9251" max="9251" width="9.28515625" bestFit="1" customWidth="1"/>
    <col min="9252" max="9252" width="11.5703125" bestFit="1" customWidth="1"/>
    <col min="9253" max="9253" width="9.28515625" bestFit="1" customWidth="1"/>
    <col min="9254" max="9254" width="11.5703125" bestFit="1" customWidth="1"/>
    <col min="9255" max="9255" width="9.28515625" bestFit="1" customWidth="1"/>
    <col min="9256" max="9256" width="11.5703125" bestFit="1" customWidth="1"/>
    <col min="9257" max="9257" width="9.28515625" bestFit="1" customWidth="1"/>
    <col min="9258" max="9258" width="11.5703125" bestFit="1" customWidth="1"/>
    <col min="9259" max="9259" width="9.28515625" bestFit="1" customWidth="1"/>
    <col min="9260" max="9260" width="11.5703125" bestFit="1" customWidth="1"/>
    <col min="9261" max="9261" width="9.28515625" bestFit="1" customWidth="1"/>
    <col min="9262" max="9262" width="11.5703125" bestFit="1" customWidth="1"/>
    <col min="9263" max="9263" width="9.28515625" bestFit="1" customWidth="1"/>
    <col min="9264" max="9264" width="11.5703125" bestFit="1" customWidth="1"/>
    <col min="9265" max="9265" width="9.28515625" bestFit="1" customWidth="1"/>
    <col min="9266" max="9266" width="11.5703125" bestFit="1" customWidth="1"/>
    <col min="9267" max="9267" width="9.28515625" bestFit="1" customWidth="1"/>
    <col min="9475" max="9475" width="29.42578125" bestFit="1" customWidth="1"/>
    <col min="9476" max="9476" width="11.5703125" bestFit="1" customWidth="1"/>
    <col min="9477" max="9477" width="9.28515625" bestFit="1" customWidth="1"/>
    <col min="9478" max="9478" width="11.5703125" bestFit="1" customWidth="1"/>
    <col min="9479" max="9479" width="9.28515625" bestFit="1" customWidth="1"/>
    <col min="9480" max="9480" width="11.5703125" bestFit="1" customWidth="1"/>
    <col min="9481" max="9481" width="9.28515625" bestFit="1" customWidth="1"/>
    <col min="9482" max="9482" width="11.5703125" bestFit="1" customWidth="1"/>
    <col min="9483" max="9483" width="9.28515625" bestFit="1" customWidth="1"/>
    <col min="9484" max="9484" width="11.5703125" bestFit="1" customWidth="1"/>
    <col min="9485" max="9485" width="9.28515625" bestFit="1" customWidth="1"/>
    <col min="9486" max="9486" width="11.5703125" bestFit="1" customWidth="1"/>
    <col min="9487" max="9487" width="9.28515625" bestFit="1" customWidth="1"/>
    <col min="9488" max="9488" width="11.5703125" bestFit="1" customWidth="1"/>
    <col min="9489" max="9489" width="9.28515625" bestFit="1" customWidth="1"/>
    <col min="9490" max="9490" width="11.5703125" bestFit="1" customWidth="1"/>
    <col min="9491" max="9491" width="9.28515625" bestFit="1" customWidth="1"/>
    <col min="9492" max="9492" width="11.5703125" bestFit="1" customWidth="1"/>
    <col min="9493" max="9493" width="9.28515625" bestFit="1" customWidth="1"/>
    <col min="9494" max="9494" width="11.5703125" bestFit="1" customWidth="1"/>
    <col min="9495" max="9495" width="9.28515625" bestFit="1" customWidth="1"/>
    <col min="9496" max="9496" width="11.5703125" bestFit="1" customWidth="1"/>
    <col min="9497" max="9497" width="9.28515625" bestFit="1" customWidth="1"/>
    <col min="9498" max="9498" width="11.5703125" bestFit="1" customWidth="1"/>
    <col min="9499" max="9499" width="9.28515625" bestFit="1" customWidth="1"/>
    <col min="9500" max="9500" width="11.5703125" bestFit="1" customWidth="1"/>
    <col min="9501" max="9501" width="9.28515625" bestFit="1" customWidth="1"/>
    <col min="9502" max="9502" width="11.5703125" bestFit="1" customWidth="1"/>
    <col min="9503" max="9503" width="9.28515625" bestFit="1" customWidth="1"/>
    <col min="9504" max="9504" width="11.5703125" bestFit="1" customWidth="1"/>
    <col min="9505" max="9505" width="9.28515625" bestFit="1" customWidth="1"/>
    <col min="9506" max="9506" width="11.5703125" bestFit="1" customWidth="1"/>
    <col min="9507" max="9507" width="9.28515625" bestFit="1" customWidth="1"/>
    <col min="9508" max="9508" width="11.5703125" bestFit="1" customWidth="1"/>
    <col min="9509" max="9509" width="9.28515625" bestFit="1" customWidth="1"/>
    <col min="9510" max="9510" width="11.5703125" bestFit="1" customWidth="1"/>
    <col min="9511" max="9511" width="9.28515625" bestFit="1" customWidth="1"/>
    <col min="9512" max="9512" width="11.5703125" bestFit="1" customWidth="1"/>
    <col min="9513" max="9513" width="9.28515625" bestFit="1" customWidth="1"/>
    <col min="9514" max="9514" width="11.5703125" bestFit="1" customWidth="1"/>
    <col min="9515" max="9515" width="9.28515625" bestFit="1" customWidth="1"/>
    <col min="9516" max="9516" width="11.5703125" bestFit="1" customWidth="1"/>
    <col min="9517" max="9517" width="9.28515625" bestFit="1" customWidth="1"/>
    <col min="9518" max="9518" width="11.5703125" bestFit="1" customWidth="1"/>
    <col min="9519" max="9519" width="9.28515625" bestFit="1" customWidth="1"/>
    <col min="9520" max="9520" width="11.5703125" bestFit="1" customWidth="1"/>
    <col min="9521" max="9521" width="9.28515625" bestFit="1" customWidth="1"/>
    <col min="9522" max="9522" width="11.5703125" bestFit="1" customWidth="1"/>
    <col min="9523" max="9523" width="9.28515625" bestFit="1" customWidth="1"/>
    <col min="9731" max="9731" width="29.42578125" bestFit="1" customWidth="1"/>
    <col min="9732" max="9732" width="11.5703125" bestFit="1" customWidth="1"/>
    <col min="9733" max="9733" width="9.28515625" bestFit="1" customWidth="1"/>
    <col min="9734" max="9734" width="11.5703125" bestFit="1" customWidth="1"/>
    <col min="9735" max="9735" width="9.28515625" bestFit="1" customWidth="1"/>
    <col min="9736" max="9736" width="11.5703125" bestFit="1" customWidth="1"/>
    <col min="9737" max="9737" width="9.28515625" bestFit="1" customWidth="1"/>
    <col min="9738" max="9738" width="11.5703125" bestFit="1" customWidth="1"/>
    <col min="9739" max="9739" width="9.28515625" bestFit="1" customWidth="1"/>
    <col min="9740" max="9740" width="11.5703125" bestFit="1" customWidth="1"/>
    <col min="9741" max="9741" width="9.28515625" bestFit="1" customWidth="1"/>
    <col min="9742" max="9742" width="11.5703125" bestFit="1" customWidth="1"/>
    <col min="9743" max="9743" width="9.28515625" bestFit="1" customWidth="1"/>
    <col min="9744" max="9744" width="11.5703125" bestFit="1" customWidth="1"/>
    <col min="9745" max="9745" width="9.28515625" bestFit="1" customWidth="1"/>
    <col min="9746" max="9746" width="11.5703125" bestFit="1" customWidth="1"/>
    <col min="9747" max="9747" width="9.28515625" bestFit="1" customWidth="1"/>
    <col min="9748" max="9748" width="11.5703125" bestFit="1" customWidth="1"/>
    <col min="9749" max="9749" width="9.28515625" bestFit="1" customWidth="1"/>
    <col min="9750" max="9750" width="11.5703125" bestFit="1" customWidth="1"/>
    <col min="9751" max="9751" width="9.28515625" bestFit="1" customWidth="1"/>
    <col min="9752" max="9752" width="11.5703125" bestFit="1" customWidth="1"/>
    <col min="9753" max="9753" width="9.28515625" bestFit="1" customWidth="1"/>
    <col min="9754" max="9754" width="11.5703125" bestFit="1" customWidth="1"/>
    <col min="9755" max="9755" width="9.28515625" bestFit="1" customWidth="1"/>
    <col min="9756" max="9756" width="11.5703125" bestFit="1" customWidth="1"/>
    <col min="9757" max="9757" width="9.28515625" bestFit="1" customWidth="1"/>
    <col min="9758" max="9758" width="11.5703125" bestFit="1" customWidth="1"/>
    <col min="9759" max="9759" width="9.28515625" bestFit="1" customWidth="1"/>
    <col min="9760" max="9760" width="11.5703125" bestFit="1" customWidth="1"/>
    <col min="9761" max="9761" width="9.28515625" bestFit="1" customWidth="1"/>
    <col min="9762" max="9762" width="11.5703125" bestFit="1" customWidth="1"/>
    <col min="9763" max="9763" width="9.28515625" bestFit="1" customWidth="1"/>
    <col min="9764" max="9764" width="11.5703125" bestFit="1" customWidth="1"/>
    <col min="9765" max="9765" width="9.28515625" bestFit="1" customWidth="1"/>
    <col min="9766" max="9766" width="11.5703125" bestFit="1" customWidth="1"/>
    <col min="9767" max="9767" width="9.28515625" bestFit="1" customWidth="1"/>
    <col min="9768" max="9768" width="11.5703125" bestFit="1" customWidth="1"/>
    <col min="9769" max="9769" width="9.28515625" bestFit="1" customWidth="1"/>
    <col min="9770" max="9770" width="11.5703125" bestFit="1" customWidth="1"/>
    <col min="9771" max="9771" width="9.28515625" bestFit="1" customWidth="1"/>
    <col min="9772" max="9772" width="11.5703125" bestFit="1" customWidth="1"/>
    <col min="9773" max="9773" width="9.28515625" bestFit="1" customWidth="1"/>
    <col min="9774" max="9774" width="11.5703125" bestFit="1" customWidth="1"/>
    <col min="9775" max="9775" width="9.28515625" bestFit="1" customWidth="1"/>
    <col min="9776" max="9776" width="11.5703125" bestFit="1" customWidth="1"/>
    <col min="9777" max="9777" width="9.28515625" bestFit="1" customWidth="1"/>
    <col min="9778" max="9778" width="11.5703125" bestFit="1" customWidth="1"/>
    <col min="9779" max="9779" width="9.28515625" bestFit="1" customWidth="1"/>
    <col min="9987" max="9987" width="29.42578125" bestFit="1" customWidth="1"/>
    <col min="9988" max="9988" width="11.5703125" bestFit="1" customWidth="1"/>
    <col min="9989" max="9989" width="9.28515625" bestFit="1" customWidth="1"/>
    <col min="9990" max="9990" width="11.5703125" bestFit="1" customWidth="1"/>
    <col min="9991" max="9991" width="9.28515625" bestFit="1" customWidth="1"/>
    <col min="9992" max="9992" width="11.5703125" bestFit="1" customWidth="1"/>
    <col min="9993" max="9993" width="9.28515625" bestFit="1" customWidth="1"/>
    <col min="9994" max="9994" width="11.5703125" bestFit="1" customWidth="1"/>
    <col min="9995" max="9995" width="9.28515625" bestFit="1" customWidth="1"/>
    <col min="9996" max="9996" width="11.5703125" bestFit="1" customWidth="1"/>
    <col min="9997" max="9997" width="9.28515625" bestFit="1" customWidth="1"/>
    <col min="9998" max="9998" width="11.5703125" bestFit="1" customWidth="1"/>
    <col min="9999" max="9999" width="9.28515625" bestFit="1" customWidth="1"/>
    <col min="10000" max="10000" width="11.5703125" bestFit="1" customWidth="1"/>
    <col min="10001" max="10001" width="9.28515625" bestFit="1" customWidth="1"/>
    <col min="10002" max="10002" width="11.5703125" bestFit="1" customWidth="1"/>
    <col min="10003" max="10003" width="9.28515625" bestFit="1" customWidth="1"/>
    <col min="10004" max="10004" width="11.5703125" bestFit="1" customWidth="1"/>
    <col min="10005" max="10005" width="9.28515625" bestFit="1" customWidth="1"/>
    <col min="10006" max="10006" width="11.5703125" bestFit="1" customWidth="1"/>
    <col min="10007" max="10007" width="9.28515625" bestFit="1" customWidth="1"/>
    <col min="10008" max="10008" width="11.5703125" bestFit="1" customWidth="1"/>
    <col min="10009" max="10009" width="9.28515625" bestFit="1" customWidth="1"/>
    <col min="10010" max="10010" width="11.5703125" bestFit="1" customWidth="1"/>
    <col min="10011" max="10011" width="9.28515625" bestFit="1" customWidth="1"/>
    <col min="10012" max="10012" width="11.5703125" bestFit="1" customWidth="1"/>
    <col min="10013" max="10013" width="9.28515625" bestFit="1" customWidth="1"/>
    <col min="10014" max="10014" width="11.5703125" bestFit="1" customWidth="1"/>
    <col min="10015" max="10015" width="9.28515625" bestFit="1" customWidth="1"/>
    <col min="10016" max="10016" width="11.5703125" bestFit="1" customWidth="1"/>
    <col min="10017" max="10017" width="9.28515625" bestFit="1" customWidth="1"/>
    <col min="10018" max="10018" width="11.5703125" bestFit="1" customWidth="1"/>
    <col min="10019" max="10019" width="9.28515625" bestFit="1" customWidth="1"/>
    <col min="10020" max="10020" width="11.5703125" bestFit="1" customWidth="1"/>
    <col min="10021" max="10021" width="9.28515625" bestFit="1" customWidth="1"/>
    <col min="10022" max="10022" width="11.5703125" bestFit="1" customWidth="1"/>
    <col min="10023" max="10023" width="9.28515625" bestFit="1" customWidth="1"/>
    <col min="10024" max="10024" width="11.5703125" bestFit="1" customWidth="1"/>
    <col min="10025" max="10025" width="9.28515625" bestFit="1" customWidth="1"/>
    <col min="10026" max="10026" width="11.5703125" bestFit="1" customWidth="1"/>
    <col min="10027" max="10027" width="9.28515625" bestFit="1" customWidth="1"/>
    <col min="10028" max="10028" width="11.5703125" bestFit="1" customWidth="1"/>
    <col min="10029" max="10029" width="9.28515625" bestFit="1" customWidth="1"/>
    <col min="10030" max="10030" width="11.5703125" bestFit="1" customWidth="1"/>
    <col min="10031" max="10031" width="9.28515625" bestFit="1" customWidth="1"/>
    <col min="10032" max="10032" width="11.5703125" bestFit="1" customWidth="1"/>
    <col min="10033" max="10033" width="9.28515625" bestFit="1" customWidth="1"/>
    <col min="10034" max="10034" width="11.5703125" bestFit="1" customWidth="1"/>
    <col min="10035" max="10035" width="9.28515625" bestFit="1" customWidth="1"/>
    <col min="10243" max="10243" width="29.42578125" bestFit="1" customWidth="1"/>
    <col min="10244" max="10244" width="11.5703125" bestFit="1" customWidth="1"/>
    <col min="10245" max="10245" width="9.28515625" bestFit="1" customWidth="1"/>
    <col min="10246" max="10246" width="11.5703125" bestFit="1" customWidth="1"/>
    <col min="10247" max="10247" width="9.28515625" bestFit="1" customWidth="1"/>
    <col min="10248" max="10248" width="11.5703125" bestFit="1" customWidth="1"/>
    <col min="10249" max="10249" width="9.28515625" bestFit="1" customWidth="1"/>
    <col min="10250" max="10250" width="11.5703125" bestFit="1" customWidth="1"/>
    <col min="10251" max="10251" width="9.28515625" bestFit="1" customWidth="1"/>
    <col min="10252" max="10252" width="11.5703125" bestFit="1" customWidth="1"/>
    <col min="10253" max="10253" width="9.28515625" bestFit="1" customWidth="1"/>
    <col min="10254" max="10254" width="11.5703125" bestFit="1" customWidth="1"/>
    <col min="10255" max="10255" width="9.28515625" bestFit="1" customWidth="1"/>
    <col min="10256" max="10256" width="11.5703125" bestFit="1" customWidth="1"/>
    <col min="10257" max="10257" width="9.28515625" bestFit="1" customWidth="1"/>
    <col min="10258" max="10258" width="11.5703125" bestFit="1" customWidth="1"/>
    <col min="10259" max="10259" width="9.28515625" bestFit="1" customWidth="1"/>
    <col min="10260" max="10260" width="11.5703125" bestFit="1" customWidth="1"/>
    <col min="10261" max="10261" width="9.28515625" bestFit="1" customWidth="1"/>
    <col min="10262" max="10262" width="11.5703125" bestFit="1" customWidth="1"/>
    <col min="10263" max="10263" width="9.28515625" bestFit="1" customWidth="1"/>
    <col min="10264" max="10264" width="11.5703125" bestFit="1" customWidth="1"/>
    <col min="10265" max="10265" width="9.28515625" bestFit="1" customWidth="1"/>
    <col min="10266" max="10266" width="11.5703125" bestFit="1" customWidth="1"/>
    <col min="10267" max="10267" width="9.28515625" bestFit="1" customWidth="1"/>
    <col min="10268" max="10268" width="11.5703125" bestFit="1" customWidth="1"/>
    <col min="10269" max="10269" width="9.28515625" bestFit="1" customWidth="1"/>
    <col min="10270" max="10270" width="11.5703125" bestFit="1" customWidth="1"/>
    <col min="10271" max="10271" width="9.28515625" bestFit="1" customWidth="1"/>
    <col min="10272" max="10272" width="11.5703125" bestFit="1" customWidth="1"/>
    <col min="10273" max="10273" width="9.28515625" bestFit="1" customWidth="1"/>
    <col min="10274" max="10274" width="11.5703125" bestFit="1" customWidth="1"/>
    <col min="10275" max="10275" width="9.28515625" bestFit="1" customWidth="1"/>
    <col min="10276" max="10276" width="11.5703125" bestFit="1" customWidth="1"/>
    <col min="10277" max="10277" width="9.28515625" bestFit="1" customWidth="1"/>
    <col min="10278" max="10278" width="11.5703125" bestFit="1" customWidth="1"/>
    <col min="10279" max="10279" width="9.28515625" bestFit="1" customWidth="1"/>
    <col min="10280" max="10280" width="11.5703125" bestFit="1" customWidth="1"/>
    <col min="10281" max="10281" width="9.28515625" bestFit="1" customWidth="1"/>
    <col min="10282" max="10282" width="11.5703125" bestFit="1" customWidth="1"/>
    <col min="10283" max="10283" width="9.28515625" bestFit="1" customWidth="1"/>
    <col min="10284" max="10284" width="11.5703125" bestFit="1" customWidth="1"/>
    <col min="10285" max="10285" width="9.28515625" bestFit="1" customWidth="1"/>
    <col min="10286" max="10286" width="11.5703125" bestFit="1" customWidth="1"/>
    <col min="10287" max="10287" width="9.28515625" bestFit="1" customWidth="1"/>
    <col min="10288" max="10288" width="11.5703125" bestFit="1" customWidth="1"/>
    <col min="10289" max="10289" width="9.28515625" bestFit="1" customWidth="1"/>
    <col min="10290" max="10290" width="11.5703125" bestFit="1" customWidth="1"/>
    <col min="10291" max="10291" width="9.28515625" bestFit="1" customWidth="1"/>
    <col min="10499" max="10499" width="29.42578125" bestFit="1" customWidth="1"/>
    <col min="10500" max="10500" width="11.5703125" bestFit="1" customWidth="1"/>
    <col min="10501" max="10501" width="9.28515625" bestFit="1" customWidth="1"/>
    <col min="10502" max="10502" width="11.5703125" bestFit="1" customWidth="1"/>
    <col min="10503" max="10503" width="9.28515625" bestFit="1" customWidth="1"/>
    <col min="10504" max="10504" width="11.5703125" bestFit="1" customWidth="1"/>
    <col min="10505" max="10505" width="9.28515625" bestFit="1" customWidth="1"/>
    <col min="10506" max="10506" width="11.5703125" bestFit="1" customWidth="1"/>
    <col min="10507" max="10507" width="9.28515625" bestFit="1" customWidth="1"/>
    <col min="10508" max="10508" width="11.5703125" bestFit="1" customWidth="1"/>
    <col min="10509" max="10509" width="9.28515625" bestFit="1" customWidth="1"/>
    <col min="10510" max="10510" width="11.5703125" bestFit="1" customWidth="1"/>
    <col min="10511" max="10511" width="9.28515625" bestFit="1" customWidth="1"/>
    <col min="10512" max="10512" width="11.5703125" bestFit="1" customWidth="1"/>
    <col min="10513" max="10513" width="9.28515625" bestFit="1" customWidth="1"/>
    <col min="10514" max="10514" width="11.5703125" bestFit="1" customWidth="1"/>
    <col min="10515" max="10515" width="9.28515625" bestFit="1" customWidth="1"/>
    <col min="10516" max="10516" width="11.5703125" bestFit="1" customWidth="1"/>
    <col min="10517" max="10517" width="9.28515625" bestFit="1" customWidth="1"/>
    <col min="10518" max="10518" width="11.5703125" bestFit="1" customWidth="1"/>
    <col min="10519" max="10519" width="9.28515625" bestFit="1" customWidth="1"/>
    <col min="10520" max="10520" width="11.5703125" bestFit="1" customWidth="1"/>
    <col min="10521" max="10521" width="9.28515625" bestFit="1" customWidth="1"/>
    <col min="10522" max="10522" width="11.5703125" bestFit="1" customWidth="1"/>
    <col min="10523" max="10523" width="9.28515625" bestFit="1" customWidth="1"/>
    <col min="10524" max="10524" width="11.5703125" bestFit="1" customWidth="1"/>
    <col min="10525" max="10525" width="9.28515625" bestFit="1" customWidth="1"/>
    <col min="10526" max="10526" width="11.5703125" bestFit="1" customWidth="1"/>
    <col min="10527" max="10527" width="9.28515625" bestFit="1" customWidth="1"/>
    <col min="10528" max="10528" width="11.5703125" bestFit="1" customWidth="1"/>
    <col min="10529" max="10529" width="9.28515625" bestFit="1" customWidth="1"/>
    <col min="10530" max="10530" width="11.5703125" bestFit="1" customWidth="1"/>
    <col min="10531" max="10531" width="9.28515625" bestFit="1" customWidth="1"/>
    <col min="10532" max="10532" width="11.5703125" bestFit="1" customWidth="1"/>
    <col min="10533" max="10533" width="9.28515625" bestFit="1" customWidth="1"/>
    <col min="10534" max="10534" width="11.5703125" bestFit="1" customWidth="1"/>
    <col min="10535" max="10535" width="9.28515625" bestFit="1" customWidth="1"/>
    <col min="10536" max="10536" width="11.5703125" bestFit="1" customWidth="1"/>
    <col min="10537" max="10537" width="9.28515625" bestFit="1" customWidth="1"/>
    <col min="10538" max="10538" width="11.5703125" bestFit="1" customWidth="1"/>
    <col min="10539" max="10539" width="9.28515625" bestFit="1" customWidth="1"/>
    <col min="10540" max="10540" width="11.5703125" bestFit="1" customWidth="1"/>
    <col min="10541" max="10541" width="9.28515625" bestFit="1" customWidth="1"/>
    <col min="10542" max="10542" width="11.5703125" bestFit="1" customWidth="1"/>
    <col min="10543" max="10543" width="9.28515625" bestFit="1" customWidth="1"/>
    <col min="10544" max="10544" width="11.5703125" bestFit="1" customWidth="1"/>
    <col min="10545" max="10545" width="9.28515625" bestFit="1" customWidth="1"/>
    <col min="10546" max="10546" width="11.5703125" bestFit="1" customWidth="1"/>
    <col min="10547" max="10547" width="9.28515625" bestFit="1" customWidth="1"/>
    <col min="10755" max="10755" width="29.42578125" bestFit="1" customWidth="1"/>
    <col min="10756" max="10756" width="11.5703125" bestFit="1" customWidth="1"/>
    <col min="10757" max="10757" width="9.28515625" bestFit="1" customWidth="1"/>
    <col min="10758" max="10758" width="11.5703125" bestFit="1" customWidth="1"/>
    <col min="10759" max="10759" width="9.28515625" bestFit="1" customWidth="1"/>
    <col min="10760" max="10760" width="11.5703125" bestFit="1" customWidth="1"/>
    <col min="10761" max="10761" width="9.28515625" bestFit="1" customWidth="1"/>
    <col min="10762" max="10762" width="11.5703125" bestFit="1" customWidth="1"/>
    <col min="10763" max="10763" width="9.28515625" bestFit="1" customWidth="1"/>
    <col min="10764" max="10764" width="11.5703125" bestFit="1" customWidth="1"/>
    <col min="10765" max="10765" width="9.28515625" bestFit="1" customWidth="1"/>
    <col min="10766" max="10766" width="11.5703125" bestFit="1" customWidth="1"/>
    <col min="10767" max="10767" width="9.28515625" bestFit="1" customWidth="1"/>
    <col min="10768" max="10768" width="11.5703125" bestFit="1" customWidth="1"/>
    <col min="10769" max="10769" width="9.28515625" bestFit="1" customWidth="1"/>
    <col min="10770" max="10770" width="11.5703125" bestFit="1" customWidth="1"/>
    <col min="10771" max="10771" width="9.28515625" bestFit="1" customWidth="1"/>
    <col min="10772" max="10772" width="11.5703125" bestFit="1" customWidth="1"/>
    <col min="10773" max="10773" width="9.28515625" bestFit="1" customWidth="1"/>
    <col min="10774" max="10774" width="11.5703125" bestFit="1" customWidth="1"/>
    <col min="10775" max="10775" width="9.28515625" bestFit="1" customWidth="1"/>
    <col min="10776" max="10776" width="11.5703125" bestFit="1" customWidth="1"/>
    <col min="10777" max="10777" width="9.28515625" bestFit="1" customWidth="1"/>
    <col min="10778" max="10778" width="11.5703125" bestFit="1" customWidth="1"/>
    <col min="10779" max="10779" width="9.28515625" bestFit="1" customWidth="1"/>
    <col min="10780" max="10780" width="11.5703125" bestFit="1" customWidth="1"/>
    <col min="10781" max="10781" width="9.28515625" bestFit="1" customWidth="1"/>
    <col min="10782" max="10782" width="11.5703125" bestFit="1" customWidth="1"/>
    <col min="10783" max="10783" width="9.28515625" bestFit="1" customWidth="1"/>
    <col min="10784" max="10784" width="11.5703125" bestFit="1" customWidth="1"/>
    <col min="10785" max="10785" width="9.28515625" bestFit="1" customWidth="1"/>
    <col min="10786" max="10786" width="11.5703125" bestFit="1" customWidth="1"/>
    <col min="10787" max="10787" width="9.28515625" bestFit="1" customWidth="1"/>
    <col min="10788" max="10788" width="11.5703125" bestFit="1" customWidth="1"/>
    <col min="10789" max="10789" width="9.28515625" bestFit="1" customWidth="1"/>
    <col min="10790" max="10790" width="11.5703125" bestFit="1" customWidth="1"/>
    <col min="10791" max="10791" width="9.28515625" bestFit="1" customWidth="1"/>
    <col min="10792" max="10792" width="11.5703125" bestFit="1" customWidth="1"/>
    <col min="10793" max="10793" width="9.28515625" bestFit="1" customWidth="1"/>
    <col min="10794" max="10794" width="11.5703125" bestFit="1" customWidth="1"/>
    <col min="10795" max="10795" width="9.28515625" bestFit="1" customWidth="1"/>
    <col min="10796" max="10796" width="11.5703125" bestFit="1" customWidth="1"/>
    <col min="10797" max="10797" width="9.28515625" bestFit="1" customWidth="1"/>
    <col min="10798" max="10798" width="11.5703125" bestFit="1" customWidth="1"/>
    <col min="10799" max="10799" width="9.28515625" bestFit="1" customWidth="1"/>
    <col min="10800" max="10800" width="11.5703125" bestFit="1" customWidth="1"/>
    <col min="10801" max="10801" width="9.28515625" bestFit="1" customWidth="1"/>
    <col min="10802" max="10802" width="11.5703125" bestFit="1" customWidth="1"/>
    <col min="10803" max="10803" width="9.28515625" bestFit="1" customWidth="1"/>
    <col min="11011" max="11011" width="29.42578125" bestFit="1" customWidth="1"/>
    <col min="11012" max="11012" width="11.5703125" bestFit="1" customWidth="1"/>
    <col min="11013" max="11013" width="9.28515625" bestFit="1" customWidth="1"/>
    <col min="11014" max="11014" width="11.5703125" bestFit="1" customWidth="1"/>
    <col min="11015" max="11015" width="9.28515625" bestFit="1" customWidth="1"/>
    <col min="11016" max="11016" width="11.5703125" bestFit="1" customWidth="1"/>
    <col min="11017" max="11017" width="9.28515625" bestFit="1" customWidth="1"/>
    <col min="11018" max="11018" width="11.5703125" bestFit="1" customWidth="1"/>
    <col min="11019" max="11019" width="9.28515625" bestFit="1" customWidth="1"/>
    <col min="11020" max="11020" width="11.5703125" bestFit="1" customWidth="1"/>
    <col min="11021" max="11021" width="9.28515625" bestFit="1" customWidth="1"/>
    <col min="11022" max="11022" width="11.5703125" bestFit="1" customWidth="1"/>
    <col min="11023" max="11023" width="9.28515625" bestFit="1" customWidth="1"/>
    <col min="11024" max="11024" width="11.5703125" bestFit="1" customWidth="1"/>
    <col min="11025" max="11025" width="9.28515625" bestFit="1" customWidth="1"/>
    <col min="11026" max="11026" width="11.5703125" bestFit="1" customWidth="1"/>
    <col min="11027" max="11027" width="9.28515625" bestFit="1" customWidth="1"/>
    <col min="11028" max="11028" width="11.5703125" bestFit="1" customWidth="1"/>
    <col min="11029" max="11029" width="9.28515625" bestFit="1" customWidth="1"/>
    <col min="11030" max="11030" width="11.5703125" bestFit="1" customWidth="1"/>
    <col min="11031" max="11031" width="9.28515625" bestFit="1" customWidth="1"/>
    <col min="11032" max="11032" width="11.5703125" bestFit="1" customWidth="1"/>
    <col min="11033" max="11033" width="9.28515625" bestFit="1" customWidth="1"/>
    <col min="11034" max="11034" width="11.5703125" bestFit="1" customWidth="1"/>
    <col min="11035" max="11035" width="9.28515625" bestFit="1" customWidth="1"/>
    <col min="11036" max="11036" width="11.5703125" bestFit="1" customWidth="1"/>
    <col min="11037" max="11037" width="9.28515625" bestFit="1" customWidth="1"/>
    <col min="11038" max="11038" width="11.5703125" bestFit="1" customWidth="1"/>
    <col min="11039" max="11039" width="9.28515625" bestFit="1" customWidth="1"/>
    <col min="11040" max="11040" width="11.5703125" bestFit="1" customWidth="1"/>
    <col min="11041" max="11041" width="9.28515625" bestFit="1" customWidth="1"/>
    <col min="11042" max="11042" width="11.5703125" bestFit="1" customWidth="1"/>
    <col min="11043" max="11043" width="9.28515625" bestFit="1" customWidth="1"/>
    <col min="11044" max="11044" width="11.5703125" bestFit="1" customWidth="1"/>
    <col min="11045" max="11045" width="9.28515625" bestFit="1" customWidth="1"/>
    <col min="11046" max="11046" width="11.5703125" bestFit="1" customWidth="1"/>
    <col min="11047" max="11047" width="9.28515625" bestFit="1" customWidth="1"/>
    <col min="11048" max="11048" width="11.5703125" bestFit="1" customWidth="1"/>
    <col min="11049" max="11049" width="9.28515625" bestFit="1" customWidth="1"/>
    <col min="11050" max="11050" width="11.5703125" bestFit="1" customWidth="1"/>
    <col min="11051" max="11051" width="9.28515625" bestFit="1" customWidth="1"/>
    <col min="11052" max="11052" width="11.5703125" bestFit="1" customWidth="1"/>
    <col min="11053" max="11053" width="9.28515625" bestFit="1" customWidth="1"/>
    <col min="11054" max="11054" width="11.5703125" bestFit="1" customWidth="1"/>
    <col min="11055" max="11055" width="9.28515625" bestFit="1" customWidth="1"/>
    <col min="11056" max="11056" width="11.5703125" bestFit="1" customWidth="1"/>
    <col min="11057" max="11057" width="9.28515625" bestFit="1" customWidth="1"/>
    <col min="11058" max="11058" width="11.5703125" bestFit="1" customWidth="1"/>
    <col min="11059" max="11059" width="9.28515625" bestFit="1" customWidth="1"/>
    <col min="11267" max="11267" width="29.42578125" bestFit="1" customWidth="1"/>
    <col min="11268" max="11268" width="11.5703125" bestFit="1" customWidth="1"/>
    <col min="11269" max="11269" width="9.28515625" bestFit="1" customWidth="1"/>
    <col min="11270" max="11270" width="11.5703125" bestFit="1" customWidth="1"/>
    <col min="11271" max="11271" width="9.28515625" bestFit="1" customWidth="1"/>
    <col min="11272" max="11272" width="11.5703125" bestFit="1" customWidth="1"/>
    <col min="11273" max="11273" width="9.28515625" bestFit="1" customWidth="1"/>
    <col min="11274" max="11274" width="11.5703125" bestFit="1" customWidth="1"/>
    <col min="11275" max="11275" width="9.28515625" bestFit="1" customWidth="1"/>
    <col min="11276" max="11276" width="11.5703125" bestFit="1" customWidth="1"/>
    <col min="11277" max="11277" width="9.28515625" bestFit="1" customWidth="1"/>
    <col min="11278" max="11278" width="11.5703125" bestFit="1" customWidth="1"/>
    <col min="11279" max="11279" width="9.28515625" bestFit="1" customWidth="1"/>
    <col min="11280" max="11280" width="11.5703125" bestFit="1" customWidth="1"/>
    <col min="11281" max="11281" width="9.28515625" bestFit="1" customWidth="1"/>
    <col min="11282" max="11282" width="11.5703125" bestFit="1" customWidth="1"/>
    <col min="11283" max="11283" width="9.28515625" bestFit="1" customWidth="1"/>
    <col min="11284" max="11284" width="11.5703125" bestFit="1" customWidth="1"/>
    <col min="11285" max="11285" width="9.28515625" bestFit="1" customWidth="1"/>
    <col min="11286" max="11286" width="11.5703125" bestFit="1" customWidth="1"/>
    <col min="11287" max="11287" width="9.28515625" bestFit="1" customWidth="1"/>
    <col min="11288" max="11288" width="11.5703125" bestFit="1" customWidth="1"/>
    <col min="11289" max="11289" width="9.28515625" bestFit="1" customWidth="1"/>
    <col min="11290" max="11290" width="11.5703125" bestFit="1" customWidth="1"/>
    <col min="11291" max="11291" width="9.28515625" bestFit="1" customWidth="1"/>
    <col min="11292" max="11292" width="11.5703125" bestFit="1" customWidth="1"/>
    <col min="11293" max="11293" width="9.28515625" bestFit="1" customWidth="1"/>
    <col min="11294" max="11294" width="11.5703125" bestFit="1" customWidth="1"/>
    <col min="11295" max="11295" width="9.28515625" bestFit="1" customWidth="1"/>
    <col min="11296" max="11296" width="11.5703125" bestFit="1" customWidth="1"/>
    <col min="11297" max="11297" width="9.28515625" bestFit="1" customWidth="1"/>
    <col min="11298" max="11298" width="11.5703125" bestFit="1" customWidth="1"/>
    <col min="11299" max="11299" width="9.28515625" bestFit="1" customWidth="1"/>
    <col min="11300" max="11300" width="11.5703125" bestFit="1" customWidth="1"/>
    <col min="11301" max="11301" width="9.28515625" bestFit="1" customWidth="1"/>
    <col min="11302" max="11302" width="11.5703125" bestFit="1" customWidth="1"/>
    <col min="11303" max="11303" width="9.28515625" bestFit="1" customWidth="1"/>
    <col min="11304" max="11304" width="11.5703125" bestFit="1" customWidth="1"/>
    <col min="11305" max="11305" width="9.28515625" bestFit="1" customWidth="1"/>
    <col min="11306" max="11306" width="11.5703125" bestFit="1" customWidth="1"/>
    <col min="11307" max="11307" width="9.28515625" bestFit="1" customWidth="1"/>
    <col min="11308" max="11308" width="11.5703125" bestFit="1" customWidth="1"/>
    <col min="11309" max="11309" width="9.28515625" bestFit="1" customWidth="1"/>
    <col min="11310" max="11310" width="11.5703125" bestFit="1" customWidth="1"/>
    <col min="11311" max="11311" width="9.28515625" bestFit="1" customWidth="1"/>
    <col min="11312" max="11312" width="11.5703125" bestFit="1" customWidth="1"/>
    <col min="11313" max="11313" width="9.28515625" bestFit="1" customWidth="1"/>
    <col min="11314" max="11314" width="11.5703125" bestFit="1" customWidth="1"/>
    <col min="11315" max="11315" width="9.28515625" bestFit="1" customWidth="1"/>
    <col min="11523" max="11523" width="29.42578125" bestFit="1" customWidth="1"/>
    <col min="11524" max="11524" width="11.5703125" bestFit="1" customWidth="1"/>
    <col min="11525" max="11525" width="9.28515625" bestFit="1" customWidth="1"/>
    <col min="11526" max="11526" width="11.5703125" bestFit="1" customWidth="1"/>
    <col min="11527" max="11527" width="9.28515625" bestFit="1" customWidth="1"/>
    <col min="11528" max="11528" width="11.5703125" bestFit="1" customWidth="1"/>
    <col min="11529" max="11529" width="9.28515625" bestFit="1" customWidth="1"/>
    <col min="11530" max="11530" width="11.5703125" bestFit="1" customWidth="1"/>
    <col min="11531" max="11531" width="9.28515625" bestFit="1" customWidth="1"/>
    <col min="11532" max="11532" width="11.5703125" bestFit="1" customWidth="1"/>
    <col min="11533" max="11533" width="9.28515625" bestFit="1" customWidth="1"/>
    <col min="11534" max="11534" width="11.5703125" bestFit="1" customWidth="1"/>
    <col min="11535" max="11535" width="9.28515625" bestFit="1" customWidth="1"/>
    <col min="11536" max="11536" width="11.5703125" bestFit="1" customWidth="1"/>
    <col min="11537" max="11537" width="9.28515625" bestFit="1" customWidth="1"/>
    <col min="11538" max="11538" width="11.5703125" bestFit="1" customWidth="1"/>
    <col min="11539" max="11539" width="9.28515625" bestFit="1" customWidth="1"/>
    <col min="11540" max="11540" width="11.5703125" bestFit="1" customWidth="1"/>
    <col min="11541" max="11541" width="9.28515625" bestFit="1" customWidth="1"/>
    <col min="11542" max="11542" width="11.5703125" bestFit="1" customWidth="1"/>
    <col min="11543" max="11543" width="9.28515625" bestFit="1" customWidth="1"/>
    <col min="11544" max="11544" width="11.5703125" bestFit="1" customWidth="1"/>
    <col min="11545" max="11545" width="9.28515625" bestFit="1" customWidth="1"/>
    <col min="11546" max="11546" width="11.5703125" bestFit="1" customWidth="1"/>
    <col min="11547" max="11547" width="9.28515625" bestFit="1" customWidth="1"/>
    <col min="11548" max="11548" width="11.5703125" bestFit="1" customWidth="1"/>
    <col min="11549" max="11549" width="9.28515625" bestFit="1" customWidth="1"/>
    <col min="11550" max="11550" width="11.5703125" bestFit="1" customWidth="1"/>
    <col min="11551" max="11551" width="9.28515625" bestFit="1" customWidth="1"/>
    <col min="11552" max="11552" width="11.5703125" bestFit="1" customWidth="1"/>
    <col min="11553" max="11553" width="9.28515625" bestFit="1" customWidth="1"/>
    <col min="11554" max="11554" width="11.5703125" bestFit="1" customWidth="1"/>
    <col min="11555" max="11555" width="9.28515625" bestFit="1" customWidth="1"/>
    <col min="11556" max="11556" width="11.5703125" bestFit="1" customWidth="1"/>
    <col min="11557" max="11557" width="9.28515625" bestFit="1" customWidth="1"/>
    <col min="11558" max="11558" width="11.5703125" bestFit="1" customWidth="1"/>
    <col min="11559" max="11559" width="9.28515625" bestFit="1" customWidth="1"/>
    <col min="11560" max="11560" width="11.5703125" bestFit="1" customWidth="1"/>
    <col min="11561" max="11561" width="9.28515625" bestFit="1" customWidth="1"/>
    <col min="11562" max="11562" width="11.5703125" bestFit="1" customWidth="1"/>
    <col min="11563" max="11563" width="9.28515625" bestFit="1" customWidth="1"/>
    <col min="11564" max="11564" width="11.5703125" bestFit="1" customWidth="1"/>
    <col min="11565" max="11565" width="9.28515625" bestFit="1" customWidth="1"/>
    <col min="11566" max="11566" width="11.5703125" bestFit="1" customWidth="1"/>
    <col min="11567" max="11567" width="9.28515625" bestFit="1" customWidth="1"/>
    <col min="11568" max="11568" width="11.5703125" bestFit="1" customWidth="1"/>
    <col min="11569" max="11569" width="9.28515625" bestFit="1" customWidth="1"/>
    <col min="11570" max="11570" width="11.5703125" bestFit="1" customWidth="1"/>
    <col min="11571" max="11571" width="9.28515625" bestFit="1" customWidth="1"/>
    <col min="11779" max="11779" width="29.42578125" bestFit="1" customWidth="1"/>
    <col min="11780" max="11780" width="11.5703125" bestFit="1" customWidth="1"/>
    <col min="11781" max="11781" width="9.28515625" bestFit="1" customWidth="1"/>
    <col min="11782" max="11782" width="11.5703125" bestFit="1" customWidth="1"/>
    <col min="11783" max="11783" width="9.28515625" bestFit="1" customWidth="1"/>
    <col min="11784" max="11784" width="11.5703125" bestFit="1" customWidth="1"/>
    <col min="11785" max="11785" width="9.28515625" bestFit="1" customWidth="1"/>
    <col min="11786" max="11786" width="11.5703125" bestFit="1" customWidth="1"/>
    <col min="11787" max="11787" width="9.28515625" bestFit="1" customWidth="1"/>
    <col min="11788" max="11788" width="11.5703125" bestFit="1" customWidth="1"/>
    <col min="11789" max="11789" width="9.28515625" bestFit="1" customWidth="1"/>
    <col min="11790" max="11790" width="11.5703125" bestFit="1" customWidth="1"/>
    <col min="11791" max="11791" width="9.28515625" bestFit="1" customWidth="1"/>
    <col min="11792" max="11792" width="11.5703125" bestFit="1" customWidth="1"/>
    <col min="11793" max="11793" width="9.28515625" bestFit="1" customWidth="1"/>
    <col min="11794" max="11794" width="11.5703125" bestFit="1" customWidth="1"/>
    <col min="11795" max="11795" width="9.28515625" bestFit="1" customWidth="1"/>
    <col min="11796" max="11796" width="11.5703125" bestFit="1" customWidth="1"/>
    <col min="11797" max="11797" width="9.28515625" bestFit="1" customWidth="1"/>
    <col min="11798" max="11798" width="11.5703125" bestFit="1" customWidth="1"/>
    <col min="11799" max="11799" width="9.28515625" bestFit="1" customWidth="1"/>
    <col min="11800" max="11800" width="11.5703125" bestFit="1" customWidth="1"/>
    <col min="11801" max="11801" width="9.28515625" bestFit="1" customWidth="1"/>
    <col min="11802" max="11802" width="11.5703125" bestFit="1" customWidth="1"/>
    <col min="11803" max="11803" width="9.28515625" bestFit="1" customWidth="1"/>
    <col min="11804" max="11804" width="11.5703125" bestFit="1" customWidth="1"/>
    <col min="11805" max="11805" width="9.28515625" bestFit="1" customWidth="1"/>
    <col min="11806" max="11806" width="11.5703125" bestFit="1" customWidth="1"/>
    <col min="11807" max="11807" width="9.28515625" bestFit="1" customWidth="1"/>
    <col min="11808" max="11808" width="11.5703125" bestFit="1" customWidth="1"/>
    <col min="11809" max="11809" width="9.28515625" bestFit="1" customWidth="1"/>
    <col min="11810" max="11810" width="11.5703125" bestFit="1" customWidth="1"/>
    <col min="11811" max="11811" width="9.28515625" bestFit="1" customWidth="1"/>
    <col min="11812" max="11812" width="11.5703125" bestFit="1" customWidth="1"/>
    <col min="11813" max="11813" width="9.28515625" bestFit="1" customWidth="1"/>
    <col min="11814" max="11814" width="11.5703125" bestFit="1" customWidth="1"/>
    <col min="11815" max="11815" width="9.28515625" bestFit="1" customWidth="1"/>
    <col min="11816" max="11816" width="11.5703125" bestFit="1" customWidth="1"/>
    <col min="11817" max="11817" width="9.28515625" bestFit="1" customWidth="1"/>
    <col min="11818" max="11818" width="11.5703125" bestFit="1" customWidth="1"/>
    <col min="11819" max="11819" width="9.28515625" bestFit="1" customWidth="1"/>
    <col min="11820" max="11820" width="11.5703125" bestFit="1" customWidth="1"/>
    <col min="11821" max="11821" width="9.28515625" bestFit="1" customWidth="1"/>
    <col min="11822" max="11822" width="11.5703125" bestFit="1" customWidth="1"/>
    <col min="11823" max="11823" width="9.28515625" bestFit="1" customWidth="1"/>
    <col min="11824" max="11824" width="11.5703125" bestFit="1" customWidth="1"/>
    <col min="11825" max="11825" width="9.28515625" bestFit="1" customWidth="1"/>
    <col min="11826" max="11826" width="11.5703125" bestFit="1" customWidth="1"/>
    <col min="11827" max="11827" width="9.28515625" bestFit="1" customWidth="1"/>
    <col min="12035" max="12035" width="29.42578125" bestFit="1" customWidth="1"/>
    <col min="12036" max="12036" width="11.5703125" bestFit="1" customWidth="1"/>
    <col min="12037" max="12037" width="9.28515625" bestFit="1" customWidth="1"/>
    <col min="12038" max="12038" width="11.5703125" bestFit="1" customWidth="1"/>
    <col min="12039" max="12039" width="9.28515625" bestFit="1" customWidth="1"/>
    <col min="12040" max="12040" width="11.5703125" bestFit="1" customWidth="1"/>
    <col min="12041" max="12041" width="9.28515625" bestFit="1" customWidth="1"/>
    <col min="12042" max="12042" width="11.5703125" bestFit="1" customWidth="1"/>
    <col min="12043" max="12043" width="9.28515625" bestFit="1" customWidth="1"/>
    <col min="12044" max="12044" width="11.5703125" bestFit="1" customWidth="1"/>
    <col min="12045" max="12045" width="9.28515625" bestFit="1" customWidth="1"/>
    <col min="12046" max="12046" width="11.5703125" bestFit="1" customWidth="1"/>
    <col min="12047" max="12047" width="9.28515625" bestFit="1" customWidth="1"/>
    <col min="12048" max="12048" width="11.5703125" bestFit="1" customWidth="1"/>
    <col min="12049" max="12049" width="9.28515625" bestFit="1" customWidth="1"/>
    <col min="12050" max="12050" width="11.5703125" bestFit="1" customWidth="1"/>
    <col min="12051" max="12051" width="9.28515625" bestFit="1" customWidth="1"/>
    <col min="12052" max="12052" width="11.5703125" bestFit="1" customWidth="1"/>
    <col min="12053" max="12053" width="9.28515625" bestFit="1" customWidth="1"/>
    <col min="12054" max="12054" width="11.5703125" bestFit="1" customWidth="1"/>
    <col min="12055" max="12055" width="9.28515625" bestFit="1" customWidth="1"/>
    <col min="12056" max="12056" width="11.5703125" bestFit="1" customWidth="1"/>
    <col min="12057" max="12057" width="9.28515625" bestFit="1" customWidth="1"/>
    <col min="12058" max="12058" width="11.5703125" bestFit="1" customWidth="1"/>
    <col min="12059" max="12059" width="9.28515625" bestFit="1" customWidth="1"/>
    <col min="12060" max="12060" width="11.5703125" bestFit="1" customWidth="1"/>
    <col min="12061" max="12061" width="9.28515625" bestFit="1" customWidth="1"/>
    <col min="12062" max="12062" width="11.5703125" bestFit="1" customWidth="1"/>
    <col min="12063" max="12063" width="9.28515625" bestFit="1" customWidth="1"/>
    <col min="12064" max="12064" width="11.5703125" bestFit="1" customWidth="1"/>
    <col min="12065" max="12065" width="9.28515625" bestFit="1" customWidth="1"/>
    <col min="12066" max="12066" width="11.5703125" bestFit="1" customWidth="1"/>
    <col min="12067" max="12067" width="9.28515625" bestFit="1" customWidth="1"/>
    <col min="12068" max="12068" width="11.5703125" bestFit="1" customWidth="1"/>
    <col min="12069" max="12069" width="9.28515625" bestFit="1" customWidth="1"/>
    <col min="12070" max="12070" width="11.5703125" bestFit="1" customWidth="1"/>
    <col min="12071" max="12071" width="9.28515625" bestFit="1" customWidth="1"/>
    <col min="12072" max="12072" width="11.5703125" bestFit="1" customWidth="1"/>
    <col min="12073" max="12073" width="9.28515625" bestFit="1" customWidth="1"/>
    <col min="12074" max="12074" width="11.5703125" bestFit="1" customWidth="1"/>
    <col min="12075" max="12075" width="9.28515625" bestFit="1" customWidth="1"/>
    <col min="12076" max="12076" width="11.5703125" bestFit="1" customWidth="1"/>
    <col min="12077" max="12077" width="9.28515625" bestFit="1" customWidth="1"/>
    <col min="12078" max="12078" width="11.5703125" bestFit="1" customWidth="1"/>
    <col min="12079" max="12079" width="9.28515625" bestFit="1" customWidth="1"/>
    <col min="12080" max="12080" width="11.5703125" bestFit="1" customWidth="1"/>
    <col min="12081" max="12081" width="9.28515625" bestFit="1" customWidth="1"/>
    <col min="12082" max="12082" width="11.5703125" bestFit="1" customWidth="1"/>
    <col min="12083" max="12083" width="9.28515625" bestFit="1" customWidth="1"/>
    <col min="12291" max="12291" width="29.42578125" bestFit="1" customWidth="1"/>
    <col min="12292" max="12292" width="11.5703125" bestFit="1" customWidth="1"/>
    <col min="12293" max="12293" width="9.28515625" bestFit="1" customWidth="1"/>
    <col min="12294" max="12294" width="11.5703125" bestFit="1" customWidth="1"/>
    <col min="12295" max="12295" width="9.28515625" bestFit="1" customWidth="1"/>
    <col min="12296" max="12296" width="11.5703125" bestFit="1" customWidth="1"/>
    <col min="12297" max="12297" width="9.28515625" bestFit="1" customWidth="1"/>
    <col min="12298" max="12298" width="11.5703125" bestFit="1" customWidth="1"/>
    <col min="12299" max="12299" width="9.28515625" bestFit="1" customWidth="1"/>
    <col min="12300" max="12300" width="11.5703125" bestFit="1" customWidth="1"/>
    <col min="12301" max="12301" width="9.28515625" bestFit="1" customWidth="1"/>
    <col min="12302" max="12302" width="11.5703125" bestFit="1" customWidth="1"/>
    <col min="12303" max="12303" width="9.28515625" bestFit="1" customWidth="1"/>
    <col min="12304" max="12304" width="11.5703125" bestFit="1" customWidth="1"/>
    <col min="12305" max="12305" width="9.28515625" bestFit="1" customWidth="1"/>
    <col min="12306" max="12306" width="11.5703125" bestFit="1" customWidth="1"/>
    <col min="12307" max="12307" width="9.28515625" bestFit="1" customWidth="1"/>
    <col min="12308" max="12308" width="11.5703125" bestFit="1" customWidth="1"/>
    <col min="12309" max="12309" width="9.28515625" bestFit="1" customWidth="1"/>
    <col min="12310" max="12310" width="11.5703125" bestFit="1" customWidth="1"/>
    <col min="12311" max="12311" width="9.28515625" bestFit="1" customWidth="1"/>
    <col min="12312" max="12312" width="11.5703125" bestFit="1" customWidth="1"/>
    <col min="12313" max="12313" width="9.28515625" bestFit="1" customWidth="1"/>
    <col min="12314" max="12314" width="11.5703125" bestFit="1" customWidth="1"/>
    <col min="12315" max="12315" width="9.28515625" bestFit="1" customWidth="1"/>
    <col min="12316" max="12316" width="11.5703125" bestFit="1" customWidth="1"/>
    <col min="12317" max="12317" width="9.28515625" bestFit="1" customWidth="1"/>
    <col min="12318" max="12318" width="11.5703125" bestFit="1" customWidth="1"/>
    <col min="12319" max="12319" width="9.28515625" bestFit="1" customWidth="1"/>
    <col min="12320" max="12320" width="11.5703125" bestFit="1" customWidth="1"/>
    <col min="12321" max="12321" width="9.28515625" bestFit="1" customWidth="1"/>
    <col min="12322" max="12322" width="11.5703125" bestFit="1" customWidth="1"/>
    <col min="12323" max="12323" width="9.28515625" bestFit="1" customWidth="1"/>
    <col min="12324" max="12324" width="11.5703125" bestFit="1" customWidth="1"/>
    <col min="12325" max="12325" width="9.28515625" bestFit="1" customWidth="1"/>
    <col min="12326" max="12326" width="11.5703125" bestFit="1" customWidth="1"/>
    <col min="12327" max="12327" width="9.28515625" bestFit="1" customWidth="1"/>
    <col min="12328" max="12328" width="11.5703125" bestFit="1" customWidth="1"/>
    <col min="12329" max="12329" width="9.28515625" bestFit="1" customWidth="1"/>
    <col min="12330" max="12330" width="11.5703125" bestFit="1" customWidth="1"/>
    <col min="12331" max="12331" width="9.28515625" bestFit="1" customWidth="1"/>
    <col min="12332" max="12332" width="11.5703125" bestFit="1" customWidth="1"/>
    <col min="12333" max="12333" width="9.28515625" bestFit="1" customWidth="1"/>
    <col min="12334" max="12334" width="11.5703125" bestFit="1" customWidth="1"/>
    <col min="12335" max="12335" width="9.28515625" bestFit="1" customWidth="1"/>
    <col min="12336" max="12336" width="11.5703125" bestFit="1" customWidth="1"/>
    <col min="12337" max="12337" width="9.28515625" bestFit="1" customWidth="1"/>
    <col min="12338" max="12338" width="11.5703125" bestFit="1" customWidth="1"/>
    <col min="12339" max="12339" width="9.28515625" bestFit="1" customWidth="1"/>
    <col min="12547" max="12547" width="29.42578125" bestFit="1" customWidth="1"/>
    <col min="12548" max="12548" width="11.5703125" bestFit="1" customWidth="1"/>
    <col min="12549" max="12549" width="9.28515625" bestFit="1" customWidth="1"/>
    <col min="12550" max="12550" width="11.5703125" bestFit="1" customWidth="1"/>
    <col min="12551" max="12551" width="9.28515625" bestFit="1" customWidth="1"/>
    <col min="12552" max="12552" width="11.5703125" bestFit="1" customWidth="1"/>
    <col min="12553" max="12553" width="9.28515625" bestFit="1" customWidth="1"/>
    <col min="12554" max="12554" width="11.5703125" bestFit="1" customWidth="1"/>
    <col min="12555" max="12555" width="9.28515625" bestFit="1" customWidth="1"/>
    <col min="12556" max="12556" width="11.5703125" bestFit="1" customWidth="1"/>
    <col min="12557" max="12557" width="9.28515625" bestFit="1" customWidth="1"/>
    <col min="12558" max="12558" width="11.5703125" bestFit="1" customWidth="1"/>
    <col min="12559" max="12559" width="9.28515625" bestFit="1" customWidth="1"/>
    <col min="12560" max="12560" width="11.5703125" bestFit="1" customWidth="1"/>
    <col min="12561" max="12561" width="9.28515625" bestFit="1" customWidth="1"/>
    <col min="12562" max="12562" width="11.5703125" bestFit="1" customWidth="1"/>
    <col min="12563" max="12563" width="9.28515625" bestFit="1" customWidth="1"/>
    <col min="12564" max="12564" width="11.5703125" bestFit="1" customWidth="1"/>
    <col min="12565" max="12565" width="9.28515625" bestFit="1" customWidth="1"/>
    <col min="12566" max="12566" width="11.5703125" bestFit="1" customWidth="1"/>
    <col min="12567" max="12567" width="9.28515625" bestFit="1" customWidth="1"/>
    <col min="12568" max="12568" width="11.5703125" bestFit="1" customWidth="1"/>
    <col min="12569" max="12569" width="9.28515625" bestFit="1" customWidth="1"/>
    <col min="12570" max="12570" width="11.5703125" bestFit="1" customWidth="1"/>
    <col min="12571" max="12571" width="9.28515625" bestFit="1" customWidth="1"/>
    <col min="12572" max="12572" width="11.5703125" bestFit="1" customWidth="1"/>
    <col min="12573" max="12573" width="9.28515625" bestFit="1" customWidth="1"/>
    <col min="12574" max="12574" width="11.5703125" bestFit="1" customWidth="1"/>
    <col min="12575" max="12575" width="9.28515625" bestFit="1" customWidth="1"/>
    <col min="12576" max="12576" width="11.5703125" bestFit="1" customWidth="1"/>
    <col min="12577" max="12577" width="9.28515625" bestFit="1" customWidth="1"/>
    <col min="12578" max="12578" width="11.5703125" bestFit="1" customWidth="1"/>
    <col min="12579" max="12579" width="9.28515625" bestFit="1" customWidth="1"/>
    <col min="12580" max="12580" width="11.5703125" bestFit="1" customWidth="1"/>
    <col min="12581" max="12581" width="9.28515625" bestFit="1" customWidth="1"/>
    <col min="12582" max="12582" width="11.5703125" bestFit="1" customWidth="1"/>
    <col min="12583" max="12583" width="9.28515625" bestFit="1" customWidth="1"/>
    <col min="12584" max="12584" width="11.5703125" bestFit="1" customWidth="1"/>
    <col min="12585" max="12585" width="9.28515625" bestFit="1" customWidth="1"/>
    <col min="12586" max="12586" width="11.5703125" bestFit="1" customWidth="1"/>
    <col min="12587" max="12587" width="9.28515625" bestFit="1" customWidth="1"/>
    <col min="12588" max="12588" width="11.5703125" bestFit="1" customWidth="1"/>
    <col min="12589" max="12589" width="9.28515625" bestFit="1" customWidth="1"/>
    <col min="12590" max="12590" width="11.5703125" bestFit="1" customWidth="1"/>
    <col min="12591" max="12591" width="9.28515625" bestFit="1" customWidth="1"/>
    <col min="12592" max="12592" width="11.5703125" bestFit="1" customWidth="1"/>
    <col min="12593" max="12593" width="9.28515625" bestFit="1" customWidth="1"/>
    <col min="12594" max="12594" width="11.5703125" bestFit="1" customWidth="1"/>
    <col min="12595" max="12595" width="9.28515625" bestFit="1" customWidth="1"/>
    <col min="12803" max="12803" width="29.42578125" bestFit="1" customWidth="1"/>
    <col min="12804" max="12804" width="11.5703125" bestFit="1" customWidth="1"/>
    <col min="12805" max="12805" width="9.28515625" bestFit="1" customWidth="1"/>
    <col min="12806" max="12806" width="11.5703125" bestFit="1" customWidth="1"/>
    <col min="12807" max="12807" width="9.28515625" bestFit="1" customWidth="1"/>
    <col min="12808" max="12808" width="11.5703125" bestFit="1" customWidth="1"/>
    <col min="12809" max="12809" width="9.28515625" bestFit="1" customWidth="1"/>
    <col min="12810" max="12810" width="11.5703125" bestFit="1" customWidth="1"/>
    <col min="12811" max="12811" width="9.28515625" bestFit="1" customWidth="1"/>
    <col min="12812" max="12812" width="11.5703125" bestFit="1" customWidth="1"/>
    <col min="12813" max="12813" width="9.28515625" bestFit="1" customWidth="1"/>
    <col min="12814" max="12814" width="11.5703125" bestFit="1" customWidth="1"/>
    <col min="12815" max="12815" width="9.28515625" bestFit="1" customWidth="1"/>
    <col min="12816" max="12816" width="11.5703125" bestFit="1" customWidth="1"/>
    <col min="12817" max="12817" width="9.28515625" bestFit="1" customWidth="1"/>
    <col min="12818" max="12818" width="11.5703125" bestFit="1" customWidth="1"/>
    <col min="12819" max="12819" width="9.28515625" bestFit="1" customWidth="1"/>
    <col min="12820" max="12820" width="11.5703125" bestFit="1" customWidth="1"/>
    <col min="12821" max="12821" width="9.28515625" bestFit="1" customWidth="1"/>
    <col min="12822" max="12822" width="11.5703125" bestFit="1" customWidth="1"/>
    <col min="12823" max="12823" width="9.28515625" bestFit="1" customWidth="1"/>
    <col min="12824" max="12824" width="11.5703125" bestFit="1" customWidth="1"/>
    <col min="12825" max="12825" width="9.28515625" bestFit="1" customWidth="1"/>
    <col min="12826" max="12826" width="11.5703125" bestFit="1" customWidth="1"/>
    <col min="12827" max="12827" width="9.28515625" bestFit="1" customWidth="1"/>
    <col min="12828" max="12828" width="11.5703125" bestFit="1" customWidth="1"/>
    <col min="12829" max="12829" width="9.28515625" bestFit="1" customWidth="1"/>
    <col min="12830" max="12830" width="11.5703125" bestFit="1" customWidth="1"/>
    <col min="12831" max="12831" width="9.28515625" bestFit="1" customWidth="1"/>
    <col min="12832" max="12832" width="11.5703125" bestFit="1" customWidth="1"/>
    <col min="12833" max="12833" width="9.28515625" bestFit="1" customWidth="1"/>
    <col min="12834" max="12834" width="11.5703125" bestFit="1" customWidth="1"/>
    <col min="12835" max="12835" width="9.28515625" bestFit="1" customWidth="1"/>
    <col min="12836" max="12836" width="11.5703125" bestFit="1" customWidth="1"/>
    <col min="12837" max="12837" width="9.28515625" bestFit="1" customWidth="1"/>
    <col min="12838" max="12838" width="11.5703125" bestFit="1" customWidth="1"/>
    <col min="12839" max="12839" width="9.28515625" bestFit="1" customWidth="1"/>
    <col min="12840" max="12840" width="11.5703125" bestFit="1" customWidth="1"/>
    <col min="12841" max="12841" width="9.28515625" bestFit="1" customWidth="1"/>
    <col min="12842" max="12842" width="11.5703125" bestFit="1" customWidth="1"/>
    <col min="12843" max="12843" width="9.28515625" bestFit="1" customWidth="1"/>
    <col min="12844" max="12844" width="11.5703125" bestFit="1" customWidth="1"/>
    <col min="12845" max="12845" width="9.28515625" bestFit="1" customWidth="1"/>
    <col min="12846" max="12846" width="11.5703125" bestFit="1" customWidth="1"/>
    <col min="12847" max="12847" width="9.28515625" bestFit="1" customWidth="1"/>
    <col min="12848" max="12848" width="11.5703125" bestFit="1" customWidth="1"/>
    <col min="12849" max="12849" width="9.28515625" bestFit="1" customWidth="1"/>
    <col min="12850" max="12850" width="11.5703125" bestFit="1" customWidth="1"/>
    <col min="12851" max="12851" width="9.28515625" bestFit="1" customWidth="1"/>
    <col min="13059" max="13059" width="29.42578125" bestFit="1" customWidth="1"/>
    <col min="13060" max="13060" width="11.5703125" bestFit="1" customWidth="1"/>
    <col min="13061" max="13061" width="9.28515625" bestFit="1" customWidth="1"/>
    <col min="13062" max="13062" width="11.5703125" bestFit="1" customWidth="1"/>
    <col min="13063" max="13063" width="9.28515625" bestFit="1" customWidth="1"/>
    <col min="13064" max="13064" width="11.5703125" bestFit="1" customWidth="1"/>
    <col min="13065" max="13065" width="9.28515625" bestFit="1" customWidth="1"/>
    <col min="13066" max="13066" width="11.5703125" bestFit="1" customWidth="1"/>
    <col min="13067" max="13067" width="9.28515625" bestFit="1" customWidth="1"/>
    <col min="13068" max="13068" width="11.5703125" bestFit="1" customWidth="1"/>
    <col min="13069" max="13069" width="9.28515625" bestFit="1" customWidth="1"/>
    <col min="13070" max="13070" width="11.5703125" bestFit="1" customWidth="1"/>
    <col min="13071" max="13071" width="9.28515625" bestFit="1" customWidth="1"/>
    <col min="13072" max="13072" width="11.5703125" bestFit="1" customWidth="1"/>
    <col min="13073" max="13073" width="9.28515625" bestFit="1" customWidth="1"/>
    <col min="13074" max="13074" width="11.5703125" bestFit="1" customWidth="1"/>
    <col min="13075" max="13075" width="9.28515625" bestFit="1" customWidth="1"/>
    <col min="13076" max="13076" width="11.5703125" bestFit="1" customWidth="1"/>
    <col min="13077" max="13077" width="9.28515625" bestFit="1" customWidth="1"/>
    <col min="13078" max="13078" width="11.5703125" bestFit="1" customWidth="1"/>
    <col min="13079" max="13079" width="9.28515625" bestFit="1" customWidth="1"/>
    <col min="13080" max="13080" width="11.5703125" bestFit="1" customWidth="1"/>
    <col min="13081" max="13081" width="9.28515625" bestFit="1" customWidth="1"/>
    <col min="13082" max="13082" width="11.5703125" bestFit="1" customWidth="1"/>
    <col min="13083" max="13083" width="9.28515625" bestFit="1" customWidth="1"/>
    <col min="13084" max="13084" width="11.5703125" bestFit="1" customWidth="1"/>
    <col min="13085" max="13085" width="9.28515625" bestFit="1" customWidth="1"/>
    <col min="13086" max="13086" width="11.5703125" bestFit="1" customWidth="1"/>
    <col min="13087" max="13087" width="9.28515625" bestFit="1" customWidth="1"/>
    <col min="13088" max="13088" width="11.5703125" bestFit="1" customWidth="1"/>
    <col min="13089" max="13089" width="9.28515625" bestFit="1" customWidth="1"/>
    <col min="13090" max="13090" width="11.5703125" bestFit="1" customWidth="1"/>
    <col min="13091" max="13091" width="9.28515625" bestFit="1" customWidth="1"/>
    <col min="13092" max="13092" width="11.5703125" bestFit="1" customWidth="1"/>
    <col min="13093" max="13093" width="9.28515625" bestFit="1" customWidth="1"/>
    <col min="13094" max="13094" width="11.5703125" bestFit="1" customWidth="1"/>
    <col min="13095" max="13095" width="9.28515625" bestFit="1" customWidth="1"/>
    <col min="13096" max="13096" width="11.5703125" bestFit="1" customWidth="1"/>
    <col min="13097" max="13097" width="9.28515625" bestFit="1" customWidth="1"/>
    <col min="13098" max="13098" width="11.5703125" bestFit="1" customWidth="1"/>
    <col min="13099" max="13099" width="9.28515625" bestFit="1" customWidth="1"/>
    <col min="13100" max="13100" width="11.5703125" bestFit="1" customWidth="1"/>
    <col min="13101" max="13101" width="9.28515625" bestFit="1" customWidth="1"/>
    <col min="13102" max="13102" width="11.5703125" bestFit="1" customWidth="1"/>
    <col min="13103" max="13103" width="9.28515625" bestFit="1" customWidth="1"/>
    <col min="13104" max="13104" width="11.5703125" bestFit="1" customWidth="1"/>
    <col min="13105" max="13105" width="9.28515625" bestFit="1" customWidth="1"/>
    <col min="13106" max="13106" width="11.5703125" bestFit="1" customWidth="1"/>
    <col min="13107" max="13107" width="9.28515625" bestFit="1" customWidth="1"/>
    <col min="13315" max="13315" width="29.42578125" bestFit="1" customWidth="1"/>
    <col min="13316" max="13316" width="11.5703125" bestFit="1" customWidth="1"/>
    <col min="13317" max="13317" width="9.28515625" bestFit="1" customWidth="1"/>
    <col min="13318" max="13318" width="11.5703125" bestFit="1" customWidth="1"/>
    <col min="13319" max="13319" width="9.28515625" bestFit="1" customWidth="1"/>
    <col min="13320" max="13320" width="11.5703125" bestFit="1" customWidth="1"/>
    <col min="13321" max="13321" width="9.28515625" bestFit="1" customWidth="1"/>
    <col min="13322" max="13322" width="11.5703125" bestFit="1" customWidth="1"/>
    <col min="13323" max="13323" width="9.28515625" bestFit="1" customWidth="1"/>
    <col min="13324" max="13324" width="11.5703125" bestFit="1" customWidth="1"/>
    <col min="13325" max="13325" width="9.28515625" bestFit="1" customWidth="1"/>
    <col min="13326" max="13326" width="11.5703125" bestFit="1" customWidth="1"/>
    <col min="13327" max="13327" width="9.28515625" bestFit="1" customWidth="1"/>
    <col min="13328" max="13328" width="11.5703125" bestFit="1" customWidth="1"/>
    <col min="13329" max="13329" width="9.28515625" bestFit="1" customWidth="1"/>
    <col min="13330" max="13330" width="11.5703125" bestFit="1" customWidth="1"/>
    <col min="13331" max="13331" width="9.28515625" bestFit="1" customWidth="1"/>
    <col min="13332" max="13332" width="11.5703125" bestFit="1" customWidth="1"/>
    <col min="13333" max="13333" width="9.28515625" bestFit="1" customWidth="1"/>
    <col min="13334" max="13334" width="11.5703125" bestFit="1" customWidth="1"/>
    <col min="13335" max="13335" width="9.28515625" bestFit="1" customWidth="1"/>
    <col min="13336" max="13336" width="11.5703125" bestFit="1" customWidth="1"/>
    <col min="13337" max="13337" width="9.28515625" bestFit="1" customWidth="1"/>
    <col min="13338" max="13338" width="11.5703125" bestFit="1" customWidth="1"/>
    <col min="13339" max="13339" width="9.28515625" bestFit="1" customWidth="1"/>
    <col min="13340" max="13340" width="11.5703125" bestFit="1" customWidth="1"/>
    <col min="13341" max="13341" width="9.28515625" bestFit="1" customWidth="1"/>
    <col min="13342" max="13342" width="11.5703125" bestFit="1" customWidth="1"/>
    <col min="13343" max="13343" width="9.28515625" bestFit="1" customWidth="1"/>
    <col min="13344" max="13344" width="11.5703125" bestFit="1" customWidth="1"/>
    <col min="13345" max="13345" width="9.28515625" bestFit="1" customWidth="1"/>
    <col min="13346" max="13346" width="11.5703125" bestFit="1" customWidth="1"/>
    <col min="13347" max="13347" width="9.28515625" bestFit="1" customWidth="1"/>
    <col min="13348" max="13348" width="11.5703125" bestFit="1" customWidth="1"/>
    <col min="13349" max="13349" width="9.28515625" bestFit="1" customWidth="1"/>
    <col min="13350" max="13350" width="11.5703125" bestFit="1" customWidth="1"/>
    <col min="13351" max="13351" width="9.28515625" bestFit="1" customWidth="1"/>
    <col min="13352" max="13352" width="11.5703125" bestFit="1" customWidth="1"/>
    <col min="13353" max="13353" width="9.28515625" bestFit="1" customWidth="1"/>
    <col min="13354" max="13354" width="11.5703125" bestFit="1" customWidth="1"/>
    <col min="13355" max="13355" width="9.28515625" bestFit="1" customWidth="1"/>
    <col min="13356" max="13356" width="11.5703125" bestFit="1" customWidth="1"/>
    <col min="13357" max="13357" width="9.28515625" bestFit="1" customWidth="1"/>
    <col min="13358" max="13358" width="11.5703125" bestFit="1" customWidth="1"/>
    <col min="13359" max="13359" width="9.28515625" bestFit="1" customWidth="1"/>
    <col min="13360" max="13360" width="11.5703125" bestFit="1" customWidth="1"/>
    <col min="13361" max="13361" width="9.28515625" bestFit="1" customWidth="1"/>
    <col min="13362" max="13362" width="11.5703125" bestFit="1" customWidth="1"/>
    <col min="13363" max="13363" width="9.28515625" bestFit="1" customWidth="1"/>
    <col min="13571" max="13571" width="29.42578125" bestFit="1" customWidth="1"/>
    <col min="13572" max="13572" width="11.5703125" bestFit="1" customWidth="1"/>
    <col min="13573" max="13573" width="9.28515625" bestFit="1" customWidth="1"/>
    <col min="13574" max="13574" width="11.5703125" bestFit="1" customWidth="1"/>
    <col min="13575" max="13575" width="9.28515625" bestFit="1" customWidth="1"/>
    <col min="13576" max="13576" width="11.5703125" bestFit="1" customWidth="1"/>
    <col min="13577" max="13577" width="9.28515625" bestFit="1" customWidth="1"/>
    <col min="13578" max="13578" width="11.5703125" bestFit="1" customWidth="1"/>
    <col min="13579" max="13579" width="9.28515625" bestFit="1" customWidth="1"/>
    <col min="13580" max="13580" width="11.5703125" bestFit="1" customWidth="1"/>
    <col min="13581" max="13581" width="9.28515625" bestFit="1" customWidth="1"/>
    <col min="13582" max="13582" width="11.5703125" bestFit="1" customWidth="1"/>
    <col min="13583" max="13583" width="9.28515625" bestFit="1" customWidth="1"/>
    <col min="13584" max="13584" width="11.5703125" bestFit="1" customWidth="1"/>
    <col min="13585" max="13585" width="9.28515625" bestFit="1" customWidth="1"/>
    <col min="13586" max="13586" width="11.5703125" bestFit="1" customWidth="1"/>
    <col min="13587" max="13587" width="9.28515625" bestFit="1" customWidth="1"/>
    <col min="13588" max="13588" width="11.5703125" bestFit="1" customWidth="1"/>
    <col min="13589" max="13589" width="9.28515625" bestFit="1" customWidth="1"/>
    <col min="13590" max="13590" width="11.5703125" bestFit="1" customWidth="1"/>
    <col min="13591" max="13591" width="9.28515625" bestFit="1" customWidth="1"/>
    <col min="13592" max="13592" width="11.5703125" bestFit="1" customWidth="1"/>
    <col min="13593" max="13593" width="9.28515625" bestFit="1" customWidth="1"/>
    <col min="13594" max="13594" width="11.5703125" bestFit="1" customWidth="1"/>
    <col min="13595" max="13595" width="9.28515625" bestFit="1" customWidth="1"/>
    <col min="13596" max="13596" width="11.5703125" bestFit="1" customWidth="1"/>
    <col min="13597" max="13597" width="9.28515625" bestFit="1" customWidth="1"/>
    <col min="13598" max="13598" width="11.5703125" bestFit="1" customWidth="1"/>
    <col min="13599" max="13599" width="9.28515625" bestFit="1" customWidth="1"/>
    <col min="13600" max="13600" width="11.5703125" bestFit="1" customWidth="1"/>
    <col min="13601" max="13601" width="9.28515625" bestFit="1" customWidth="1"/>
    <col min="13602" max="13602" width="11.5703125" bestFit="1" customWidth="1"/>
    <col min="13603" max="13603" width="9.28515625" bestFit="1" customWidth="1"/>
    <col min="13604" max="13604" width="11.5703125" bestFit="1" customWidth="1"/>
    <col min="13605" max="13605" width="9.28515625" bestFit="1" customWidth="1"/>
    <col min="13606" max="13606" width="11.5703125" bestFit="1" customWidth="1"/>
    <col min="13607" max="13607" width="9.28515625" bestFit="1" customWidth="1"/>
    <col min="13608" max="13608" width="11.5703125" bestFit="1" customWidth="1"/>
    <col min="13609" max="13609" width="9.28515625" bestFit="1" customWidth="1"/>
    <col min="13610" max="13610" width="11.5703125" bestFit="1" customWidth="1"/>
    <col min="13611" max="13611" width="9.28515625" bestFit="1" customWidth="1"/>
    <col min="13612" max="13612" width="11.5703125" bestFit="1" customWidth="1"/>
    <col min="13613" max="13613" width="9.28515625" bestFit="1" customWidth="1"/>
    <col min="13614" max="13614" width="11.5703125" bestFit="1" customWidth="1"/>
    <col min="13615" max="13615" width="9.28515625" bestFit="1" customWidth="1"/>
    <col min="13616" max="13616" width="11.5703125" bestFit="1" customWidth="1"/>
    <col min="13617" max="13617" width="9.28515625" bestFit="1" customWidth="1"/>
    <col min="13618" max="13618" width="11.5703125" bestFit="1" customWidth="1"/>
    <col min="13619" max="13619" width="9.28515625" bestFit="1" customWidth="1"/>
    <col min="13827" max="13827" width="29.42578125" bestFit="1" customWidth="1"/>
    <col min="13828" max="13828" width="11.5703125" bestFit="1" customWidth="1"/>
    <col min="13829" max="13829" width="9.28515625" bestFit="1" customWidth="1"/>
    <col min="13830" max="13830" width="11.5703125" bestFit="1" customWidth="1"/>
    <col min="13831" max="13831" width="9.28515625" bestFit="1" customWidth="1"/>
    <col min="13832" max="13832" width="11.5703125" bestFit="1" customWidth="1"/>
    <col min="13833" max="13833" width="9.28515625" bestFit="1" customWidth="1"/>
    <col min="13834" max="13834" width="11.5703125" bestFit="1" customWidth="1"/>
    <col min="13835" max="13835" width="9.28515625" bestFit="1" customWidth="1"/>
    <col min="13836" max="13836" width="11.5703125" bestFit="1" customWidth="1"/>
    <col min="13837" max="13837" width="9.28515625" bestFit="1" customWidth="1"/>
    <col min="13838" max="13838" width="11.5703125" bestFit="1" customWidth="1"/>
    <col min="13839" max="13839" width="9.28515625" bestFit="1" customWidth="1"/>
    <col min="13840" max="13840" width="11.5703125" bestFit="1" customWidth="1"/>
    <col min="13841" max="13841" width="9.28515625" bestFit="1" customWidth="1"/>
    <col min="13842" max="13842" width="11.5703125" bestFit="1" customWidth="1"/>
    <col min="13843" max="13843" width="9.28515625" bestFit="1" customWidth="1"/>
    <col min="13844" max="13844" width="11.5703125" bestFit="1" customWidth="1"/>
    <col min="13845" max="13845" width="9.28515625" bestFit="1" customWidth="1"/>
    <col min="13846" max="13846" width="11.5703125" bestFit="1" customWidth="1"/>
    <col min="13847" max="13847" width="9.28515625" bestFit="1" customWidth="1"/>
    <col min="13848" max="13848" width="11.5703125" bestFit="1" customWidth="1"/>
    <col min="13849" max="13849" width="9.28515625" bestFit="1" customWidth="1"/>
    <col min="13850" max="13850" width="11.5703125" bestFit="1" customWidth="1"/>
    <col min="13851" max="13851" width="9.28515625" bestFit="1" customWidth="1"/>
    <col min="13852" max="13852" width="11.5703125" bestFit="1" customWidth="1"/>
    <col min="13853" max="13853" width="9.28515625" bestFit="1" customWidth="1"/>
    <col min="13854" max="13854" width="11.5703125" bestFit="1" customWidth="1"/>
    <col min="13855" max="13855" width="9.28515625" bestFit="1" customWidth="1"/>
    <col min="13856" max="13856" width="11.5703125" bestFit="1" customWidth="1"/>
    <col min="13857" max="13857" width="9.28515625" bestFit="1" customWidth="1"/>
    <col min="13858" max="13858" width="11.5703125" bestFit="1" customWidth="1"/>
    <col min="13859" max="13859" width="9.28515625" bestFit="1" customWidth="1"/>
    <col min="13860" max="13860" width="11.5703125" bestFit="1" customWidth="1"/>
    <col min="13861" max="13861" width="9.28515625" bestFit="1" customWidth="1"/>
    <col min="13862" max="13862" width="11.5703125" bestFit="1" customWidth="1"/>
    <col min="13863" max="13863" width="9.28515625" bestFit="1" customWidth="1"/>
    <col min="13864" max="13864" width="11.5703125" bestFit="1" customWidth="1"/>
    <col min="13865" max="13865" width="9.28515625" bestFit="1" customWidth="1"/>
    <col min="13866" max="13866" width="11.5703125" bestFit="1" customWidth="1"/>
    <col min="13867" max="13867" width="9.28515625" bestFit="1" customWidth="1"/>
    <col min="13868" max="13868" width="11.5703125" bestFit="1" customWidth="1"/>
    <col min="13869" max="13869" width="9.28515625" bestFit="1" customWidth="1"/>
    <col min="13870" max="13870" width="11.5703125" bestFit="1" customWidth="1"/>
    <col min="13871" max="13871" width="9.28515625" bestFit="1" customWidth="1"/>
    <col min="13872" max="13872" width="11.5703125" bestFit="1" customWidth="1"/>
    <col min="13873" max="13873" width="9.28515625" bestFit="1" customWidth="1"/>
    <col min="13874" max="13874" width="11.5703125" bestFit="1" customWidth="1"/>
    <col min="13875" max="13875" width="9.28515625" bestFit="1" customWidth="1"/>
    <col min="14083" max="14083" width="29.42578125" bestFit="1" customWidth="1"/>
    <col min="14084" max="14084" width="11.5703125" bestFit="1" customWidth="1"/>
    <col min="14085" max="14085" width="9.28515625" bestFit="1" customWidth="1"/>
    <col min="14086" max="14086" width="11.5703125" bestFit="1" customWidth="1"/>
    <col min="14087" max="14087" width="9.28515625" bestFit="1" customWidth="1"/>
    <col min="14088" max="14088" width="11.5703125" bestFit="1" customWidth="1"/>
    <col min="14089" max="14089" width="9.28515625" bestFit="1" customWidth="1"/>
    <col min="14090" max="14090" width="11.5703125" bestFit="1" customWidth="1"/>
    <col min="14091" max="14091" width="9.28515625" bestFit="1" customWidth="1"/>
    <col min="14092" max="14092" width="11.5703125" bestFit="1" customWidth="1"/>
    <col min="14093" max="14093" width="9.28515625" bestFit="1" customWidth="1"/>
    <col min="14094" max="14094" width="11.5703125" bestFit="1" customWidth="1"/>
    <col min="14095" max="14095" width="9.28515625" bestFit="1" customWidth="1"/>
    <col min="14096" max="14096" width="11.5703125" bestFit="1" customWidth="1"/>
    <col min="14097" max="14097" width="9.28515625" bestFit="1" customWidth="1"/>
    <col min="14098" max="14098" width="11.5703125" bestFit="1" customWidth="1"/>
    <col min="14099" max="14099" width="9.28515625" bestFit="1" customWidth="1"/>
    <col min="14100" max="14100" width="11.5703125" bestFit="1" customWidth="1"/>
    <col min="14101" max="14101" width="9.28515625" bestFit="1" customWidth="1"/>
    <col min="14102" max="14102" width="11.5703125" bestFit="1" customWidth="1"/>
    <col min="14103" max="14103" width="9.28515625" bestFit="1" customWidth="1"/>
    <col min="14104" max="14104" width="11.5703125" bestFit="1" customWidth="1"/>
    <col min="14105" max="14105" width="9.28515625" bestFit="1" customWidth="1"/>
    <col min="14106" max="14106" width="11.5703125" bestFit="1" customWidth="1"/>
    <col min="14107" max="14107" width="9.28515625" bestFit="1" customWidth="1"/>
    <col min="14108" max="14108" width="11.5703125" bestFit="1" customWidth="1"/>
    <col min="14109" max="14109" width="9.28515625" bestFit="1" customWidth="1"/>
    <col min="14110" max="14110" width="11.5703125" bestFit="1" customWidth="1"/>
    <col min="14111" max="14111" width="9.28515625" bestFit="1" customWidth="1"/>
    <col min="14112" max="14112" width="11.5703125" bestFit="1" customWidth="1"/>
    <col min="14113" max="14113" width="9.28515625" bestFit="1" customWidth="1"/>
    <col min="14114" max="14114" width="11.5703125" bestFit="1" customWidth="1"/>
    <col min="14115" max="14115" width="9.28515625" bestFit="1" customWidth="1"/>
    <col min="14116" max="14116" width="11.5703125" bestFit="1" customWidth="1"/>
    <col min="14117" max="14117" width="9.28515625" bestFit="1" customWidth="1"/>
    <col min="14118" max="14118" width="11.5703125" bestFit="1" customWidth="1"/>
    <col min="14119" max="14119" width="9.28515625" bestFit="1" customWidth="1"/>
    <col min="14120" max="14120" width="11.5703125" bestFit="1" customWidth="1"/>
    <col min="14121" max="14121" width="9.28515625" bestFit="1" customWidth="1"/>
    <col min="14122" max="14122" width="11.5703125" bestFit="1" customWidth="1"/>
    <col min="14123" max="14123" width="9.28515625" bestFit="1" customWidth="1"/>
    <col min="14124" max="14124" width="11.5703125" bestFit="1" customWidth="1"/>
    <col min="14125" max="14125" width="9.28515625" bestFit="1" customWidth="1"/>
    <col min="14126" max="14126" width="11.5703125" bestFit="1" customWidth="1"/>
    <col min="14127" max="14127" width="9.28515625" bestFit="1" customWidth="1"/>
    <col min="14128" max="14128" width="11.5703125" bestFit="1" customWidth="1"/>
    <col min="14129" max="14129" width="9.28515625" bestFit="1" customWidth="1"/>
    <col min="14130" max="14130" width="11.5703125" bestFit="1" customWidth="1"/>
    <col min="14131" max="14131" width="9.28515625" bestFit="1" customWidth="1"/>
    <col min="14339" max="14339" width="29.42578125" bestFit="1" customWidth="1"/>
    <col min="14340" max="14340" width="11.5703125" bestFit="1" customWidth="1"/>
    <col min="14341" max="14341" width="9.28515625" bestFit="1" customWidth="1"/>
    <col min="14342" max="14342" width="11.5703125" bestFit="1" customWidth="1"/>
    <col min="14343" max="14343" width="9.28515625" bestFit="1" customWidth="1"/>
    <col min="14344" max="14344" width="11.5703125" bestFit="1" customWidth="1"/>
    <col min="14345" max="14345" width="9.28515625" bestFit="1" customWidth="1"/>
    <col min="14346" max="14346" width="11.5703125" bestFit="1" customWidth="1"/>
    <col min="14347" max="14347" width="9.28515625" bestFit="1" customWidth="1"/>
    <col min="14348" max="14348" width="11.5703125" bestFit="1" customWidth="1"/>
    <col min="14349" max="14349" width="9.28515625" bestFit="1" customWidth="1"/>
    <col min="14350" max="14350" width="11.5703125" bestFit="1" customWidth="1"/>
    <col min="14351" max="14351" width="9.28515625" bestFit="1" customWidth="1"/>
    <col min="14352" max="14352" width="11.5703125" bestFit="1" customWidth="1"/>
    <col min="14353" max="14353" width="9.28515625" bestFit="1" customWidth="1"/>
    <col min="14354" max="14354" width="11.5703125" bestFit="1" customWidth="1"/>
    <col min="14355" max="14355" width="9.28515625" bestFit="1" customWidth="1"/>
    <col min="14356" max="14356" width="11.5703125" bestFit="1" customWidth="1"/>
    <col min="14357" max="14357" width="9.28515625" bestFit="1" customWidth="1"/>
    <col min="14358" max="14358" width="11.5703125" bestFit="1" customWidth="1"/>
    <col min="14359" max="14359" width="9.28515625" bestFit="1" customWidth="1"/>
    <col min="14360" max="14360" width="11.5703125" bestFit="1" customWidth="1"/>
    <col min="14361" max="14361" width="9.28515625" bestFit="1" customWidth="1"/>
    <col min="14362" max="14362" width="11.5703125" bestFit="1" customWidth="1"/>
    <col min="14363" max="14363" width="9.28515625" bestFit="1" customWidth="1"/>
    <col min="14364" max="14364" width="11.5703125" bestFit="1" customWidth="1"/>
    <col min="14365" max="14365" width="9.28515625" bestFit="1" customWidth="1"/>
    <col min="14366" max="14366" width="11.5703125" bestFit="1" customWidth="1"/>
    <col min="14367" max="14367" width="9.28515625" bestFit="1" customWidth="1"/>
    <col min="14368" max="14368" width="11.5703125" bestFit="1" customWidth="1"/>
    <col min="14369" max="14369" width="9.28515625" bestFit="1" customWidth="1"/>
    <col min="14370" max="14370" width="11.5703125" bestFit="1" customWidth="1"/>
    <col min="14371" max="14371" width="9.28515625" bestFit="1" customWidth="1"/>
    <col min="14372" max="14372" width="11.5703125" bestFit="1" customWidth="1"/>
    <col min="14373" max="14373" width="9.28515625" bestFit="1" customWidth="1"/>
    <col min="14374" max="14374" width="11.5703125" bestFit="1" customWidth="1"/>
    <col min="14375" max="14375" width="9.28515625" bestFit="1" customWidth="1"/>
    <col min="14376" max="14376" width="11.5703125" bestFit="1" customWidth="1"/>
    <col min="14377" max="14377" width="9.28515625" bestFit="1" customWidth="1"/>
    <col min="14378" max="14378" width="11.5703125" bestFit="1" customWidth="1"/>
    <col min="14379" max="14379" width="9.28515625" bestFit="1" customWidth="1"/>
    <col min="14380" max="14380" width="11.5703125" bestFit="1" customWidth="1"/>
    <col min="14381" max="14381" width="9.28515625" bestFit="1" customWidth="1"/>
    <col min="14382" max="14382" width="11.5703125" bestFit="1" customWidth="1"/>
    <col min="14383" max="14383" width="9.28515625" bestFit="1" customWidth="1"/>
    <col min="14384" max="14384" width="11.5703125" bestFit="1" customWidth="1"/>
    <col min="14385" max="14385" width="9.28515625" bestFit="1" customWidth="1"/>
    <col min="14386" max="14386" width="11.5703125" bestFit="1" customWidth="1"/>
    <col min="14387" max="14387" width="9.28515625" bestFit="1" customWidth="1"/>
    <col min="14595" max="14595" width="29.42578125" bestFit="1" customWidth="1"/>
    <col min="14596" max="14596" width="11.5703125" bestFit="1" customWidth="1"/>
    <col min="14597" max="14597" width="9.28515625" bestFit="1" customWidth="1"/>
    <col min="14598" max="14598" width="11.5703125" bestFit="1" customWidth="1"/>
    <col min="14599" max="14599" width="9.28515625" bestFit="1" customWidth="1"/>
    <col min="14600" max="14600" width="11.5703125" bestFit="1" customWidth="1"/>
    <col min="14601" max="14601" width="9.28515625" bestFit="1" customWidth="1"/>
    <col min="14602" max="14602" width="11.5703125" bestFit="1" customWidth="1"/>
    <col min="14603" max="14603" width="9.28515625" bestFit="1" customWidth="1"/>
    <col min="14604" max="14604" width="11.5703125" bestFit="1" customWidth="1"/>
    <col min="14605" max="14605" width="9.28515625" bestFit="1" customWidth="1"/>
    <col min="14606" max="14606" width="11.5703125" bestFit="1" customWidth="1"/>
    <col min="14607" max="14607" width="9.28515625" bestFit="1" customWidth="1"/>
    <col min="14608" max="14608" width="11.5703125" bestFit="1" customWidth="1"/>
    <col min="14609" max="14609" width="9.28515625" bestFit="1" customWidth="1"/>
    <col min="14610" max="14610" width="11.5703125" bestFit="1" customWidth="1"/>
    <col min="14611" max="14611" width="9.28515625" bestFit="1" customWidth="1"/>
    <col min="14612" max="14612" width="11.5703125" bestFit="1" customWidth="1"/>
    <col min="14613" max="14613" width="9.28515625" bestFit="1" customWidth="1"/>
    <col min="14614" max="14614" width="11.5703125" bestFit="1" customWidth="1"/>
    <col min="14615" max="14615" width="9.28515625" bestFit="1" customWidth="1"/>
    <col min="14616" max="14616" width="11.5703125" bestFit="1" customWidth="1"/>
    <col min="14617" max="14617" width="9.28515625" bestFit="1" customWidth="1"/>
    <col min="14618" max="14618" width="11.5703125" bestFit="1" customWidth="1"/>
    <col min="14619" max="14619" width="9.28515625" bestFit="1" customWidth="1"/>
    <col min="14620" max="14620" width="11.5703125" bestFit="1" customWidth="1"/>
    <col min="14621" max="14621" width="9.28515625" bestFit="1" customWidth="1"/>
    <col min="14622" max="14622" width="11.5703125" bestFit="1" customWidth="1"/>
    <col min="14623" max="14623" width="9.28515625" bestFit="1" customWidth="1"/>
    <col min="14624" max="14624" width="11.5703125" bestFit="1" customWidth="1"/>
    <col min="14625" max="14625" width="9.28515625" bestFit="1" customWidth="1"/>
    <col min="14626" max="14626" width="11.5703125" bestFit="1" customWidth="1"/>
    <col min="14627" max="14627" width="9.28515625" bestFit="1" customWidth="1"/>
    <col min="14628" max="14628" width="11.5703125" bestFit="1" customWidth="1"/>
    <col min="14629" max="14629" width="9.28515625" bestFit="1" customWidth="1"/>
    <col min="14630" max="14630" width="11.5703125" bestFit="1" customWidth="1"/>
    <col min="14631" max="14631" width="9.28515625" bestFit="1" customWidth="1"/>
    <col min="14632" max="14632" width="11.5703125" bestFit="1" customWidth="1"/>
    <col min="14633" max="14633" width="9.28515625" bestFit="1" customWidth="1"/>
    <col min="14634" max="14634" width="11.5703125" bestFit="1" customWidth="1"/>
    <col min="14635" max="14635" width="9.28515625" bestFit="1" customWidth="1"/>
    <col min="14636" max="14636" width="11.5703125" bestFit="1" customWidth="1"/>
    <col min="14637" max="14637" width="9.28515625" bestFit="1" customWidth="1"/>
    <col min="14638" max="14638" width="11.5703125" bestFit="1" customWidth="1"/>
    <col min="14639" max="14639" width="9.28515625" bestFit="1" customWidth="1"/>
    <col min="14640" max="14640" width="11.5703125" bestFit="1" customWidth="1"/>
    <col min="14641" max="14641" width="9.28515625" bestFit="1" customWidth="1"/>
    <col min="14642" max="14642" width="11.5703125" bestFit="1" customWidth="1"/>
    <col min="14643" max="14643" width="9.28515625" bestFit="1" customWidth="1"/>
    <col min="14851" max="14851" width="29.42578125" bestFit="1" customWidth="1"/>
    <col min="14852" max="14852" width="11.5703125" bestFit="1" customWidth="1"/>
    <col min="14853" max="14853" width="9.28515625" bestFit="1" customWidth="1"/>
    <col min="14854" max="14854" width="11.5703125" bestFit="1" customWidth="1"/>
    <col min="14855" max="14855" width="9.28515625" bestFit="1" customWidth="1"/>
    <col min="14856" max="14856" width="11.5703125" bestFit="1" customWidth="1"/>
    <col min="14857" max="14857" width="9.28515625" bestFit="1" customWidth="1"/>
    <col min="14858" max="14858" width="11.5703125" bestFit="1" customWidth="1"/>
    <col min="14859" max="14859" width="9.28515625" bestFit="1" customWidth="1"/>
    <col min="14860" max="14860" width="11.5703125" bestFit="1" customWidth="1"/>
    <col min="14861" max="14861" width="9.28515625" bestFit="1" customWidth="1"/>
    <col min="14862" max="14862" width="11.5703125" bestFit="1" customWidth="1"/>
    <col min="14863" max="14863" width="9.28515625" bestFit="1" customWidth="1"/>
    <col min="14864" max="14864" width="11.5703125" bestFit="1" customWidth="1"/>
    <col min="14865" max="14865" width="9.28515625" bestFit="1" customWidth="1"/>
    <col min="14866" max="14866" width="11.5703125" bestFit="1" customWidth="1"/>
    <col min="14867" max="14867" width="9.28515625" bestFit="1" customWidth="1"/>
    <col min="14868" max="14868" width="11.5703125" bestFit="1" customWidth="1"/>
    <col min="14869" max="14869" width="9.28515625" bestFit="1" customWidth="1"/>
    <col min="14870" max="14870" width="11.5703125" bestFit="1" customWidth="1"/>
    <col min="14871" max="14871" width="9.28515625" bestFit="1" customWidth="1"/>
    <col min="14872" max="14872" width="11.5703125" bestFit="1" customWidth="1"/>
    <col min="14873" max="14873" width="9.28515625" bestFit="1" customWidth="1"/>
    <col min="14874" max="14874" width="11.5703125" bestFit="1" customWidth="1"/>
    <col min="14875" max="14875" width="9.28515625" bestFit="1" customWidth="1"/>
    <col min="14876" max="14876" width="11.5703125" bestFit="1" customWidth="1"/>
    <col min="14877" max="14877" width="9.28515625" bestFit="1" customWidth="1"/>
    <col min="14878" max="14878" width="11.5703125" bestFit="1" customWidth="1"/>
    <col min="14879" max="14879" width="9.28515625" bestFit="1" customWidth="1"/>
    <col min="14880" max="14880" width="11.5703125" bestFit="1" customWidth="1"/>
    <col min="14881" max="14881" width="9.28515625" bestFit="1" customWidth="1"/>
    <col min="14882" max="14882" width="11.5703125" bestFit="1" customWidth="1"/>
    <col min="14883" max="14883" width="9.28515625" bestFit="1" customWidth="1"/>
    <col min="14884" max="14884" width="11.5703125" bestFit="1" customWidth="1"/>
    <col min="14885" max="14885" width="9.28515625" bestFit="1" customWidth="1"/>
    <col min="14886" max="14886" width="11.5703125" bestFit="1" customWidth="1"/>
    <col min="14887" max="14887" width="9.28515625" bestFit="1" customWidth="1"/>
    <col min="14888" max="14888" width="11.5703125" bestFit="1" customWidth="1"/>
    <col min="14889" max="14889" width="9.28515625" bestFit="1" customWidth="1"/>
    <col min="14890" max="14890" width="11.5703125" bestFit="1" customWidth="1"/>
    <col min="14891" max="14891" width="9.28515625" bestFit="1" customWidth="1"/>
    <col min="14892" max="14892" width="11.5703125" bestFit="1" customWidth="1"/>
    <col min="14893" max="14893" width="9.28515625" bestFit="1" customWidth="1"/>
    <col min="14894" max="14894" width="11.5703125" bestFit="1" customWidth="1"/>
    <col min="14895" max="14895" width="9.28515625" bestFit="1" customWidth="1"/>
    <col min="14896" max="14896" width="11.5703125" bestFit="1" customWidth="1"/>
    <col min="14897" max="14897" width="9.28515625" bestFit="1" customWidth="1"/>
    <col min="14898" max="14898" width="11.5703125" bestFit="1" customWidth="1"/>
    <col min="14899" max="14899" width="9.28515625" bestFit="1" customWidth="1"/>
    <col min="15107" max="15107" width="29.42578125" bestFit="1" customWidth="1"/>
    <col min="15108" max="15108" width="11.5703125" bestFit="1" customWidth="1"/>
    <col min="15109" max="15109" width="9.28515625" bestFit="1" customWidth="1"/>
    <col min="15110" max="15110" width="11.5703125" bestFit="1" customWidth="1"/>
    <col min="15111" max="15111" width="9.28515625" bestFit="1" customWidth="1"/>
    <col min="15112" max="15112" width="11.5703125" bestFit="1" customWidth="1"/>
    <col min="15113" max="15113" width="9.28515625" bestFit="1" customWidth="1"/>
    <col min="15114" max="15114" width="11.5703125" bestFit="1" customWidth="1"/>
    <col min="15115" max="15115" width="9.28515625" bestFit="1" customWidth="1"/>
    <col min="15116" max="15116" width="11.5703125" bestFit="1" customWidth="1"/>
    <col min="15117" max="15117" width="9.28515625" bestFit="1" customWidth="1"/>
    <col min="15118" max="15118" width="11.5703125" bestFit="1" customWidth="1"/>
    <col min="15119" max="15119" width="9.28515625" bestFit="1" customWidth="1"/>
    <col min="15120" max="15120" width="11.5703125" bestFit="1" customWidth="1"/>
    <col min="15121" max="15121" width="9.28515625" bestFit="1" customWidth="1"/>
    <col min="15122" max="15122" width="11.5703125" bestFit="1" customWidth="1"/>
    <col min="15123" max="15123" width="9.28515625" bestFit="1" customWidth="1"/>
    <col min="15124" max="15124" width="11.5703125" bestFit="1" customWidth="1"/>
    <col min="15125" max="15125" width="9.28515625" bestFit="1" customWidth="1"/>
    <col min="15126" max="15126" width="11.5703125" bestFit="1" customWidth="1"/>
    <col min="15127" max="15127" width="9.28515625" bestFit="1" customWidth="1"/>
    <col min="15128" max="15128" width="11.5703125" bestFit="1" customWidth="1"/>
    <col min="15129" max="15129" width="9.28515625" bestFit="1" customWidth="1"/>
    <col min="15130" max="15130" width="11.5703125" bestFit="1" customWidth="1"/>
    <col min="15131" max="15131" width="9.28515625" bestFit="1" customWidth="1"/>
    <col min="15132" max="15132" width="11.5703125" bestFit="1" customWidth="1"/>
    <col min="15133" max="15133" width="9.28515625" bestFit="1" customWidth="1"/>
    <col min="15134" max="15134" width="11.5703125" bestFit="1" customWidth="1"/>
    <col min="15135" max="15135" width="9.28515625" bestFit="1" customWidth="1"/>
    <col min="15136" max="15136" width="11.5703125" bestFit="1" customWidth="1"/>
    <col min="15137" max="15137" width="9.28515625" bestFit="1" customWidth="1"/>
    <col min="15138" max="15138" width="11.5703125" bestFit="1" customWidth="1"/>
    <col min="15139" max="15139" width="9.28515625" bestFit="1" customWidth="1"/>
    <col min="15140" max="15140" width="11.5703125" bestFit="1" customWidth="1"/>
    <col min="15141" max="15141" width="9.28515625" bestFit="1" customWidth="1"/>
    <col min="15142" max="15142" width="11.5703125" bestFit="1" customWidth="1"/>
    <col min="15143" max="15143" width="9.28515625" bestFit="1" customWidth="1"/>
    <col min="15144" max="15144" width="11.5703125" bestFit="1" customWidth="1"/>
    <col min="15145" max="15145" width="9.28515625" bestFit="1" customWidth="1"/>
    <col min="15146" max="15146" width="11.5703125" bestFit="1" customWidth="1"/>
    <col min="15147" max="15147" width="9.28515625" bestFit="1" customWidth="1"/>
    <col min="15148" max="15148" width="11.5703125" bestFit="1" customWidth="1"/>
    <col min="15149" max="15149" width="9.28515625" bestFit="1" customWidth="1"/>
    <col min="15150" max="15150" width="11.5703125" bestFit="1" customWidth="1"/>
    <col min="15151" max="15151" width="9.28515625" bestFit="1" customWidth="1"/>
    <col min="15152" max="15152" width="11.5703125" bestFit="1" customWidth="1"/>
    <col min="15153" max="15153" width="9.28515625" bestFit="1" customWidth="1"/>
    <col min="15154" max="15154" width="11.5703125" bestFit="1" customWidth="1"/>
    <col min="15155" max="15155" width="9.28515625" bestFit="1" customWidth="1"/>
    <col min="15363" max="15363" width="29.42578125" bestFit="1" customWidth="1"/>
    <col min="15364" max="15364" width="11.5703125" bestFit="1" customWidth="1"/>
    <col min="15365" max="15365" width="9.28515625" bestFit="1" customWidth="1"/>
    <col min="15366" max="15366" width="11.5703125" bestFit="1" customWidth="1"/>
    <col min="15367" max="15367" width="9.28515625" bestFit="1" customWidth="1"/>
    <col min="15368" max="15368" width="11.5703125" bestFit="1" customWidth="1"/>
    <col min="15369" max="15369" width="9.28515625" bestFit="1" customWidth="1"/>
    <col min="15370" max="15370" width="11.5703125" bestFit="1" customWidth="1"/>
    <col min="15371" max="15371" width="9.28515625" bestFit="1" customWidth="1"/>
    <col min="15372" max="15372" width="11.5703125" bestFit="1" customWidth="1"/>
    <col min="15373" max="15373" width="9.28515625" bestFit="1" customWidth="1"/>
    <col min="15374" max="15374" width="11.5703125" bestFit="1" customWidth="1"/>
    <col min="15375" max="15375" width="9.28515625" bestFit="1" customWidth="1"/>
    <col min="15376" max="15376" width="11.5703125" bestFit="1" customWidth="1"/>
    <col min="15377" max="15377" width="9.28515625" bestFit="1" customWidth="1"/>
    <col min="15378" max="15378" width="11.5703125" bestFit="1" customWidth="1"/>
    <col min="15379" max="15379" width="9.28515625" bestFit="1" customWidth="1"/>
    <col min="15380" max="15380" width="11.5703125" bestFit="1" customWidth="1"/>
    <col min="15381" max="15381" width="9.28515625" bestFit="1" customWidth="1"/>
    <col min="15382" max="15382" width="11.5703125" bestFit="1" customWidth="1"/>
    <col min="15383" max="15383" width="9.28515625" bestFit="1" customWidth="1"/>
    <col min="15384" max="15384" width="11.5703125" bestFit="1" customWidth="1"/>
    <col min="15385" max="15385" width="9.28515625" bestFit="1" customWidth="1"/>
    <col min="15386" max="15386" width="11.5703125" bestFit="1" customWidth="1"/>
    <col min="15387" max="15387" width="9.28515625" bestFit="1" customWidth="1"/>
    <col min="15388" max="15388" width="11.5703125" bestFit="1" customWidth="1"/>
    <col min="15389" max="15389" width="9.28515625" bestFit="1" customWidth="1"/>
    <col min="15390" max="15390" width="11.5703125" bestFit="1" customWidth="1"/>
    <col min="15391" max="15391" width="9.28515625" bestFit="1" customWidth="1"/>
    <col min="15392" max="15392" width="11.5703125" bestFit="1" customWidth="1"/>
    <col min="15393" max="15393" width="9.28515625" bestFit="1" customWidth="1"/>
    <col min="15394" max="15394" width="11.5703125" bestFit="1" customWidth="1"/>
    <col min="15395" max="15395" width="9.28515625" bestFit="1" customWidth="1"/>
    <col min="15396" max="15396" width="11.5703125" bestFit="1" customWidth="1"/>
    <col min="15397" max="15397" width="9.28515625" bestFit="1" customWidth="1"/>
    <col min="15398" max="15398" width="11.5703125" bestFit="1" customWidth="1"/>
    <col min="15399" max="15399" width="9.28515625" bestFit="1" customWidth="1"/>
    <col min="15400" max="15400" width="11.5703125" bestFit="1" customWidth="1"/>
    <col min="15401" max="15401" width="9.28515625" bestFit="1" customWidth="1"/>
    <col min="15402" max="15402" width="11.5703125" bestFit="1" customWidth="1"/>
    <col min="15403" max="15403" width="9.28515625" bestFit="1" customWidth="1"/>
    <col min="15404" max="15404" width="11.5703125" bestFit="1" customWidth="1"/>
    <col min="15405" max="15405" width="9.28515625" bestFit="1" customWidth="1"/>
    <col min="15406" max="15406" width="11.5703125" bestFit="1" customWidth="1"/>
    <col min="15407" max="15407" width="9.28515625" bestFit="1" customWidth="1"/>
    <col min="15408" max="15408" width="11.5703125" bestFit="1" customWidth="1"/>
    <col min="15409" max="15409" width="9.28515625" bestFit="1" customWidth="1"/>
    <col min="15410" max="15410" width="11.5703125" bestFit="1" customWidth="1"/>
    <col min="15411" max="15411" width="9.28515625" bestFit="1" customWidth="1"/>
    <col min="15619" max="15619" width="29.42578125" bestFit="1" customWidth="1"/>
    <col min="15620" max="15620" width="11.5703125" bestFit="1" customWidth="1"/>
    <col min="15621" max="15621" width="9.28515625" bestFit="1" customWidth="1"/>
    <col min="15622" max="15622" width="11.5703125" bestFit="1" customWidth="1"/>
    <col min="15623" max="15623" width="9.28515625" bestFit="1" customWidth="1"/>
    <col min="15624" max="15624" width="11.5703125" bestFit="1" customWidth="1"/>
    <col min="15625" max="15625" width="9.28515625" bestFit="1" customWidth="1"/>
    <col min="15626" max="15626" width="11.5703125" bestFit="1" customWidth="1"/>
    <col min="15627" max="15627" width="9.28515625" bestFit="1" customWidth="1"/>
    <col min="15628" max="15628" width="11.5703125" bestFit="1" customWidth="1"/>
    <col min="15629" max="15629" width="9.28515625" bestFit="1" customWidth="1"/>
    <col min="15630" max="15630" width="11.5703125" bestFit="1" customWidth="1"/>
    <col min="15631" max="15631" width="9.28515625" bestFit="1" customWidth="1"/>
    <col min="15632" max="15632" width="11.5703125" bestFit="1" customWidth="1"/>
    <col min="15633" max="15633" width="9.28515625" bestFit="1" customWidth="1"/>
    <col min="15634" max="15634" width="11.5703125" bestFit="1" customWidth="1"/>
    <col min="15635" max="15635" width="9.28515625" bestFit="1" customWidth="1"/>
    <col min="15636" max="15636" width="11.5703125" bestFit="1" customWidth="1"/>
    <col min="15637" max="15637" width="9.28515625" bestFit="1" customWidth="1"/>
    <col min="15638" max="15638" width="11.5703125" bestFit="1" customWidth="1"/>
    <col min="15639" max="15639" width="9.28515625" bestFit="1" customWidth="1"/>
    <col min="15640" max="15640" width="11.5703125" bestFit="1" customWidth="1"/>
    <col min="15641" max="15641" width="9.28515625" bestFit="1" customWidth="1"/>
    <col min="15642" max="15642" width="11.5703125" bestFit="1" customWidth="1"/>
    <col min="15643" max="15643" width="9.28515625" bestFit="1" customWidth="1"/>
    <col min="15644" max="15644" width="11.5703125" bestFit="1" customWidth="1"/>
    <col min="15645" max="15645" width="9.28515625" bestFit="1" customWidth="1"/>
    <col min="15646" max="15646" width="11.5703125" bestFit="1" customWidth="1"/>
    <col min="15647" max="15647" width="9.28515625" bestFit="1" customWidth="1"/>
    <col min="15648" max="15648" width="11.5703125" bestFit="1" customWidth="1"/>
    <col min="15649" max="15649" width="9.28515625" bestFit="1" customWidth="1"/>
    <col min="15650" max="15650" width="11.5703125" bestFit="1" customWidth="1"/>
    <col min="15651" max="15651" width="9.28515625" bestFit="1" customWidth="1"/>
    <col min="15652" max="15652" width="11.5703125" bestFit="1" customWidth="1"/>
    <col min="15653" max="15653" width="9.28515625" bestFit="1" customWidth="1"/>
    <col min="15654" max="15654" width="11.5703125" bestFit="1" customWidth="1"/>
    <col min="15655" max="15655" width="9.28515625" bestFit="1" customWidth="1"/>
    <col min="15656" max="15656" width="11.5703125" bestFit="1" customWidth="1"/>
    <col min="15657" max="15657" width="9.28515625" bestFit="1" customWidth="1"/>
    <col min="15658" max="15658" width="11.5703125" bestFit="1" customWidth="1"/>
    <col min="15659" max="15659" width="9.28515625" bestFit="1" customWidth="1"/>
    <col min="15660" max="15660" width="11.5703125" bestFit="1" customWidth="1"/>
    <col min="15661" max="15661" width="9.28515625" bestFit="1" customWidth="1"/>
    <col min="15662" max="15662" width="11.5703125" bestFit="1" customWidth="1"/>
    <col min="15663" max="15663" width="9.28515625" bestFit="1" customWidth="1"/>
    <col min="15664" max="15664" width="11.5703125" bestFit="1" customWidth="1"/>
    <col min="15665" max="15665" width="9.28515625" bestFit="1" customWidth="1"/>
    <col min="15666" max="15666" width="11.5703125" bestFit="1" customWidth="1"/>
    <col min="15667" max="15667" width="9.28515625" bestFit="1" customWidth="1"/>
    <col min="15875" max="15875" width="29.42578125" bestFit="1" customWidth="1"/>
    <col min="15876" max="15876" width="11.5703125" bestFit="1" customWidth="1"/>
    <col min="15877" max="15877" width="9.28515625" bestFit="1" customWidth="1"/>
    <col min="15878" max="15878" width="11.5703125" bestFit="1" customWidth="1"/>
    <col min="15879" max="15879" width="9.28515625" bestFit="1" customWidth="1"/>
    <col min="15880" max="15880" width="11.5703125" bestFit="1" customWidth="1"/>
    <col min="15881" max="15881" width="9.28515625" bestFit="1" customWidth="1"/>
    <col min="15882" max="15882" width="11.5703125" bestFit="1" customWidth="1"/>
    <col min="15883" max="15883" width="9.28515625" bestFit="1" customWidth="1"/>
    <col min="15884" max="15884" width="11.5703125" bestFit="1" customWidth="1"/>
    <col min="15885" max="15885" width="9.28515625" bestFit="1" customWidth="1"/>
    <col min="15886" max="15886" width="11.5703125" bestFit="1" customWidth="1"/>
    <col min="15887" max="15887" width="9.28515625" bestFit="1" customWidth="1"/>
    <col min="15888" max="15888" width="11.5703125" bestFit="1" customWidth="1"/>
    <col min="15889" max="15889" width="9.28515625" bestFit="1" customWidth="1"/>
    <col min="15890" max="15890" width="11.5703125" bestFit="1" customWidth="1"/>
    <col min="15891" max="15891" width="9.28515625" bestFit="1" customWidth="1"/>
    <col min="15892" max="15892" width="11.5703125" bestFit="1" customWidth="1"/>
    <col min="15893" max="15893" width="9.28515625" bestFit="1" customWidth="1"/>
    <col min="15894" max="15894" width="11.5703125" bestFit="1" customWidth="1"/>
    <col min="15895" max="15895" width="9.28515625" bestFit="1" customWidth="1"/>
    <col min="15896" max="15896" width="11.5703125" bestFit="1" customWidth="1"/>
    <col min="15897" max="15897" width="9.28515625" bestFit="1" customWidth="1"/>
    <col min="15898" max="15898" width="11.5703125" bestFit="1" customWidth="1"/>
    <col min="15899" max="15899" width="9.28515625" bestFit="1" customWidth="1"/>
    <col min="15900" max="15900" width="11.5703125" bestFit="1" customWidth="1"/>
    <col min="15901" max="15901" width="9.28515625" bestFit="1" customWidth="1"/>
    <col min="15902" max="15902" width="11.5703125" bestFit="1" customWidth="1"/>
    <col min="15903" max="15903" width="9.28515625" bestFit="1" customWidth="1"/>
    <col min="15904" max="15904" width="11.5703125" bestFit="1" customWidth="1"/>
    <col min="15905" max="15905" width="9.28515625" bestFit="1" customWidth="1"/>
    <col min="15906" max="15906" width="11.5703125" bestFit="1" customWidth="1"/>
    <col min="15907" max="15907" width="9.28515625" bestFit="1" customWidth="1"/>
    <col min="15908" max="15908" width="11.5703125" bestFit="1" customWidth="1"/>
    <col min="15909" max="15909" width="9.28515625" bestFit="1" customWidth="1"/>
    <col min="15910" max="15910" width="11.5703125" bestFit="1" customWidth="1"/>
    <col min="15911" max="15911" width="9.28515625" bestFit="1" customWidth="1"/>
    <col min="15912" max="15912" width="11.5703125" bestFit="1" customWidth="1"/>
    <col min="15913" max="15913" width="9.28515625" bestFit="1" customWidth="1"/>
    <col min="15914" max="15914" width="11.5703125" bestFit="1" customWidth="1"/>
    <col min="15915" max="15915" width="9.28515625" bestFit="1" customWidth="1"/>
    <col min="15916" max="15916" width="11.5703125" bestFit="1" customWidth="1"/>
    <col min="15917" max="15917" width="9.28515625" bestFit="1" customWidth="1"/>
    <col min="15918" max="15918" width="11.5703125" bestFit="1" customWidth="1"/>
    <col min="15919" max="15919" width="9.28515625" bestFit="1" customWidth="1"/>
    <col min="15920" max="15920" width="11.5703125" bestFit="1" customWidth="1"/>
    <col min="15921" max="15921" width="9.28515625" bestFit="1" customWidth="1"/>
    <col min="15922" max="15922" width="11.5703125" bestFit="1" customWidth="1"/>
    <col min="15923" max="15923" width="9.28515625" bestFit="1" customWidth="1"/>
    <col min="16131" max="16131" width="29.42578125" bestFit="1" customWidth="1"/>
    <col min="16132" max="16132" width="11.5703125" bestFit="1" customWidth="1"/>
    <col min="16133" max="16133" width="9.28515625" bestFit="1" customWidth="1"/>
    <col min="16134" max="16134" width="11.5703125" bestFit="1" customWidth="1"/>
    <col min="16135" max="16135" width="9.28515625" bestFit="1" customWidth="1"/>
    <col min="16136" max="16136" width="11.5703125" bestFit="1" customWidth="1"/>
    <col min="16137" max="16137" width="9.28515625" bestFit="1" customWidth="1"/>
    <col min="16138" max="16138" width="11.5703125" bestFit="1" customWidth="1"/>
    <col min="16139" max="16139" width="9.28515625" bestFit="1" customWidth="1"/>
    <col min="16140" max="16140" width="11.5703125" bestFit="1" customWidth="1"/>
    <col min="16141" max="16141" width="9.28515625" bestFit="1" customWidth="1"/>
    <col min="16142" max="16142" width="11.5703125" bestFit="1" customWidth="1"/>
    <col min="16143" max="16143" width="9.28515625" bestFit="1" customWidth="1"/>
    <col min="16144" max="16144" width="11.5703125" bestFit="1" customWidth="1"/>
    <col min="16145" max="16145" width="9.28515625" bestFit="1" customWidth="1"/>
    <col min="16146" max="16146" width="11.5703125" bestFit="1" customWidth="1"/>
    <col min="16147" max="16147" width="9.28515625" bestFit="1" customWidth="1"/>
    <col min="16148" max="16148" width="11.5703125" bestFit="1" customWidth="1"/>
    <col min="16149" max="16149" width="9.28515625" bestFit="1" customWidth="1"/>
    <col min="16150" max="16150" width="11.5703125" bestFit="1" customWidth="1"/>
    <col min="16151" max="16151" width="9.28515625" bestFit="1" customWidth="1"/>
    <col min="16152" max="16152" width="11.5703125" bestFit="1" customWidth="1"/>
    <col min="16153" max="16153" width="9.28515625" bestFit="1" customWidth="1"/>
    <col min="16154" max="16154" width="11.5703125" bestFit="1" customWidth="1"/>
    <col min="16155" max="16155" width="9.28515625" bestFit="1" customWidth="1"/>
    <col min="16156" max="16156" width="11.5703125" bestFit="1" customWidth="1"/>
    <col min="16157" max="16157" width="9.28515625" bestFit="1" customWidth="1"/>
    <col min="16158" max="16158" width="11.5703125" bestFit="1" customWidth="1"/>
    <col min="16159" max="16159" width="9.28515625" bestFit="1" customWidth="1"/>
    <col min="16160" max="16160" width="11.5703125" bestFit="1" customWidth="1"/>
    <col min="16161" max="16161" width="9.28515625" bestFit="1" customWidth="1"/>
    <col min="16162" max="16162" width="11.5703125" bestFit="1" customWidth="1"/>
    <col min="16163" max="16163" width="9.28515625" bestFit="1" customWidth="1"/>
    <col min="16164" max="16164" width="11.5703125" bestFit="1" customWidth="1"/>
    <col min="16165" max="16165" width="9.28515625" bestFit="1" customWidth="1"/>
    <col min="16166" max="16166" width="11.5703125" bestFit="1" customWidth="1"/>
    <col min="16167" max="16167" width="9.28515625" bestFit="1" customWidth="1"/>
    <col min="16168" max="16168" width="11.5703125" bestFit="1" customWidth="1"/>
    <col min="16169" max="16169" width="9.28515625" bestFit="1" customWidth="1"/>
    <col min="16170" max="16170" width="11.5703125" bestFit="1" customWidth="1"/>
    <col min="16171" max="16171" width="9.28515625" bestFit="1" customWidth="1"/>
    <col min="16172" max="16172" width="11.5703125" bestFit="1" customWidth="1"/>
    <col min="16173" max="16173" width="9.28515625" bestFit="1" customWidth="1"/>
    <col min="16174" max="16174" width="11.5703125" bestFit="1" customWidth="1"/>
    <col min="16175" max="16175" width="9.28515625" bestFit="1" customWidth="1"/>
    <col min="16176" max="16176" width="11.5703125" bestFit="1" customWidth="1"/>
    <col min="16177" max="16177" width="9.28515625" bestFit="1" customWidth="1"/>
    <col min="16178" max="16178" width="11.5703125" bestFit="1" customWidth="1"/>
    <col min="16179" max="16179" width="9.28515625" bestFit="1" customWidth="1"/>
  </cols>
  <sheetData>
    <row r="1" spans="2:51">
      <c r="B1" s="82" t="s">
        <v>145</v>
      </c>
    </row>
    <row r="2" spans="2:51">
      <c r="D2" s="86">
        <v>45200</v>
      </c>
      <c r="E2" s="122">
        <v>45200</v>
      </c>
      <c r="F2" s="86">
        <v>45231</v>
      </c>
      <c r="G2" s="122">
        <v>45231</v>
      </c>
      <c r="H2" s="86">
        <v>45261</v>
      </c>
      <c r="I2" s="122">
        <v>45261</v>
      </c>
      <c r="J2" s="86">
        <v>45292</v>
      </c>
      <c r="K2" s="122">
        <v>45292</v>
      </c>
      <c r="L2" s="86">
        <v>45323</v>
      </c>
      <c r="M2" s="122">
        <v>45323</v>
      </c>
      <c r="N2" s="86">
        <v>45352</v>
      </c>
      <c r="O2" s="122">
        <v>45352</v>
      </c>
      <c r="P2" s="86">
        <v>45383</v>
      </c>
      <c r="Q2" s="122">
        <v>45383</v>
      </c>
      <c r="R2" s="86">
        <v>45413</v>
      </c>
      <c r="S2" s="122">
        <v>45413</v>
      </c>
      <c r="T2" s="86">
        <v>45444</v>
      </c>
      <c r="U2" s="122">
        <v>45444</v>
      </c>
      <c r="V2" s="86">
        <v>45474</v>
      </c>
      <c r="W2" s="122">
        <v>45474</v>
      </c>
      <c r="X2" s="86">
        <v>45505</v>
      </c>
      <c r="Y2" s="122">
        <v>45505</v>
      </c>
      <c r="Z2" s="86">
        <v>45536</v>
      </c>
      <c r="AA2" s="122">
        <v>45536</v>
      </c>
      <c r="AB2" s="86">
        <v>45566</v>
      </c>
      <c r="AC2" s="122">
        <v>45566</v>
      </c>
      <c r="AD2" s="86">
        <v>45597</v>
      </c>
      <c r="AE2" s="122">
        <v>45597</v>
      </c>
      <c r="AF2" s="86">
        <v>45627</v>
      </c>
      <c r="AG2" s="122">
        <v>45627</v>
      </c>
      <c r="AH2" s="86">
        <v>45658</v>
      </c>
      <c r="AI2" s="122">
        <v>45658</v>
      </c>
      <c r="AJ2" s="86">
        <v>45689</v>
      </c>
      <c r="AK2" s="122">
        <v>45689</v>
      </c>
      <c r="AL2" s="86">
        <v>45717</v>
      </c>
      <c r="AM2" s="122">
        <v>45717</v>
      </c>
      <c r="AN2" s="86">
        <v>45748</v>
      </c>
      <c r="AO2" s="122">
        <v>45748</v>
      </c>
      <c r="AP2" s="86">
        <v>45778</v>
      </c>
      <c r="AQ2" s="122">
        <v>45778</v>
      </c>
      <c r="AR2" s="86">
        <v>45809</v>
      </c>
      <c r="AS2" s="122">
        <v>45809</v>
      </c>
      <c r="AT2" s="86">
        <v>45839</v>
      </c>
      <c r="AU2" s="122">
        <v>45839</v>
      </c>
      <c r="AV2" s="86">
        <v>45870</v>
      </c>
      <c r="AW2" s="122">
        <v>45870</v>
      </c>
      <c r="AX2" s="86">
        <v>45901</v>
      </c>
      <c r="AY2" s="122">
        <v>45901</v>
      </c>
    </row>
    <row r="3" spans="2:51">
      <c r="B3" s="38" t="s">
        <v>2</v>
      </c>
      <c r="C3" s="38" t="s">
        <v>147</v>
      </c>
      <c r="D3" s="123" t="s">
        <v>143</v>
      </c>
      <c r="E3" s="124" t="s">
        <v>144</v>
      </c>
      <c r="F3" s="123" t="s">
        <v>143</v>
      </c>
      <c r="G3" s="124" t="s">
        <v>144</v>
      </c>
      <c r="H3" s="123" t="s">
        <v>143</v>
      </c>
      <c r="I3" s="124" t="s">
        <v>144</v>
      </c>
      <c r="J3" s="123" t="s">
        <v>143</v>
      </c>
      <c r="K3" s="124" t="s">
        <v>144</v>
      </c>
      <c r="L3" s="123" t="s">
        <v>143</v>
      </c>
      <c r="M3" s="124" t="s">
        <v>144</v>
      </c>
      <c r="N3" s="123" t="s">
        <v>143</v>
      </c>
      <c r="O3" s="124" t="s">
        <v>144</v>
      </c>
      <c r="P3" s="123" t="s">
        <v>143</v>
      </c>
      <c r="Q3" s="124" t="s">
        <v>144</v>
      </c>
      <c r="R3" s="123" t="s">
        <v>143</v>
      </c>
      <c r="S3" s="124" t="s">
        <v>144</v>
      </c>
      <c r="T3" s="123" t="s">
        <v>143</v>
      </c>
      <c r="U3" s="124" t="s">
        <v>144</v>
      </c>
      <c r="V3" s="123" t="s">
        <v>143</v>
      </c>
      <c r="W3" s="124" t="s">
        <v>144</v>
      </c>
      <c r="X3" s="123" t="s">
        <v>143</v>
      </c>
      <c r="Y3" s="124" t="s">
        <v>144</v>
      </c>
      <c r="Z3" s="123" t="s">
        <v>143</v>
      </c>
      <c r="AA3" s="124" t="s">
        <v>144</v>
      </c>
      <c r="AB3" s="123" t="s">
        <v>143</v>
      </c>
      <c r="AC3" s="124" t="s">
        <v>144</v>
      </c>
      <c r="AD3" s="123" t="s">
        <v>143</v>
      </c>
      <c r="AE3" s="124" t="s">
        <v>144</v>
      </c>
      <c r="AF3" s="123" t="s">
        <v>143</v>
      </c>
      <c r="AG3" s="124" t="s">
        <v>144</v>
      </c>
      <c r="AH3" s="123" t="s">
        <v>143</v>
      </c>
      <c r="AI3" s="124" t="s">
        <v>144</v>
      </c>
      <c r="AJ3" s="123" t="s">
        <v>143</v>
      </c>
      <c r="AK3" s="124" t="s">
        <v>144</v>
      </c>
      <c r="AL3" s="123" t="s">
        <v>143</v>
      </c>
      <c r="AM3" s="124" t="s">
        <v>144</v>
      </c>
      <c r="AN3" s="123" t="s">
        <v>143</v>
      </c>
      <c r="AO3" s="124" t="s">
        <v>144</v>
      </c>
      <c r="AP3" s="123" t="s">
        <v>143</v>
      </c>
      <c r="AQ3" s="124" t="s">
        <v>144</v>
      </c>
      <c r="AR3" s="123" t="s">
        <v>143</v>
      </c>
      <c r="AS3" s="124" t="s">
        <v>144</v>
      </c>
      <c r="AT3" s="123" t="s">
        <v>143</v>
      </c>
      <c r="AU3" s="124" t="s">
        <v>144</v>
      </c>
      <c r="AV3" s="123" t="s">
        <v>143</v>
      </c>
      <c r="AW3" s="124" t="s">
        <v>144</v>
      </c>
      <c r="AX3" s="123" t="s">
        <v>143</v>
      </c>
      <c r="AY3" s="124" t="s">
        <v>144</v>
      </c>
    </row>
    <row r="4" spans="2:51">
      <c r="B4">
        <v>10015</v>
      </c>
      <c r="C4" t="s">
        <v>8</v>
      </c>
      <c r="D4" s="37">
        <v>279.81490384615381</v>
      </c>
      <c r="E4" s="37">
        <v>0</v>
      </c>
      <c r="F4" s="37">
        <v>0</v>
      </c>
      <c r="G4" s="37">
        <v>0</v>
      </c>
      <c r="H4" s="37">
        <v>13.137500000000024</v>
      </c>
      <c r="I4" s="37">
        <v>0</v>
      </c>
      <c r="J4" s="37">
        <v>112.75961538461532</v>
      </c>
      <c r="K4" s="37">
        <v>0</v>
      </c>
      <c r="L4" s="37">
        <v>240.74000000000007</v>
      </c>
      <c r="M4" s="37">
        <v>0</v>
      </c>
      <c r="N4" s="37">
        <v>173.0625</v>
      </c>
      <c r="O4" s="37">
        <v>0</v>
      </c>
      <c r="P4" s="37">
        <v>531.86057692307691</v>
      </c>
      <c r="Q4" s="37">
        <v>0</v>
      </c>
      <c r="R4" s="37">
        <v>477.12980769230762</v>
      </c>
      <c r="S4" s="37">
        <v>0</v>
      </c>
      <c r="T4" s="37">
        <v>434.07499999999999</v>
      </c>
      <c r="U4" s="37">
        <v>0</v>
      </c>
      <c r="V4" s="37">
        <v>633.93028846153834</v>
      </c>
      <c r="W4" s="37">
        <v>0</v>
      </c>
      <c r="X4" s="37">
        <v>362.02083333333326</v>
      </c>
      <c r="Y4" s="37">
        <v>0</v>
      </c>
      <c r="Z4" s="37">
        <v>490.63020833333314</v>
      </c>
      <c r="AA4" s="37">
        <v>0</v>
      </c>
      <c r="AB4" s="37">
        <v>300.48842592592587</v>
      </c>
      <c r="AC4" s="37">
        <v>0</v>
      </c>
      <c r="AD4" s="37">
        <v>0</v>
      </c>
      <c r="AE4" s="37">
        <v>0</v>
      </c>
      <c r="AF4" s="37">
        <v>13.137500000000024</v>
      </c>
      <c r="AG4" s="37">
        <v>0</v>
      </c>
      <c r="AH4" s="37">
        <v>112.75961538461532</v>
      </c>
      <c r="AI4" s="37">
        <v>0</v>
      </c>
      <c r="AJ4" s="37">
        <v>224.72916666666677</v>
      </c>
      <c r="AK4" s="37">
        <v>0</v>
      </c>
      <c r="AL4" s="37">
        <v>173.0625</v>
      </c>
      <c r="AM4" s="37">
        <v>0</v>
      </c>
      <c r="AN4" s="37">
        <v>531.86057692307691</v>
      </c>
      <c r="AO4" s="37">
        <v>0</v>
      </c>
      <c r="AP4" s="37">
        <v>477.12980769230762</v>
      </c>
      <c r="AQ4" s="37">
        <v>0</v>
      </c>
      <c r="AR4" s="37">
        <v>434.07499999999999</v>
      </c>
      <c r="AS4" s="37">
        <v>0</v>
      </c>
      <c r="AT4" s="37">
        <v>633.93028846153834</v>
      </c>
      <c r="AU4" s="37">
        <v>0</v>
      </c>
      <c r="AV4" s="37">
        <v>310.94471153846138</v>
      </c>
      <c r="AW4" s="37">
        <v>0</v>
      </c>
      <c r="AX4" s="37">
        <v>526.32499999999993</v>
      </c>
      <c r="AY4" s="37">
        <v>0</v>
      </c>
    </row>
    <row r="5" spans="2:51">
      <c r="B5">
        <v>10024</v>
      </c>
      <c r="C5" t="s">
        <v>9</v>
      </c>
      <c r="D5" s="37">
        <v>18099.461538461554</v>
      </c>
      <c r="E5" s="37">
        <v>0</v>
      </c>
      <c r="F5" s="37">
        <v>23245.297499999979</v>
      </c>
      <c r="G5" s="37">
        <v>0</v>
      </c>
      <c r="H5" s="37">
        <v>43271.19249999999</v>
      </c>
      <c r="I5" s="37">
        <v>0</v>
      </c>
      <c r="J5" s="37">
        <v>44873.290865384588</v>
      </c>
      <c r="K5" s="37">
        <v>0</v>
      </c>
      <c r="L5" s="37">
        <v>11934.687500000024</v>
      </c>
      <c r="M5" s="37">
        <v>0</v>
      </c>
      <c r="N5" s="37">
        <v>28793.144230769194</v>
      </c>
      <c r="O5" s="37">
        <v>0</v>
      </c>
      <c r="P5" s="37">
        <v>42192.978365384588</v>
      </c>
      <c r="Q5" s="37">
        <v>0</v>
      </c>
      <c r="R5" s="37">
        <v>0</v>
      </c>
      <c r="S5" s="37">
        <v>0</v>
      </c>
      <c r="T5" s="37">
        <v>43498.405000000021</v>
      </c>
      <c r="U5" s="37">
        <v>0</v>
      </c>
      <c r="V5" s="37">
        <v>64607.413461538439</v>
      </c>
      <c r="W5" s="37">
        <v>0</v>
      </c>
      <c r="X5" s="37">
        <v>49640.409722222248</v>
      </c>
      <c r="Y5" s="37">
        <v>0</v>
      </c>
      <c r="Z5" s="37">
        <v>3836.0859374999945</v>
      </c>
      <c r="AA5" s="37">
        <v>0</v>
      </c>
      <c r="AB5" s="37">
        <v>24586.305555555584</v>
      </c>
      <c r="AC5" s="37">
        <v>0</v>
      </c>
      <c r="AD5" s="37">
        <v>23051.577500000021</v>
      </c>
      <c r="AE5" s="37">
        <v>0</v>
      </c>
      <c r="AF5" s="37">
        <v>43980.422500000008</v>
      </c>
      <c r="AG5" s="37">
        <v>0</v>
      </c>
      <c r="AH5" s="37">
        <v>45468.418269230751</v>
      </c>
      <c r="AI5" s="37">
        <v>0</v>
      </c>
      <c r="AJ5" s="37">
        <v>3705.1822916666597</v>
      </c>
      <c r="AK5" s="37">
        <v>0</v>
      </c>
      <c r="AL5" s="37">
        <v>28504.64663461539</v>
      </c>
      <c r="AM5" s="37">
        <v>0</v>
      </c>
      <c r="AN5" s="37">
        <v>41805.144230769205</v>
      </c>
      <c r="AO5" s="37">
        <v>0</v>
      </c>
      <c r="AP5" s="37">
        <v>0</v>
      </c>
      <c r="AQ5" s="37">
        <v>0</v>
      </c>
      <c r="AR5" s="37">
        <v>43394.255000000012</v>
      </c>
      <c r="AS5" s="37">
        <v>0</v>
      </c>
      <c r="AT5" s="37">
        <v>64530.245192307688</v>
      </c>
      <c r="AU5" s="37">
        <v>0</v>
      </c>
      <c r="AV5" s="37">
        <v>38270.050480769183</v>
      </c>
      <c r="AW5" s="37">
        <v>0</v>
      </c>
      <c r="AX5" s="37">
        <v>11995.995000000015</v>
      </c>
      <c r="AY5" s="37">
        <v>0</v>
      </c>
    </row>
    <row r="6" spans="2:51">
      <c r="B6">
        <v>10025</v>
      </c>
      <c r="C6" t="s">
        <v>10</v>
      </c>
      <c r="D6" s="37">
        <v>6540.2908653846125</v>
      </c>
      <c r="E6" s="37">
        <v>0</v>
      </c>
      <c r="F6" s="37">
        <v>4835.9549999999945</v>
      </c>
      <c r="G6" s="37">
        <v>0</v>
      </c>
      <c r="H6" s="37">
        <v>16702.95250000001</v>
      </c>
      <c r="I6" s="37">
        <v>0</v>
      </c>
      <c r="J6" s="37">
        <v>20794.209134615387</v>
      </c>
      <c r="K6" s="37">
        <v>0</v>
      </c>
      <c r="L6" s="37">
        <v>8680.27</v>
      </c>
      <c r="M6" s="37">
        <v>0</v>
      </c>
      <c r="N6" s="37">
        <v>11481.442307692309</v>
      </c>
      <c r="O6" s="37">
        <v>0</v>
      </c>
      <c r="P6" s="37">
        <v>0</v>
      </c>
      <c r="Q6" s="37">
        <v>0</v>
      </c>
      <c r="R6" s="37">
        <v>8409.9903846153902</v>
      </c>
      <c r="S6" s="37">
        <v>0</v>
      </c>
      <c r="T6" s="37">
        <v>10926.14749999999</v>
      </c>
      <c r="U6" s="37">
        <v>0</v>
      </c>
      <c r="V6" s="37">
        <v>18079.822115384624</v>
      </c>
      <c r="W6" s="37">
        <v>0</v>
      </c>
      <c r="X6" s="37">
        <v>22492.870370370354</v>
      </c>
      <c r="Y6" s="37">
        <v>0</v>
      </c>
      <c r="Z6" s="37">
        <v>11356.273437499998</v>
      </c>
      <c r="AA6" s="37">
        <v>0</v>
      </c>
      <c r="AB6" s="37">
        <v>9139.0162037036825</v>
      </c>
      <c r="AC6" s="37">
        <v>0</v>
      </c>
      <c r="AD6" s="37">
        <v>4786.7949999999946</v>
      </c>
      <c r="AE6" s="37">
        <v>0</v>
      </c>
      <c r="AF6" s="37">
        <v>17141.545000000009</v>
      </c>
      <c r="AG6" s="37">
        <v>0</v>
      </c>
      <c r="AH6" s="37">
        <v>24671.461538461543</v>
      </c>
      <c r="AI6" s="37">
        <v>0</v>
      </c>
      <c r="AJ6" s="37">
        <v>6244.6302083333267</v>
      </c>
      <c r="AK6" s="37">
        <v>0</v>
      </c>
      <c r="AL6" s="37">
        <v>8909.3293269230744</v>
      </c>
      <c r="AM6" s="37">
        <v>0</v>
      </c>
      <c r="AN6" s="37">
        <v>0</v>
      </c>
      <c r="AO6" s="37">
        <v>0</v>
      </c>
      <c r="AP6" s="37">
        <v>8373.5624999999982</v>
      </c>
      <c r="AQ6" s="37">
        <v>0</v>
      </c>
      <c r="AR6" s="37">
        <v>10863.824999999997</v>
      </c>
      <c r="AS6" s="37">
        <v>0</v>
      </c>
      <c r="AT6" s="37">
        <v>18054.370192307681</v>
      </c>
      <c r="AU6" s="37">
        <v>0</v>
      </c>
      <c r="AV6" s="37">
        <v>19079.07692307694</v>
      </c>
      <c r="AW6" s="37">
        <v>0</v>
      </c>
      <c r="AX6" s="37">
        <v>14776.8675</v>
      </c>
      <c r="AY6" s="37">
        <v>0</v>
      </c>
    </row>
    <row r="7" spans="2:51">
      <c r="B7">
        <v>10027</v>
      </c>
      <c r="C7" t="s">
        <v>11</v>
      </c>
      <c r="D7" s="37">
        <v>6923.9783653846134</v>
      </c>
      <c r="E7" s="37">
        <v>0</v>
      </c>
      <c r="F7" s="37">
        <v>4049.3799999999956</v>
      </c>
      <c r="G7" s="37">
        <v>0</v>
      </c>
      <c r="H7" s="37">
        <v>9818.4900000000071</v>
      </c>
      <c r="I7" s="37">
        <v>0</v>
      </c>
      <c r="J7" s="37">
        <v>16611.11298076923</v>
      </c>
      <c r="K7" s="37">
        <v>0</v>
      </c>
      <c r="L7" s="37">
        <v>8931.6049999999977</v>
      </c>
      <c r="M7" s="37">
        <v>0</v>
      </c>
      <c r="N7" s="37">
        <v>4098.4254807692369</v>
      </c>
      <c r="O7" s="37">
        <v>0</v>
      </c>
      <c r="P7" s="37">
        <v>7468.0216346153929</v>
      </c>
      <c r="Q7" s="37">
        <v>0</v>
      </c>
      <c r="R7" s="37">
        <v>3976.3293269230717</v>
      </c>
      <c r="S7" s="37">
        <v>0</v>
      </c>
      <c r="T7" s="37">
        <v>3240.39500000001</v>
      </c>
      <c r="U7" s="37">
        <v>0</v>
      </c>
      <c r="V7" s="37">
        <v>19952.199519230766</v>
      </c>
      <c r="W7" s="37">
        <v>0</v>
      </c>
      <c r="X7" s="37">
        <v>32835.108796296292</v>
      </c>
      <c r="Y7" s="37">
        <v>0</v>
      </c>
      <c r="Z7" s="37">
        <v>4982.9739583333449</v>
      </c>
      <c r="AA7" s="37">
        <v>0</v>
      </c>
      <c r="AB7" s="37">
        <v>9698.1203703703686</v>
      </c>
      <c r="AC7" s="37">
        <v>0</v>
      </c>
      <c r="AD7" s="37">
        <v>4265.2500000000055</v>
      </c>
      <c r="AE7" s="37">
        <v>0</v>
      </c>
      <c r="AF7" s="37">
        <v>10105.557500000006</v>
      </c>
      <c r="AG7" s="37">
        <v>0</v>
      </c>
      <c r="AH7" s="37">
        <v>17043.120192307681</v>
      </c>
      <c r="AI7" s="37">
        <v>0</v>
      </c>
      <c r="AJ7" s="37">
        <v>7556.1640625000027</v>
      </c>
      <c r="AK7" s="37">
        <v>0</v>
      </c>
      <c r="AL7" s="37">
        <v>4350.2235576923031</v>
      </c>
      <c r="AM7" s="37">
        <v>0</v>
      </c>
      <c r="AN7" s="37">
        <v>7868.4855769230599</v>
      </c>
      <c r="AO7" s="37">
        <v>0</v>
      </c>
      <c r="AP7" s="37">
        <v>4493.8629807692296</v>
      </c>
      <c r="AQ7" s="37">
        <v>0</v>
      </c>
      <c r="AR7" s="37">
        <v>3562.3325</v>
      </c>
      <c r="AS7" s="37">
        <v>0</v>
      </c>
      <c r="AT7" s="37">
        <v>20422.033653846134</v>
      </c>
      <c r="AU7" s="37">
        <v>0</v>
      </c>
      <c r="AV7" s="37">
        <v>29492.348557692319</v>
      </c>
      <c r="AW7" s="37">
        <v>0</v>
      </c>
      <c r="AX7" s="37">
        <v>8646.9399999999987</v>
      </c>
      <c r="AY7" s="37">
        <v>0</v>
      </c>
    </row>
    <row r="8" spans="2:51">
      <c r="B8">
        <v>10029</v>
      </c>
      <c r="C8" t="s">
        <v>12</v>
      </c>
      <c r="D8" s="37">
        <v>0</v>
      </c>
      <c r="E8" s="37">
        <v>0</v>
      </c>
      <c r="F8" s="37">
        <v>0</v>
      </c>
      <c r="G8" s="37">
        <v>0</v>
      </c>
      <c r="H8" s="37">
        <v>0</v>
      </c>
      <c r="I8" s="37">
        <v>0</v>
      </c>
      <c r="J8" s="37">
        <v>0</v>
      </c>
      <c r="K8" s="37">
        <v>0</v>
      </c>
      <c r="L8" s="37">
        <v>0</v>
      </c>
      <c r="M8" s="37">
        <v>0</v>
      </c>
      <c r="N8" s="37">
        <v>0</v>
      </c>
      <c r="O8" s="37">
        <v>0</v>
      </c>
      <c r="P8" s="37">
        <v>0</v>
      </c>
      <c r="Q8" s="37">
        <v>0</v>
      </c>
      <c r="R8" s="37">
        <v>0</v>
      </c>
      <c r="S8" s="37">
        <v>0</v>
      </c>
      <c r="T8" s="37">
        <v>0</v>
      </c>
      <c r="U8" s="37">
        <v>0</v>
      </c>
      <c r="V8" s="37">
        <v>0</v>
      </c>
      <c r="W8" s="37">
        <v>0</v>
      </c>
      <c r="X8" s="37">
        <v>0</v>
      </c>
      <c r="Y8" s="37">
        <v>0</v>
      </c>
      <c r="Z8" s="37">
        <v>0</v>
      </c>
      <c r="AA8" s="37">
        <v>0</v>
      </c>
      <c r="AB8" s="37">
        <v>0</v>
      </c>
      <c r="AC8" s="37">
        <v>0</v>
      </c>
      <c r="AD8" s="37">
        <v>0</v>
      </c>
      <c r="AE8" s="37">
        <v>0</v>
      </c>
      <c r="AF8" s="37">
        <v>0</v>
      </c>
      <c r="AG8" s="37">
        <v>0</v>
      </c>
      <c r="AH8" s="37">
        <v>0</v>
      </c>
      <c r="AI8" s="37">
        <v>0</v>
      </c>
      <c r="AJ8" s="37">
        <v>0</v>
      </c>
      <c r="AK8" s="37">
        <v>0</v>
      </c>
      <c r="AL8" s="37">
        <v>0</v>
      </c>
      <c r="AM8" s="37">
        <v>0</v>
      </c>
      <c r="AN8" s="37">
        <v>0</v>
      </c>
      <c r="AO8" s="37">
        <v>0</v>
      </c>
      <c r="AP8" s="37">
        <v>0</v>
      </c>
      <c r="AQ8" s="37">
        <v>0</v>
      </c>
      <c r="AR8" s="37">
        <v>0</v>
      </c>
      <c r="AS8" s="37">
        <v>0</v>
      </c>
      <c r="AT8" s="37">
        <v>0</v>
      </c>
      <c r="AU8" s="37">
        <v>0</v>
      </c>
      <c r="AV8" s="37">
        <v>0</v>
      </c>
      <c r="AW8" s="37">
        <v>0</v>
      </c>
      <c r="AX8" s="37">
        <v>0</v>
      </c>
      <c r="AY8" s="37">
        <v>0</v>
      </c>
    </row>
    <row r="9" spans="2:51">
      <c r="B9">
        <v>10044</v>
      </c>
      <c r="C9" t="s">
        <v>13</v>
      </c>
      <c r="D9" s="37">
        <v>359.87019230769369</v>
      </c>
      <c r="E9" s="37">
        <v>0</v>
      </c>
      <c r="F9" s="37">
        <v>2314.1300000000033</v>
      </c>
      <c r="G9" s="37">
        <v>0</v>
      </c>
      <c r="H9" s="37">
        <v>1048.0925000000018</v>
      </c>
      <c r="I9" s="37">
        <v>0</v>
      </c>
      <c r="J9" s="37">
        <v>2313.865384615382</v>
      </c>
      <c r="K9" s="37">
        <v>0</v>
      </c>
      <c r="L9" s="37">
        <v>6778.8025000000007</v>
      </c>
      <c r="M9" s="37">
        <v>0</v>
      </c>
      <c r="N9" s="37">
        <v>3340.5817307692319</v>
      </c>
      <c r="O9" s="37">
        <v>0</v>
      </c>
      <c r="P9" s="37">
        <v>1452.9855769230774</v>
      </c>
      <c r="Q9" s="37">
        <v>0</v>
      </c>
      <c r="R9" s="37">
        <v>4696.0937499999955</v>
      </c>
      <c r="S9" s="37">
        <v>0</v>
      </c>
      <c r="T9" s="37">
        <v>6620.4200000000019</v>
      </c>
      <c r="U9" s="37">
        <v>0</v>
      </c>
      <c r="V9" s="37">
        <v>4785.649038461539</v>
      </c>
      <c r="W9" s="37">
        <v>0</v>
      </c>
      <c r="X9" s="37">
        <v>8458.0578703703686</v>
      </c>
      <c r="Y9" s="37">
        <v>0</v>
      </c>
      <c r="Z9" s="37">
        <v>3289.1015624999982</v>
      </c>
      <c r="AA9" s="37">
        <v>0</v>
      </c>
      <c r="AB9" s="37">
        <v>1284.3032407407384</v>
      </c>
      <c r="AC9" s="37">
        <v>0</v>
      </c>
      <c r="AD9" s="37">
        <v>2350.974999999999</v>
      </c>
      <c r="AE9" s="37">
        <v>0</v>
      </c>
      <c r="AF9" s="37">
        <v>1074.345</v>
      </c>
      <c r="AG9" s="37">
        <v>0</v>
      </c>
      <c r="AH9" s="37">
        <v>3352.6538461538485</v>
      </c>
      <c r="AI9" s="37">
        <v>0</v>
      </c>
      <c r="AJ9" s="37">
        <v>5780.0390625000009</v>
      </c>
      <c r="AK9" s="37">
        <v>0</v>
      </c>
      <c r="AL9" s="37">
        <v>2491.8942307692314</v>
      </c>
      <c r="AM9" s="37">
        <v>0</v>
      </c>
      <c r="AN9" s="37">
        <v>1482.6802884615383</v>
      </c>
      <c r="AO9" s="37">
        <v>0</v>
      </c>
      <c r="AP9" s="37">
        <v>4951.8437499999982</v>
      </c>
      <c r="AQ9" s="37">
        <v>0</v>
      </c>
      <c r="AR9" s="37">
        <v>6867.7124999999987</v>
      </c>
      <c r="AS9" s="37">
        <v>0</v>
      </c>
      <c r="AT9" s="37">
        <v>5035.2716346153838</v>
      </c>
      <c r="AU9" s="37">
        <v>0</v>
      </c>
      <c r="AV9" s="37">
        <v>7749.2115384615399</v>
      </c>
      <c r="AW9" s="37">
        <v>0</v>
      </c>
      <c r="AX9" s="37">
        <v>4478.8775000000005</v>
      </c>
      <c r="AY9" s="37">
        <v>0</v>
      </c>
    </row>
    <row r="10" spans="2:51">
      <c r="B10">
        <v>10046</v>
      </c>
      <c r="C10" t="s">
        <v>14</v>
      </c>
      <c r="D10" s="37">
        <v>0</v>
      </c>
      <c r="E10" s="37">
        <v>0</v>
      </c>
      <c r="F10" s="37">
        <v>0</v>
      </c>
      <c r="G10" s="37">
        <v>0</v>
      </c>
      <c r="H10" s="37">
        <v>0</v>
      </c>
      <c r="I10" s="37">
        <v>0</v>
      </c>
      <c r="J10" s="37">
        <v>0</v>
      </c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7">
        <v>0</v>
      </c>
      <c r="V10" s="37">
        <v>0</v>
      </c>
      <c r="W10" s="37">
        <v>0</v>
      </c>
      <c r="X10" s="37">
        <v>0</v>
      </c>
      <c r="Y10" s="37">
        <v>0</v>
      </c>
      <c r="Z10" s="37">
        <v>0</v>
      </c>
      <c r="AA10" s="37">
        <v>0</v>
      </c>
      <c r="AB10" s="37">
        <v>0</v>
      </c>
      <c r="AC10" s="37">
        <v>0</v>
      </c>
      <c r="AD10" s="37">
        <v>0</v>
      </c>
      <c r="AE10" s="37">
        <v>0</v>
      </c>
      <c r="AF10" s="37">
        <v>0</v>
      </c>
      <c r="AG10" s="37">
        <v>0</v>
      </c>
      <c r="AH10" s="37">
        <v>0</v>
      </c>
      <c r="AI10" s="37">
        <v>0</v>
      </c>
      <c r="AJ10" s="37">
        <v>0</v>
      </c>
      <c r="AK10" s="37">
        <v>0</v>
      </c>
      <c r="AL10" s="37">
        <v>0</v>
      </c>
      <c r="AM10" s="37">
        <v>0</v>
      </c>
      <c r="AN10" s="37">
        <v>0</v>
      </c>
      <c r="AO10" s="37">
        <v>0</v>
      </c>
      <c r="AP10" s="37">
        <v>0</v>
      </c>
      <c r="AQ10" s="37">
        <v>0</v>
      </c>
      <c r="AR10" s="37">
        <v>0</v>
      </c>
      <c r="AS10" s="37">
        <v>0</v>
      </c>
      <c r="AT10" s="37">
        <v>0</v>
      </c>
      <c r="AU10" s="37">
        <v>0</v>
      </c>
      <c r="AV10" s="37">
        <v>0</v>
      </c>
      <c r="AW10" s="37">
        <v>0</v>
      </c>
      <c r="AX10" s="37">
        <v>0</v>
      </c>
      <c r="AY10" s="37">
        <v>0</v>
      </c>
    </row>
    <row r="11" spans="2:51">
      <c r="B11">
        <v>10047</v>
      </c>
      <c r="C11" t="s">
        <v>15</v>
      </c>
      <c r="D11" s="37">
        <v>5773.2692307692587</v>
      </c>
      <c r="E11" s="37">
        <v>0</v>
      </c>
      <c r="F11" s="37">
        <v>15671.885000000024</v>
      </c>
      <c r="G11" s="37">
        <v>0</v>
      </c>
      <c r="H11" s="37">
        <v>13091.505000000012</v>
      </c>
      <c r="I11" s="37">
        <v>0</v>
      </c>
      <c r="J11" s="37">
        <v>29919.858173076918</v>
      </c>
      <c r="K11" s="37">
        <v>0</v>
      </c>
      <c r="L11" s="37">
        <v>41684.292499999967</v>
      </c>
      <c r="M11" s="37">
        <v>0</v>
      </c>
      <c r="N11" s="37">
        <v>19762.516826923074</v>
      </c>
      <c r="O11" s="37">
        <v>0</v>
      </c>
      <c r="P11" s="37">
        <v>17337.418269230759</v>
      </c>
      <c r="Q11" s="37">
        <v>0</v>
      </c>
      <c r="R11" s="37">
        <v>11421.610576923076</v>
      </c>
      <c r="S11" s="37">
        <v>0</v>
      </c>
      <c r="T11" s="37">
        <v>1704.317500000009</v>
      </c>
      <c r="U11" s="37">
        <v>0</v>
      </c>
      <c r="V11" s="37">
        <v>9294.9134615384628</v>
      </c>
      <c r="W11" s="37">
        <v>0</v>
      </c>
      <c r="X11" s="37">
        <v>14247.363425925954</v>
      </c>
      <c r="Y11" s="37">
        <v>0</v>
      </c>
      <c r="Z11" s="37">
        <v>74.013020833323395</v>
      </c>
      <c r="AA11" s="37">
        <v>0</v>
      </c>
      <c r="AB11" s="37">
        <v>11577.905092592615</v>
      </c>
      <c r="AC11" s="37">
        <v>0</v>
      </c>
      <c r="AD11" s="37">
        <v>15508.467500000015</v>
      </c>
      <c r="AE11" s="37">
        <v>0</v>
      </c>
      <c r="AF11" s="37">
        <v>12893.96499999998</v>
      </c>
      <c r="AG11" s="37">
        <v>0</v>
      </c>
      <c r="AH11" s="37">
        <v>36816.56971153849</v>
      </c>
      <c r="AI11" s="37">
        <v>0</v>
      </c>
      <c r="AJ11" s="37">
        <v>34483.356770833328</v>
      </c>
      <c r="AK11" s="37">
        <v>0</v>
      </c>
      <c r="AL11" s="37">
        <v>13004.591346153858</v>
      </c>
      <c r="AM11" s="37">
        <v>0</v>
      </c>
      <c r="AN11" s="37">
        <v>17179.495192307706</v>
      </c>
      <c r="AO11" s="37">
        <v>0</v>
      </c>
      <c r="AP11" s="37">
        <v>11283.247596153831</v>
      </c>
      <c r="AQ11" s="37">
        <v>0</v>
      </c>
      <c r="AR11" s="37">
        <v>1564.550000000004</v>
      </c>
      <c r="AS11" s="37">
        <v>0</v>
      </c>
      <c r="AT11" s="37">
        <v>9158.7307692307932</v>
      </c>
      <c r="AU11" s="37">
        <v>0</v>
      </c>
      <c r="AV11" s="37">
        <v>8955.6802884615372</v>
      </c>
      <c r="AW11" s="37">
        <v>0</v>
      </c>
      <c r="AX11" s="37">
        <v>5771.5475000000006</v>
      </c>
      <c r="AY11" s="37">
        <v>0</v>
      </c>
    </row>
    <row r="12" spans="2:51">
      <c r="B12">
        <v>10055</v>
      </c>
      <c r="C12" t="s">
        <v>16</v>
      </c>
      <c r="D12" s="37">
        <v>217.22115384615381</v>
      </c>
      <c r="E12" s="37">
        <v>0</v>
      </c>
      <c r="F12" s="37">
        <v>157.32750000000001</v>
      </c>
      <c r="G12" s="37">
        <v>0</v>
      </c>
      <c r="H12" s="37">
        <v>348.7</v>
      </c>
      <c r="I12" s="37">
        <v>0</v>
      </c>
      <c r="J12" s="37">
        <v>373.08653846153857</v>
      </c>
      <c r="K12" s="37">
        <v>0</v>
      </c>
      <c r="L12" s="37">
        <v>244.45749999999995</v>
      </c>
      <c r="M12" s="37">
        <v>0</v>
      </c>
      <c r="N12" s="37">
        <v>221.23076923076928</v>
      </c>
      <c r="O12" s="37">
        <v>0</v>
      </c>
      <c r="P12" s="37">
        <v>77.170673076923052</v>
      </c>
      <c r="Q12" s="37">
        <v>0</v>
      </c>
      <c r="R12" s="37">
        <v>154.48317307692307</v>
      </c>
      <c r="S12" s="37">
        <v>0</v>
      </c>
      <c r="T12" s="37">
        <v>128.73249999999999</v>
      </c>
      <c r="U12" s="37">
        <v>0</v>
      </c>
      <c r="V12" s="37">
        <v>164.50240384615384</v>
      </c>
      <c r="W12" s="37">
        <v>0</v>
      </c>
      <c r="X12" s="37">
        <v>190.89814814814815</v>
      </c>
      <c r="Y12" s="37">
        <v>0</v>
      </c>
      <c r="Z12" s="37">
        <v>78.132812499999986</v>
      </c>
      <c r="AA12" s="37">
        <v>0</v>
      </c>
      <c r="AB12" s="37">
        <v>239.24999999999997</v>
      </c>
      <c r="AC12" s="37">
        <v>0</v>
      </c>
      <c r="AD12" s="37">
        <v>162.56250000000006</v>
      </c>
      <c r="AE12" s="37">
        <v>0</v>
      </c>
      <c r="AF12" s="37">
        <v>353.69749999999988</v>
      </c>
      <c r="AG12" s="37">
        <v>0</v>
      </c>
      <c r="AH12" s="37">
        <v>404.04326923076934</v>
      </c>
      <c r="AI12" s="37">
        <v>0</v>
      </c>
      <c r="AJ12" s="37">
        <v>226.15885416666657</v>
      </c>
      <c r="AK12" s="37">
        <v>0</v>
      </c>
      <c r="AL12" s="37">
        <v>206.76923076923086</v>
      </c>
      <c r="AM12" s="37">
        <v>0</v>
      </c>
      <c r="AN12" s="37">
        <v>82.264423076923052</v>
      </c>
      <c r="AO12" s="37">
        <v>0</v>
      </c>
      <c r="AP12" s="37">
        <v>159.61298076923075</v>
      </c>
      <c r="AQ12" s="37">
        <v>0</v>
      </c>
      <c r="AR12" s="37">
        <v>133.51749999999998</v>
      </c>
      <c r="AS12" s="37">
        <v>0</v>
      </c>
      <c r="AT12" s="37">
        <v>169.31250000000003</v>
      </c>
      <c r="AU12" s="37">
        <v>0</v>
      </c>
      <c r="AV12" s="37">
        <v>180.62259615384613</v>
      </c>
      <c r="AW12" s="37">
        <v>0</v>
      </c>
      <c r="AX12" s="37">
        <v>98.91</v>
      </c>
      <c r="AY12" s="37">
        <v>0</v>
      </c>
    </row>
    <row r="13" spans="2:51">
      <c r="B13">
        <v>10057</v>
      </c>
      <c r="C13" t="s">
        <v>17</v>
      </c>
      <c r="D13" s="37">
        <v>1002.564903846153</v>
      </c>
      <c r="E13" s="37">
        <v>0</v>
      </c>
      <c r="F13" s="37">
        <v>3199.3800000000024</v>
      </c>
      <c r="G13" s="37">
        <v>0</v>
      </c>
      <c r="H13" s="37">
        <v>0</v>
      </c>
      <c r="I13" s="37">
        <v>0</v>
      </c>
      <c r="J13" s="37">
        <v>2341.7716346153884</v>
      </c>
      <c r="K13" s="37">
        <v>0</v>
      </c>
      <c r="L13" s="37">
        <v>6185.1174999999967</v>
      </c>
      <c r="M13" s="37">
        <v>0</v>
      </c>
      <c r="N13" s="37">
        <v>4203.7451923076924</v>
      </c>
      <c r="O13" s="37">
        <v>0</v>
      </c>
      <c r="P13" s="37">
        <v>2794.826923076922</v>
      </c>
      <c r="Q13" s="37">
        <v>0</v>
      </c>
      <c r="R13" s="37">
        <v>4656.6394230769238</v>
      </c>
      <c r="S13" s="37">
        <v>0</v>
      </c>
      <c r="T13" s="37">
        <v>8376.6650000000009</v>
      </c>
      <c r="U13" s="37">
        <v>0</v>
      </c>
      <c r="V13" s="37">
        <v>4954.1754807692296</v>
      </c>
      <c r="W13" s="37">
        <v>0</v>
      </c>
      <c r="X13" s="37">
        <v>7585.0509259259215</v>
      </c>
      <c r="Y13" s="37">
        <v>0</v>
      </c>
      <c r="Z13" s="37">
        <v>7022.1041666666652</v>
      </c>
      <c r="AA13" s="37">
        <v>0</v>
      </c>
      <c r="AB13" s="37">
        <v>1731.8773148148132</v>
      </c>
      <c r="AC13" s="37">
        <v>0</v>
      </c>
      <c r="AD13" s="37">
        <v>3199.3800000000024</v>
      </c>
      <c r="AE13" s="37">
        <v>0</v>
      </c>
      <c r="AF13" s="37">
        <v>0</v>
      </c>
      <c r="AG13" s="37">
        <v>0</v>
      </c>
      <c r="AH13" s="37">
        <v>3368.88701923077</v>
      </c>
      <c r="AI13" s="37">
        <v>0</v>
      </c>
      <c r="AJ13" s="37">
        <v>5249.5807291666633</v>
      </c>
      <c r="AK13" s="37">
        <v>0</v>
      </c>
      <c r="AL13" s="37">
        <v>3358.6177884615358</v>
      </c>
      <c r="AM13" s="37">
        <v>0</v>
      </c>
      <c r="AN13" s="37">
        <v>2794.826923076922</v>
      </c>
      <c r="AO13" s="37">
        <v>0</v>
      </c>
      <c r="AP13" s="37">
        <v>4656.6394230769238</v>
      </c>
      <c r="AQ13" s="37">
        <v>0</v>
      </c>
      <c r="AR13" s="37">
        <v>8376.6650000000009</v>
      </c>
      <c r="AS13" s="37">
        <v>0</v>
      </c>
      <c r="AT13" s="37">
        <v>4954.1754807692296</v>
      </c>
      <c r="AU13" s="37">
        <v>0</v>
      </c>
      <c r="AV13" s="37">
        <v>6759.9759615384564</v>
      </c>
      <c r="AW13" s="37">
        <v>0</v>
      </c>
      <c r="AX13" s="37">
        <v>7803.5799999999963</v>
      </c>
      <c r="AY13" s="37">
        <v>0</v>
      </c>
    </row>
    <row r="14" spans="2:51">
      <c r="B14">
        <v>10059</v>
      </c>
      <c r="C14" t="s">
        <v>18</v>
      </c>
      <c r="D14" s="37">
        <v>316.73076923077036</v>
      </c>
      <c r="E14" s="37">
        <v>0</v>
      </c>
      <c r="F14" s="37">
        <v>872.56749999999886</v>
      </c>
      <c r="G14" s="37">
        <v>0</v>
      </c>
      <c r="H14" s="37">
        <v>616.90750000000037</v>
      </c>
      <c r="I14" s="37">
        <v>0</v>
      </c>
      <c r="J14" s="37">
        <v>2003.8581730769201</v>
      </c>
      <c r="K14" s="37">
        <v>0</v>
      </c>
      <c r="L14" s="37">
        <v>949.20000000000027</v>
      </c>
      <c r="M14" s="37">
        <v>0</v>
      </c>
      <c r="N14" s="37">
        <v>1521.5913461538478</v>
      </c>
      <c r="O14" s="37">
        <v>0</v>
      </c>
      <c r="P14" s="37">
        <v>1190.7307692307686</v>
      </c>
      <c r="Q14" s="37">
        <v>0</v>
      </c>
      <c r="R14" s="37">
        <v>698.34375000000068</v>
      </c>
      <c r="S14" s="37">
        <v>0</v>
      </c>
      <c r="T14" s="37">
        <v>373.99000000000007</v>
      </c>
      <c r="U14" s="37">
        <v>0</v>
      </c>
      <c r="V14" s="37">
        <v>430.4471153846149</v>
      </c>
      <c r="W14" s="37">
        <v>0</v>
      </c>
      <c r="X14" s="37">
        <v>553.16898148148175</v>
      </c>
      <c r="Y14" s="37">
        <v>0</v>
      </c>
      <c r="Z14" s="37">
        <v>0</v>
      </c>
      <c r="AA14" s="37">
        <v>0</v>
      </c>
      <c r="AB14" s="37">
        <v>615.66666666666686</v>
      </c>
      <c r="AC14" s="37">
        <v>0</v>
      </c>
      <c r="AD14" s="37">
        <v>872.56749999999886</v>
      </c>
      <c r="AE14" s="37">
        <v>0</v>
      </c>
      <c r="AF14" s="37">
        <v>616.90750000000037</v>
      </c>
      <c r="AG14" s="37">
        <v>0</v>
      </c>
      <c r="AH14" s="37">
        <v>2487.4807692307668</v>
      </c>
      <c r="AI14" s="37">
        <v>0</v>
      </c>
      <c r="AJ14" s="37">
        <v>519.95833333333246</v>
      </c>
      <c r="AK14" s="37">
        <v>0</v>
      </c>
      <c r="AL14" s="37">
        <v>1136.8557692307704</v>
      </c>
      <c r="AM14" s="37">
        <v>0</v>
      </c>
      <c r="AN14" s="37">
        <v>1190.7307692307686</v>
      </c>
      <c r="AO14" s="37">
        <v>0</v>
      </c>
      <c r="AP14" s="37">
        <v>698.34375000000068</v>
      </c>
      <c r="AQ14" s="37">
        <v>0</v>
      </c>
      <c r="AR14" s="37">
        <v>373.99000000000007</v>
      </c>
      <c r="AS14" s="37">
        <v>0</v>
      </c>
      <c r="AT14" s="37">
        <v>430.4471153846149</v>
      </c>
      <c r="AU14" s="37">
        <v>0</v>
      </c>
      <c r="AV14" s="37">
        <v>308.75240384615444</v>
      </c>
      <c r="AW14" s="37">
        <v>0</v>
      </c>
      <c r="AX14" s="37">
        <v>203.69250000000028</v>
      </c>
      <c r="AY14" s="37">
        <v>0</v>
      </c>
    </row>
    <row r="15" spans="2:51">
      <c r="B15">
        <v>10061</v>
      </c>
      <c r="C15" t="s">
        <v>19</v>
      </c>
      <c r="D15" s="37">
        <v>470.44230769230654</v>
      </c>
      <c r="E15" s="37">
        <v>0</v>
      </c>
      <c r="F15" s="37">
        <v>1893.2199999999987</v>
      </c>
      <c r="G15" s="37">
        <v>0</v>
      </c>
      <c r="H15" s="37">
        <v>1311.2699999999995</v>
      </c>
      <c r="I15" s="37">
        <v>0</v>
      </c>
      <c r="J15" s="37">
        <v>1977.4399038461538</v>
      </c>
      <c r="K15" s="37">
        <v>0</v>
      </c>
      <c r="L15" s="37">
        <v>2013.8074999999994</v>
      </c>
      <c r="M15" s="37">
        <v>0</v>
      </c>
      <c r="N15" s="37">
        <v>1645.9206730769238</v>
      </c>
      <c r="O15" s="37">
        <v>0</v>
      </c>
      <c r="P15" s="37">
        <v>1315.4447115384614</v>
      </c>
      <c r="Q15" s="37">
        <v>0</v>
      </c>
      <c r="R15" s="37">
        <v>1700.1394230769229</v>
      </c>
      <c r="S15" s="37">
        <v>0</v>
      </c>
      <c r="T15" s="37">
        <v>919.38749999999891</v>
      </c>
      <c r="U15" s="37">
        <v>0</v>
      </c>
      <c r="V15" s="37">
        <v>1831.3341346153848</v>
      </c>
      <c r="W15" s="37">
        <v>0</v>
      </c>
      <c r="X15" s="37">
        <v>1854.5509259259256</v>
      </c>
      <c r="Y15" s="37">
        <v>0</v>
      </c>
      <c r="Z15" s="37">
        <v>777.60156249999852</v>
      </c>
      <c r="AA15" s="37">
        <v>0</v>
      </c>
      <c r="AB15" s="37">
        <v>1063.787037037037</v>
      </c>
      <c r="AC15" s="37">
        <v>0</v>
      </c>
      <c r="AD15" s="37">
        <v>2029.3375000000015</v>
      </c>
      <c r="AE15" s="37">
        <v>0</v>
      </c>
      <c r="AF15" s="37">
        <v>1501.4275000000009</v>
      </c>
      <c r="AG15" s="37">
        <v>0</v>
      </c>
      <c r="AH15" s="37">
        <v>2690.3124999999991</v>
      </c>
      <c r="AI15" s="37">
        <v>0</v>
      </c>
      <c r="AJ15" s="37">
        <v>1609.3437499999984</v>
      </c>
      <c r="AK15" s="37">
        <v>0</v>
      </c>
      <c r="AL15" s="37">
        <v>1314.5456730769224</v>
      </c>
      <c r="AM15" s="37">
        <v>0</v>
      </c>
      <c r="AN15" s="37">
        <v>1455.9759615384619</v>
      </c>
      <c r="AO15" s="37">
        <v>0</v>
      </c>
      <c r="AP15" s="37">
        <v>1864.6418269230765</v>
      </c>
      <c r="AQ15" s="37">
        <v>0</v>
      </c>
      <c r="AR15" s="37">
        <v>1065.5974999999989</v>
      </c>
      <c r="AS15" s="37">
        <v>0</v>
      </c>
      <c r="AT15" s="37">
        <v>2047.0745192307697</v>
      </c>
      <c r="AU15" s="37">
        <v>0</v>
      </c>
      <c r="AV15" s="37">
        <v>1530.8870192307695</v>
      </c>
      <c r="AW15" s="37">
        <v>0</v>
      </c>
      <c r="AX15" s="37">
        <v>1362.0475000000004</v>
      </c>
      <c r="AY15" s="37">
        <v>0</v>
      </c>
    </row>
    <row r="16" spans="2:51">
      <c r="B16">
        <v>10062</v>
      </c>
      <c r="C16" t="s">
        <v>20</v>
      </c>
      <c r="D16" s="37">
        <v>64.932692307692278</v>
      </c>
      <c r="E16" s="37">
        <v>0</v>
      </c>
      <c r="F16" s="37">
        <v>1019.4650000000005</v>
      </c>
      <c r="G16" s="37">
        <v>0</v>
      </c>
      <c r="H16" s="37">
        <v>2532.9550000000013</v>
      </c>
      <c r="I16" s="37">
        <v>0</v>
      </c>
      <c r="J16" s="37">
        <v>1764.7572115384614</v>
      </c>
      <c r="K16" s="37">
        <v>0</v>
      </c>
      <c r="L16" s="37">
        <v>3046.3125</v>
      </c>
      <c r="M16" s="37">
        <v>0</v>
      </c>
      <c r="N16" s="37">
        <v>1183.9302884615381</v>
      </c>
      <c r="O16" s="37">
        <v>0</v>
      </c>
      <c r="P16" s="37">
        <v>1205.11298076923</v>
      </c>
      <c r="Q16" s="37">
        <v>0</v>
      </c>
      <c r="R16" s="37">
        <v>0</v>
      </c>
      <c r="S16" s="37">
        <v>0</v>
      </c>
      <c r="T16" s="37">
        <v>52.982499999999931</v>
      </c>
      <c r="U16" s="37">
        <v>0</v>
      </c>
      <c r="V16" s="37">
        <v>757.61057692307611</v>
      </c>
      <c r="W16" s="37">
        <v>0</v>
      </c>
      <c r="X16" s="37">
        <v>735.50231481481524</v>
      </c>
      <c r="Y16" s="37">
        <v>0</v>
      </c>
      <c r="Z16" s="37">
        <v>0</v>
      </c>
      <c r="AA16" s="37">
        <v>0</v>
      </c>
      <c r="AB16" s="37">
        <v>454.00231481481643</v>
      </c>
      <c r="AC16" s="37">
        <v>0</v>
      </c>
      <c r="AD16" s="37">
        <v>1038.105</v>
      </c>
      <c r="AE16" s="37">
        <v>0</v>
      </c>
      <c r="AF16" s="37">
        <v>2548.4899999999975</v>
      </c>
      <c r="AG16" s="37">
        <v>0</v>
      </c>
      <c r="AH16" s="37">
        <v>1785.76923076923</v>
      </c>
      <c r="AI16" s="37">
        <v>0</v>
      </c>
      <c r="AJ16" s="37">
        <v>2600.5338541666674</v>
      </c>
      <c r="AK16" s="37">
        <v>0</v>
      </c>
      <c r="AL16" s="37">
        <v>1201.1105769230769</v>
      </c>
      <c r="AM16" s="37">
        <v>0</v>
      </c>
      <c r="AN16" s="37">
        <v>1224.5889423076931</v>
      </c>
      <c r="AO16" s="37">
        <v>0</v>
      </c>
      <c r="AP16" s="37">
        <v>0</v>
      </c>
      <c r="AQ16" s="37">
        <v>0</v>
      </c>
      <c r="AR16" s="37">
        <v>62.55749999999982</v>
      </c>
      <c r="AS16" s="37">
        <v>0</v>
      </c>
      <c r="AT16" s="37">
        <v>771.65865384615449</v>
      </c>
      <c r="AU16" s="37">
        <v>0</v>
      </c>
      <c r="AV16" s="37">
        <v>384.99519230769039</v>
      </c>
      <c r="AW16" s="37">
        <v>0</v>
      </c>
      <c r="AX16" s="37">
        <v>0</v>
      </c>
      <c r="AY16" s="37">
        <v>0</v>
      </c>
    </row>
    <row r="17" spans="2:51">
      <c r="B17">
        <v>10064</v>
      </c>
      <c r="C17" t="s">
        <v>21</v>
      </c>
      <c r="D17" s="37">
        <v>2186.8701923076942</v>
      </c>
      <c r="E17" s="37">
        <v>0</v>
      </c>
      <c r="F17" s="37">
        <v>1325.2850000000014</v>
      </c>
      <c r="G17" s="37">
        <v>0</v>
      </c>
      <c r="H17" s="37">
        <v>1448.4999999999989</v>
      </c>
      <c r="I17" s="37">
        <v>0</v>
      </c>
      <c r="J17" s="37">
        <v>2976.0096153846166</v>
      </c>
      <c r="K17" s="37">
        <v>0</v>
      </c>
      <c r="L17" s="37">
        <v>2342.5600000000018</v>
      </c>
      <c r="M17" s="37">
        <v>0</v>
      </c>
      <c r="N17" s="37">
        <v>2359.0480769230785</v>
      </c>
      <c r="O17" s="37">
        <v>0</v>
      </c>
      <c r="P17" s="37">
        <v>1542.8605769230769</v>
      </c>
      <c r="Q17" s="37">
        <v>0</v>
      </c>
      <c r="R17" s="37">
        <v>1026.4134615384623</v>
      </c>
      <c r="S17" s="37">
        <v>0</v>
      </c>
      <c r="T17" s="37">
        <v>2632.9400000000019</v>
      </c>
      <c r="U17" s="37">
        <v>0</v>
      </c>
      <c r="V17" s="37">
        <v>3531.6442307692341</v>
      </c>
      <c r="W17" s="37">
        <v>0</v>
      </c>
      <c r="X17" s="37">
        <v>3601.1365740740712</v>
      </c>
      <c r="Y17" s="37">
        <v>0</v>
      </c>
      <c r="Z17" s="37">
        <v>477.80989583333167</v>
      </c>
      <c r="AA17" s="37">
        <v>0</v>
      </c>
      <c r="AB17" s="37">
        <v>2974.7962962963006</v>
      </c>
      <c r="AC17" s="37">
        <v>0</v>
      </c>
      <c r="AD17" s="37">
        <v>1359.8050000000019</v>
      </c>
      <c r="AE17" s="37">
        <v>0</v>
      </c>
      <c r="AF17" s="37">
        <v>1484.8749999999984</v>
      </c>
      <c r="AG17" s="37">
        <v>0</v>
      </c>
      <c r="AH17" s="37">
        <v>3743.3389423076919</v>
      </c>
      <c r="AI17" s="37">
        <v>0</v>
      </c>
      <c r="AJ17" s="37">
        <v>1455.510416666669</v>
      </c>
      <c r="AK17" s="37">
        <v>0</v>
      </c>
      <c r="AL17" s="37">
        <v>1796.6634615384592</v>
      </c>
      <c r="AM17" s="37">
        <v>0</v>
      </c>
      <c r="AN17" s="37">
        <v>1574.4399038461565</v>
      </c>
      <c r="AO17" s="37">
        <v>0</v>
      </c>
      <c r="AP17" s="37">
        <v>1054.733173076924</v>
      </c>
      <c r="AQ17" s="37">
        <v>0</v>
      </c>
      <c r="AR17" s="37">
        <v>2668.0025000000005</v>
      </c>
      <c r="AS17" s="37">
        <v>0</v>
      </c>
      <c r="AT17" s="37">
        <v>3569.9567307692305</v>
      </c>
      <c r="AU17" s="37">
        <v>0</v>
      </c>
      <c r="AV17" s="37">
        <v>2831.7548076923053</v>
      </c>
      <c r="AW17" s="37">
        <v>0</v>
      </c>
      <c r="AX17" s="37">
        <v>1308.6000000000056</v>
      </c>
      <c r="AY17" s="37">
        <v>0</v>
      </c>
    </row>
    <row r="18" spans="2:51">
      <c r="B18">
        <v>10065</v>
      </c>
      <c r="C18" t="s">
        <v>22</v>
      </c>
      <c r="D18" s="37">
        <v>456.66826923076934</v>
      </c>
      <c r="E18" s="37">
        <v>0</v>
      </c>
      <c r="F18" s="37">
        <v>595.59249999999918</v>
      </c>
      <c r="G18" s="37">
        <v>0</v>
      </c>
      <c r="H18" s="37">
        <v>924.81499999999949</v>
      </c>
      <c r="I18" s="37">
        <v>0</v>
      </c>
      <c r="J18" s="37">
        <v>830.76442307692332</v>
      </c>
      <c r="K18" s="37">
        <v>0</v>
      </c>
      <c r="L18" s="37">
        <v>1654.2025000000012</v>
      </c>
      <c r="M18" s="37">
        <v>0</v>
      </c>
      <c r="N18" s="37">
        <v>324.97355769230745</v>
      </c>
      <c r="O18" s="37">
        <v>0</v>
      </c>
      <c r="P18" s="37">
        <v>1037.9278846153838</v>
      </c>
      <c r="Q18" s="37">
        <v>0</v>
      </c>
      <c r="R18" s="37">
        <v>683.82692307692355</v>
      </c>
      <c r="S18" s="37">
        <v>0</v>
      </c>
      <c r="T18" s="37">
        <v>492.3899999999993</v>
      </c>
      <c r="U18" s="37">
        <v>0</v>
      </c>
      <c r="V18" s="37">
        <v>372.50240384615324</v>
      </c>
      <c r="W18" s="37">
        <v>0</v>
      </c>
      <c r="X18" s="37">
        <v>893.39583333333383</v>
      </c>
      <c r="Y18" s="37">
        <v>0</v>
      </c>
      <c r="Z18" s="37">
        <v>390.02343749999955</v>
      </c>
      <c r="AA18" s="37">
        <v>0</v>
      </c>
      <c r="AB18" s="37">
        <v>713.42592592592564</v>
      </c>
      <c r="AC18" s="37">
        <v>0</v>
      </c>
      <c r="AD18" s="37">
        <v>679.01500000000021</v>
      </c>
      <c r="AE18" s="37">
        <v>0</v>
      </c>
      <c r="AF18" s="37">
        <v>994.52249999999935</v>
      </c>
      <c r="AG18" s="37">
        <v>0</v>
      </c>
      <c r="AH18" s="37">
        <v>1139.7067307692314</v>
      </c>
      <c r="AI18" s="37">
        <v>0</v>
      </c>
      <c r="AJ18" s="37">
        <v>1459.7421875000007</v>
      </c>
      <c r="AK18" s="37">
        <v>0</v>
      </c>
      <c r="AL18" s="37">
        <v>150.95913461538407</v>
      </c>
      <c r="AM18" s="37">
        <v>0</v>
      </c>
      <c r="AN18" s="37">
        <v>1155.1706730769235</v>
      </c>
      <c r="AO18" s="37">
        <v>0</v>
      </c>
      <c r="AP18" s="37">
        <v>804.68750000000034</v>
      </c>
      <c r="AQ18" s="37">
        <v>0</v>
      </c>
      <c r="AR18" s="37">
        <v>481.06750000000073</v>
      </c>
      <c r="AS18" s="37">
        <v>0</v>
      </c>
      <c r="AT18" s="37">
        <v>361.39903846153879</v>
      </c>
      <c r="AU18" s="37">
        <v>0</v>
      </c>
      <c r="AV18" s="37">
        <v>717.1586538461554</v>
      </c>
      <c r="AW18" s="37">
        <v>0</v>
      </c>
      <c r="AX18" s="37">
        <v>576.63749999999993</v>
      </c>
      <c r="AY18" s="37">
        <v>0</v>
      </c>
    </row>
    <row r="19" spans="2:51">
      <c r="B19">
        <v>10066</v>
      </c>
      <c r="C19" t="s">
        <v>23</v>
      </c>
      <c r="D19" s="37">
        <v>0</v>
      </c>
      <c r="E19" s="37">
        <v>0</v>
      </c>
      <c r="F19" s="37">
        <v>0</v>
      </c>
      <c r="G19" s="37">
        <v>0</v>
      </c>
      <c r="H19" s="37">
        <v>2669.1775000000043</v>
      </c>
      <c r="I19" s="37">
        <v>0</v>
      </c>
      <c r="J19" s="37">
        <v>0</v>
      </c>
      <c r="K19" s="37">
        <v>0</v>
      </c>
      <c r="L19" s="37">
        <v>6156.9075000000012</v>
      </c>
      <c r="M19" s="37">
        <v>0</v>
      </c>
      <c r="N19" s="37">
        <v>1809.6658653846146</v>
      </c>
      <c r="O19" s="37">
        <v>0</v>
      </c>
      <c r="P19" s="37">
        <v>1496.1971153846143</v>
      </c>
      <c r="Q19" s="37">
        <v>0</v>
      </c>
      <c r="R19" s="37">
        <v>2933.9783653846139</v>
      </c>
      <c r="S19" s="37">
        <v>0</v>
      </c>
      <c r="T19" s="37">
        <v>4711.3924999999963</v>
      </c>
      <c r="U19" s="37">
        <v>0</v>
      </c>
      <c r="V19" s="37">
        <v>2170.1899038461552</v>
      </c>
      <c r="W19" s="37">
        <v>0</v>
      </c>
      <c r="X19" s="37">
        <v>10306.03935185185</v>
      </c>
      <c r="Y19" s="37">
        <v>0</v>
      </c>
      <c r="Z19" s="37">
        <v>0</v>
      </c>
      <c r="AA19" s="37">
        <v>0</v>
      </c>
      <c r="AB19" s="37">
        <v>0</v>
      </c>
      <c r="AC19" s="37">
        <v>0</v>
      </c>
      <c r="AD19" s="37">
        <v>0</v>
      </c>
      <c r="AE19" s="37">
        <v>0</v>
      </c>
      <c r="AF19" s="37">
        <v>2556.8125000000005</v>
      </c>
      <c r="AG19" s="37">
        <v>0</v>
      </c>
      <c r="AH19" s="37">
        <v>0</v>
      </c>
      <c r="AI19" s="37">
        <v>0</v>
      </c>
      <c r="AJ19" s="37">
        <v>4259.2031249999973</v>
      </c>
      <c r="AK19" s="37">
        <v>0</v>
      </c>
      <c r="AL19" s="37">
        <v>136.45673076922373</v>
      </c>
      <c r="AM19" s="37">
        <v>0</v>
      </c>
      <c r="AN19" s="37">
        <v>1413.8822115384678</v>
      </c>
      <c r="AO19" s="37">
        <v>0</v>
      </c>
      <c r="AP19" s="37">
        <v>2869.3173076923049</v>
      </c>
      <c r="AQ19" s="37">
        <v>0</v>
      </c>
      <c r="AR19" s="37">
        <v>5033.3999999999978</v>
      </c>
      <c r="AS19" s="37">
        <v>0</v>
      </c>
      <c r="AT19" s="37">
        <v>2506.4543269230812</v>
      </c>
      <c r="AU19" s="37">
        <v>0</v>
      </c>
      <c r="AV19" s="37">
        <v>9527.3365384615408</v>
      </c>
      <c r="AW19" s="37">
        <v>0</v>
      </c>
      <c r="AX19" s="37">
        <v>678.81000000000301</v>
      </c>
      <c r="AY19" s="37">
        <v>0</v>
      </c>
    </row>
    <row r="20" spans="2:51">
      <c r="B20">
        <v>10067</v>
      </c>
      <c r="C20" t="s">
        <v>24</v>
      </c>
      <c r="D20" s="37">
        <v>4481.7283653846171</v>
      </c>
      <c r="E20" s="37">
        <v>0</v>
      </c>
      <c r="F20" s="37">
        <v>7140.130000000001</v>
      </c>
      <c r="G20" s="37">
        <v>0</v>
      </c>
      <c r="H20" s="37">
        <v>4346.0600000000013</v>
      </c>
      <c r="I20" s="37">
        <v>0</v>
      </c>
      <c r="J20" s="37">
        <v>7551.9302884615381</v>
      </c>
      <c r="K20" s="37">
        <v>0</v>
      </c>
      <c r="L20" s="37">
        <v>5321.06</v>
      </c>
      <c r="M20" s="37">
        <v>0</v>
      </c>
      <c r="N20" s="37">
        <v>6168.3004807692287</v>
      </c>
      <c r="O20" s="37">
        <v>0</v>
      </c>
      <c r="P20" s="37">
        <v>6866.326923076921</v>
      </c>
      <c r="Q20" s="37">
        <v>0</v>
      </c>
      <c r="R20" s="37">
        <v>6543.7187499999982</v>
      </c>
      <c r="S20" s="37">
        <v>0</v>
      </c>
      <c r="T20" s="37">
        <v>4582.0975000000008</v>
      </c>
      <c r="U20" s="37">
        <v>0</v>
      </c>
      <c r="V20" s="37">
        <v>6750.3846153846134</v>
      </c>
      <c r="W20" s="37">
        <v>0</v>
      </c>
      <c r="X20" s="37">
        <v>6574.6944444444425</v>
      </c>
      <c r="Y20" s="37">
        <v>0</v>
      </c>
      <c r="Z20" s="37">
        <v>6311.7135416666688</v>
      </c>
      <c r="AA20" s="37">
        <v>0</v>
      </c>
      <c r="AB20" s="37">
        <v>5284.9236111111131</v>
      </c>
      <c r="AC20" s="37">
        <v>0</v>
      </c>
      <c r="AD20" s="37">
        <v>7360.5649999999996</v>
      </c>
      <c r="AE20" s="37">
        <v>0</v>
      </c>
      <c r="AF20" s="37">
        <v>4571.2800000000016</v>
      </c>
      <c r="AG20" s="37">
        <v>0</v>
      </c>
      <c r="AH20" s="37">
        <v>8692.5817307692305</v>
      </c>
      <c r="AI20" s="37">
        <v>0</v>
      </c>
      <c r="AJ20" s="37">
        <v>5735.3984375</v>
      </c>
      <c r="AK20" s="37">
        <v>0</v>
      </c>
      <c r="AL20" s="37">
        <v>5649.8990384615363</v>
      </c>
      <c r="AM20" s="37">
        <v>0</v>
      </c>
      <c r="AN20" s="37">
        <v>7045.5961538461534</v>
      </c>
      <c r="AO20" s="37">
        <v>0</v>
      </c>
      <c r="AP20" s="37">
        <v>6695.9230769230762</v>
      </c>
      <c r="AQ20" s="37">
        <v>0</v>
      </c>
      <c r="AR20" s="37">
        <v>4724.0200000000004</v>
      </c>
      <c r="AS20" s="37">
        <v>0</v>
      </c>
      <c r="AT20" s="37">
        <v>6923.1706730769229</v>
      </c>
      <c r="AU20" s="37">
        <v>0</v>
      </c>
      <c r="AV20" s="37">
        <v>6122.2956730769229</v>
      </c>
      <c r="AW20" s="37">
        <v>0</v>
      </c>
      <c r="AX20" s="37">
        <v>7106.9050000000007</v>
      </c>
      <c r="AY20" s="37">
        <v>0</v>
      </c>
    </row>
    <row r="21" spans="2:51">
      <c r="B21">
        <v>10068</v>
      </c>
      <c r="C21" t="s">
        <v>25</v>
      </c>
      <c r="D21" s="37">
        <v>0</v>
      </c>
      <c r="E21" s="37">
        <v>0</v>
      </c>
      <c r="F21" s="37">
        <v>507.83999999999986</v>
      </c>
      <c r="G21" s="37">
        <v>0</v>
      </c>
      <c r="H21" s="37">
        <v>546.49250000000018</v>
      </c>
      <c r="I21" s="37">
        <v>0</v>
      </c>
      <c r="J21" s="37">
        <v>880.43269230769261</v>
      </c>
      <c r="K21" s="37">
        <v>0</v>
      </c>
      <c r="L21" s="37">
        <v>659.59499999999991</v>
      </c>
      <c r="M21" s="37">
        <v>0</v>
      </c>
      <c r="N21" s="37">
        <v>538.82211538461513</v>
      </c>
      <c r="O21" s="37">
        <v>0</v>
      </c>
      <c r="P21" s="37">
        <v>736.29326923076951</v>
      </c>
      <c r="Q21" s="37">
        <v>0</v>
      </c>
      <c r="R21" s="37">
        <v>574.53846153846166</v>
      </c>
      <c r="S21" s="37">
        <v>0</v>
      </c>
      <c r="T21" s="37">
        <v>437.98500000000018</v>
      </c>
      <c r="U21" s="37">
        <v>0</v>
      </c>
      <c r="V21" s="37">
        <v>1096.8269230769229</v>
      </c>
      <c r="W21" s="37">
        <v>0</v>
      </c>
      <c r="X21" s="37">
        <v>985.36805555555577</v>
      </c>
      <c r="Y21" s="37">
        <v>0</v>
      </c>
      <c r="Z21" s="37">
        <v>509.95572916666674</v>
      </c>
      <c r="AA21" s="37">
        <v>0</v>
      </c>
      <c r="AB21" s="37">
        <v>0</v>
      </c>
      <c r="AC21" s="37">
        <v>0</v>
      </c>
      <c r="AD21" s="37">
        <v>507.83999999999986</v>
      </c>
      <c r="AE21" s="37">
        <v>0</v>
      </c>
      <c r="AF21" s="37">
        <v>546.49250000000018</v>
      </c>
      <c r="AG21" s="37">
        <v>0</v>
      </c>
      <c r="AH21" s="37">
        <v>880.43269230769261</v>
      </c>
      <c r="AI21" s="37">
        <v>0</v>
      </c>
      <c r="AJ21" s="37">
        <v>529.66145833333303</v>
      </c>
      <c r="AK21" s="37">
        <v>0</v>
      </c>
      <c r="AL21" s="37">
        <v>538.82211538461513</v>
      </c>
      <c r="AM21" s="37">
        <v>0</v>
      </c>
      <c r="AN21" s="37">
        <v>736.29326923076951</v>
      </c>
      <c r="AO21" s="37">
        <v>0</v>
      </c>
      <c r="AP21" s="37">
        <v>574.53846153846166</v>
      </c>
      <c r="AQ21" s="37">
        <v>0</v>
      </c>
      <c r="AR21" s="37">
        <v>437.98500000000018</v>
      </c>
      <c r="AS21" s="37">
        <v>0</v>
      </c>
      <c r="AT21" s="37">
        <v>1096.8269230769229</v>
      </c>
      <c r="AU21" s="37">
        <v>0</v>
      </c>
      <c r="AV21" s="37">
        <v>892.34375000000045</v>
      </c>
      <c r="AW21" s="37">
        <v>0</v>
      </c>
      <c r="AX21" s="37">
        <v>600.75750000000028</v>
      </c>
      <c r="AY21" s="37">
        <v>0</v>
      </c>
    </row>
    <row r="22" spans="2:51">
      <c r="B22">
        <v>10070</v>
      </c>
      <c r="C22" t="s">
        <v>26</v>
      </c>
      <c r="D22" s="37">
        <v>154.65144230769229</v>
      </c>
      <c r="E22" s="37">
        <v>0</v>
      </c>
      <c r="F22" s="37">
        <v>95.15999999999994</v>
      </c>
      <c r="G22" s="37">
        <v>0</v>
      </c>
      <c r="H22" s="37">
        <v>123.34999999999997</v>
      </c>
      <c r="I22" s="37">
        <v>0</v>
      </c>
      <c r="J22" s="37">
        <v>147.74278846153842</v>
      </c>
      <c r="K22" s="37">
        <v>0</v>
      </c>
      <c r="L22" s="37">
        <v>129.61999999999998</v>
      </c>
      <c r="M22" s="37">
        <v>0</v>
      </c>
      <c r="N22" s="37">
        <v>143.59615384615375</v>
      </c>
      <c r="O22" s="37">
        <v>0</v>
      </c>
      <c r="P22" s="37">
        <v>105.59615384615392</v>
      </c>
      <c r="Q22" s="37">
        <v>0</v>
      </c>
      <c r="R22" s="37">
        <v>82.930288461538467</v>
      </c>
      <c r="S22" s="37">
        <v>0</v>
      </c>
      <c r="T22" s="37">
        <v>202.57749999999993</v>
      </c>
      <c r="U22" s="37">
        <v>0</v>
      </c>
      <c r="V22" s="37">
        <v>230.40384615384619</v>
      </c>
      <c r="W22" s="37">
        <v>0</v>
      </c>
      <c r="X22" s="37">
        <v>257.12037037037038</v>
      </c>
      <c r="Y22" s="37">
        <v>0</v>
      </c>
      <c r="Z22" s="37">
        <v>251.3046875</v>
      </c>
      <c r="AA22" s="37">
        <v>0</v>
      </c>
      <c r="AB22" s="37">
        <v>171.35879629629625</v>
      </c>
      <c r="AC22" s="37">
        <v>0</v>
      </c>
      <c r="AD22" s="37">
        <v>94.749999999999972</v>
      </c>
      <c r="AE22" s="37">
        <v>0</v>
      </c>
      <c r="AF22" s="37">
        <v>123.79249999999998</v>
      </c>
      <c r="AG22" s="37">
        <v>0</v>
      </c>
      <c r="AH22" s="37">
        <v>169.46634615384616</v>
      </c>
      <c r="AI22" s="37">
        <v>0</v>
      </c>
      <c r="AJ22" s="37">
        <v>109.16145833333337</v>
      </c>
      <c r="AK22" s="37">
        <v>0</v>
      </c>
      <c r="AL22" s="37">
        <v>126.46153846153845</v>
      </c>
      <c r="AM22" s="37">
        <v>0</v>
      </c>
      <c r="AN22" s="37">
        <v>105.21153846153855</v>
      </c>
      <c r="AO22" s="37">
        <v>0</v>
      </c>
      <c r="AP22" s="37">
        <v>83.591346153846146</v>
      </c>
      <c r="AQ22" s="37">
        <v>0</v>
      </c>
      <c r="AR22" s="37">
        <v>203.21999999999994</v>
      </c>
      <c r="AS22" s="37">
        <v>0</v>
      </c>
      <c r="AT22" s="37">
        <v>230.01682692307696</v>
      </c>
      <c r="AU22" s="37">
        <v>0</v>
      </c>
      <c r="AV22" s="37">
        <v>241.97115384615387</v>
      </c>
      <c r="AW22" s="37">
        <v>0</v>
      </c>
      <c r="AX22" s="37">
        <v>268.73250000000007</v>
      </c>
      <c r="AY22" s="37">
        <v>0</v>
      </c>
    </row>
    <row r="23" spans="2:51">
      <c r="B23">
        <v>10071</v>
      </c>
      <c r="C23" t="s">
        <v>27</v>
      </c>
      <c r="D23" s="37">
        <v>60.605769230769432</v>
      </c>
      <c r="E23" s="37">
        <v>0</v>
      </c>
      <c r="F23" s="37">
        <v>306.51749999999987</v>
      </c>
      <c r="G23" s="37">
        <v>0</v>
      </c>
      <c r="H23" s="37">
        <v>174.6850000000002</v>
      </c>
      <c r="I23" s="37">
        <v>0</v>
      </c>
      <c r="J23" s="37">
        <v>340.69951923076889</v>
      </c>
      <c r="K23" s="37">
        <v>0</v>
      </c>
      <c r="L23" s="37">
        <v>360.45749999999998</v>
      </c>
      <c r="M23" s="37">
        <v>0</v>
      </c>
      <c r="N23" s="37">
        <v>457.76923076923049</v>
      </c>
      <c r="O23" s="37">
        <v>0</v>
      </c>
      <c r="P23" s="37">
        <v>389.58653846153823</v>
      </c>
      <c r="Q23" s="37">
        <v>0</v>
      </c>
      <c r="R23" s="37">
        <v>3.8437500000000346</v>
      </c>
      <c r="S23" s="37">
        <v>0</v>
      </c>
      <c r="T23" s="37">
        <v>40.809999999999903</v>
      </c>
      <c r="U23" s="37">
        <v>0</v>
      </c>
      <c r="V23" s="37">
        <v>178.6153846153845</v>
      </c>
      <c r="W23" s="37">
        <v>0</v>
      </c>
      <c r="X23" s="37">
        <v>451.86574074074088</v>
      </c>
      <c r="Y23" s="37">
        <v>0</v>
      </c>
      <c r="Z23" s="37">
        <v>0</v>
      </c>
      <c r="AA23" s="37">
        <v>0</v>
      </c>
      <c r="AB23" s="37">
        <v>125.33564814814812</v>
      </c>
      <c r="AC23" s="37">
        <v>0</v>
      </c>
      <c r="AD23" s="37">
        <v>298.22000000000003</v>
      </c>
      <c r="AE23" s="37">
        <v>0</v>
      </c>
      <c r="AF23" s="37">
        <v>174.6850000000002</v>
      </c>
      <c r="AG23" s="37">
        <v>0</v>
      </c>
      <c r="AH23" s="37">
        <v>439.73076923076928</v>
      </c>
      <c r="AI23" s="37">
        <v>0</v>
      </c>
      <c r="AJ23" s="37">
        <v>262.43489583333326</v>
      </c>
      <c r="AK23" s="37">
        <v>0</v>
      </c>
      <c r="AL23" s="37">
        <v>375.62980769230745</v>
      </c>
      <c r="AM23" s="37">
        <v>0</v>
      </c>
      <c r="AN23" s="37">
        <v>389.58653846153823</v>
      </c>
      <c r="AO23" s="37">
        <v>0</v>
      </c>
      <c r="AP23" s="37">
        <v>3.8437500000000346</v>
      </c>
      <c r="AQ23" s="37">
        <v>0</v>
      </c>
      <c r="AR23" s="37">
        <v>40.809999999999903</v>
      </c>
      <c r="AS23" s="37">
        <v>0</v>
      </c>
      <c r="AT23" s="37">
        <v>178.6153846153845</v>
      </c>
      <c r="AU23" s="37">
        <v>0</v>
      </c>
      <c r="AV23" s="37">
        <v>388.62980769230774</v>
      </c>
      <c r="AW23" s="37">
        <v>0</v>
      </c>
      <c r="AX23" s="37">
        <v>21.297499999999857</v>
      </c>
      <c r="AY23" s="37">
        <v>0</v>
      </c>
    </row>
    <row r="24" spans="2:51">
      <c r="B24">
        <v>10072</v>
      </c>
      <c r="C24" t="s">
        <v>28</v>
      </c>
      <c r="D24" s="37">
        <v>4902.5408653846134</v>
      </c>
      <c r="E24" s="37">
        <v>0</v>
      </c>
      <c r="F24" s="37">
        <v>5788.3000000000065</v>
      </c>
      <c r="G24" s="37">
        <v>0</v>
      </c>
      <c r="H24" s="37">
        <v>6299.7349999999988</v>
      </c>
      <c r="I24" s="37">
        <v>0</v>
      </c>
      <c r="J24" s="37">
        <v>9670.9423076923067</v>
      </c>
      <c r="K24" s="37">
        <v>0</v>
      </c>
      <c r="L24" s="37">
        <v>9016.0125000000007</v>
      </c>
      <c r="M24" s="37">
        <v>0</v>
      </c>
      <c r="N24" s="37">
        <v>6835.8413461538512</v>
      </c>
      <c r="O24" s="37">
        <v>0</v>
      </c>
      <c r="P24" s="37">
        <v>8004.6899038461524</v>
      </c>
      <c r="Q24" s="37">
        <v>0</v>
      </c>
      <c r="R24" s="37">
        <v>9380.9759615384628</v>
      </c>
      <c r="S24" s="37">
        <v>0</v>
      </c>
      <c r="T24" s="37">
        <v>10289.510000000007</v>
      </c>
      <c r="U24" s="37">
        <v>0</v>
      </c>
      <c r="V24" s="37">
        <v>11069.69951923077</v>
      </c>
      <c r="W24" s="37">
        <v>0</v>
      </c>
      <c r="X24" s="37">
        <v>16404.557870370372</v>
      </c>
      <c r="Y24" s="37">
        <v>0</v>
      </c>
      <c r="Z24" s="37">
        <v>8954.2656250000018</v>
      </c>
      <c r="AA24" s="37">
        <v>0</v>
      </c>
      <c r="AB24" s="37">
        <v>6801.4768518518531</v>
      </c>
      <c r="AC24" s="37">
        <v>0</v>
      </c>
      <c r="AD24" s="37">
        <v>6187.8149999999932</v>
      </c>
      <c r="AE24" s="37">
        <v>0</v>
      </c>
      <c r="AF24" s="37">
        <v>6784.9950000000017</v>
      </c>
      <c r="AG24" s="37">
        <v>0</v>
      </c>
      <c r="AH24" s="37">
        <v>10216.141826923078</v>
      </c>
      <c r="AI24" s="37">
        <v>0</v>
      </c>
      <c r="AJ24" s="37">
        <v>8288.9713541666715</v>
      </c>
      <c r="AK24" s="37">
        <v>0</v>
      </c>
      <c r="AL24" s="37">
        <v>7173.0384615384628</v>
      </c>
      <c r="AM24" s="37">
        <v>0</v>
      </c>
      <c r="AN24" s="37">
        <v>8386.4206730769201</v>
      </c>
      <c r="AO24" s="37">
        <v>0</v>
      </c>
      <c r="AP24" s="37">
        <v>9836.6466346153866</v>
      </c>
      <c r="AQ24" s="37">
        <v>0</v>
      </c>
      <c r="AR24" s="37">
        <v>10695.102500000001</v>
      </c>
      <c r="AS24" s="37">
        <v>0</v>
      </c>
      <c r="AT24" s="37">
        <v>11328.211538461541</v>
      </c>
      <c r="AU24" s="37">
        <v>0</v>
      </c>
      <c r="AV24" s="37">
        <v>16622.610576923078</v>
      </c>
      <c r="AW24" s="37">
        <v>0</v>
      </c>
      <c r="AX24" s="37">
        <v>10135.517499999998</v>
      </c>
      <c r="AY24" s="37">
        <v>0</v>
      </c>
    </row>
    <row r="25" spans="2:51">
      <c r="B25">
        <v>10074</v>
      </c>
      <c r="C25" t="s">
        <v>29</v>
      </c>
      <c r="D25" s="37">
        <v>0</v>
      </c>
      <c r="E25" s="37">
        <v>0</v>
      </c>
      <c r="F25" s="37">
        <v>4225.2149999999929</v>
      </c>
      <c r="G25" s="37">
        <v>0</v>
      </c>
      <c r="H25" s="37">
        <v>4141.2774999999992</v>
      </c>
      <c r="I25" s="37">
        <v>0</v>
      </c>
      <c r="J25" s="37">
        <v>3179.2451923076915</v>
      </c>
      <c r="K25" s="37">
        <v>0</v>
      </c>
      <c r="L25" s="37">
        <v>1211.9824999999996</v>
      </c>
      <c r="M25" s="37">
        <v>0</v>
      </c>
      <c r="N25" s="37">
        <v>4129.2331730769183</v>
      </c>
      <c r="O25" s="37">
        <v>0</v>
      </c>
      <c r="P25" s="37">
        <v>982.37980769230762</v>
      </c>
      <c r="Q25" s="37">
        <v>0</v>
      </c>
      <c r="R25" s="37">
        <v>6036.5336538461552</v>
      </c>
      <c r="S25" s="37">
        <v>0</v>
      </c>
      <c r="T25" s="37">
        <v>8893.32</v>
      </c>
      <c r="U25" s="37">
        <v>0</v>
      </c>
      <c r="V25" s="37">
        <v>9099.6923076923049</v>
      </c>
      <c r="W25" s="37">
        <v>0</v>
      </c>
      <c r="X25" s="37">
        <v>15516.988425925931</v>
      </c>
      <c r="Y25" s="37">
        <v>0</v>
      </c>
      <c r="Z25" s="37">
        <v>7653.3411458333358</v>
      </c>
      <c r="AA25" s="37">
        <v>0</v>
      </c>
      <c r="AB25" s="37">
        <v>0</v>
      </c>
      <c r="AC25" s="37">
        <v>0</v>
      </c>
      <c r="AD25" s="37">
        <v>4244.4225000000006</v>
      </c>
      <c r="AE25" s="37">
        <v>0</v>
      </c>
      <c r="AF25" s="37">
        <v>4125.7674999999999</v>
      </c>
      <c r="AG25" s="37">
        <v>0</v>
      </c>
      <c r="AH25" s="37">
        <v>4791.0240384615454</v>
      </c>
      <c r="AI25" s="37">
        <v>0</v>
      </c>
      <c r="AJ25" s="37">
        <v>0</v>
      </c>
      <c r="AK25" s="37">
        <v>0</v>
      </c>
      <c r="AL25" s="37">
        <v>2618.0024038461543</v>
      </c>
      <c r="AM25" s="37">
        <v>0</v>
      </c>
      <c r="AN25" s="37">
        <v>972.58413461538498</v>
      </c>
      <c r="AO25" s="37">
        <v>0</v>
      </c>
      <c r="AP25" s="37">
        <v>6059.5985576923104</v>
      </c>
      <c r="AQ25" s="37">
        <v>0</v>
      </c>
      <c r="AR25" s="37">
        <v>9273.0624999999982</v>
      </c>
      <c r="AS25" s="37">
        <v>0</v>
      </c>
      <c r="AT25" s="37">
        <v>9520.6394230769256</v>
      </c>
      <c r="AU25" s="37">
        <v>0</v>
      </c>
      <c r="AV25" s="37">
        <v>14625.677884615385</v>
      </c>
      <c r="AW25" s="37">
        <v>0</v>
      </c>
      <c r="AX25" s="37">
        <v>9434.5750000000007</v>
      </c>
      <c r="AY25" s="37">
        <v>0</v>
      </c>
    </row>
    <row r="26" spans="2:51">
      <c r="B26">
        <v>10076</v>
      </c>
      <c r="C26" t="s">
        <v>30</v>
      </c>
      <c r="D26" s="37">
        <v>862.58413461538385</v>
      </c>
      <c r="E26" s="37">
        <v>0</v>
      </c>
      <c r="F26" s="37">
        <v>581.64000000000078</v>
      </c>
      <c r="G26" s="37">
        <v>0</v>
      </c>
      <c r="H26" s="37">
        <v>724.04499999999985</v>
      </c>
      <c r="I26" s="37">
        <v>0</v>
      </c>
      <c r="J26" s="37">
        <v>853.53124999999886</v>
      </c>
      <c r="K26" s="37">
        <v>0</v>
      </c>
      <c r="L26" s="37">
        <v>869.73999999999933</v>
      </c>
      <c r="M26" s="37">
        <v>0</v>
      </c>
      <c r="N26" s="37">
        <v>710.68509615384471</v>
      </c>
      <c r="O26" s="37">
        <v>0</v>
      </c>
      <c r="P26" s="37">
        <v>744.59615384615279</v>
      </c>
      <c r="Q26" s="37">
        <v>0</v>
      </c>
      <c r="R26" s="37">
        <v>1080.5889423076935</v>
      </c>
      <c r="S26" s="37">
        <v>0</v>
      </c>
      <c r="T26" s="37">
        <v>1140.9224999999999</v>
      </c>
      <c r="U26" s="37">
        <v>0</v>
      </c>
      <c r="V26" s="37">
        <v>1268.7475961538448</v>
      </c>
      <c r="W26" s="37">
        <v>0</v>
      </c>
      <c r="X26" s="37">
        <v>1586.5509259259252</v>
      </c>
      <c r="Y26" s="37">
        <v>0</v>
      </c>
      <c r="Z26" s="37">
        <v>955.04166666666697</v>
      </c>
      <c r="AA26" s="37">
        <v>0</v>
      </c>
      <c r="AB26" s="37">
        <v>1221.6064814814808</v>
      </c>
      <c r="AC26" s="37">
        <v>0</v>
      </c>
      <c r="AD26" s="37">
        <v>652.2024999999993</v>
      </c>
      <c r="AE26" s="37">
        <v>0</v>
      </c>
      <c r="AF26" s="37">
        <v>795.3450000000006</v>
      </c>
      <c r="AG26" s="37">
        <v>0</v>
      </c>
      <c r="AH26" s="37">
        <v>1268.043269230767</v>
      </c>
      <c r="AI26" s="37">
        <v>0</v>
      </c>
      <c r="AJ26" s="37">
        <v>593.7890625</v>
      </c>
      <c r="AK26" s="37">
        <v>0</v>
      </c>
      <c r="AL26" s="37">
        <v>485.04567307692258</v>
      </c>
      <c r="AM26" s="37">
        <v>0</v>
      </c>
      <c r="AN26" s="37">
        <v>810.93509615384687</v>
      </c>
      <c r="AO26" s="37">
        <v>0</v>
      </c>
      <c r="AP26" s="37">
        <v>1146.0769230769231</v>
      </c>
      <c r="AQ26" s="37">
        <v>0</v>
      </c>
      <c r="AR26" s="37">
        <v>1204.4549999999999</v>
      </c>
      <c r="AS26" s="37">
        <v>0</v>
      </c>
      <c r="AT26" s="37">
        <v>1336.6802884615377</v>
      </c>
      <c r="AU26" s="37">
        <v>0</v>
      </c>
      <c r="AV26" s="37">
        <v>1375.4230769230774</v>
      </c>
      <c r="AW26" s="37">
        <v>0</v>
      </c>
      <c r="AX26" s="37">
        <v>1317.1825000000001</v>
      </c>
      <c r="AY26" s="37">
        <v>0</v>
      </c>
    </row>
    <row r="27" spans="2:51">
      <c r="B27">
        <v>10078</v>
      </c>
      <c r="C27" t="s">
        <v>31</v>
      </c>
      <c r="D27" s="37">
        <v>979.97836538461547</v>
      </c>
      <c r="E27" s="37">
        <v>0</v>
      </c>
      <c r="F27" s="37">
        <v>1610.4075000000005</v>
      </c>
      <c r="G27" s="37">
        <v>0</v>
      </c>
      <c r="H27" s="37">
        <v>1116.0324999999998</v>
      </c>
      <c r="I27" s="37">
        <v>0</v>
      </c>
      <c r="J27" s="37">
        <v>849.19471153846189</v>
      </c>
      <c r="K27" s="37">
        <v>0</v>
      </c>
      <c r="L27" s="37">
        <v>2103.6125000000002</v>
      </c>
      <c r="M27" s="37">
        <v>0</v>
      </c>
      <c r="N27" s="37">
        <v>1360.1394230769233</v>
      </c>
      <c r="O27" s="37">
        <v>0</v>
      </c>
      <c r="P27" s="37">
        <v>1130.384615384615</v>
      </c>
      <c r="Q27" s="37">
        <v>0</v>
      </c>
      <c r="R27" s="37">
        <v>1151.9423076923076</v>
      </c>
      <c r="S27" s="37">
        <v>0</v>
      </c>
      <c r="T27" s="37">
        <v>451.99500000000057</v>
      </c>
      <c r="U27" s="37">
        <v>0</v>
      </c>
      <c r="V27" s="37">
        <v>329.21875000000034</v>
      </c>
      <c r="W27" s="37">
        <v>0</v>
      </c>
      <c r="X27" s="37">
        <v>1116.4907407407411</v>
      </c>
      <c r="Y27" s="37">
        <v>0</v>
      </c>
      <c r="Z27" s="37">
        <v>484.67447916666663</v>
      </c>
      <c r="AA27" s="37">
        <v>0</v>
      </c>
      <c r="AB27" s="37">
        <v>1150.583333333333</v>
      </c>
      <c r="AC27" s="37">
        <v>0</v>
      </c>
      <c r="AD27" s="37">
        <v>1616.7324999999998</v>
      </c>
      <c r="AE27" s="37">
        <v>0</v>
      </c>
      <c r="AF27" s="37">
        <v>1122.7249999999995</v>
      </c>
      <c r="AG27" s="37">
        <v>0</v>
      </c>
      <c r="AH27" s="37">
        <v>1020.4879807692306</v>
      </c>
      <c r="AI27" s="37">
        <v>0</v>
      </c>
      <c r="AJ27" s="37">
        <v>1902.0416666666667</v>
      </c>
      <c r="AK27" s="37">
        <v>0</v>
      </c>
      <c r="AL27" s="37">
        <v>1212.4110576923074</v>
      </c>
      <c r="AM27" s="37">
        <v>0</v>
      </c>
      <c r="AN27" s="37">
        <v>1135.6634615384612</v>
      </c>
      <c r="AO27" s="37">
        <v>0</v>
      </c>
      <c r="AP27" s="37">
        <v>1159.2932692307691</v>
      </c>
      <c r="AQ27" s="37">
        <v>0</v>
      </c>
      <c r="AR27" s="37">
        <v>456.10249999999877</v>
      </c>
      <c r="AS27" s="37">
        <v>0</v>
      </c>
      <c r="AT27" s="37">
        <v>331.98798076923055</v>
      </c>
      <c r="AU27" s="37">
        <v>0</v>
      </c>
      <c r="AV27" s="37">
        <v>987.93990384615358</v>
      </c>
      <c r="AW27" s="37">
        <v>0</v>
      </c>
      <c r="AX27" s="37">
        <v>637.62750000000051</v>
      </c>
      <c r="AY27" s="37">
        <v>0</v>
      </c>
    </row>
    <row r="28" spans="2:51">
      <c r="B28">
        <v>10079</v>
      </c>
      <c r="C28" t="s">
        <v>32</v>
      </c>
      <c r="D28" s="37">
        <v>12929.759615384597</v>
      </c>
      <c r="E28" s="37">
        <v>0</v>
      </c>
      <c r="F28" s="37">
        <v>28841.372500000005</v>
      </c>
      <c r="G28" s="37">
        <v>0</v>
      </c>
      <c r="H28" s="37">
        <v>18946.620000000003</v>
      </c>
      <c r="I28" s="37">
        <v>0</v>
      </c>
      <c r="J28" s="37">
        <v>25271.076923076933</v>
      </c>
      <c r="K28" s="37">
        <v>0</v>
      </c>
      <c r="L28" s="37">
        <v>2033.9874999999879</v>
      </c>
      <c r="M28" s="37">
        <v>0</v>
      </c>
      <c r="N28" s="37">
        <v>24601.509615384599</v>
      </c>
      <c r="O28" s="37">
        <v>0</v>
      </c>
      <c r="P28" s="37">
        <v>21140.091346153837</v>
      </c>
      <c r="Q28" s="37">
        <v>0</v>
      </c>
      <c r="R28" s="37">
        <v>31099.747596153869</v>
      </c>
      <c r="S28" s="37">
        <v>0</v>
      </c>
      <c r="T28" s="37">
        <v>23534.362500000007</v>
      </c>
      <c r="U28" s="37">
        <v>0</v>
      </c>
      <c r="V28" s="37">
        <v>20318.923076923056</v>
      </c>
      <c r="W28" s="37">
        <v>0</v>
      </c>
      <c r="X28" s="37">
        <v>28947.067129629631</v>
      </c>
      <c r="Y28" s="37">
        <v>0</v>
      </c>
      <c r="Z28" s="37">
        <v>18716.791666666664</v>
      </c>
      <c r="AA28" s="37">
        <v>0</v>
      </c>
      <c r="AB28" s="37">
        <v>16356.212962962956</v>
      </c>
      <c r="AC28" s="37">
        <v>0</v>
      </c>
      <c r="AD28" s="37">
        <v>28590.5425</v>
      </c>
      <c r="AE28" s="37">
        <v>0</v>
      </c>
      <c r="AF28" s="37">
        <v>18620.849999999984</v>
      </c>
      <c r="AG28" s="37">
        <v>0</v>
      </c>
      <c r="AH28" s="37">
        <v>27939.730769230762</v>
      </c>
      <c r="AI28" s="37">
        <v>0</v>
      </c>
      <c r="AJ28" s="37">
        <v>0</v>
      </c>
      <c r="AK28" s="37">
        <v>0</v>
      </c>
      <c r="AL28" s="37">
        <v>21479.749999999982</v>
      </c>
      <c r="AM28" s="37">
        <v>0</v>
      </c>
      <c r="AN28" s="37">
        <v>20913.867788461517</v>
      </c>
      <c r="AO28" s="37">
        <v>0</v>
      </c>
      <c r="AP28" s="37">
        <v>30905.694711538479</v>
      </c>
      <c r="AQ28" s="37">
        <v>0</v>
      </c>
      <c r="AR28" s="37">
        <v>23331.6175</v>
      </c>
      <c r="AS28" s="37">
        <v>0</v>
      </c>
      <c r="AT28" s="37">
        <v>20097.911057692287</v>
      </c>
      <c r="AU28" s="37">
        <v>0</v>
      </c>
      <c r="AV28" s="37">
        <v>25055.132211538465</v>
      </c>
      <c r="AW28" s="37">
        <v>0</v>
      </c>
      <c r="AX28" s="37">
        <v>22252.645000000015</v>
      </c>
      <c r="AY28" s="37">
        <v>0</v>
      </c>
    </row>
    <row r="29" spans="2:51">
      <c r="B29">
        <v>10080</v>
      </c>
      <c r="C29" t="s">
        <v>33</v>
      </c>
      <c r="D29" s="37">
        <v>0</v>
      </c>
      <c r="E29" s="37">
        <v>0</v>
      </c>
      <c r="F29" s="37">
        <v>0</v>
      </c>
      <c r="G29" s="37">
        <v>0</v>
      </c>
      <c r="H29" s="37">
        <v>1125.5225</v>
      </c>
      <c r="I29" s="37">
        <v>0</v>
      </c>
      <c r="J29" s="37">
        <v>1325.2812500000011</v>
      </c>
      <c r="K29" s="37">
        <v>0</v>
      </c>
      <c r="L29" s="37">
        <v>809.82500000000005</v>
      </c>
      <c r="M29" s="37">
        <v>0</v>
      </c>
      <c r="N29" s="37">
        <v>91.932692307693074</v>
      </c>
      <c r="O29" s="37">
        <v>0</v>
      </c>
      <c r="P29" s="37">
        <v>482.17548076923157</v>
      </c>
      <c r="Q29" s="37">
        <v>0</v>
      </c>
      <c r="R29" s="37">
        <v>1303.4423076923072</v>
      </c>
      <c r="S29" s="37">
        <v>0</v>
      </c>
      <c r="T29" s="37">
        <v>1633.2550000000001</v>
      </c>
      <c r="U29" s="37">
        <v>0</v>
      </c>
      <c r="V29" s="37">
        <v>1585.1754807692319</v>
      </c>
      <c r="W29" s="37">
        <v>0</v>
      </c>
      <c r="X29" s="37">
        <v>2049.4629629629626</v>
      </c>
      <c r="Y29" s="37">
        <v>0</v>
      </c>
      <c r="Z29" s="37">
        <v>900.4479166666672</v>
      </c>
      <c r="AA29" s="37">
        <v>0</v>
      </c>
      <c r="AB29" s="37">
        <v>0</v>
      </c>
      <c r="AC29" s="37">
        <v>0</v>
      </c>
      <c r="AD29" s="37">
        <v>0</v>
      </c>
      <c r="AE29" s="37">
        <v>0</v>
      </c>
      <c r="AF29" s="37">
        <v>1117.6349999999993</v>
      </c>
      <c r="AG29" s="37">
        <v>0</v>
      </c>
      <c r="AH29" s="37">
        <v>1662.149038461537</v>
      </c>
      <c r="AI29" s="37">
        <v>0</v>
      </c>
      <c r="AJ29" s="37">
        <v>448.63281250000142</v>
      </c>
      <c r="AK29" s="37">
        <v>0</v>
      </c>
      <c r="AL29" s="37">
        <v>0</v>
      </c>
      <c r="AM29" s="37">
        <v>0</v>
      </c>
      <c r="AN29" s="37">
        <v>474.30048076923214</v>
      </c>
      <c r="AO29" s="37">
        <v>0</v>
      </c>
      <c r="AP29" s="37">
        <v>1311.064903846154</v>
      </c>
      <c r="AQ29" s="37">
        <v>0</v>
      </c>
      <c r="AR29" s="37">
        <v>1641.9975000000004</v>
      </c>
      <c r="AS29" s="37">
        <v>0</v>
      </c>
      <c r="AT29" s="37">
        <v>1593.9903846153854</v>
      </c>
      <c r="AU29" s="37">
        <v>0</v>
      </c>
      <c r="AV29" s="37">
        <v>1838.7548076923074</v>
      </c>
      <c r="AW29" s="37">
        <v>0</v>
      </c>
      <c r="AX29" s="37">
        <v>1147.675</v>
      </c>
      <c r="AY29" s="37">
        <v>0</v>
      </c>
    </row>
    <row r="30" spans="2:51">
      <c r="B30">
        <v>10081</v>
      </c>
      <c r="C30" t="s">
        <v>34</v>
      </c>
      <c r="D30" s="37">
        <v>0</v>
      </c>
      <c r="E30" s="37">
        <v>0</v>
      </c>
      <c r="F30" s="37">
        <v>90.747499999999974</v>
      </c>
      <c r="G30" s="37">
        <v>0</v>
      </c>
      <c r="H30" s="37">
        <v>2846.76</v>
      </c>
      <c r="I30" s="37">
        <v>0</v>
      </c>
      <c r="J30" s="37">
        <v>442.68269230769073</v>
      </c>
      <c r="K30" s="37">
        <v>0</v>
      </c>
      <c r="L30" s="37">
        <v>902.04500000000019</v>
      </c>
      <c r="M30" s="37">
        <v>0</v>
      </c>
      <c r="N30" s="37">
        <v>2042.461538461537</v>
      </c>
      <c r="O30" s="37">
        <v>0</v>
      </c>
      <c r="P30" s="37">
        <v>681.73076923076883</v>
      </c>
      <c r="Q30" s="37">
        <v>0</v>
      </c>
      <c r="R30" s="37">
        <v>307.35096153846217</v>
      </c>
      <c r="S30" s="37">
        <v>0</v>
      </c>
      <c r="T30" s="37">
        <v>2556.9349999999977</v>
      </c>
      <c r="U30" s="37">
        <v>0</v>
      </c>
      <c r="V30" s="37">
        <v>1296.8413461538448</v>
      </c>
      <c r="W30" s="37">
        <v>0</v>
      </c>
      <c r="X30" s="37">
        <v>2253.972222222224</v>
      </c>
      <c r="Y30" s="37">
        <v>0</v>
      </c>
      <c r="Z30" s="37">
        <v>613.15885416666572</v>
      </c>
      <c r="AA30" s="37">
        <v>0</v>
      </c>
      <c r="AB30" s="37">
        <v>0</v>
      </c>
      <c r="AC30" s="37">
        <v>0</v>
      </c>
      <c r="AD30" s="37">
        <v>90.747499999999974</v>
      </c>
      <c r="AE30" s="37">
        <v>0</v>
      </c>
      <c r="AF30" s="37">
        <v>2846.76</v>
      </c>
      <c r="AG30" s="37">
        <v>0</v>
      </c>
      <c r="AH30" s="37">
        <v>1197.1730769230744</v>
      </c>
      <c r="AI30" s="37">
        <v>0</v>
      </c>
      <c r="AJ30" s="37">
        <v>320.71354166666578</v>
      </c>
      <c r="AK30" s="37">
        <v>0</v>
      </c>
      <c r="AL30" s="37">
        <v>1501.6995192307697</v>
      </c>
      <c r="AM30" s="37">
        <v>0</v>
      </c>
      <c r="AN30" s="37">
        <v>681.73076923076883</v>
      </c>
      <c r="AO30" s="37">
        <v>0</v>
      </c>
      <c r="AP30" s="37">
        <v>307.35096153846217</v>
      </c>
      <c r="AQ30" s="37">
        <v>0</v>
      </c>
      <c r="AR30" s="37">
        <v>2556.9349999999977</v>
      </c>
      <c r="AS30" s="37">
        <v>0</v>
      </c>
      <c r="AT30" s="37">
        <v>1296.8413461538448</v>
      </c>
      <c r="AU30" s="37">
        <v>0</v>
      </c>
      <c r="AV30" s="37">
        <v>1739.2403846153854</v>
      </c>
      <c r="AW30" s="37">
        <v>0</v>
      </c>
      <c r="AX30" s="37">
        <v>1078.0325</v>
      </c>
      <c r="AY30" s="37">
        <v>0</v>
      </c>
    </row>
    <row r="31" spans="2:51">
      <c r="B31">
        <v>10082</v>
      </c>
      <c r="C31" t="s">
        <v>35</v>
      </c>
      <c r="D31" s="37">
        <v>29.290865384615365</v>
      </c>
      <c r="E31" s="37">
        <v>0</v>
      </c>
      <c r="F31" s="37">
        <v>26.880000000000003</v>
      </c>
      <c r="G31" s="37">
        <v>0</v>
      </c>
      <c r="H31" s="37">
        <v>14.090000000000012</v>
      </c>
      <c r="I31" s="37">
        <v>0</v>
      </c>
      <c r="J31" s="37">
        <v>37.783653846153854</v>
      </c>
      <c r="K31" s="37">
        <v>0</v>
      </c>
      <c r="L31" s="37">
        <v>29.632500000000007</v>
      </c>
      <c r="M31" s="37">
        <v>0</v>
      </c>
      <c r="N31" s="37">
        <v>17.548076923076916</v>
      </c>
      <c r="O31" s="37">
        <v>0</v>
      </c>
      <c r="P31" s="37">
        <v>17.793269230769237</v>
      </c>
      <c r="Q31" s="37">
        <v>0</v>
      </c>
      <c r="R31" s="37">
        <v>16.247596153846175</v>
      </c>
      <c r="S31" s="37">
        <v>0</v>
      </c>
      <c r="T31" s="37">
        <v>18.909999999999989</v>
      </c>
      <c r="U31" s="37">
        <v>0</v>
      </c>
      <c r="V31" s="37">
        <v>27.923076923076909</v>
      </c>
      <c r="W31" s="37">
        <v>0</v>
      </c>
      <c r="X31" s="37">
        <v>28.916666666666661</v>
      </c>
      <c r="Y31" s="37">
        <v>0</v>
      </c>
      <c r="Z31" s="37">
        <v>26.278645833333336</v>
      </c>
      <c r="AA31" s="37">
        <v>0</v>
      </c>
      <c r="AB31" s="37">
        <v>33.280092592592567</v>
      </c>
      <c r="AC31" s="37">
        <v>0</v>
      </c>
      <c r="AD31" s="37">
        <v>26.880000000000003</v>
      </c>
      <c r="AE31" s="37">
        <v>0</v>
      </c>
      <c r="AF31" s="37">
        <v>14.090000000000012</v>
      </c>
      <c r="AG31" s="37">
        <v>0</v>
      </c>
      <c r="AH31" s="37">
        <v>37.783653846153854</v>
      </c>
      <c r="AI31" s="37">
        <v>0</v>
      </c>
      <c r="AJ31" s="37">
        <v>23.367187499999996</v>
      </c>
      <c r="AK31" s="37">
        <v>0</v>
      </c>
      <c r="AL31" s="37">
        <v>17.548076923076916</v>
      </c>
      <c r="AM31" s="37">
        <v>0</v>
      </c>
      <c r="AN31" s="37">
        <v>17.793269230769237</v>
      </c>
      <c r="AO31" s="37">
        <v>0</v>
      </c>
      <c r="AP31" s="37">
        <v>16.247596153846175</v>
      </c>
      <c r="AQ31" s="37">
        <v>0</v>
      </c>
      <c r="AR31" s="37">
        <v>18.909999999999989</v>
      </c>
      <c r="AS31" s="37">
        <v>0</v>
      </c>
      <c r="AT31" s="37">
        <v>27.923076923076909</v>
      </c>
      <c r="AU31" s="37">
        <v>0</v>
      </c>
      <c r="AV31" s="37">
        <v>25.528846153846153</v>
      </c>
      <c r="AW31" s="37">
        <v>0</v>
      </c>
      <c r="AX31" s="37">
        <v>29.587500000000002</v>
      </c>
      <c r="AY31" s="37">
        <v>0</v>
      </c>
    </row>
    <row r="32" spans="2:51">
      <c r="B32">
        <v>10083</v>
      </c>
      <c r="C32" t="s">
        <v>36</v>
      </c>
      <c r="D32" s="37">
        <v>278.68269230769192</v>
      </c>
      <c r="E32" s="37">
        <v>0</v>
      </c>
      <c r="F32" s="37">
        <v>487.39250000000123</v>
      </c>
      <c r="G32" s="37">
        <v>0</v>
      </c>
      <c r="H32" s="37">
        <v>1045.9024999999999</v>
      </c>
      <c r="I32" s="37">
        <v>0</v>
      </c>
      <c r="J32" s="37">
        <v>1537.8341346153825</v>
      </c>
      <c r="K32" s="37">
        <v>0</v>
      </c>
      <c r="L32" s="37">
        <v>1667.4175000000014</v>
      </c>
      <c r="M32" s="37">
        <v>0</v>
      </c>
      <c r="N32" s="37">
        <v>1250.7403846153834</v>
      </c>
      <c r="O32" s="37">
        <v>0</v>
      </c>
      <c r="P32" s="37">
        <v>676.13701923076826</v>
      </c>
      <c r="Q32" s="37">
        <v>0</v>
      </c>
      <c r="R32" s="37">
        <v>2165.4687499999995</v>
      </c>
      <c r="S32" s="37">
        <v>0</v>
      </c>
      <c r="T32" s="37">
        <v>3664.6874999999995</v>
      </c>
      <c r="U32" s="37">
        <v>0</v>
      </c>
      <c r="V32" s="37">
        <v>4161.8509615384619</v>
      </c>
      <c r="W32" s="37">
        <v>0</v>
      </c>
      <c r="X32" s="37">
        <v>5229.791666666667</v>
      </c>
      <c r="Y32" s="37">
        <v>0</v>
      </c>
      <c r="Z32" s="37">
        <v>2807.763020833333</v>
      </c>
      <c r="AA32" s="37">
        <v>0</v>
      </c>
      <c r="AB32" s="37">
        <v>639.03703703703661</v>
      </c>
      <c r="AC32" s="37">
        <v>0</v>
      </c>
      <c r="AD32" s="37">
        <v>492.78750000000127</v>
      </c>
      <c r="AE32" s="37">
        <v>0</v>
      </c>
      <c r="AF32" s="37">
        <v>1050.2850000000001</v>
      </c>
      <c r="AG32" s="37">
        <v>0</v>
      </c>
      <c r="AH32" s="37">
        <v>2055.9254807692314</v>
      </c>
      <c r="AI32" s="37">
        <v>0</v>
      </c>
      <c r="AJ32" s="37">
        <v>1210.4166666666658</v>
      </c>
      <c r="AK32" s="37">
        <v>0</v>
      </c>
      <c r="AL32" s="37">
        <v>858.37980769230705</v>
      </c>
      <c r="AM32" s="37">
        <v>0</v>
      </c>
      <c r="AN32" s="37">
        <v>680.98557692307566</v>
      </c>
      <c r="AO32" s="37">
        <v>0</v>
      </c>
      <c r="AP32" s="37">
        <v>2194.3870192307695</v>
      </c>
      <c r="AQ32" s="37">
        <v>0</v>
      </c>
      <c r="AR32" s="37">
        <v>3707.8925000000017</v>
      </c>
      <c r="AS32" s="37">
        <v>0</v>
      </c>
      <c r="AT32" s="37">
        <v>4211.1442307692314</v>
      </c>
      <c r="AU32" s="37">
        <v>0</v>
      </c>
      <c r="AV32" s="37">
        <v>4939.0096153846162</v>
      </c>
      <c r="AW32" s="37">
        <v>0</v>
      </c>
      <c r="AX32" s="37">
        <v>3210.2074999999991</v>
      </c>
      <c r="AY32" s="37">
        <v>0</v>
      </c>
    </row>
    <row r="33" spans="2:51">
      <c r="B33">
        <v>10086</v>
      </c>
      <c r="C33" t="s">
        <v>37</v>
      </c>
      <c r="D33" s="37">
        <v>0</v>
      </c>
      <c r="E33" s="37">
        <v>0</v>
      </c>
      <c r="F33" s="37">
        <v>284.93000000000035</v>
      </c>
      <c r="G33" s="37">
        <v>0</v>
      </c>
      <c r="H33" s="37">
        <v>157.24749999999997</v>
      </c>
      <c r="I33" s="37">
        <v>0</v>
      </c>
      <c r="J33" s="37">
        <v>468.08173076923089</v>
      </c>
      <c r="K33" s="37">
        <v>0</v>
      </c>
      <c r="L33" s="37">
        <v>483.36249999999967</v>
      </c>
      <c r="M33" s="37">
        <v>0</v>
      </c>
      <c r="N33" s="37">
        <v>262.9663461538463</v>
      </c>
      <c r="O33" s="37">
        <v>0</v>
      </c>
      <c r="P33" s="37">
        <v>748.26442307692287</v>
      </c>
      <c r="Q33" s="37">
        <v>0</v>
      </c>
      <c r="R33" s="37">
        <v>39.834134615384762</v>
      </c>
      <c r="S33" s="37">
        <v>0</v>
      </c>
      <c r="T33" s="37">
        <v>0</v>
      </c>
      <c r="U33" s="37">
        <v>0</v>
      </c>
      <c r="V33" s="37">
        <v>24.766826923076746</v>
      </c>
      <c r="W33" s="37">
        <v>0</v>
      </c>
      <c r="X33" s="37">
        <v>362.32870370370352</v>
      </c>
      <c r="Y33" s="37">
        <v>0</v>
      </c>
      <c r="Z33" s="37">
        <v>31.565104166667023</v>
      </c>
      <c r="AA33" s="37">
        <v>0</v>
      </c>
      <c r="AB33" s="37">
        <v>0</v>
      </c>
      <c r="AC33" s="37">
        <v>0</v>
      </c>
      <c r="AD33" s="37">
        <v>289.23000000000008</v>
      </c>
      <c r="AE33" s="37">
        <v>0</v>
      </c>
      <c r="AF33" s="37">
        <v>161.06249999999989</v>
      </c>
      <c r="AG33" s="37">
        <v>0</v>
      </c>
      <c r="AH33" s="37">
        <v>661.01682692307645</v>
      </c>
      <c r="AI33" s="37">
        <v>0</v>
      </c>
      <c r="AJ33" s="37">
        <v>347.80208333333371</v>
      </c>
      <c r="AK33" s="37">
        <v>0</v>
      </c>
      <c r="AL33" s="37">
        <v>103.52403846153879</v>
      </c>
      <c r="AM33" s="37">
        <v>0</v>
      </c>
      <c r="AN33" s="37">
        <v>753.22836538461524</v>
      </c>
      <c r="AO33" s="37">
        <v>0</v>
      </c>
      <c r="AP33" s="37">
        <v>43.942307692307779</v>
      </c>
      <c r="AQ33" s="37">
        <v>0</v>
      </c>
      <c r="AR33" s="37">
        <v>0</v>
      </c>
      <c r="AS33" s="37">
        <v>0</v>
      </c>
      <c r="AT33" s="37">
        <v>26.853365384615024</v>
      </c>
      <c r="AU33" s="37">
        <v>0</v>
      </c>
      <c r="AV33" s="37">
        <v>292.92788461538487</v>
      </c>
      <c r="AW33" s="37">
        <v>0</v>
      </c>
      <c r="AX33" s="37">
        <v>120.14999999999986</v>
      </c>
      <c r="AY33" s="37">
        <v>0</v>
      </c>
    </row>
    <row r="34" spans="2:51">
      <c r="B34">
        <v>10087</v>
      </c>
      <c r="C34" t="s">
        <v>38</v>
      </c>
      <c r="D34" s="37">
        <v>0</v>
      </c>
      <c r="E34" s="37">
        <v>0</v>
      </c>
      <c r="F34" s="37">
        <v>0</v>
      </c>
      <c r="G34" s="37">
        <v>0</v>
      </c>
      <c r="H34" s="37">
        <v>848.90249999999764</v>
      </c>
      <c r="I34" s="37">
        <v>0</v>
      </c>
      <c r="J34" s="37">
        <v>0</v>
      </c>
      <c r="K34" s="37">
        <v>0</v>
      </c>
      <c r="L34" s="37">
        <v>0</v>
      </c>
      <c r="M34" s="37">
        <v>0</v>
      </c>
      <c r="N34" s="37">
        <v>0</v>
      </c>
      <c r="O34" s="37">
        <v>0</v>
      </c>
      <c r="P34" s="37">
        <v>0</v>
      </c>
      <c r="Q34" s="37">
        <v>0</v>
      </c>
      <c r="R34" s="37">
        <v>0</v>
      </c>
      <c r="S34" s="37">
        <v>0</v>
      </c>
      <c r="T34" s="37">
        <v>0</v>
      </c>
      <c r="U34" s="37">
        <v>0</v>
      </c>
      <c r="V34" s="37">
        <v>0</v>
      </c>
      <c r="W34" s="37">
        <v>0</v>
      </c>
      <c r="X34" s="37">
        <v>0</v>
      </c>
      <c r="Y34" s="37">
        <v>0</v>
      </c>
      <c r="Z34" s="37">
        <v>0</v>
      </c>
      <c r="AA34" s="37">
        <v>0</v>
      </c>
      <c r="AB34" s="37">
        <v>0</v>
      </c>
      <c r="AC34" s="37">
        <v>0</v>
      </c>
      <c r="AD34" s="37">
        <v>0</v>
      </c>
      <c r="AE34" s="37">
        <v>0</v>
      </c>
      <c r="AF34" s="37">
        <v>848.90249999999764</v>
      </c>
      <c r="AG34" s="37">
        <v>0</v>
      </c>
      <c r="AH34" s="37">
        <v>0</v>
      </c>
      <c r="AI34" s="37">
        <v>0</v>
      </c>
      <c r="AJ34" s="37">
        <v>0</v>
      </c>
      <c r="AK34" s="37">
        <v>0</v>
      </c>
      <c r="AL34" s="37">
        <v>0</v>
      </c>
      <c r="AM34" s="37">
        <v>0</v>
      </c>
      <c r="AN34" s="37">
        <v>0</v>
      </c>
      <c r="AO34" s="37">
        <v>0</v>
      </c>
      <c r="AP34" s="37">
        <v>0</v>
      </c>
      <c r="AQ34" s="37">
        <v>0</v>
      </c>
      <c r="AR34" s="37">
        <v>0</v>
      </c>
      <c r="AS34" s="37">
        <v>0</v>
      </c>
      <c r="AT34" s="37">
        <v>0</v>
      </c>
      <c r="AU34" s="37">
        <v>0</v>
      </c>
      <c r="AV34" s="37">
        <v>0</v>
      </c>
      <c r="AW34" s="37">
        <v>0</v>
      </c>
      <c r="AX34" s="37">
        <v>0</v>
      </c>
      <c r="AY34" s="37">
        <v>0</v>
      </c>
    </row>
    <row r="35" spans="2:51">
      <c r="B35">
        <v>10089</v>
      </c>
      <c r="C35" t="s">
        <v>39</v>
      </c>
      <c r="D35" s="37">
        <v>0</v>
      </c>
      <c r="E35" s="37">
        <v>0</v>
      </c>
      <c r="F35" s="37">
        <v>0</v>
      </c>
      <c r="G35" s="37">
        <v>0</v>
      </c>
      <c r="H35" s="37">
        <v>1304.8574999999794</v>
      </c>
      <c r="I35" s="37">
        <v>0</v>
      </c>
      <c r="J35" s="37">
        <v>1138.7235576922947</v>
      </c>
      <c r="K35" s="37">
        <v>0</v>
      </c>
      <c r="L35" s="37">
        <v>0</v>
      </c>
      <c r="M35" s="37">
        <v>0</v>
      </c>
      <c r="N35" s="37">
        <v>4420.7451923076815</v>
      </c>
      <c r="O35" s="37">
        <v>0</v>
      </c>
      <c r="P35" s="37">
        <v>11137.050480769236</v>
      </c>
      <c r="Q35" s="37">
        <v>0</v>
      </c>
      <c r="R35" s="37">
        <v>2549.0528846153675</v>
      </c>
      <c r="S35" s="37">
        <v>0</v>
      </c>
      <c r="T35" s="37">
        <v>13633.277500000006</v>
      </c>
      <c r="U35" s="37">
        <v>0</v>
      </c>
      <c r="V35" s="37">
        <v>13069.319711538472</v>
      </c>
      <c r="W35" s="37">
        <v>0</v>
      </c>
      <c r="X35" s="37">
        <v>24479.800925925938</v>
      </c>
      <c r="Y35" s="37">
        <v>0</v>
      </c>
      <c r="Z35" s="37">
        <v>3645.5156250000018</v>
      </c>
      <c r="AA35" s="37">
        <v>0</v>
      </c>
      <c r="AB35" s="37">
        <v>0</v>
      </c>
      <c r="AC35" s="37">
        <v>0</v>
      </c>
      <c r="AD35" s="37">
        <v>0</v>
      </c>
      <c r="AE35" s="37">
        <v>0</v>
      </c>
      <c r="AF35" s="37">
        <v>1476.7524999999857</v>
      </c>
      <c r="AG35" s="37">
        <v>0</v>
      </c>
      <c r="AH35" s="37">
        <v>7133.1826923076915</v>
      </c>
      <c r="AI35" s="37">
        <v>0</v>
      </c>
      <c r="AJ35" s="37">
        <v>0</v>
      </c>
      <c r="AK35" s="37">
        <v>0</v>
      </c>
      <c r="AL35" s="37">
        <v>0</v>
      </c>
      <c r="AM35" s="37">
        <v>0</v>
      </c>
      <c r="AN35" s="37">
        <v>10844.637019230764</v>
      </c>
      <c r="AO35" s="37">
        <v>0</v>
      </c>
      <c r="AP35" s="37">
        <v>2326.3701923076815</v>
      </c>
      <c r="AQ35" s="37">
        <v>0</v>
      </c>
      <c r="AR35" s="37">
        <v>13438.794999999998</v>
      </c>
      <c r="AS35" s="37">
        <v>0</v>
      </c>
      <c r="AT35" s="37">
        <v>12911.240384615387</v>
      </c>
      <c r="AU35" s="37">
        <v>0</v>
      </c>
      <c r="AV35" s="37">
        <v>19353.139423076907</v>
      </c>
      <c r="AW35" s="37">
        <v>0</v>
      </c>
      <c r="AX35" s="37">
        <v>8088.4475000000011</v>
      </c>
      <c r="AY35" s="37">
        <v>0</v>
      </c>
    </row>
    <row r="36" spans="2:51">
      <c r="B36">
        <v>10091</v>
      </c>
      <c r="C36" t="s">
        <v>40</v>
      </c>
      <c r="D36" s="37">
        <v>915.94471153846155</v>
      </c>
      <c r="E36" s="37">
        <v>0</v>
      </c>
      <c r="F36" s="37">
        <v>2051.0425000000005</v>
      </c>
      <c r="G36" s="37">
        <v>0</v>
      </c>
      <c r="H36" s="37">
        <v>1570.1549999999997</v>
      </c>
      <c r="I36" s="37">
        <v>0</v>
      </c>
      <c r="J36" s="37">
        <v>1964.9879807692305</v>
      </c>
      <c r="K36" s="37">
        <v>0</v>
      </c>
      <c r="L36" s="37">
        <v>1734.5550000000021</v>
      </c>
      <c r="M36" s="37">
        <v>0</v>
      </c>
      <c r="N36" s="37">
        <v>493.51442307692349</v>
      </c>
      <c r="O36" s="37">
        <v>0</v>
      </c>
      <c r="P36" s="37">
        <v>1482.0697115384617</v>
      </c>
      <c r="Q36" s="37">
        <v>0</v>
      </c>
      <c r="R36" s="37">
        <v>1882.1610576923081</v>
      </c>
      <c r="S36" s="37">
        <v>0</v>
      </c>
      <c r="T36" s="37">
        <v>1142.3349999999991</v>
      </c>
      <c r="U36" s="37">
        <v>0</v>
      </c>
      <c r="V36" s="37">
        <v>1780.7500000000002</v>
      </c>
      <c r="W36" s="37">
        <v>0</v>
      </c>
      <c r="X36" s="37">
        <v>1775.3379629629637</v>
      </c>
      <c r="Y36" s="37">
        <v>0</v>
      </c>
      <c r="Z36" s="37">
        <v>946.85677083333417</v>
      </c>
      <c r="AA36" s="37">
        <v>0</v>
      </c>
      <c r="AB36" s="37">
        <v>1259.8356481481492</v>
      </c>
      <c r="AC36" s="37">
        <v>0</v>
      </c>
      <c r="AD36" s="37">
        <v>2051.0425000000005</v>
      </c>
      <c r="AE36" s="37">
        <v>0</v>
      </c>
      <c r="AF36" s="37">
        <v>1570.1549999999997</v>
      </c>
      <c r="AG36" s="37">
        <v>0</v>
      </c>
      <c r="AH36" s="37">
        <v>1964.9879807692305</v>
      </c>
      <c r="AI36" s="37">
        <v>0</v>
      </c>
      <c r="AJ36" s="37">
        <v>1254.4531250000014</v>
      </c>
      <c r="AK36" s="37">
        <v>0</v>
      </c>
      <c r="AL36" s="37">
        <v>493.51442307692349</v>
      </c>
      <c r="AM36" s="37">
        <v>0</v>
      </c>
      <c r="AN36" s="37">
        <v>1482.0697115384617</v>
      </c>
      <c r="AO36" s="37">
        <v>0</v>
      </c>
      <c r="AP36" s="37">
        <v>1882.1610576923081</v>
      </c>
      <c r="AQ36" s="37">
        <v>0</v>
      </c>
      <c r="AR36" s="37">
        <v>1142.3349999999991</v>
      </c>
      <c r="AS36" s="37">
        <v>0</v>
      </c>
      <c r="AT36" s="37">
        <v>1780.7500000000002</v>
      </c>
      <c r="AU36" s="37">
        <v>0</v>
      </c>
      <c r="AV36" s="37">
        <v>1431.6201923076928</v>
      </c>
      <c r="AW36" s="37">
        <v>0</v>
      </c>
      <c r="AX36" s="37">
        <v>1286.8625000000004</v>
      </c>
      <c r="AY36" s="37">
        <v>0</v>
      </c>
    </row>
    <row r="37" spans="2:51">
      <c r="B37">
        <v>10094</v>
      </c>
      <c r="C37" t="s">
        <v>41</v>
      </c>
      <c r="D37" s="37">
        <v>472.54807692307645</v>
      </c>
      <c r="E37" s="37">
        <v>0</v>
      </c>
      <c r="F37" s="37">
        <v>44.100000000000136</v>
      </c>
      <c r="G37" s="37">
        <v>0</v>
      </c>
      <c r="H37" s="37">
        <v>347.16249999999991</v>
      </c>
      <c r="I37" s="37">
        <v>0</v>
      </c>
      <c r="J37" s="37">
        <v>687.09855769230762</v>
      </c>
      <c r="K37" s="37">
        <v>0</v>
      </c>
      <c r="L37" s="37">
        <v>462.5674999999996</v>
      </c>
      <c r="M37" s="37">
        <v>0</v>
      </c>
      <c r="N37" s="37">
        <v>525.14423076923117</v>
      </c>
      <c r="O37" s="37">
        <v>0</v>
      </c>
      <c r="P37" s="37">
        <v>715.72836538461536</v>
      </c>
      <c r="Q37" s="37">
        <v>0</v>
      </c>
      <c r="R37" s="37">
        <v>393.69951923076934</v>
      </c>
      <c r="S37" s="37">
        <v>0</v>
      </c>
      <c r="T37" s="37">
        <v>517.2299999999999</v>
      </c>
      <c r="U37" s="37">
        <v>0</v>
      </c>
      <c r="V37" s="37">
        <v>660.0913461538463</v>
      </c>
      <c r="W37" s="37">
        <v>0</v>
      </c>
      <c r="X37" s="37">
        <v>714.31944444444468</v>
      </c>
      <c r="Y37" s="37">
        <v>0</v>
      </c>
      <c r="Z37" s="37">
        <v>289.63020833333343</v>
      </c>
      <c r="AA37" s="37">
        <v>0</v>
      </c>
      <c r="AB37" s="37">
        <v>579.43055555555554</v>
      </c>
      <c r="AC37" s="37">
        <v>0</v>
      </c>
      <c r="AD37" s="37">
        <v>40.3825000000001</v>
      </c>
      <c r="AE37" s="37">
        <v>0</v>
      </c>
      <c r="AF37" s="37">
        <v>343.04999999999927</v>
      </c>
      <c r="AG37" s="37">
        <v>0</v>
      </c>
      <c r="AH37" s="37">
        <v>683.70673076923083</v>
      </c>
      <c r="AI37" s="37">
        <v>0</v>
      </c>
      <c r="AJ37" s="37">
        <v>315.43489583333309</v>
      </c>
      <c r="AK37" s="37">
        <v>0</v>
      </c>
      <c r="AL37" s="37">
        <v>521.25000000000011</v>
      </c>
      <c r="AM37" s="37">
        <v>0</v>
      </c>
      <c r="AN37" s="37">
        <v>713.45673076923117</v>
      </c>
      <c r="AO37" s="37">
        <v>0</v>
      </c>
      <c r="AP37" s="37">
        <v>389.72115384615387</v>
      </c>
      <c r="AQ37" s="37">
        <v>0</v>
      </c>
      <c r="AR37" s="37">
        <v>512.83500000000015</v>
      </c>
      <c r="AS37" s="37">
        <v>0</v>
      </c>
      <c r="AT37" s="37">
        <v>656.17307692307656</v>
      </c>
      <c r="AU37" s="37">
        <v>0</v>
      </c>
      <c r="AV37" s="37">
        <v>597.87740384615404</v>
      </c>
      <c r="AW37" s="37">
        <v>0</v>
      </c>
      <c r="AX37" s="37">
        <v>398.75750000000022</v>
      </c>
      <c r="AY37" s="37">
        <v>0</v>
      </c>
    </row>
    <row r="38" spans="2:51">
      <c r="B38">
        <v>10095</v>
      </c>
      <c r="C38" t="s">
        <v>42</v>
      </c>
      <c r="D38" s="37">
        <v>380.88221153846212</v>
      </c>
      <c r="E38" s="37">
        <v>0</v>
      </c>
      <c r="F38" s="37">
        <v>698.44750000000033</v>
      </c>
      <c r="G38" s="37">
        <v>0</v>
      </c>
      <c r="H38" s="37">
        <v>193.37000000000072</v>
      </c>
      <c r="I38" s="37">
        <v>0</v>
      </c>
      <c r="J38" s="37">
        <v>438.22836538461553</v>
      </c>
      <c r="K38" s="37">
        <v>0</v>
      </c>
      <c r="L38" s="37">
        <v>491.32999999999981</v>
      </c>
      <c r="M38" s="37">
        <v>0</v>
      </c>
      <c r="N38" s="37">
        <v>109.84855769230717</v>
      </c>
      <c r="O38" s="37">
        <v>0</v>
      </c>
      <c r="P38" s="37">
        <v>338.41586538461598</v>
      </c>
      <c r="Q38" s="37">
        <v>0</v>
      </c>
      <c r="R38" s="37">
        <v>192.74519230769283</v>
      </c>
      <c r="S38" s="37">
        <v>0</v>
      </c>
      <c r="T38" s="37">
        <v>0</v>
      </c>
      <c r="U38" s="37">
        <v>0</v>
      </c>
      <c r="V38" s="37">
        <v>212.33413461538464</v>
      </c>
      <c r="W38" s="37">
        <v>0</v>
      </c>
      <c r="X38" s="37">
        <v>231.06944444444423</v>
      </c>
      <c r="Y38" s="37">
        <v>0</v>
      </c>
      <c r="Z38" s="37">
        <v>0</v>
      </c>
      <c r="AA38" s="37">
        <v>0</v>
      </c>
      <c r="AB38" s="37">
        <v>530.31018518518511</v>
      </c>
      <c r="AC38" s="37">
        <v>0</v>
      </c>
      <c r="AD38" s="37">
        <v>693.94499999999937</v>
      </c>
      <c r="AE38" s="37">
        <v>0</v>
      </c>
      <c r="AF38" s="37">
        <v>189.4</v>
      </c>
      <c r="AG38" s="37">
        <v>0</v>
      </c>
      <c r="AH38" s="37">
        <v>565.86538461538544</v>
      </c>
      <c r="AI38" s="37">
        <v>0</v>
      </c>
      <c r="AJ38" s="37">
        <v>299.20572916666742</v>
      </c>
      <c r="AK38" s="37">
        <v>0</v>
      </c>
      <c r="AL38" s="37">
        <v>0</v>
      </c>
      <c r="AM38" s="37">
        <v>0</v>
      </c>
      <c r="AN38" s="37">
        <v>335.51682692307696</v>
      </c>
      <c r="AO38" s="37">
        <v>0</v>
      </c>
      <c r="AP38" s="37">
        <v>189.70192307692324</v>
      </c>
      <c r="AQ38" s="37">
        <v>0</v>
      </c>
      <c r="AR38" s="37">
        <v>0</v>
      </c>
      <c r="AS38" s="37">
        <v>0</v>
      </c>
      <c r="AT38" s="37">
        <v>208.31250000000011</v>
      </c>
      <c r="AU38" s="37">
        <v>0</v>
      </c>
      <c r="AV38" s="37">
        <v>84.108173076923194</v>
      </c>
      <c r="AW38" s="37">
        <v>0</v>
      </c>
      <c r="AX38" s="37">
        <v>132.09499999999963</v>
      </c>
      <c r="AY38" s="37">
        <v>0</v>
      </c>
    </row>
    <row r="39" spans="2:51">
      <c r="B39">
        <v>10097</v>
      </c>
      <c r="C39" t="s">
        <v>43</v>
      </c>
      <c r="D39" s="37">
        <v>464.59375</v>
      </c>
      <c r="E39" s="37">
        <v>0</v>
      </c>
      <c r="F39" s="37">
        <v>317.87499999999972</v>
      </c>
      <c r="G39" s="37">
        <v>0</v>
      </c>
      <c r="H39" s="37">
        <v>636.4925000000004</v>
      </c>
      <c r="I39" s="37">
        <v>0</v>
      </c>
      <c r="J39" s="37">
        <v>678.75240384615347</v>
      </c>
      <c r="K39" s="37">
        <v>0</v>
      </c>
      <c r="L39" s="37">
        <v>389.2399999999999</v>
      </c>
      <c r="M39" s="37">
        <v>0</v>
      </c>
      <c r="N39" s="37">
        <v>353.67307692307702</v>
      </c>
      <c r="O39" s="37">
        <v>0</v>
      </c>
      <c r="P39" s="37">
        <v>486.60576923076945</v>
      </c>
      <c r="Q39" s="37">
        <v>0</v>
      </c>
      <c r="R39" s="37">
        <v>308.77163461538481</v>
      </c>
      <c r="S39" s="37">
        <v>0</v>
      </c>
      <c r="T39" s="37">
        <v>241.08000000000024</v>
      </c>
      <c r="U39" s="37">
        <v>0</v>
      </c>
      <c r="V39" s="37">
        <v>265.89903846153828</v>
      </c>
      <c r="W39" s="37">
        <v>0</v>
      </c>
      <c r="X39" s="37">
        <v>293.68981481481495</v>
      </c>
      <c r="Y39" s="37">
        <v>0</v>
      </c>
      <c r="Z39" s="37">
        <v>235.28906249999991</v>
      </c>
      <c r="AA39" s="37">
        <v>0</v>
      </c>
      <c r="AB39" s="37">
        <v>543.85416666666663</v>
      </c>
      <c r="AC39" s="37">
        <v>0</v>
      </c>
      <c r="AD39" s="37">
        <v>319.1450000000001</v>
      </c>
      <c r="AE39" s="37">
        <v>0</v>
      </c>
      <c r="AF39" s="37">
        <v>639.09499999999991</v>
      </c>
      <c r="AG39" s="37">
        <v>0</v>
      </c>
      <c r="AH39" s="37">
        <v>681.44230769230751</v>
      </c>
      <c r="AI39" s="37">
        <v>0</v>
      </c>
      <c r="AJ39" s="37">
        <v>280.73177083333331</v>
      </c>
      <c r="AK39" s="37">
        <v>0</v>
      </c>
      <c r="AL39" s="37">
        <v>355.71634615384585</v>
      </c>
      <c r="AM39" s="37">
        <v>0</v>
      </c>
      <c r="AN39" s="37">
        <v>489.53605769230825</v>
      </c>
      <c r="AO39" s="37">
        <v>0</v>
      </c>
      <c r="AP39" s="37">
        <v>310.72115384615387</v>
      </c>
      <c r="AQ39" s="37">
        <v>0</v>
      </c>
      <c r="AR39" s="37">
        <v>241.97750000000025</v>
      </c>
      <c r="AS39" s="37">
        <v>0</v>
      </c>
      <c r="AT39" s="37">
        <v>265.85336538461536</v>
      </c>
      <c r="AU39" s="37">
        <v>0</v>
      </c>
      <c r="AV39" s="37">
        <v>236.5528846153847</v>
      </c>
      <c r="AW39" s="37">
        <v>0</v>
      </c>
      <c r="AX39" s="37">
        <v>298.29499999999996</v>
      </c>
      <c r="AY39" s="37">
        <v>0</v>
      </c>
    </row>
    <row r="40" spans="2:51">
      <c r="B40">
        <v>10101</v>
      </c>
      <c r="C40" t="s">
        <v>44</v>
      </c>
      <c r="D40" s="37">
        <v>0</v>
      </c>
      <c r="E40" s="37">
        <v>0</v>
      </c>
      <c r="F40" s="37">
        <v>0</v>
      </c>
      <c r="G40" s="37">
        <v>0</v>
      </c>
      <c r="H40" s="37">
        <v>19231.119999999984</v>
      </c>
      <c r="I40" s="37">
        <v>0</v>
      </c>
      <c r="J40" s="37">
        <v>19019.163461538461</v>
      </c>
      <c r="K40" s="37">
        <v>0</v>
      </c>
      <c r="L40" s="37">
        <v>22220.764999999992</v>
      </c>
      <c r="M40" s="37">
        <v>0</v>
      </c>
      <c r="N40" s="37">
        <v>11989.088942307681</v>
      </c>
      <c r="O40" s="37">
        <v>0</v>
      </c>
      <c r="P40" s="37">
        <v>18765.060096153858</v>
      </c>
      <c r="Q40" s="37">
        <v>0</v>
      </c>
      <c r="R40" s="37">
        <v>16456.776442307677</v>
      </c>
      <c r="S40" s="37">
        <v>0</v>
      </c>
      <c r="T40" s="37">
        <v>8611.619999999999</v>
      </c>
      <c r="U40" s="37">
        <v>0</v>
      </c>
      <c r="V40" s="37">
        <v>7824.7163461538403</v>
      </c>
      <c r="W40" s="37">
        <v>0</v>
      </c>
      <c r="X40" s="37">
        <v>9767.4351851851807</v>
      </c>
      <c r="Y40" s="37">
        <v>0</v>
      </c>
      <c r="Z40" s="37">
        <v>0</v>
      </c>
      <c r="AA40" s="37">
        <v>0</v>
      </c>
      <c r="AB40" s="37">
        <v>0</v>
      </c>
      <c r="AC40" s="37">
        <v>0</v>
      </c>
      <c r="AD40" s="37">
        <v>0</v>
      </c>
      <c r="AE40" s="37">
        <v>0</v>
      </c>
      <c r="AF40" s="37">
        <v>20324.117499999978</v>
      </c>
      <c r="AG40" s="37">
        <v>0</v>
      </c>
      <c r="AH40" s="37">
        <v>20103.831730769238</v>
      </c>
      <c r="AI40" s="37">
        <v>0</v>
      </c>
      <c r="AJ40" s="37">
        <v>18556.867187500011</v>
      </c>
      <c r="AK40" s="37">
        <v>0</v>
      </c>
      <c r="AL40" s="37">
        <v>13032.709134615381</v>
      </c>
      <c r="AM40" s="37">
        <v>0</v>
      </c>
      <c r="AN40" s="37">
        <v>19722.548076923089</v>
      </c>
      <c r="AO40" s="37">
        <v>0</v>
      </c>
      <c r="AP40" s="37">
        <v>17410.22596153845</v>
      </c>
      <c r="AQ40" s="37">
        <v>0</v>
      </c>
      <c r="AR40" s="37">
        <v>9468.0050000000083</v>
      </c>
      <c r="AS40" s="37">
        <v>0</v>
      </c>
      <c r="AT40" s="37">
        <v>8692.8004807692341</v>
      </c>
      <c r="AU40" s="37">
        <v>0</v>
      </c>
      <c r="AV40" s="37">
        <v>8351.4615384615372</v>
      </c>
      <c r="AW40" s="37">
        <v>0</v>
      </c>
      <c r="AX40" s="37">
        <v>2284.1300000000047</v>
      </c>
      <c r="AY40" s="37">
        <v>0</v>
      </c>
    </row>
    <row r="41" spans="2:51">
      <c r="B41">
        <v>10103</v>
      </c>
      <c r="C41" t="s">
        <v>45</v>
      </c>
      <c r="D41" s="37">
        <v>0</v>
      </c>
      <c r="E41" s="37">
        <v>0</v>
      </c>
      <c r="F41" s="37">
        <v>86310.21749999997</v>
      </c>
      <c r="G41" s="37">
        <v>0</v>
      </c>
      <c r="H41" s="37">
        <v>59365.874999999956</v>
      </c>
      <c r="I41" s="37">
        <v>0</v>
      </c>
      <c r="J41" s="37">
        <v>39896.052884615361</v>
      </c>
      <c r="K41" s="37">
        <v>0</v>
      </c>
      <c r="L41" s="37">
        <v>63602.467500000042</v>
      </c>
      <c r="M41" s="37">
        <v>0</v>
      </c>
      <c r="N41" s="37">
        <v>123428.15865384617</v>
      </c>
      <c r="O41" s="37">
        <v>0</v>
      </c>
      <c r="P41" s="37">
        <v>52289.685096153815</v>
      </c>
      <c r="Q41" s="37">
        <v>0</v>
      </c>
      <c r="R41" s="37">
        <v>93481.471153846127</v>
      </c>
      <c r="S41" s="37">
        <v>0</v>
      </c>
      <c r="T41" s="37">
        <v>168026.46749999997</v>
      </c>
      <c r="U41" s="37">
        <v>0</v>
      </c>
      <c r="V41" s="37">
        <v>124695.91346153842</v>
      </c>
      <c r="W41" s="37">
        <v>0</v>
      </c>
      <c r="X41" s="37">
        <v>195252.15740740745</v>
      </c>
      <c r="Y41" s="37">
        <v>0</v>
      </c>
      <c r="Z41" s="37">
        <v>144241.62760416663</v>
      </c>
      <c r="AA41" s="37">
        <v>0</v>
      </c>
      <c r="AB41" s="37">
        <v>18540.134259259332</v>
      </c>
      <c r="AC41" s="37">
        <v>0</v>
      </c>
      <c r="AD41" s="37">
        <v>90703.655000000086</v>
      </c>
      <c r="AE41" s="37">
        <v>0</v>
      </c>
      <c r="AF41" s="37">
        <v>62833.217499999933</v>
      </c>
      <c r="AG41" s="37">
        <v>0</v>
      </c>
      <c r="AH41" s="37">
        <v>73044.326923076878</v>
      </c>
      <c r="AI41" s="37">
        <v>0</v>
      </c>
      <c r="AJ41" s="37">
        <v>38938.942708333285</v>
      </c>
      <c r="AK41" s="37">
        <v>0</v>
      </c>
      <c r="AL41" s="37">
        <v>101412.82932692301</v>
      </c>
      <c r="AM41" s="37">
        <v>0</v>
      </c>
      <c r="AN41" s="37">
        <v>55264.447115384573</v>
      </c>
      <c r="AO41" s="37">
        <v>0</v>
      </c>
      <c r="AP41" s="37">
        <v>96197.187499999971</v>
      </c>
      <c r="AQ41" s="37">
        <v>0</v>
      </c>
      <c r="AR41" s="37">
        <v>172314.00750000001</v>
      </c>
      <c r="AS41" s="37">
        <v>0</v>
      </c>
      <c r="AT41" s="37">
        <v>129130.91826923082</v>
      </c>
      <c r="AU41" s="37">
        <v>0</v>
      </c>
      <c r="AV41" s="37">
        <v>177522.37980769231</v>
      </c>
      <c r="AW41" s="37">
        <v>0</v>
      </c>
      <c r="AX41" s="37">
        <v>171008.65500000009</v>
      </c>
      <c r="AY41" s="37">
        <v>0</v>
      </c>
    </row>
    <row r="42" spans="2:51">
      <c r="B42">
        <v>10105</v>
      </c>
      <c r="C42" t="s">
        <v>46</v>
      </c>
      <c r="D42" s="37">
        <v>0</v>
      </c>
      <c r="E42" s="37">
        <v>0</v>
      </c>
      <c r="F42" s="37">
        <v>0</v>
      </c>
      <c r="G42" s="37">
        <v>0</v>
      </c>
      <c r="H42" s="37">
        <v>0</v>
      </c>
      <c r="I42" s="37">
        <v>0</v>
      </c>
      <c r="J42" s="37">
        <v>0</v>
      </c>
      <c r="K42" s="37">
        <v>0</v>
      </c>
      <c r="L42" s="37">
        <v>0</v>
      </c>
      <c r="M42" s="37">
        <v>0</v>
      </c>
      <c r="N42" s="37">
        <v>0</v>
      </c>
      <c r="O42" s="37">
        <v>0</v>
      </c>
      <c r="P42" s="37">
        <v>0</v>
      </c>
      <c r="Q42" s="37">
        <v>0</v>
      </c>
      <c r="R42" s="37">
        <v>0</v>
      </c>
      <c r="S42" s="37">
        <v>0</v>
      </c>
      <c r="T42" s="37">
        <v>0</v>
      </c>
      <c r="U42" s="37">
        <v>0</v>
      </c>
      <c r="V42" s="37">
        <v>0</v>
      </c>
      <c r="W42" s="37">
        <v>0</v>
      </c>
      <c r="X42" s="37">
        <v>0</v>
      </c>
      <c r="Y42" s="37">
        <v>0</v>
      </c>
      <c r="Z42" s="37">
        <v>0</v>
      </c>
      <c r="AA42" s="37">
        <v>0</v>
      </c>
      <c r="AB42" s="37">
        <v>0</v>
      </c>
      <c r="AC42" s="37">
        <v>0</v>
      </c>
      <c r="AD42" s="37">
        <v>0</v>
      </c>
      <c r="AE42" s="37">
        <v>0</v>
      </c>
      <c r="AF42" s="37">
        <v>0</v>
      </c>
      <c r="AG42" s="37">
        <v>0</v>
      </c>
      <c r="AH42" s="37">
        <v>0</v>
      </c>
      <c r="AI42" s="37">
        <v>0</v>
      </c>
      <c r="AJ42" s="37">
        <v>0</v>
      </c>
      <c r="AK42" s="37">
        <v>0</v>
      </c>
      <c r="AL42" s="37">
        <v>0</v>
      </c>
      <c r="AM42" s="37">
        <v>0</v>
      </c>
      <c r="AN42" s="37">
        <v>0</v>
      </c>
      <c r="AO42" s="37">
        <v>0</v>
      </c>
      <c r="AP42" s="37">
        <v>0</v>
      </c>
      <c r="AQ42" s="37">
        <v>0</v>
      </c>
      <c r="AR42" s="37">
        <v>0</v>
      </c>
      <c r="AS42" s="37">
        <v>0</v>
      </c>
      <c r="AT42" s="37">
        <v>0</v>
      </c>
      <c r="AU42" s="37">
        <v>0</v>
      </c>
      <c r="AV42" s="37">
        <v>0</v>
      </c>
      <c r="AW42" s="37">
        <v>0</v>
      </c>
      <c r="AX42" s="37">
        <v>0</v>
      </c>
      <c r="AY42" s="37">
        <v>0</v>
      </c>
    </row>
    <row r="43" spans="2:51">
      <c r="B43">
        <v>10106</v>
      </c>
      <c r="C43" t="s">
        <v>47</v>
      </c>
      <c r="D43" s="37">
        <v>0</v>
      </c>
      <c r="E43" s="37">
        <v>0</v>
      </c>
      <c r="F43" s="37">
        <v>0</v>
      </c>
      <c r="G43" s="37">
        <v>0</v>
      </c>
      <c r="H43" s="37">
        <v>0</v>
      </c>
      <c r="I43" s="37">
        <v>0</v>
      </c>
      <c r="J43" s="37">
        <v>0</v>
      </c>
      <c r="K43" s="37">
        <v>0</v>
      </c>
      <c r="L43" s="37">
        <v>0</v>
      </c>
      <c r="M43" s="37">
        <v>0</v>
      </c>
      <c r="N43" s="37">
        <v>0</v>
      </c>
      <c r="O43" s="37">
        <v>0</v>
      </c>
      <c r="P43" s="37">
        <v>0</v>
      </c>
      <c r="Q43" s="37">
        <v>0</v>
      </c>
      <c r="R43" s="37">
        <v>0</v>
      </c>
      <c r="S43" s="37">
        <v>0</v>
      </c>
      <c r="T43" s="37">
        <v>0</v>
      </c>
      <c r="U43" s="37">
        <v>0</v>
      </c>
      <c r="V43" s="37">
        <v>0</v>
      </c>
      <c r="W43" s="37">
        <v>0</v>
      </c>
      <c r="X43" s="37">
        <v>0</v>
      </c>
      <c r="Y43" s="37">
        <v>0</v>
      </c>
      <c r="Z43" s="37">
        <v>0</v>
      </c>
      <c r="AA43" s="37">
        <v>0</v>
      </c>
      <c r="AB43" s="37">
        <v>0</v>
      </c>
      <c r="AC43" s="37">
        <v>0</v>
      </c>
      <c r="AD43" s="37">
        <v>0</v>
      </c>
      <c r="AE43" s="37">
        <v>0</v>
      </c>
      <c r="AF43" s="37">
        <v>0</v>
      </c>
      <c r="AG43" s="37">
        <v>0</v>
      </c>
      <c r="AH43" s="37">
        <v>0</v>
      </c>
      <c r="AI43" s="37">
        <v>0</v>
      </c>
      <c r="AJ43" s="37">
        <v>0</v>
      </c>
      <c r="AK43" s="37">
        <v>0</v>
      </c>
      <c r="AL43" s="37">
        <v>0</v>
      </c>
      <c r="AM43" s="37">
        <v>0</v>
      </c>
      <c r="AN43" s="37">
        <v>0</v>
      </c>
      <c r="AO43" s="37">
        <v>0</v>
      </c>
      <c r="AP43" s="37">
        <v>0</v>
      </c>
      <c r="AQ43" s="37">
        <v>0</v>
      </c>
      <c r="AR43" s="37">
        <v>0</v>
      </c>
      <c r="AS43" s="37">
        <v>0</v>
      </c>
      <c r="AT43" s="37">
        <v>0</v>
      </c>
      <c r="AU43" s="37">
        <v>0</v>
      </c>
      <c r="AV43" s="37">
        <v>0</v>
      </c>
      <c r="AW43" s="37">
        <v>0</v>
      </c>
      <c r="AX43" s="37">
        <v>0</v>
      </c>
      <c r="AY43" s="37">
        <v>0</v>
      </c>
    </row>
    <row r="44" spans="2:51">
      <c r="B44">
        <v>10109</v>
      </c>
      <c r="C44" t="s">
        <v>48</v>
      </c>
      <c r="D44" s="37">
        <v>2855.7524038461547</v>
      </c>
      <c r="E44" s="37">
        <v>0</v>
      </c>
      <c r="F44" s="37">
        <v>2185.8249999999985</v>
      </c>
      <c r="G44" s="37">
        <v>0</v>
      </c>
      <c r="H44" s="37">
        <v>4095.3249999999962</v>
      </c>
      <c r="I44" s="37">
        <v>0</v>
      </c>
      <c r="J44" s="37">
        <v>6972.2932692307731</v>
      </c>
      <c r="K44" s="37">
        <v>0</v>
      </c>
      <c r="L44" s="37">
        <v>3480.0199999999968</v>
      </c>
      <c r="M44" s="37">
        <v>0</v>
      </c>
      <c r="N44" s="37">
        <v>8050.5000000000064</v>
      </c>
      <c r="O44" s="37">
        <v>0</v>
      </c>
      <c r="P44" s="37">
        <v>0</v>
      </c>
      <c r="Q44" s="37">
        <v>0</v>
      </c>
      <c r="R44" s="37">
        <v>4863.4375000000018</v>
      </c>
      <c r="S44" s="37">
        <v>0</v>
      </c>
      <c r="T44" s="37">
        <v>0</v>
      </c>
      <c r="U44" s="37">
        <v>0</v>
      </c>
      <c r="V44" s="37">
        <v>11585.1875</v>
      </c>
      <c r="W44" s="37">
        <v>0</v>
      </c>
      <c r="X44" s="37">
        <v>0</v>
      </c>
      <c r="Y44" s="37">
        <v>0</v>
      </c>
      <c r="Z44" s="37">
        <v>6674.7343749999982</v>
      </c>
      <c r="AA44" s="37">
        <v>0</v>
      </c>
      <c r="AB44" s="37">
        <v>2938.439814814818</v>
      </c>
      <c r="AC44" s="37">
        <v>0</v>
      </c>
      <c r="AD44" s="37">
        <v>2216.9500000000016</v>
      </c>
      <c r="AE44" s="37">
        <v>0</v>
      </c>
      <c r="AF44" s="37">
        <v>5595.3249999999962</v>
      </c>
      <c r="AG44" s="37">
        <v>0</v>
      </c>
      <c r="AH44" s="37">
        <v>8932.6634615384628</v>
      </c>
      <c r="AI44" s="37">
        <v>0</v>
      </c>
      <c r="AJ44" s="37">
        <v>124.63541666666433</v>
      </c>
      <c r="AK44" s="37">
        <v>0</v>
      </c>
      <c r="AL44" s="37">
        <v>8712.8461538461543</v>
      </c>
      <c r="AM44" s="37">
        <v>0</v>
      </c>
      <c r="AN44" s="37">
        <v>0</v>
      </c>
      <c r="AO44" s="37">
        <v>0</v>
      </c>
      <c r="AP44" s="37">
        <v>5189.4134615384628</v>
      </c>
      <c r="AQ44" s="37">
        <v>0</v>
      </c>
      <c r="AR44" s="37">
        <v>0</v>
      </c>
      <c r="AS44" s="37">
        <v>0</v>
      </c>
      <c r="AT44" s="37">
        <v>11805.341346153849</v>
      </c>
      <c r="AU44" s="37">
        <v>0</v>
      </c>
      <c r="AV44" s="37">
        <v>0</v>
      </c>
      <c r="AW44" s="37">
        <v>0</v>
      </c>
      <c r="AX44" s="37">
        <v>7886.1</v>
      </c>
      <c r="AY44" s="37">
        <v>0</v>
      </c>
    </row>
    <row r="45" spans="2:51">
      <c r="B45">
        <v>10111</v>
      </c>
      <c r="C45" t="s">
        <v>49</v>
      </c>
      <c r="D45" s="37">
        <v>1129.4495192307693</v>
      </c>
      <c r="E45" s="37">
        <v>0</v>
      </c>
      <c r="F45" s="37">
        <v>426.61749999999967</v>
      </c>
      <c r="G45" s="37">
        <v>0</v>
      </c>
      <c r="H45" s="37">
        <v>372.08000000000021</v>
      </c>
      <c r="I45" s="37">
        <v>0</v>
      </c>
      <c r="J45" s="37">
        <v>1104.2740384615383</v>
      </c>
      <c r="K45" s="37">
        <v>0</v>
      </c>
      <c r="L45" s="37">
        <v>612.69500000000016</v>
      </c>
      <c r="M45" s="37">
        <v>0</v>
      </c>
      <c r="N45" s="37">
        <v>618.56009615384573</v>
      </c>
      <c r="O45" s="37">
        <v>0</v>
      </c>
      <c r="P45" s="37">
        <v>0</v>
      </c>
      <c r="Q45" s="37">
        <v>0</v>
      </c>
      <c r="R45" s="37">
        <v>221.44230769230788</v>
      </c>
      <c r="S45" s="37">
        <v>0</v>
      </c>
      <c r="T45" s="37">
        <v>410.15749999999997</v>
      </c>
      <c r="U45" s="37">
        <v>0</v>
      </c>
      <c r="V45" s="37">
        <v>603.9711538461537</v>
      </c>
      <c r="W45" s="37">
        <v>0</v>
      </c>
      <c r="X45" s="37">
        <v>1161.1504629629633</v>
      </c>
      <c r="Y45" s="37">
        <v>0</v>
      </c>
      <c r="Z45" s="37">
        <v>768.55208333333348</v>
      </c>
      <c r="AA45" s="37">
        <v>0</v>
      </c>
      <c r="AB45" s="37">
        <v>1221.025462962963</v>
      </c>
      <c r="AC45" s="37">
        <v>0</v>
      </c>
      <c r="AD45" s="37">
        <v>426.69250000000034</v>
      </c>
      <c r="AE45" s="37">
        <v>0</v>
      </c>
      <c r="AF45" s="37">
        <v>372.82750000000033</v>
      </c>
      <c r="AG45" s="37">
        <v>0</v>
      </c>
      <c r="AH45" s="37">
        <v>1265.3701923076917</v>
      </c>
      <c r="AI45" s="37">
        <v>0</v>
      </c>
      <c r="AJ45" s="37">
        <v>470.46875</v>
      </c>
      <c r="AK45" s="37">
        <v>0</v>
      </c>
      <c r="AL45" s="37">
        <v>483.93749999999966</v>
      </c>
      <c r="AM45" s="37">
        <v>0</v>
      </c>
      <c r="AN45" s="37">
        <v>0</v>
      </c>
      <c r="AO45" s="37">
        <v>0</v>
      </c>
      <c r="AP45" s="37">
        <v>221.78365384615407</v>
      </c>
      <c r="AQ45" s="37">
        <v>0</v>
      </c>
      <c r="AR45" s="37">
        <v>409.49499999999972</v>
      </c>
      <c r="AS45" s="37">
        <v>0</v>
      </c>
      <c r="AT45" s="37">
        <v>604.13221153846189</v>
      </c>
      <c r="AU45" s="37">
        <v>0</v>
      </c>
      <c r="AV45" s="37">
        <v>1013.7548076923077</v>
      </c>
      <c r="AW45" s="37">
        <v>0</v>
      </c>
      <c r="AX45" s="37">
        <v>898.43500000000029</v>
      </c>
      <c r="AY45" s="37">
        <v>0</v>
      </c>
    </row>
    <row r="46" spans="2:51">
      <c r="B46">
        <v>10112</v>
      </c>
      <c r="C46" t="s">
        <v>50</v>
      </c>
      <c r="D46" s="37">
        <v>7598.3341346153766</v>
      </c>
      <c r="E46" s="37">
        <v>0</v>
      </c>
      <c r="F46" s="37">
        <v>8294.3750000000109</v>
      </c>
      <c r="G46" s="37">
        <v>0</v>
      </c>
      <c r="H46" s="37">
        <v>13725.579999999998</v>
      </c>
      <c r="I46" s="37">
        <v>0</v>
      </c>
      <c r="J46" s="37">
        <v>5278.8581730769247</v>
      </c>
      <c r="K46" s="37">
        <v>0</v>
      </c>
      <c r="L46" s="37">
        <v>13784.702499999996</v>
      </c>
      <c r="M46" s="37">
        <v>0</v>
      </c>
      <c r="N46" s="37">
        <v>5025.475961538451</v>
      </c>
      <c r="O46" s="37">
        <v>0</v>
      </c>
      <c r="P46" s="37">
        <v>12794.365384615381</v>
      </c>
      <c r="Q46" s="37">
        <v>0</v>
      </c>
      <c r="R46" s="37">
        <v>15523.247596153848</v>
      </c>
      <c r="S46" s="37">
        <v>0</v>
      </c>
      <c r="T46" s="37">
        <v>16323.455000000004</v>
      </c>
      <c r="U46" s="37">
        <v>0</v>
      </c>
      <c r="V46" s="37">
        <v>20748.456730769223</v>
      </c>
      <c r="W46" s="37">
        <v>0</v>
      </c>
      <c r="X46" s="37">
        <v>26589.027777777774</v>
      </c>
      <c r="Y46" s="37">
        <v>0</v>
      </c>
      <c r="Z46" s="37">
        <v>14932.869791666661</v>
      </c>
      <c r="AA46" s="37">
        <v>0</v>
      </c>
      <c r="AB46" s="37">
        <v>10192.969907407409</v>
      </c>
      <c r="AC46" s="37">
        <v>0</v>
      </c>
      <c r="AD46" s="37">
        <v>8702.3874999999953</v>
      </c>
      <c r="AE46" s="37">
        <v>0</v>
      </c>
      <c r="AF46" s="37">
        <v>14181.697499999989</v>
      </c>
      <c r="AG46" s="37">
        <v>0</v>
      </c>
      <c r="AH46" s="37">
        <v>5637.3750000000036</v>
      </c>
      <c r="AI46" s="37">
        <v>0</v>
      </c>
      <c r="AJ46" s="37">
        <v>11364.502604166675</v>
      </c>
      <c r="AK46" s="37">
        <v>0</v>
      </c>
      <c r="AL46" s="37">
        <v>5447.3653846153848</v>
      </c>
      <c r="AM46" s="37">
        <v>0</v>
      </c>
      <c r="AN46" s="37">
        <v>13206.526442307697</v>
      </c>
      <c r="AO46" s="37">
        <v>0</v>
      </c>
      <c r="AP46" s="37">
        <v>15913.305288461541</v>
      </c>
      <c r="AQ46" s="37">
        <v>0</v>
      </c>
      <c r="AR46" s="37">
        <v>16917.095000000005</v>
      </c>
      <c r="AS46" s="37">
        <v>0</v>
      </c>
      <c r="AT46" s="37">
        <v>21385.526442307688</v>
      </c>
      <c r="AU46" s="37">
        <v>0</v>
      </c>
      <c r="AV46" s="37">
        <v>24773.086538461543</v>
      </c>
      <c r="AW46" s="37">
        <v>0</v>
      </c>
      <c r="AX46" s="37">
        <v>17946.112499999999</v>
      </c>
      <c r="AY46" s="37">
        <v>0</v>
      </c>
    </row>
    <row r="47" spans="2:51">
      <c r="B47">
        <v>10113</v>
      </c>
      <c r="C47" t="s">
        <v>51</v>
      </c>
      <c r="D47" s="37">
        <v>2301.7427884615422</v>
      </c>
      <c r="E47" s="37">
        <v>0</v>
      </c>
      <c r="F47" s="37">
        <v>3319.2724999999969</v>
      </c>
      <c r="G47" s="37">
        <v>0</v>
      </c>
      <c r="H47" s="37">
        <v>1298.8500000000017</v>
      </c>
      <c r="I47" s="37">
        <v>0</v>
      </c>
      <c r="J47" s="37">
        <v>2093.2716346153825</v>
      </c>
      <c r="K47" s="37">
        <v>0</v>
      </c>
      <c r="L47" s="37">
        <v>1903.9499999999982</v>
      </c>
      <c r="M47" s="37">
        <v>0</v>
      </c>
      <c r="N47" s="37">
        <v>3611.0024038461538</v>
      </c>
      <c r="O47" s="37">
        <v>0</v>
      </c>
      <c r="P47" s="37">
        <v>6325.6442307692287</v>
      </c>
      <c r="Q47" s="37">
        <v>0</v>
      </c>
      <c r="R47" s="37">
        <v>0</v>
      </c>
      <c r="S47" s="37">
        <v>0</v>
      </c>
      <c r="T47" s="37">
        <v>14918.830000000013</v>
      </c>
      <c r="U47" s="37">
        <v>0</v>
      </c>
      <c r="V47" s="37">
        <v>9338.3557692307695</v>
      </c>
      <c r="W47" s="37">
        <v>0</v>
      </c>
      <c r="X47" s="37">
        <v>19083.768518518526</v>
      </c>
      <c r="Y47" s="37">
        <v>0</v>
      </c>
      <c r="Z47" s="37">
        <v>3028.5468749999964</v>
      </c>
      <c r="AA47" s="37">
        <v>0</v>
      </c>
      <c r="AB47" s="37">
        <v>3757.9375000000005</v>
      </c>
      <c r="AC47" s="37">
        <v>0</v>
      </c>
      <c r="AD47" s="37">
        <v>3255.5200000000004</v>
      </c>
      <c r="AE47" s="37">
        <v>0</v>
      </c>
      <c r="AF47" s="37">
        <v>1191.035000000003</v>
      </c>
      <c r="AG47" s="37">
        <v>0</v>
      </c>
      <c r="AH47" s="37">
        <v>3110.2956730769179</v>
      </c>
      <c r="AI47" s="37">
        <v>0</v>
      </c>
      <c r="AJ47" s="37">
        <v>737.66145833333496</v>
      </c>
      <c r="AK47" s="37">
        <v>0</v>
      </c>
      <c r="AL47" s="37">
        <v>2449.6658653846202</v>
      </c>
      <c r="AM47" s="37">
        <v>0</v>
      </c>
      <c r="AN47" s="37">
        <v>6317.7115384615372</v>
      </c>
      <c r="AO47" s="37">
        <v>0</v>
      </c>
      <c r="AP47" s="37">
        <v>0</v>
      </c>
      <c r="AQ47" s="37">
        <v>0</v>
      </c>
      <c r="AR47" s="37">
        <v>15005.962500000009</v>
      </c>
      <c r="AS47" s="37">
        <v>0</v>
      </c>
      <c r="AT47" s="37">
        <v>9345.8389423076896</v>
      </c>
      <c r="AU47" s="37">
        <v>0</v>
      </c>
      <c r="AV47" s="37">
        <v>16311.180288461543</v>
      </c>
      <c r="AW47" s="37">
        <v>0</v>
      </c>
      <c r="AX47" s="37">
        <v>5045.0124999999989</v>
      </c>
      <c r="AY47" s="37">
        <v>0</v>
      </c>
    </row>
    <row r="48" spans="2:51">
      <c r="B48">
        <v>10116</v>
      </c>
      <c r="C48" t="s">
        <v>52</v>
      </c>
      <c r="D48" s="37">
        <v>360.39903846153845</v>
      </c>
      <c r="E48" s="37">
        <v>0</v>
      </c>
      <c r="F48" s="37">
        <v>0</v>
      </c>
      <c r="G48" s="37">
        <v>0</v>
      </c>
      <c r="H48" s="37">
        <v>0</v>
      </c>
      <c r="I48" s="37">
        <v>0</v>
      </c>
      <c r="J48" s="37">
        <v>0</v>
      </c>
      <c r="K48" s="37">
        <v>0</v>
      </c>
      <c r="L48" s="37">
        <v>0</v>
      </c>
      <c r="M48" s="37">
        <v>0</v>
      </c>
      <c r="N48" s="37">
        <v>0</v>
      </c>
      <c r="O48" s="37">
        <v>0</v>
      </c>
      <c r="P48" s="37">
        <v>281.09375</v>
      </c>
      <c r="Q48" s="37">
        <v>0</v>
      </c>
      <c r="R48" s="37">
        <v>702.97115384615392</v>
      </c>
      <c r="S48" s="37">
        <v>0</v>
      </c>
      <c r="T48" s="37">
        <v>908.4375</v>
      </c>
      <c r="U48" s="37">
        <v>0</v>
      </c>
      <c r="V48" s="37">
        <v>786.87740384615404</v>
      </c>
      <c r="W48" s="37">
        <v>0</v>
      </c>
      <c r="X48" s="37">
        <v>895.5</v>
      </c>
      <c r="Y48" s="37">
        <v>0</v>
      </c>
      <c r="Z48" s="37">
        <v>1082.5442708333335</v>
      </c>
      <c r="AA48" s="37">
        <v>0</v>
      </c>
      <c r="AB48" s="37">
        <v>370.19907407407413</v>
      </c>
      <c r="AC48" s="37">
        <v>0</v>
      </c>
      <c r="AD48" s="37">
        <v>0</v>
      </c>
      <c r="AE48" s="37">
        <v>0</v>
      </c>
      <c r="AF48" s="37">
        <v>0</v>
      </c>
      <c r="AG48" s="37">
        <v>0</v>
      </c>
      <c r="AH48" s="37">
        <v>0</v>
      </c>
      <c r="AI48" s="37">
        <v>0</v>
      </c>
      <c r="AJ48" s="37">
        <v>0</v>
      </c>
      <c r="AK48" s="37">
        <v>0</v>
      </c>
      <c r="AL48" s="37">
        <v>0</v>
      </c>
      <c r="AM48" s="37">
        <v>0</v>
      </c>
      <c r="AN48" s="37">
        <v>281.09375</v>
      </c>
      <c r="AO48" s="37">
        <v>0</v>
      </c>
      <c r="AP48" s="37">
        <v>702.97115384615392</v>
      </c>
      <c r="AQ48" s="37">
        <v>0</v>
      </c>
      <c r="AR48" s="37">
        <v>908.4375</v>
      </c>
      <c r="AS48" s="37">
        <v>0</v>
      </c>
      <c r="AT48" s="37">
        <v>786.87740384615404</v>
      </c>
      <c r="AU48" s="37">
        <v>0</v>
      </c>
      <c r="AV48" s="37">
        <v>887.75</v>
      </c>
      <c r="AW48" s="37">
        <v>0</v>
      </c>
      <c r="AX48" s="37">
        <v>1092.7225000000003</v>
      </c>
      <c r="AY48" s="37">
        <v>0</v>
      </c>
    </row>
    <row r="49" spans="2:51">
      <c r="B49">
        <v>10118</v>
      </c>
      <c r="C49" t="s">
        <v>53</v>
      </c>
      <c r="D49" s="37">
        <v>0</v>
      </c>
      <c r="E49" s="37">
        <v>0</v>
      </c>
      <c r="F49" s="37">
        <v>0</v>
      </c>
      <c r="G49" s="37">
        <v>0</v>
      </c>
      <c r="H49" s="37">
        <v>0</v>
      </c>
      <c r="I49" s="37">
        <v>0</v>
      </c>
      <c r="J49" s="37">
        <v>0</v>
      </c>
      <c r="K49" s="37">
        <v>0</v>
      </c>
      <c r="L49" s="37">
        <v>0</v>
      </c>
      <c r="M49" s="37">
        <v>0</v>
      </c>
      <c r="N49" s="37">
        <v>0</v>
      </c>
      <c r="O49" s="37">
        <v>0</v>
      </c>
      <c r="P49" s="37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0</v>
      </c>
      <c r="W49" s="37">
        <v>0</v>
      </c>
      <c r="X49" s="37">
        <v>0</v>
      </c>
      <c r="Y49" s="37">
        <v>0</v>
      </c>
      <c r="Z49" s="37">
        <v>0</v>
      </c>
      <c r="AA49" s="37">
        <v>0</v>
      </c>
      <c r="AB49" s="37">
        <v>0</v>
      </c>
      <c r="AC49" s="37">
        <v>0</v>
      </c>
      <c r="AD49" s="37">
        <v>0</v>
      </c>
      <c r="AE49" s="37">
        <v>0</v>
      </c>
      <c r="AF49" s="37">
        <v>0</v>
      </c>
      <c r="AG49" s="37">
        <v>0</v>
      </c>
      <c r="AH49" s="37">
        <v>0</v>
      </c>
      <c r="AI49" s="37">
        <v>0</v>
      </c>
      <c r="AJ49" s="37">
        <v>0</v>
      </c>
      <c r="AK49" s="37">
        <v>0</v>
      </c>
      <c r="AL49" s="37">
        <v>0</v>
      </c>
      <c r="AM49" s="37">
        <v>0</v>
      </c>
      <c r="AN49" s="37">
        <v>0</v>
      </c>
      <c r="AO49" s="37">
        <v>0</v>
      </c>
      <c r="AP49" s="37">
        <v>0</v>
      </c>
      <c r="AQ49" s="37">
        <v>0</v>
      </c>
      <c r="AR49" s="37">
        <v>0</v>
      </c>
      <c r="AS49" s="37">
        <v>0</v>
      </c>
      <c r="AT49" s="37">
        <v>0</v>
      </c>
      <c r="AU49" s="37">
        <v>0</v>
      </c>
      <c r="AV49" s="37">
        <v>0</v>
      </c>
      <c r="AW49" s="37">
        <v>0</v>
      </c>
      <c r="AX49" s="37">
        <v>0</v>
      </c>
      <c r="AY49" s="37">
        <v>0</v>
      </c>
    </row>
    <row r="50" spans="2:51">
      <c r="B50">
        <v>10121</v>
      </c>
      <c r="C50" t="s">
        <v>54</v>
      </c>
      <c r="D50" s="37">
        <v>0</v>
      </c>
      <c r="E50" s="37">
        <v>0</v>
      </c>
      <c r="F50" s="37">
        <v>0</v>
      </c>
      <c r="G50" s="37">
        <v>0</v>
      </c>
      <c r="H50" s="37">
        <v>0</v>
      </c>
      <c r="I50" s="37">
        <v>0</v>
      </c>
      <c r="J50" s="37">
        <v>0</v>
      </c>
      <c r="K50" s="37">
        <v>0</v>
      </c>
      <c r="L50" s="37">
        <v>0</v>
      </c>
      <c r="M50" s="37">
        <v>0</v>
      </c>
      <c r="N50" s="37">
        <v>0</v>
      </c>
      <c r="O50" s="37">
        <v>0</v>
      </c>
      <c r="P50" s="37">
        <v>0</v>
      </c>
      <c r="Q50" s="37">
        <v>0</v>
      </c>
      <c r="R50" s="37">
        <v>0</v>
      </c>
      <c r="S50" s="37">
        <v>0</v>
      </c>
      <c r="T50" s="37">
        <v>0</v>
      </c>
      <c r="U50" s="37">
        <v>0</v>
      </c>
      <c r="V50" s="37">
        <v>0</v>
      </c>
      <c r="W50" s="37">
        <v>0</v>
      </c>
      <c r="X50" s="37">
        <v>0</v>
      </c>
      <c r="Y50" s="37">
        <v>0</v>
      </c>
      <c r="Z50" s="37">
        <v>0</v>
      </c>
      <c r="AA50" s="37">
        <v>0</v>
      </c>
      <c r="AB50" s="37">
        <v>0</v>
      </c>
      <c r="AC50" s="37">
        <v>0</v>
      </c>
      <c r="AD50" s="37">
        <v>0</v>
      </c>
      <c r="AE50" s="37">
        <v>0</v>
      </c>
      <c r="AF50" s="37">
        <v>0</v>
      </c>
      <c r="AG50" s="37">
        <v>0</v>
      </c>
      <c r="AH50" s="37">
        <v>0</v>
      </c>
      <c r="AI50" s="37">
        <v>0</v>
      </c>
      <c r="AJ50" s="37">
        <v>0</v>
      </c>
      <c r="AK50" s="37">
        <v>0</v>
      </c>
      <c r="AL50" s="37">
        <v>0</v>
      </c>
      <c r="AM50" s="37">
        <v>0</v>
      </c>
      <c r="AN50" s="37">
        <v>0</v>
      </c>
      <c r="AO50" s="37">
        <v>0</v>
      </c>
      <c r="AP50" s="37">
        <v>0</v>
      </c>
      <c r="AQ50" s="37">
        <v>0</v>
      </c>
      <c r="AR50" s="37">
        <v>0</v>
      </c>
      <c r="AS50" s="37">
        <v>0</v>
      </c>
      <c r="AT50" s="37">
        <v>0</v>
      </c>
      <c r="AU50" s="37">
        <v>0</v>
      </c>
      <c r="AV50" s="37">
        <v>0</v>
      </c>
      <c r="AW50" s="37">
        <v>0</v>
      </c>
      <c r="AX50" s="37">
        <v>0</v>
      </c>
      <c r="AY50" s="37">
        <v>0</v>
      </c>
    </row>
    <row r="51" spans="2:51">
      <c r="B51">
        <v>10123</v>
      </c>
      <c r="C51" t="s">
        <v>55</v>
      </c>
      <c r="D51" s="37">
        <v>0</v>
      </c>
      <c r="E51" s="37">
        <v>0</v>
      </c>
      <c r="F51" s="37">
        <v>0</v>
      </c>
      <c r="G51" s="37">
        <v>0</v>
      </c>
      <c r="H51" s="37">
        <v>0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7">
        <v>0</v>
      </c>
      <c r="O51" s="37">
        <v>0</v>
      </c>
      <c r="P51" s="37">
        <v>0</v>
      </c>
      <c r="Q51" s="37">
        <v>0</v>
      </c>
      <c r="R51" s="37">
        <v>0</v>
      </c>
      <c r="S51" s="37">
        <v>0</v>
      </c>
      <c r="T51" s="37">
        <v>0</v>
      </c>
      <c r="U51" s="37">
        <v>0</v>
      </c>
      <c r="V51" s="37">
        <v>0</v>
      </c>
      <c r="W51" s="37">
        <v>0</v>
      </c>
      <c r="X51" s="37">
        <v>0</v>
      </c>
      <c r="Y51" s="37">
        <v>0</v>
      </c>
      <c r="Z51" s="37">
        <v>0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7">
        <v>0</v>
      </c>
      <c r="AG51" s="37">
        <v>0</v>
      </c>
      <c r="AH51" s="37">
        <v>0</v>
      </c>
      <c r="AI51" s="37">
        <v>0</v>
      </c>
      <c r="AJ51" s="37">
        <v>0</v>
      </c>
      <c r="AK51" s="37">
        <v>0</v>
      </c>
      <c r="AL51" s="37">
        <v>0</v>
      </c>
      <c r="AM51" s="37">
        <v>0</v>
      </c>
      <c r="AN51" s="37">
        <v>0</v>
      </c>
      <c r="AO51" s="37">
        <v>0</v>
      </c>
      <c r="AP51" s="37">
        <v>0</v>
      </c>
      <c r="AQ51" s="37">
        <v>0</v>
      </c>
      <c r="AR51" s="37">
        <v>0</v>
      </c>
      <c r="AS51" s="37">
        <v>0</v>
      </c>
      <c r="AT51" s="37">
        <v>0</v>
      </c>
      <c r="AU51" s="37">
        <v>0</v>
      </c>
      <c r="AV51" s="37">
        <v>0</v>
      </c>
      <c r="AW51" s="37">
        <v>0</v>
      </c>
      <c r="AX51" s="37">
        <v>0</v>
      </c>
      <c r="AY51" s="37">
        <v>0</v>
      </c>
    </row>
    <row r="52" spans="2:51">
      <c r="B52">
        <v>10136</v>
      </c>
      <c r="C52" t="s">
        <v>56</v>
      </c>
      <c r="D52" s="37">
        <v>0</v>
      </c>
      <c r="E52" s="37">
        <v>0</v>
      </c>
      <c r="F52" s="37">
        <v>0</v>
      </c>
      <c r="G52" s="37">
        <v>0</v>
      </c>
      <c r="H52" s="37">
        <v>0</v>
      </c>
      <c r="I52" s="37">
        <v>0</v>
      </c>
      <c r="J52" s="37">
        <v>0</v>
      </c>
      <c r="K52" s="37">
        <v>0</v>
      </c>
      <c r="L52" s="37">
        <v>0</v>
      </c>
      <c r="M52" s="37">
        <v>0</v>
      </c>
      <c r="N52" s="37">
        <v>0</v>
      </c>
      <c r="O52" s="37">
        <v>0</v>
      </c>
      <c r="P52" s="37">
        <v>0</v>
      </c>
      <c r="Q52" s="37">
        <v>0</v>
      </c>
      <c r="R52" s="37">
        <v>0</v>
      </c>
      <c r="S52" s="37">
        <v>0</v>
      </c>
      <c r="T52" s="37">
        <v>0</v>
      </c>
      <c r="U52" s="37">
        <v>0</v>
      </c>
      <c r="V52" s="37">
        <v>0</v>
      </c>
      <c r="W52" s="37">
        <v>0</v>
      </c>
      <c r="X52" s="37">
        <v>0</v>
      </c>
      <c r="Y52" s="37">
        <v>0</v>
      </c>
      <c r="Z52" s="37">
        <v>0</v>
      </c>
      <c r="AA52" s="37">
        <v>0</v>
      </c>
      <c r="AB52" s="37">
        <v>0</v>
      </c>
      <c r="AC52" s="37">
        <v>0</v>
      </c>
      <c r="AD52" s="37">
        <v>0</v>
      </c>
      <c r="AE52" s="37">
        <v>0</v>
      </c>
      <c r="AF52" s="37">
        <v>0</v>
      </c>
      <c r="AG52" s="37">
        <v>0</v>
      </c>
      <c r="AH52" s="37">
        <v>0</v>
      </c>
      <c r="AI52" s="37">
        <v>0</v>
      </c>
      <c r="AJ52" s="37">
        <v>0</v>
      </c>
      <c r="AK52" s="37">
        <v>0</v>
      </c>
      <c r="AL52" s="37">
        <v>0</v>
      </c>
      <c r="AM52" s="37">
        <v>0</v>
      </c>
      <c r="AN52" s="37">
        <v>0</v>
      </c>
      <c r="AO52" s="37">
        <v>0</v>
      </c>
      <c r="AP52" s="37">
        <v>0</v>
      </c>
      <c r="AQ52" s="37">
        <v>0</v>
      </c>
      <c r="AR52" s="37">
        <v>0</v>
      </c>
      <c r="AS52" s="37">
        <v>0</v>
      </c>
      <c r="AT52" s="37">
        <v>0</v>
      </c>
      <c r="AU52" s="37">
        <v>0</v>
      </c>
      <c r="AV52" s="37">
        <v>0</v>
      </c>
      <c r="AW52" s="37">
        <v>0</v>
      </c>
      <c r="AX52" s="37">
        <v>0</v>
      </c>
      <c r="AY52" s="37">
        <v>0</v>
      </c>
    </row>
    <row r="53" spans="2:51">
      <c r="B53">
        <v>10142</v>
      </c>
      <c r="C53" t="s">
        <v>57</v>
      </c>
      <c r="D53" s="37">
        <v>830.26442307692298</v>
      </c>
      <c r="E53" s="37">
        <v>0</v>
      </c>
      <c r="F53" s="37">
        <v>808.64499999999975</v>
      </c>
      <c r="G53" s="37">
        <v>0</v>
      </c>
      <c r="H53" s="37">
        <v>1062.0625000000005</v>
      </c>
      <c r="I53" s="37">
        <v>0</v>
      </c>
      <c r="J53" s="37">
        <v>794.64182692307634</v>
      </c>
      <c r="K53" s="37">
        <v>0</v>
      </c>
      <c r="L53" s="37">
        <v>850.78499999999985</v>
      </c>
      <c r="M53" s="37">
        <v>0</v>
      </c>
      <c r="N53" s="37">
        <v>691.41346153846132</v>
      </c>
      <c r="O53" s="37">
        <v>0</v>
      </c>
      <c r="P53" s="37">
        <v>837.61298076923163</v>
      </c>
      <c r="Q53" s="37">
        <v>0</v>
      </c>
      <c r="R53" s="37">
        <v>771.3389423076917</v>
      </c>
      <c r="S53" s="37">
        <v>0</v>
      </c>
      <c r="T53" s="37">
        <v>800.37999999999988</v>
      </c>
      <c r="U53" s="37">
        <v>0</v>
      </c>
      <c r="V53" s="37">
        <v>1436.7692307692312</v>
      </c>
      <c r="W53" s="37">
        <v>0</v>
      </c>
      <c r="X53" s="37">
        <v>1210.4027777777785</v>
      </c>
      <c r="Y53" s="37">
        <v>0</v>
      </c>
      <c r="Z53" s="37">
        <v>645.24218749999989</v>
      </c>
      <c r="AA53" s="37">
        <v>0</v>
      </c>
      <c r="AB53" s="37">
        <v>1023.4490740740747</v>
      </c>
      <c r="AC53" s="37">
        <v>0</v>
      </c>
      <c r="AD53" s="37">
        <v>893.01499999999999</v>
      </c>
      <c r="AE53" s="37">
        <v>0</v>
      </c>
      <c r="AF53" s="37">
        <v>1146.8025</v>
      </c>
      <c r="AG53" s="37">
        <v>0</v>
      </c>
      <c r="AH53" s="37">
        <v>1005.4903846153846</v>
      </c>
      <c r="AI53" s="37">
        <v>0</v>
      </c>
      <c r="AJ53" s="37">
        <v>808.31510416666697</v>
      </c>
      <c r="AK53" s="37">
        <v>0</v>
      </c>
      <c r="AL53" s="37">
        <v>681.67307692307656</v>
      </c>
      <c r="AM53" s="37">
        <v>0</v>
      </c>
      <c r="AN53" s="37">
        <v>921.59375</v>
      </c>
      <c r="AO53" s="37">
        <v>0</v>
      </c>
      <c r="AP53" s="37">
        <v>805.33894230769238</v>
      </c>
      <c r="AQ53" s="37">
        <v>0</v>
      </c>
      <c r="AR53" s="37">
        <v>825.81</v>
      </c>
      <c r="AS53" s="37">
        <v>0</v>
      </c>
      <c r="AT53" s="37">
        <v>1466.9735576923085</v>
      </c>
      <c r="AU53" s="37">
        <v>0</v>
      </c>
      <c r="AV53" s="37">
        <v>1043.6225961538457</v>
      </c>
      <c r="AW53" s="37">
        <v>0</v>
      </c>
      <c r="AX53" s="37">
        <v>817.65249999999969</v>
      </c>
      <c r="AY53" s="37">
        <v>0</v>
      </c>
    </row>
    <row r="54" spans="2:51">
      <c r="B54">
        <v>10144</v>
      </c>
      <c r="C54" t="s">
        <v>58</v>
      </c>
      <c r="D54" s="37">
        <v>366.14182692307742</v>
      </c>
      <c r="E54" s="37">
        <v>0</v>
      </c>
      <c r="F54" s="37">
        <v>490.93500000000034</v>
      </c>
      <c r="G54" s="37">
        <v>0</v>
      </c>
      <c r="H54" s="37">
        <v>933.2499999999992</v>
      </c>
      <c r="I54" s="37">
        <v>0</v>
      </c>
      <c r="J54" s="37">
        <v>1513.0000000000005</v>
      </c>
      <c r="K54" s="37">
        <v>0</v>
      </c>
      <c r="L54" s="37">
        <v>1113.6574999999993</v>
      </c>
      <c r="M54" s="37">
        <v>0</v>
      </c>
      <c r="N54" s="37">
        <v>1168.9326923076924</v>
      </c>
      <c r="O54" s="37">
        <v>0</v>
      </c>
      <c r="P54" s="37">
        <v>759.23798076923049</v>
      </c>
      <c r="Q54" s="37">
        <v>0</v>
      </c>
      <c r="R54" s="37">
        <v>734.37259615384585</v>
      </c>
      <c r="S54" s="37">
        <v>0</v>
      </c>
      <c r="T54" s="37">
        <v>475.91750000000008</v>
      </c>
      <c r="U54" s="37">
        <v>0</v>
      </c>
      <c r="V54" s="37">
        <v>616.26201923076871</v>
      </c>
      <c r="W54" s="37">
        <v>0</v>
      </c>
      <c r="X54" s="37">
        <v>905.59259259259272</v>
      </c>
      <c r="Y54" s="37">
        <v>0</v>
      </c>
      <c r="Z54" s="37">
        <v>317.2968749999996</v>
      </c>
      <c r="AA54" s="37">
        <v>0</v>
      </c>
      <c r="AB54" s="37">
        <v>499.28472222222229</v>
      </c>
      <c r="AC54" s="37">
        <v>0</v>
      </c>
      <c r="AD54" s="37">
        <v>490.93500000000034</v>
      </c>
      <c r="AE54" s="37">
        <v>0</v>
      </c>
      <c r="AF54" s="37">
        <v>933.2499999999992</v>
      </c>
      <c r="AG54" s="37">
        <v>0</v>
      </c>
      <c r="AH54" s="37">
        <v>1736.6394230769247</v>
      </c>
      <c r="AI54" s="37">
        <v>0</v>
      </c>
      <c r="AJ54" s="37">
        <v>930.47656249999977</v>
      </c>
      <c r="AK54" s="37">
        <v>0</v>
      </c>
      <c r="AL54" s="37">
        <v>1000.5745192307694</v>
      </c>
      <c r="AM54" s="37">
        <v>0</v>
      </c>
      <c r="AN54" s="37">
        <v>759.23798076923049</v>
      </c>
      <c r="AO54" s="37">
        <v>0</v>
      </c>
      <c r="AP54" s="37">
        <v>734.37259615384585</v>
      </c>
      <c r="AQ54" s="37">
        <v>0</v>
      </c>
      <c r="AR54" s="37">
        <v>475.91750000000008</v>
      </c>
      <c r="AS54" s="37">
        <v>0</v>
      </c>
      <c r="AT54" s="37">
        <v>616.26201923076871</v>
      </c>
      <c r="AU54" s="37">
        <v>0</v>
      </c>
      <c r="AV54" s="37">
        <v>799.57692307692344</v>
      </c>
      <c r="AW54" s="37">
        <v>0</v>
      </c>
      <c r="AX54" s="37">
        <v>425.72499999999968</v>
      </c>
      <c r="AY54" s="37">
        <v>0</v>
      </c>
    </row>
    <row r="55" spans="2:51">
      <c r="B55">
        <v>10156</v>
      </c>
      <c r="C55" t="s">
        <v>59</v>
      </c>
      <c r="D55" s="37">
        <v>0</v>
      </c>
      <c r="E55" s="37">
        <v>0</v>
      </c>
      <c r="F55" s="37">
        <v>2232.4599999999928</v>
      </c>
      <c r="G55" s="37">
        <v>0</v>
      </c>
      <c r="H55" s="37">
        <v>9426.7675000000054</v>
      </c>
      <c r="I55" s="37">
        <v>0</v>
      </c>
      <c r="J55" s="37">
        <v>8753.158653846147</v>
      </c>
      <c r="K55" s="37">
        <v>0</v>
      </c>
      <c r="L55" s="37">
        <v>8871.5650000000023</v>
      </c>
      <c r="M55" s="37">
        <v>0</v>
      </c>
      <c r="N55" s="37">
        <v>600.23076923076951</v>
      </c>
      <c r="O55" s="37">
        <v>0</v>
      </c>
      <c r="P55" s="37">
        <v>5431.5576923076987</v>
      </c>
      <c r="Q55" s="37">
        <v>0</v>
      </c>
      <c r="R55" s="37">
        <v>2108.1514423076919</v>
      </c>
      <c r="S55" s="37">
        <v>0</v>
      </c>
      <c r="T55" s="37">
        <v>7419.9775</v>
      </c>
      <c r="U55" s="37">
        <v>0</v>
      </c>
      <c r="V55" s="37">
        <v>9224.2860576923104</v>
      </c>
      <c r="W55" s="37">
        <v>0</v>
      </c>
      <c r="X55" s="37">
        <v>10194.652777777776</v>
      </c>
      <c r="Y55" s="37">
        <v>0</v>
      </c>
      <c r="Z55" s="37">
        <v>4780.3697916666706</v>
      </c>
      <c r="AA55" s="37">
        <v>0</v>
      </c>
      <c r="AB55" s="37">
        <v>825.98611111110642</v>
      </c>
      <c r="AC55" s="37">
        <v>0</v>
      </c>
      <c r="AD55" s="37">
        <v>2447.0750000000016</v>
      </c>
      <c r="AE55" s="37">
        <v>0</v>
      </c>
      <c r="AF55" s="37">
        <v>9791.1749999999975</v>
      </c>
      <c r="AG55" s="37">
        <v>0</v>
      </c>
      <c r="AH55" s="37">
        <v>9117.9855769230744</v>
      </c>
      <c r="AI55" s="37">
        <v>0</v>
      </c>
      <c r="AJ55" s="37">
        <v>7342.4114583333285</v>
      </c>
      <c r="AK55" s="37">
        <v>0</v>
      </c>
      <c r="AL55" s="37">
        <v>784.46875000000205</v>
      </c>
      <c r="AM55" s="37">
        <v>0</v>
      </c>
      <c r="AN55" s="37">
        <v>5610.3221153846125</v>
      </c>
      <c r="AO55" s="37">
        <v>0</v>
      </c>
      <c r="AP55" s="37">
        <v>2288.2403846153829</v>
      </c>
      <c r="AQ55" s="37">
        <v>0</v>
      </c>
      <c r="AR55" s="37">
        <v>7594.7800000000016</v>
      </c>
      <c r="AS55" s="37">
        <v>0</v>
      </c>
      <c r="AT55" s="37">
        <v>9412.0625000000018</v>
      </c>
      <c r="AU55" s="37">
        <v>0</v>
      </c>
      <c r="AV55" s="37">
        <v>9306.0336538461506</v>
      </c>
      <c r="AW55" s="37">
        <v>0</v>
      </c>
      <c r="AX55" s="37">
        <v>6037.5274999999974</v>
      </c>
      <c r="AY55" s="37">
        <v>0</v>
      </c>
    </row>
    <row r="56" spans="2:51">
      <c r="B56">
        <v>10157</v>
      </c>
      <c r="C56" t="s">
        <v>60</v>
      </c>
      <c r="D56" s="37">
        <v>18506.971153846156</v>
      </c>
      <c r="E56" s="37">
        <v>0</v>
      </c>
      <c r="F56" s="37">
        <v>14335.592500000004</v>
      </c>
      <c r="G56" s="37">
        <v>0</v>
      </c>
      <c r="H56" s="37">
        <v>15397.022500000006</v>
      </c>
      <c r="I56" s="37">
        <v>0</v>
      </c>
      <c r="J56" s="37">
        <v>23933.03605769229</v>
      </c>
      <c r="K56" s="37">
        <v>0</v>
      </c>
      <c r="L56" s="37">
        <v>911.30750000001376</v>
      </c>
      <c r="M56" s="37">
        <v>0</v>
      </c>
      <c r="N56" s="37">
        <v>10711.144230769236</v>
      </c>
      <c r="O56" s="37">
        <v>0</v>
      </c>
      <c r="P56" s="37">
        <v>10178.807692307686</v>
      </c>
      <c r="Q56" s="37">
        <v>0</v>
      </c>
      <c r="R56" s="37">
        <v>0</v>
      </c>
      <c r="S56" s="37">
        <v>0</v>
      </c>
      <c r="T56" s="37">
        <v>14807.487499999985</v>
      </c>
      <c r="U56" s="37">
        <v>0</v>
      </c>
      <c r="V56" s="37">
        <v>12811.39663461539</v>
      </c>
      <c r="W56" s="37">
        <v>0</v>
      </c>
      <c r="X56" s="37">
        <v>16386.06712962962</v>
      </c>
      <c r="Y56" s="37">
        <v>0</v>
      </c>
      <c r="Z56" s="37">
        <v>8519.5416666666824</v>
      </c>
      <c r="AA56" s="37">
        <v>0</v>
      </c>
      <c r="AB56" s="37">
        <v>21040.12037037038</v>
      </c>
      <c r="AC56" s="37">
        <v>0</v>
      </c>
      <c r="AD56" s="37">
        <v>14505.910000000014</v>
      </c>
      <c r="AE56" s="37">
        <v>0</v>
      </c>
      <c r="AF56" s="37">
        <v>15473.515000000007</v>
      </c>
      <c r="AG56" s="37">
        <v>0</v>
      </c>
      <c r="AH56" s="37">
        <v>23431.78125</v>
      </c>
      <c r="AI56" s="37">
        <v>0</v>
      </c>
      <c r="AJ56" s="37">
        <v>0</v>
      </c>
      <c r="AK56" s="37">
        <v>0</v>
      </c>
      <c r="AL56" s="37">
        <v>11587.617788461543</v>
      </c>
      <c r="AM56" s="37">
        <v>0</v>
      </c>
      <c r="AN56" s="37">
        <v>10474.127403846162</v>
      </c>
      <c r="AO56" s="37">
        <v>0</v>
      </c>
      <c r="AP56" s="37">
        <v>0</v>
      </c>
      <c r="AQ56" s="37">
        <v>0</v>
      </c>
      <c r="AR56" s="37">
        <v>14982.592499999993</v>
      </c>
      <c r="AS56" s="37">
        <v>0</v>
      </c>
      <c r="AT56" s="37">
        <v>13027.663461538457</v>
      </c>
      <c r="AU56" s="37">
        <v>0</v>
      </c>
      <c r="AV56" s="37">
        <v>14208.096153846138</v>
      </c>
      <c r="AW56" s="37">
        <v>0</v>
      </c>
      <c r="AX56" s="37">
        <v>11116.987499999987</v>
      </c>
      <c r="AY56" s="37">
        <v>0</v>
      </c>
    </row>
    <row r="57" spans="2:51">
      <c r="B57">
        <v>10158</v>
      </c>
      <c r="C57" t="s">
        <v>61</v>
      </c>
      <c r="D57" s="37">
        <v>85.125</v>
      </c>
      <c r="E57" s="37">
        <v>0</v>
      </c>
      <c r="F57" s="37">
        <v>133.82249999999996</v>
      </c>
      <c r="G57" s="37">
        <v>0</v>
      </c>
      <c r="H57" s="37">
        <v>533.74499999999989</v>
      </c>
      <c r="I57" s="37">
        <v>0</v>
      </c>
      <c r="J57" s="37">
        <v>534.45192307692344</v>
      </c>
      <c r="K57" s="37">
        <v>0</v>
      </c>
      <c r="L57" s="37">
        <v>480.27999999999969</v>
      </c>
      <c r="M57" s="37">
        <v>0</v>
      </c>
      <c r="N57" s="37">
        <v>637.27163461538453</v>
      </c>
      <c r="O57" s="37">
        <v>0</v>
      </c>
      <c r="P57" s="37">
        <v>422.99999999999972</v>
      </c>
      <c r="Q57" s="37">
        <v>0</v>
      </c>
      <c r="R57" s="37">
        <v>260.87019230769243</v>
      </c>
      <c r="S57" s="37">
        <v>0</v>
      </c>
      <c r="T57" s="37">
        <v>70.050000000000338</v>
      </c>
      <c r="U57" s="37">
        <v>0</v>
      </c>
      <c r="V57" s="37">
        <v>258.86298076923066</v>
      </c>
      <c r="W57" s="37">
        <v>0</v>
      </c>
      <c r="X57" s="37">
        <v>334.14120370370404</v>
      </c>
      <c r="Y57" s="37">
        <v>0</v>
      </c>
      <c r="Z57" s="37">
        <v>0</v>
      </c>
      <c r="AA57" s="37">
        <v>0</v>
      </c>
      <c r="AB57" s="37">
        <v>157.56481481481487</v>
      </c>
      <c r="AC57" s="37">
        <v>0</v>
      </c>
      <c r="AD57" s="37">
        <v>133.82249999999996</v>
      </c>
      <c r="AE57" s="37">
        <v>0</v>
      </c>
      <c r="AF57" s="37">
        <v>533.74499999999989</v>
      </c>
      <c r="AG57" s="37">
        <v>0</v>
      </c>
      <c r="AH57" s="37">
        <v>661.66105769230774</v>
      </c>
      <c r="AI57" s="37">
        <v>0</v>
      </c>
      <c r="AJ57" s="37">
        <v>374.70833333333309</v>
      </c>
      <c r="AK57" s="37">
        <v>0</v>
      </c>
      <c r="AL57" s="37">
        <v>539.55288461538464</v>
      </c>
      <c r="AM57" s="37">
        <v>0</v>
      </c>
      <c r="AN57" s="37">
        <v>422.99999999999972</v>
      </c>
      <c r="AO57" s="37">
        <v>0</v>
      </c>
      <c r="AP57" s="37">
        <v>260.87019230769243</v>
      </c>
      <c r="AQ57" s="37">
        <v>0</v>
      </c>
      <c r="AR57" s="37">
        <v>70.050000000000338</v>
      </c>
      <c r="AS57" s="37">
        <v>0</v>
      </c>
      <c r="AT57" s="37">
        <v>258.86298076923066</v>
      </c>
      <c r="AU57" s="37">
        <v>0</v>
      </c>
      <c r="AV57" s="37">
        <v>260.64663461538493</v>
      </c>
      <c r="AW57" s="37">
        <v>0</v>
      </c>
      <c r="AX57" s="37">
        <v>0</v>
      </c>
      <c r="AY57" s="37">
        <v>0</v>
      </c>
    </row>
    <row r="58" spans="2:51">
      <c r="B58">
        <v>10170</v>
      </c>
      <c r="C58" t="s">
        <v>62</v>
      </c>
      <c r="D58" s="37">
        <v>0</v>
      </c>
      <c r="E58" s="37">
        <v>0</v>
      </c>
      <c r="F58" s="37">
        <v>0</v>
      </c>
      <c r="G58" s="37">
        <v>0</v>
      </c>
      <c r="H58" s="37">
        <v>0</v>
      </c>
      <c r="I58" s="37">
        <v>0</v>
      </c>
      <c r="J58" s="37">
        <v>0</v>
      </c>
      <c r="K58" s="37">
        <v>0</v>
      </c>
      <c r="L58" s="37">
        <v>0</v>
      </c>
      <c r="M58" s="37">
        <v>0</v>
      </c>
      <c r="N58" s="37">
        <v>0</v>
      </c>
      <c r="O58" s="37">
        <v>0</v>
      </c>
      <c r="P58" s="37">
        <v>0</v>
      </c>
      <c r="Q58" s="37">
        <v>0</v>
      </c>
      <c r="R58" s="37">
        <v>0</v>
      </c>
      <c r="S58" s="37">
        <v>0</v>
      </c>
      <c r="T58" s="37">
        <v>0</v>
      </c>
      <c r="U58" s="37">
        <v>0</v>
      </c>
      <c r="V58" s="37">
        <v>0</v>
      </c>
      <c r="W58" s="37">
        <v>0</v>
      </c>
      <c r="X58" s="37">
        <v>0</v>
      </c>
      <c r="Y58" s="37">
        <v>0</v>
      </c>
      <c r="Z58" s="37">
        <v>0</v>
      </c>
      <c r="AA58" s="37">
        <v>0</v>
      </c>
      <c r="AB58" s="37">
        <v>0</v>
      </c>
      <c r="AC58" s="37">
        <v>0</v>
      </c>
      <c r="AD58" s="37">
        <v>0</v>
      </c>
      <c r="AE58" s="37">
        <v>0</v>
      </c>
      <c r="AF58" s="37">
        <v>0</v>
      </c>
      <c r="AG58" s="37">
        <v>0</v>
      </c>
      <c r="AH58" s="37">
        <v>0</v>
      </c>
      <c r="AI58" s="37">
        <v>0</v>
      </c>
      <c r="AJ58" s="37">
        <v>0</v>
      </c>
      <c r="AK58" s="37">
        <v>0</v>
      </c>
      <c r="AL58" s="37">
        <v>0</v>
      </c>
      <c r="AM58" s="37">
        <v>0</v>
      </c>
      <c r="AN58" s="37">
        <v>0</v>
      </c>
      <c r="AO58" s="37">
        <v>0</v>
      </c>
      <c r="AP58" s="37">
        <v>0</v>
      </c>
      <c r="AQ58" s="37">
        <v>0</v>
      </c>
      <c r="AR58" s="37">
        <v>0</v>
      </c>
      <c r="AS58" s="37">
        <v>0</v>
      </c>
      <c r="AT58" s="37">
        <v>0</v>
      </c>
      <c r="AU58" s="37">
        <v>0</v>
      </c>
      <c r="AV58" s="37">
        <v>0</v>
      </c>
      <c r="AW58" s="37">
        <v>0</v>
      </c>
      <c r="AX58" s="37">
        <v>0</v>
      </c>
      <c r="AY58" s="37">
        <v>0</v>
      </c>
    </row>
    <row r="59" spans="2:51">
      <c r="B59">
        <v>10172</v>
      </c>
      <c r="C59" t="s">
        <v>63</v>
      </c>
      <c r="D59" s="37">
        <v>1646.0264423076922</v>
      </c>
      <c r="E59" s="37">
        <v>0</v>
      </c>
      <c r="F59" s="37">
        <v>2101.4274999999993</v>
      </c>
      <c r="G59" s="37">
        <v>0</v>
      </c>
      <c r="H59" s="37">
        <v>1761.4725000000012</v>
      </c>
      <c r="I59" s="37">
        <v>0</v>
      </c>
      <c r="J59" s="37">
        <v>2241.6634615384605</v>
      </c>
      <c r="K59" s="37">
        <v>0</v>
      </c>
      <c r="L59" s="37">
        <v>2728.4400000000005</v>
      </c>
      <c r="M59" s="37">
        <v>0</v>
      </c>
      <c r="N59" s="37">
        <v>1766.7379807692314</v>
      </c>
      <c r="O59" s="37">
        <v>0</v>
      </c>
      <c r="P59" s="37">
        <v>2255.1562500000005</v>
      </c>
      <c r="Q59" s="37">
        <v>0</v>
      </c>
      <c r="R59" s="37">
        <v>1936.4278846153857</v>
      </c>
      <c r="S59" s="37">
        <v>0</v>
      </c>
      <c r="T59" s="37">
        <v>1567.2150000000008</v>
      </c>
      <c r="U59" s="37">
        <v>0</v>
      </c>
      <c r="V59" s="37">
        <v>2061.617788461539</v>
      </c>
      <c r="W59" s="37">
        <v>0</v>
      </c>
      <c r="X59" s="37">
        <v>1913.5115740740739</v>
      </c>
      <c r="Y59" s="37">
        <v>0</v>
      </c>
      <c r="Z59" s="37">
        <v>1409.1953125000002</v>
      </c>
      <c r="AA59" s="37">
        <v>0</v>
      </c>
      <c r="AB59" s="37">
        <v>2086.6319444444443</v>
      </c>
      <c r="AC59" s="37">
        <v>0</v>
      </c>
      <c r="AD59" s="37">
        <v>2335.7574999999993</v>
      </c>
      <c r="AE59" s="37">
        <v>0</v>
      </c>
      <c r="AF59" s="37">
        <v>1987.4800000000007</v>
      </c>
      <c r="AG59" s="37">
        <v>0</v>
      </c>
      <c r="AH59" s="37">
        <v>2465.764423076922</v>
      </c>
      <c r="AI59" s="37">
        <v>0</v>
      </c>
      <c r="AJ59" s="37">
        <v>2709.1484374999991</v>
      </c>
      <c r="AK59" s="37">
        <v>0</v>
      </c>
      <c r="AL59" s="37">
        <v>1871.2716346153854</v>
      </c>
      <c r="AM59" s="37">
        <v>0</v>
      </c>
      <c r="AN59" s="37">
        <v>2457.2788461538471</v>
      </c>
      <c r="AO59" s="37">
        <v>0</v>
      </c>
      <c r="AP59" s="37">
        <v>1995.0745192307686</v>
      </c>
      <c r="AQ59" s="37">
        <v>0</v>
      </c>
      <c r="AR59" s="37">
        <v>1752.1125</v>
      </c>
      <c r="AS59" s="37">
        <v>0</v>
      </c>
      <c r="AT59" s="37">
        <v>2242.0264423076915</v>
      </c>
      <c r="AU59" s="37">
        <v>0</v>
      </c>
      <c r="AV59" s="37">
        <v>1732.4206730769231</v>
      </c>
      <c r="AW59" s="37">
        <v>0</v>
      </c>
      <c r="AX59" s="37">
        <v>1791.3250000000003</v>
      </c>
      <c r="AY59" s="37">
        <v>0</v>
      </c>
    </row>
    <row r="60" spans="2:51">
      <c r="B60">
        <v>10173</v>
      </c>
      <c r="C60" t="s">
        <v>64</v>
      </c>
      <c r="D60" s="37">
        <v>0</v>
      </c>
      <c r="E60" s="37">
        <v>0</v>
      </c>
      <c r="F60" s="37">
        <v>0</v>
      </c>
      <c r="G60" s="37">
        <v>0</v>
      </c>
      <c r="H60" s="37">
        <v>0</v>
      </c>
      <c r="I60" s="37">
        <v>0</v>
      </c>
      <c r="J60" s="37">
        <v>0</v>
      </c>
      <c r="K60" s="37">
        <v>0</v>
      </c>
      <c r="L60" s="37">
        <v>0</v>
      </c>
      <c r="M60" s="37">
        <v>0</v>
      </c>
      <c r="N60" s="37">
        <v>0</v>
      </c>
      <c r="O60" s="37">
        <v>0</v>
      </c>
      <c r="P60" s="37">
        <v>0</v>
      </c>
      <c r="Q60" s="37">
        <v>0</v>
      </c>
      <c r="R60" s="37">
        <v>0</v>
      </c>
      <c r="S60" s="37">
        <v>0</v>
      </c>
      <c r="T60" s="37">
        <v>0</v>
      </c>
      <c r="U60" s="37">
        <v>0</v>
      </c>
      <c r="V60" s="37">
        <v>0</v>
      </c>
      <c r="W60" s="37">
        <v>0</v>
      </c>
      <c r="X60" s="37">
        <v>0</v>
      </c>
      <c r="Y60" s="37">
        <v>0</v>
      </c>
      <c r="Z60" s="37">
        <v>0</v>
      </c>
      <c r="AA60" s="37">
        <v>0</v>
      </c>
      <c r="AB60" s="37">
        <v>0</v>
      </c>
      <c r="AC60" s="37">
        <v>0</v>
      </c>
      <c r="AD60" s="37">
        <v>0</v>
      </c>
      <c r="AE60" s="37">
        <v>0</v>
      </c>
      <c r="AF60" s="37">
        <v>0</v>
      </c>
      <c r="AG60" s="37">
        <v>0</v>
      </c>
      <c r="AH60" s="37">
        <v>0</v>
      </c>
      <c r="AI60" s="37">
        <v>0</v>
      </c>
      <c r="AJ60" s="37">
        <v>0</v>
      </c>
      <c r="AK60" s="37">
        <v>0</v>
      </c>
      <c r="AL60" s="37">
        <v>0</v>
      </c>
      <c r="AM60" s="37">
        <v>0</v>
      </c>
      <c r="AN60" s="37">
        <v>0</v>
      </c>
      <c r="AO60" s="37">
        <v>0</v>
      </c>
      <c r="AP60" s="37">
        <v>0</v>
      </c>
      <c r="AQ60" s="37">
        <v>0</v>
      </c>
      <c r="AR60" s="37">
        <v>0</v>
      </c>
      <c r="AS60" s="37">
        <v>0</v>
      </c>
      <c r="AT60" s="37">
        <v>0</v>
      </c>
      <c r="AU60" s="37">
        <v>0</v>
      </c>
      <c r="AV60" s="37">
        <v>0</v>
      </c>
      <c r="AW60" s="37">
        <v>0</v>
      </c>
      <c r="AX60" s="37">
        <v>0</v>
      </c>
      <c r="AY60" s="37">
        <v>0</v>
      </c>
    </row>
    <row r="61" spans="2:51">
      <c r="B61">
        <v>10174</v>
      </c>
      <c r="C61" t="s">
        <v>65</v>
      </c>
      <c r="D61" s="37">
        <v>344.375</v>
      </c>
      <c r="E61" s="37">
        <v>0</v>
      </c>
      <c r="F61" s="37">
        <v>257.65499999999986</v>
      </c>
      <c r="G61" s="37">
        <v>0</v>
      </c>
      <c r="H61" s="37">
        <v>404.40500000000009</v>
      </c>
      <c r="I61" s="37">
        <v>0</v>
      </c>
      <c r="J61" s="37">
        <v>450.44230769230779</v>
      </c>
      <c r="K61" s="37">
        <v>0</v>
      </c>
      <c r="L61" s="37">
        <v>346.27499999999998</v>
      </c>
      <c r="M61" s="37">
        <v>0</v>
      </c>
      <c r="N61" s="37">
        <v>345.14903846153857</v>
      </c>
      <c r="O61" s="37">
        <v>0</v>
      </c>
      <c r="P61" s="37">
        <v>312.73317307692304</v>
      </c>
      <c r="Q61" s="37">
        <v>0</v>
      </c>
      <c r="R61" s="37">
        <v>334.78365384615381</v>
      </c>
      <c r="S61" s="37">
        <v>0</v>
      </c>
      <c r="T61" s="37">
        <v>324.41500000000002</v>
      </c>
      <c r="U61" s="37">
        <v>0</v>
      </c>
      <c r="V61" s="37">
        <v>329.50480769230774</v>
      </c>
      <c r="W61" s="37">
        <v>0</v>
      </c>
      <c r="X61" s="37">
        <v>331.15972222222211</v>
      </c>
      <c r="Y61" s="37">
        <v>0</v>
      </c>
      <c r="Z61" s="37">
        <v>261.1171875</v>
      </c>
      <c r="AA61" s="37">
        <v>0</v>
      </c>
      <c r="AB61" s="37">
        <v>370.57175925925924</v>
      </c>
      <c r="AC61" s="37">
        <v>0</v>
      </c>
      <c r="AD61" s="37">
        <v>262.84249999999997</v>
      </c>
      <c r="AE61" s="37">
        <v>0</v>
      </c>
      <c r="AF61" s="37">
        <v>409.44749999999993</v>
      </c>
      <c r="AG61" s="37">
        <v>0</v>
      </c>
      <c r="AH61" s="37">
        <v>488.99759615384613</v>
      </c>
      <c r="AI61" s="37">
        <v>0</v>
      </c>
      <c r="AJ61" s="37">
        <v>321.53906250000006</v>
      </c>
      <c r="AK61" s="37">
        <v>0</v>
      </c>
      <c r="AL61" s="37">
        <v>323.86778846153862</v>
      </c>
      <c r="AM61" s="37">
        <v>0</v>
      </c>
      <c r="AN61" s="37">
        <v>316.85336538461542</v>
      </c>
      <c r="AO61" s="37">
        <v>0</v>
      </c>
      <c r="AP61" s="37">
        <v>339.90624999999994</v>
      </c>
      <c r="AQ61" s="37">
        <v>0</v>
      </c>
      <c r="AR61" s="37">
        <v>329.34500000000008</v>
      </c>
      <c r="AS61" s="37">
        <v>0</v>
      </c>
      <c r="AT61" s="37">
        <v>334.46394230769226</v>
      </c>
      <c r="AU61" s="37">
        <v>0</v>
      </c>
      <c r="AV61" s="37">
        <v>314.38942307692309</v>
      </c>
      <c r="AW61" s="37">
        <v>0</v>
      </c>
      <c r="AX61" s="37">
        <v>287.15749999999997</v>
      </c>
      <c r="AY61" s="37">
        <v>0</v>
      </c>
    </row>
    <row r="62" spans="2:51">
      <c r="B62">
        <v>10177</v>
      </c>
      <c r="C62" t="s">
        <v>66</v>
      </c>
      <c r="D62" s="37">
        <v>3092.9423076923063</v>
      </c>
      <c r="E62" s="37">
        <v>0</v>
      </c>
      <c r="F62" s="37">
        <v>3689.4224999999983</v>
      </c>
      <c r="G62" s="37">
        <v>0</v>
      </c>
      <c r="H62" s="37">
        <v>4928.0674999999992</v>
      </c>
      <c r="I62" s="37">
        <v>0</v>
      </c>
      <c r="J62" s="37">
        <v>6247.4831730769229</v>
      </c>
      <c r="K62" s="37">
        <v>0</v>
      </c>
      <c r="L62" s="37">
        <v>6509.6100000000006</v>
      </c>
      <c r="M62" s="37">
        <v>0</v>
      </c>
      <c r="N62" s="37">
        <v>3348.5408653846148</v>
      </c>
      <c r="O62" s="37">
        <v>0</v>
      </c>
      <c r="P62" s="37">
        <v>4840.4807692307677</v>
      </c>
      <c r="Q62" s="37">
        <v>0</v>
      </c>
      <c r="R62" s="37">
        <v>3910.5625</v>
      </c>
      <c r="S62" s="37">
        <v>0</v>
      </c>
      <c r="T62" s="37">
        <v>3702.2724999999996</v>
      </c>
      <c r="U62" s="37">
        <v>0</v>
      </c>
      <c r="V62" s="37">
        <v>4215.516826923078</v>
      </c>
      <c r="W62" s="37">
        <v>0</v>
      </c>
      <c r="X62" s="37">
        <v>5123.0879629629635</v>
      </c>
      <c r="Y62" s="37">
        <v>0</v>
      </c>
      <c r="Z62" s="37">
        <v>3145.2500000000005</v>
      </c>
      <c r="AA62" s="37">
        <v>0</v>
      </c>
      <c r="AB62" s="37">
        <v>3452.5763888888896</v>
      </c>
      <c r="AC62" s="37">
        <v>0</v>
      </c>
      <c r="AD62" s="37">
        <v>3714.3449999999989</v>
      </c>
      <c r="AE62" s="37">
        <v>0</v>
      </c>
      <c r="AF62" s="37">
        <v>4954.2499999999982</v>
      </c>
      <c r="AG62" s="37">
        <v>0</v>
      </c>
      <c r="AH62" s="37">
        <v>6279.377403846157</v>
      </c>
      <c r="AI62" s="37">
        <v>0</v>
      </c>
      <c r="AJ62" s="37">
        <v>6036.2395833333339</v>
      </c>
      <c r="AK62" s="37">
        <v>0</v>
      </c>
      <c r="AL62" s="37">
        <v>3368.576923076922</v>
      </c>
      <c r="AM62" s="37">
        <v>0</v>
      </c>
      <c r="AN62" s="37">
        <v>4867.6081730769238</v>
      </c>
      <c r="AO62" s="37">
        <v>0</v>
      </c>
      <c r="AP62" s="37">
        <v>3929.1225961538466</v>
      </c>
      <c r="AQ62" s="37">
        <v>0</v>
      </c>
      <c r="AR62" s="37">
        <v>3713.2249999999995</v>
      </c>
      <c r="AS62" s="37">
        <v>0</v>
      </c>
      <c r="AT62" s="37">
        <v>4228.3413461538466</v>
      </c>
      <c r="AU62" s="37">
        <v>0</v>
      </c>
      <c r="AV62" s="37">
        <v>4825.5841346153857</v>
      </c>
      <c r="AW62" s="37">
        <v>0</v>
      </c>
      <c r="AX62" s="37">
        <v>3480.5150000000017</v>
      </c>
      <c r="AY62" s="37">
        <v>0</v>
      </c>
    </row>
    <row r="63" spans="2:51">
      <c r="B63">
        <v>10179</v>
      </c>
      <c r="C63" t="s">
        <v>67</v>
      </c>
      <c r="D63" s="37">
        <v>0</v>
      </c>
      <c r="E63" s="37">
        <v>0</v>
      </c>
      <c r="F63" s="37">
        <v>0</v>
      </c>
      <c r="G63" s="37">
        <v>0</v>
      </c>
      <c r="H63" s="37">
        <v>0</v>
      </c>
      <c r="I63" s="37">
        <v>0</v>
      </c>
      <c r="J63" s="37">
        <v>0</v>
      </c>
      <c r="K63" s="37">
        <v>0</v>
      </c>
      <c r="L63" s="37">
        <v>0</v>
      </c>
      <c r="M63" s="37">
        <v>0</v>
      </c>
      <c r="N63" s="37">
        <v>0</v>
      </c>
      <c r="O63" s="37">
        <v>0</v>
      </c>
      <c r="P63" s="37">
        <v>0</v>
      </c>
      <c r="Q63" s="37">
        <v>0</v>
      </c>
      <c r="R63" s="37">
        <v>0</v>
      </c>
      <c r="S63" s="37">
        <v>0</v>
      </c>
      <c r="T63" s="37">
        <v>0</v>
      </c>
      <c r="U63" s="37">
        <v>0</v>
      </c>
      <c r="V63" s="37">
        <v>0</v>
      </c>
      <c r="W63" s="37">
        <v>0</v>
      </c>
      <c r="X63" s="37">
        <v>0</v>
      </c>
      <c r="Y63" s="37">
        <v>0</v>
      </c>
      <c r="Z63" s="37">
        <v>0</v>
      </c>
      <c r="AA63" s="37">
        <v>0</v>
      </c>
      <c r="AB63" s="37">
        <v>0</v>
      </c>
      <c r="AC63" s="37">
        <v>0</v>
      </c>
      <c r="AD63" s="37">
        <v>0</v>
      </c>
      <c r="AE63" s="37">
        <v>0</v>
      </c>
      <c r="AF63" s="37">
        <v>0</v>
      </c>
      <c r="AG63" s="37">
        <v>0</v>
      </c>
      <c r="AH63" s="37">
        <v>0</v>
      </c>
      <c r="AI63" s="37">
        <v>0</v>
      </c>
      <c r="AJ63" s="37">
        <v>0</v>
      </c>
      <c r="AK63" s="37">
        <v>0</v>
      </c>
      <c r="AL63" s="37">
        <v>0</v>
      </c>
      <c r="AM63" s="37">
        <v>0</v>
      </c>
      <c r="AN63" s="37">
        <v>0</v>
      </c>
      <c r="AO63" s="37">
        <v>0</v>
      </c>
      <c r="AP63" s="37">
        <v>0</v>
      </c>
      <c r="AQ63" s="37">
        <v>0</v>
      </c>
      <c r="AR63" s="37">
        <v>0</v>
      </c>
      <c r="AS63" s="37">
        <v>0</v>
      </c>
      <c r="AT63" s="37">
        <v>0</v>
      </c>
      <c r="AU63" s="37">
        <v>0</v>
      </c>
      <c r="AV63" s="37">
        <v>0</v>
      </c>
      <c r="AW63" s="37">
        <v>0</v>
      </c>
      <c r="AX63" s="37">
        <v>0</v>
      </c>
      <c r="AY63" s="37">
        <v>0</v>
      </c>
    </row>
    <row r="64" spans="2:51">
      <c r="B64">
        <v>10183</v>
      </c>
      <c r="C64" t="s">
        <v>68</v>
      </c>
      <c r="D64" s="37">
        <v>0</v>
      </c>
      <c r="E64" s="37">
        <v>0</v>
      </c>
      <c r="F64" s="37">
        <v>0</v>
      </c>
      <c r="G64" s="37">
        <v>0</v>
      </c>
      <c r="H64" s="37">
        <v>0</v>
      </c>
      <c r="I64" s="37">
        <v>0</v>
      </c>
      <c r="J64" s="37">
        <v>0</v>
      </c>
      <c r="K64" s="37">
        <v>0</v>
      </c>
      <c r="L64" s="37">
        <v>0</v>
      </c>
      <c r="M64" s="37">
        <v>0</v>
      </c>
      <c r="N64" s="37">
        <v>0</v>
      </c>
      <c r="O64" s="37">
        <v>0</v>
      </c>
      <c r="P64" s="37">
        <v>0</v>
      </c>
      <c r="Q64" s="37">
        <v>0</v>
      </c>
      <c r="R64" s="37">
        <v>0</v>
      </c>
      <c r="S64" s="37">
        <v>0</v>
      </c>
      <c r="T64" s="37">
        <v>0</v>
      </c>
      <c r="U64" s="37">
        <v>0</v>
      </c>
      <c r="V64" s="37">
        <v>0</v>
      </c>
      <c r="W64" s="37">
        <v>0</v>
      </c>
      <c r="X64" s="37">
        <v>0</v>
      </c>
      <c r="Y64" s="37">
        <v>0</v>
      </c>
      <c r="Z64" s="37">
        <v>0</v>
      </c>
      <c r="AA64" s="37">
        <v>0</v>
      </c>
      <c r="AB64" s="37">
        <v>0</v>
      </c>
      <c r="AC64" s="37">
        <v>0</v>
      </c>
      <c r="AD64" s="37">
        <v>0</v>
      </c>
      <c r="AE64" s="37">
        <v>0</v>
      </c>
      <c r="AF64" s="37">
        <v>0</v>
      </c>
      <c r="AG64" s="37">
        <v>0</v>
      </c>
      <c r="AH64" s="37">
        <v>0</v>
      </c>
      <c r="AI64" s="37">
        <v>0</v>
      </c>
      <c r="AJ64" s="37">
        <v>0</v>
      </c>
      <c r="AK64" s="37">
        <v>0</v>
      </c>
      <c r="AL64" s="37">
        <v>0</v>
      </c>
      <c r="AM64" s="37">
        <v>0</v>
      </c>
      <c r="AN64" s="37">
        <v>0</v>
      </c>
      <c r="AO64" s="37">
        <v>0</v>
      </c>
      <c r="AP64" s="37">
        <v>0</v>
      </c>
      <c r="AQ64" s="37">
        <v>0</v>
      </c>
      <c r="AR64" s="37">
        <v>0</v>
      </c>
      <c r="AS64" s="37">
        <v>0</v>
      </c>
      <c r="AT64" s="37">
        <v>0</v>
      </c>
      <c r="AU64" s="37">
        <v>0</v>
      </c>
      <c r="AV64" s="37">
        <v>0</v>
      </c>
      <c r="AW64" s="37">
        <v>0</v>
      </c>
      <c r="AX64" s="37">
        <v>0</v>
      </c>
      <c r="AY64" s="37">
        <v>0</v>
      </c>
    </row>
    <row r="65" spans="2:51">
      <c r="B65">
        <v>10186</v>
      </c>
      <c r="C65" t="s">
        <v>69</v>
      </c>
      <c r="D65" s="37">
        <v>3780.7403846153861</v>
      </c>
      <c r="E65" s="37">
        <v>0</v>
      </c>
      <c r="F65" s="37">
        <v>1564.9700000000007</v>
      </c>
      <c r="G65" s="37">
        <v>0</v>
      </c>
      <c r="H65" s="37">
        <v>2392.3575000000005</v>
      </c>
      <c r="I65" s="37">
        <v>0</v>
      </c>
      <c r="J65" s="37">
        <v>1368.6802884615413</v>
      </c>
      <c r="K65" s="37">
        <v>0</v>
      </c>
      <c r="L65" s="37">
        <v>6331.810000000004</v>
      </c>
      <c r="M65" s="37">
        <v>0</v>
      </c>
      <c r="N65" s="37">
        <v>2758.6081730769206</v>
      </c>
      <c r="O65" s="37">
        <v>0</v>
      </c>
      <c r="P65" s="37">
        <v>2891.3774038461538</v>
      </c>
      <c r="Q65" s="37">
        <v>0</v>
      </c>
      <c r="R65" s="37">
        <v>2108.0000000000032</v>
      </c>
      <c r="S65" s="37">
        <v>0</v>
      </c>
      <c r="T65" s="37">
        <v>2157.0574999999972</v>
      </c>
      <c r="U65" s="37">
        <v>0</v>
      </c>
      <c r="V65" s="37">
        <v>3332.0673076923104</v>
      </c>
      <c r="W65" s="37">
        <v>0</v>
      </c>
      <c r="X65" s="37">
        <v>3547.0925925925935</v>
      </c>
      <c r="Y65" s="37">
        <v>0</v>
      </c>
      <c r="Z65" s="37">
        <v>826.98697916666481</v>
      </c>
      <c r="AA65" s="37">
        <v>0</v>
      </c>
      <c r="AB65" s="37">
        <v>4524.2245370370374</v>
      </c>
      <c r="AC65" s="37">
        <v>0</v>
      </c>
      <c r="AD65" s="37">
        <v>1566.1049999999984</v>
      </c>
      <c r="AE65" s="37">
        <v>0</v>
      </c>
      <c r="AF65" s="37">
        <v>2392.3600000000015</v>
      </c>
      <c r="AG65" s="37">
        <v>0</v>
      </c>
      <c r="AH65" s="37">
        <v>1367.23076923077</v>
      </c>
      <c r="AI65" s="37">
        <v>0</v>
      </c>
      <c r="AJ65" s="37">
        <v>5236.2526041666688</v>
      </c>
      <c r="AK65" s="37">
        <v>0</v>
      </c>
      <c r="AL65" s="37">
        <v>2758.7403846153843</v>
      </c>
      <c r="AM65" s="37">
        <v>0</v>
      </c>
      <c r="AN65" s="37">
        <v>2892.0216346153861</v>
      </c>
      <c r="AO65" s="37">
        <v>0</v>
      </c>
      <c r="AP65" s="37">
        <v>2106.579326923078</v>
      </c>
      <c r="AQ65" s="37">
        <v>0</v>
      </c>
      <c r="AR65" s="37">
        <v>2156.8999999999969</v>
      </c>
      <c r="AS65" s="37">
        <v>0</v>
      </c>
      <c r="AT65" s="37">
        <v>3332.3076923076947</v>
      </c>
      <c r="AU65" s="37">
        <v>0</v>
      </c>
      <c r="AV65" s="37">
        <v>2766.2692307692309</v>
      </c>
      <c r="AW65" s="37">
        <v>0</v>
      </c>
      <c r="AX65" s="37">
        <v>1625.3074999999972</v>
      </c>
      <c r="AY65" s="37">
        <v>0</v>
      </c>
    </row>
    <row r="66" spans="2:51">
      <c r="B66">
        <v>10190</v>
      </c>
      <c r="C66" t="s">
        <v>70</v>
      </c>
      <c r="D66" s="37">
        <v>548.97596153846257</v>
      </c>
      <c r="E66" s="37">
        <v>0</v>
      </c>
      <c r="F66" s="37">
        <v>1545.6974999999993</v>
      </c>
      <c r="G66" s="37">
        <v>0</v>
      </c>
      <c r="H66" s="37">
        <v>2443.2474999999995</v>
      </c>
      <c r="I66" s="37">
        <v>0</v>
      </c>
      <c r="J66" s="37">
        <v>2393.757211538461</v>
      </c>
      <c r="K66" s="37">
        <v>0</v>
      </c>
      <c r="L66" s="37">
        <v>1819.0350000000012</v>
      </c>
      <c r="M66" s="37">
        <v>0</v>
      </c>
      <c r="N66" s="37">
        <v>2143.2716346153838</v>
      </c>
      <c r="O66" s="37">
        <v>0</v>
      </c>
      <c r="P66" s="37">
        <v>1405.149038461539</v>
      </c>
      <c r="Q66" s="37">
        <v>0</v>
      </c>
      <c r="R66" s="37">
        <v>1008.1826923076924</v>
      </c>
      <c r="S66" s="37">
        <v>0</v>
      </c>
      <c r="T66" s="37">
        <v>460.22999999999968</v>
      </c>
      <c r="U66" s="37">
        <v>0</v>
      </c>
      <c r="V66" s="37">
        <v>1082.8437500000002</v>
      </c>
      <c r="W66" s="37">
        <v>0</v>
      </c>
      <c r="X66" s="37">
        <v>1265.7939814814822</v>
      </c>
      <c r="Y66" s="37">
        <v>0</v>
      </c>
      <c r="Z66" s="37">
        <v>653.53906250000023</v>
      </c>
      <c r="AA66" s="37">
        <v>0</v>
      </c>
      <c r="AB66" s="37">
        <v>817.42129629629721</v>
      </c>
      <c r="AC66" s="37">
        <v>0</v>
      </c>
      <c r="AD66" s="37">
        <v>1545.6974999999993</v>
      </c>
      <c r="AE66" s="37">
        <v>0</v>
      </c>
      <c r="AF66" s="37">
        <v>2443.2474999999995</v>
      </c>
      <c r="AG66" s="37">
        <v>0</v>
      </c>
      <c r="AH66" s="37">
        <v>2393.757211538461</v>
      </c>
      <c r="AI66" s="37">
        <v>0</v>
      </c>
      <c r="AJ66" s="37">
        <v>1390.5781250000011</v>
      </c>
      <c r="AK66" s="37">
        <v>0</v>
      </c>
      <c r="AL66" s="37">
        <v>2143.2716346153838</v>
      </c>
      <c r="AM66" s="37">
        <v>0</v>
      </c>
      <c r="AN66" s="37">
        <v>1405.149038461539</v>
      </c>
      <c r="AO66" s="37">
        <v>0</v>
      </c>
      <c r="AP66" s="37">
        <v>1008.1826923076924</v>
      </c>
      <c r="AQ66" s="37">
        <v>0</v>
      </c>
      <c r="AR66" s="37">
        <v>460.22999999999968</v>
      </c>
      <c r="AS66" s="37">
        <v>0</v>
      </c>
      <c r="AT66" s="37">
        <v>1082.8437500000002</v>
      </c>
      <c r="AU66" s="37">
        <v>0</v>
      </c>
      <c r="AV66" s="37">
        <v>979.05528846153891</v>
      </c>
      <c r="AW66" s="37">
        <v>0</v>
      </c>
      <c r="AX66" s="37">
        <v>929.55750000000057</v>
      </c>
      <c r="AY66" s="37">
        <v>0</v>
      </c>
    </row>
    <row r="67" spans="2:51">
      <c r="B67">
        <v>10191</v>
      </c>
      <c r="C67" t="s">
        <v>71</v>
      </c>
      <c r="D67" s="37">
        <v>3080.7211538461415</v>
      </c>
      <c r="E67" s="37">
        <v>0</v>
      </c>
      <c r="F67" s="37">
        <v>20525.110000000004</v>
      </c>
      <c r="G67" s="37">
        <v>0</v>
      </c>
      <c r="H67" s="37">
        <v>46004.582500000004</v>
      </c>
      <c r="I67" s="37">
        <v>0</v>
      </c>
      <c r="J67" s="37">
        <v>30346.295673076926</v>
      </c>
      <c r="K67" s="37">
        <v>0</v>
      </c>
      <c r="L67" s="37">
        <v>33856.962500000031</v>
      </c>
      <c r="M67" s="37">
        <v>0</v>
      </c>
      <c r="N67" s="37">
        <v>30006.644230769238</v>
      </c>
      <c r="O67" s="37">
        <v>0</v>
      </c>
      <c r="P67" s="37">
        <v>24174.415865384617</v>
      </c>
      <c r="Q67" s="37">
        <v>0</v>
      </c>
      <c r="R67" s="37">
        <v>15496.144230769247</v>
      </c>
      <c r="S67" s="37">
        <v>0</v>
      </c>
      <c r="T67" s="37">
        <v>4572.1174999999939</v>
      </c>
      <c r="U67" s="37">
        <v>0</v>
      </c>
      <c r="V67" s="37">
        <v>15186.701923076931</v>
      </c>
      <c r="W67" s="37">
        <v>0</v>
      </c>
      <c r="X67" s="37">
        <v>10943.249999999996</v>
      </c>
      <c r="Y67" s="37">
        <v>0</v>
      </c>
      <c r="Z67" s="37">
        <v>0</v>
      </c>
      <c r="AA67" s="37">
        <v>0</v>
      </c>
      <c r="AB67" s="37">
        <v>8002.8888888888905</v>
      </c>
      <c r="AC67" s="37">
        <v>0</v>
      </c>
      <c r="AD67" s="37">
        <v>20525.110000000004</v>
      </c>
      <c r="AE67" s="37">
        <v>0</v>
      </c>
      <c r="AF67" s="37">
        <v>46004.542500000018</v>
      </c>
      <c r="AG67" s="37">
        <v>0</v>
      </c>
      <c r="AH67" s="37">
        <v>36373.281249999993</v>
      </c>
      <c r="AI67" s="37">
        <v>0</v>
      </c>
      <c r="AJ67" s="37">
        <v>27291.835937500018</v>
      </c>
      <c r="AK67" s="37">
        <v>0</v>
      </c>
      <c r="AL67" s="37">
        <v>24162.603365384624</v>
      </c>
      <c r="AM67" s="37">
        <v>0</v>
      </c>
      <c r="AN67" s="37">
        <v>24174.435096153844</v>
      </c>
      <c r="AO67" s="37">
        <v>0</v>
      </c>
      <c r="AP67" s="37">
        <v>15496.15384615386</v>
      </c>
      <c r="AQ67" s="37">
        <v>0</v>
      </c>
      <c r="AR67" s="37">
        <v>4572.1274999999969</v>
      </c>
      <c r="AS67" s="37">
        <v>0</v>
      </c>
      <c r="AT67" s="37">
        <v>15186.71153846153</v>
      </c>
      <c r="AU67" s="37">
        <v>0</v>
      </c>
      <c r="AV67" s="37">
        <v>6641.0168269230817</v>
      </c>
      <c r="AW67" s="37">
        <v>0</v>
      </c>
      <c r="AX67" s="37">
        <v>0</v>
      </c>
      <c r="AY67" s="37">
        <v>0</v>
      </c>
    </row>
    <row r="68" spans="2:51">
      <c r="B68">
        <v>10197</v>
      </c>
      <c r="C68" t="s">
        <v>72</v>
      </c>
      <c r="D68" s="37">
        <v>7442.298076923079</v>
      </c>
      <c r="E68" s="37">
        <v>0</v>
      </c>
      <c r="F68" s="37">
        <v>1545.0925000000013</v>
      </c>
      <c r="G68" s="37">
        <v>0</v>
      </c>
      <c r="H68" s="37">
        <v>1370.8175000000003</v>
      </c>
      <c r="I68" s="37">
        <v>0</v>
      </c>
      <c r="J68" s="37">
        <v>2125.9375000000014</v>
      </c>
      <c r="K68" s="37">
        <v>0</v>
      </c>
      <c r="L68" s="37">
        <v>1503.5850000000014</v>
      </c>
      <c r="M68" s="37">
        <v>0</v>
      </c>
      <c r="N68" s="37">
        <v>740.43269230769317</v>
      </c>
      <c r="O68" s="37">
        <v>0</v>
      </c>
      <c r="P68" s="37">
        <v>11414.086538461541</v>
      </c>
      <c r="Q68" s="37">
        <v>0</v>
      </c>
      <c r="R68" s="37">
        <v>9324.6947115384664</v>
      </c>
      <c r="S68" s="37">
        <v>0</v>
      </c>
      <c r="T68" s="37">
        <v>9684.1549999999952</v>
      </c>
      <c r="U68" s="37">
        <v>0</v>
      </c>
      <c r="V68" s="37">
        <v>10114.98798076922</v>
      </c>
      <c r="W68" s="37">
        <v>0</v>
      </c>
      <c r="X68" s="37">
        <v>10776.481481481489</v>
      </c>
      <c r="Y68" s="37">
        <v>0</v>
      </c>
      <c r="Z68" s="37">
        <v>4637.2578125000064</v>
      </c>
      <c r="AA68" s="37">
        <v>0</v>
      </c>
      <c r="AB68" s="37">
        <v>7816.4467592592591</v>
      </c>
      <c r="AC68" s="37">
        <v>0</v>
      </c>
      <c r="AD68" s="37">
        <v>1340.3650000000025</v>
      </c>
      <c r="AE68" s="37">
        <v>0</v>
      </c>
      <c r="AF68" s="37">
        <v>603.33749999999941</v>
      </c>
      <c r="AG68" s="37">
        <v>0</v>
      </c>
      <c r="AH68" s="37">
        <v>1901.4711538461584</v>
      </c>
      <c r="AI68" s="37">
        <v>0</v>
      </c>
      <c r="AJ68" s="37">
        <v>1164.2031250000025</v>
      </c>
      <c r="AK68" s="37">
        <v>0</v>
      </c>
      <c r="AL68" s="37">
        <v>360.25721153845768</v>
      </c>
      <c r="AM68" s="37">
        <v>0</v>
      </c>
      <c r="AN68" s="37">
        <v>11369.822115384613</v>
      </c>
      <c r="AO68" s="37">
        <v>0</v>
      </c>
      <c r="AP68" s="37">
        <v>9311.4903846153866</v>
      </c>
      <c r="AQ68" s="37">
        <v>0</v>
      </c>
      <c r="AR68" s="37">
        <v>9630.2624999999916</v>
      </c>
      <c r="AS68" s="37">
        <v>0</v>
      </c>
      <c r="AT68" s="37">
        <v>9539.365384615392</v>
      </c>
      <c r="AU68" s="37">
        <v>0</v>
      </c>
      <c r="AV68" s="37">
        <v>8260.2451923076933</v>
      </c>
      <c r="AW68" s="37">
        <v>0</v>
      </c>
      <c r="AX68" s="37">
        <v>6223.314999999996</v>
      </c>
      <c r="AY68" s="37">
        <v>0</v>
      </c>
    </row>
    <row r="69" spans="2:51">
      <c r="B69">
        <v>10202</v>
      </c>
      <c r="C69" t="s">
        <v>73</v>
      </c>
      <c r="D69" s="37">
        <v>3616.5144230769229</v>
      </c>
      <c r="E69" s="37">
        <v>0</v>
      </c>
      <c r="F69" s="37">
        <v>3601.2599999999993</v>
      </c>
      <c r="G69" s="37">
        <v>0</v>
      </c>
      <c r="H69" s="37">
        <v>1400.5674999999981</v>
      </c>
      <c r="I69" s="37">
        <v>0</v>
      </c>
      <c r="J69" s="37">
        <v>0</v>
      </c>
      <c r="K69" s="37">
        <v>0</v>
      </c>
      <c r="L69" s="37">
        <v>5937.2125000000042</v>
      </c>
      <c r="M69" s="37">
        <v>0</v>
      </c>
      <c r="N69" s="37">
        <v>4889.0096153846152</v>
      </c>
      <c r="O69" s="37">
        <v>0</v>
      </c>
      <c r="P69" s="37">
        <v>623.63942307692537</v>
      </c>
      <c r="Q69" s="37">
        <v>0</v>
      </c>
      <c r="R69" s="37">
        <v>990.33413461538441</v>
      </c>
      <c r="S69" s="37">
        <v>0</v>
      </c>
      <c r="T69" s="37">
        <v>1379.2575000000002</v>
      </c>
      <c r="U69" s="37">
        <v>0</v>
      </c>
      <c r="V69" s="37">
        <v>2514.8509615384646</v>
      </c>
      <c r="W69" s="37">
        <v>0</v>
      </c>
      <c r="X69" s="37">
        <v>3484.4143518518499</v>
      </c>
      <c r="Y69" s="37">
        <v>0</v>
      </c>
      <c r="Z69" s="37">
        <v>2634.4166666666647</v>
      </c>
      <c r="AA69" s="37">
        <v>0</v>
      </c>
      <c r="AB69" s="37">
        <v>4298.7013888888887</v>
      </c>
      <c r="AC69" s="37">
        <v>0</v>
      </c>
      <c r="AD69" s="37">
        <v>3626.3774999999996</v>
      </c>
      <c r="AE69" s="37">
        <v>0</v>
      </c>
      <c r="AF69" s="37">
        <v>1409.2874999999983</v>
      </c>
      <c r="AG69" s="37">
        <v>0</v>
      </c>
      <c r="AH69" s="37">
        <v>614.56009615384482</v>
      </c>
      <c r="AI69" s="37">
        <v>0</v>
      </c>
      <c r="AJ69" s="37">
        <v>5163.822916666667</v>
      </c>
      <c r="AK69" s="37">
        <v>0</v>
      </c>
      <c r="AL69" s="37">
        <v>4281.0600961538466</v>
      </c>
      <c r="AM69" s="37">
        <v>0</v>
      </c>
      <c r="AN69" s="37">
        <v>658.9399038461554</v>
      </c>
      <c r="AO69" s="37">
        <v>0</v>
      </c>
      <c r="AP69" s="37">
        <v>1009.5144230769222</v>
      </c>
      <c r="AQ69" s="37">
        <v>0</v>
      </c>
      <c r="AR69" s="37">
        <v>1411.8300000000008</v>
      </c>
      <c r="AS69" s="37">
        <v>0</v>
      </c>
      <c r="AT69" s="37">
        <v>2553.9807692307695</v>
      </c>
      <c r="AU69" s="37">
        <v>0</v>
      </c>
      <c r="AV69" s="37">
        <v>2923.7043269230794</v>
      </c>
      <c r="AW69" s="37">
        <v>0</v>
      </c>
      <c r="AX69" s="37">
        <v>3426.5725000000007</v>
      </c>
      <c r="AY69" s="37">
        <v>0</v>
      </c>
    </row>
    <row r="70" spans="2:51">
      <c r="B70">
        <v>10203</v>
      </c>
      <c r="C70" t="s">
        <v>74</v>
      </c>
      <c r="D70" s="37">
        <v>2973.5913461538462</v>
      </c>
      <c r="E70" s="37">
        <v>0</v>
      </c>
      <c r="F70" s="37">
        <v>3741.0900000000024</v>
      </c>
      <c r="G70" s="37">
        <v>0</v>
      </c>
      <c r="H70" s="37">
        <v>2862.7300000000005</v>
      </c>
      <c r="I70" s="37">
        <v>0</v>
      </c>
      <c r="J70" s="37">
        <v>3721.9086538461556</v>
      </c>
      <c r="K70" s="37">
        <v>0</v>
      </c>
      <c r="L70" s="37">
        <v>3278.1225000000009</v>
      </c>
      <c r="M70" s="37">
        <v>0</v>
      </c>
      <c r="N70" s="37">
        <v>4450.735576923079</v>
      </c>
      <c r="O70" s="37">
        <v>0</v>
      </c>
      <c r="P70" s="37">
        <v>3391.2259615384614</v>
      </c>
      <c r="Q70" s="37">
        <v>0</v>
      </c>
      <c r="R70" s="37">
        <v>2085.4615384615395</v>
      </c>
      <c r="S70" s="37">
        <v>0</v>
      </c>
      <c r="T70" s="37">
        <v>2492.0049999999997</v>
      </c>
      <c r="U70" s="37">
        <v>0</v>
      </c>
      <c r="V70" s="37">
        <v>2394.2668269230758</v>
      </c>
      <c r="W70" s="37">
        <v>0</v>
      </c>
      <c r="X70" s="37">
        <v>2705.8796296296296</v>
      </c>
      <c r="Y70" s="37">
        <v>0</v>
      </c>
      <c r="Z70" s="37">
        <v>2393.1354166666661</v>
      </c>
      <c r="AA70" s="37">
        <v>0</v>
      </c>
      <c r="AB70" s="37">
        <v>3539.5532407407413</v>
      </c>
      <c r="AC70" s="37">
        <v>0</v>
      </c>
      <c r="AD70" s="37">
        <v>4001.1199999999994</v>
      </c>
      <c r="AE70" s="37">
        <v>0</v>
      </c>
      <c r="AF70" s="37">
        <v>3100.0499999999993</v>
      </c>
      <c r="AG70" s="37">
        <v>0</v>
      </c>
      <c r="AH70" s="37">
        <v>4557.7524038461552</v>
      </c>
      <c r="AI70" s="37">
        <v>0</v>
      </c>
      <c r="AJ70" s="37">
        <v>3069.151041666667</v>
      </c>
      <c r="AK70" s="37">
        <v>0</v>
      </c>
      <c r="AL70" s="37">
        <v>4221.7451923076906</v>
      </c>
      <c r="AM70" s="37">
        <v>0</v>
      </c>
      <c r="AN70" s="37">
        <v>3501.7475961538466</v>
      </c>
      <c r="AO70" s="37">
        <v>0</v>
      </c>
      <c r="AP70" s="37">
        <v>2195.6201923076919</v>
      </c>
      <c r="AQ70" s="37">
        <v>0</v>
      </c>
      <c r="AR70" s="37">
        <v>2594.59</v>
      </c>
      <c r="AS70" s="37">
        <v>0</v>
      </c>
      <c r="AT70" s="37">
        <v>2497.9110576923072</v>
      </c>
      <c r="AU70" s="37">
        <v>0</v>
      </c>
      <c r="AV70" s="37">
        <v>2551.1778846153852</v>
      </c>
      <c r="AW70" s="37">
        <v>0</v>
      </c>
      <c r="AX70" s="37">
        <v>2742.8275000000003</v>
      </c>
      <c r="AY70" s="37">
        <v>0</v>
      </c>
    </row>
    <row r="71" spans="2:51">
      <c r="B71">
        <v>10204</v>
      </c>
      <c r="C71" t="s">
        <v>75</v>
      </c>
      <c r="D71" s="37">
        <v>0</v>
      </c>
      <c r="E71" s="37">
        <v>0</v>
      </c>
      <c r="F71" s="37">
        <v>0</v>
      </c>
      <c r="G71" s="37">
        <v>0</v>
      </c>
      <c r="H71" s="37">
        <v>0</v>
      </c>
      <c r="I71" s="37">
        <v>0</v>
      </c>
      <c r="J71" s="37">
        <v>0</v>
      </c>
      <c r="K71" s="37">
        <v>0</v>
      </c>
      <c r="L71" s="37">
        <v>0</v>
      </c>
      <c r="M71" s="37">
        <v>0</v>
      </c>
      <c r="N71" s="37">
        <v>0</v>
      </c>
      <c r="O71" s="37">
        <v>0</v>
      </c>
      <c r="P71" s="37">
        <v>0</v>
      </c>
      <c r="Q71" s="37">
        <v>0</v>
      </c>
      <c r="R71" s="37">
        <v>0</v>
      </c>
      <c r="S71" s="37">
        <v>0</v>
      </c>
      <c r="T71" s="37">
        <v>0</v>
      </c>
      <c r="U71" s="37">
        <v>0</v>
      </c>
      <c r="V71" s="37">
        <v>0</v>
      </c>
      <c r="W71" s="37">
        <v>0</v>
      </c>
      <c r="X71" s="37">
        <v>0</v>
      </c>
      <c r="Y71" s="37">
        <v>0</v>
      </c>
      <c r="Z71" s="37">
        <v>0</v>
      </c>
      <c r="AA71" s="37">
        <v>0</v>
      </c>
      <c r="AB71" s="37">
        <v>0</v>
      </c>
      <c r="AC71" s="37">
        <v>0</v>
      </c>
      <c r="AD71" s="37">
        <v>0</v>
      </c>
      <c r="AE71" s="37">
        <v>0</v>
      </c>
      <c r="AF71" s="37">
        <v>0</v>
      </c>
      <c r="AG71" s="37">
        <v>0</v>
      </c>
      <c r="AH71" s="37">
        <v>0</v>
      </c>
      <c r="AI71" s="37">
        <v>0</v>
      </c>
      <c r="AJ71" s="37">
        <v>0</v>
      </c>
      <c r="AK71" s="37">
        <v>0</v>
      </c>
      <c r="AL71" s="37">
        <v>0</v>
      </c>
      <c r="AM71" s="37">
        <v>0</v>
      </c>
      <c r="AN71" s="37">
        <v>0</v>
      </c>
      <c r="AO71" s="37">
        <v>0</v>
      </c>
      <c r="AP71" s="37">
        <v>0</v>
      </c>
      <c r="AQ71" s="37">
        <v>0</v>
      </c>
      <c r="AR71" s="37">
        <v>0</v>
      </c>
      <c r="AS71" s="37">
        <v>0</v>
      </c>
      <c r="AT71" s="37">
        <v>0</v>
      </c>
      <c r="AU71" s="37">
        <v>0</v>
      </c>
      <c r="AV71" s="37">
        <v>0</v>
      </c>
      <c r="AW71" s="37">
        <v>0</v>
      </c>
      <c r="AX71" s="37">
        <v>0</v>
      </c>
      <c r="AY71" s="37">
        <v>0</v>
      </c>
    </row>
    <row r="72" spans="2:51">
      <c r="B72">
        <v>10209</v>
      </c>
      <c r="C72" t="s">
        <v>76</v>
      </c>
      <c r="D72" s="37">
        <v>0</v>
      </c>
      <c r="E72" s="37">
        <v>0</v>
      </c>
      <c r="F72" s="37">
        <v>0</v>
      </c>
      <c r="G72" s="37">
        <v>0</v>
      </c>
      <c r="H72" s="37">
        <v>0</v>
      </c>
      <c r="I72" s="37">
        <v>0</v>
      </c>
      <c r="J72" s="37">
        <v>0</v>
      </c>
      <c r="K72" s="37">
        <v>0</v>
      </c>
      <c r="L72" s="37">
        <v>0</v>
      </c>
      <c r="M72" s="37">
        <v>0</v>
      </c>
      <c r="N72" s="37">
        <v>0</v>
      </c>
      <c r="O72" s="37">
        <v>0</v>
      </c>
      <c r="P72" s="37">
        <v>0</v>
      </c>
      <c r="Q72" s="37">
        <v>0</v>
      </c>
      <c r="R72" s="37">
        <v>0</v>
      </c>
      <c r="S72" s="37">
        <v>0</v>
      </c>
      <c r="T72" s="37">
        <v>0</v>
      </c>
      <c r="U72" s="37">
        <v>0</v>
      </c>
      <c r="V72" s="37">
        <v>0</v>
      </c>
      <c r="W72" s="37">
        <v>0</v>
      </c>
      <c r="X72" s="37">
        <v>0</v>
      </c>
      <c r="Y72" s="37">
        <v>0</v>
      </c>
      <c r="Z72" s="37">
        <v>0</v>
      </c>
      <c r="AA72" s="37">
        <v>0</v>
      </c>
      <c r="AB72" s="37">
        <v>0</v>
      </c>
      <c r="AC72" s="37">
        <v>0</v>
      </c>
      <c r="AD72" s="37">
        <v>0</v>
      </c>
      <c r="AE72" s="37">
        <v>0</v>
      </c>
      <c r="AF72" s="37">
        <v>0</v>
      </c>
      <c r="AG72" s="37">
        <v>0</v>
      </c>
      <c r="AH72" s="37">
        <v>0</v>
      </c>
      <c r="AI72" s="37">
        <v>0</v>
      </c>
      <c r="AJ72" s="37">
        <v>0</v>
      </c>
      <c r="AK72" s="37">
        <v>0</v>
      </c>
      <c r="AL72" s="37">
        <v>0</v>
      </c>
      <c r="AM72" s="37">
        <v>0</v>
      </c>
      <c r="AN72" s="37">
        <v>0</v>
      </c>
      <c r="AO72" s="37">
        <v>0</v>
      </c>
      <c r="AP72" s="37">
        <v>0</v>
      </c>
      <c r="AQ72" s="37">
        <v>0</v>
      </c>
      <c r="AR72" s="37">
        <v>0</v>
      </c>
      <c r="AS72" s="37">
        <v>0</v>
      </c>
      <c r="AT72" s="37">
        <v>0</v>
      </c>
      <c r="AU72" s="37">
        <v>0</v>
      </c>
      <c r="AV72" s="37">
        <v>0</v>
      </c>
      <c r="AW72" s="37">
        <v>0</v>
      </c>
      <c r="AX72" s="37">
        <v>0</v>
      </c>
      <c r="AY72" s="37">
        <v>0</v>
      </c>
    </row>
    <row r="73" spans="2:51">
      <c r="B73">
        <v>10230</v>
      </c>
      <c r="C73" t="s">
        <v>77</v>
      </c>
      <c r="D73" s="37">
        <v>1855.8774038461543</v>
      </c>
      <c r="E73" s="37">
        <v>0</v>
      </c>
      <c r="F73" s="37">
        <v>3336.8300000000017</v>
      </c>
      <c r="G73" s="37">
        <v>0</v>
      </c>
      <c r="H73" s="37">
        <v>6315.5050000000019</v>
      </c>
      <c r="I73" s="37">
        <v>0</v>
      </c>
      <c r="J73" s="37">
        <v>6335.1778846153848</v>
      </c>
      <c r="K73" s="37">
        <v>0</v>
      </c>
      <c r="L73" s="37">
        <v>7662.3850000000011</v>
      </c>
      <c r="M73" s="37">
        <v>0</v>
      </c>
      <c r="N73" s="37">
        <v>4048.9302884615358</v>
      </c>
      <c r="O73" s="37">
        <v>0</v>
      </c>
      <c r="P73" s="37">
        <v>3138.3028846153866</v>
      </c>
      <c r="Q73" s="37">
        <v>0</v>
      </c>
      <c r="R73" s="37">
        <v>3061.1274038461538</v>
      </c>
      <c r="S73" s="37">
        <v>0</v>
      </c>
      <c r="T73" s="37">
        <v>3664.1400000000012</v>
      </c>
      <c r="U73" s="37">
        <v>0</v>
      </c>
      <c r="V73" s="37">
        <v>4183.9374999999991</v>
      </c>
      <c r="W73" s="37">
        <v>0</v>
      </c>
      <c r="X73" s="37">
        <v>4020.8449074074065</v>
      </c>
      <c r="Y73" s="37">
        <v>0</v>
      </c>
      <c r="Z73" s="37">
        <v>2759.84375</v>
      </c>
      <c r="AA73" s="37">
        <v>0</v>
      </c>
      <c r="AB73" s="37">
        <v>2607.9166666666661</v>
      </c>
      <c r="AC73" s="37">
        <v>0</v>
      </c>
      <c r="AD73" s="37">
        <v>3558.7749999999996</v>
      </c>
      <c r="AE73" s="37">
        <v>0</v>
      </c>
      <c r="AF73" s="37">
        <v>6656.3925000000027</v>
      </c>
      <c r="AG73" s="37">
        <v>0</v>
      </c>
      <c r="AH73" s="37">
        <v>6709.1177884615381</v>
      </c>
      <c r="AI73" s="37">
        <v>0</v>
      </c>
      <c r="AJ73" s="37">
        <v>7299.7265624999991</v>
      </c>
      <c r="AK73" s="37">
        <v>0</v>
      </c>
      <c r="AL73" s="37">
        <v>4303.1634615384619</v>
      </c>
      <c r="AM73" s="37">
        <v>0</v>
      </c>
      <c r="AN73" s="37">
        <v>3372.2980769230749</v>
      </c>
      <c r="AO73" s="37">
        <v>0</v>
      </c>
      <c r="AP73" s="37">
        <v>3266.7187499999991</v>
      </c>
      <c r="AQ73" s="37">
        <v>0</v>
      </c>
      <c r="AR73" s="37">
        <v>3852.2925000000005</v>
      </c>
      <c r="AS73" s="37">
        <v>0</v>
      </c>
      <c r="AT73" s="37">
        <v>4387.2620192307641</v>
      </c>
      <c r="AU73" s="37">
        <v>0</v>
      </c>
      <c r="AV73" s="37">
        <v>3637.5745192307663</v>
      </c>
      <c r="AW73" s="37">
        <v>0</v>
      </c>
      <c r="AX73" s="37">
        <v>3489.1424999999981</v>
      </c>
      <c r="AY73" s="37">
        <v>0</v>
      </c>
    </row>
    <row r="74" spans="2:51">
      <c r="B74">
        <v>10231</v>
      </c>
      <c r="C74" t="s">
        <v>78</v>
      </c>
      <c r="D74" s="37">
        <v>0</v>
      </c>
      <c r="E74" s="37">
        <v>0</v>
      </c>
      <c r="F74" s="37">
        <v>2941.4500000000048</v>
      </c>
      <c r="G74" s="37">
        <v>0</v>
      </c>
      <c r="H74" s="37">
        <v>2342.987499999987</v>
      </c>
      <c r="I74" s="37">
        <v>0</v>
      </c>
      <c r="J74" s="37">
        <v>733.17788461539908</v>
      </c>
      <c r="K74" s="37">
        <v>0</v>
      </c>
      <c r="L74" s="37">
        <v>5603.0650000000078</v>
      </c>
      <c r="M74" s="37">
        <v>0</v>
      </c>
      <c r="N74" s="37">
        <v>3591.8437500000023</v>
      </c>
      <c r="O74" s="37">
        <v>0</v>
      </c>
      <c r="P74" s="37">
        <v>305.08173076923839</v>
      </c>
      <c r="Q74" s="37">
        <v>0</v>
      </c>
      <c r="R74" s="37">
        <v>5840.2475961538466</v>
      </c>
      <c r="S74" s="37">
        <v>0</v>
      </c>
      <c r="T74" s="37">
        <v>6402.5900000000047</v>
      </c>
      <c r="U74" s="37">
        <v>0</v>
      </c>
      <c r="V74" s="37">
        <v>2022.2980769230751</v>
      </c>
      <c r="W74" s="37">
        <v>0</v>
      </c>
      <c r="X74" s="37">
        <v>10617.009259259255</v>
      </c>
      <c r="Y74" s="37">
        <v>0</v>
      </c>
      <c r="Z74" s="37">
        <v>0</v>
      </c>
      <c r="AA74" s="37">
        <v>0</v>
      </c>
      <c r="AB74" s="37">
        <v>0</v>
      </c>
      <c r="AC74" s="37">
        <v>0</v>
      </c>
      <c r="AD74" s="37">
        <v>2672.4750000000076</v>
      </c>
      <c r="AE74" s="37">
        <v>0</v>
      </c>
      <c r="AF74" s="37">
        <v>2251.5749999999971</v>
      </c>
      <c r="AG74" s="37">
        <v>0</v>
      </c>
      <c r="AH74" s="37">
        <v>3448.25</v>
      </c>
      <c r="AI74" s="37">
        <v>0</v>
      </c>
      <c r="AJ74" s="37">
        <v>3054.1510416666711</v>
      </c>
      <c r="AK74" s="37">
        <v>0</v>
      </c>
      <c r="AL74" s="37">
        <v>956.36778846154152</v>
      </c>
      <c r="AM74" s="37">
        <v>0</v>
      </c>
      <c r="AN74" s="37">
        <v>0</v>
      </c>
      <c r="AO74" s="37">
        <v>0</v>
      </c>
      <c r="AP74" s="37">
        <v>5455.5336538461561</v>
      </c>
      <c r="AQ74" s="37">
        <v>0</v>
      </c>
      <c r="AR74" s="37">
        <v>5943.9249999999938</v>
      </c>
      <c r="AS74" s="37">
        <v>0</v>
      </c>
      <c r="AT74" s="37">
        <v>1563.2139423076801</v>
      </c>
      <c r="AU74" s="37">
        <v>0</v>
      </c>
      <c r="AV74" s="37">
        <v>7836.0649038461561</v>
      </c>
      <c r="AW74" s="37">
        <v>0</v>
      </c>
      <c r="AX74" s="37">
        <v>0</v>
      </c>
      <c r="AY74" s="37">
        <v>0</v>
      </c>
    </row>
    <row r="75" spans="2:51">
      <c r="B75">
        <v>10234</v>
      </c>
      <c r="C75" t="s">
        <v>79</v>
      </c>
      <c r="D75" s="37">
        <v>0</v>
      </c>
      <c r="E75" s="37">
        <v>0</v>
      </c>
      <c r="F75" s="37">
        <v>0</v>
      </c>
      <c r="G75" s="37">
        <v>0</v>
      </c>
      <c r="H75" s="37">
        <v>0</v>
      </c>
      <c r="I75" s="37">
        <v>0</v>
      </c>
      <c r="J75" s="37">
        <v>0</v>
      </c>
      <c r="K75" s="37">
        <v>0</v>
      </c>
      <c r="L75" s="37">
        <v>0</v>
      </c>
      <c r="M75" s="37">
        <v>0</v>
      </c>
      <c r="N75" s="37">
        <v>0</v>
      </c>
      <c r="O75" s="37">
        <v>0</v>
      </c>
      <c r="P75" s="37">
        <v>0</v>
      </c>
      <c r="Q75" s="37">
        <v>0</v>
      </c>
      <c r="R75" s="37">
        <v>0</v>
      </c>
      <c r="S75" s="37">
        <v>0</v>
      </c>
      <c r="T75" s="37">
        <v>0</v>
      </c>
      <c r="U75" s="37">
        <v>0</v>
      </c>
      <c r="V75" s="37">
        <v>0</v>
      </c>
      <c r="W75" s="37">
        <v>0</v>
      </c>
      <c r="X75" s="37">
        <v>0</v>
      </c>
      <c r="Y75" s="37">
        <v>0</v>
      </c>
      <c r="Z75" s="37">
        <v>0</v>
      </c>
      <c r="AA75" s="37">
        <v>0</v>
      </c>
      <c r="AB75" s="37">
        <v>0</v>
      </c>
      <c r="AC75" s="37">
        <v>0</v>
      </c>
      <c r="AD75" s="37">
        <v>0</v>
      </c>
      <c r="AE75" s="37">
        <v>0</v>
      </c>
      <c r="AF75" s="37">
        <v>0</v>
      </c>
      <c r="AG75" s="37">
        <v>0</v>
      </c>
      <c r="AH75" s="37">
        <v>0</v>
      </c>
      <c r="AI75" s="37">
        <v>0</v>
      </c>
      <c r="AJ75" s="37">
        <v>0</v>
      </c>
      <c r="AK75" s="37">
        <v>0</v>
      </c>
      <c r="AL75" s="37">
        <v>0</v>
      </c>
      <c r="AM75" s="37">
        <v>0</v>
      </c>
      <c r="AN75" s="37">
        <v>0</v>
      </c>
      <c r="AO75" s="37">
        <v>0</v>
      </c>
      <c r="AP75" s="37">
        <v>0</v>
      </c>
      <c r="AQ75" s="37">
        <v>0</v>
      </c>
      <c r="AR75" s="37">
        <v>0</v>
      </c>
      <c r="AS75" s="37">
        <v>0</v>
      </c>
      <c r="AT75" s="37">
        <v>0</v>
      </c>
      <c r="AU75" s="37">
        <v>0</v>
      </c>
      <c r="AV75" s="37">
        <v>0</v>
      </c>
      <c r="AW75" s="37">
        <v>0</v>
      </c>
      <c r="AX75" s="37">
        <v>0</v>
      </c>
      <c r="AY75" s="37">
        <v>0</v>
      </c>
    </row>
    <row r="76" spans="2:51">
      <c r="B76">
        <v>10235</v>
      </c>
      <c r="C76" t="s">
        <v>80</v>
      </c>
      <c r="D76" s="37">
        <v>1017.1802884615353</v>
      </c>
      <c r="E76" s="37">
        <v>0</v>
      </c>
      <c r="F76" s="37">
        <v>3135.9599999999991</v>
      </c>
      <c r="G76" s="37">
        <v>0</v>
      </c>
      <c r="H76" s="37">
        <v>5492.7950000000028</v>
      </c>
      <c r="I76" s="37">
        <v>0</v>
      </c>
      <c r="J76" s="37">
        <v>6297.7716346153857</v>
      </c>
      <c r="K76" s="37">
        <v>0</v>
      </c>
      <c r="L76" s="37">
        <v>5342.0524999999961</v>
      </c>
      <c r="M76" s="37">
        <v>0</v>
      </c>
      <c r="N76" s="37">
        <v>4155.3605769230826</v>
      </c>
      <c r="O76" s="37">
        <v>0</v>
      </c>
      <c r="P76" s="37">
        <v>5960.6250000000027</v>
      </c>
      <c r="Q76" s="37">
        <v>0</v>
      </c>
      <c r="R76" s="37">
        <v>4227.5384615384592</v>
      </c>
      <c r="S76" s="37">
        <v>0</v>
      </c>
      <c r="T76" s="37">
        <v>3129.2599999999975</v>
      </c>
      <c r="U76" s="37">
        <v>0</v>
      </c>
      <c r="V76" s="37">
        <v>3685.0192307692291</v>
      </c>
      <c r="W76" s="37">
        <v>0</v>
      </c>
      <c r="X76" s="37">
        <v>5467.4120370370392</v>
      </c>
      <c r="Y76" s="37">
        <v>0</v>
      </c>
      <c r="Z76" s="37">
        <v>2963.6979166666702</v>
      </c>
      <c r="AA76" s="37">
        <v>0</v>
      </c>
      <c r="AB76" s="37">
        <v>2307.8958333333367</v>
      </c>
      <c r="AC76" s="37">
        <v>0</v>
      </c>
      <c r="AD76" s="37">
        <v>3208.4549999999954</v>
      </c>
      <c r="AE76" s="37">
        <v>0</v>
      </c>
      <c r="AF76" s="37">
        <v>5567.8424999999997</v>
      </c>
      <c r="AG76" s="37">
        <v>0</v>
      </c>
      <c r="AH76" s="37">
        <v>7917.6418269230726</v>
      </c>
      <c r="AI76" s="37">
        <v>0</v>
      </c>
      <c r="AJ76" s="37">
        <v>3803.9088541666661</v>
      </c>
      <c r="AK76" s="37">
        <v>0</v>
      </c>
      <c r="AL76" s="37">
        <v>2951.7548076923131</v>
      </c>
      <c r="AM76" s="37">
        <v>0</v>
      </c>
      <c r="AN76" s="37">
        <v>6025.814903846157</v>
      </c>
      <c r="AO76" s="37">
        <v>0</v>
      </c>
      <c r="AP76" s="37">
        <v>4276.2091346153857</v>
      </c>
      <c r="AQ76" s="37">
        <v>0</v>
      </c>
      <c r="AR76" s="37">
        <v>3175.8125000000055</v>
      </c>
      <c r="AS76" s="37">
        <v>0</v>
      </c>
      <c r="AT76" s="37">
        <v>3739.6634615384601</v>
      </c>
      <c r="AU76" s="37">
        <v>0</v>
      </c>
      <c r="AV76" s="37">
        <v>4432.0288461538448</v>
      </c>
      <c r="AW76" s="37">
        <v>0</v>
      </c>
      <c r="AX76" s="37">
        <v>4185.7549999999956</v>
      </c>
      <c r="AY76" s="37">
        <v>0</v>
      </c>
    </row>
    <row r="77" spans="2:51">
      <c r="B77">
        <v>10236</v>
      </c>
      <c r="C77" t="s">
        <v>81</v>
      </c>
      <c r="D77" s="37">
        <v>0</v>
      </c>
      <c r="E77" s="37">
        <v>0</v>
      </c>
      <c r="F77" s="37">
        <v>0</v>
      </c>
      <c r="G77" s="37">
        <v>0</v>
      </c>
      <c r="H77" s="37">
        <v>0</v>
      </c>
      <c r="I77" s="37">
        <v>0</v>
      </c>
      <c r="J77" s="37">
        <v>0</v>
      </c>
      <c r="K77" s="37">
        <v>0</v>
      </c>
      <c r="L77" s="37">
        <v>0</v>
      </c>
      <c r="M77" s="37">
        <v>0</v>
      </c>
      <c r="N77" s="37">
        <v>0</v>
      </c>
      <c r="O77" s="37">
        <v>0</v>
      </c>
      <c r="P77" s="37">
        <v>0</v>
      </c>
      <c r="Q77" s="37">
        <v>0</v>
      </c>
      <c r="R77" s="37">
        <v>0</v>
      </c>
      <c r="S77" s="37">
        <v>0</v>
      </c>
      <c r="T77" s="37">
        <v>0</v>
      </c>
      <c r="U77" s="37">
        <v>0</v>
      </c>
      <c r="V77" s="37">
        <v>0</v>
      </c>
      <c r="W77" s="37">
        <v>0</v>
      </c>
      <c r="X77" s="37">
        <v>0</v>
      </c>
      <c r="Y77" s="37">
        <v>0</v>
      </c>
      <c r="Z77" s="37">
        <v>0</v>
      </c>
      <c r="AA77" s="37">
        <v>0</v>
      </c>
      <c r="AB77" s="37">
        <v>0</v>
      </c>
      <c r="AC77" s="37">
        <v>0</v>
      </c>
      <c r="AD77" s="37">
        <v>0</v>
      </c>
      <c r="AE77" s="37">
        <v>0</v>
      </c>
      <c r="AF77" s="37">
        <v>0</v>
      </c>
      <c r="AG77" s="37">
        <v>0</v>
      </c>
      <c r="AH77" s="37">
        <v>0</v>
      </c>
      <c r="AI77" s="37">
        <v>0</v>
      </c>
      <c r="AJ77" s="37">
        <v>0</v>
      </c>
      <c r="AK77" s="37">
        <v>0</v>
      </c>
      <c r="AL77" s="37">
        <v>0</v>
      </c>
      <c r="AM77" s="37">
        <v>0</v>
      </c>
      <c r="AN77" s="37">
        <v>0</v>
      </c>
      <c r="AO77" s="37">
        <v>0</v>
      </c>
      <c r="AP77" s="37">
        <v>0</v>
      </c>
      <c r="AQ77" s="37">
        <v>0</v>
      </c>
      <c r="AR77" s="37">
        <v>0</v>
      </c>
      <c r="AS77" s="37">
        <v>0</v>
      </c>
      <c r="AT77" s="37">
        <v>0</v>
      </c>
      <c r="AU77" s="37">
        <v>0</v>
      </c>
      <c r="AV77" s="37">
        <v>0</v>
      </c>
      <c r="AW77" s="37">
        <v>0</v>
      </c>
      <c r="AX77" s="37">
        <v>0</v>
      </c>
      <c r="AY77" s="37">
        <v>0</v>
      </c>
    </row>
    <row r="78" spans="2:51">
      <c r="B78">
        <v>10237</v>
      </c>
      <c r="C78" t="s">
        <v>82</v>
      </c>
      <c r="D78" s="37">
        <v>0</v>
      </c>
      <c r="E78" s="37">
        <v>0</v>
      </c>
      <c r="F78" s="37">
        <v>0</v>
      </c>
      <c r="G78" s="37">
        <v>0</v>
      </c>
      <c r="H78" s="37">
        <v>0</v>
      </c>
      <c r="I78" s="37">
        <v>0</v>
      </c>
      <c r="J78" s="37">
        <v>0</v>
      </c>
      <c r="K78" s="37">
        <v>0</v>
      </c>
      <c r="L78" s="37">
        <v>0</v>
      </c>
      <c r="M78" s="37">
        <v>0</v>
      </c>
      <c r="N78" s="37">
        <v>0</v>
      </c>
      <c r="O78" s="37">
        <v>0</v>
      </c>
      <c r="P78" s="37">
        <v>0</v>
      </c>
      <c r="Q78" s="37">
        <v>0</v>
      </c>
      <c r="R78" s="37">
        <v>0</v>
      </c>
      <c r="S78" s="37">
        <v>0</v>
      </c>
      <c r="T78" s="37">
        <v>0</v>
      </c>
      <c r="U78" s="37">
        <v>0</v>
      </c>
      <c r="V78" s="37">
        <v>0</v>
      </c>
      <c r="W78" s="37">
        <v>0</v>
      </c>
      <c r="X78" s="37">
        <v>0</v>
      </c>
      <c r="Y78" s="37">
        <v>0</v>
      </c>
      <c r="Z78" s="37">
        <v>0</v>
      </c>
      <c r="AA78" s="37">
        <v>0</v>
      </c>
      <c r="AB78" s="37">
        <v>0</v>
      </c>
      <c r="AC78" s="37">
        <v>0</v>
      </c>
      <c r="AD78" s="37">
        <v>0</v>
      </c>
      <c r="AE78" s="37">
        <v>0</v>
      </c>
      <c r="AF78" s="37">
        <v>0</v>
      </c>
      <c r="AG78" s="37">
        <v>0</v>
      </c>
      <c r="AH78" s="37">
        <v>0</v>
      </c>
      <c r="AI78" s="37">
        <v>0</v>
      </c>
      <c r="AJ78" s="37">
        <v>0</v>
      </c>
      <c r="AK78" s="37">
        <v>0</v>
      </c>
      <c r="AL78" s="37">
        <v>0</v>
      </c>
      <c r="AM78" s="37">
        <v>0</v>
      </c>
      <c r="AN78" s="37">
        <v>0</v>
      </c>
      <c r="AO78" s="37">
        <v>0</v>
      </c>
      <c r="AP78" s="37">
        <v>0</v>
      </c>
      <c r="AQ78" s="37">
        <v>0</v>
      </c>
      <c r="AR78" s="37">
        <v>0</v>
      </c>
      <c r="AS78" s="37">
        <v>0</v>
      </c>
      <c r="AT78" s="37">
        <v>0</v>
      </c>
      <c r="AU78" s="37">
        <v>0</v>
      </c>
      <c r="AV78" s="37">
        <v>0</v>
      </c>
      <c r="AW78" s="37">
        <v>0</v>
      </c>
      <c r="AX78" s="37">
        <v>0</v>
      </c>
      <c r="AY78" s="37">
        <v>0</v>
      </c>
    </row>
    <row r="79" spans="2:51">
      <c r="B79">
        <v>10239</v>
      </c>
      <c r="C79" t="s">
        <v>83</v>
      </c>
      <c r="D79" s="37">
        <v>0</v>
      </c>
      <c r="E79" s="37">
        <v>0</v>
      </c>
      <c r="F79" s="37">
        <v>0</v>
      </c>
      <c r="G79" s="37">
        <v>0</v>
      </c>
      <c r="H79" s="37">
        <v>0</v>
      </c>
      <c r="I79" s="37">
        <v>0</v>
      </c>
      <c r="J79" s="37">
        <v>0</v>
      </c>
      <c r="K79" s="37">
        <v>0</v>
      </c>
      <c r="L79" s="37">
        <v>0</v>
      </c>
      <c r="M79" s="37">
        <v>0</v>
      </c>
      <c r="N79" s="37">
        <v>0</v>
      </c>
      <c r="O79" s="37">
        <v>0</v>
      </c>
      <c r="P79" s="37">
        <v>0</v>
      </c>
      <c r="Q79" s="37">
        <v>0</v>
      </c>
      <c r="R79" s="37">
        <v>0</v>
      </c>
      <c r="S79" s="37">
        <v>0</v>
      </c>
      <c r="T79" s="37">
        <v>0</v>
      </c>
      <c r="U79" s="37">
        <v>0</v>
      </c>
      <c r="V79" s="37">
        <v>0</v>
      </c>
      <c r="W79" s="37">
        <v>0</v>
      </c>
      <c r="X79" s="37">
        <v>0</v>
      </c>
      <c r="Y79" s="37">
        <v>0</v>
      </c>
      <c r="Z79" s="37">
        <v>0</v>
      </c>
      <c r="AA79" s="37">
        <v>0</v>
      </c>
      <c r="AB79" s="37">
        <v>0</v>
      </c>
      <c r="AC79" s="37">
        <v>0</v>
      </c>
      <c r="AD79" s="37">
        <v>0</v>
      </c>
      <c r="AE79" s="37">
        <v>0</v>
      </c>
      <c r="AF79" s="37">
        <v>0</v>
      </c>
      <c r="AG79" s="37">
        <v>0</v>
      </c>
      <c r="AH79" s="37">
        <v>0</v>
      </c>
      <c r="AI79" s="37">
        <v>0</v>
      </c>
      <c r="AJ79" s="37">
        <v>0</v>
      </c>
      <c r="AK79" s="37">
        <v>0</v>
      </c>
      <c r="AL79" s="37">
        <v>0</v>
      </c>
      <c r="AM79" s="37">
        <v>0</v>
      </c>
      <c r="AN79" s="37">
        <v>0</v>
      </c>
      <c r="AO79" s="37">
        <v>0</v>
      </c>
      <c r="AP79" s="37">
        <v>0</v>
      </c>
      <c r="AQ79" s="37">
        <v>0</v>
      </c>
      <c r="AR79" s="37">
        <v>0</v>
      </c>
      <c r="AS79" s="37">
        <v>0</v>
      </c>
      <c r="AT79" s="37">
        <v>0</v>
      </c>
      <c r="AU79" s="37">
        <v>0</v>
      </c>
      <c r="AV79" s="37">
        <v>0</v>
      </c>
      <c r="AW79" s="37">
        <v>0</v>
      </c>
      <c r="AX79" s="37">
        <v>0</v>
      </c>
      <c r="AY79" s="37">
        <v>0</v>
      </c>
    </row>
    <row r="80" spans="2:51">
      <c r="B80">
        <v>10242</v>
      </c>
      <c r="C80" t="s">
        <v>84</v>
      </c>
      <c r="D80" s="37">
        <v>3228.0024038461547</v>
      </c>
      <c r="E80" s="37">
        <v>0</v>
      </c>
      <c r="F80" s="37">
        <v>944.46750000000043</v>
      </c>
      <c r="G80" s="37">
        <v>0</v>
      </c>
      <c r="H80" s="37">
        <v>941.62999999999954</v>
      </c>
      <c r="I80" s="37">
        <v>0</v>
      </c>
      <c r="J80" s="37">
        <v>1388.9230769230778</v>
      </c>
      <c r="K80" s="37">
        <v>0</v>
      </c>
      <c r="L80" s="37">
        <v>1550.1274999999994</v>
      </c>
      <c r="M80" s="37">
        <v>0</v>
      </c>
      <c r="N80" s="37">
        <v>1598.822115384615</v>
      </c>
      <c r="O80" s="37">
        <v>0</v>
      </c>
      <c r="P80" s="37">
        <v>2184.6490384615372</v>
      </c>
      <c r="Q80" s="37">
        <v>0</v>
      </c>
      <c r="R80" s="37">
        <v>0</v>
      </c>
      <c r="S80" s="37">
        <v>0</v>
      </c>
      <c r="T80" s="37">
        <v>3014.1574999999998</v>
      </c>
      <c r="U80" s="37">
        <v>0</v>
      </c>
      <c r="V80" s="37">
        <v>5117.346153846157</v>
      </c>
      <c r="W80" s="37">
        <v>0</v>
      </c>
      <c r="X80" s="37">
        <v>2011.6250000000032</v>
      </c>
      <c r="Y80" s="37">
        <v>0</v>
      </c>
      <c r="Z80" s="37">
        <v>2169.5546875</v>
      </c>
      <c r="AA80" s="37">
        <v>0</v>
      </c>
      <c r="AB80" s="37">
        <v>3527.541666666667</v>
      </c>
      <c r="AC80" s="37">
        <v>0</v>
      </c>
      <c r="AD80" s="37">
        <v>988.30749999999989</v>
      </c>
      <c r="AE80" s="37">
        <v>0</v>
      </c>
      <c r="AF80" s="37">
        <v>972.582500000001</v>
      </c>
      <c r="AG80" s="37">
        <v>0</v>
      </c>
      <c r="AH80" s="37">
        <v>1421.57451923077</v>
      </c>
      <c r="AI80" s="37">
        <v>0</v>
      </c>
      <c r="AJ80" s="37">
        <v>1290.2838541666658</v>
      </c>
      <c r="AK80" s="37">
        <v>0</v>
      </c>
      <c r="AL80" s="37">
        <v>1647.5937499999995</v>
      </c>
      <c r="AM80" s="37">
        <v>0</v>
      </c>
      <c r="AN80" s="37">
        <v>2240.5048076923072</v>
      </c>
      <c r="AO80" s="37">
        <v>0</v>
      </c>
      <c r="AP80" s="37">
        <v>0</v>
      </c>
      <c r="AQ80" s="37">
        <v>0</v>
      </c>
      <c r="AR80" s="37">
        <v>3034.7399999999993</v>
      </c>
      <c r="AS80" s="37">
        <v>0</v>
      </c>
      <c r="AT80" s="37">
        <v>5140.139423076921</v>
      </c>
      <c r="AU80" s="37">
        <v>0</v>
      </c>
      <c r="AV80" s="37">
        <v>1332.5144230769238</v>
      </c>
      <c r="AW80" s="37">
        <v>0</v>
      </c>
      <c r="AX80" s="37">
        <v>2670.5050000000006</v>
      </c>
      <c r="AY80" s="37">
        <v>0</v>
      </c>
    </row>
    <row r="81" spans="2:51">
      <c r="B81">
        <v>10244</v>
      </c>
      <c r="C81" t="s">
        <v>85</v>
      </c>
      <c r="D81" s="37">
        <v>43639.185096153822</v>
      </c>
      <c r="E81" s="37">
        <v>0</v>
      </c>
      <c r="F81" s="37">
        <v>26992.647499999981</v>
      </c>
      <c r="G81" s="37">
        <v>0</v>
      </c>
      <c r="H81" s="37">
        <v>29585.925000000025</v>
      </c>
      <c r="I81" s="37">
        <v>0</v>
      </c>
      <c r="J81" s="37">
        <v>58889.69711538461</v>
      </c>
      <c r="K81" s="37">
        <v>0</v>
      </c>
      <c r="L81" s="37">
        <v>35130.972499999996</v>
      </c>
      <c r="M81" s="37">
        <v>0</v>
      </c>
      <c r="N81" s="37">
        <v>45293.3125</v>
      </c>
      <c r="O81" s="37">
        <v>0</v>
      </c>
      <c r="P81" s="37">
        <v>40231.346153846171</v>
      </c>
      <c r="Q81" s="37">
        <v>0</v>
      </c>
      <c r="R81" s="37">
        <v>22619.786057692301</v>
      </c>
      <c r="S81" s="37">
        <v>0</v>
      </c>
      <c r="T81" s="37">
        <v>10207.352500000006</v>
      </c>
      <c r="U81" s="37">
        <v>0</v>
      </c>
      <c r="V81" s="37">
        <v>13346.725961538448</v>
      </c>
      <c r="W81" s="37">
        <v>0</v>
      </c>
      <c r="X81" s="37">
        <v>11276.694444444443</v>
      </c>
      <c r="Y81" s="37">
        <v>0</v>
      </c>
      <c r="Z81" s="37">
        <v>10148.445312499998</v>
      </c>
      <c r="AA81" s="37">
        <v>0</v>
      </c>
      <c r="AB81" s="37">
        <v>51429.44212962962</v>
      </c>
      <c r="AC81" s="37">
        <v>0</v>
      </c>
      <c r="AD81" s="37">
        <v>30684.867499999975</v>
      </c>
      <c r="AE81" s="37">
        <v>0</v>
      </c>
      <c r="AF81" s="37">
        <v>33263.117500000015</v>
      </c>
      <c r="AG81" s="37">
        <v>0</v>
      </c>
      <c r="AH81" s="37">
        <v>62689.067307692327</v>
      </c>
      <c r="AI81" s="37">
        <v>0</v>
      </c>
      <c r="AJ81" s="37">
        <v>32158</v>
      </c>
      <c r="AK81" s="37">
        <v>0</v>
      </c>
      <c r="AL81" s="37">
        <v>49016.737980769234</v>
      </c>
      <c r="AM81" s="37">
        <v>0</v>
      </c>
      <c r="AN81" s="37">
        <v>42595.478365384646</v>
      </c>
      <c r="AO81" s="37">
        <v>0</v>
      </c>
      <c r="AP81" s="37">
        <v>23204.59134615384</v>
      </c>
      <c r="AQ81" s="37">
        <v>0</v>
      </c>
      <c r="AR81" s="37">
        <v>10646.212500000011</v>
      </c>
      <c r="AS81" s="37">
        <v>0</v>
      </c>
      <c r="AT81" s="37">
        <v>13878.913461538454</v>
      </c>
      <c r="AU81" s="37">
        <v>0</v>
      </c>
      <c r="AV81" s="37">
        <v>8636.5576923076878</v>
      </c>
      <c r="AW81" s="37">
        <v>0</v>
      </c>
      <c r="AX81" s="37">
        <v>13892.189999999995</v>
      </c>
      <c r="AY81" s="37">
        <v>0</v>
      </c>
    </row>
    <row r="82" spans="2:51">
      <c r="B82">
        <v>10246</v>
      </c>
      <c r="C82" t="s">
        <v>86</v>
      </c>
      <c r="D82" s="37">
        <v>4285.5192307692323</v>
      </c>
      <c r="E82" s="37">
        <v>0</v>
      </c>
      <c r="F82" s="37">
        <v>1996.2100000000005</v>
      </c>
      <c r="G82" s="37">
        <v>0</v>
      </c>
      <c r="H82" s="37">
        <v>5638.079999999999</v>
      </c>
      <c r="I82" s="37">
        <v>0</v>
      </c>
      <c r="J82" s="37">
        <v>3353.0961538461538</v>
      </c>
      <c r="K82" s="37">
        <v>0</v>
      </c>
      <c r="L82" s="37">
        <v>4348.4950000000017</v>
      </c>
      <c r="M82" s="37">
        <v>0</v>
      </c>
      <c r="N82" s="37">
        <v>3335.1129807692291</v>
      </c>
      <c r="O82" s="37">
        <v>0</v>
      </c>
      <c r="P82" s="37">
        <v>3101.0841346153852</v>
      </c>
      <c r="Q82" s="37">
        <v>0</v>
      </c>
      <c r="R82" s="37">
        <v>1171.5192307692312</v>
      </c>
      <c r="S82" s="37">
        <v>0</v>
      </c>
      <c r="T82" s="37">
        <v>1836.1425000000002</v>
      </c>
      <c r="U82" s="37">
        <v>0</v>
      </c>
      <c r="V82" s="37">
        <v>1863.5841346153838</v>
      </c>
      <c r="W82" s="37">
        <v>0</v>
      </c>
      <c r="X82" s="37">
        <v>3328.99537037037</v>
      </c>
      <c r="Y82" s="37">
        <v>0</v>
      </c>
      <c r="Z82" s="37">
        <v>0</v>
      </c>
      <c r="AA82" s="37">
        <v>0</v>
      </c>
      <c r="AB82" s="37">
        <v>4687.8125</v>
      </c>
      <c r="AC82" s="37">
        <v>0</v>
      </c>
      <c r="AD82" s="37">
        <v>2027.4475000000018</v>
      </c>
      <c r="AE82" s="37">
        <v>0</v>
      </c>
      <c r="AF82" s="37">
        <v>5672.482500000001</v>
      </c>
      <c r="AG82" s="37">
        <v>0</v>
      </c>
      <c r="AH82" s="37">
        <v>4004.6875000000009</v>
      </c>
      <c r="AI82" s="37">
        <v>0</v>
      </c>
      <c r="AJ82" s="37">
        <v>3780.9401041666692</v>
      </c>
      <c r="AK82" s="37">
        <v>0</v>
      </c>
      <c r="AL82" s="37">
        <v>2821.2812500000009</v>
      </c>
      <c r="AM82" s="37">
        <v>0</v>
      </c>
      <c r="AN82" s="37">
        <v>3134.7692307692296</v>
      </c>
      <c r="AO82" s="37">
        <v>0</v>
      </c>
      <c r="AP82" s="37">
        <v>1189.7524038461534</v>
      </c>
      <c r="AQ82" s="37">
        <v>0</v>
      </c>
      <c r="AR82" s="37">
        <v>1851.3175000000003</v>
      </c>
      <c r="AS82" s="37">
        <v>0</v>
      </c>
      <c r="AT82" s="37">
        <v>1875.9591346153843</v>
      </c>
      <c r="AU82" s="37">
        <v>0</v>
      </c>
      <c r="AV82" s="37">
        <v>3075.5336538461534</v>
      </c>
      <c r="AW82" s="37">
        <v>0</v>
      </c>
      <c r="AX82" s="37">
        <v>260.51499999999936</v>
      </c>
      <c r="AY82" s="37">
        <v>0</v>
      </c>
    </row>
    <row r="83" spans="2:51">
      <c r="B83">
        <v>10247</v>
      </c>
      <c r="C83" t="s">
        <v>87</v>
      </c>
      <c r="D83" s="37">
        <v>2157.9759615384546</v>
      </c>
      <c r="E83" s="37">
        <v>0</v>
      </c>
      <c r="F83" s="37">
        <v>8737.3249999999989</v>
      </c>
      <c r="G83" s="37">
        <v>0</v>
      </c>
      <c r="H83" s="37">
        <v>29372.874999999993</v>
      </c>
      <c r="I83" s="37">
        <v>0</v>
      </c>
      <c r="J83" s="37">
        <v>6030.3942307692432</v>
      </c>
      <c r="K83" s="37">
        <v>0</v>
      </c>
      <c r="L83" s="37">
        <v>24885.449999999993</v>
      </c>
      <c r="M83" s="37">
        <v>0</v>
      </c>
      <c r="N83" s="37">
        <v>25465.182692307699</v>
      </c>
      <c r="O83" s="37">
        <v>0</v>
      </c>
      <c r="P83" s="37">
        <v>13912.12019230769</v>
      </c>
      <c r="Q83" s="37">
        <v>0</v>
      </c>
      <c r="R83" s="37">
        <v>4011.8701923077042</v>
      </c>
      <c r="S83" s="37">
        <v>0</v>
      </c>
      <c r="T83" s="37">
        <v>7881.6999999999962</v>
      </c>
      <c r="U83" s="37">
        <v>0</v>
      </c>
      <c r="V83" s="37">
        <v>14706.50480769231</v>
      </c>
      <c r="W83" s="37">
        <v>0</v>
      </c>
      <c r="X83" s="37">
        <v>23328.435185185193</v>
      </c>
      <c r="Y83" s="37">
        <v>0</v>
      </c>
      <c r="Z83" s="37">
        <v>0</v>
      </c>
      <c r="AA83" s="37">
        <v>0</v>
      </c>
      <c r="AB83" s="37">
        <v>5543.7824074074197</v>
      </c>
      <c r="AC83" s="37">
        <v>0</v>
      </c>
      <c r="AD83" s="37">
        <v>9138.9749999999731</v>
      </c>
      <c r="AE83" s="37">
        <v>0</v>
      </c>
      <c r="AF83" s="37">
        <v>30008.225000000009</v>
      </c>
      <c r="AG83" s="37">
        <v>0</v>
      </c>
      <c r="AH83" s="37">
        <v>6524.2115384615399</v>
      </c>
      <c r="AI83" s="37">
        <v>0</v>
      </c>
      <c r="AJ83" s="37">
        <v>21003.843749999978</v>
      </c>
      <c r="AK83" s="37">
        <v>0</v>
      </c>
      <c r="AL83" s="37">
        <v>25986.76923076922</v>
      </c>
      <c r="AM83" s="37">
        <v>0</v>
      </c>
      <c r="AN83" s="37">
        <v>14262.009615384606</v>
      </c>
      <c r="AO83" s="37">
        <v>0</v>
      </c>
      <c r="AP83" s="37">
        <v>4027.3653846153861</v>
      </c>
      <c r="AQ83" s="37">
        <v>0</v>
      </c>
      <c r="AR83" s="37">
        <v>7777.5500000000056</v>
      </c>
      <c r="AS83" s="37">
        <v>0</v>
      </c>
      <c r="AT83" s="37">
        <v>14652.466346153857</v>
      </c>
      <c r="AU83" s="37">
        <v>0</v>
      </c>
      <c r="AV83" s="37">
        <v>20665.201923076915</v>
      </c>
      <c r="AW83" s="37">
        <v>0</v>
      </c>
      <c r="AX83" s="37">
        <v>2671.2000000000094</v>
      </c>
      <c r="AY83" s="37">
        <v>0</v>
      </c>
    </row>
    <row r="84" spans="2:51">
      <c r="B84">
        <v>10256</v>
      </c>
      <c r="C84" t="s">
        <v>88</v>
      </c>
      <c r="D84" s="37">
        <v>20158.605769230766</v>
      </c>
      <c r="E84" s="37">
        <v>0</v>
      </c>
      <c r="F84" s="37">
        <v>18268.557499999999</v>
      </c>
      <c r="G84" s="37">
        <v>0</v>
      </c>
      <c r="H84" s="37">
        <v>25527.227500000008</v>
      </c>
      <c r="I84" s="37">
        <v>0</v>
      </c>
      <c r="J84" s="37">
        <v>31496.237980769223</v>
      </c>
      <c r="K84" s="37">
        <v>0</v>
      </c>
      <c r="L84" s="37">
        <v>23035.947499999987</v>
      </c>
      <c r="M84" s="37">
        <v>0</v>
      </c>
      <c r="N84" s="37">
        <v>23120.860576923071</v>
      </c>
      <c r="O84" s="37">
        <v>0</v>
      </c>
      <c r="P84" s="37">
        <v>16176.122596153846</v>
      </c>
      <c r="Q84" s="37">
        <v>0</v>
      </c>
      <c r="R84" s="37">
        <v>7788.4687500000036</v>
      </c>
      <c r="S84" s="37">
        <v>0</v>
      </c>
      <c r="T84" s="37">
        <v>6060.2525000000069</v>
      </c>
      <c r="U84" s="37">
        <v>0</v>
      </c>
      <c r="V84" s="37">
        <v>8012.1250000000045</v>
      </c>
      <c r="W84" s="37">
        <v>0</v>
      </c>
      <c r="X84" s="37">
        <v>11095.240740740746</v>
      </c>
      <c r="Y84" s="37">
        <v>0</v>
      </c>
      <c r="Z84" s="37">
        <v>4115.5651041666679</v>
      </c>
      <c r="AA84" s="37">
        <v>0</v>
      </c>
      <c r="AB84" s="37">
        <v>23899.63888888888</v>
      </c>
      <c r="AC84" s="37">
        <v>0</v>
      </c>
      <c r="AD84" s="37">
        <v>19689.427499999994</v>
      </c>
      <c r="AE84" s="37">
        <v>0</v>
      </c>
      <c r="AF84" s="37">
        <v>26948.217499999999</v>
      </c>
      <c r="AG84" s="37">
        <v>0</v>
      </c>
      <c r="AH84" s="37">
        <v>32997.545673076929</v>
      </c>
      <c r="AI84" s="37">
        <v>0</v>
      </c>
      <c r="AJ84" s="37">
        <v>21327.828124999993</v>
      </c>
      <c r="AK84" s="37">
        <v>0</v>
      </c>
      <c r="AL84" s="37">
        <v>24554.045673076922</v>
      </c>
      <c r="AM84" s="37">
        <v>0</v>
      </c>
      <c r="AN84" s="37">
        <v>17614.721153846149</v>
      </c>
      <c r="AO84" s="37">
        <v>0</v>
      </c>
      <c r="AP84" s="37">
        <v>8020.6201923076924</v>
      </c>
      <c r="AQ84" s="37">
        <v>0</v>
      </c>
      <c r="AR84" s="37">
        <v>6213.4100000000126</v>
      </c>
      <c r="AS84" s="37">
        <v>0</v>
      </c>
      <c r="AT84" s="37">
        <v>8258.5769230769165</v>
      </c>
      <c r="AU84" s="37">
        <v>0</v>
      </c>
      <c r="AV84" s="37">
        <v>8932.4350961538421</v>
      </c>
      <c r="AW84" s="37">
        <v>0</v>
      </c>
      <c r="AX84" s="37">
        <v>6553.735000000016</v>
      </c>
      <c r="AY84" s="37">
        <v>0</v>
      </c>
    </row>
    <row r="85" spans="2:51">
      <c r="B85">
        <v>10258</v>
      </c>
      <c r="C85" t="s">
        <v>89</v>
      </c>
      <c r="D85" s="37">
        <v>26861.449519230773</v>
      </c>
      <c r="E85" s="37">
        <v>0</v>
      </c>
      <c r="F85" s="37">
        <v>3281.247499999999</v>
      </c>
      <c r="G85" s="37">
        <v>0</v>
      </c>
      <c r="H85" s="37">
        <v>17219.290000000015</v>
      </c>
      <c r="I85" s="37">
        <v>0</v>
      </c>
      <c r="J85" s="37">
        <v>7702.6802884615399</v>
      </c>
      <c r="K85" s="37">
        <v>0</v>
      </c>
      <c r="L85" s="37">
        <v>23302.502500000002</v>
      </c>
      <c r="M85" s="37">
        <v>0</v>
      </c>
      <c r="N85" s="37">
        <v>11536.185096153838</v>
      </c>
      <c r="O85" s="37">
        <v>0</v>
      </c>
      <c r="P85" s="37">
        <v>11565.382211538463</v>
      </c>
      <c r="Q85" s="37">
        <v>0</v>
      </c>
      <c r="R85" s="37">
        <v>1829.944711538463</v>
      </c>
      <c r="S85" s="37">
        <v>0</v>
      </c>
      <c r="T85" s="37">
        <v>2750.5624999999927</v>
      </c>
      <c r="U85" s="37">
        <v>0</v>
      </c>
      <c r="V85" s="37">
        <v>7886.4951923076878</v>
      </c>
      <c r="W85" s="37">
        <v>0</v>
      </c>
      <c r="X85" s="37">
        <v>12017.152777777781</v>
      </c>
      <c r="Y85" s="37">
        <v>0</v>
      </c>
      <c r="Z85" s="37">
        <v>7373.4817708333385</v>
      </c>
      <c r="AA85" s="37">
        <v>0</v>
      </c>
      <c r="AB85" s="37">
        <v>29251.557870370369</v>
      </c>
      <c r="AC85" s="37">
        <v>0</v>
      </c>
      <c r="AD85" s="37">
        <v>3558.787499999994</v>
      </c>
      <c r="AE85" s="37">
        <v>0</v>
      </c>
      <c r="AF85" s="37">
        <v>17695.445000000007</v>
      </c>
      <c r="AG85" s="37">
        <v>0</v>
      </c>
      <c r="AH85" s="37">
        <v>8156.6394230769138</v>
      </c>
      <c r="AI85" s="37">
        <v>0</v>
      </c>
      <c r="AJ85" s="37">
        <v>20890.124999999996</v>
      </c>
      <c r="AK85" s="37">
        <v>0</v>
      </c>
      <c r="AL85" s="37">
        <v>12183.456730769218</v>
      </c>
      <c r="AM85" s="37">
        <v>0</v>
      </c>
      <c r="AN85" s="37">
        <v>12310.949519230775</v>
      </c>
      <c r="AO85" s="37">
        <v>0</v>
      </c>
      <c r="AP85" s="37">
        <v>2437.5649038461552</v>
      </c>
      <c r="AQ85" s="37">
        <v>0</v>
      </c>
      <c r="AR85" s="37">
        <v>3182.1574999999943</v>
      </c>
      <c r="AS85" s="37">
        <v>0</v>
      </c>
      <c r="AT85" s="37">
        <v>8397.9519230769201</v>
      </c>
      <c r="AU85" s="37">
        <v>0</v>
      </c>
      <c r="AV85" s="37">
        <v>10323.593749999993</v>
      </c>
      <c r="AW85" s="37">
        <v>0</v>
      </c>
      <c r="AX85" s="37">
        <v>9826.2049999999963</v>
      </c>
      <c r="AY85" s="37">
        <v>0</v>
      </c>
    </row>
    <row r="86" spans="2:51">
      <c r="B86">
        <v>10259</v>
      </c>
      <c r="C86" t="s">
        <v>90</v>
      </c>
      <c r="D86" s="37">
        <v>2518.7740384615386</v>
      </c>
      <c r="E86" s="37">
        <v>0</v>
      </c>
      <c r="F86" s="37">
        <v>6579.4999999999991</v>
      </c>
      <c r="G86" s="37">
        <v>0</v>
      </c>
      <c r="H86" s="37">
        <v>7457.7500000000027</v>
      </c>
      <c r="I86" s="37">
        <v>0</v>
      </c>
      <c r="J86" s="37">
        <v>14759.081730769236</v>
      </c>
      <c r="K86" s="37">
        <v>0</v>
      </c>
      <c r="L86" s="37">
        <v>10926.05</v>
      </c>
      <c r="M86" s="37">
        <v>0</v>
      </c>
      <c r="N86" s="37">
        <v>7510.572115384608</v>
      </c>
      <c r="O86" s="37">
        <v>0</v>
      </c>
      <c r="P86" s="37">
        <v>8675.0192307692305</v>
      </c>
      <c r="Q86" s="37">
        <v>0</v>
      </c>
      <c r="R86" s="37">
        <v>4717.3076923076942</v>
      </c>
      <c r="S86" s="37">
        <v>0</v>
      </c>
      <c r="T86" s="37">
        <v>6521.4499999999962</v>
      </c>
      <c r="U86" s="37">
        <v>0</v>
      </c>
      <c r="V86" s="37">
        <v>9189.5048076923104</v>
      </c>
      <c r="W86" s="37">
        <v>0</v>
      </c>
      <c r="X86" s="37">
        <v>9055.1851851851879</v>
      </c>
      <c r="Y86" s="37">
        <v>0</v>
      </c>
      <c r="Z86" s="37">
        <v>2616.6979166666647</v>
      </c>
      <c r="AA86" s="37">
        <v>0</v>
      </c>
      <c r="AB86" s="37">
        <v>4194.8379629629662</v>
      </c>
      <c r="AC86" s="37">
        <v>0</v>
      </c>
      <c r="AD86" s="37">
        <v>7024.7750000000015</v>
      </c>
      <c r="AE86" s="37">
        <v>0</v>
      </c>
      <c r="AF86" s="37">
        <v>7836.6499999999969</v>
      </c>
      <c r="AG86" s="37">
        <v>0</v>
      </c>
      <c r="AH86" s="37">
        <v>17186.437500000007</v>
      </c>
      <c r="AI86" s="37">
        <v>0</v>
      </c>
      <c r="AJ86" s="37">
        <v>9771.7135416666679</v>
      </c>
      <c r="AK86" s="37">
        <v>0</v>
      </c>
      <c r="AL86" s="37">
        <v>6263.1298076923122</v>
      </c>
      <c r="AM86" s="37">
        <v>0</v>
      </c>
      <c r="AN86" s="37">
        <v>9080.8749999999982</v>
      </c>
      <c r="AO86" s="37">
        <v>0</v>
      </c>
      <c r="AP86" s="37">
        <v>4810.1778846153838</v>
      </c>
      <c r="AQ86" s="37">
        <v>0</v>
      </c>
      <c r="AR86" s="37">
        <v>6572.0000000000009</v>
      </c>
      <c r="AS86" s="37">
        <v>0</v>
      </c>
      <c r="AT86" s="37">
        <v>9249.0432692307695</v>
      </c>
      <c r="AU86" s="37">
        <v>0</v>
      </c>
      <c r="AV86" s="37">
        <v>7968.0192307692296</v>
      </c>
      <c r="AW86" s="37">
        <v>0</v>
      </c>
      <c r="AX86" s="37">
        <v>3780.9499999999953</v>
      </c>
      <c r="AY86" s="37">
        <v>0</v>
      </c>
    </row>
    <row r="87" spans="2:51">
      <c r="B87">
        <v>10260</v>
      </c>
      <c r="C87" t="s">
        <v>91</v>
      </c>
      <c r="D87" s="37">
        <v>322.65144230769317</v>
      </c>
      <c r="E87" s="37">
        <v>0</v>
      </c>
      <c r="F87" s="37">
        <v>1533.9524999999962</v>
      </c>
      <c r="G87" s="37">
        <v>0</v>
      </c>
      <c r="H87" s="37">
        <v>6269.9749999999985</v>
      </c>
      <c r="I87" s="37">
        <v>0</v>
      </c>
      <c r="J87" s="37">
        <v>5463.0865384615372</v>
      </c>
      <c r="K87" s="37">
        <v>0</v>
      </c>
      <c r="L87" s="37">
        <v>7577.6175000000003</v>
      </c>
      <c r="M87" s="37">
        <v>0</v>
      </c>
      <c r="N87" s="37">
        <v>2185.1658653846152</v>
      </c>
      <c r="O87" s="37">
        <v>0</v>
      </c>
      <c r="P87" s="37">
        <v>4779.0649038461534</v>
      </c>
      <c r="Q87" s="37">
        <v>0</v>
      </c>
      <c r="R87" s="37">
        <v>3498.4206730769229</v>
      </c>
      <c r="S87" s="37">
        <v>0</v>
      </c>
      <c r="T87" s="37">
        <v>7300.1325000000006</v>
      </c>
      <c r="U87" s="37">
        <v>0</v>
      </c>
      <c r="V87" s="37">
        <v>7911.2524038461543</v>
      </c>
      <c r="W87" s="37">
        <v>0</v>
      </c>
      <c r="X87" s="37">
        <v>9484.0740740740766</v>
      </c>
      <c r="Y87" s="37">
        <v>0</v>
      </c>
      <c r="Z87" s="37">
        <v>4991.8828125000045</v>
      </c>
      <c r="AA87" s="37">
        <v>0</v>
      </c>
      <c r="AB87" s="37">
        <v>1596.7384259259259</v>
      </c>
      <c r="AC87" s="37">
        <v>0</v>
      </c>
      <c r="AD87" s="37">
        <v>1782.9075000000021</v>
      </c>
      <c r="AE87" s="37">
        <v>0</v>
      </c>
      <c r="AF87" s="37">
        <v>6515.9450000000061</v>
      </c>
      <c r="AG87" s="37">
        <v>0</v>
      </c>
      <c r="AH87" s="37">
        <v>5712.9302884615408</v>
      </c>
      <c r="AI87" s="37">
        <v>0</v>
      </c>
      <c r="AJ87" s="37">
        <v>6506.5260416666661</v>
      </c>
      <c r="AK87" s="37">
        <v>0</v>
      </c>
      <c r="AL87" s="37">
        <v>2430.4831730769188</v>
      </c>
      <c r="AM87" s="37">
        <v>0</v>
      </c>
      <c r="AN87" s="37">
        <v>5028.6538461538457</v>
      </c>
      <c r="AO87" s="37">
        <v>0</v>
      </c>
      <c r="AP87" s="37">
        <v>3744.8076923076933</v>
      </c>
      <c r="AQ87" s="37">
        <v>0</v>
      </c>
      <c r="AR87" s="37">
        <v>7539.6399999999994</v>
      </c>
      <c r="AS87" s="37">
        <v>0</v>
      </c>
      <c r="AT87" s="37">
        <v>8155.3221153846189</v>
      </c>
      <c r="AU87" s="37">
        <v>0</v>
      </c>
      <c r="AV87" s="37">
        <v>8599.0168269230835</v>
      </c>
      <c r="AW87" s="37">
        <v>0</v>
      </c>
      <c r="AX87" s="37">
        <v>6315.3050000000012</v>
      </c>
      <c r="AY87" s="37">
        <v>0</v>
      </c>
    </row>
    <row r="88" spans="2:51">
      <c r="B88">
        <v>10273</v>
      </c>
      <c r="C88" t="s">
        <v>92</v>
      </c>
      <c r="D88" s="37">
        <v>2671.13701923077</v>
      </c>
      <c r="E88" s="37">
        <v>0</v>
      </c>
      <c r="F88" s="37">
        <v>1212.2975000000008</v>
      </c>
      <c r="G88" s="37">
        <v>0</v>
      </c>
      <c r="H88" s="37">
        <v>2326.2800000000007</v>
      </c>
      <c r="I88" s="37">
        <v>0</v>
      </c>
      <c r="J88" s="37">
        <v>2293.086538461539</v>
      </c>
      <c r="K88" s="37">
        <v>0</v>
      </c>
      <c r="L88" s="37">
        <v>2237.6550000000002</v>
      </c>
      <c r="M88" s="37">
        <v>0</v>
      </c>
      <c r="N88" s="37">
        <v>2318.2331730769229</v>
      </c>
      <c r="O88" s="37">
        <v>0</v>
      </c>
      <c r="P88" s="37">
        <v>1093.6225961538462</v>
      </c>
      <c r="Q88" s="37">
        <v>0</v>
      </c>
      <c r="R88" s="37">
        <v>1745.8485576923088</v>
      </c>
      <c r="S88" s="37">
        <v>0</v>
      </c>
      <c r="T88" s="37">
        <v>2922.0600000000009</v>
      </c>
      <c r="U88" s="37">
        <v>0</v>
      </c>
      <c r="V88" s="37">
        <v>2389.7884615384601</v>
      </c>
      <c r="W88" s="37">
        <v>0</v>
      </c>
      <c r="X88" s="37">
        <v>3219.6365740740762</v>
      </c>
      <c r="Y88" s="37">
        <v>0</v>
      </c>
      <c r="Z88" s="37">
        <v>3636.2682291666661</v>
      </c>
      <c r="AA88" s="37">
        <v>0</v>
      </c>
      <c r="AB88" s="37">
        <v>3059.1226851851857</v>
      </c>
      <c r="AC88" s="37">
        <v>0</v>
      </c>
      <c r="AD88" s="37">
        <v>1307.9499999999991</v>
      </c>
      <c r="AE88" s="37">
        <v>0</v>
      </c>
      <c r="AF88" s="37">
        <v>2421.1149999999993</v>
      </c>
      <c r="AG88" s="37">
        <v>0</v>
      </c>
      <c r="AH88" s="37">
        <v>2387.8725961538444</v>
      </c>
      <c r="AI88" s="37">
        <v>0</v>
      </c>
      <c r="AJ88" s="37">
        <v>2054.541666666667</v>
      </c>
      <c r="AK88" s="37">
        <v>0</v>
      </c>
      <c r="AL88" s="37">
        <v>2413.5649038461534</v>
      </c>
      <c r="AM88" s="37">
        <v>0</v>
      </c>
      <c r="AN88" s="37">
        <v>1188.2908653846157</v>
      </c>
      <c r="AO88" s="37">
        <v>0</v>
      </c>
      <c r="AP88" s="37">
        <v>1839.5336538461518</v>
      </c>
      <c r="AQ88" s="37">
        <v>0</v>
      </c>
      <c r="AR88" s="37">
        <v>3015.7324999999996</v>
      </c>
      <c r="AS88" s="37">
        <v>0</v>
      </c>
      <c r="AT88" s="37">
        <v>2484.0841346153848</v>
      </c>
      <c r="AU88" s="37">
        <v>0</v>
      </c>
      <c r="AV88" s="37">
        <v>2834.4663461538471</v>
      </c>
      <c r="AW88" s="37">
        <v>0</v>
      </c>
      <c r="AX88" s="37">
        <v>4119.4299999999994</v>
      </c>
      <c r="AY88" s="37">
        <v>0</v>
      </c>
    </row>
    <row r="89" spans="2:51">
      <c r="B89">
        <v>10278</v>
      </c>
      <c r="C89" t="s">
        <v>93</v>
      </c>
      <c r="D89" s="37">
        <v>0</v>
      </c>
      <c r="E89" s="37">
        <v>0</v>
      </c>
      <c r="F89" s="37">
        <v>0</v>
      </c>
      <c r="G89" s="37">
        <v>0</v>
      </c>
      <c r="H89" s="37">
        <v>0</v>
      </c>
      <c r="I89" s="37">
        <v>0</v>
      </c>
      <c r="J89" s="37">
        <v>0</v>
      </c>
      <c r="K89" s="37">
        <v>0</v>
      </c>
      <c r="L89" s="37">
        <v>0</v>
      </c>
      <c r="M89" s="37">
        <v>0</v>
      </c>
      <c r="N89" s="37">
        <v>0</v>
      </c>
      <c r="O89" s="37">
        <v>0</v>
      </c>
      <c r="P89" s="37">
        <v>0</v>
      </c>
      <c r="Q89" s="37">
        <v>0</v>
      </c>
      <c r="R89" s="37">
        <v>0</v>
      </c>
      <c r="S89" s="37">
        <v>0</v>
      </c>
      <c r="T89" s="37">
        <v>0</v>
      </c>
      <c r="U89" s="37">
        <v>0</v>
      </c>
      <c r="V89" s="37">
        <v>0</v>
      </c>
      <c r="W89" s="37">
        <v>0</v>
      </c>
      <c r="X89" s="37">
        <v>0</v>
      </c>
      <c r="Y89" s="37">
        <v>0</v>
      </c>
      <c r="Z89" s="37">
        <v>0</v>
      </c>
      <c r="AA89" s="37">
        <v>0</v>
      </c>
      <c r="AB89" s="37">
        <v>0</v>
      </c>
      <c r="AC89" s="37">
        <v>0</v>
      </c>
      <c r="AD89" s="37">
        <v>0</v>
      </c>
      <c r="AE89" s="37">
        <v>0</v>
      </c>
      <c r="AF89" s="37">
        <v>0</v>
      </c>
      <c r="AG89" s="37">
        <v>0</v>
      </c>
      <c r="AH89" s="37">
        <v>0</v>
      </c>
      <c r="AI89" s="37">
        <v>0</v>
      </c>
      <c r="AJ89" s="37">
        <v>0</v>
      </c>
      <c r="AK89" s="37">
        <v>0</v>
      </c>
      <c r="AL89" s="37">
        <v>0</v>
      </c>
      <c r="AM89" s="37">
        <v>0</v>
      </c>
      <c r="AN89" s="37">
        <v>0</v>
      </c>
      <c r="AO89" s="37">
        <v>0</v>
      </c>
      <c r="AP89" s="37">
        <v>0</v>
      </c>
      <c r="AQ89" s="37">
        <v>0</v>
      </c>
      <c r="AR89" s="37">
        <v>0</v>
      </c>
      <c r="AS89" s="37">
        <v>0</v>
      </c>
      <c r="AT89" s="37">
        <v>0</v>
      </c>
      <c r="AU89" s="37">
        <v>0</v>
      </c>
      <c r="AV89" s="37">
        <v>0</v>
      </c>
      <c r="AW89" s="37">
        <v>0</v>
      </c>
      <c r="AX89" s="37">
        <v>0</v>
      </c>
      <c r="AY89" s="37">
        <v>0</v>
      </c>
    </row>
    <row r="90" spans="2:51">
      <c r="B90">
        <v>10279</v>
      </c>
      <c r="C90" t="s">
        <v>94</v>
      </c>
      <c r="D90" s="37">
        <v>5027.5336538461752</v>
      </c>
      <c r="E90" s="37">
        <v>0</v>
      </c>
      <c r="F90" s="37">
        <v>15330.255000000003</v>
      </c>
      <c r="G90" s="37">
        <v>0</v>
      </c>
      <c r="H90" s="37">
        <v>17313.299999999992</v>
      </c>
      <c r="I90" s="37">
        <v>0</v>
      </c>
      <c r="J90" s="37">
        <v>19361.838942307706</v>
      </c>
      <c r="K90" s="37">
        <v>0</v>
      </c>
      <c r="L90" s="37">
        <v>82134.062500000029</v>
      </c>
      <c r="M90" s="37">
        <v>0</v>
      </c>
      <c r="N90" s="37">
        <v>15379.661057692339</v>
      </c>
      <c r="O90" s="37">
        <v>0</v>
      </c>
      <c r="P90" s="37">
        <v>35114.127403846163</v>
      </c>
      <c r="Q90" s="37">
        <v>0</v>
      </c>
      <c r="R90" s="37">
        <v>6661.9375000000109</v>
      </c>
      <c r="S90" s="37">
        <v>0</v>
      </c>
      <c r="T90" s="37">
        <v>4351.2550000000165</v>
      </c>
      <c r="U90" s="37">
        <v>0</v>
      </c>
      <c r="V90" s="37">
        <v>8173.0528846153657</v>
      </c>
      <c r="W90" s="37">
        <v>0</v>
      </c>
      <c r="X90" s="37">
        <v>14930.763888888892</v>
      </c>
      <c r="Y90" s="37">
        <v>0</v>
      </c>
      <c r="Z90" s="37">
        <v>11325.281250000025</v>
      </c>
      <c r="AA90" s="37">
        <v>0</v>
      </c>
      <c r="AB90" s="37">
        <v>9007.3495370369856</v>
      </c>
      <c r="AC90" s="37">
        <v>0</v>
      </c>
      <c r="AD90" s="37">
        <v>16274.639999999998</v>
      </c>
      <c r="AE90" s="37">
        <v>0</v>
      </c>
      <c r="AF90" s="37">
        <v>18286.877500000024</v>
      </c>
      <c r="AG90" s="37">
        <v>0</v>
      </c>
      <c r="AH90" s="37">
        <v>24747.444711538472</v>
      </c>
      <c r="AI90" s="37">
        <v>0</v>
      </c>
      <c r="AJ90" s="37">
        <v>89635.536458333343</v>
      </c>
      <c r="AK90" s="37">
        <v>0</v>
      </c>
      <c r="AL90" s="37">
        <v>12107.750000000005</v>
      </c>
      <c r="AM90" s="37">
        <v>0</v>
      </c>
      <c r="AN90" s="37">
        <v>36801.754807692298</v>
      </c>
      <c r="AO90" s="37">
        <v>0</v>
      </c>
      <c r="AP90" s="37">
        <v>6935.1298076922812</v>
      </c>
      <c r="AQ90" s="37">
        <v>0</v>
      </c>
      <c r="AR90" s="37">
        <v>4667.0474999999878</v>
      </c>
      <c r="AS90" s="37">
        <v>0</v>
      </c>
      <c r="AT90" s="37">
        <v>8542.0240384615408</v>
      </c>
      <c r="AU90" s="37">
        <v>0</v>
      </c>
      <c r="AV90" s="37">
        <v>11876.17548076925</v>
      </c>
      <c r="AW90" s="37">
        <v>0</v>
      </c>
      <c r="AX90" s="37">
        <v>15297.617500000008</v>
      </c>
      <c r="AY90" s="37">
        <v>0</v>
      </c>
    </row>
    <row r="91" spans="2:51">
      <c r="B91">
        <v>10284</v>
      </c>
      <c r="C91" t="s">
        <v>95</v>
      </c>
      <c r="D91" s="37">
        <v>649.44230769230865</v>
      </c>
      <c r="E91" s="37">
        <v>0</v>
      </c>
      <c r="F91" s="37">
        <v>1306.0324999999989</v>
      </c>
      <c r="G91" s="37">
        <v>0</v>
      </c>
      <c r="H91" s="37">
        <v>1885.8800000000028</v>
      </c>
      <c r="I91" s="37">
        <v>0</v>
      </c>
      <c r="J91" s="37">
        <v>3326.9711538461538</v>
      </c>
      <c r="K91" s="37">
        <v>0</v>
      </c>
      <c r="L91" s="37">
        <v>1864.5825000000018</v>
      </c>
      <c r="M91" s="37">
        <v>0</v>
      </c>
      <c r="N91" s="37">
        <v>1848.2908653846132</v>
      </c>
      <c r="O91" s="37">
        <v>0</v>
      </c>
      <c r="P91" s="37">
        <v>1708.834134615385</v>
      </c>
      <c r="Q91" s="37">
        <v>0</v>
      </c>
      <c r="R91" s="37">
        <v>0</v>
      </c>
      <c r="S91" s="37">
        <v>0</v>
      </c>
      <c r="T91" s="37">
        <v>1714.6974999999984</v>
      </c>
      <c r="U91" s="37">
        <v>0</v>
      </c>
      <c r="V91" s="37">
        <v>1930.2259615384596</v>
      </c>
      <c r="W91" s="37">
        <v>0</v>
      </c>
      <c r="X91" s="37">
        <v>3165.9444444444453</v>
      </c>
      <c r="Y91" s="37">
        <v>0</v>
      </c>
      <c r="Z91" s="37">
        <v>282.9244791666672</v>
      </c>
      <c r="AA91" s="37">
        <v>0</v>
      </c>
      <c r="AB91" s="37">
        <v>1204.3425925925933</v>
      </c>
      <c r="AC91" s="37">
        <v>0</v>
      </c>
      <c r="AD91" s="37">
        <v>1380.5800000000002</v>
      </c>
      <c r="AE91" s="37">
        <v>0</v>
      </c>
      <c r="AF91" s="37">
        <v>1939.8399999999992</v>
      </c>
      <c r="AG91" s="37">
        <v>0</v>
      </c>
      <c r="AH91" s="37">
        <v>4219.9711538461543</v>
      </c>
      <c r="AI91" s="37">
        <v>0</v>
      </c>
      <c r="AJ91" s="37">
        <v>1292.6848958333314</v>
      </c>
      <c r="AK91" s="37">
        <v>0</v>
      </c>
      <c r="AL91" s="37">
        <v>1295.4519230769242</v>
      </c>
      <c r="AM91" s="37">
        <v>0</v>
      </c>
      <c r="AN91" s="37">
        <v>1791.1346153846139</v>
      </c>
      <c r="AO91" s="37">
        <v>0</v>
      </c>
      <c r="AP91" s="37">
        <v>0</v>
      </c>
      <c r="AQ91" s="37">
        <v>0</v>
      </c>
      <c r="AR91" s="37">
        <v>1769.9074999999991</v>
      </c>
      <c r="AS91" s="37">
        <v>0</v>
      </c>
      <c r="AT91" s="37">
        <v>1986.7956730769229</v>
      </c>
      <c r="AU91" s="37">
        <v>0</v>
      </c>
      <c r="AV91" s="37">
        <v>2857.42548076923</v>
      </c>
      <c r="AW91" s="37">
        <v>0</v>
      </c>
      <c r="AX91" s="37">
        <v>727.67250000000104</v>
      </c>
      <c r="AY91" s="37">
        <v>0</v>
      </c>
    </row>
    <row r="92" spans="2:51">
      <c r="B92">
        <v>10285</v>
      </c>
      <c r="C92" t="s">
        <v>96</v>
      </c>
      <c r="D92" s="37">
        <v>0</v>
      </c>
      <c r="E92" s="37">
        <v>0</v>
      </c>
      <c r="F92" s="37">
        <v>0</v>
      </c>
      <c r="G92" s="37">
        <v>0</v>
      </c>
      <c r="H92" s="37">
        <v>0</v>
      </c>
      <c r="I92" s="37">
        <v>0</v>
      </c>
      <c r="J92" s="37">
        <v>0</v>
      </c>
      <c r="K92" s="37">
        <v>0</v>
      </c>
      <c r="L92" s="37">
        <v>0</v>
      </c>
      <c r="M92" s="37">
        <v>0</v>
      </c>
      <c r="N92" s="37">
        <v>0</v>
      </c>
      <c r="O92" s="37">
        <v>0</v>
      </c>
      <c r="P92" s="37">
        <v>0</v>
      </c>
      <c r="Q92" s="37">
        <v>0</v>
      </c>
      <c r="R92" s="37">
        <v>0</v>
      </c>
      <c r="S92" s="37">
        <v>0</v>
      </c>
      <c r="T92" s="37">
        <v>0</v>
      </c>
      <c r="U92" s="37">
        <v>0</v>
      </c>
      <c r="V92" s="37">
        <v>0</v>
      </c>
      <c r="W92" s="37">
        <v>0</v>
      </c>
      <c r="X92" s="37">
        <v>0</v>
      </c>
      <c r="Y92" s="37">
        <v>0</v>
      </c>
      <c r="Z92" s="37">
        <v>0</v>
      </c>
      <c r="AA92" s="37">
        <v>0</v>
      </c>
      <c r="AB92" s="37">
        <v>0</v>
      </c>
      <c r="AC92" s="37">
        <v>0</v>
      </c>
      <c r="AD92" s="37">
        <v>0</v>
      </c>
      <c r="AE92" s="37">
        <v>0</v>
      </c>
      <c r="AF92" s="37">
        <v>0</v>
      </c>
      <c r="AG92" s="37">
        <v>0</v>
      </c>
      <c r="AH92" s="37">
        <v>0</v>
      </c>
      <c r="AI92" s="37">
        <v>0</v>
      </c>
      <c r="AJ92" s="37">
        <v>0</v>
      </c>
      <c r="AK92" s="37">
        <v>0</v>
      </c>
      <c r="AL92" s="37">
        <v>0</v>
      </c>
      <c r="AM92" s="37">
        <v>0</v>
      </c>
      <c r="AN92" s="37">
        <v>0</v>
      </c>
      <c r="AO92" s="37">
        <v>0</v>
      </c>
      <c r="AP92" s="37">
        <v>0</v>
      </c>
      <c r="AQ92" s="37">
        <v>0</v>
      </c>
      <c r="AR92" s="37">
        <v>0</v>
      </c>
      <c r="AS92" s="37">
        <v>0</v>
      </c>
      <c r="AT92" s="37">
        <v>0</v>
      </c>
      <c r="AU92" s="37">
        <v>0</v>
      </c>
      <c r="AV92" s="37">
        <v>0</v>
      </c>
      <c r="AW92" s="37">
        <v>0</v>
      </c>
      <c r="AX92" s="37">
        <v>0</v>
      </c>
      <c r="AY92" s="37">
        <v>0</v>
      </c>
    </row>
    <row r="93" spans="2:51">
      <c r="B93">
        <v>10286</v>
      </c>
      <c r="C93" t="s">
        <v>97</v>
      </c>
      <c r="D93" s="37">
        <v>0</v>
      </c>
      <c r="E93" s="37">
        <v>0</v>
      </c>
      <c r="F93" s="37">
        <v>0</v>
      </c>
      <c r="G93" s="37">
        <v>0</v>
      </c>
      <c r="H93" s="37">
        <v>0</v>
      </c>
      <c r="I93" s="37">
        <v>0</v>
      </c>
      <c r="J93" s="37">
        <v>0</v>
      </c>
      <c r="K93" s="37">
        <v>0</v>
      </c>
      <c r="L93" s="37">
        <v>0</v>
      </c>
      <c r="M93" s="37">
        <v>0</v>
      </c>
      <c r="N93" s="37">
        <v>0</v>
      </c>
      <c r="O93" s="37">
        <v>0</v>
      </c>
      <c r="P93" s="37">
        <v>0</v>
      </c>
      <c r="Q93" s="37">
        <v>0</v>
      </c>
      <c r="R93" s="37">
        <v>0</v>
      </c>
      <c r="S93" s="37">
        <v>0</v>
      </c>
      <c r="T93" s="37">
        <v>0</v>
      </c>
      <c r="U93" s="37">
        <v>0</v>
      </c>
      <c r="V93" s="37">
        <v>0</v>
      </c>
      <c r="W93" s="37">
        <v>0</v>
      </c>
      <c r="X93" s="37">
        <v>0</v>
      </c>
      <c r="Y93" s="37">
        <v>0</v>
      </c>
      <c r="Z93" s="37">
        <v>0</v>
      </c>
      <c r="AA93" s="37">
        <v>0</v>
      </c>
      <c r="AB93" s="37">
        <v>0</v>
      </c>
      <c r="AC93" s="37">
        <v>0</v>
      </c>
      <c r="AD93" s="37">
        <v>0</v>
      </c>
      <c r="AE93" s="37">
        <v>0</v>
      </c>
      <c r="AF93" s="37">
        <v>0</v>
      </c>
      <c r="AG93" s="37">
        <v>0</v>
      </c>
      <c r="AH93" s="37">
        <v>0</v>
      </c>
      <c r="AI93" s="37">
        <v>0</v>
      </c>
      <c r="AJ93" s="37">
        <v>0</v>
      </c>
      <c r="AK93" s="37">
        <v>0</v>
      </c>
      <c r="AL93" s="37">
        <v>0</v>
      </c>
      <c r="AM93" s="37">
        <v>0</v>
      </c>
      <c r="AN93" s="37">
        <v>0</v>
      </c>
      <c r="AO93" s="37">
        <v>0</v>
      </c>
      <c r="AP93" s="37">
        <v>0</v>
      </c>
      <c r="AQ93" s="37">
        <v>0</v>
      </c>
      <c r="AR93" s="37">
        <v>0</v>
      </c>
      <c r="AS93" s="37">
        <v>0</v>
      </c>
      <c r="AT93" s="37">
        <v>0</v>
      </c>
      <c r="AU93" s="37">
        <v>0</v>
      </c>
      <c r="AV93" s="37">
        <v>0</v>
      </c>
      <c r="AW93" s="37">
        <v>0</v>
      </c>
      <c r="AX93" s="37">
        <v>0</v>
      </c>
      <c r="AY93" s="37">
        <v>0</v>
      </c>
    </row>
    <row r="94" spans="2:51">
      <c r="B94">
        <v>10288</v>
      </c>
      <c r="C94" t="s">
        <v>98</v>
      </c>
      <c r="D94" s="37">
        <v>0</v>
      </c>
      <c r="E94" s="37">
        <v>0</v>
      </c>
      <c r="F94" s="37">
        <v>0</v>
      </c>
      <c r="G94" s="37">
        <v>0</v>
      </c>
      <c r="H94" s="37">
        <v>0</v>
      </c>
      <c r="I94" s="37">
        <v>0</v>
      </c>
      <c r="J94" s="37">
        <v>0</v>
      </c>
      <c r="K94" s="37">
        <v>0</v>
      </c>
      <c r="L94" s="37">
        <v>0</v>
      </c>
      <c r="M94" s="37">
        <v>0</v>
      </c>
      <c r="N94" s="37">
        <v>0</v>
      </c>
      <c r="O94" s="37">
        <v>0</v>
      </c>
      <c r="P94" s="37">
        <v>0</v>
      </c>
      <c r="Q94" s="37">
        <v>0</v>
      </c>
      <c r="R94" s="37">
        <v>0</v>
      </c>
      <c r="S94" s="37">
        <v>0</v>
      </c>
      <c r="T94" s="37">
        <v>0</v>
      </c>
      <c r="U94" s="37">
        <v>0</v>
      </c>
      <c r="V94" s="37">
        <v>0</v>
      </c>
      <c r="W94" s="37">
        <v>0</v>
      </c>
      <c r="X94" s="37">
        <v>0</v>
      </c>
      <c r="Y94" s="37">
        <v>0</v>
      </c>
      <c r="Z94" s="37">
        <v>0</v>
      </c>
      <c r="AA94" s="37">
        <v>0</v>
      </c>
      <c r="AB94" s="37">
        <v>0</v>
      </c>
      <c r="AC94" s="37">
        <v>0</v>
      </c>
      <c r="AD94" s="37">
        <v>0</v>
      </c>
      <c r="AE94" s="37">
        <v>0</v>
      </c>
      <c r="AF94" s="37">
        <v>0</v>
      </c>
      <c r="AG94" s="37">
        <v>0</v>
      </c>
      <c r="AH94" s="37">
        <v>0</v>
      </c>
      <c r="AI94" s="37">
        <v>0</v>
      </c>
      <c r="AJ94" s="37">
        <v>0</v>
      </c>
      <c r="AK94" s="37">
        <v>0</v>
      </c>
      <c r="AL94" s="37">
        <v>0</v>
      </c>
      <c r="AM94" s="37">
        <v>0</v>
      </c>
      <c r="AN94" s="37">
        <v>0</v>
      </c>
      <c r="AO94" s="37">
        <v>0</v>
      </c>
      <c r="AP94" s="37">
        <v>0</v>
      </c>
      <c r="AQ94" s="37">
        <v>0</v>
      </c>
      <c r="AR94" s="37">
        <v>0</v>
      </c>
      <c r="AS94" s="37">
        <v>0</v>
      </c>
      <c r="AT94" s="37">
        <v>0</v>
      </c>
      <c r="AU94" s="37">
        <v>0</v>
      </c>
      <c r="AV94" s="37">
        <v>0</v>
      </c>
      <c r="AW94" s="37">
        <v>0</v>
      </c>
      <c r="AX94" s="37">
        <v>0</v>
      </c>
      <c r="AY94" s="37">
        <v>0</v>
      </c>
    </row>
    <row r="95" spans="2:51">
      <c r="B95">
        <v>10291</v>
      </c>
      <c r="C95" t="s">
        <v>99</v>
      </c>
      <c r="D95" s="37">
        <v>12317.091346153838</v>
      </c>
      <c r="E95" s="37">
        <v>0</v>
      </c>
      <c r="F95" s="37">
        <v>6835.3749999999845</v>
      </c>
      <c r="G95" s="37">
        <v>0</v>
      </c>
      <c r="H95" s="37">
        <v>4707.7749999999978</v>
      </c>
      <c r="I95" s="37">
        <v>0</v>
      </c>
      <c r="J95" s="37">
        <v>33297.836538461539</v>
      </c>
      <c r="K95" s="37">
        <v>0</v>
      </c>
      <c r="L95" s="37">
        <v>14767.374999999995</v>
      </c>
      <c r="M95" s="37">
        <v>0</v>
      </c>
      <c r="N95" s="37">
        <v>13612.639423076927</v>
      </c>
      <c r="O95" s="37">
        <v>0</v>
      </c>
      <c r="P95" s="37">
        <v>14147.076923076927</v>
      </c>
      <c r="Q95" s="37">
        <v>0</v>
      </c>
      <c r="R95" s="37">
        <v>12066.350961538459</v>
      </c>
      <c r="S95" s="37">
        <v>0</v>
      </c>
      <c r="T95" s="37">
        <v>9479.4249999999902</v>
      </c>
      <c r="U95" s="37">
        <v>0</v>
      </c>
      <c r="V95" s="37">
        <v>12482.54326923078</v>
      </c>
      <c r="W95" s="37">
        <v>0</v>
      </c>
      <c r="X95" s="37">
        <v>27607.722222222208</v>
      </c>
      <c r="Y95" s="37">
        <v>0</v>
      </c>
      <c r="Z95" s="37">
        <v>18486.562499999996</v>
      </c>
      <c r="AA95" s="37">
        <v>0</v>
      </c>
      <c r="AB95" s="37">
        <v>16822.041666666672</v>
      </c>
      <c r="AC95" s="37">
        <v>0</v>
      </c>
      <c r="AD95" s="37">
        <v>8339.7999999999975</v>
      </c>
      <c r="AE95" s="37">
        <v>0</v>
      </c>
      <c r="AF95" s="37">
        <v>6200.0249999999824</v>
      </c>
      <c r="AG95" s="37">
        <v>0</v>
      </c>
      <c r="AH95" s="37">
        <v>39006.081730769227</v>
      </c>
      <c r="AI95" s="37">
        <v>0</v>
      </c>
      <c r="AJ95" s="37">
        <v>12280.661458333319</v>
      </c>
      <c r="AK95" s="37">
        <v>0</v>
      </c>
      <c r="AL95" s="37">
        <v>11547.086538461557</v>
      </c>
      <c r="AM95" s="37">
        <v>0</v>
      </c>
      <c r="AN95" s="37">
        <v>15497.264423076931</v>
      </c>
      <c r="AO95" s="37">
        <v>0</v>
      </c>
      <c r="AP95" s="37">
        <v>13290.533653846138</v>
      </c>
      <c r="AQ95" s="37">
        <v>0</v>
      </c>
      <c r="AR95" s="37">
        <v>10879.44999999999</v>
      </c>
      <c r="AS95" s="37">
        <v>0</v>
      </c>
      <c r="AT95" s="37">
        <v>14033.057692307699</v>
      </c>
      <c r="AU95" s="37">
        <v>0</v>
      </c>
      <c r="AV95" s="37">
        <v>25656.259615384599</v>
      </c>
      <c r="AW95" s="37">
        <v>0</v>
      </c>
      <c r="AX95" s="37">
        <v>23014.699999999997</v>
      </c>
      <c r="AY95" s="37">
        <v>0</v>
      </c>
    </row>
    <row r="96" spans="2:51">
      <c r="B96">
        <v>10294</v>
      </c>
      <c r="C96" t="s">
        <v>100</v>
      </c>
      <c r="D96" s="37">
        <v>6554.4182692307659</v>
      </c>
      <c r="E96" s="37">
        <v>0</v>
      </c>
      <c r="F96" s="37">
        <v>5210.8250000000107</v>
      </c>
      <c r="G96" s="37">
        <v>0</v>
      </c>
      <c r="H96" s="37">
        <v>5239.3</v>
      </c>
      <c r="I96" s="37">
        <v>0</v>
      </c>
      <c r="J96" s="37">
        <v>18411.692307692309</v>
      </c>
      <c r="K96" s="37">
        <v>0</v>
      </c>
      <c r="L96" s="37">
        <v>6781.0500000000038</v>
      </c>
      <c r="M96" s="37">
        <v>0</v>
      </c>
      <c r="N96" s="37">
        <v>13726.586538461541</v>
      </c>
      <c r="O96" s="37">
        <v>0</v>
      </c>
      <c r="P96" s="37">
        <v>10159.528846153846</v>
      </c>
      <c r="Q96" s="37">
        <v>0</v>
      </c>
      <c r="R96" s="37">
        <v>7095.5144230769192</v>
      </c>
      <c r="S96" s="37">
        <v>0</v>
      </c>
      <c r="T96" s="37">
        <v>2880.2749999999992</v>
      </c>
      <c r="U96" s="37">
        <v>0</v>
      </c>
      <c r="V96" s="37">
        <v>3425.6153846153829</v>
      </c>
      <c r="W96" s="37">
        <v>0</v>
      </c>
      <c r="X96" s="37">
        <v>6243.7129629629635</v>
      </c>
      <c r="Y96" s="37">
        <v>0</v>
      </c>
      <c r="Z96" s="37">
        <v>4882.0833333333358</v>
      </c>
      <c r="AA96" s="37">
        <v>0</v>
      </c>
      <c r="AB96" s="37">
        <v>7632.652777777771</v>
      </c>
      <c r="AC96" s="37">
        <v>0</v>
      </c>
      <c r="AD96" s="37">
        <v>4868.3500000000031</v>
      </c>
      <c r="AE96" s="37">
        <v>0</v>
      </c>
      <c r="AF96" s="37">
        <v>4817.8000000000056</v>
      </c>
      <c r="AG96" s="37">
        <v>0</v>
      </c>
      <c r="AH96" s="37">
        <v>18027.533653846152</v>
      </c>
      <c r="AI96" s="37">
        <v>0</v>
      </c>
      <c r="AJ96" s="37">
        <v>4297.8072916666679</v>
      </c>
      <c r="AK96" s="37">
        <v>0</v>
      </c>
      <c r="AL96" s="37">
        <v>13369.302884615388</v>
      </c>
      <c r="AM96" s="37">
        <v>0</v>
      </c>
      <c r="AN96" s="37">
        <v>9873.2067307692323</v>
      </c>
      <c r="AO96" s="37">
        <v>0</v>
      </c>
      <c r="AP96" s="37">
        <v>6870.899038461539</v>
      </c>
      <c r="AQ96" s="37">
        <v>0</v>
      </c>
      <c r="AR96" s="37">
        <v>2659.4749999999985</v>
      </c>
      <c r="AS96" s="37">
        <v>0</v>
      </c>
      <c r="AT96" s="37">
        <v>3229.0048076923085</v>
      </c>
      <c r="AU96" s="37">
        <v>0</v>
      </c>
      <c r="AV96" s="37">
        <v>4928.7307692307677</v>
      </c>
      <c r="AW96" s="37">
        <v>0</v>
      </c>
      <c r="AX96" s="37">
        <v>5877.6500000000005</v>
      </c>
      <c r="AY96" s="37">
        <v>0</v>
      </c>
    </row>
    <row r="97" spans="2:51">
      <c r="B97">
        <v>10304</v>
      </c>
      <c r="C97" t="s">
        <v>101</v>
      </c>
      <c r="D97" s="37">
        <v>0</v>
      </c>
      <c r="E97" s="37">
        <v>0</v>
      </c>
      <c r="F97" s="37">
        <v>478.8850000000009</v>
      </c>
      <c r="G97" s="37">
        <v>0</v>
      </c>
      <c r="H97" s="37">
        <v>3586.71</v>
      </c>
      <c r="I97" s="37">
        <v>0</v>
      </c>
      <c r="J97" s="37">
        <v>3290.9975961538466</v>
      </c>
      <c r="K97" s="37">
        <v>0</v>
      </c>
      <c r="L97" s="37">
        <v>2816.3224999999984</v>
      </c>
      <c r="M97" s="37">
        <v>0</v>
      </c>
      <c r="N97" s="37">
        <v>0</v>
      </c>
      <c r="O97" s="37">
        <v>0</v>
      </c>
      <c r="P97" s="37">
        <v>1114.9254807692309</v>
      </c>
      <c r="Q97" s="37">
        <v>0</v>
      </c>
      <c r="R97" s="37">
        <v>2312.3629807692319</v>
      </c>
      <c r="S97" s="37">
        <v>0</v>
      </c>
      <c r="T97" s="37">
        <v>1954.6349999999986</v>
      </c>
      <c r="U97" s="37">
        <v>0</v>
      </c>
      <c r="V97" s="37">
        <v>2274.9447115384623</v>
      </c>
      <c r="W97" s="37">
        <v>0</v>
      </c>
      <c r="X97" s="37">
        <v>2712.0949074074074</v>
      </c>
      <c r="Y97" s="37">
        <v>0</v>
      </c>
      <c r="Z97" s="37">
        <v>1401.4609374999989</v>
      </c>
      <c r="AA97" s="37">
        <v>0</v>
      </c>
      <c r="AB97" s="37">
        <v>0</v>
      </c>
      <c r="AC97" s="37">
        <v>0</v>
      </c>
      <c r="AD97" s="37">
        <v>540.87749999999971</v>
      </c>
      <c r="AE97" s="37">
        <v>0</v>
      </c>
      <c r="AF97" s="37">
        <v>3647.4074999999998</v>
      </c>
      <c r="AG97" s="37">
        <v>0</v>
      </c>
      <c r="AH97" s="37">
        <v>3352.7283653846171</v>
      </c>
      <c r="AI97" s="37">
        <v>0</v>
      </c>
      <c r="AJ97" s="37">
        <v>2146.8958333333353</v>
      </c>
      <c r="AK97" s="37">
        <v>0</v>
      </c>
      <c r="AL97" s="37">
        <v>0</v>
      </c>
      <c r="AM97" s="37">
        <v>0</v>
      </c>
      <c r="AN97" s="37">
        <v>1170.0336538461534</v>
      </c>
      <c r="AO97" s="37">
        <v>0</v>
      </c>
      <c r="AP97" s="37">
        <v>2369.9519230769224</v>
      </c>
      <c r="AQ97" s="37">
        <v>0</v>
      </c>
      <c r="AR97" s="37">
        <v>2015.0424999999989</v>
      </c>
      <c r="AS97" s="37">
        <v>0</v>
      </c>
      <c r="AT97" s="37">
        <v>2341.6009615384619</v>
      </c>
      <c r="AU97" s="37">
        <v>0</v>
      </c>
      <c r="AV97" s="37">
        <v>2327.5552884615386</v>
      </c>
      <c r="AW97" s="37">
        <v>0</v>
      </c>
      <c r="AX97" s="37">
        <v>1916.6274999999998</v>
      </c>
      <c r="AY97" s="37">
        <v>0</v>
      </c>
    </row>
    <row r="98" spans="2:51">
      <c r="B98">
        <v>10306</v>
      </c>
      <c r="C98" t="s">
        <v>102</v>
      </c>
      <c r="D98" s="37">
        <v>0</v>
      </c>
      <c r="E98" s="37">
        <v>0</v>
      </c>
      <c r="F98" s="37">
        <v>0</v>
      </c>
      <c r="G98" s="37">
        <v>0</v>
      </c>
      <c r="H98" s="37">
        <v>0</v>
      </c>
      <c r="I98" s="37">
        <v>0</v>
      </c>
      <c r="J98" s="37">
        <v>0</v>
      </c>
      <c r="K98" s="37">
        <v>0</v>
      </c>
      <c r="L98" s="37">
        <v>0</v>
      </c>
      <c r="M98" s="37">
        <v>0</v>
      </c>
      <c r="N98" s="37">
        <v>0</v>
      </c>
      <c r="O98" s="37">
        <v>0</v>
      </c>
      <c r="P98" s="37">
        <v>0</v>
      </c>
      <c r="Q98" s="37">
        <v>0</v>
      </c>
      <c r="R98" s="37">
        <v>0</v>
      </c>
      <c r="S98" s="37">
        <v>0</v>
      </c>
      <c r="T98" s="37">
        <v>0</v>
      </c>
      <c r="U98" s="37">
        <v>0</v>
      </c>
      <c r="V98" s="37">
        <v>0</v>
      </c>
      <c r="W98" s="37">
        <v>0</v>
      </c>
      <c r="X98" s="37">
        <v>0</v>
      </c>
      <c r="Y98" s="37">
        <v>0</v>
      </c>
      <c r="Z98" s="37">
        <v>0</v>
      </c>
      <c r="AA98" s="37">
        <v>0</v>
      </c>
      <c r="AB98" s="37">
        <v>0</v>
      </c>
      <c r="AC98" s="37">
        <v>0</v>
      </c>
      <c r="AD98" s="37">
        <v>0</v>
      </c>
      <c r="AE98" s="37">
        <v>0</v>
      </c>
      <c r="AF98" s="37">
        <v>0</v>
      </c>
      <c r="AG98" s="37">
        <v>0</v>
      </c>
      <c r="AH98" s="37">
        <v>0</v>
      </c>
      <c r="AI98" s="37">
        <v>0</v>
      </c>
      <c r="AJ98" s="37">
        <v>0</v>
      </c>
      <c r="AK98" s="37">
        <v>0</v>
      </c>
      <c r="AL98" s="37">
        <v>0</v>
      </c>
      <c r="AM98" s="37">
        <v>0</v>
      </c>
      <c r="AN98" s="37">
        <v>0</v>
      </c>
      <c r="AO98" s="37">
        <v>0</v>
      </c>
      <c r="AP98" s="37">
        <v>0</v>
      </c>
      <c r="AQ98" s="37">
        <v>0</v>
      </c>
      <c r="AR98" s="37">
        <v>0</v>
      </c>
      <c r="AS98" s="37">
        <v>0</v>
      </c>
      <c r="AT98" s="37">
        <v>0</v>
      </c>
      <c r="AU98" s="37">
        <v>0</v>
      </c>
      <c r="AV98" s="37">
        <v>0</v>
      </c>
      <c r="AW98" s="37">
        <v>0</v>
      </c>
      <c r="AX98" s="37">
        <v>0</v>
      </c>
      <c r="AY98" s="37">
        <v>0</v>
      </c>
    </row>
    <row r="99" spans="2:51">
      <c r="B99">
        <v>10307</v>
      </c>
      <c r="C99" t="s">
        <v>103</v>
      </c>
      <c r="D99" s="37">
        <v>369.39423076923458</v>
      </c>
      <c r="E99" s="37">
        <v>0</v>
      </c>
      <c r="F99" s="37">
        <v>10123.560000000005</v>
      </c>
      <c r="G99" s="37">
        <v>0</v>
      </c>
      <c r="H99" s="37">
        <v>20701.337500000005</v>
      </c>
      <c r="I99" s="37">
        <v>0</v>
      </c>
      <c r="J99" s="37">
        <v>20900.538461538454</v>
      </c>
      <c r="K99" s="37">
        <v>0</v>
      </c>
      <c r="L99" s="37">
        <v>16228.292500000012</v>
      </c>
      <c r="M99" s="37">
        <v>0</v>
      </c>
      <c r="N99" s="37">
        <v>11984.028846153851</v>
      </c>
      <c r="O99" s="37">
        <v>0</v>
      </c>
      <c r="P99" s="37">
        <v>13759.408653846151</v>
      </c>
      <c r="Q99" s="37">
        <v>0</v>
      </c>
      <c r="R99" s="37">
        <v>20743.374999999996</v>
      </c>
      <c r="S99" s="37">
        <v>0</v>
      </c>
      <c r="T99" s="37">
        <v>18429.1675</v>
      </c>
      <c r="U99" s="37">
        <v>0</v>
      </c>
      <c r="V99" s="37">
        <v>20868.490384615387</v>
      </c>
      <c r="W99" s="37">
        <v>0</v>
      </c>
      <c r="X99" s="37">
        <v>25543.502314814825</v>
      </c>
      <c r="Y99" s="37">
        <v>0</v>
      </c>
      <c r="Z99" s="37">
        <v>11707.140625000004</v>
      </c>
      <c r="AA99" s="37">
        <v>0</v>
      </c>
      <c r="AB99" s="37">
        <v>3926.8240740740803</v>
      </c>
      <c r="AC99" s="37">
        <v>0</v>
      </c>
      <c r="AD99" s="37">
        <v>11021.492499999986</v>
      </c>
      <c r="AE99" s="37">
        <v>0</v>
      </c>
      <c r="AF99" s="37">
        <v>21548.840000000007</v>
      </c>
      <c r="AG99" s="37">
        <v>0</v>
      </c>
      <c r="AH99" s="37">
        <v>25559.574519230759</v>
      </c>
      <c r="AI99" s="37">
        <v>0</v>
      </c>
      <c r="AJ99" s="37">
        <v>13149.1875</v>
      </c>
      <c r="AK99" s="37">
        <v>0</v>
      </c>
      <c r="AL99" s="37">
        <v>9655.2067307692269</v>
      </c>
      <c r="AM99" s="37">
        <v>0</v>
      </c>
      <c r="AN99" s="37">
        <v>14556.432692307681</v>
      </c>
      <c r="AO99" s="37">
        <v>0</v>
      </c>
      <c r="AP99" s="37">
        <v>21632.34375</v>
      </c>
      <c r="AQ99" s="37">
        <v>0</v>
      </c>
      <c r="AR99" s="37">
        <v>19307.070000000011</v>
      </c>
      <c r="AS99" s="37">
        <v>0</v>
      </c>
      <c r="AT99" s="37">
        <v>21835.170673076933</v>
      </c>
      <c r="AU99" s="37">
        <v>0</v>
      </c>
      <c r="AV99" s="37">
        <v>24129.223557692298</v>
      </c>
      <c r="AW99" s="37">
        <v>0</v>
      </c>
      <c r="AX99" s="37">
        <v>14990.637500000001</v>
      </c>
      <c r="AY99" s="37">
        <v>0</v>
      </c>
    </row>
    <row r="100" spans="2:51">
      <c r="B100">
        <v>10326</v>
      </c>
      <c r="C100" t="s">
        <v>104</v>
      </c>
      <c r="D100" s="37">
        <v>1014.6274038461573</v>
      </c>
      <c r="E100" s="37">
        <v>0</v>
      </c>
      <c r="F100" s="37">
        <v>0</v>
      </c>
      <c r="G100" s="37">
        <v>0</v>
      </c>
      <c r="H100" s="37">
        <v>0</v>
      </c>
      <c r="I100" s="37">
        <v>0</v>
      </c>
      <c r="J100" s="37">
        <v>0</v>
      </c>
      <c r="K100" s="37">
        <v>0</v>
      </c>
      <c r="L100" s="37">
        <v>5514.7049999999999</v>
      </c>
      <c r="M100" s="37">
        <v>0</v>
      </c>
      <c r="N100" s="37">
        <v>4423.0793269230726</v>
      </c>
      <c r="O100" s="37">
        <v>0</v>
      </c>
      <c r="P100" s="37">
        <v>0</v>
      </c>
      <c r="Q100" s="37">
        <v>0</v>
      </c>
      <c r="R100" s="37">
        <v>2703.5865384615345</v>
      </c>
      <c r="S100" s="37">
        <v>0</v>
      </c>
      <c r="T100" s="37">
        <v>253.19750000000772</v>
      </c>
      <c r="U100" s="37">
        <v>0</v>
      </c>
      <c r="V100" s="37">
        <v>3380.3028846153857</v>
      </c>
      <c r="W100" s="37">
        <v>0</v>
      </c>
      <c r="X100" s="37">
        <v>3466.9467592592582</v>
      </c>
      <c r="Y100" s="37">
        <v>0</v>
      </c>
      <c r="Z100" s="37">
        <v>741.12760416667015</v>
      </c>
      <c r="AA100" s="37">
        <v>0</v>
      </c>
      <c r="AB100" s="37">
        <v>2253.0393518518486</v>
      </c>
      <c r="AC100" s="37">
        <v>0</v>
      </c>
      <c r="AD100" s="37">
        <v>0</v>
      </c>
      <c r="AE100" s="37">
        <v>0</v>
      </c>
      <c r="AF100" s="37">
        <v>0</v>
      </c>
      <c r="AG100" s="37">
        <v>0</v>
      </c>
      <c r="AH100" s="37">
        <v>0</v>
      </c>
      <c r="AI100" s="37">
        <v>0</v>
      </c>
      <c r="AJ100" s="37">
        <v>4141.3489583333321</v>
      </c>
      <c r="AK100" s="37">
        <v>0</v>
      </c>
      <c r="AL100" s="37">
        <v>3026.254807692304</v>
      </c>
      <c r="AM100" s="37">
        <v>0</v>
      </c>
      <c r="AN100" s="37">
        <v>0</v>
      </c>
      <c r="AO100" s="37">
        <v>0</v>
      </c>
      <c r="AP100" s="37">
        <v>2726.0072115384605</v>
      </c>
      <c r="AQ100" s="37">
        <v>0</v>
      </c>
      <c r="AR100" s="37">
        <v>267.58000000000413</v>
      </c>
      <c r="AS100" s="37">
        <v>0</v>
      </c>
      <c r="AT100" s="37">
        <v>3399.2764423076915</v>
      </c>
      <c r="AU100" s="37">
        <v>0</v>
      </c>
      <c r="AV100" s="37">
        <v>2393.173076923073</v>
      </c>
      <c r="AW100" s="37">
        <v>0</v>
      </c>
      <c r="AX100" s="37">
        <v>1693.0025000000012</v>
      </c>
      <c r="AY100" s="37">
        <v>0</v>
      </c>
    </row>
    <row r="101" spans="2:51">
      <c r="B101">
        <v>10331</v>
      </c>
      <c r="C101" t="s">
        <v>105</v>
      </c>
      <c r="D101" s="37">
        <v>0</v>
      </c>
      <c r="E101" s="37">
        <v>0</v>
      </c>
      <c r="F101" s="37">
        <v>0</v>
      </c>
      <c r="G101" s="37">
        <v>0</v>
      </c>
      <c r="H101" s="37">
        <v>0</v>
      </c>
      <c r="I101" s="37">
        <v>0</v>
      </c>
      <c r="J101" s="37">
        <v>0</v>
      </c>
      <c r="K101" s="37">
        <v>0</v>
      </c>
      <c r="L101" s="37">
        <v>0</v>
      </c>
      <c r="M101" s="37">
        <v>0</v>
      </c>
      <c r="N101" s="37">
        <v>0</v>
      </c>
      <c r="O101" s="37">
        <v>0</v>
      </c>
      <c r="P101" s="37">
        <v>0</v>
      </c>
      <c r="Q101" s="37">
        <v>0</v>
      </c>
      <c r="R101" s="37">
        <v>0</v>
      </c>
      <c r="S101" s="37">
        <v>0</v>
      </c>
      <c r="T101" s="37">
        <v>0</v>
      </c>
      <c r="U101" s="37">
        <v>0</v>
      </c>
      <c r="V101" s="37">
        <v>0</v>
      </c>
      <c r="W101" s="37">
        <v>0</v>
      </c>
      <c r="X101" s="37">
        <v>0</v>
      </c>
      <c r="Y101" s="37">
        <v>0</v>
      </c>
      <c r="Z101" s="37">
        <v>0</v>
      </c>
      <c r="AA101" s="37">
        <v>0</v>
      </c>
      <c r="AB101" s="37">
        <v>0</v>
      </c>
      <c r="AC101" s="37">
        <v>0</v>
      </c>
      <c r="AD101" s="37">
        <v>0</v>
      </c>
      <c r="AE101" s="37">
        <v>0</v>
      </c>
      <c r="AF101" s="37">
        <v>0</v>
      </c>
      <c r="AG101" s="37">
        <v>0</v>
      </c>
      <c r="AH101" s="37">
        <v>0</v>
      </c>
      <c r="AI101" s="37">
        <v>0</v>
      </c>
      <c r="AJ101" s="37">
        <v>0</v>
      </c>
      <c r="AK101" s="37">
        <v>0</v>
      </c>
      <c r="AL101" s="37">
        <v>0</v>
      </c>
      <c r="AM101" s="37">
        <v>0</v>
      </c>
      <c r="AN101" s="37">
        <v>0</v>
      </c>
      <c r="AO101" s="37">
        <v>0</v>
      </c>
      <c r="AP101" s="37">
        <v>0</v>
      </c>
      <c r="AQ101" s="37">
        <v>0</v>
      </c>
      <c r="AR101" s="37">
        <v>0</v>
      </c>
      <c r="AS101" s="37">
        <v>0</v>
      </c>
      <c r="AT101" s="37">
        <v>0</v>
      </c>
      <c r="AU101" s="37">
        <v>0</v>
      </c>
      <c r="AV101" s="37">
        <v>0</v>
      </c>
      <c r="AW101" s="37">
        <v>0</v>
      </c>
      <c r="AX101" s="37">
        <v>0</v>
      </c>
      <c r="AY101" s="37">
        <v>0</v>
      </c>
    </row>
    <row r="102" spans="2:51">
      <c r="B102">
        <v>10333</v>
      </c>
      <c r="C102" t="s">
        <v>106</v>
      </c>
      <c r="D102" s="37">
        <v>0</v>
      </c>
      <c r="E102" s="37">
        <v>0</v>
      </c>
      <c r="F102" s="37">
        <v>0</v>
      </c>
      <c r="G102" s="37">
        <v>0</v>
      </c>
      <c r="H102" s="37">
        <v>0</v>
      </c>
      <c r="I102" s="37">
        <v>0</v>
      </c>
      <c r="J102" s="37">
        <v>0</v>
      </c>
      <c r="K102" s="37">
        <v>0</v>
      </c>
      <c r="L102" s="37">
        <v>0</v>
      </c>
      <c r="M102" s="37">
        <v>0</v>
      </c>
      <c r="N102" s="37">
        <v>0</v>
      </c>
      <c r="O102" s="37">
        <v>0</v>
      </c>
      <c r="P102" s="37">
        <v>0</v>
      </c>
      <c r="Q102" s="37">
        <v>0</v>
      </c>
      <c r="R102" s="37">
        <v>0</v>
      </c>
      <c r="S102" s="37">
        <v>0</v>
      </c>
      <c r="T102" s="37">
        <v>0</v>
      </c>
      <c r="U102" s="37">
        <v>0</v>
      </c>
      <c r="V102" s="37">
        <v>0</v>
      </c>
      <c r="W102" s="37">
        <v>0</v>
      </c>
      <c r="X102" s="37">
        <v>0</v>
      </c>
      <c r="Y102" s="37">
        <v>0</v>
      </c>
      <c r="Z102" s="37">
        <v>0</v>
      </c>
      <c r="AA102" s="37">
        <v>0</v>
      </c>
      <c r="AB102" s="37">
        <v>0</v>
      </c>
      <c r="AC102" s="37">
        <v>0</v>
      </c>
      <c r="AD102" s="37">
        <v>0</v>
      </c>
      <c r="AE102" s="37">
        <v>0</v>
      </c>
      <c r="AF102" s="37">
        <v>0</v>
      </c>
      <c r="AG102" s="37">
        <v>0</v>
      </c>
      <c r="AH102" s="37">
        <v>0</v>
      </c>
      <c r="AI102" s="37">
        <v>0</v>
      </c>
      <c r="AJ102" s="37">
        <v>0</v>
      </c>
      <c r="AK102" s="37">
        <v>0</v>
      </c>
      <c r="AL102" s="37">
        <v>0</v>
      </c>
      <c r="AM102" s="37">
        <v>0</v>
      </c>
      <c r="AN102" s="37">
        <v>0</v>
      </c>
      <c r="AO102" s="37">
        <v>0</v>
      </c>
      <c r="AP102" s="37">
        <v>0</v>
      </c>
      <c r="AQ102" s="37">
        <v>0</v>
      </c>
      <c r="AR102" s="37">
        <v>0</v>
      </c>
      <c r="AS102" s="37">
        <v>0</v>
      </c>
      <c r="AT102" s="37">
        <v>0</v>
      </c>
      <c r="AU102" s="37">
        <v>0</v>
      </c>
      <c r="AV102" s="37">
        <v>0</v>
      </c>
      <c r="AW102" s="37">
        <v>0</v>
      </c>
      <c r="AX102" s="37">
        <v>0</v>
      </c>
      <c r="AY102" s="37">
        <v>0</v>
      </c>
    </row>
    <row r="103" spans="2:51">
      <c r="B103">
        <v>10338</v>
      </c>
      <c r="C103" t="s">
        <v>107</v>
      </c>
      <c r="D103" s="37">
        <v>46.240384615384713</v>
      </c>
      <c r="E103" s="37">
        <v>0</v>
      </c>
      <c r="F103" s="37">
        <v>186.38750000000016</v>
      </c>
      <c r="G103" s="37">
        <v>0</v>
      </c>
      <c r="H103" s="37">
        <v>413.09249999999986</v>
      </c>
      <c r="I103" s="37">
        <v>0</v>
      </c>
      <c r="J103" s="37">
        <v>557.81490384615392</v>
      </c>
      <c r="K103" s="37">
        <v>0</v>
      </c>
      <c r="L103" s="37">
        <v>369.04249999999973</v>
      </c>
      <c r="M103" s="37">
        <v>0</v>
      </c>
      <c r="N103" s="37">
        <v>380.97596153846183</v>
      </c>
      <c r="O103" s="37">
        <v>0</v>
      </c>
      <c r="P103" s="37">
        <v>324.71394230769238</v>
      </c>
      <c r="Q103" s="37">
        <v>0</v>
      </c>
      <c r="R103" s="37">
        <v>1000.3557692307687</v>
      </c>
      <c r="S103" s="37">
        <v>0</v>
      </c>
      <c r="T103" s="37">
        <v>359.36249999999978</v>
      </c>
      <c r="U103" s="37">
        <v>0</v>
      </c>
      <c r="V103" s="37">
        <v>693.86057692307759</v>
      </c>
      <c r="W103" s="37">
        <v>0</v>
      </c>
      <c r="X103" s="37">
        <v>736.22453703703695</v>
      </c>
      <c r="Y103" s="37">
        <v>0</v>
      </c>
      <c r="Z103" s="37">
        <v>312.85416666666623</v>
      </c>
      <c r="AA103" s="37">
        <v>0</v>
      </c>
      <c r="AB103" s="37">
        <v>102.89814814814791</v>
      </c>
      <c r="AC103" s="37">
        <v>0</v>
      </c>
      <c r="AD103" s="37">
        <v>169.99499999999989</v>
      </c>
      <c r="AE103" s="37">
        <v>0</v>
      </c>
      <c r="AF103" s="37">
        <v>394.30250000000024</v>
      </c>
      <c r="AG103" s="37">
        <v>0</v>
      </c>
      <c r="AH103" s="37">
        <v>666.60336538461524</v>
      </c>
      <c r="AI103" s="37">
        <v>0</v>
      </c>
      <c r="AJ103" s="37">
        <v>242.30208333333292</v>
      </c>
      <c r="AK103" s="37">
        <v>0</v>
      </c>
      <c r="AL103" s="37">
        <v>273.95673076923077</v>
      </c>
      <c r="AM103" s="37">
        <v>0</v>
      </c>
      <c r="AN103" s="37">
        <v>306.78365384615438</v>
      </c>
      <c r="AO103" s="37">
        <v>0</v>
      </c>
      <c r="AP103" s="37">
        <v>982.8221153846149</v>
      </c>
      <c r="AQ103" s="37">
        <v>0</v>
      </c>
      <c r="AR103" s="37">
        <v>338.71499999999986</v>
      </c>
      <c r="AS103" s="37">
        <v>0</v>
      </c>
      <c r="AT103" s="37">
        <v>673.51682692307634</v>
      </c>
      <c r="AU103" s="37">
        <v>0</v>
      </c>
      <c r="AV103" s="37">
        <v>578.52163461538441</v>
      </c>
      <c r="AW103" s="37">
        <v>0</v>
      </c>
      <c r="AX103" s="37">
        <v>397.6025000000003</v>
      </c>
      <c r="AY103" s="37">
        <v>0</v>
      </c>
    </row>
    <row r="104" spans="2:51">
      <c r="B104">
        <v>10342</v>
      </c>
      <c r="C104" t="s">
        <v>108</v>
      </c>
      <c r="D104" s="37">
        <v>0</v>
      </c>
      <c r="E104" s="37">
        <v>0</v>
      </c>
      <c r="F104" s="37">
        <v>161.17000000000024</v>
      </c>
      <c r="G104" s="37">
        <v>0</v>
      </c>
      <c r="H104" s="37">
        <v>7514.6350000000039</v>
      </c>
      <c r="I104" s="37">
        <v>0</v>
      </c>
      <c r="J104" s="37">
        <v>4495.5168269230817</v>
      </c>
      <c r="K104" s="37">
        <v>0</v>
      </c>
      <c r="L104" s="37">
        <v>6326.2549999999983</v>
      </c>
      <c r="M104" s="37">
        <v>0</v>
      </c>
      <c r="N104" s="37">
        <v>4562.6754807692369</v>
      </c>
      <c r="O104" s="37">
        <v>0</v>
      </c>
      <c r="P104" s="37">
        <v>3336.3653846153838</v>
      </c>
      <c r="Q104" s="37">
        <v>0</v>
      </c>
      <c r="R104" s="37">
        <v>9048.0408653846134</v>
      </c>
      <c r="S104" s="37">
        <v>0</v>
      </c>
      <c r="T104" s="37">
        <v>15127.144999999995</v>
      </c>
      <c r="U104" s="37">
        <v>0</v>
      </c>
      <c r="V104" s="37">
        <v>10786.44471153847</v>
      </c>
      <c r="W104" s="37">
        <v>0</v>
      </c>
      <c r="X104" s="37">
        <v>20587.069444444449</v>
      </c>
      <c r="Y104" s="37">
        <v>0</v>
      </c>
      <c r="Z104" s="37">
        <v>11673.54947916667</v>
      </c>
      <c r="AA104" s="37">
        <v>0</v>
      </c>
      <c r="AB104" s="37">
        <v>891.65046296296157</v>
      </c>
      <c r="AC104" s="37">
        <v>0</v>
      </c>
      <c r="AD104" s="37">
        <v>285.00499999999283</v>
      </c>
      <c r="AE104" s="37">
        <v>0</v>
      </c>
      <c r="AF104" s="37">
        <v>7701.5524999999961</v>
      </c>
      <c r="AG104" s="37">
        <v>0</v>
      </c>
      <c r="AH104" s="37">
        <v>6551.5552884615381</v>
      </c>
      <c r="AI104" s="37">
        <v>0</v>
      </c>
      <c r="AJ104" s="37">
        <v>4482.7291666666597</v>
      </c>
      <c r="AK104" s="37">
        <v>0</v>
      </c>
      <c r="AL104" s="37">
        <v>2947.3701923076947</v>
      </c>
      <c r="AM104" s="37">
        <v>0</v>
      </c>
      <c r="AN104" s="37">
        <v>3463.4519230769242</v>
      </c>
      <c r="AO104" s="37">
        <v>0</v>
      </c>
      <c r="AP104" s="37">
        <v>9208.5360576923067</v>
      </c>
      <c r="AQ104" s="37">
        <v>0</v>
      </c>
      <c r="AR104" s="37">
        <v>15466.275000000007</v>
      </c>
      <c r="AS104" s="37">
        <v>0</v>
      </c>
      <c r="AT104" s="37">
        <v>11150.90144230769</v>
      </c>
      <c r="AU104" s="37">
        <v>0</v>
      </c>
      <c r="AV104" s="37">
        <v>19215.689903846152</v>
      </c>
      <c r="AW104" s="37">
        <v>0</v>
      </c>
      <c r="AX104" s="37">
        <v>13654.909999999998</v>
      </c>
      <c r="AY104" s="37">
        <v>0</v>
      </c>
    </row>
    <row r="105" spans="2:51">
      <c r="B105">
        <v>10343</v>
      </c>
      <c r="C105" t="s">
        <v>109</v>
      </c>
      <c r="D105" s="37">
        <v>0</v>
      </c>
      <c r="E105" s="37">
        <v>0</v>
      </c>
      <c r="F105" s="37">
        <v>0</v>
      </c>
      <c r="G105" s="37">
        <v>0</v>
      </c>
      <c r="H105" s="37">
        <v>0</v>
      </c>
      <c r="I105" s="37">
        <v>0</v>
      </c>
      <c r="J105" s="37">
        <v>0</v>
      </c>
      <c r="K105" s="37">
        <v>0</v>
      </c>
      <c r="L105" s="37">
        <v>0</v>
      </c>
      <c r="M105" s="37">
        <v>0</v>
      </c>
      <c r="N105" s="37">
        <v>0</v>
      </c>
      <c r="O105" s="37">
        <v>0</v>
      </c>
      <c r="P105" s="37">
        <v>0</v>
      </c>
      <c r="Q105" s="37">
        <v>0</v>
      </c>
      <c r="R105" s="37">
        <v>0</v>
      </c>
      <c r="S105" s="37">
        <v>0</v>
      </c>
      <c r="T105" s="37">
        <v>0</v>
      </c>
      <c r="U105" s="37">
        <v>0</v>
      </c>
      <c r="V105" s="37">
        <v>0</v>
      </c>
      <c r="W105" s="37">
        <v>0</v>
      </c>
      <c r="X105" s="37">
        <v>0</v>
      </c>
      <c r="Y105" s="37">
        <v>0</v>
      </c>
      <c r="Z105" s="37">
        <v>0</v>
      </c>
      <c r="AA105" s="37">
        <v>0</v>
      </c>
      <c r="AB105" s="37">
        <v>0</v>
      </c>
      <c r="AC105" s="37">
        <v>0</v>
      </c>
      <c r="AD105" s="37">
        <v>0</v>
      </c>
      <c r="AE105" s="37">
        <v>0</v>
      </c>
      <c r="AF105" s="37">
        <v>0</v>
      </c>
      <c r="AG105" s="37">
        <v>0</v>
      </c>
      <c r="AH105" s="37">
        <v>0</v>
      </c>
      <c r="AI105" s="37">
        <v>0</v>
      </c>
      <c r="AJ105" s="37">
        <v>0</v>
      </c>
      <c r="AK105" s="37">
        <v>0</v>
      </c>
      <c r="AL105" s="37">
        <v>0</v>
      </c>
      <c r="AM105" s="37">
        <v>0</v>
      </c>
      <c r="AN105" s="37">
        <v>0</v>
      </c>
      <c r="AO105" s="37">
        <v>0</v>
      </c>
      <c r="AP105" s="37">
        <v>0</v>
      </c>
      <c r="AQ105" s="37">
        <v>0</v>
      </c>
      <c r="AR105" s="37">
        <v>0</v>
      </c>
      <c r="AS105" s="37">
        <v>0</v>
      </c>
      <c r="AT105" s="37">
        <v>0</v>
      </c>
      <c r="AU105" s="37">
        <v>0</v>
      </c>
      <c r="AV105" s="37">
        <v>0</v>
      </c>
      <c r="AW105" s="37">
        <v>0</v>
      </c>
      <c r="AX105" s="37">
        <v>0</v>
      </c>
      <c r="AY105" s="37">
        <v>0</v>
      </c>
    </row>
    <row r="106" spans="2:51">
      <c r="B106">
        <v>10349</v>
      </c>
      <c r="C106" t="s">
        <v>110</v>
      </c>
      <c r="D106" s="37">
        <v>0</v>
      </c>
      <c r="E106" s="37">
        <v>0</v>
      </c>
      <c r="F106" s="37">
        <v>0</v>
      </c>
      <c r="G106" s="37">
        <v>0</v>
      </c>
      <c r="H106" s="37">
        <v>0</v>
      </c>
      <c r="I106" s="37">
        <v>0</v>
      </c>
      <c r="J106" s="37">
        <v>0</v>
      </c>
      <c r="K106" s="37">
        <v>0</v>
      </c>
      <c r="L106" s="37">
        <v>0</v>
      </c>
      <c r="M106" s="37">
        <v>0</v>
      </c>
      <c r="N106" s="37">
        <v>0</v>
      </c>
      <c r="O106" s="37">
        <v>0</v>
      </c>
      <c r="P106" s="37">
        <v>0</v>
      </c>
      <c r="Q106" s="37">
        <v>0</v>
      </c>
      <c r="R106" s="37">
        <v>0</v>
      </c>
      <c r="S106" s="37">
        <v>0</v>
      </c>
      <c r="T106" s="37">
        <v>0</v>
      </c>
      <c r="U106" s="37">
        <v>0</v>
      </c>
      <c r="V106" s="37">
        <v>0</v>
      </c>
      <c r="W106" s="37">
        <v>0</v>
      </c>
      <c r="X106" s="37">
        <v>0</v>
      </c>
      <c r="Y106" s="37">
        <v>0</v>
      </c>
      <c r="Z106" s="37">
        <v>0</v>
      </c>
      <c r="AA106" s="37">
        <v>0</v>
      </c>
      <c r="AB106" s="37">
        <v>0</v>
      </c>
      <c r="AC106" s="37">
        <v>0</v>
      </c>
      <c r="AD106" s="37">
        <v>0</v>
      </c>
      <c r="AE106" s="37">
        <v>0</v>
      </c>
      <c r="AF106" s="37">
        <v>0</v>
      </c>
      <c r="AG106" s="37">
        <v>0</v>
      </c>
      <c r="AH106" s="37">
        <v>0</v>
      </c>
      <c r="AI106" s="37">
        <v>0</v>
      </c>
      <c r="AJ106" s="37">
        <v>0</v>
      </c>
      <c r="AK106" s="37">
        <v>0</v>
      </c>
      <c r="AL106" s="37">
        <v>0</v>
      </c>
      <c r="AM106" s="37">
        <v>0</v>
      </c>
      <c r="AN106" s="37">
        <v>0</v>
      </c>
      <c r="AO106" s="37">
        <v>0</v>
      </c>
      <c r="AP106" s="37">
        <v>0</v>
      </c>
      <c r="AQ106" s="37">
        <v>0</v>
      </c>
      <c r="AR106" s="37">
        <v>0</v>
      </c>
      <c r="AS106" s="37">
        <v>0</v>
      </c>
      <c r="AT106" s="37">
        <v>0</v>
      </c>
      <c r="AU106" s="37">
        <v>0</v>
      </c>
      <c r="AV106" s="37">
        <v>0</v>
      </c>
      <c r="AW106" s="37">
        <v>0</v>
      </c>
      <c r="AX106" s="37">
        <v>0</v>
      </c>
      <c r="AY106" s="37">
        <v>0</v>
      </c>
    </row>
    <row r="107" spans="2:51">
      <c r="B107">
        <v>10352</v>
      </c>
      <c r="C107" t="s">
        <v>111</v>
      </c>
      <c r="D107" s="37">
        <v>0</v>
      </c>
      <c r="E107" s="37">
        <v>0</v>
      </c>
      <c r="F107" s="37">
        <v>796.24249999999904</v>
      </c>
      <c r="G107" s="37">
        <v>0</v>
      </c>
      <c r="H107" s="37">
        <v>0</v>
      </c>
      <c r="I107" s="37">
        <v>0</v>
      </c>
      <c r="J107" s="37">
        <v>6959.3509615384583</v>
      </c>
      <c r="K107" s="37">
        <v>0</v>
      </c>
      <c r="L107" s="37">
        <v>6971.3874999999953</v>
      </c>
      <c r="M107" s="37">
        <v>0</v>
      </c>
      <c r="N107" s="37">
        <v>3663.8629807692337</v>
      </c>
      <c r="O107" s="37">
        <v>0</v>
      </c>
      <c r="P107" s="37">
        <v>2573.8701923076919</v>
      </c>
      <c r="Q107" s="37">
        <v>0</v>
      </c>
      <c r="R107" s="37">
        <v>1594.2379807692309</v>
      </c>
      <c r="S107" s="37">
        <v>0</v>
      </c>
      <c r="T107" s="37">
        <v>2061.0274999999992</v>
      </c>
      <c r="U107" s="37">
        <v>0</v>
      </c>
      <c r="V107" s="37">
        <v>3508.6586538461561</v>
      </c>
      <c r="W107" s="37">
        <v>0</v>
      </c>
      <c r="X107" s="37">
        <v>6480.7939814814808</v>
      </c>
      <c r="Y107" s="37">
        <v>0</v>
      </c>
      <c r="Z107" s="37">
        <v>1065.4947916666631</v>
      </c>
      <c r="AA107" s="37">
        <v>0</v>
      </c>
      <c r="AB107" s="37">
        <v>194.8379629629633</v>
      </c>
      <c r="AC107" s="37">
        <v>0</v>
      </c>
      <c r="AD107" s="37">
        <v>893.01000000000124</v>
      </c>
      <c r="AE107" s="37">
        <v>0</v>
      </c>
      <c r="AF107" s="37">
        <v>0</v>
      </c>
      <c r="AG107" s="37">
        <v>0</v>
      </c>
      <c r="AH107" s="37">
        <v>8125.7139423076906</v>
      </c>
      <c r="AI107" s="37">
        <v>0</v>
      </c>
      <c r="AJ107" s="37">
        <v>6154.8828124999982</v>
      </c>
      <c r="AK107" s="37">
        <v>0</v>
      </c>
      <c r="AL107" s="37">
        <v>2891.2163461538462</v>
      </c>
      <c r="AM107" s="37">
        <v>0</v>
      </c>
      <c r="AN107" s="37">
        <v>2687.0312500000014</v>
      </c>
      <c r="AO107" s="37">
        <v>0</v>
      </c>
      <c r="AP107" s="37">
        <v>1686.5721153846157</v>
      </c>
      <c r="AQ107" s="37">
        <v>0</v>
      </c>
      <c r="AR107" s="37">
        <v>2167.5299999999988</v>
      </c>
      <c r="AS107" s="37">
        <v>0</v>
      </c>
      <c r="AT107" s="37">
        <v>3642.6730769230776</v>
      </c>
      <c r="AU107" s="37">
        <v>0</v>
      </c>
      <c r="AV107" s="37">
        <v>6009.2091346153838</v>
      </c>
      <c r="AW107" s="37">
        <v>0</v>
      </c>
      <c r="AX107" s="37">
        <v>1817.6449999999998</v>
      </c>
      <c r="AY107" s="37">
        <v>0</v>
      </c>
    </row>
    <row r="108" spans="2:51">
      <c r="B108">
        <v>10354</v>
      </c>
      <c r="C108" t="s">
        <v>112</v>
      </c>
      <c r="D108" s="37">
        <v>146385.18269230763</v>
      </c>
      <c r="E108" s="37">
        <v>0</v>
      </c>
      <c r="F108" s="37">
        <v>179960.99999999988</v>
      </c>
      <c r="G108" s="37">
        <v>0</v>
      </c>
      <c r="H108" s="37">
        <v>230197.49999999994</v>
      </c>
      <c r="I108" s="37">
        <v>0</v>
      </c>
      <c r="J108" s="37">
        <v>278020.32692307682</v>
      </c>
      <c r="K108" s="37">
        <v>0</v>
      </c>
      <c r="L108" s="37">
        <v>339065.25000000012</v>
      </c>
      <c r="M108" s="37">
        <v>0</v>
      </c>
      <c r="N108" s="37">
        <v>245043.24038461532</v>
      </c>
      <c r="O108" s="37">
        <v>0</v>
      </c>
      <c r="P108" s="37">
        <v>221718.91346153835</v>
      </c>
      <c r="Q108" s="37">
        <v>0</v>
      </c>
      <c r="R108" s="37">
        <v>181566.08653846156</v>
      </c>
      <c r="S108" s="37">
        <v>0</v>
      </c>
      <c r="T108" s="37">
        <v>175240</v>
      </c>
      <c r="U108" s="37">
        <v>0</v>
      </c>
      <c r="V108" s="37">
        <v>296780.17307692312</v>
      </c>
      <c r="W108" s="37">
        <v>0</v>
      </c>
      <c r="X108" s="37">
        <v>338368.26851851854</v>
      </c>
      <c r="Y108" s="37">
        <v>0</v>
      </c>
      <c r="Z108" s="37">
        <v>135203.40624999997</v>
      </c>
      <c r="AA108" s="37">
        <v>0</v>
      </c>
      <c r="AB108" s="37">
        <v>182330.52777777784</v>
      </c>
      <c r="AC108" s="37">
        <v>0</v>
      </c>
      <c r="AD108" s="37">
        <v>186176.00000000012</v>
      </c>
      <c r="AE108" s="37">
        <v>0</v>
      </c>
      <c r="AF108" s="37">
        <v>235733.24999999994</v>
      </c>
      <c r="AG108" s="37">
        <v>0</v>
      </c>
      <c r="AH108" s="37">
        <v>282939.43269230763</v>
      </c>
      <c r="AI108" s="37">
        <v>0</v>
      </c>
      <c r="AJ108" s="37">
        <v>303204.40625000006</v>
      </c>
      <c r="AK108" s="37">
        <v>0</v>
      </c>
      <c r="AL108" s="37">
        <v>249397.23076923069</v>
      </c>
      <c r="AM108" s="37">
        <v>0</v>
      </c>
      <c r="AN108" s="37">
        <v>225516.86538461546</v>
      </c>
      <c r="AO108" s="37">
        <v>0</v>
      </c>
      <c r="AP108" s="37">
        <v>184309.84615384619</v>
      </c>
      <c r="AQ108" s="37">
        <v>0</v>
      </c>
      <c r="AR108" s="37">
        <v>177353.50000000006</v>
      </c>
      <c r="AS108" s="37">
        <v>0</v>
      </c>
      <c r="AT108" s="37">
        <v>300608.79807692324</v>
      </c>
      <c r="AU108" s="37">
        <v>0</v>
      </c>
      <c r="AV108" s="37">
        <v>311814.75961538445</v>
      </c>
      <c r="AW108" s="37">
        <v>0</v>
      </c>
      <c r="AX108" s="37">
        <v>169633.25</v>
      </c>
      <c r="AY108" s="37">
        <v>0</v>
      </c>
    </row>
    <row r="109" spans="2:51">
      <c r="B109">
        <v>10360</v>
      </c>
      <c r="C109" t="s">
        <v>113</v>
      </c>
      <c r="D109" s="37">
        <v>1020.2932692307687</v>
      </c>
      <c r="E109" s="37">
        <v>0</v>
      </c>
      <c r="F109" s="37">
        <v>439.0299999999998</v>
      </c>
      <c r="G109" s="37">
        <v>0</v>
      </c>
      <c r="H109" s="37">
        <v>394.73999999999944</v>
      </c>
      <c r="I109" s="37">
        <v>0</v>
      </c>
      <c r="J109" s="37">
        <v>752.40144230769192</v>
      </c>
      <c r="K109" s="37">
        <v>0</v>
      </c>
      <c r="L109" s="37">
        <v>341.79749999999973</v>
      </c>
      <c r="M109" s="37">
        <v>0</v>
      </c>
      <c r="N109" s="37">
        <v>179.3317307692308</v>
      </c>
      <c r="O109" s="37">
        <v>0</v>
      </c>
      <c r="P109" s="37">
        <v>1227.1274038461529</v>
      </c>
      <c r="Q109" s="37">
        <v>0</v>
      </c>
      <c r="R109" s="37">
        <v>2039.6466346153841</v>
      </c>
      <c r="S109" s="37">
        <v>0</v>
      </c>
      <c r="T109" s="37">
        <v>2223.127500000001</v>
      </c>
      <c r="U109" s="37">
        <v>0</v>
      </c>
      <c r="V109" s="37">
        <v>2194.8437499999977</v>
      </c>
      <c r="W109" s="37">
        <v>0</v>
      </c>
      <c r="X109" s="37">
        <v>2747.1481481481501</v>
      </c>
      <c r="Y109" s="37">
        <v>0</v>
      </c>
      <c r="Z109" s="37">
        <v>1808.1223958333337</v>
      </c>
      <c r="AA109" s="37">
        <v>0</v>
      </c>
      <c r="AB109" s="37">
        <v>1178.1782407407409</v>
      </c>
      <c r="AC109" s="37">
        <v>0</v>
      </c>
      <c r="AD109" s="37">
        <v>418.69250000000056</v>
      </c>
      <c r="AE109" s="37">
        <v>0</v>
      </c>
      <c r="AF109" s="37">
        <v>369.07750000000016</v>
      </c>
      <c r="AG109" s="37">
        <v>0</v>
      </c>
      <c r="AH109" s="37">
        <v>959.16105769230796</v>
      </c>
      <c r="AI109" s="37">
        <v>0</v>
      </c>
      <c r="AJ109" s="37">
        <v>109.56770833333395</v>
      </c>
      <c r="AK109" s="37">
        <v>0</v>
      </c>
      <c r="AL109" s="37">
        <v>0</v>
      </c>
      <c r="AM109" s="37">
        <v>0</v>
      </c>
      <c r="AN109" s="37">
        <v>1207.1201923076926</v>
      </c>
      <c r="AO109" s="37">
        <v>0</v>
      </c>
      <c r="AP109" s="37">
        <v>2113.3942307692314</v>
      </c>
      <c r="AQ109" s="37">
        <v>0</v>
      </c>
      <c r="AR109" s="37">
        <v>2298.15</v>
      </c>
      <c r="AS109" s="37">
        <v>0</v>
      </c>
      <c r="AT109" s="37">
        <v>2264.8629807692309</v>
      </c>
      <c r="AU109" s="37">
        <v>0</v>
      </c>
      <c r="AV109" s="37">
        <v>2369.1802884615381</v>
      </c>
      <c r="AW109" s="37">
        <v>0</v>
      </c>
      <c r="AX109" s="37">
        <v>2174.5949999999998</v>
      </c>
      <c r="AY109" s="37">
        <v>0</v>
      </c>
    </row>
    <row r="110" spans="2:51">
      <c r="B110">
        <v>10363</v>
      </c>
      <c r="C110" t="s">
        <v>114</v>
      </c>
      <c r="D110" s="37">
        <v>0</v>
      </c>
      <c r="E110" s="37">
        <v>0</v>
      </c>
      <c r="F110" s="37">
        <v>19593.720000000008</v>
      </c>
      <c r="G110" s="37">
        <v>0</v>
      </c>
      <c r="H110" s="37">
        <v>4563.8424999999888</v>
      </c>
      <c r="I110" s="37">
        <v>0</v>
      </c>
      <c r="J110" s="37">
        <v>14387.853365384626</v>
      </c>
      <c r="K110" s="37">
        <v>0</v>
      </c>
      <c r="L110" s="37">
        <v>10509.709999999992</v>
      </c>
      <c r="M110" s="37">
        <v>0</v>
      </c>
      <c r="N110" s="37">
        <v>15053.026442307697</v>
      </c>
      <c r="O110" s="37">
        <v>0</v>
      </c>
      <c r="P110" s="37">
        <v>5647.3461538461543</v>
      </c>
      <c r="Q110" s="37">
        <v>0</v>
      </c>
      <c r="R110" s="37">
        <v>7798.3076923076842</v>
      </c>
      <c r="S110" s="37">
        <v>0</v>
      </c>
      <c r="T110" s="37">
        <v>17892.505000000001</v>
      </c>
      <c r="U110" s="37">
        <v>0</v>
      </c>
      <c r="V110" s="37">
        <v>14395.072115384619</v>
      </c>
      <c r="W110" s="37">
        <v>0</v>
      </c>
      <c r="X110" s="37">
        <v>26969.400462962967</v>
      </c>
      <c r="Y110" s="37">
        <v>0</v>
      </c>
      <c r="Z110" s="37">
        <v>13983.984375000013</v>
      </c>
      <c r="AA110" s="37">
        <v>0</v>
      </c>
      <c r="AB110" s="37">
        <v>0</v>
      </c>
      <c r="AC110" s="37">
        <v>0</v>
      </c>
      <c r="AD110" s="37">
        <v>19766.477499999997</v>
      </c>
      <c r="AE110" s="37">
        <v>0</v>
      </c>
      <c r="AF110" s="37">
        <v>4862.4275000000207</v>
      </c>
      <c r="AG110" s="37">
        <v>0</v>
      </c>
      <c r="AH110" s="37">
        <v>19610.944711538461</v>
      </c>
      <c r="AI110" s="37">
        <v>0</v>
      </c>
      <c r="AJ110" s="37">
        <v>6151.8046874999827</v>
      </c>
      <c r="AK110" s="37">
        <v>0</v>
      </c>
      <c r="AL110" s="37">
        <v>11030.189903846163</v>
      </c>
      <c r="AM110" s="37">
        <v>0</v>
      </c>
      <c r="AN110" s="37">
        <v>5762.6466346153893</v>
      </c>
      <c r="AO110" s="37">
        <v>0</v>
      </c>
      <c r="AP110" s="37">
        <v>7868.4326923077033</v>
      </c>
      <c r="AQ110" s="37">
        <v>0</v>
      </c>
      <c r="AR110" s="37">
        <v>17970.602499999997</v>
      </c>
      <c r="AS110" s="37">
        <v>0</v>
      </c>
      <c r="AT110" s="37">
        <v>14416.68750000002</v>
      </c>
      <c r="AU110" s="37">
        <v>0</v>
      </c>
      <c r="AV110" s="37">
        <v>23659.872596153848</v>
      </c>
      <c r="AW110" s="37">
        <v>0</v>
      </c>
      <c r="AX110" s="37">
        <v>17516.549999999988</v>
      </c>
      <c r="AY110" s="37">
        <v>0</v>
      </c>
    </row>
    <row r="111" spans="2:51">
      <c r="B111">
        <v>10369</v>
      </c>
      <c r="C111" t="s">
        <v>115</v>
      </c>
      <c r="D111" s="37">
        <v>1818.0480769230778</v>
      </c>
      <c r="E111" s="37">
        <v>0</v>
      </c>
      <c r="F111" s="37">
        <v>749.2899999999994</v>
      </c>
      <c r="G111" s="37">
        <v>0</v>
      </c>
      <c r="H111" s="37">
        <v>555.85000000000036</v>
      </c>
      <c r="I111" s="37">
        <v>0</v>
      </c>
      <c r="J111" s="37">
        <v>1824.447115384618</v>
      </c>
      <c r="K111" s="37">
        <v>0</v>
      </c>
      <c r="L111" s="37">
        <v>2128.6774999999993</v>
      </c>
      <c r="M111" s="37">
        <v>0</v>
      </c>
      <c r="N111" s="37">
        <v>1667.6442307692309</v>
      </c>
      <c r="O111" s="37">
        <v>0</v>
      </c>
      <c r="P111" s="37">
        <v>2016.3822115384623</v>
      </c>
      <c r="Q111" s="37">
        <v>0</v>
      </c>
      <c r="R111" s="37">
        <v>4749.3557692307741</v>
      </c>
      <c r="S111" s="37">
        <v>0</v>
      </c>
      <c r="T111" s="37">
        <v>2941.1500000000015</v>
      </c>
      <c r="U111" s="37">
        <v>0</v>
      </c>
      <c r="V111" s="37">
        <v>3007.8774038461484</v>
      </c>
      <c r="W111" s="37">
        <v>0</v>
      </c>
      <c r="X111" s="37">
        <v>5603.4537037037053</v>
      </c>
      <c r="Y111" s="37">
        <v>0</v>
      </c>
      <c r="Z111" s="37">
        <v>4778.2083333333348</v>
      </c>
      <c r="AA111" s="37">
        <v>0</v>
      </c>
      <c r="AB111" s="37">
        <v>2311.3425925925944</v>
      </c>
      <c r="AC111" s="37">
        <v>0</v>
      </c>
      <c r="AD111" s="37">
        <v>749.2899999999994</v>
      </c>
      <c r="AE111" s="37">
        <v>0</v>
      </c>
      <c r="AF111" s="37">
        <v>555.85000000000036</v>
      </c>
      <c r="AG111" s="37">
        <v>0</v>
      </c>
      <c r="AH111" s="37">
        <v>2399.2355769230767</v>
      </c>
      <c r="AI111" s="37">
        <v>0</v>
      </c>
      <c r="AJ111" s="37">
        <v>1626.7057291666652</v>
      </c>
      <c r="AK111" s="37">
        <v>0</v>
      </c>
      <c r="AL111" s="37">
        <v>1189.6754807692305</v>
      </c>
      <c r="AM111" s="37">
        <v>0</v>
      </c>
      <c r="AN111" s="37">
        <v>2016.3822115384623</v>
      </c>
      <c r="AO111" s="37">
        <v>0</v>
      </c>
      <c r="AP111" s="37">
        <v>4749.3557692307777</v>
      </c>
      <c r="AQ111" s="37">
        <v>0</v>
      </c>
      <c r="AR111" s="37">
        <v>2941.1500000000015</v>
      </c>
      <c r="AS111" s="37">
        <v>0</v>
      </c>
      <c r="AT111" s="37">
        <v>3007.8774038461484</v>
      </c>
      <c r="AU111" s="37">
        <v>0</v>
      </c>
      <c r="AV111" s="37">
        <v>4355.4711538461515</v>
      </c>
      <c r="AW111" s="37">
        <v>0</v>
      </c>
      <c r="AX111" s="37">
        <v>5727.0400000000018</v>
      </c>
      <c r="AY111" s="37">
        <v>0</v>
      </c>
    </row>
    <row r="112" spans="2:51">
      <c r="B112">
        <v>10370</v>
      </c>
      <c r="C112" t="s">
        <v>116</v>
      </c>
      <c r="D112" s="37">
        <v>0</v>
      </c>
      <c r="E112" s="37">
        <v>0</v>
      </c>
      <c r="F112" s="37">
        <v>0</v>
      </c>
      <c r="G112" s="37">
        <v>0</v>
      </c>
      <c r="H112" s="37">
        <v>0</v>
      </c>
      <c r="I112" s="37">
        <v>0</v>
      </c>
      <c r="J112" s="37">
        <v>0</v>
      </c>
      <c r="K112" s="37">
        <v>0</v>
      </c>
      <c r="L112" s="37">
        <v>0</v>
      </c>
      <c r="M112" s="37">
        <v>0</v>
      </c>
      <c r="N112" s="37">
        <v>0</v>
      </c>
      <c r="O112" s="37">
        <v>0</v>
      </c>
      <c r="P112" s="37">
        <v>0</v>
      </c>
      <c r="Q112" s="37">
        <v>0</v>
      </c>
      <c r="R112" s="37">
        <v>0</v>
      </c>
      <c r="S112" s="37">
        <v>0</v>
      </c>
      <c r="T112" s="37">
        <v>0</v>
      </c>
      <c r="U112" s="37">
        <v>0</v>
      </c>
      <c r="V112" s="37">
        <v>0</v>
      </c>
      <c r="W112" s="37">
        <v>0</v>
      </c>
      <c r="X112" s="37">
        <v>0</v>
      </c>
      <c r="Y112" s="37">
        <v>0</v>
      </c>
      <c r="Z112" s="37">
        <v>0</v>
      </c>
      <c r="AA112" s="37">
        <v>0</v>
      </c>
      <c r="AB112" s="37">
        <v>0</v>
      </c>
      <c r="AC112" s="37">
        <v>0</v>
      </c>
      <c r="AD112" s="37">
        <v>0</v>
      </c>
      <c r="AE112" s="37">
        <v>0</v>
      </c>
      <c r="AF112" s="37">
        <v>0</v>
      </c>
      <c r="AG112" s="37">
        <v>0</v>
      </c>
      <c r="AH112" s="37">
        <v>0</v>
      </c>
      <c r="AI112" s="37">
        <v>0</v>
      </c>
      <c r="AJ112" s="37">
        <v>0</v>
      </c>
      <c r="AK112" s="37">
        <v>0</v>
      </c>
      <c r="AL112" s="37">
        <v>0</v>
      </c>
      <c r="AM112" s="37">
        <v>0</v>
      </c>
      <c r="AN112" s="37">
        <v>0</v>
      </c>
      <c r="AO112" s="37">
        <v>0</v>
      </c>
      <c r="AP112" s="37">
        <v>0</v>
      </c>
      <c r="AQ112" s="37">
        <v>0</v>
      </c>
      <c r="AR112" s="37">
        <v>0</v>
      </c>
      <c r="AS112" s="37">
        <v>0</v>
      </c>
      <c r="AT112" s="37">
        <v>0</v>
      </c>
      <c r="AU112" s="37">
        <v>0</v>
      </c>
      <c r="AV112" s="37">
        <v>0</v>
      </c>
      <c r="AW112" s="37">
        <v>0</v>
      </c>
      <c r="AX112" s="37">
        <v>0</v>
      </c>
      <c r="AY112" s="37">
        <v>0</v>
      </c>
    </row>
    <row r="113" spans="2:51">
      <c r="B113">
        <v>10371</v>
      </c>
      <c r="C113" t="s">
        <v>117</v>
      </c>
      <c r="D113" s="37">
        <v>0</v>
      </c>
      <c r="E113" s="37">
        <v>0</v>
      </c>
      <c r="F113" s="37">
        <v>1008.4950000000003</v>
      </c>
      <c r="G113" s="37">
        <v>0</v>
      </c>
      <c r="H113" s="37">
        <v>1716.2199999999989</v>
      </c>
      <c r="I113" s="37">
        <v>0</v>
      </c>
      <c r="J113" s="37">
        <v>2399.5408653846166</v>
      </c>
      <c r="K113" s="37">
        <v>0</v>
      </c>
      <c r="L113" s="37">
        <v>1855.105</v>
      </c>
      <c r="M113" s="37">
        <v>0</v>
      </c>
      <c r="N113" s="37">
        <v>0</v>
      </c>
      <c r="O113" s="37">
        <v>0</v>
      </c>
      <c r="P113" s="37">
        <v>1075.4110576923067</v>
      </c>
      <c r="Q113" s="37">
        <v>0</v>
      </c>
      <c r="R113" s="37">
        <v>1276.3100961538451</v>
      </c>
      <c r="S113" s="37">
        <v>0</v>
      </c>
      <c r="T113" s="37">
        <v>2349.1574999999989</v>
      </c>
      <c r="U113" s="37">
        <v>0</v>
      </c>
      <c r="V113" s="37">
        <v>3144.3509615384623</v>
      </c>
      <c r="W113" s="37">
        <v>0</v>
      </c>
      <c r="X113" s="37">
        <v>3014.7847222222231</v>
      </c>
      <c r="Y113" s="37">
        <v>0</v>
      </c>
      <c r="Z113" s="37">
        <v>676.00260416666731</v>
      </c>
      <c r="AA113" s="37">
        <v>0</v>
      </c>
      <c r="AB113" s="37">
        <v>542.67361111110904</v>
      </c>
      <c r="AC113" s="37">
        <v>0</v>
      </c>
      <c r="AD113" s="37">
        <v>1056.9250000000002</v>
      </c>
      <c r="AE113" s="37">
        <v>0</v>
      </c>
      <c r="AF113" s="37">
        <v>1770.9774999999963</v>
      </c>
      <c r="AG113" s="37">
        <v>0</v>
      </c>
      <c r="AH113" s="37">
        <v>2444.1610576923063</v>
      </c>
      <c r="AI113" s="37">
        <v>0</v>
      </c>
      <c r="AJ113" s="37">
        <v>1172.8541666666654</v>
      </c>
      <c r="AK113" s="37">
        <v>0</v>
      </c>
      <c r="AL113" s="37">
        <v>0</v>
      </c>
      <c r="AM113" s="37">
        <v>0</v>
      </c>
      <c r="AN113" s="37">
        <v>1115.8774038461522</v>
      </c>
      <c r="AO113" s="37">
        <v>0</v>
      </c>
      <c r="AP113" s="37">
        <v>1316.4543269230778</v>
      </c>
      <c r="AQ113" s="37">
        <v>0</v>
      </c>
      <c r="AR113" s="37">
        <v>2398.3600000000019</v>
      </c>
      <c r="AS113" s="37">
        <v>0</v>
      </c>
      <c r="AT113" s="37">
        <v>3194.985576923079</v>
      </c>
      <c r="AU113" s="37">
        <v>0</v>
      </c>
      <c r="AV113" s="37">
        <v>2538.3341346153852</v>
      </c>
      <c r="AW113" s="37">
        <v>0</v>
      </c>
      <c r="AX113" s="37">
        <v>1259.6125000000011</v>
      </c>
      <c r="AY113" s="37">
        <v>0</v>
      </c>
    </row>
    <row r="114" spans="2:51">
      <c r="B114">
        <v>10376</v>
      </c>
      <c r="C114" t="s">
        <v>118</v>
      </c>
      <c r="D114" s="37">
        <v>5435.889423076922</v>
      </c>
      <c r="E114" s="37">
        <v>0</v>
      </c>
      <c r="F114" s="37">
        <v>18611.825000000008</v>
      </c>
      <c r="G114" s="37">
        <v>0</v>
      </c>
      <c r="H114" s="37">
        <v>5088.3500000000022</v>
      </c>
      <c r="I114" s="37">
        <v>0</v>
      </c>
      <c r="J114" s="37">
        <v>7316.8221153846107</v>
      </c>
      <c r="K114" s="37">
        <v>0</v>
      </c>
      <c r="L114" s="37">
        <v>20822.900000000005</v>
      </c>
      <c r="M114" s="37">
        <v>0</v>
      </c>
      <c r="N114" s="37">
        <v>25015.399038461543</v>
      </c>
      <c r="O114" s="37">
        <v>0</v>
      </c>
      <c r="P114" s="37">
        <v>12236.461538461526</v>
      </c>
      <c r="Q114" s="37">
        <v>0</v>
      </c>
      <c r="R114" s="37">
        <v>6050.8605769230853</v>
      </c>
      <c r="S114" s="37">
        <v>0</v>
      </c>
      <c r="T114" s="37">
        <v>2910.4250000000011</v>
      </c>
      <c r="U114" s="37">
        <v>0</v>
      </c>
      <c r="V114" s="37">
        <v>0</v>
      </c>
      <c r="W114" s="37">
        <v>0</v>
      </c>
      <c r="X114" s="37">
        <v>3096.1342592592546</v>
      </c>
      <c r="Y114" s="37">
        <v>0</v>
      </c>
      <c r="Z114" s="37">
        <v>0</v>
      </c>
      <c r="AA114" s="37">
        <v>0</v>
      </c>
      <c r="AB114" s="37">
        <v>7729.0462962962965</v>
      </c>
      <c r="AC114" s="37">
        <v>0</v>
      </c>
      <c r="AD114" s="37">
        <v>18829.224999999999</v>
      </c>
      <c r="AE114" s="37">
        <v>0</v>
      </c>
      <c r="AF114" s="37">
        <v>5224.5000000000027</v>
      </c>
      <c r="AG114" s="37">
        <v>0</v>
      </c>
      <c r="AH114" s="37">
        <v>10842.69711538461</v>
      </c>
      <c r="AI114" s="37">
        <v>0</v>
      </c>
      <c r="AJ114" s="37">
        <v>18289.390624999996</v>
      </c>
      <c r="AK114" s="37">
        <v>0</v>
      </c>
      <c r="AL114" s="37">
        <v>22549.389423076929</v>
      </c>
      <c r="AM114" s="37">
        <v>0</v>
      </c>
      <c r="AN114" s="37">
        <v>12409.264423076913</v>
      </c>
      <c r="AO114" s="37">
        <v>0</v>
      </c>
      <c r="AP114" s="37">
        <v>6164.9855769230799</v>
      </c>
      <c r="AQ114" s="37">
        <v>0</v>
      </c>
      <c r="AR114" s="37">
        <v>2958.8250000000016</v>
      </c>
      <c r="AS114" s="37">
        <v>0</v>
      </c>
      <c r="AT114" s="37">
        <v>0</v>
      </c>
      <c r="AU114" s="37">
        <v>0</v>
      </c>
      <c r="AV114" s="37">
        <v>1195.6490384615352</v>
      </c>
      <c r="AW114" s="37">
        <v>0</v>
      </c>
      <c r="AX114" s="37">
        <v>1611.4749999999985</v>
      </c>
      <c r="AY114" s="37">
        <v>0</v>
      </c>
    </row>
    <row r="115" spans="2:51">
      <c r="B115">
        <v>10378</v>
      </c>
      <c r="C115" t="s">
        <v>119</v>
      </c>
      <c r="D115" s="37">
        <v>0</v>
      </c>
      <c r="E115" s="37">
        <v>0</v>
      </c>
      <c r="F115" s="37">
        <v>185.67999999999961</v>
      </c>
      <c r="G115" s="37">
        <v>0</v>
      </c>
      <c r="H115" s="37">
        <v>667.85749999999962</v>
      </c>
      <c r="I115" s="37">
        <v>0</v>
      </c>
      <c r="J115" s="37">
        <v>971.25480769230717</v>
      </c>
      <c r="K115" s="37">
        <v>0</v>
      </c>
      <c r="L115" s="37">
        <v>744.88749999999993</v>
      </c>
      <c r="M115" s="37">
        <v>0</v>
      </c>
      <c r="N115" s="37">
        <v>507.44711538461553</v>
      </c>
      <c r="O115" s="37">
        <v>0</v>
      </c>
      <c r="P115" s="37">
        <v>592.02163461538487</v>
      </c>
      <c r="Q115" s="37">
        <v>0</v>
      </c>
      <c r="R115" s="37">
        <v>259.40865384615381</v>
      </c>
      <c r="S115" s="37">
        <v>0</v>
      </c>
      <c r="T115" s="37">
        <v>322.7525</v>
      </c>
      <c r="U115" s="37">
        <v>0</v>
      </c>
      <c r="V115" s="37">
        <v>408.38461538461507</v>
      </c>
      <c r="W115" s="37">
        <v>0</v>
      </c>
      <c r="X115" s="37">
        <v>407.12500000000006</v>
      </c>
      <c r="Y115" s="37">
        <v>0</v>
      </c>
      <c r="Z115" s="37">
        <v>490.56249999999983</v>
      </c>
      <c r="AA115" s="37">
        <v>0</v>
      </c>
      <c r="AB115" s="37">
        <v>54.219907407407341</v>
      </c>
      <c r="AC115" s="37">
        <v>0</v>
      </c>
      <c r="AD115" s="37">
        <v>175.59999999999977</v>
      </c>
      <c r="AE115" s="37">
        <v>0</v>
      </c>
      <c r="AF115" s="37">
        <v>658.48499999999967</v>
      </c>
      <c r="AG115" s="37">
        <v>0</v>
      </c>
      <c r="AH115" s="37">
        <v>961.28365384615347</v>
      </c>
      <c r="AI115" s="37">
        <v>0</v>
      </c>
      <c r="AJ115" s="37">
        <v>615.80468749999989</v>
      </c>
      <c r="AK115" s="37">
        <v>0</v>
      </c>
      <c r="AL115" s="37">
        <v>497.21394230769209</v>
      </c>
      <c r="AM115" s="37">
        <v>0</v>
      </c>
      <c r="AN115" s="37">
        <v>581.91586538461547</v>
      </c>
      <c r="AO115" s="37">
        <v>0</v>
      </c>
      <c r="AP115" s="37">
        <v>248.90144230769235</v>
      </c>
      <c r="AQ115" s="37">
        <v>0</v>
      </c>
      <c r="AR115" s="37">
        <v>311.7150000000002</v>
      </c>
      <c r="AS115" s="37">
        <v>0</v>
      </c>
      <c r="AT115" s="37">
        <v>397.75480769230757</v>
      </c>
      <c r="AU115" s="37">
        <v>0</v>
      </c>
      <c r="AV115" s="37">
        <v>331.46153846153857</v>
      </c>
      <c r="AW115" s="37">
        <v>0</v>
      </c>
      <c r="AX115" s="37">
        <v>542.23999999999978</v>
      </c>
      <c r="AY115" s="37">
        <v>0</v>
      </c>
    </row>
    <row r="116" spans="2:51">
      <c r="B116">
        <v>10379</v>
      </c>
      <c r="C116" t="s">
        <v>120</v>
      </c>
      <c r="D116" s="37">
        <v>343.60576923076991</v>
      </c>
      <c r="E116" s="37">
        <v>0</v>
      </c>
      <c r="F116" s="37">
        <v>0</v>
      </c>
      <c r="G116" s="37">
        <v>0</v>
      </c>
      <c r="H116" s="37">
        <v>1025.9600000000003</v>
      </c>
      <c r="I116" s="37">
        <v>0</v>
      </c>
      <c r="J116" s="37">
        <v>1158.9086538461543</v>
      </c>
      <c r="K116" s="37">
        <v>0</v>
      </c>
      <c r="L116" s="37">
        <v>1092.4049999999993</v>
      </c>
      <c r="M116" s="37">
        <v>0</v>
      </c>
      <c r="N116" s="37">
        <v>755.6057692307694</v>
      </c>
      <c r="O116" s="37">
        <v>0</v>
      </c>
      <c r="P116" s="37">
        <v>434.70673076923117</v>
      </c>
      <c r="Q116" s="37">
        <v>0</v>
      </c>
      <c r="R116" s="37">
        <v>635.90144230769272</v>
      </c>
      <c r="S116" s="37">
        <v>0</v>
      </c>
      <c r="T116" s="37">
        <v>1116.4224999999997</v>
      </c>
      <c r="U116" s="37">
        <v>0</v>
      </c>
      <c r="V116" s="37">
        <v>1610.7956730769235</v>
      </c>
      <c r="W116" s="37">
        <v>0</v>
      </c>
      <c r="X116" s="37">
        <v>1766.2337962962961</v>
      </c>
      <c r="Y116" s="37">
        <v>0</v>
      </c>
      <c r="Z116" s="37">
        <v>852.97656249999932</v>
      </c>
      <c r="AA116" s="37">
        <v>0</v>
      </c>
      <c r="AB116" s="37">
        <v>529.03703703703718</v>
      </c>
      <c r="AC116" s="37">
        <v>0</v>
      </c>
      <c r="AD116" s="37">
        <v>0</v>
      </c>
      <c r="AE116" s="37">
        <v>0</v>
      </c>
      <c r="AF116" s="37">
        <v>1033.4799999999998</v>
      </c>
      <c r="AG116" s="37">
        <v>0</v>
      </c>
      <c r="AH116" s="37">
        <v>1174.6201923076931</v>
      </c>
      <c r="AI116" s="37">
        <v>0</v>
      </c>
      <c r="AJ116" s="37">
        <v>865.66666666666686</v>
      </c>
      <c r="AK116" s="37">
        <v>0</v>
      </c>
      <c r="AL116" s="37">
        <v>773.60096153846268</v>
      </c>
      <c r="AM116" s="37">
        <v>0</v>
      </c>
      <c r="AN116" s="37">
        <v>451.79086538461542</v>
      </c>
      <c r="AO116" s="37">
        <v>0</v>
      </c>
      <c r="AP116" s="37">
        <v>654.37259615384619</v>
      </c>
      <c r="AQ116" s="37">
        <v>0</v>
      </c>
      <c r="AR116" s="37">
        <v>1137.4124999999999</v>
      </c>
      <c r="AS116" s="37">
        <v>0</v>
      </c>
      <c r="AT116" s="37">
        <v>1638.5528846153848</v>
      </c>
      <c r="AU116" s="37">
        <v>0</v>
      </c>
      <c r="AV116" s="37">
        <v>1642.5048076923083</v>
      </c>
      <c r="AW116" s="37">
        <v>0</v>
      </c>
      <c r="AX116" s="37">
        <v>1037.3574999999996</v>
      </c>
      <c r="AY116" s="37">
        <v>0</v>
      </c>
    </row>
    <row r="117" spans="2:51">
      <c r="B117">
        <v>10388</v>
      </c>
      <c r="C117" t="s">
        <v>121</v>
      </c>
      <c r="D117" s="37">
        <v>0</v>
      </c>
      <c r="E117" s="37">
        <v>0</v>
      </c>
      <c r="F117" s="37">
        <v>112997.09250000019</v>
      </c>
      <c r="G117" s="37">
        <v>0</v>
      </c>
      <c r="H117" s="37">
        <v>0</v>
      </c>
      <c r="I117" s="37">
        <v>0</v>
      </c>
      <c r="J117" s="37">
        <v>42640.860576923165</v>
      </c>
      <c r="K117" s="37">
        <v>0</v>
      </c>
      <c r="L117" s="37">
        <v>4284.7500000001055</v>
      </c>
      <c r="M117" s="37">
        <v>0</v>
      </c>
      <c r="N117" s="37">
        <v>144372.04086538474</v>
      </c>
      <c r="O117" s="37">
        <v>0</v>
      </c>
      <c r="P117" s="37">
        <v>124047.22596153853</v>
      </c>
      <c r="Q117" s="37">
        <v>0</v>
      </c>
      <c r="R117" s="37">
        <v>41534.661057692399</v>
      </c>
      <c r="S117" s="37">
        <v>0</v>
      </c>
      <c r="T117" s="37">
        <v>0</v>
      </c>
      <c r="U117" s="37">
        <v>0</v>
      </c>
      <c r="V117" s="37">
        <v>0</v>
      </c>
      <c r="W117" s="37">
        <v>0</v>
      </c>
      <c r="X117" s="37">
        <v>126478.91435185197</v>
      </c>
      <c r="Y117" s="37">
        <v>0</v>
      </c>
      <c r="Z117" s="37">
        <v>13455.023437500166</v>
      </c>
      <c r="AA117" s="37">
        <v>0</v>
      </c>
      <c r="AB117" s="37">
        <v>0</v>
      </c>
      <c r="AC117" s="37">
        <v>0</v>
      </c>
      <c r="AD117" s="37">
        <v>151076.46750000009</v>
      </c>
      <c r="AE117" s="37">
        <v>0</v>
      </c>
      <c r="AF117" s="37">
        <v>0</v>
      </c>
      <c r="AG117" s="37">
        <v>0</v>
      </c>
      <c r="AH117" s="37">
        <v>171732.25480769252</v>
      </c>
      <c r="AI117" s="37">
        <v>0</v>
      </c>
      <c r="AJ117" s="37">
        <v>16916.489583333278</v>
      </c>
      <c r="AK117" s="37">
        <v>0</v>
      </c>
      <c r="AL117" s="37">
        <v>100402.47115384627</v>
      </c>
      <c r="AM117" s="37">
        <v>0</v>
      </c>
      <c r="AN117" s="37">
        <v>156440.22596153864</v>
      </c>
      <c r="AO117" s="37">
        <v>0</v>
      </c>
      <c r="AP117" s="37">
        <v>77118.975961538614</v>
      </c>
      <c r="AQ117" s="37">
        <v>0</v>
      </c>
      <c r="AR117" s="37">
        <v>0</v>
      </c>
      <c r="AS117" s="37">
        <v>0</v>
      </c>
      <c r="AT117" s="37">
        <v>0</v>
      </c>
      <c r="AU117" s="37">
        <v>0</v>
      </c>
      <c r="AV117" s="37">
        <v>171280.4326923078</v>
      </c>
      <c r="AW117" s="37">
        <v>0</v>
      </c>
      <c r="AX117" s="37">
        <v>52893.374999999971</v>
      </c>
      <c r="AY117" s="37">
        <v>0</v>
      </c>
    </row>
    <row r="118" spans="2:51">
      <c r="B118">
        <v>10391</v>
      </c>
      <c r="C118" t="s">
        <v>122</v>
      </c>
      <c r="D118" s="37">
        <v>2748.3365384615449</v>
      </c>
      <c r="E118" s="37">
        <v>0</v>
      </c>
      <c r="F118" s="37">
        <v>753.25500000000113</v>
      </c>
      <c r="G118" s="37">
        <v>0</v>
      </c>
      <c r="H118" s="37">
        <v>3131.6675000000077</v>
      </c>
      <c r="I118" s="37">
        <v>0</v>
      </c>
      <c r="J118" s="37">
        <v>5467.7091346153811</v>
      </c>
      <c r="K118" s="37">
        <v>0</v>
      </c>
      <c r="L118" s="37">
        <v>2453.0450000000046</v>
      </c>
      <c r="M118" s="37">
        <v>0</v>
      </c>
      <c r="N118" s="37">
        <v>1141.2379807692296</v>
      </c>
      <c r="O118" s="37">
        <v>0</v>
      </c>
      <c r="P118" s="37">
        <v>1626.6730769230744</v>
      </c>
      <c r="Q118" s="37">
        <v>0</v>
      </c>
      <c r="R118" s="37">
        <v>4446.2355769230808</v>
      </c>
      <c r="S118" s="37">
        <v>0</v>
      </c>
      <c r="T118" s="37">
        <v>1496.6150000000057</v>
      </c>
      <c r="U118" s="37">
        <v>0</v>
      </c>
      <c r="V118" s="37">
        <v>7471.3942307692241</v>
      </c>
      <c r="W118" s="37">
        <v>0</v>
      </c>
      <c r="X118" s="37">
        <v>5840.5277777777746</v>
      </c>
      <c r="Y118" s="37">
        <v>0</v>
      </c>
      <c r="Z118" s="37">
        <v>1149.4322916666597</v>
      </c>
      <c r="AA118" s="37">
        <v>0</v>
      </c>
      <c r="AB118" s="37">
        <v>4463.8888888888896</v>
      </c>
      <c r="AC118" s="37">
        <v>0</v>
      </c>
      <c r="AD118" s="37">
        <v>1020.9574999999998</v>
      </c>
      <c r="AE118" s="37">
        <v>0</v>
      </c>
      <c r="AF118" s="37">
        <v>3381.3250000000057</v>
      </c>
      <c r="AG118" s="37">
        <v>0</v>
      </c>
      <c r="AH118" s="37">
        <v>5739.5673076923104</v>
      </c>
      <c r="AI118" s="37">
        <v>0</v>
      </c>
      <c r="AJ118" s="37">
        <v>1073.1276041666665</v>
      </c>
      <c r="AK118" s="37">
        <v>0</v>
      </c>
      <c r="AL118" s="37">
        <v>1392.9086538461597</v>
      </c>
      <c r="AM118" s="37">
        <v>0</v>
      </c>
      <c r="AN118" s="37">
        <v>1885.656249999995</v>
      </c>
      <c r="AO118" s="37">
        <v>0</v>
      </c>
      <c r="AP118" s="37">
        <v>4706.211538461539</v>
      </c>
      <c r="AQ118" s="37">
        <v>0</v>
      </c>
      <c r="AR118" s="37">
        <v>1733.8000000000022</v>
      </c>
      <c r="AS118" s="37">
        <v>0</v>
      </c>
      <c r="AT118" s="37">
        <v>7735.074519230775</v>
      </c>
      <c r="AU118" s="37">
        <v>0</v>
      </c>
      <c r="AV118" s="37">
        <v>3963.1225961538466</v>
      </c>
      <c r="AW118" s="37">
        <v>0</v>
      </c>
      <c r="AX118" s="37">
        <v>3139.2425000000053</v>
      </c>
      <c r="AY118" s="37">
        <v>0</v>
      </c>
    </row>
    <row r="119" spans="2:51">
      <c r="B119">
        <v>10406</v>
      </c>
      <c r="C119" t="s">
        <v>123</v>
      </c>
      <c r="D119" s="37">
        <v>73.370192307692236</v>
      </c>
      <c r="E119" s="37">
        <v>0</v>
      </c>
      <c r="F119" s="37">
        <v>169.60250000000005</v>
      </c>
      <c r="G119" s="37">
        <v>0</v>
      </c>
      <c r="H119" s="37">
        <v>0</v>
      </c>
      <c r="I119" s="37">
        <v>0</v>
      </c>
      <c r="J119" s="37">
        <v>117.93269230769241</v>
      </c>
      <c r="K119" s="37">
        <v>0</v>
      </c>
      <c r="L119" s="37">
        <v>110.74000000000007</v>
      </c>
      <c r="M119" s="37">
        <v>0</v>
      </c>
      <c r="N119" s="37">
        <v>164.36778846153848</v>
      </c>
      <c r="O119" s="37">
        <v>0</v>
      </c>
      <c r="P119" s="37">
        <v>84.499999999999957</v>
      </c>
      <c r="Q119" s="37">
        <v>0</v>
      </c>
      <c r="R119" s="37">
        <v>72.310096153846089</v>
      </c>
      <c r="S119" s="37">
        <v>0</v>
      </c>
      <c r="T119" s="37">
        <v>40.277499999999968</v>
      </c>
      <c r="U119" s="37">
        <v>0</v>
      </c>
      <c r="V119" s="37">
        <v>0</v>
      </c>
      <c r="W119" s="37">
        <v>0</v>
      </c>
      <c r="X119" s="37">
        <v>8.1203703703703063</v>
      </c>
      <c r="Y119" s="37">
        <v>0</v>
      </c>
      <c r="Z119" s="37">
        <v>0</v>
      </c>
      <c r="AA119" s="37">
        <v>0</v>
      </c>
      <c r="AB119" s="37">
        <v>113.12499999999989</v>
      </c>
      <c r="AC119" s="37">
        <v>0</v>
      </c>
      <c r="AD119" s="37">
        <v>179.62250000000009</v>
      </c>
      <c r="AE119" s="37">
        <v>0</v>
      </c>
      <c r="AF119" s="37">
        <v>0</v>
      </c>
      <c r="AG119" s="37">
        <v>0</v>
      </c>
      <c r="AH119" s="37">
        <v>169.69711538461539</v>
      </c>
      <c r="AI119" s="37">
        <v>0</v>
      </c>
      <c r="AJ119" s="37">
        <v>77.984374999999886</v>
      </c>
      <c r="AK119" s="37">
        <v>0</v>
      </c>
      <c r="AL119" s="37">
        <v>139.65144230769238</v>
      </c>
      <c r="AM119" s="37">
        <v>0</v>
      </c>
      <c r="AN119" s="37">
        <v>91.10336538461533</v>
      </c>
      <c r="AO119" s="37">
        <v>0</v>
      </c>
      <c r="AP119" s="37">
        <v>78.382211538461476</v>
      </c>
      <c r="AQ119" s="37">
        <v>0</v>
      </c>
      <c r="AR119" s="37">
        <v>43.750000000000064</v>
      </c>
      <c r="AS119" s="37">
        <v>0</v>
      </c>
      <c r="AT119" s="37">
        <v>0</v>
      </c>
      <c r="AU119" s="37">
        <v>0</v>
      </c>
      <c r="AV119" s="37">
        <v>0</v>
      </c>
      <c r="AW119" s="37">
        <v>0</v>
      </c>
      <c r="AX119" s="37">
        <v>0</v>
      </c>
      <c r="AY119" s="37">
        <v>0</v>
      </c>
    </row>
    <row r="120" spans="2:51">
      <c r="B120">
        <v>10408</v>
      </c>
      <c r="C120" t="s">
        <v>124</v>
      </c>
      <c r="D120" s="37">
        <v>122.27884615384585</v>
      </c>
      <c r="E120" s="37">
        <v>0</v>
      </c>
      <c r="F120" s="37">
        <v>352.81249999999977</v>
      </c>
      <c r="G120" s="37">
        <v>0</v>
      </c>
      <c r="H120" s="37">
        <v>182.38499999999976</v>
      </c>
      <c r="I120" s="37">
        <v>0</v>
      </c>
      <c r="J120" s="37">
        <v>262.68749999999994</v>
      </c>
      <c r="K120" s="37">
        <v>0</v>
      </c>
      <c r="L120" s="37">
        <v>435.18749999999977</v>
      </c>
      <c r="M120" s="37">
        <v>0</v>
      </c>
      <c r="N120" s="37">
        <v>371.28365384615381</v>
      </c>
      <c r="O120" s="37">
        <v>0</v>
      </c>
      <c r="P120" s="37">
        <v>236.6418269230771</v>
      </c>
      <c r="Q120" s="37">
        <v>0</v>
      </c>
      <c r="R120" s="37">
        <v>356.13221153846143</v>
      </c>
      <c r="S120" s="37">
        <v>0</v>
      </c>
      <c r="T120" s="37">
        <v>250.00749999999977</v>
      </c>
      <c r="U120" s="37">
        <v>0</v>
      </c>
      <c r="V120" s="37">
        <v>230.7091346153845</v>
      </c>
      <c r="W120" s="37">
        <v>0</v>
      </c>
      <c r="X120" s="37">
        <v>453.42361111111103</v>
      </c>
      <c r="Y120" s="37">
        <v>0</v>
      </c>
      <c r="Z120" s="37">
        <v>207.68750000000003</v>
      </c>
      <c r="AA120" s="37">
        <v>0</v>
      </c>
      <c r="AB120" s="37">
        <v>194.15740740740713</v>
      </c>
      <c r="AC120" s="37">
        <v>0</v>
      </c>
      <c r="AD120" s="37">
        <v>352.81249999999977</v>
      </c>
      <c r="AE120" s="37">
        <v>0</v>
      </c>
      <c r="AF120" s="37">
        <v>182.38499999999976</v>
      </c>
      <c r="AG120" s="37">
        <v>0</v>
      </c>
      <c r="AH120" s="37">
        <v>356.20913461538481</v>
      </c>
      <c r="AI120" s="37">
        <v>0</v>
      </c>
      <c r="AJ120" s="37">
        <v>356.40364583333303</v>
      </c>
      <c r="AK120" s="37">
        <v>0</v>
      </c>
      <c r="AL120" s="37">
        <v>283.9663461538463</v>
      </c>
      <c r="AM120" s="37">
        <v>0</v>
      </c>
      <c r="AN120" s="37">
        <v>236.6418269230771</v>
      </c>
      <c r="AO120" s="37">
        <v>0</v>
      </c>
      <c r="AP120" s="37">
        <v>356.13221153846143</v>
      </c>
      <c r="AQ120" s="37">
        <v>0</v>
      </c>
      <c r="AR120" s="37">
        <v>250.00749999999977</v>
      </c>
      <c r="AS120" s="37">
        <v>0</v>
      </c>
      <c r="AT120" s="37">
        <v>230.7091346153845</v>
      </c>
      <c r="AU120" s="37">
        <v>0</v>
      </c>
      <c r="AV120" s="37">
        <v>395.82451923076928</v>
      </c>
      <c r="AW120" s="37">
        <v>0</v>
      </c>
      <c r="AX120" s="37">
        <v>252.90000000000012</v>
      </c>
      <c r="AY120" s="37">
        <v>0</v>
      </c>
    </row>
    <row r="121" spans="2:51">
      <c r="B121">
        <v>10409</v>
      </c>
      <c r="C121" t="s">
        <v>125</v>
      </c>
      <c r="D121" s="37">
        <v>5256.8918269230753</v>
      </c>
      <c r="E121" s="37">
        <v>0</v>
      </c>
      <c r="F121" s="37">
        <v>5708.4899999999971</v>
      </c>
      <c r="G121" s="37">
        <v>0</v>
      </c>
      <c r="H121" s="37">
        <v>5487.9475000000039</v>
      </c>
      <c r="I121" s="37">
        <v>0</v>
      </c>
      <c r="J121" s="37">
        <v>6995.3677884615427</v>
      </c>
      <c r="K121" s="37">
        <v>0</v>
      </c>
      <c r="L121" s="37">
        <v>8589.4674999999934</v>
      </c>
      <c r="M121" s="37">
        <v>0</v>
      </c>
      <c r="N121" s="37">
        <v>6295.5769230769238</v>
      </c>
      <c r="O121" s="37">
        <v>0</v>
      </c>
      <c r="P121" s="37">
        <v>5659.6586538461543</v>
      </c>
      <c r="Q121" s="37">
        <v>0</v>
      </c>
      <c r="R121" s="37">
        <v>6224.4855769230799</v>
      </c>
      <c r="S121" s="37">
        <v>0</v>
      </c>
      <c r="T121" s="37">
        <v>5802.8775000000032</v>
      </c>
      <c r="U121" s="37">
        <v>0</v>
      </c>
      <c r="V121" s="37">
        <v>6148.4951923076887</v>
      </c>
      <c r="W121" s="37">
        <v>0</v>
      </c>
      <c r="X121" s="37">
        <v>7257.1041666666633</v>
      </c>
      <c r="Y121" s="37">
        <v>0</v>
      </c>
      <c r="Z121" s="37">
        <v>4518.5703125000045</v>
      </c>
      <c r="AA121" s="37">
        <v>0</v>
      </c>
      <c r="AB121" s="37">
        <v>6301.82175925926</v>
      </c>
      <c r="AC121" s="37">
        <v>0</v>
      </c>
      <c r="AD121" s="37">
        <v>5708.4899999999971</v>
      </c>
      <c r="AE121" s="37">
        <v>0</v>
      </c>
      <c r="AF121" s="37">
        <v>5487.9475000000039</v>
      </c>
      <c r="AG121" s="37">
        <v>0</v>
      </c>
      <c r="AH121" s="37">
        <v>7839.7668269230717</v>
      </c>
      <c r="AI121" s="37">
        <v>0</v>
      </c>
      <c r="AJ121" s="37">
        <v>7414.1536458333267</v>
      </c>
      <c r="AK121" s="37">
        <v>0</v>
      </c>
      <c r="AL121" s="37">
        <v>5553.3870192307631</v>
      </c>
      <c r="AM121" s="37">
        <v>0</v>
      </c>
      <c r="AN121" s="37">
        <v>5659.6586538461543</v>
      </c>
      <c r="AO121" s="37">
        <v>0</v>
      </c>
      <c r="AP121" s="37">
        <v>6224.4855769230799</v>
      </c>
      <c r="AQ121" s="37">
        <v>0</v>
      </c>
      <c r="AR121" s="37">
        <v>5802.8775000000032</v>
      </c>
      <c r="AS121" s="37">
        <v>0</v>
      </c>
      <c r="AT121" s="37">
        <v>6148.4951923076887</v>
      </c>
      <c r="AU121" s="37">
        <v>0</v>
      </c>
      <c r="AV121" s="37">
        <v>6291.5697115384528</v>
      </c>
      <c r="AW121" s="37">
        <v>0</v>
      </c>
      <c r="AX121" s="37">
        <v>5589.1075000000028</v>
      </c>
      <c r="AY121" s="37">
        <v>0</v>
      </c>
    </row>
    <row r="122" spans="2:51">
      <c r="B122">
        <v>10426</v>
      </c>
      <c r="C122" t="s">
        <v>126</v>
      </c>
      <c r="D122" s="37">
        <v>2259.1658653846175</v>
      </c>
      <c r="E122" s="37">
        <v>0</v>
      </c>
      <c r="F122" s="37">
        <v>0</v>
      </c>
      <c r="G122" s="37">
        <v>0</v>
      </c>
      <c r="H122" s="37">
        <v>741.26250000000482</v>
      </c>
      <c r="I122" s="37">
        <v>0</v>
      </c>
      <c r="J122" s="37">
        <v>5925.8004807692378</v>
      </c>
      <c r="K122" s="37">
        <v>0</v>
      </c>
      <c r="L122" s="37">
        <v>2357.9500000000007</v>
      </c>
      <c r="M122" s="37">
        <v>0</v>
      </c>
      <c r="N122" s="37">
        <v>3533.6009615384664</v>
      </c>
      <c r="O122" s="37">
        <v>0</v>
      </c>
      <c r="P122" s="37">
        <v>5683.026442307696</v>
      </c>
      <c r="Q122" s="37">
        <v>0</v>
      </c>
      <c r="R122" s="37">
        <v>0</v>
      </c>
      <c r="S122" s="37">
        <v>0</v>
      </c>
      <c r="T122" s="37">
        <v>0</v>
      </c>
      <c r="U122" s="37">
        <v>0</v>
      </c>
      <c r="V122" s="37">
        <v>0</v>
      </c>
      <c r="W122" s="37">
        <v>0</v>
      </c>
      <c r="X122" s="37">
        <v>323.22222222222007</v>
      </c>
      <c r="Y122" s="37">
        <v>0</v>
      </c>
      <c r="Z122" s="37">
        <v>1800.7682291666688</v>
      </c>
      <c r="AA122" s="37">
        <v>0</v>
      </c>
      <c r="AB122" s="37">
        <v>3049.6365740740721</v>
      </c>
      <c r="AC122" s="37">
        <v>0</v>
      </c>
      <c r="AD122" s="37">
        <v>0</v>
      </c>
      <c r="AE122" s="37">
        <v>0</v>
      </c>
      <c r="AF122" s="37">
        <v>0</v>
      </c>
      <c r="AG122" s="37">
        <v>0</v>
      </c>
      <c r="AH122" s="37">
        <v>5126.2187499999973</v>
      </c>
      <c r="AI122" s="37">
        <v>0</v>
      </c>
      <c r="AJ122" s="37">
        <v>0</v>
      </c>
      <c r="AK122" s="37">
        <v>0</v>
      </c>
      <c r="AL122" s="37">
        <v>2868.3942307692314</v>
      </c>
      <c r="AM122" s="37">
        <v>0</v>
      </c>
      <c r="AN122" s="37">
        <v>5291.8293269230753</v>
      </c>
      <c r="AO122" s="37">
        <v>0</v>
      </c>
      <c r="AP122" s="37">
        <v>0</v>
      </c>
      <c r="AQ122" s="37">
        <v>0</v>
      </c>
      <c r="AR122" s="37">
        <v>0</v>
      </c>
      <c r="AS122" s="37">
        <v>0</v>
      </c>
      <c r="AT122" s="37">
        <v>0</v>
      </c>
      <c r="AU122" s="37">
        <v>0</v>
      </c>
      <c r="AV122" s="37">
        <v>0</v>
      </c>
      <c r="AW122" s="37">
        <v>0</v>
      </c>
      <c r="AX122" s="37">
        <v>2619.0600000000022</v>
      </c>
      <c r="AY122" s="37">
        <v>0</v>
      </c>
    </row>
    <row r="123" spans="2:51">
      <c r="B123">
        <v>10434</v>
      </c>
      <c r="C123" t="s">
        <v>127</v>
      </c>
      <c r="D123" s="37">
        <v>2015.7331730769235</v>
      </c>
      <c r="E123" s="37">
        <v>0</v>
      </c>
      <c r="F123" s="37">
        <v>3307.7375000000002</v>
      </c>
      <c r="G123" s="37">
        <v>0</v>
      </c>
      <c r="H123" s="37">
        <v>4405.5625</v>
      </c>
      <c r="I123" s="37">
        <v>0</v>
      </c>
      <c r="J123" s="37">
        <v>11678.281249999998</v>
      </c>
      <c r="K123" s="37">
        <v>0</v>
      </c>
      <c r="L123" s="37">
        <v>5643.8150000000014</v>
      </c>
      <c r="M123" s="37">
        <v>0</v>
      </c>
      <c r="N123" s="37">
        <v>3570.8437500000059</v>
      </c>
      <c r="O123" s="37">
        <v>0</v>
      </c>
      <c r="P123" s="37">
        <v>6323.4615384615345</v>
      </c>
      <c r="Q123" s="37">
        <v>0</v>
      </c>
      <c r="R123" s="37">
        <v>8572.9230769230744</v>
      </c>
      <c r="S123" s="37">
        <v>0</v>
      </c>
      <c r="T123" s="37">
        <v>10797.252499999999</v>
      </c>
      <c r="U123" s="37">
        <v>0</v>
      </c>
      <c r="V123" s="37">
        <v>13318.853365384619</v>
      </c>
      <c r="W123" s="37">
        <v>0</v>
      </c>
      <c r="X123" s="37">
        <v>18007.759259259259</v>
      </c>
      <c r="Y123" s="37">
        <v>0</v>
      </c>
      <c r="Z123" s="37">
        <v>11030.294270833338</v>
      </c>
      <c r="AA123" s="37">
        <v>0</v>
      </c>
      <c r="AB123" s="37">
        <v>3600.3287037037016</v>
      </c>
      <c r="AC123" s="37">
        <v>0</v>
      </c>
      <c r="AD123" s="37">
        <v>3851.3450000000003</v>
      </c>
      <c r="AE123" s="37">
        <v>0</v>
      </c>
      <c r="AF123" s="37">
        <v>4924.0524999999934</v>
      </c>
      <c r="AG123" s="37">
        <v>0</v>
      </c>
      <c r="AH123" s="37">
        <v>12281.259615384613</v>
      </c>
      <c r="AI123" s="37">
        <v>0</v>
      </c>
      <c r="AJ123" s="37">
        <v>4728.7526041666633</v>
      </c>
      <c r="AK123" s="37">
        <v>0</v>
      </c>
      <c r="AL123" s="37">
        <v>4094.0336538461584</v>
      </c>
      <c r="AM123" s="37">
        <v>0</v>
      </c>
      <c r="AN123" s="37">
        <v>6763.8894230769238</v>
      </c>
      <c r="AO123" s="37">
        <v>0</v>
      </c>
      <c r="AP123" s="37">
        <v>9012.7668269230799</v>
      </c>
      <c r="AQ123" s="37">
        <v>0</v>
      </c>
      <c r="AR123" s="37">
        <v>11233.197500000002</v>
      </c>
      <c r="AS123" s="37">
        <v>0</v>
      </c>
      <c r="AT123" s="37">
        <v>13757.447115384615</v>
      </c>
      <c r="AU123" s="37">
        <v>0</v>
      </c>
      <c r="AV123" s="37">
        <v>17225.432692307691</v>
      </c>
      <c r="AW123" s="37">
        <v>0</v>
      </c>
      <c r="AX123" s="37">
        <v>12572.677500000002</v>
      </c>
      <c r="AY123" s="37">
        <v>0</v>
      </c>
    </row>
    <row r="124" spans="2:51">
      <c r="B124">
        <v>10436</v>
      </c>
      <c r="C124" t="s">
        <v>128</v>
      </c>
      <c r="D124" s="37">
        <v>5299.9519230769229</v>
      </c>
      <c r="E124" s="37">
        <v>0</v>
      </c>
      <c r="F124" s="37">
        <v>5204.4850000000006</v>
      </c>
      <c r="G124" s="37">
        <v>0</v>
      </c>
      <c r="H124" s="37">
        <v>3608.9700000000003</v>
      </c>
      <c r="I124" s="37">
        <v>0</v>
      </c>
      <c r="J124" s="37">
        <v>5870.2908653846162</v>
      </c>
      <c r="K124" s="37">
        <v>0</v>
      </c>
      <c r="L124" s="37">
        <v>6097.3825000000015</v>
      </c>
      <c r="M124" s="37">
        <v>0</v>
      </c>
      <c r="N124" s="37">
        <v>5020.3653846153802</v>
      </c>
      <c r="O124" s="37">
        <v>0</v>
      </c>
      <c r="P124" s="37">
        <v>7560.4687500000009</v>
      </c>
      <c r="Q124" s="37">
        <v>0</v>
      </c>
      <c r="R124" s="37">
        <v>4145.6322115384619</v>
      </c>
      <c r="S124" s="37">
        <v>0</v>
      </c>
      <c r="T124" s="37">
        <v>4603.1424999999945</v>
      </c>
      <c r="U124" s="37">
        <v>0</v>
      </c>
      <c r="V124" s="37">
        <v>7657.6009615384583</v>
      </c>
      <c r="W124" s="37">
        <v>0</v>
      </c>
      <c r="X124" s="37">
        <v>6221.4699074074124</v>
      </c>
      <c r="Y124" s="37">
        <v>0</v>
      </c>
      <c r="Z124" s="37">
        <v>5299.2421875000045</v>
      </c>
      <c r="AA124" s="37">
        <v>0</v>
      </c>
      <c r="AB124" s="37">
        <v>6751.7083333333303</v>
      </c>
      <c r="AC124" s="37">
        <v>0</v>
      </c>
      <c r="AD124" s="37">
        <v>5904.9575000000013</v>
      </c>
      <c r="AE124" s="37">
        <v>0</v>
      </c>
      <c r="AF124" s="37">
        <v>4287.66</v>
      </c>
      <c r="AG124" s="37">
        <v>0</v>
      </c>
      <c r="AH124" s="37">
        <v>6570.2788461538457</v>
      </c>
      <c r="AI124" s="37">
        <v>0</v>
      </c>
      <c r="AJ124" s="37">
        <v>5830.2447916666688</v>
      </c>
      <c r="AK124" s="37">
        <v>0</v>
      </c>
      <c r="AL124" s="37">
        <v>5253.3125000000027</v>
      </c>
      <c r="AM124" s="37">
        <v>0</v>
      </c>
      <c r="AN124" s="37">
        <v>7651.9783653846134</v>
      </c>
      <c r="AO124" s="37">
        <v>0</v>
      </c>
      <c r="AP124" s="37">
        <v>3979.8365384615372</v>
      </c>
      <c r="AQ124" s="37">
        <v>0</v>
      </c>
      <c r="AR124" s="37">
        <v>4731.5050000000028</v>
      </c>
      <c r="AS124" s="37">
        <v>0</v>
      </c>
      <c r="AT124" s="37">
        <v>7805.6874999999991</v>
      </c>
      <c r="AU124" s="37">
        <v>0</v>
      </c>
      <c r="AV124" s="37">
        <v>5140.7716346153811</v>
      </c>
      <c r="AW124" s="37">
        <v>0</v>
      </c>
      <c r="AX124" s="37">
        <v>6142.6450000000032</v>
      </c>
      <c r="AY124" s="37">
        <v>0</v>
      </c>
    </row>
    <row r="125" spans="2:51">
      <c r="B125">
        <v>10440</v>
      </c>
      <c r="C125" t="s">
        <v>129</v>
      </c>
      <c r="D125" s="37">
        <v>582.75480769230774</v>
      </c>
      <c r="E125" s="37">
        <v>0</v>
      </c>
      <c r="F125" s="37">
        <v>1241.8524999999997</v>
      </c>
      <c r="G125" s="37">
        <v>0</v>
      </c>
      <c r="H125" s="37">
        <v>1074.1249999999995</v>
      </c>
      <c r="I125" s="37">
        <v>0</v>
      </c>
      <c r="J125" s="37">
        <v>2489.0841346153848</v>
      </c>
      <c r="K125" s="37">
        <v>0</v>
      </c>
      <c r="L125" s="37">
        <v>2755.1749999999988</v>
      </c>
      <c r="M125" s="37">
        <v>0</v>
      </c>
      <c r="N125" s="37">
        <v>1296.276442307691</v>
      </c>
      <c r="O125" s="37">
        <v>0</v>
      </c>
      <c r="P125" s="37">
        <v>1520.322115384615</v>
      </c>
      <c r="Q125" s="37">
        <v>0</v>
      </c>
      <c r="R125" s="37">
        <v>1215.4879807692307</v>
      </c>
      <c r="S125" s="37">
        <v>0</v>
      </c>
      <c r="T125" s="37">
        <v>419.32250000000028</v>
      </c>
      <c r="U125" s="37">
        <v>0</v>
      </c>
      <c r="V125" s="37">
        <v>1317.7692307692305</v>
      </c>
      <c r="W125" s="37">
        <v>0</v>
      </c>
      <c r="X125" s="37">
        <v>2080.770833333333</v>
      </c>
      <c r="Y125" s="37">
        <v>0</v>
      </c>
      <c r="Z125" s="37">
        <v>0</v>
      </c>
      <c r="AA125" s="37">
        <v>0</v>
      </c>
      <c r="AB125" s="37">
        <v>757.2152777777776</v>
      </c>
      <c r="AC125" s="37">
        <v>0</v>
      </c>
      <c r="AD125" s="37">
        <v>1222.3849999999995</v>
      </c>
      <c r="AE125" s="37">
        <v>0</v>
      </c>
      <c r="AF125" s="37">
        <v>1074.1249999999995</v>
      </c>
      <c r="AG125" s="37">
        <v>0</v>
      </c>
      <c r="AH125" s="37">
        <v>2465.2235576923081</v>
      </c>
      <c r="AI125" s="37">
        <v>0</v>
      </c>
      <c r="AJ125" s="37">
        <v>2418.3072916666661</v>
      </c>
      <c r="AK125" s="37">
        <v>0</v>
      </c>
      <c r="AL125" s="37">
        <v>1296.276442307691</v>
      </c>
      <c r="AM125" s="37">
        <v>0</v>
      </c>
      <c r="AN125" s="37">
        <v>1503.1586538461522</v>
      </c>
      <c r="AO125" s="37">
        <v>0</v>
      </c>
      <c r="AP125" s="37">
        <v>1202.5552884615386</v>
      </c>
      <c r="AQ125" s="37">
        <v>0</v>
      </c>
      <c r="AR125" s="37">
        <v>406.5949999999998</v>
      </c>
      <c r="AS125" s="37">
        <v>0</v>
      </c>
      <c r="AT125" s="37">
        <v>1306.1322115384617</v>
      </c>
      <c r="AU125" s="37">
        <v>0</v>
      </c>
      <c r="AV125" s="37">
        <v>1914.8653846153845</v>
      </c>
      <c r="AW125" s="37">
        <v>0</v>
      </c>
      <c r="AX125" s="37">
        <v>136.97249999999994</v>
      </c>
      <c r="AY125" s="37">
        <v>0</v>
      </c>
    </row>
    <row r="126" spans="2:51">
      <c r="B126">
        <v>10442</v>
      </c>
      <c r="C126" t="s">
        <v>130</v>
      </c>
      <c r="D126" s="37">
        <v>7030.2644230769238</v>
      </c>
      <c r="E126" s="37">
        <v>0</v>
      </c>
      <c r="F126" s="37">
        <v>4069.0225000000028</v>
      </c>
      <c r="G126" s="37">
        <v>0</v>
      </c>
      <c r="H126" s="37">
        <v>3074.9450000000006</v>
      </c>
      <c r="I126" s="37">
        <v>0</v>
      </c>
      <c r="J126" s="37">
        <v>2831.8100961538457</v>
      </c>
      <c r="K126" s="37">
        <v>0</v>
      </c>
      <c r="L126" s="37">
        <v>6226.8525</v>
      </c>
      <c r="M126" s="37">
        <v>0</v>
      </c>
      <c r="N126" s="37">
        <v>3118.9543269230739</v>
      </c>
      <c r="O126" s="37">
        <v>0</v>
      </c>
      <c r="P126" s="37">
        <v>2643.2740384615363</v>
      </c>
      <c r="Q126" s="37">
        <v>0</v>
      </c>
      <c r="R126" s="37">
        <v>3490.7187500000014</v>
      </c>
      <c r="S126" s="37">
        <v>0</v>
      </c>
      <c r="T126" s="37">
        <v>2654.3375000000005</v>
      </c>
      <c r="U126" s="37">
        <v>0</v>
      </c>
      <c r="V126" s="37">
        <v>2690.4350961538471</v>
      </c>
      <c r="W126" s="37">
        <v>0</v>
      </c>
      <c r="X126" s="37">
        <v>3289.6087962962956</v>
      </c>
      <c r="Y126" s="37">
        <v>0</v>
      </c>
      <c r="Z126" s="37">
        <v>5718.9036458333348</v>
      </c>
      <c r="AA126" s="37">
        <v>0</v>
      </c>
      <c r="AB126" s="37">
        <v>7445.238425925927</v>
      </c>
      <c r="AC126" s="37">
        <v>0</v>
      </c>
      <c r="AD126" s="37">
        <v>4078.8175000000015</v>
      </c>
      <c r="AE126" s="37">
        <v>0</v>
      </c>
      <c r="AF126" s="37">
        <v>3081.4674999999997</v>
      </c>
      <c r="AG126" s="37">
        <v>0</v>
      </c>
      <c r="AH126" s="37">
        <v>3530.0865384615381</v>
      </c>
      <c r="AI126" s="37">
        <v>0</v>
      </c>
      <c r="AJ126" s="37">
        <v>5651.4661458333321</v>
      </c>
      <c r="AK126" s="37">
        <v>0</v>
      </c>
      <c r="AL126" s="37">
        <v>2589.3341346153829</v>
      </c>
      <c r="AM126" s="37">
        <v>0</v>
      </c>
      <c r="AN126" s="37">
        <v>2650.4206730769242</v>
      </c>
      <c r="AO126" s="37">
        <v>0</v>
      </c>
      <c r="AP126" s="37">
        <v>3496.8581730769251</v>
      </c>
      <c r="AQ126" s="37">
        <v>0</v>
      </c>
      <c r="AR126" s="37">
        <v>2659.9175000000005</v>
      </c>
      <c r="AS126" s="37">
        <v>0</v>
      </c>
      <c r="AT126" s="37">
        <v>2696.4495192307704</v>
      </c>
      <c r="AU126" s="37">
        <v>0</v>
      </c>
      <c r="AV126" s="37">
        <v>2710.4927884615377</v>
      </c>
      <c r="AW126" s="37">
        <v>0</v>
      </c>
      <c r="AX126" s="37">
        <v>6236.2449999999999</v>
      </c>
      <c r="AY126" s="37">
        <v>0</v>
      </c>
    </row>
    <row r="127" spans="2:51">
      <c r="B127">
        <v>10446</v>
      </c>
      <c r="C127" t="s">
        <v>131</v>
      </c>
      <c r="D127" s="37">
        <v>6828.6754807692378</v>
      </c>
      <c r="E127" s="37">
        <v>0</v>
      </c>
      <c r="F127" s="37">
        <v>14210.52000000001</v>
      </c>
      <c r="G127" s="37">
        <v>0</v>
      </c>
      <c r="H127" s="37">
        <v>10876.097499999991</v>
      </c>
      <c r="I127" s="37">
        <v>0</v>
      </c>
      <c r="J127" s="37">
        <v>14050.411057692301</v>
      </c>
      <c r="K127" s="37">
        <v>0</v>
      </c>
      <c r="L127" s="37">
        <v>18819.019999999997</v>
      </c>
      <c r="M127" s="37">
        <v>0</v>
      </c>
      <c r="N127" s="37">
        <v>16191.853365384617</v>
      </c>
      <c r="O127" s="37">
        <v>0</v>
      </c>
      <c r="P127" s="37">
        <v>8950.5793269230671</v>
      </c>
      <c r="Q127" s="37">
        <v>0</v>
      </c>
      <c r="R127" s="37">
        <v>0</v>
      </c>
      <c r="S127" s="37">
        <v>0</v>
      </c>
      <c r="T127" s="37">
        <v>3393.517499999999</v>
      </c>
      <c r="U127" s="37">
        <v>0</v>
      </c>
      <c r="V127" s="37">
        <v>18086.925480769223</v>
      </c>
      <c r="W127" s="37">
        <v>0</v>
      </c>
      <c r="X127" s="37">
        <v>16744.877314814814</v>
      </c>
      <c r="Y127" s="37">
        <v>0</v>
      </c>
      <c r="Z127" s="37">
        <v>4759.8750000000055</v>
      </c>
      <c r="AA127" s="37">
        <v>0</v>
      </c>
      <c r="AB127" s="37">
        <v>10235.91898148148</v>
      </c>
      <c r="AC127" s="37">
        <v>0</v>
      </c>
      <c r="AD127" s="37">
        <v>14236.457500000008</v>
      </c>
      <c r="AE127" s="37">
        <v>0</v>
      </c>
      <c r="AF127" s="37">
        <v>10954.77250000001</v>
      </c>
      <c r="AG127" s="37">
        <v>0</v>
      </c>
      <c r="AH127" s="37">
        <v>18188.932692307688</v>
      </c>
      <c r="AI127" s="37">
        <v>0</v>
      </c>
      <c r="AJ127" s="37">
        <v>15520.036458333327</v>
      </c>
      <c r="AK127" s="37">
        <v>0</v>
      </c>
      <c r="AL127" s="37">
        <v>13384.98317307692</v>
      </c>
      <c r="AM127" s="37">
        <v>0</v>
      </c>
      <c r="AN127" s="37">
        <v>12077.858173076924</v>
      </c>
      <c r="AO127" s="37">
        <v>0</v>
      </c>
      <c r="AP127" s="37">
        <v>0</v>
      </c>
      <c r="AQ127" s="37">
        <v>0</v>
      </c>
      <c r="AR127" s="37">
        <v>3446.6300000000106</v>
      </c>
      <c r="AS127" s="37">
        <v>0</v>
      </c>
      <c r="AT127" s="37">
        <v>18754.53125</v>
      </c>
      <c r="AU127" s="37">
        <v>0</v>
      </c>
      <c r="AV127" s="37">
        <v>13547.939903846156</v>
      </c>
      <c r="AW127" s="37">
        <v>0</v>
      </c>
      <c r="AX127" s="37">
        <v>8854.3525000000172</v>
      </c>
      <c r="AY127" s="37">
        <v>0</v>
      </c>
    </row>
    <row r="128" spans="2:51">
      <c r="B128">
        <v>10448</v>
      </c>
      <c r="C128" t="s">
        <v>132</v>
      </c>
      <c r="D128" s="37">
        <v>0</v>
      </c>
      <c r="E128" s="37">
        <v>0</v>
      </c>
      <c r="F128" s="37">
        <v>0</v>
      </c>
      <c r="G128" s="37">
        <v>0</v>
      </c>
      <c r="H128" s="37">
        <v>0</v>
      </c>
      <c r="I128" s="37">
        <v>0</v>
      </c>
      <c r="J128" s="37">
        <v>0</v>
      </c>
      <c r="K128" s="37">
        <v>0</v>
      </c>
      <c r="L128" s="37">
        <v>0</v>
      </c>
      <c r="M128" s="37">
        <v>0</v>
      </c>
      <c r="N128" s="37">
        <v>0</v>
      </c>
      <c r="O128" s="37">
        <v>0</v>
      </c>
      <c r="P128" s="37">
        <v>0</v>
      </c>
      <c r="Q128" s="37">
        <v>0</v>
      </c>
      <c r="R128" s="37">
        <v>0</v>
      </c>
      <c r="S128" s="37">
        <v>0</v>
      </c>
      <c r="T128" s="37">
        <v>0</v>
      </c>
      <c r="U128" s="37">
        <v>0</v>
      </c>
      <c r="V128" s="37">
        <v>0</v>
      </c>
      <c r="W128" s="37">
        <v>0</v>
      </c>
      <c r="X128" s="37">
        <v>0</v>
      </c>
      <c r="Y128" s="37">
        <v>0</v>
      </c>
      <c r="Z128" s="37">
        <v>0</v>
      </c>
      <c r="AA128" s="37">
        <v>0</v>
      </c>
      <c r="AB128" s="37">
        <v>0</v>
      </c>
      <c r="AC128" s="37">
        <v>0</v>
      </c>
      <c r="AD128" s="37">
        <v>0</v>
      </c>
      <c r="AE128" s="37">
        <v>0</v>
      </c>
      <c r="AF128" s="37">
        <v>0</v>
      </c>
      <c r="AG128" s="37">
        <v>0</v>
      </c>
      <c r="AH128" s="37">
        <v>0</v>
      </c>
      <c r="AI128" s="37">
        <v>0</v>
      </c>
      <c r="AJ128" s="37">
        <v>0</v>
      </c>
      <c r="AK128" s="37">
        <v>0</v>
      </c>
      <c r="AL128" s="37">
        <v>0</v>
      </c>
      <c r="AM128" s="37">
        <v>0</v>
      </c>
      <c r="AN128" s="37">
        <v>0</v>
      </c>
      <c r="AO128" s="37">
        <v>0</v>
      </c>
      <c r="AP128" s="37">
        <v>0</v>
      </c>
      <c r="AQ128" s="37">
        <v>0</v>
      </c>
      <c r="AR128" s="37">
        <v>0</v>
      </c>
      <c r="AS128" s="37">
        <v>0</v>
      </c>
      <c r="AT128" s="37">
        <v>0</v>
      </c>
      <c r="AU128" s="37">
        <v>0</v>
      </c>
      <c r="AV128" s="37">
        <v>0</v>
      </c>
      <c r="AW128" s="37">
        <v>0</v>
      </c>
      <c r="AX128" s="37">
        <v>0</v>
      </c>
      <c r="AY128" s="37">
        <v>0</v>
      </c>
    </row>
    <row r="129" spans="2:51">
      <c r="B129">
        <v>10451</v>
      </c>
      <c r="C129" t="s">
        <v>133</v>
      </c>
      <c r="D129" s="37">
        <v>1457.1442307692309</v>
      </c>
      <c r="E129" s="37">
        <v>0</v>
      </c>
      <c r="F129" s="37">
        <v>3450.4975000000045</v>
      </c>
      <c r="G129" s="37">
        <v>0</v>
      </c>
      <c r="H129" s="37">
        <v>989.90249999999946</v>
      </c>
      <c r="I129" s="37">
        <v>0</v>
      </c>
      <c r="J129" s="37">
        <v>2535.3317307692296</v>
      </c>
      <c r="K129" s="37">
        <v>0</v>
      </c>
      <c r="L129" s="37">
        <v>0</v>
      </c>
      <c r="M129" s="37">
        <v>0</v>
      </c>
      <c r="N129" s="37">
        <v>0</v>
      </c>
      <c r="O129" s="37">
        <v>0</v>
      </c>
      <c r="P129" s="37">
        <v>2345.5312499999968</v>
      </c>
      <c r="Q129" s="37">
        <v>0</v>
      </c>
      <c r="R129" s="37">
        <v>2940.2163461538466</v>
      </c>
      <c r="S129" s="37">
        <v>0</v>
      </c>
      <c r="T129" s="37">
        <v>1445.2525000000023</v>
      </c>
      <c r="U129" s="37">
        <v>0</v>
      </c>
      <c r="V129" s="37">
        <v>2737.9999999999995</v>
      </c>
      <c r="W129" s="37">
        <v>0</v>
      </c>
      <c r="X129" s="37">
        <v>2749.9050925925912</v>
      </c>
      <c r="Y129" s="37">
        <v>0</v>
      </c>
      <c r="Z129" s="37">
        <v>1085.0598958333321</v>
      </c>
      <c r="AA129" s="37">
        <v>0</v>
      </c>
      <c r="AB129" s="37">
        <v>2673.0277777777792</v>
      </c>
      <c r="AC129" s="37">
        <v>0</v>
      </c>
      <c r="AD129" s="37">
        <v>3450.4975000000045</v>
      </c>
      <c r="AE129" s="37">
        <v>0</v>
      </c>
      <c r="AF129" s="37">
        <v>989.90249999999946</v>
      </c>
      <c r="AG129" s="37">
        <v>0</v>
      </c>
      <c r="AH129" s="37">
        <v>3616.4326923076901</v>
      </c>
      <c r="AI129" s="37">
        <v>0</v>
      </c>
      <c r="AJ129" s="37">
        <v>0</v>
      </c>
      <c r="AK129" s="37">
        <v>0</v>
      </c>
      <c r="AL129" s="37">
        <v>0</v>
      </c>
      <c r="AM129" s="37">
        <v>0</v>
      </c>
      <c r="AN129" s="37">
        <v>2345.5312499999968</v>
      </c>
      <c r="AO129" s="37">
        <v>0</v>
      </c>
      <c r="AP129" s="37">
        <v>4035.4639423076933</v>
      </c>
      <c r="AQ129" s="37">
        <v>0</v>
      </c>
      <c r="AR129" s="37">
        <v>1445.2525000000023</v>
      </c>
      <c r="AS129" s="37">
        <v>0</v>
      </c>
      <c r="AT129" s="37">
        <v>2737.9999999999995</v>
      </c>
      <c r="AU129" s="37">
        <v>0</v>
      </c>
      <c r="AV129" s="37">
        <v>1546.4399038461565</v>
      </c>
      <c r="AW129" s="37">
        <v>0</v>
      </c>
      <c r="AX129" s="37">
        <v>2410.1375000000012</v>
      </c>
      <c r="AY129" s="37">
        <v>0</v>
      </c>
    </row>
    <row r="130" spans="2:51">
      <c r="B130">
        <v>10482</v>
      </c>
      <c r="C130" t="s">
        <v>134</v>
      </c>
      <c r="D130" s="37">
        <v>79.288461538461249</v>
      </c>
      <c r="E130" s="37">
        <v>0</v>
      </c>
      <c r="F130" s="37">
        <v>407.87000000000006</v>
      </c>
      <c r="G130" s="37">
        <v>0</v>
      </c>
      <c r="H130" s="37">
        <v>77.047499999999602</v>
      </c>
      <c r="I130" s="37">
        <v>0</v>
      </c>
      <c r="J130" s="37">
        <v>228.37740384615381</v>
      </c>
      <c r="K130" s="37">
        <v>0</v>
      </c>
      <c r="L130" s="37">
        <v>312.54000000000002</v>
      </c>
      <c r="M130" s="37">
        <v>0</v>
      </c>
      <c r="N130" s="37">
        <v>260.918269230769</v>
      </c>
      <c r="O130" s="37">
        <v>0</v>
      </c>
      <c r="P130" s="37">
        <v>100.08413461538457</v>
      </c>
      <c r="Q130" s="37">
        <v>0</v>
      </c>
      <c r="R130" s="37">
        <v>310.27644230769238</v>
      </c>
      <c r="S130" s="37">
        <v>0</v>
      </c>
      <c r="T130" s="37">
        <v>543.2750000000002</v>
      </c>
      <c r="U130" s="37">
        <v>0</v>
      </c>
      <c r="V130" s="37">
        <v>540.83653846153857</v>
      </c>
      <c r="W130" s="37">
        <v>0</v>
      </c>
      <c r="X130" s="37">
        <v>898.22453703703752</v>
      </c>
      <c r="Y130" s="37">
        <v>0</v>
      </c>
      <c r="Z130" s="37">
        <v>467.16666666666652</v>
      </c>
      <c r="AA130" s="37">
        <v>0</v>
      </c>
      <c r="AB130" s="37">
        <v>180.01851851851836</v>
      </c>
      <c r="AC130" s="37">
        <v>0</v>
      </c>
      <c r="AD130" s="37">
        <v>407.87000000000006</v>
      </c>
      <c r="AE130" s="37">
        <v>0</v>
      </c>
      <c r="AF130" s="37">
        <v>77.047499999999602</v>
      </c>
      <c r="AG130" s="37">
        <v>0</v>
      </c>
      <c r="AH130" s="37">
        <v>345.61057692307696</v>
      </c>
      <c r="AI130" s="37">
        <v>0</v>
      </c>
      <c r="AJ130" s="37">
        <v>201.02083333333343</v>
      </c>
      <c r="AK130" s="37">
        <v>0</v>
      </c>
      <c r="AL130" s="37">
        <v>147.48076923076914</v>
      </c>
      <c r="AM130" s="37">
        <v>0</v>
      </c>
      <c r="AN130" s="37">
        <v>100.08413461538457</v>
      </c>
      <c r="AO130" s="37">
        <v>0</v>
      </c>
      <c r="AP130" s="37">
        <v>310.27644230769238</v>
      </c>
      <c r="AQ130" s="37">
        <v>0</v>
      </c>
      <c r="AR130" s="37">
        <v>543.2750000000002</v>
      </c>
      <c r="AS130" s="37">
        <v>0</v>
      </c>
      <c r="AT130" s="37">
        <v>540.83653846153857</v>
      </c>
      <c r="AU130" s="37">
        <v>0</v>
      </c>
      <c r="AV130" s="37">
        <v>795.38701923076985</v>
      </c>
      <c r="AW130" s="37">
        <v>0</v>
      </c>
      <c r="AX130" s="37">
        <v>577.36000000000013</v>
      </c>
      <c r="AY130" s="37">
        <v>0</v>
      </c>
    </row>
    <row r="131" spans="2:51">
      <c r="B131">
        <v>10502</v>
      </c>
      <c r="C131" t="s">
        <v>135</v>
      </c>
      <c r="D131" s="37">
        <v>3063.7259615384628</v>
      </c>
      <c r="E131" s="37">
        <v>0</v>
      </c>
      <c r="F131" s="37">
        <v>3337.3924999999995</v>
      </c>
      <c r="G131" s="37">
        <v>0</v>
      </c>
      <c r="H131" s="37">
        <v>877.64249999999856</v>
      </c>
      <c r="I131" s="37">
        <v>0</v>
      </c>
      <c r="J131" s="37">
        <v>2342.5937500000018</v>
      </c>
      <c r="K131" s="37">
        <v>0</v>
      </c>
      <c r="L131" s="37">
        <v>2178.5425000000005</v>
      </c>
      <c r="M131" s="37">
        <v>0</v>
      </c>
      <c r="N131" s="37">
        <v>1485.6129807692323</v>
      </c>
      <c r="O131" s="37">
        <v>0</v>
      </c>
      <c r="P131" s="37">
        <v>3895.3293269230762</v>
      </c>
      <c r="Q131" s="37">
        <v>0</v>
      </c>
      <c r="R131" s="37">
        <v>3523.8149038461534</v>
      </c>
      <c r="S131" s="37">
        <v>0</v>
      </c>
      <c r="T131" s="37">
        <v>2946.0124999999998</v>
      </c>
      <c r="U131" s="37">
        <v>0</v>
      </c>
      <c r="V131" s="37">
        <v>2712.6586538461543</v>
      </c>
      <c r="W131" s="37">
        <v>0</v>
      </c>
      <c r="X131" s="37">
        <v>698.73148148148175</v>
      </c>
      <c r="Y131" s="37">
        <v>0</v>
      </c>
      <c r="Z131" s="37">
        <v>4382.3802083333321</v>
      </c>
      <c r="AA131" s="37">
        <v>0</v>
      </c>
      <c r="AB131" s="37">
        <v>3679.2662037037048</v>
      </c>
      <c r="AC131" s="37">
        <v>0</v>
      </c>
      <c r="AD131" s="37">
        <v>3343.9325000000008</v>
      </c>
      <c r="AE131" s="37">
        <v>0</v>
      </c>
      <c r="AF131" s="37">
        <v>878.75499999999818</v>
      </c>
      <c r="AG131" s="37">
        <v>0</v>
      </c>
      <c r="AH131" s="37">
        <v>2348.586538461539</v>
      </c>
      <c r="AI131" s="37">
        <v>0</v>
      </c>
      <c r="AJ131" s="37">
        <v>1613.1875</v>
      </c>
      <c r="AK131" s="37">
        <v>0</v>
      </c>
      <c r="AL131" s="37">
        <v>1507.5024038461549</v>
      </c>
      <c r="AM131" s="37">
        <v>0</v>
      </c>
      <c r="AN131" s="37">
        <v>3902.1490384615367</v>
      </c>
      <c r="AO131" s="37">
        <v>0</v>
      </c>
      <c r="AP131" s="37">
        <v>3527.3870192307709</v>
      </c>
      <c r="AQ131" s="37">
        <v>0</v>
      </c>
      <c r="AR131" s="37">
        <v>2977.0424999999973</v>
      </c>
      <c r="AS131" s="37">
        <v>0</v>
      </c>
      <c r="AT131" s="37">
        <v>2741.3677884615372</v>
      </c>
      <c r="AU131" s="37">
        <v>0</v>
      </c>
      <c r="AV131" s="37">
        <v>0</v>
      </c>
      <c r="AW131" s="37">
        <v>0</v>
      </c>
      <c r="AX131" s="37">
        <v>5325.6799999999967</v>
      </c>
      <c r="AY131" s="37">
        <v>0</v>
      </c>
    </row>
    <row r="132" spans="2:51">
      <c r="B132">
        <v>13927</v>
      </c>
      <c r="C132" t="s">
        <v>238</v>
      </c>
      <c r="D132" s="37">
        <v>0</v>
      </c>
      <c r="E132" s="37">
        <v>0</v>
      </c>
      <c r="F132" s="37">
        <v>0</v>
      </c>
      <c r="G132" s="37">
        <v>0</v>
      </c>
      <c r="H132" s="37">
        <v>50.170000000000272</v>
      </c>
      <c r="I132" s="37">
        <v>0</v>
      </c>
      <c r="J132" s="37">
        <v>153.71634615384565</v>
      </c>
      <c r="K132" s="37">
        <v>0</v>
      </c>
      <c r="L132" s="37">
        <v>222.27249999999987</v>
      </c>
      <c r="M132" s="37">
        <v>0</v>
      </c>
      <c r="N132" s="37">
        <v>0</v>
      </c>
      <c r="O132" s="37">
        <v>0</v>
      </c>
      <c r="P132" s="37">
        <v>108.20432692307713</v>
      </c>
      <c r="Q132" s="37">
        <v>0</v>
      </c>
      <c r="R132" s="37">
        <v>359.92307692307736</v>
      </c>
      <c r="S132" s="37">
        <v>0</v>
      </c>
      <c r="T132" s="37">
        <v>95.054999999999893</v>
      </c>
      <c r="U132" s="37">
        <v>0</v>
      </c>
      <c r="V132" s="37">
        <v>683.36538461538521</v>
      </c>
      <c r="W132" s="37">
        <v>0</v>
      </c>
      <c r="X132" s="37">
        <v>1208.1111111111106</v>
      </c>
      <c r="Y132" s="37">
        <v>0</v>
      </c>
      <c r="Z132" s="37">
        <v>285.57552083333383</v>
      </c>
      <c r="AA132" s="37">
        <v>0</v>
      </c>
      <c r="AB132" s="37">
        <v>0</v>
      </c>
      <c r="AC132" s="37">
        <v>0</v>
      </c>
      <c r="AD132" s="37">
        <v>0</v>
      </c>
      <c r="AE132" s="37">
        <v>0</v>
      </c>
      <c r="AF132" s="37">
        <v>55.319999999999816</v>
      </c>
      <c r="AG132" s="37">
        <v>0</v>
      </c>
      <c r="AH132" s="37">
        <v>161.91105769230808</v>
      </c>
      <c r="AI132" s="37">
        <v>0</v>
      </c>
      <c r="AJ132" s="37">
        <v>39.736979166667297</v>
      </c>
      <c r="AK132" s="37">
        <v>0</v>
      </c>
      <c r="AL132" s="37">
        <v>0</v>
      </c>
      <c r="AM132" s="37">
        <v>0</v>
      </c>
      <c r="AN132" s="37">
        <v>117.06730769230711</v>
      </c>
      <c r="AO132" s="37">
        <v>0</v>
      </c>
      <c r="AP132" s="37">
        <v>372.40384615384625</v>
      </c>
      <c r="AQ132" s="37">
        <v>0</v>
      </c>
      <c r="AR132" s="37">
        <v>107.41999999999985</v>
      </c>
      <c r="AS132" s="37">
        <v>0</v>
      </c>
      <c r="AT132" s="37">
        <v>701.66346153846087</v>
      </c>
      <c r="AU132" s="37">
        <v>0</v>
      </c>
      <c r="AV132" s="37">
        <v>1039.9254807692305</v>
      </c>
      <c r="AW132" s="37">
        <v>0</v>
      </c>
      <c r="AX132" s="37">
        <v>484.71000000000009</v>
      </c>
      <c r="AY132" s="37">
        <v>0</v>
      </c>
    </row>
    <row r="133" spans="2:51">
      <c r="B133">
        <v>10597</v>
      </c>
      <c r="C133" t="s">
        <v>136</v>
      </c>
      <c r="D133" s="37">
        <v>1885.6971153846152</v>
      </c>
      <c r="E133" s="37">
        <v>0</v>
      </c>
      <c r="F133" s="37">
        <v>575.29250000000025</v>
      </c>
      <c r="G133" s="37">
        <v>0</v>
      </c>
      <c r="H133" s="37">
        <v>2980.1174999999976</v>
      </c>
      <c r="I133" s="37">
        <v>0</v>
      </c>
      <c r="J133" s="37">
        <v>2665.1899038461547</v>
      </c>
      <c r="K133" s="37">
        <v>0</v>
      </c>
      <c r="L133" s="37">
        <v>2702.4099999999985</v>
      </c>
      <c r="M133" s="37">
        <v>0</v>
      </c>
      <c r="N133" s="37">
        <v>2419.3557692307691</v>
      </c>
      <c r="O133" s="37">
        <v>0</v>
      </c>
      <c r="P133" s="37">
        <v>2371.6826923076919</v>
      </c>
      <c r="Q133" s="37">
        <v>0</v>
      </c>
      <c r="R133" s="37">
        <v>2129.1875000000014</v>
      </c>
      <c r="S133" s="37">
        <v>0</v>
      </c>
      <c r="T133" s="37">
        <v>2637.2400000000011</v>
      </c>
      <c r="U133" s="37">
        <v>0</v>
      </c>
      <c r="V133" s="37">
        <v>4741.052884615382</v>
      </c>
      <c r="W133" s="37">
        <v>0</v>
      </c>
      <c r="X133" s="37">
        <v>3793.659722222224</v>
      </c>
      <c r="Y133" s="37">
        <v>0</v>
      </c>
      <c r="Z133" s="37">
        <v>2453.4348958333317</v>
      </c>
      <c r="AA133" s="37">
        <v>0</v>
      </c>
      <c r="AB133" s="37">
        <v>2317.8217592592578</v>
      </c>
      <c r="AC133" s="37">
        <v>0</v>
      </c>
      <c r="AD133" s="37">
        <v>593.0974999999994</v>
      </c>
      <c r="AE133" s="37">
        <v>0</v>
      </c>
      <c r="AF133" s="37">
        <v>2999.2000000000012</v>
      </c>
      <c r="AG133" s="37">
        <v>0</v>
      </c>
      <c r="AH133" s="37">
        <v>2686.1274038461552</v>
      </c>
      <c r="AI133" s="37">
        <v>0</v>
      </c>
      <c r="AJ133" s="37">
        <v>2120.2942708333358</v>
      </c>
      <c r="AK133" s="37">
        <v>0</v>
      </c>
      <c r="AL133" s="37">
        <v>2437.0336538461538</v>
      </c>
      <c r="AM133" s="37">
        <v>0</v>
      </c>
      <c r="AN133" s="37">
        <v>2386.8966346153843</v>
      </c>
      <c r="AO133" s="37">
        <v>0</v>
      </c>
      <c r="AP133" s="37">
        <v>2158.5096153846157</v>
      </c>
      <c r="AQ133" s="37">
        <v>0</v>
      </c>
      <c r="AR133" s="37">
        <v>2671.9875000000029</v>
      </c>
      <c r="AS133" s="37">
        <v>0</v>
      </c>
      <c r="AT133" s="37">
        <v>4779.8100961538448</v>
      </c>
      <c r="AU133" s="37">
        <v>0</v>
      </c>
      <c r="AV133" s="37">
        <v>3197.8846153846139</v>
      </c>
      <c r="AW133" s="37">
        <v>0</v>
      </c>
      <c r="AX133" s="37">
        <v>3042.8675000000007</v>
      </c>
      <c r="AY133" s="37">
        <v>0</v>
      </c>
    </row>
    <row r="134" spans="2:51">
      <c r="B134">
        <v>10706</v>
      </c>
      <c r="C134" t="s">
        <v>137</v>
      </c>
      <c r="D134" s="37">
        <v>636.21394230769113</v>
      </c>
      <c r="E134" s="37">
        <v>0</v>
      </c>
      <c r="F134" s="37">
        <v>1117.5399999999981</v>
      </c>
      <c r="G134" s="37">
        <v>0</v>
      </c>
      <c r="H134" s="37">
        <v>1133.7100000000007</v>
      </c>
      <c r="I134" s="37">
        <v>0</v>
      </c>
      <c r="J134" s="37">
        <v>1812.5889423076912</v>
      </c>
      <c r="K134" s="37">
        <v>0</v>
      </c>
      <c r="L134" s="37">
        <v>2082.7650000000003</v>
      </c>
      <c r="M134" s="37">
        <v>0</v>
      </c>
      <c r="N134" s="37">
        <v>839.85817307692298</v>
      </c>
      <c r="O134" s="37">
        <v>0</v>
      </c>
      <c r="P134" s="37">
        <v>1125.4759615384637</v>
      </c>
      <c r="Q134" s="37">
        <v>0</v>
      </c>
      <c r="R134" s="37">
        <v>1075.4591346153841</v>
      </c>
      <c r="S134" s="37">
        <v>0</v>
      </c>
      <c r="T134" s="37">
        <v>2136.4199999999983</v>
      </c>
      <c r="U134" s="37">
        <v>0</v>
      </c>
      <c r="V134" s="37">
        <v>3237.7091346153861</v>
      </c>
      <c r="W134" s="37">
        <v>0</v>
      </c>
      <c r="X134" s="37">
        <v>4004.7615740740721</v>
      </c>
      <c r="Y134" s="37">
        <v>0</v>
      </c>
      <c r="Z134" s="37">
        <v>1936.4921875000027</v>
      </c>
      <c r="AA134" s="37">
        <v>0</v>
      </c>
      <c r="AB134" s="37">
        <v>1264.909722222221</v>
      </c>
      <c r="AC134" s="37">
        <v>0</v>
      </c>
      <c r="AD134" s="37">
        <v>1117.5399999999981</v>
      </c>
      <c r="AE134" s="37">
        <v>0</v>
      </c>
      <c r="AF134" s="37">
        <v>1133.7100000000007</v>
      </c>
      <c r="AG134" s="37">
        <v>0</v>
      </c>
      <c r="AH134" s="37">
        <v>1812.5889423076912</v>
      </c>
      <c r="AI134" s="37">
        <v>0</v>
      </c>
      <c r="AJ134" s="37">
        <v>1438.338541666667</v>
      </c>
      <c r="AK134" s="37">
        <v>0</v>
      </c>
      <c r="AL134" s="37">
        <v>839.85817307692298</v>
      </c>
      <c r="AM134" s="37">
        <v>0</v>
      </c>
      <c r="AN134" s="37">
        <v>1125.4759615384637</v>
      </c>
      <c r="AO134" s="37">
        <v>0</v>
      </c>
      <c r="AP134" s="37">
        <v>1075.4591346153841</v>
      </c>
      <c r="AQ134" s="37">
        <v>0</v>
      </c>
      <c r="AR134" s="37">
        <v>2136.4199999999983</v>
      </c>
      <c r="AS134" s="37">
        <v>0</v>
      </c>
      <c r="AT134" s="37">
        <v>3237.7091346153861</v>
      </c>
      <c r="AU134" s="37">
        <v>0</v>
      </c>
      <c r="AV134" s="37">
        <v>3275.9447115384596</v>
      </c>
      <c r="AW134" s="37">
        <v>0</v>
      </c>
      <c r="AX134" s="37">
        <v>2667.152500000002</v>
      </c>
      <c r="AY134" s="37">
        <v>0</v>
      </c>
    </row>
    <row r="135" spans="2:51">
      <c r="B135">
        <v>11680</v>
      </c>
      <c r="C135" t="s">
        <v>138</v>
      </c>
      <c r="D135" s="37">
        <v>590.9158653846165</v>
      </c>
      <c r="E135" s="37">
        <v>0</v>
      </c>
      <c r="F135" s="37">
        <v>931.0474999999991</v>
      </c>
      <c r="G135" s="37">
        <v>0</v>
      </c>
      <c r="H135" s="37">
        <v>387.21750000000111</v>
      </c>
      <c r="I135" s="37">
        <v>0</v>
      </c>
      <c r="J135" s="37">
        <v>753.00480769230842</v>
      </c>
      <c r="K135" s="37">
        <v>0</v>
      </c>
      <c r="L135" s="37">
        <v>1072.21</v>
      </c>
      <c r="M135" s="37">
        <v>0</v>
      </c>
      <c r="N135" s="37">
        <v>910.59615384615313</v>
      </c>
      <c r="O135" s="37">
        <v>0</v>
      </c>
      <c r="P135" s="37">
        <v>839.33173076923072</v>
      </c>
      <c r="Q135" s="37">
        <v>0</v>
      </c>
      <c r="R135" s="37">
        <v>1374.3076923076926</v>
      </c>
      <c r="S135" s="37">
        <v>0</v>
      </c>
      <c r="T135" s="37">
        <v>1143.5749999999998</v>
      </c>
      <c r="U135" s="37">
        <v>0</v>
      </c>
      <c r="V135" s="37">
        <v>1654.5817307692298</v>
      </c>
      <c r="W135" s="37">
        <v>0</v>
      </c>
      <c r="X135" s="37">
        <v>1737.3032407407409</v>
      </c>
      <c r="Y135" s="37">
        <v>0</v>
      </c>
      <c r="Z135" s="37">
        <v>872.31510416666595</v>
      </c>
      <c r="AA135" s="37">
        <v>0</v>
      </c>
      <c r="AB135" s="37">
        <v>867.98148148148107</v>
      </c>
      <c r="AC135" s="37">
        <v>0</v>
      </c>
      <c r="AD135" s="37">
        <v>980.68500000000029</v>
      </c>
      <c r="AE135" s="37">
        <v>0</v>
      </c>
      <c r="AF135" s="37">
        <v>436.03750000000031</v>
      </c>
      <c r="AG135" s="37">
        <v>0</v>
      </c>
      <c r="AH135" s="37">
        <v>1110.3653846153838</v>
      </c>
      <c r="AI135" s="37">
        <v>0</v>
      </c>
      <c r="AJ135" s="37">
        <v>802.34114583333405</v>
      </c>
      <c r="AK135" s="37">
        <v>0</v>
      </c>
      <c r="AL135" s="37">
        <v>705.77884615384562</v>
      </c>
      <c r="AM135" s="37">
        <v>0</v>
      </c>
      <c r="AN135" s="37">
        <v>882.77884615384505</v>
      </c>
      <c r="AO135" s="37">
        <v>0</v>
      </c>
      <c r="AP135" s="37">
        <v>1421.4591346153841</v>
      </c>
      <c r="AQ135" s="37">
        <v>0</v>
      </c>
      <c r="AR135" s="37">
        <v>1203.4474999999998</v>
      </c>
      <c r="AS135" s="37">
        <v>0</v>
      </c>
      <c r="AT135" s="37">
        <v>1719.1538461538473</v>
      </c>
      <c r="AU135" s="37">
        <v>0</v>
      </c>
      <c r="AV135" s="37">
        <v>1507.5072115384601</v>
      </c>
      <c r="AW135" s="37">
        <v>0</v>
      </c>
      <c r="AX135" s="37">
        <v>1189.7974999999992</v>
      </c>
      <c r="AY135" s="37">
        <v>0</v>
      </c>
    </row>
    <row r="136" spans="2:51">
      <c r="B136">
        <v>12026</v>
      </c>
      <c r="C136" t="s">
        <v>139</v>
      </c>
      <c r="D136" s="37">
        <v>0</v>
      </c>
      <c r="E136" s="37">
        <v>0</v>
      </c>
      <c r="F136" s="37">
        <v>10643</v>
      </c>
      <c r="G136" s="37">
        <v>0</v>
      </c>
      <c r="H136" s="37">
        <v>7250.4474999999966</v>
      </c>
      <c r="I136" s="37">
        <v>0</v>
      </c>
      <c r="J136" s="37">
        <v>16647.32451923078</v>
      </c>
      <c r="K136" s="37">
        <v>0</v>
      </c>
      <c r="L136" s="37">
        <v>11343</v>
      </c>
      <c r="M136" s="37">
        <v>0</v>
      </c>
      <c r="N136" s="37">
        <v>7036.9158653846143</v>
      </c>
      <c r="O136" s="37">
        <v>0</v>
      </c>
      <c r="P136" s="37">
        <v>6710.9903846153929</v>
      </c>
      <c r="Q136" s="37">
        <v>0</v>
      </c>
      <c r="R136" s="37">
        <v>5835.5793269230817</v>
      </c>
      <c r="S136" s="37">
        <v>0</v>
      </c>
      <c r="T136" s="37">
        <v>3208.4099999999944</v>
      </c>
      <c r="U136" s="37">
        <v>0</v>
      </c>
      <c r="V136" s="37">
        <v>3181.2283653846125</v>
      </c>
      <c r="W136" s="37">
        <v>0</v>
      </c>
      <c r="X136" s="37">
        <v>5081.4884259259252</v>
      </c>
      <c r="Y136" s="37">
        <v>0</v>
      </c>
      <c r="Z136" s="37">
        <v>4782.9270833333394</v>
      </c>
      <c r="AA136" s="37">
        <v>0</v>
      </c>
      <c r="AB136" s="37">
        <v>0</v>
      </c>
      <c r="AC136" s="37">
        <v>0</v>
      </c>
      <c r="AD136" s="37">
        <v>10805.225</v>
      </c>
      <c r="AE136" s="37">
        <v>0</v>
      </c>
      <c r="AF136" s="37">
        <v>7627.9349999999977</v>
      </c>
      <c r="AG136" s="37">
        <v>0</v>
      </c>
      <c r="AH136" s="37">
        <v>19374.19471153845</v>
      </c>
      <c r="AI136" s="37">
        <v>0</v>
      </c>
      <c r="AJ136" s="37">
        <v>9007.0286458333339</v>
      </c>
      <c r="AK136" s="37">
        <v>0</v>
      </c>
      <c r="AL136" s="37">
        <v>5196.6201923076842</v>
      </c>
      <c r="AM136" s="37">
        <v>0</v>
      </c>
      <c r="AN136" s="37">
        <v>6855.8870192307704</v>
      </c>
      <c r="AO136" s="37">
        <v>0</v>
      </c>
      <c r="AP136" s="37">
        <v>5918.5673076922994</v>
      </c>
      <c r="AQ136" s="37">
        <v>0</v>
      </c>
      <c r="AR136" s="37">
        <v>3278.3474999999962</v>
      </c>
      <c r="AS136" s="37">
        <v>0</v>
      </c>
      <c r="AT136" s="37">
        <v>3221.122596153848</v>
      </c>
      <c r="AU136" s="37">
        <v>0</v>
      </c>
      <c r="AV136" s="37">
        <v>3711.2740384615386</v>
      </c>
      <c r="AW136" s="37">
        <v>0</v>
      </c>
      <c r="AX136" s="37">
        <v>6527.34</v>
      </c>
      <c r="AY136" s="37">
        <v>0</v>
      </c>
    </row>
    <row r="137" spans="2:51">
      <c r="B137">
        <v>10298</v>
      </c>
      <c r="C137" t="s">
        <v>140</v>
      </c>
      <c r="D137" s="37">
        <v>178659.3629807691</v>
      </c>
      <c r="E137" s="37">
        <v>0</v>
      </c>
      <c r="F137" s="37">
        <v>211020.00000000006</v>
      </c>
      <c r="G137" s="37">
        <v>0</v>
      </c>
      <c r="H137" s="37">
        <v>271196.53000000003</v>
      </c>
      <c r="I137" s="37">
        <v>0</v>
      </c>
      <c r="J137" s="37">
        <v>401351.12259615393</v>
      </c>
      <c r="K137" s="37">
        <v>0</v>
      </c>
      <c r="L137" s="37">
        <v>351752.34250000009</v>
      </c>
      <c r="M137" s="37">
        <v>0</v>
      </c>
      <c r="N137" s="37">
        <v>257608.24278846168</v>
      </c>
      <c r="O137" s="37">
        <v>0</v>
      </c>
      <c r="P137" s="37">
        <v>254202.20913461529</v>
      </c>
      <c r="Q137" s="37">
        <v>0</v>
      </c>
      <c r="R137" s="37">
        <v>171962.5721153846</v>
      </c>
      <c r="S137" s="37">
        <v>0</v>
      </c>
      <c r="T137" s="37">
        <v>196745.35999999987</v>
      </c>
      <c r="U137" s="37">
        <v>0</v>
      </c>
      <c r="V137" s="37">
        <v>258191.74759615379</v>
      </c>
      <c r="W137" s="37">
        <v>0</v>
      </c>
      <c r="X137" s="37">
        <v>306251.28472222225</v>
      </c>
      <c r="Y137" s="37">
        <v>0</v>
      </c>
      <c r="Z137" s="37">
        <v>130294.1145833334</v>
      </c>
      <c r="AA137" s="37">
        <v>0</v>
      </c>
      <c r="AB137" s="37">
        <v>223336.17129629629</v>
      </c>
      <c r="AC137" s="37">
        <v>0</v>
      </c>
      <c r="AD137" s="37">
        <v>221501.46749999985</v>
      </c>
      <c r="AE137" s="37">
        <v>0</v>
      </c>
      <c r="AF137" s="37">
        <v>280543.81249999994</v>
      </c>
      <c r="AG137" s="37">
        <v>0</v>
      </c>
      <c r="AH137" s="37">
        <v>447204.80528846144</v>
      </c>
      <c r="AI137" s="37">
        <v>0</v>
      </c>
      <c r="AJ137" s="37">
        <v>314684.10677083349</v>
      </c>
      <c r="AK137" s="37">
        <v>0</v>
      </c>
      <c r="AL137" s="37">
        <v>236377.77884615364</v>
      </c>
      <c r="AM137" s="37">
        <v>0</v>
      </c>
      <c r="AN137" s="37">
        <v>264402.30528846168</v>
      </c>
      <c r="AO137" s="37">
        <v>0</v>
      </c>
      <c r="AP137" s="37">
        <v>177143.15865384621</v>
      </c>
      <c r="AQ137" s="37">
        <v>0</v>
      </c>
      <c r="AR137" s="37">
        <v>202617.56250000006</v>
      </c>
      <c r="AS137" s="37">
        <v>0</v>
      </c>
      <c r="AT137" s="37">
        <v>264088.38942307688</v>
      </c>
      <c r="AU137" s="37">
        <v>0</v>
      </c>
      <c r="AV137" s="37">
        <v>277366.48317307694</v>
      </c>
      <c r="AW137" s="37">
        <v>0</v>
      </c>
      <c r="AX137" s="37">
        <v>169845.18749999988</v>
      </c>
      <c r="AY137" s="37">
        <v>0</v>
      </c>
    </row>
    <row r="138" spans="2:51">
      <c r="B138" s="2" t="s">
        <v>141</v>
      </c>
      <c r="C138" s="3" t="s">
        <v>141</v>
      </c>
      <c r="D138" s="20"/>
      <c r="E138" s="21"/>
      <c r="F138" s="20"/>
      <c r="G138" s="21"/>
      <c r="H138" s="20"/>
      <c r="I138" s="21"/>
      <c r="J138" s="20"/>
      <c r="K138" s="21"/>
      <c r="L138" s="20"/>
      <c r="M138" s="21"/>
      <c r="N138" s="20"/>
      <c r="O138" s="21"/>
      <c r="P138" s="20"/>
      <c r="Q138" s="21"/>
      <c r="R138" s="20"/>
      <c r="S138" s="21"/>
      <c r="T138" s="20"/>
      <c r="U138" s="21"/>
      <c r="V138" s="20"/>
      <c r="W138" s="21"/>
      <c r="X138" s="20"/>
      <c r="Y138" s="21"/>
      <c r="Z138" s="20"/>
      <c r="AA138" s="21"/>
      <c r="AB138" s="20"/>
      <c r="AC138" s="21"/>
      <c r="AD138" s="20"/>
      <c r="AE138" s="21"/>
      <c r="AF138" s="20"/>
      <c r="AG138" s="21"/>
      <c r="AH138" s="20"/>
      <c r="AI138" s="21"/>
      <c r="AJ138" s="20"/>
      <c r="AK138" s="21"/>
      <c r="AL138" s="20"/>
      <c r="AM138" s="21"/>
      <c r="AN138" s="20"/>
      <c r="AO138" s="21"/>
      <c r="AP138" s="20"/>
      <c r="AQ138" s="21"/>
      <c r="AR138" s="20"/>
      <c r="AS138" s="21"/>
      <c r="AT138" s="20"/>
      <c r="AU138" s="21"/>
      <c r="AV138" s="20"/>
      <c r="AW138" s="21"/>
      <c r="AX138" s="20"/>
      <c r="AY138" s="21"/>
    </row>
    <row r="139" spans="2:51">
      <c r="B139" s="2" t="s">
        <v>141</v>
      </c>
      <c r="C139" s="3" t="s">
        <v>141</v>
      </c>
      <c r="D139" s="20" t="s">
        <v>141</v>
      </c>
      <c r="E139" s="21" t="s">
        <v>141</v>
      </c>
      <c r="F139" s="20" t="s">
        <v>141</v>
      </c>
      <c r="G139" s="21" t="s">
        <v>141</v>
      </c>
      <c r="H139" s="20" t="s">
        <v>141</v>
      </c>
      <c r="I139" s="21" t="s">
        <v>141</v>
      </c>
      <c r="J139" s="20" t="s">
        <v>141</v>
      </c>
      <c r="K139" s="21" t="s">
        <v>141</v>
      </c>
      <c r="L139" s="20" t="s">
        <v>141</v>
      </c>
      <c r="M139" s="21" t="s">
        <v>141</v>
      </c>
      <c r="N139" s="20" t="s">
        <v>141</v>
      </c>
      <c r="O139" s="21" t="s">
        <v>141</v>
      </c>
      <c r="P139" s="20" t="s">
        <v>141</v>
      </c>
      <c r="Q139" s="21" t="s">
        <v>141</v>
      </c>
      <c r="R139" s="20" t="s">
        <v>141</v>
      </c>
      <c r="S139" s="21" t="s">
        <v>141</v>
      </c>
      <c r="T139" s="20" t="s">
        <v>141</v>
      </c>
      <c r="U139" s="21" t="s">
        <v>141</v>
      </c>
      <c r="V139" s="20" t="s">
        <v>141</v>
      </c>
      <c r="W139" s="21" t="s">
        <v>141</v>
      </c>
      <c r="X139" s="20" t="s">
        <v>141</v>
      </c>
      <c r="Y139" s="21" t="s">
        <v>141</v>
      </c>
      <c r="Z139" s="20" t="s">
        <v>141</v>
      </c>
      <c r="AA139" s="21" t="s">
        <v>141</v>
      </c>
      <c r="AB139" s="20" t="s">
        <v>141</v>
      </c>
      <c r="AC139" s="21" t="s">
        <v>141</v>
      </c>
      <c r="AD139" s="20" t="s">
        <v>141</v>
      </c>
      <c r="AE139" s="21" t="s">
        <v>141</v>
      </c>
      <c r="AF139" s="20" t="s">
        <v>141</v>
      </c>
      <c r="AG139" s="21" t="s">
        <v>141</v>
      </c>
      <c r="AH139" s="20" t="s">
        <v>141</v>
      </c>
      <c r="AI139" s="21" t="s">
        <v>141</v>
      </c>
      <c r="AJ139" s="20" t="s">
        <v>141</v>
      </c>
      <c r="AK139" s="21" t="s">
        <v>141</v>
      </c>
      <c r="AL139" s="20" t="s">
        <v>141</v>
      </c>
      <c r="AM139" s="21" t="s">
        <v>141</v>
      </c>
      <c r="AN139" s="20" t="s">
        <v>141</v>
      </c>
      <c r="AO139" s="21" t="s">
        <v>141</v>
      </c>
      <c r="AP139" s="20" t="s">
        <v>141</v>
      </c>
      <c r="AQ139" s="21" t="s">
        <v>141</v>
      </c>
      <c r="AR139" s="20" t="s">
        <v>141</v>
      </c>
      <c r="AS139" s="21" t="s">
        <v>141</v>
      </c>
      <c r="AT139" s="20" t="s">
        <v>141</v>
      </c>
      <c r="AU139" s="21" t="s">
        <v>141</v>
      </c>
      <c r="AV139" s="20" t="s">
        <v>141</v>
      </c>
      <c r="AW139" s="21" t="s">
        <v>141</v>
      </c>
      <c r="AX139" s="20" t="s">
        <v>141</v>
      </c>
      <c r="AY139" s="21" t="s">
        <v>141</v>
      </c>
    </row>
    <row r="140" spans="2:51">
      <c r="B140" s="2" t="s">
        <v>141</v>
      </c>
      <c r="C140" s="3" t="s">
        <v>141</v>
      </c>
      <c r="D140" s="20" t="s">
        <v>141</v>
      </c>
      <c r="E140" s="21" t="s">
        <v>141</v>
      </c>
      <c r="F140" s="20" t="s">
        <v>141</v>
      </c>
      <c r="G140" s="21" t="s">
        <v>141</v>
      </c>
      <c r="H140" s="20" t="s">
        <v>141</v>
      </c>
      <c r="I140" s="21" t="s">
        <v>141</v>
      </c>
      <c r="J140" s="20" t="s">
        <v>141</v>
      </c>
      <c r="K140" s="21" t="s">
        <v>141</v>
      </c>
      <c r="L140" s="20" t="s">
        <v>141</v>
      </c>
      <c r="M140" s="21" t="s">
        <v>141</v>
      </c>
      <c r="N140" s="20" t="s">
        <v>141</v>
      </c>
      <c r="O140" s="21" t="s">
        <v>141</v>
      </c>
      <c r="P140" s="20" t="s">
        <v>141</v>
      </c>
      <c r="Q140" s="21" t="s">
        <v>141</v>
      </c>
      <c r="R140" s="20" t="s">
        <v>141</v>
      </c>
      <c r="S140" s="21" t="s">
        <v>141</v>
      </c>
      <c r="T140" s="20" t="s">
        <v>141</v>
      </c>
      <c r="U140" s="21" t="s">
        <v>141</v>
      </c>
      <c r="V140" s="20" t="s">
        <v>141</v>
      </c>
      <c r="W140" s="21" t="s">
        <v>141</v>
      </c>
      <c r="X140" s="20" t="s">
        <v>141</v>
      </c>
      <c r="Y140" s="21" t="s">
        <v>141</v>
      </c>
      <c r="Z140" s="20" t="s">
        <v>141</v>
      </c>
      <c r="AA140" s="21" t="s">
        <v>141</v>
      </c>
      <c r="AB140" s="20" t="s">
        <v>141</v>
      </c>
      <c r="AC140" s="21" t="s">
        <v>141</v>
      </c>
      <c r="AD140" s="20" t="s">
        <v>141</v>
      </c>
      <c r="AE140" s="21" t="s">
        <v>141</v>
      </c>
      <c r="AF140" s="20" t="s">
        <v>141</v>
      </c>
      <c r="AG140" s="21" t="s">
        <v>141</v>
      </c>
      <c r="AH140" s="20" t="s">
        <v>141</v>
      </c>
      <c r="AI140" s="21" t="s">
        <v>141</v>
      </c>
      <c r="AJ140" s="20" t="s">
        <v>141</v>
      </c>
      <c r="AK140" s="21" t="s">
        <v>141</v>
      </c>
      <c r="AL140" s="20" t="s">
        <v>141</v>
      </c>
      <c r="AM140" s="21" t="s">
        <v>141</v>
      </c>
      <c r="AN140" s="20" t="s">
        <v>141</v>
      </c>
      <c r="AO140" s="21" t="s">
        <v>141</v>
      </c>
      <c r="AP140" s="20" t="s">
        <v>141</v>
      </c>
      <c r="AQ140" s="21" t="s">
        <v>141</v>
      </c>
      <c r="AR140" s="20" t="s">
        <v>141</v>
      </c>
      <c r="AS140" s="21" t="s">
        <v>141</v>
      </c>
      <c r="AT140" s="20" t="s">
        <v>141</v>
      </c>
      <c r="AU140" s="21" t="s">
        <v>141</v>
      </c>
      <c r="AV140" s="20" t="s">
        <v>141</v>
      </c>
      <c r="AW140" s="21" t="s">
        <v>141</v>
      </c>
      <c r="AX140" s="20" t="s">
        <v>141</v>
      </c>
      <c r="AY140" s="21" t="s">
        <v>141</v>
      </c>
    </row>
    <row r="141" spans="2:51">
      <c r="B141" s="2" t="s">
        <v>141</v>
      </c>
      <c r="C141" s="3" t="s">
        <v>141</v>
      </c>
      <c r="D141" s="20" t="s">
        <v>141</v>
      </c>
      <c r="E141" s="21" t="s">
        <v>141</v>
      </c>
      <c r="F141" s="20" t="s">
        <v>141</v>
      </c>
      <c r="G141" s="21" t="s">
        <v>141</v>
      </c>
      <c r="H141" s="20" t="s">
        <v>141</v>
      </c>
      <c r="I141" s="21" t="s">
        <v>141</v>
      </c>
      <c r="J141" s="20" t="s">
        <v>141</v>
      </c>
      <c r="K141" s="21" t="s">
        <v>141</v>
      </c>
      <c r="L141" s="20" t="s">
        <v>141</v>
      </c>
      <c r="M141" s="21" t="s">
        <v>141</v>
      </c>
      <c r="N141" s="20" t="s">
        <v>141</v>
      </c>
      <c r="O141" s="21" t="s">
        <v>141</v>
      </c>
      <c r="P141" s="20" t="s">
        <v>141</v>
      </c>
      <c r="Q141" s="21" t="s">
        <v>141</v>
      </c>
      <c r="R141" s="20" t="s">
        <v>141</v>
      </c>
      <c r="S141" s="21" t="s">
        <v>141</v>
      </c>
      <c r="T141" s="20" t="s">
        <v>141</v>
      </c>
      <c r="U141" s="21" t="s">
        <v>141</v>
      </c>
      <c r="V141" s="20" t="s">
        <v>141</v>
      </c>
      <c r="W141" s="21" t="s">
        <v>141</v>
      </c>
      <c r="X141" s="20" t="s">
        <v>141</v>
      </c>
      <c r="Y141" s="21" t="s">
        <v>141</v>
      </c>
      <c r="Z141" s="20" t="s">
        <v>141</v>
      </c>
      <c r="AA141" s="21" t="s">
        <v>141</v>
      </c>
      <c r="AB141" s="20" t="s">
        <v>141</v>
      </c>
      <c r="AC141" s="21" t="s">
        <v>141</v>
      </c>
      <c r="AD141" s="20" t="s">
        <v>141</v>
      </c>
      <c r="AE141" s="21" t="s">
        <v>141</v>
      </c>
      <c r="AF141" s="20" t="s">
        <v>141</v>
      </c>
      <c r="AG141" s="21" t="s">
        <v>141</v>
      </c>
      <c r="AH141" s="20" t="s">
        <v>141</v>
      </c>
      <c r="AI141" s="21" t="s">
        <v>141</v>
      </c>
      <c r="AJ141" s="20" t="s">
        <v>141</v>
      </c>
      <c r="AK141" s="21" t="s">
        <v>141</v>
      </c>
      <c r="AL141" s="20" t="s">
        <v>141</v>
      </c>
      <c r="AM141" s="21" t="s">
        <v>141</v>
      </c>
      <c r="AN141" s="20" t="s">
        <v>141</v>
      </c>
      <c r="AO141" s="21" t="s">
        <v>141</v>
      </c>
      <c r="AP141" s="20" t="s">
        <v>141</v>
      </c>
      <c r="AQ141" s="21" t="s">
        <v>141</v>
      </c>
      <c r="AR141" s="20" t="s">
        <v>141</v>
      </c>
      <c r="AS141" s="21" t="s">
        <v>141</v>
      </c>
      <c r="AT141" s="20" t="s">
        <v>141</v>
      </c>
      <c r="AU141" s="21" t="s">
        <v>141</v>
      </c>
      <c r="AV141" s="20" t="s">
        <v>141</v>
      </c>
      <c r="AW141" s="21" t="s">
        <v>141</v>
      </c>
      <c r="AX141" s="20" t="s">
        <v>141</v>
      </c>
      <c r="AY141" s="21" t="s">
        <v>141</v>
      </c>
    </row>
    <row r="142" spans="2:51">
      <c r="B142" s="2" t="s">
        <v>141</v>
      </c>
      <c r="C142" s="3" t="s">
        <v>141</v>
      </c>
      <c r="D142" s="20" t="s">
        <v>141</v>
      </c>
      <c r="E142" s="21" t="s">
        <v>141</v>
      </c>
      <c r="F142" s="20" t="s">
        <v>141</v>
      </c>
      <c r="G142" s="21" t="s">
        <v>141</v>
      </c>
      <c r="H142" s="20" t="s">
        <v>141</v>
      </c>
      <c r="I142" s="21" t="s">
        <v>141</v>
      </c>
      <c r="J142" s="20" t="s">
        <v>141</v>
      </c>
      <c r="K142" s="21" t="s">
        <v>141</v>
      </c>
      <c r="L142" s="20" t="s">
        <v>141</v>
      </c>
      <c r="M142" s="21" t="s">
        <v>141</v>
      </c>
      <c r="N142" s="20" t="s">
        <v>141</v>
      </c>
      <c r="O142" s="21" t="s">
        <v>141</v>
      </c>
      <c r="P142" s="20" t="s">
        <v>141</v>
      </c>
      <c r="Q142" s="21" t="s">
        <v>141</v>
      </c>
      <c r="R142" s="20" t="s">
        <v>141</v>
      </c>
      <c r="S142" s="21" t="s">
        <v>141</v>
      </c>
      <c r="T142" s="20" t="s">
        <v>141</v>
      </c>
      <c r="U142" s="21" t="s">
        <v>141</v>
      </c>
      <c r="V142" s="20" t="s">
        <v>141</v>
      </c>
      <c r="W142" s="21" t="s">
        <v>141</v>
      </c>
      <c r="X142" s="20" t="s">
        <v>141</v>
      </c>
      <c r="Y142" s="21" t="s">
        <v>141</v>
      </c>
      <c r="Z142" s="20" t="s">
        <v>141</v>
      </c>
      <c r="AA142" s="21" t="s">
        <v>141</v>
      </c>
      <c r="AB142" s="20" t="s">
        <v>141</v>
      </c>
      <c r="AC142" s="21" t="s">
        <v>141</v>
      </c>
      <c r="AD142" s="20" t="s">
        <v>141</v>
      </c>
      <c r="AE142" s="21" t="s">
        <v>141</v>
      </c>
      <c r="AF142" s="20" t="s">
        <v>141</v>
      </c>
      <c r="AG142" s="21" t="s">
        <v>141</v>
      </c>
      <c r="AH142" s="20" t="s">
        <v>141</v>
      </c>
      <c r="AI142" s="21" t="s">
        <v>141</v>
      </c>
      <c r="AJ142" s="20" t="s">
        <v>141</v>
      </c>
      <c r="AK142" s="21" t="s">
        <v>141</v>
      </c>
      <c r="AL142" s="20" t="s">
        <v>141</v>
      </c>
      <c r="AM142" s="21" t="s">
        <v>141</v>
      </c>
      <c r="AN142" s="20" t="s">
        <v>141</v>
      </c>
      <c r="AO142" s="21" t="s">
        <v>141</v>
      </c>
      <c r="AP142" s="20" t="s">
        <v>141</v>
      </c>
      <c r="AQ142" s="21" t="s">
        <v>141</v>
      </c>
      <c r="AR142" s="20" t="s">
        <v>141</v>
      </c>
      <c r="AS142" s="21" t="s">
        <v>141</v>
      </c>
      <c r="AT142" s="20" t="s">
        <v>141</v>
      </c>
      <c r="AU142" s="21" t="s">
        <v>141</v>
      </c>
      <c r="AV142" s="20" t="s">
        <v>141</v>
      </c>
      <c r="AW142" s="21" t="s">
        <v>141</v>
      </c>
      <c r="AX142" s="20" t="s">
        <v>141</v>
      </c>
      <c r="AY142" s="21" t="s">
        <v>141</v>
      </c>
    </row>
    <row r="143" spans="2:51">
      <c r="B143" s="2" t="s">
        <v>141</v>
      </c>
      <c r="C143" s="3" t="s">
        <v>141</v>
      </c>
      <c r="D143" s="20" t="s">
        <v>141</v>
      </c>
      <c r="E143" s="21" t="s">
        <v>141</v>
      </c>
      <c r="F143" s="20" t="s">
        <v>141</v>
      </c>
      <c r="G143" s="21" t="s">
        <v>141</v>
      </c>
      <c r="H143" s="20" t="s">
        <v>141</v>
      </c>
      <c r="I143" s="21" t="s">
        <v>141</v>
      </c>
      <c r="J143" s="20" t="s">
        <v>141</v>
      </c>
      <c r="K143" s="21" t="s">
        <v>141</v>
      </c>
      <c r="L143" s="20" t="s">
        <v>141</v>
      </c>
      <c r="M143" s="21" t="s">
        <v>141</v>
      </c>
      <c r="N143" s="20" t="s">
        <v>141</v>
      </c>
      <c r="O143" s="21" t="s">
        <v>141</v>
      </c>
      <c r="P143" s="20" t="s">
        <v>141</v>
      </c>
      <c r="Q143" s="21" t="s">
        <v>141</v>
      </c>
      <c r="R143" s="20" t="s">
        <v>141</v>
      </c>
      <c r="S143" s="21" t="s">
        <v>141</v>
      </c>
      <c r="T143" s="20" t="s">
        <v>141</v>
      </c>
      <c r="U143" s="21" t="s">
        <v>141</v>
      </c>
      <c r="V143" s="20" t="s">
        <v>141</v>
      </c>
      <c r="W143" s="21" t="s">
        <v>141</v>
      </c>
      <c r="X143" s="20" t="s">
        <v>141</v>
      </c>
      <c r="Y143" s="21" t="s">
        <v>141</v>
      </c>
      <c r="Z143" s="20" t="s">
        <v>141</v>
      </c>
      <c r="AA143" s="21" t="s">
        <v>141</v>
      </c>
      <c r="AB143" s="20" t="s">
        <v>141</v>
      </c>
      <c r="AC143" s="21" t="s">
        <v>141</v>
      </c>
      <c r="AD143" s="20" t="s">
        <v>141</v>
      </c>
      <c r="AE143" s="21" t="s">
        <v>141</v>
      </c>
      <c r="AF143" s="20" t="s">
        <v>141</v>
      </c>
      <c r="AG143" s="21" t="s">
        <v>141</v>
      </c>
      <c r="AH143" s="20" t="s">
        <v>141</v>
      </c>
      <c r="AI143" s="21" t="s">
        <v>141</v>
      </c>
      <c r="AJ143" s="20" t="s">
        <v>141</v>
      </c>
      <c r="AK143" s="21" t="s">
        <v>141</v>
      </c>
      <c r="AL143" s="20" t="s">
        <v>141</v>
      </c>
      <c r="AM143" s="21" t="s">
        <v>141</v>
      </c>
      <c r="AN143" s="20" t="s">
        <v>141</v>
      </c>
      <c r="AO143" s="21" t="s">
        <v>141</v>
      </c>
      <c r="AP143" s="20" t="s">
        <v>141</v>
      </c>
      <c r="AQ143" s="21" t="s">
        <v>141</v>
      </c>
      <c r="AR143" s="20" t="s">
        <v>141</v>
      </c>
      <c r="AS143" s="21" t="s">
        <v>141</v>
      </c>
      <c r="AT143" s="20" t="s">
        <v>141</v>
      </c>
      <c r="AU143" s="21" t="s">
        <v>141</v>
      </c>
      <c r="AV143" s="20" t="s">
        <v>141</v>
      </c>
      <c r="AW143" s="21" t="s">
        <v>141</v>
      </c>
      <c r="AX143" s="20" t="s">
        <v>141</v>
      </c>
      <c r="AY143" s="21" t="s">
        <v>141</v>
      </c>
    </row>
    <row r="144" spans="2:51">
      <c r="B144" s="2" t="s">
        <v>141</v>
      </c>
      <c r="C144" s="3" t="s">
        <v>141</v>
      </c>
      <c r="D144" s="20" t="s">
        <v>141</v>
      </c>
      <c r="E144" s="21" t="s">
        <v>141</v>
      </c>
      <c r="F144" s="20" t="s">
        <v>141</v>
      </c>
      <c r="G144" s="21" t="s">
        <v>141</v>
      </c>
      <c r="H144" s="20" t="s">
        <v>141</v>
      </c>
      <c r="I144" s="21" t="s">
        <v>141</v>
      </c>
      <c r="J144" s="20" t="s">
        <v>141</v>
      </c>
      <c r="K144" s="21" t="s">
        <v>141</v>
      </c>
      <c r="L144" s="20" t="s">
        <v>141</v>
      </c>
      <c r="M144" s="21" t="s">
        <v>141</v>
      </c>
      <c r="N144" s="20" t="s">
        <v>141</v>
      </c>
      <c r="O144" s="21" t="s">
        <v>141</v>
      </c>
      <c r="P144" s="20" t="s">
        <v>141</v>
      </c>
      <c r="Q144" s="21" t="s">
        <v>141</v>
      </c>
      <c r="R144" s="20" t="s">
        <v>141</v>
      </c>
      <c r="S144" s="21" t="s">
        <v>141</v>
      </c>
      <c r="T144" s="20" t="s">
        <v>141</v>
      </c>
      <c r="U144" s="21" t="s">
        <v>141</v>
      </c>
      <c r="V144" s="20" t="s">
        <v>141</v>
      </c>
      <c r="W144" s="21" t="s">
        <v>141</v>
      </c>
      <c r="X144" s="20" t="s">
        <v>141</v>
      </c>
      <c r="Y144" s="21" t="s">
        <v>141</v>
      </c>
      <c r="Z144" s="20" t="s">
        <v>141</v>
      </c>
      <c r="AA144" s="21" t="s">
        <v>141</v>
      </c>
      <c r="AB144" s="20" t="s">
        <v>141</v>
      </c>
      <c r="AC144" s="21" t="s">
        <v>141</v>
      </c>
      <c r="AD144" s="20" t="s">
        <v>141</v>
      </c>
      <c r="AE144" s="21" t="s">
        <v>141</v>
      </c>
      <c r="AF144" s="20" t="s">
        <v>141</v>
      </c>
      <c r="AG144" s="21" t="s">
        <v>141</v>
      </c>
      <c r="AH144" s="20" t="s">
        <v>141</v>
      </c>
      <c r="AI144" s="21" t="s">
        <v>141</v>
      </c>
      <c r="AJ144" s="20" t="s">
        <v>141</v>
      </c>
      <c r="AK144" s="21" t="s">
        <v>141</v>
      </c>
      <c r="AL144" s="20" t="s">
        <v>141</v>
      </c>
      <c r="AM144" s="21" t="s">
        <v>141</v>
      </c>
      <c r="AN144" s="20" t="s">
        <v>141</v>
      </c>
      <c r="AO144" s="21" t="s">
        <v>141</v>
      </c>
      <c r="AP144" s="20" t="s">
        <v>141</v>
      </c>
      <c r="AQ144" s="21" t="s">
        <v>141</v>
      </c>
      <c r="AR144" s="20" t="s">
        <v>141</v>
      </c>
      <c r="AS144" s="21" t="s">
        <v>141</v>
      </c>
      <c r="AT144" s="20" t="s">
        <v>141</v>
      </c>
      <c r="AU144" s="21" t="s">
        <v>141</v>
      </c>
      <c r="AV144" s="20" t="s">
        <v>141</v>
      </c>
      <c r="AW144" s="21" t="s">
        <v>141</v>
      </c>
      <c r="AX144" s="20" t="s">
        <v>141</v>
      </c>
      <c r="AY144" s="21" t="s">
        <v>141</v>
      </c>
    </row>
    <row r="145" spans="2:51">
      <c r="B145" s="2" t="s">
        <v>141</v>
      </c>
      <c r="C145" s="3" t="s">
        <v>141</v>
      </c>
      <c r="D145" s="20" t="s">
        <v>141</v>
      </c>
      <c r="E145" s="21" t="s">
        <v>141</v>
      </c>
      <c r="F145" s="20" t="s">
        <v>141</v>
      </c>
      <c r="G145" s="21" t="s">
        <v>141</v>
      </c>
      <c r="H145" s="20" t="s">
        <v>141</v>
      </c>
      <c r="I145" s="21" t="s">
        <v>141</v>
      </c>
      <c r="J145" s="20" t="s">
        <v>141</v>
      </c>
      <c r="K145" s="21" t="s">
        <v>141</v>
      </c>
      <c r="L145" s="20" t="s">
        <v>141</v>
      </c>
      <c r="M145" s="21" t="s">
        <v>141</v>
      </c>
      <c r="N145" s="20" t="s">
        <v>141</v>
      </c>
      <c r="O145" s="21" t="s">
        <v>141</v>
      </c>
      <c r="P145" s="20" t="s">
        <v>141</v>
      </c>
      <c r="Q145" s="21" t="s">
        <v>141</v>
      </c>
      <c r="R145" s="20" t="s">
        <v>141</v>
      </c>
      <c r="S145" s="21" t="s">
        <v>141</v>
      </c>
      <c r="T145" s="20" t="s">
        <v>141</v>
      </c>
      <c r="U145" s="21" t="s">
        <v>141</v>
      </c>
      <c r="V145" s="20" t="s">
        <v>141</v>
      </c>
      <c r="W145" s="21" t="s">
        <v>141</v>
      </c>
      <c r="X145" s="20" t="s">
        <v>141</v>
      </c>
      <c r="Y145" s="21" t="s">
        <v>141</v>
      </c>
      <c r="Z145" s="20" t="s">
        <v>141</v>
      </c>
      <c r="AA145" s="21" t="s">
        <v>141</v>
      </c>
      <c r="AB145" s="20" t="s">
        <v>141</v>
      </c>
      <c r="AC145" s="21" t="s">
        <v>141</v>
      </c>
      <c r="AD145" s="20" t="s">
        <v>141</v>
      </c>
      <c r="AE145" s="21" t="s">
        <v>141</v>
      </c>
      <c r="AF145" s="20" t="s">
        <v>141</v>
      </c>
      <c r="AG145" s="21" t="s">
        <v>141</v>
      </c>
      <c r="AH145" s="20" t="s">
        <v>141</v>
      </c>
      <c r="AI145" s="21" t="s">
        <v>141</v>
      </c>
      <c r="AJ145" s="20" t="s">
        <v>141</v>
      </c>
      <c r="AK145" s="21" t="s">
        <v>141</v>
      </c>
      <c r="AL145" s="20" t="s">
        <v>141</v>
      </c>
      <c r="AM145" s="21" t="s">
        <v>141</v>
      </c>
      <c r="AN145" s="20" t="s">
        <v>141</v>
      </c>
      <c r="AO145" s="21" t="s">
        <v>141</v>
      </c>
      <c r="AP145" s="20" t="s">
        <v>141</v>
      </c>
      <c r="AQ145" s="21" t="s">
        <v>141</v>
      </c>
      <c r="AR145" s="20" t="s">
        <v>141</v>
      </c>
      <c r="AS145" s="21" t="s">
        <v>141</v>
      </c>
      <c r="AT145" s="20" t="s">
        <v>141</v>
      </c>
      <c r="AU145" s="21" t="s">
        <v>141</v>
      </c>
      <c r="AV145" s="20" t="s">
        <v>141</v>
      </c>
      <c r="AW145" s="21" t="s">
        <v>141</v>
      </c>
      <c r="AX145" s="20" t="s">
        <v>141</v>
      </c>
      <c r="AY145" s="21" t="s">
        <v>141</v>
      </c>
    </row>
    <row r="146" spans="2:51">
      <c r="B146" s="2" t="s">
        <v>141</v>
      </c>
      <c r="C146" s="3" t="s">
        <v>141</v>
      </c>
      <c r="D146" s="20" t="s">
        <v>141</v>
      </c>
      <c r="E146" s="21" t="s">
        <v>141</v>
      </c>
      <c r="F146" s="20" t="s">
        <v>141</v>
      </c>
      <c r="G146" s="21" t="s">
        <v>141</v>
      </c>
      <c r="H146" s="20" t="s">
        <v>141</v>
      </c>
      <c r="I146" s="21" t="s">
        <v>141</v>
      </c>
      <c r="J146" s="20" t="s">
        <v>141</v>
      </c>
      <c r="K146" s="21" t="s">
        <v>141</v>
      </c>
      <c r="L146" s="20" t="s">
        <v>141</v>
      </c>
      <c r="M146" s="21" t="s">
        <v>141</v>
      </c>
      <c r="N146" s="20" t="s">
        <v>141</v>
      </c>
      <c r="O146" s="21" t="s">
        <v>141</v>
      </c>
      <c r="P146" s="20" t="s">
        <v>141</v>
      </c>
      <c r="Q146" s="21" t="s">
        <v>141</v>
      </c>
      <c r="R146" s="20" t="s">
        <v>141</v>
      </c>
      <c r="S146" s="21" t="s">
        <v>141</v>
      </c>
      <c r="T146" s="20" t="s">
        <v>141</v>
      </c>
      <c r="U146" s="21" t="s">
        <v>141</v>
      </c>
      <c r="V146" s="20" t="s">
        <v>141</v>
      </c>
      <c r="W146" s="21" t="s">
        <v>141</v>
      </c>
      <c r="X146" s="20" t="s">
        <v>141</v>
      </c>
      <c r="Y146" s="21" t="s">
        <v>141</v>
      </c>
      <c r="Z146" s="20" t="s">
        <v>141</v>
      </c>
      <c r="AA146" s="21" t="s">
        <v>141</v>
      </c>
      <c r="AB146" s="20" t="s">
        <v>141</v>
      </c>
      <c r="AC146" s="21" t="s">
        <v>141</v>
      </c>
      <c r="AD146" s="20" t="s">
        <v>141</v>
      </c>
      <c r="AE146" s="21" t="s">
        <v>141</v>
      </c>
      <c r="AF146" s="20" t="s">
        <v>141</v>
      </c>
      <c r="AG146" s="21" t="s">
        <v>141</v>
      </c>
      <c r="AH146" s="20" t="s">
        <v>141</v>
      </c>
      <c r="AI146" s="21" t="s">
        <v>141</v>
      </c>
      <c r="AJ146" s="20" t="s">
        <v>141</v>
      </c>
      <c r="AK146" s="21" t="s">
        <v>141</v>
      </c>
      <c r="AL146" s="20" t="s">
        <v>141</v>
      </c>
      <c r="AM146" s="21" t="s">
        <v>141</v>
      </c>
      <c r="AN146" s="20" t="s">
        <v>141</v>
      </c>
      <c r="AO146" s="21" t="s">
        <v>141</v>
      </c>
      <c r="AP146" s="20" t="s">
        <v>141</v>
      </c>
      <c r="AQ146" s="21" t="s">
        <v>141</v>
      </c>
      <c r="AR146" s="20" t="s">
        <v>141</v>
      </c>
      <c r="AS146" s="21" t="s">
        <v>141</v>
      </c>
      <c r="AT146" s="20" t="s">
        <v>141</v>
      </c>
      <c r="AU146" s="21" t="s">
        <v>141</v>
      </c>
      <c r="AV146" s="20" t="s">
        <v>141</v>
      </c>
      <c r="AW146" s="21" t="s">
        <v>141</v>
      </c>
      <c r="AX146" s="20" t="s">
        <v>141</v>
      </c>
      <c r="AY146" s="21" t="s">
        <v>141</v>
      </c>
    </row>
    <row r="147" spans="2:51">
      <c r="B147" s="2">
        <v>1</v>
      </c>
      <c r="C147" s="3">
        <v>2</v>
      </c>
      <c r="D147" s="20">
        <v>3</v>
      </c>
      <c r="E147" s="21">
        <v>4</v>
      </c>
      <c r="F147" s="20">
        <v>5</v>
      </c>
      <c r="G147" s="21">
        <v>6</v>
      </c>
      <c r="H147" s="20">
        <v>7</v>
      </c>
      <c r="I147" s="21">
        <v>8</v>
      </c>
      <c r="J147" s="20">
        <v>9</v>
      </c>
      <c r="K147" s="21">
        <v>10</v>
      </c>
      <c r="L147" s="20">
        <v>11</v>
      </c>
      <c r="M147" s="21">
        <v>12</v>
      </c>
      <c r="N147" s="20">
        <v>13</v>
      </c>
      <c r="O147" s="21">
        <v>14</v>
      </c>
      <c r="P147" s="20">
        <v>15</v>
      </c>
      <c r="Q147" s="21">
        <v>16</v>
      </c>
      <c r="R147" s="20">
        <v>17</v>
      </c>
      <c r="S147" s="21">
        <v>18</v>
      </c>
      <c r="T147" s="20">
        <v>19</v>
      </c>
      <c r="U147" s="21">
        <v>20</v>
      </c>
      <c r="V147" s="20">
        <v>21</v>
      </c>
      <c r="W147" s="21">
        <v>22</v>
      </c>
      <c r="X147" s="20">
        <v>23</v>
      </c>
      <c r="Y147" s="21">
        <v>24</v>
      </c>
      <c r="Z147" s="20">
        <v>25</v>
      </c>
      <c r="AA147" s="21">
        <v>26</v>
      </c>
      <c r="AB147" s="20">
        <v>27</v>
      </c>
      <c r="AC147" s="21">
        <v>28</v>
      </c>
      <c r="AD147" s="20">
        <v>29</v>
      </c>
      <c r="AE147" s="21">
        <v>30</v>
      </c>
      <c r="AF147" s="20">
        <v>31</v>
      </c>
      <c r="AG147" s="21">
        <v>32</v>
      </c>
      <c r="AH147" s="20">
        <v>33</v>
      </c>
      <c r="AI147" s="21">
        <v>34</v>
      </c>
      <c r="AJ147" s="20">
        <v>35</v>
      </c>
      <c r="AK147" s="21">
        <v>36</v>
      </c>
      <c r="AL147" s="20">
        <v>37</v>
      </c>
      <c r="AM147" s="21">
        <v>38</v>
      </c>
      <c r="AN147" s="20">
        <v>39</v>
      </c>
      <c r="AO147" s="21">
        <v>40</v>
      </c>
      <c r="AP147" s="20">
        <v>41</v>
      </c>
      <c r="AQ147" s="21">
        <v>42</v>
      </c>
      <c r="AR147" s="20">
        <v>43</v>
      </c>
      <c r="AS147" s="21">
        <v>44</v>
      </c>
      <c r="AT147" s="20">
        <v>45</v>
      </c>
      <c r="AU147" s="21">
        <v>46</v>
      </c>
      <c r="AV147" s="20">
        <v>47</v>
      </c>
      <c r="AW147" s="21">
        <v>48</v>
      </c>
      <c r="AX147" s="20">
        <v>49</v>
      </c>
      <c r="AY147" s="21">
        <v>50</v>
      </c>
    </row>
    <row r="148" spans="2:51">
      <c r="B148" s="2" t="s">
        <v>141</v>
      </c>
      <c r="C148" s="3" t="s">
        <v>141</v>
      </c>
      <c r="D148" s="20" t="s">
        <v>141</v>
      </c>
      <c r="E148" s="21" t="s">
        <v>141</v>
      </c>
      <c r="F148" s="20" t="s">
        <v>141</v>
      </c>
      <c r="G148" s="21" t="s">
        <v>141</v>
      </c>
      <c r="H148" s="20" t="s">
        <v>141</v>
      </c>
      <c r="I148" s="21" t="s">
        <v>141</v>
      </c>
      <c r="J148" s="20" t="s">
        <v>141</v>
      </c>
      <c r="K148" s="21" t="s">
        <v>141</v>
      </c>
      <c r="L148" s="20" t="s">
        <v>141</v>
      </c>
      <c r="M148" s="21" t="s">
        <v>141</v>
      </c>
      <c r="N148" s="20" t="s">
        <v>141</v>
      </c>
      <c r="O148" s="21" t="s">
        <v>141</v>
      </c>
      <c r="P148" s="20" t="s">
        <v>141</v>
      </c>
      <c r="Q148" s="21" t="s">
        <v>141</v>
      </c>
      <c r="R148" s="20" t="s">
        <v>141</v>
      </c>
      <c r="S148" s="21" t="s">
        <v>141</v>
      </c>
      <c r="T148" s="20" t="s">
        <v>141</v>
      </c>
      <c r="U148" s="21" t="s">
        <v>141</v>
      </c>
      <c r="V148" s="20" t="s">
        <v>141</v>
      </c>
      <c r="W148" s="21" t="s">
        <v>141</v>
      </c>
      <c r="X148" s="20" t="s">
        <v>141</v>
      </c>
      <c r="Y148" s="21" t="s">
        <v>141</v>
      </c>
      <c r="Z148" s="20" t="s">
        <v>141</v>
      </c>
      <c r="AA148" s="21" t="s">
        <v>141</v>
      </c>
      <c r="AB148" s="20" t="s">
        <v>141</v>
      </c>
      <c r="AC148" s="21" t="s">
        <v>141</v>
      </c>
      <c r="AD148" s="20" t="s">
        <v>141</v>
      </c>
      <c r="AE148" s="21" t="s">
        <v>141</v>
      </c>
      <c r="AF148" s="20" t="s">
        <v>141</v>
      </c>
      <c r="AG148" s="21" t="s">
        <v>141</v>
      </c>
      <c r="AH148" s="20" t="s">
        <v>141</v>
      </c>
      <c r="AI148" s="21" t="s">
        <v>141</v>
      </c>
      <c r="AJ148" s="20" t="s">
        <v>141</v>
      </c>
      <c r="AK148" s="21" t="s">
        <v>141</v>
      </c>
      <c r="AL148" s="20" t="s">
        <v>141</v>
      </c>
      <c r="AM148" s="21" t="s">
        <v>141</v>
      </c>
      <c r="AN148" s="20" t="s">
        <v>141</v>
      </c>
      <c r="AO148" s="21" t="s">
        <v>141</v>
      </c>
      <c r="AP148" s="20" t="s">
        <v>141</v>
      </c>
      <c r="AQ148" s="21" t="s">
        <v>141</v>
      </c>
      <c r="AR148" s="20" t="s">
        <v>141</v>
      </c>
      <c r="AS148" s="21" t="s">
        <v>141</v>
      </c>
      <c r="AT148" s="20" t="s">
        <v>141</v>
      </c>
      <c r="AU148" s="21" t="s">
        <v>141</v>
      </c>
      <c r="AV148" s="20" t="s">
        <v>141</v>
      </c>
      <c r="AW148" s="21" t="s">
        <v>141</v>
      </c>
      <c r="AX148" s="20" t="s">
        <v>141</v>
      </c>
      <c r="AY148" s="21" t="s">
        <v>141</v>
      </c>
    </row>
    <row r="149" spans="2:51">
      <c r="B149" s="2" t="s">
        <v>141</v>
      </c>
      <c r="C149" s="3" t="s">
        <v>141</v>
      </c>
      <c r="D149" s="20" t="s">
        <v>141</v>
      </c>
      <c r="E149" s="21" t="s">
        <v>141</v>
      </c>
      <c r="F149" s="20" t="s">
        <v>141</v>
      </c>
      <c r="G149" s="21" t="s">
        <v>141</v>
      </c>
      <c r="H149" s="20" t="s">
        <v>141</v>
      </c>
      <c r="I149" s="21" t="s">
        <v>141</v>
      </c>
      <c r="J149" s="20" t="s">
        <v>141</v>
      </c>
      <c r="K149" s="21" t="s">
        <v>141</v>
      </c>
      <c r="L149" s="20" t="s">
        <v>141</v>
      </c>
      <c r="M149" s="21" t="s">
        <v>141</v>
      </c>
      <c r="N149" s="20" t="s">
        <v>141</v>
      </c>
      <c r="O149" s="21" t="s">
        <v>141</v>
      </c>
      <c r="P149" s="20" t="s">
        <v>141</v>
      </c>
      <c r="Q149" s="21" t="s">
        <v>141</v>
      </c>
      <c r="R149" s="20" t="s">
        <v>141</v>
      </c>
      <c r="S149" s="21" t="s">
        <v>141</v>
      </c>
      <c r="T149" s="20" t="s">
        <v>141</v>
      </c>
      <c r="U149" s="21" t="s">
        <v>141</v>
      </c>
      <c r="V149" s="20" t="s">
        <v>141</v>
      </c>
      <c r="W149" s="21" t="s">
        <v>141</v>
      </c>
      <c r="X149" s="20" t="s">
        <v>141</v>
      </c>
      <c r="Y149" s="21" t="s">
        <v>141</v>
      </c>
      <c r="Z149" s="20" t="s">
        <v>141</v>
      </c>
      <c r="AA149" s="21" t="s">
        <v>141</v>
      </c>
      <c r="AB149" s="20" t="s">
        <v>141</v>
      </c>
      <c r="AC149" s="21" t="s">
        <v>141</v>
      </c>
      <c r="AD149" s="20" t="s">
        <v>141</v>
      </c>
      <c r="AE149" s="21" t="s">
        <v>141</v>
      </c>
      <c r="AF149" s="20" t="s">
        <v>141</v>
      </c>
      <c r="AG149" s="21" t="s">
        <v>141</v>
      </c>
      <c r="AH149" s="20" t="s">
        <v>141</v>
      </c>
      <c r="AI149" s="21" t="s">
        <v>141</v>
      </c>
      <c r="AJ149" s="20" t="s">
        <v>141</v>
      </c>
      <c r="AK149" s="21" t="s">
        <v>141</v>
      </c>
      <c r="AL149" s="20" t="s">
        <v>141</v>
      </c>
      <c r="AM149" s="21" t="s">
        <v>141</v>
      </c>
      <c r="AN149" s="20" t="s">
        <v>141</v>
      </c>
      <c r="AO149" s="21" t="s">
        <v>141</v>
      </c>
      <c r="AP149" s="20" t="s">
        <v>141</v>
      </c>
      <c r="AQ149" s="21" t="s">
        <v>141</v>
      </c>
      <c r="AR149" s="20" t="s">
        <v>141</v>
      </c>
      <c r="AS149" s="21" t="s">
        <v>141</v>
      </c>
      <c r="AT149" s="20" t="s">
        <v>141</v>
      </c>
      <c r="AU149" s="21" t="s">
        <v>141</v>
      </c>
      <c r="AV149" s="20" t="s">
        <v>141</v>
      </c>
      <c r="AW149" s="21" t="s">
        <v>141</v>
      </c>
      <c r="AX149" s="20" t="s">
        <v>141</v>
      </c>
      <c r="AY149" s="21" t="s">
        <v>141</v>
      </c>
    </row>
    <row r="150" spans="2:51">
      <c r="B150" s="2" t="s">
        <v>141</v>
      </c>
      <c r="C150" s="3" t="s">
        <v>141</v>
      </c>
      <c r="D150" s="20" t="s">
        <v>141</v>
      </c>
      <c r="E150" s="21" t="s">
        <v>141</v>
      </c>
      <c r="F150" s="20" t="s">
        <v>141</v>
      </c>
      <c r="G150" s="21" t="s">
        <v>141</v>
      </c>
      <c r="H150" s="20" t="s">
        <v>141</v>
      </c>
      <c r="I150" s="21" t="s">
        <v>141</v>
      </c>
      <c r="J150" s="20" t="s">
        <v>141</v>
      </c>
      <c r="K150" s="21" t="s">
        <v>141</v>
      </c>
      <c r="L150" s="20" t="s">
        <v>141</v>
      </c>
      <c r="M150" s="21" t="s">
        <v>141</v>
      </c>
      <c r="N150" s="20" t="s">
        <v>141</v>
      </c>
      <c r="O150" s="21" t="s">
        <v>141</v>
      </c>
      <c r="P150" s="20" t="s">
        <v>141</v>
      </c>
      <c r="Q150" s="21" t="s">
        <v>141</v>
      </c>
      <c r="R150" s="20" t="s">
        <v>141</v>
      </c>
      <c r="S150" s="21" t="s">
        <v>141</v>
      </c>
      <c r="T150" s="20" t="s">
        <v>141</v>
      </c>
      <c r="U150" s="21" t="s">
        <v>141</v>
      </c>
      <c r="V150" s="20" t="s">
        <v>141</v>
      </c>
      <c r="W150" s="21" t="s">
        <v>141</v>
      </c>
      <c r="X150" s="20" t="s">
        <v>141</v>
      </c>
      <c r="Y150" s="21" t="s">
        <v>141</v>
      </c>
      <c r="Z150" s="20" t="s">
        <v>141</v>
      </c>
      <c r="AA150" s="21" t="s">
        <v>141</v>
      </c>
      <c r="AB150" s="20" t="s">
        <v>141</v>
      </c>
      <c r="AC150" s="21" t="s">
        <v>141</v>
      </c>
      <c r="AD150" s="20" t="s">
        <v>141</v>
      </c>
      <c r="AE150" s="21" t="s">
        <v>141</v>
      </c>
      <c r="AF150" s="20" t="s">
        <v>141</v>
      </c>
      <c r="AG150" s="21" t="s">
        <v>141</v>
      </c>
      <c r="AH150" s="20" t="s">
        <v>141</v>
      </c>
      <c r="AI150" s="21" t="s">
        <v>141</v>
      </c>
      <c r="AJ150" s="20" t="s">
        <v>141</v>
      </c>
      <c r="AK150" s="21" t="s">
        <v>141</v>
      </c>
      <c r="AL150" s="20" t="s">
        <v>141</v>
      </c>
      <c r="AM150" s="21" t="s">
        <v>141</v>
      </c>
      <c r="AN150" s="20" t="s">
        <v>141</v>
      </c>
      <c r="AO150" s="21" t="s">
        <v>141</v>
      </c>
      <c r="AP150" s="20" t="s">
        <v>141</v>
      </c>
      <c r="AQ150" s="21" t="s">
        <v>141</v>
      </c>
      <c r="AR150" s="20" t="s">
        <v>141</v>
      </c>
      <c r="AS150" s="21" t="s">
        <v>141</v>
      </c>
      <c r="AT150" s="20" t="s">
        <v>141</v>
      </c>
      <c r="AU150" s="21" t="s">
        <v>141</v>
      </c>
      <c r="AV150" s="20" t="s">
        <v>141</v>
      </c>
      <c r="AW150" s="21" t="s">
        <v>141</v>
      </c>
      <c r="AX150" s="20" t="s">
        <v>141</v>
      </c>
      <c r="AY150" s="21" t="s">
        <v>141</v>
      </c>
    </row>
    <row r="151" spans="2:51">
      <c r="B151" s="2" t="s">
        <v>141</v>
      </c>
      <c r="C151" s="3" t="s">
        <v>141</v>
      </c>
      <c r="D151" s="20" t="s">
        <v>141</v>
      </c>
      <c r="E151" s="21" t="s">
        <v>141</v>
      </c>
      <c r="F151" s="20" t="s">
        <v>141</v>
      </c>
      <c r="G151" s="21" t="s">
        <v>141</v>
      </c>
      <c r="H151" s="20" t="s">
        <v>141</v>
      </c>
      <c r="I151" s="21" t="s">
        <v>141</v>
      </c>
      <c r="J151" s="20" t="s">
        <v>141</v>
      </c>
      <c r="K151" s="21" t="s">
        <v>141</v>
      </c>
      <c r="L151" s="20" t="s">
        <v>141</v>
      </c>
      <c r="M151" s="21" t="s">
        <v>141</v>
      </c>
      <c r="N151" s="20" t="s">
        <v>141</v>
      </c>
      <c r="O151" s="21" t="s">
        <v>141</v>
      </c>
      <c r="P151" s="20" t="s">
        <v>141</v>
      </c>
      <c r="Q151" s="21" t="s">
        <v>141</v>
      </c>
      <c r="R151" s="20" t="s">
        <v>141</v>
      </c>
      <c r="S151" s="21" t="s">
        <v>141</v>
      </c>
      <c r="T151" s="20" t="s">
        <v>141</v>
      </c>
      <c r="U151" s="21" t="s">
        <v>141</v>
      </c>
      <c r="V151" s="20" t="s">
        <v>141</v>
      </c>
      <c r="W151" s="21" t="s">
        <v>141</v>
      </c>
      <c r="X151" s="20" t="s">
        <v>141</v>
      </c>
      <c r="Y151" s="21" t="s">
        <v>141</v>
      </c>
      <c r="Z151" s="20" t="s">
        <v>141</v>
      </c>
      <c r="AA151" s="21" t="s">
        <v>141</v>
      </c>
      <c r="AB151" s="20" t="s">
        <v>141</v>
      </c>
      <c r="AC151" s="21" t="s">
        <v>141</v>
      </c>
      <c r="AD151" s="20" t="s">
        <v>141</v>
      </c>
      <c r="AE151" s="21" t="s">
        <v>141</v>
      </c>
      <c r="AF151" s="20" t="s">
        <v>141</v>
      </c>
      <c r="AG151" s="21" t="s">
        <v>141</v>
      </c>
      <c r="AH151" s="20" t="s">
        <v>141</v>
      </c>
      <c r="AI151" s="21" t="s">
        <v>141</v>
      </c>
      <c r="AJ151" s="20" t="s">
        <v>141</v>
      </c>
      <c r="AK151" s="21" t="s">
        <v>141</v>
      </c>
      <c r="AL151" s="20" t="s">
        <v>141</v>
      </c>
      <c r="AM151" s="21" t="s">
        <v>141</v>
      </c>
      <c r="AN151" s="20" t="s">
        <v>141</v>
      </c>
      <c r="AO151" s="21" t="s">
        <v>141</v>
      </c>
      <c r="AP151" s="20" t="s">
        <v>141</v>
      </c>
      <c r="AQ151" s="21" t="s">
        <v>141</v>
      </c>
      <c r="AR151" s="20" t="s">
        <v>141</v>
      </c>
      <c r="AS151" s="21" t="s">
        <v>141</v>
      </c>
      <c r="AT151" s="20" t="s">
        <v>141</v>
      </c>
      <c r="AU151" s="21" t="s">
        <v>141</v>
      </c>
      <c r="AV151" s="20" t="s">
        <v>141</v>
      </c>
      <c r="AW151" s="21" t="s">
        <v>141</v>
      </c>
      <c r="AX151" s="20" t="s">
        <v>141</v>
      </c>
      <c r="AY151" s="21" t="s">
        <v>141</v>
      </c>
    </row>
    <row r="152" spans="2:51">
      <c r="B152" s="2" t="s">
        <v>141</v>
      </c>
      <c r="C152" s="3" t="s">
        <v>141</v>
      </c>
      <c r="D152" s="20" t="s">
        <v>141</v>
      </c>
      <c r="E152" s="21" t="s">
        <v>141</v>
      </c>
      <c r="F152" s="20" t="s">
        <v>141</v>
      </c>
      <c r="G152" s="21" t="s">
        <v>141</v>
      </c>
      <c r="H152" s="20" t="s">
        <v>141</v>
      </c>
      <c r="I152" s="21" t="s">
        <v>141</v>
      </c>
      <c r="J152" s="20" t="s">
        <v>141</v>
      </c>
      <c r="K152" s="21" t="s">
        <v>141</v>
      </c>
      <c r="L152" s="20" t="s">
        <v>141</v>
      </c>
      <c r="M152" s="21" t="s">
        <v>141</v>
      </c>
      <c r="N152" s="20" t="s">
        <v>141</v>
      </c>
      <c r="O152" s="21" t="s">
        <v>141</v>
      </c>
      <c r="P152" s="20" t="s">
        <v>141</v>
      </c>
      <c r="Q152" s="21" t="s">
        <v>141</v>
      </c>
      <c r="R152" s="20" t="s">
        <v>141</v>
      </c>
      <c r="S152" s="21" t="s">
        <v>141</v>
      </c>
      <c r="T152" s="20" t="s">
        <v>141</v>
      </c>
      <c r="U152" s="21" t="s">
        <v>141</v>
      </c>
      <c r="V152" s="20" t="s">
        <v>141</v>
      </c>
      <c r="W152" s="21" t="s">
        <v>141</v>
      </c>
      <c r="X152" s="20" t="s">
        <v>141</v>
      </c>
      <c r="Y152" s="21" t="s">
        <v>141</v>
      </c>
      <c r="Z152" s="20" t="s">
        <v>141</v>
      </c>
      <c r="AA152" s="21" t="s">
        <v>141</v>
      </c>
      <c r="AB152" s="20" t="s">
        <v>141</v>
      </c>
      <c r="AC152" s="21" t="s">
        <v>141</v>
      </c>
      <c r="AD152" s="20" t="s">
        <v>141</v>
      </c>
      <c r="AE152" s="21" t="s">
        <v>141</v>
      </c>
      <c r="AF152" s="20" t="s">
        <v>141</v>
      </c>
      <c r="AG152" s="21" t="s">
        <v>141</v>
      </c>
      <c r="AH152" s="20" t="s">
        <v>141</v>
      </c>
      <c r="AI152" s="21" t="s">
        <v>141</v>
      </c>
      <c r="AJ152" s="20" t="s">
        <v>141</v>
      </c>
      <c r="AK152" s="21" t="s">
        <v>141</v>
      </c>
      <c r="AL152" s="20" t="s">
        <v>141</v>
      </c>
      <c r="AM152" s="21" t="s">
        <v>141</v>
      </c>
      <c r="AN152" s="20" t="s">
        <v>141</v>
      </c>
      <c r="AO152" s="21" t="s">
        <v>141</v>
      </c>
      <c r="AP152" s="20" t="s">
        <v>141</v>
      </c>
      <c r="AQ152" s="21" t="s">
        <v>141</v>
      </c>
      <c r="AR152" s="20" t="s">
        <v>141</v>
      </c>
      <c r="AS152" s="21" t="s">
        <v>141</v>
      </c>
      <c r="AT152" s="20" t="s">
        <v>141</v>
      </c>
      <c r="AU152" s="21" t="s">
        <v>141</v>
      </c>
      <c r="AV152" s="20" t="s">
        <v>141</v>
      </c>
      <c r="AW152" s="21" t="s">
        <v>141</v>
      </c>
      <c r="AX152" s="20" t="s">
        <v>141</v>
      </c>
      <c r="AY152" s="21" t="s">
        <v>141</v>
      </c>
    </row>
    <row r="153" spans="2:51">
      <c r="B153" s="2" t="s">
        <v>141</v>
      </c>
      <c r="C153" s="3" t="s">
        <v>141</v>
      </c>
      <c r="D153" s="20" t="s">
        <v>141</v>
      </c>
      <c r="E153" s="21" t="s">
        <v>141</v>
      </c>
      <c r="F153" s="20" t="s">
        <v>141</v>
      </c>
      <c r="G153" s="21" t="s">
        <v>141</v>
      </c>
      <c r="H153" s="20" t="s">
        <v>141</v>
      </c>
      <c r="I153" s="21" t="s">
        <v>141</v>
      </c>
      <c r="J153" s="20" t="s">
        <v>141</v>
      </c>
      <c r="K153" s="21" t="s">
        <v>141</v>
      </c>
      <c r="L153" s="20" t="s">
        <v>141</v>
      </c>
      <c r="M153" s="21" t="s">
        <v>141</v>
      </c>
      <c r="N153" s="20" t="s">
        <v>141</v>
      </c>
      <c r="O153" s="21" t="s">
        <v>141</v>
      </c>
      <c r="P153" s="20" t="s">
        <v>141</v>
      </c>
      <c r="Q153" s="21" t="s">
        <v>141</v>
      </c>
      <c r="R153" s="20" t="s">
        <v>141</v>
      </c>
      <c r="S153" s="21" t="s">
        <v>141</v>
      </c>
      <c r="T153" s="20" t="s">
        <v>141</v>
      </c>
      <c r="U153" s="21" t="s">
        <v>141</v>
      </c>
      <c r="V153" s="20" t="s">
        <v>141</v>
      </c>
      <c r="W153" s="21" t="s">
        <v>141</v>
      </c>
      <c r="X153" s="20" t="s">
        <v>141</v>
      </c>
      <c r="Y153" s="21" t="s">
        <v>141</v>
      </c>
      <c r="Z153" s="20" t="s">
        <v>141</v>
      </c>
      <c r="AA153" s="21" t="s">
        <v>141</v>
      </c>
      <c r="AB153" s="20" t="s">
        <v>141</v>
      </c>
      <c r="AC153" s="21" t="s">
        <v>141</v>
      </c>
      <c r="AD153" s="20" t="s">
        <v>141</v>
      </c>
      <c r="AE153" s="21" t="s">
        <v>141</v>
      </c>
      <c r="AF153" s="20" t="s">
        <v>141</v>
      </c>
      <c r="AG153" s="21" t="s">
        <v>141</v>
      </c>
      <c r="AH153" s="20" t="s">
        <v>141</v>
      </c>
      <c r="AI153" s="21" t="s">
        <v>141</v>
      </c>
      <c r="AJ153" s="20" t="s">
        <v>141</v>
      </c>
      <c r="AK153" s="21" t="s">
        <v>141</v>
      </c>
      <c r="AL153" s="20" t="s">
        <v>141</v>
      </c>
      <c r="AM153" s="21" t="s">
        <v>141</v>
      </c>
      <c r="AN153" s="20" t="s">
        <v>141</v>
      </c>
      <c r="AO153" s="21" t="s">
        <v>141</v>
      </c>
      <c r="AP153" s="20" t="s">
        <v>141</v>
      </c>
      <c r="AQ153" s="21" t="s">
        <v>141</v>
      </c>
      <c r="AR153" s="20" t="s">
        <v>141</v>
      </c>
      <c r="AS153" s="21" t="s">
        <v>141</v>
      </c>
      <c r="AT153" s="20" t="s">
        <v>141</v>
      </c>
      <c r="AU153" s="21" t="s">
        <v>141</v>
      </c>
      <c r="AV153" s="20" t="s">
        <v>141</v>
      </c>
      <c r="AW153" s="21" t="s">
        <v>141</v>
      </c>
      <c r="AX153" s="20" t="s">
        <v>141</v>
      </c>
      <c r="AY153" s="21" t="s">
        <v>141</v>
      </c>
    </row>
    <row r="154" spans="2:51">
      <c r="B154" s="2" t="s">
        <v>141</v>
      </c>
      <c r="C154" s="3" t="s">
        <v>141</v>
      </c>
      <c r="D154" s="20" t="s">
        <v>141</v>
      </c>
      <c r="E154" s="21" t="s">
        <v>141</v>
      </c>
      <c r="F154" s="20" t="s">
        <v>141</v>
      </c>
      <c r="G154" s="21" t="s">
        <v>141</v>
      </c>
      <c r="H154" s="20" t="s">
        <v>141</v>
      </c>
      <c r="I154" s="21" t="s">
        <v>141</v>
      </c>
      <c r="J154" s="20" t="s">
        <v>141</v>
      </c>
      <c r="K154" s="21" t="s">
        <v>141</v>
      </c>
      <c r="L154" s="20" t="s">
        <v>141</v>
      </c>
      <c r="M154" s="21" t="s">
        <v>141</v>
      </c>
      <c r="N154" s="20" t="s">
        <v>141</v>
      </c>
      <c r="O154" s="21" t="s">
        <v>141</v>
      </c>
      <c r="P154" s="20" t="s">
        <v>141</v>
      </c>
      <c r="Q154" s="21" t="s">
        <v>141</v>
      </c>
      <c r="R154" s="20" t="s">
        <v>141</v>
      </c>
      <c r="S154" s="21" t="s">
        <v>141</v>
      </c>
      <c r="T154" s="20" t="s">
        <v>141</v>
      </c>
      <c r="U154" s="21" t="s">
        <v>141</v>
      </c>
      <c r="V154" s="20" t="s">
        <v>141</v>
      </c>
      <c r="W154" s="21" t="s">
        <v>141</v>
      </c>
      <c r="X154" s="20" t="s">
        <v>141</v>
      </c>
      <c r="Y154" s="21" t="s">
        <v>141</v>
      </c>
      <c r="Z154" s="20" t="s">
        <v>141</v>
      </c>
      <c r="AA154" s="21" t="s">
        <v>141</v>
      </c>
      <c r="AB154" s="20" t="s">
        <v>141</v>
      </c>
      <c r="AC154" s="21" t="s">
        <v>141</v>
      </c>
      <c r="AD154" s="20" t="s">
        <v>141</v>
      </c>
      <c r="AE154" s="21" t="s">
        <v>141</v>
      </c>
      <c r="AF154" s="20" t="s">
        <v>141</v>
      </c>
      <c r="AG154" s="21" t="s">
        <v>141</v>
      </c>
      <c r="AH154" s="20" t="s">
        <v>141</v>
      </c>
      <c r="AI154" s="21" t="s">
        <v>141</v>
      </c>
      <c r="AJ154" s="20" t="s">
        <v>141</v>
      </c>
      <c r="AK154" s="21" t="s">
        <v>141</v>
      </c>
      <c r="AL154" s="20" t="s">
        <v>141</v>
      </c>
      <c r="AM154" s="21" t="s">
        <v>141</v>
      </c>
      <c r="AN154" s="20" t="s">
        <v>141</v>
      </c>
      <c r="AO154" s="21" t="s">
        <v>141</v>
      </c>
      <c r="AP154" s="20" t="s">
        <v>141</v>
      </c>
      <c r="AQ154" s="21" t="s">
        <v>141</v>
      </c>
      <c r="AR154" s="20" t="s">
        <v>141</v>
      </c>
      <c r="AS154" s="21" t="s">
        <v>141</v>
      </c>
      <c r="AT154" s="20" t="s">
        <v>141</v>
      </c>
      <c r="AU154" s="21" t="s">
        <v>141</v>
      </c>
      <c r="AV154" s="20" t="s">
        <v>141</v>
      </c>
      <c r="AW154" s="21" t="s">
        <v>141</v>
      </c>
      <c r="AX154" s="20" t="s">
        <v>141</v>
      </c>
      <c r="AY154" s="21" t="s">
        <v>141</v>
      </c>
    </row>
    <row r="155" spans="2:51">
      <c r="B155" s="2" t="s">
        <v>141</v>
      </c>
      <c r="C155" s="3" t="s">
        <v>141</v>
      </c>
      <c r="D155" s="20" t="s">
        <v>141</v>
      </c>
      <c r="E155" s="21" t="s">
        <v>141</v>
      </c>
      <c r="F155" s="20" t="s">
        <v>141</v>
      </c>
      <c r="G155" s="21" t="s">
        <v>141</v>
      </c>
      <c r="H155" s="20" t="s">
        <v>141</v>
      </c>
      <c r="I155" s="21" t="s">
        <v>141</v>
      </c>
      <c r="J155" s="20" t="s">
        <v>141</v>
      </c>
      <c r="K155" s="21" t="s">
        <v>141</v>
      </c>
      <c r="L155" s="20" t="s">
        <v>141</v>
      </c>
      <c r="M155" s="21" t="s">
        <v>141</v>
      </c>
      <c r="N155" s="20" t="s">
        <v>141</v>
      </c>
      <c r="O155" s="21" t="s">
        <v>141</v>
      </c>
      <c r="P155" s="20" t="s">
        <v>141</v>
      </c>
      <c r="Q155" s="21" t="s">
        <v>141</v>
      </c>
      <c r="R155" s="20" t="s">
        <v>141</v>
      </c>
      <c r="S155" s="21" t="s">
        <v>141</v>
      </c>
      <c r="T155" s="20" t="s">
        <v>141</v>
      </c>
      <c r="U155" s="21" t="s">
        <v>141</v>
      </c>
      <c r="V155" s="20" t="s">
        <v>141</v>
      </c>
      <c r="W155" s="21" t="s">
        <v>141</v>
      </c>
      <c r="X155" s="20" t="s">
        <v>141</v>
      </c>
      <c r="Y155" s="21" t="s">
        <v>141</v>
      </c>
      <c r="Z155" s="20" t="s">
        <v>141</v>
      </c>
      <c r="AA155" s="21" t="s">
        <v>141</v>
      </c>
      <c r="AB155" s="20" t="s">
        <v>141</v>
      </c>
      <c r="AC155" s="21" t="s">
        <v>141</v>
      </c>
      <c r="AD155" s="20" t="s">
        <v>141</v>
      </c>
      <c r="AE155" s="21" t="s">
        <v>141</v>
      </c>
      <c r="AF155" s="20" t="s">
        <v>141</v>
      </c>
      <c r="AG155" s="21" t="s">
        <v>141</v>
      </c>
      <c r="AH155" s="20" t="s">
        <v>141</v>
      </c>
      <c r="AI155" s="21" t="s">
        <v>141</v>
      </c>
      <c r="AJ155" s="20" t="s">
        <v>141</v>
      </c>
      <c r="AK155" s="21" t="s">
        <v>141</v>
      </c>
      <c r="AL155" s="20" t="s">
        <v>141</v>
      </c>
      <c r="AM155" s="21" t="s">
        <v>141</v>
      </c>
      <c r="AN155" s="20" t="s">
        <v>141</v>
      </c>
      <c r="AO155" s="21" t="s">
        <v>141</v>
      </c>
      <c r="AP155" s="20" t="s">
        <v>141</v>
      </c>
      <c r="AQ155" s="21" t="s">
        <v>141</v>
      </c>
      <c r="AR155" s="20" t="s">
        <v>141</v>
      </c>
      <c r="AS155" s="21" t="s">
        <v>141</v>
      </c>
      <c r="AT155" s="20" t="s">
        <v>141</v>
      </c>
      <c r="AU155" s="21" t="s">
        <v>141</v>
      </c>
      <c r="AV155" s="20" t="s">
        <v>141</v>
      </c>
      <c r="AW155" s="21" t="s">
        <v>141</v>
      </c>
      <c r="AX155" s="20" t="s">
        <v>141</v>
      </c>
      <c r="AY155" s="21" t="s">
        <v>141</v>
      </c>
    </row>
    <row r="156" spans="2:51">
      <c r="B156" s="2" t="s">
        <v>141</v>
      </c>
      <c r="C156" s="3" t="s">
        <v>141</v>
      </c>
      <c r="D156" s="20" t="s">
        <v>141</v>
      </c>
      <c r="E156" s="21" t="s">
        <v>141</v>
      </c>
      <c r="F156" s="20" t="s">
        <v>141</v>
      </c>
      <c r="G156" s="21" t="s">
        <v>141</v>
      </c>
      <c r="H156" s="20" t="s">
        <v>141</v>
      </c>
      <c r="I156" s="21" t="s">
        <v>141</v>
      </c>
      <c r="J156" s="20" t="s">
        <v>141</v>
      </c>
      <c r="K156" s="21" t="s">
        <v>141</v>
      </c>
      <c r="L156" s="20" t="s">
        <v>141</v>
      </c>
      <c r="M156" s="21" t="s">
        <v>141</v>
      </c>
      <c r="N156" s="20" t="s">
        <v>141</v>
      </c>
      <c r="O156" s="21" t="s">
        <v>141</v>
      </c>
      <c r="P156" s="20" t="s">
        <v>141</v>
      </c>
      <c r="Q156" s="21" t="s">
        <v>141</v>
      </c>
      <c r="R156" s="20" t="s">
        <v>141</v>
      </c>
      <c r="S156" s="21" t="s">
        <v>141</v>
      </c>
      <c r="T156" s="20" t="s">
        <v>141</v>
      </c>
      <c r="U156" s="21" t="s">
        <v>141</v>
      </c>
      <c r="V156" s="20" t="s">
        <v>141</v>
      </c>
      <c r="W156" s="21" t="s">
        <v>141</v>
      </c>
      <c r="X156" s="20" t="s">
        <v>141</v>
      </c>
      <c r="Y156" s="21" t="s">
        <v>141</v>
      </c>
      <c r="Z156" s="20" t="s">
        <v>141</v>
      </c>
      <c r="AA156" s="21" t="s">
        <v>141</v>
      </c>
      <c r="AB156" s="20" t="s">
        <v>141</v>
      </c>
      <c r="AC156" s="21" t="s">
        <v>141</v>
      </c>
      <c r="AD156" s="20" t="s">
        <v>141</v>
      </c>
      <c r="AE156" s="21" t="s">
        <v>141</v>
      </c>
      <c r="AF156" s="20" t="s">
        <v>141</v>
      </c>
      <c r="AG156" s="21" t="s">
        <v>141</v>
      </c>
      <c r="AH156" s="20" t="s">
        <v>141</v>
      </c>
      <c r="AI156" s="21" t="s">
        <v>141</v>
      </c>
      <c r="AJ156" s="20" t="s">
        <v>141</v>
      </c>
      <c r="AK156" s="21" t="s">
        <v>141</v>
      </c>
      <c r="AL156" s="20" t="s">
        <v>141</v>
      </c>
      <c r="AM156" s="21" t="s">
        <v>141</v>
      </c>
      <c r="AN156" s="20" t="s">
        <v>141</v>
      </c>
      <c r="AO156" s="21" t="s">
        <v>141</v>
      </c>
      <c r="AP156" s="20" t="s">
        <v>141</v>
      </c>
      <c r="AQ156" s="21" t="s">
        <v>141</v>
      </c>
      <c r="AR156" s="20" t="s">
        <v>141</v>
      </c>
      <c r="AS156" s="21" t="s">
        <v>141</v>
      </c>
      <c r="AT156" s="20" t="s">
        <v>141</v>
      </c>
      <c r="AU156" s="21" t="s">
        <v>141</v>
      </c>
      <c r="AV156" s="20" t="s">
        <v>141</v>
      </c>
      <c r="AW156" s="21" t="s">
        <v>141</v>
      </c>
      <c r="AX156" s="20" t="s">
        <v>141</v>
      </c>
      <c r="AY156" s="21" t="s">
        <v>141</v>
      </c>
    </row>
    <row r="157" spans="2:51">
      <c r="B157" s="2" t="s">
        <v>141</v>
      </c>
      <c r="C157" s="3" t="s">
        <v>141</v>
      </c>
      <c r="D157" s="20" t="s">
        <v>141</v>
      </c>
      <c r="E157" s="21" t="s">
        <v>141</v>
      </c>
      <c r="F157" s="20" t="s">
        <v>141</v>
      </c>
      <c r="G157" s="21" t="s">
        <v>141</v>
      </c>
      <c r="H157" s="20" t="s">
        <v>141</v>
      </c>
      <c r="I157" s="21" t="s">
        <v>141</v>
      </c>
      <c r="J157" s="20" t="s">
        <v>141</v>
      </c>
      <c r="K157" s="21" t="s">
        <v>141</v>
      </c>
      <c r="L157" s="20" t="s">
        <v>141</v>
      </c>
      <c r="M157" s="21" t="s">
        <v>141</v>
      </c>
      <c r="N157" s="20" t="s">
        <v>141</v>
      </c>
      <c r="O157" s="21" t="s">
        <v>141</v>
      </c>
      <c r="P157" s="20" t="s">
        <v>141</v>
      </c>
      <c r="Q157" s="21" t="s">
        <v>141</v>
      </c>
      <c r="R157" s="20" t="s">
        <v>141</v>
      </c>
      <c r="S157" s="21" t="s">
        <v>141</v>
      </c>
      <c r="T157" s="20" t="s">
        <v>141</v>
      </c>
      <c r="U157" s="21" t="s">
        <v>141</v>
      </c>
      <c r="V157" s="20" t="s">
        <v>141</v>
      </c>
      <c r="W157" s="21" t="s">
        <v>141</v>
      </c>
      <c r="X157" s="20" t="s">
        <v>141</v>
      </c>
      <c r="Y157" s="21" t="s">
        <v>141</v>
      </c>
      <c r="Z157" s="20" t="s">
        <v>141</v>
      </c>
      <c r="AA157" s="21" t="s">
        <v>141</v>
      </c>
      <c r="AB157" s="20" t="s">
        <v>141</v>
      </c>
      <c r="AC157" s="21" t="s">
        <v>141</v>
      </c>
      <c r="AD157" s="20" t="s">
        <v>141</v>
      </c>
      <c r="AE157" s="21" t="s">
        <v>141</v>
      </c>
      <c r="AF157" s="20" t="s">
        <v>141</v>
      </c>
      <c r="AG157" s="21" t="s">
        <v>141</v>
      </c>
      <c r="AH157" s="20" t="s">
        <v>141</v>
      </c>
      <c r="AI157" s="21" t="s">
        <v>141</v>
      </c>
      <c r="AJ157" s="20" t="s">
        <v>141</v>
      </c>
      <c r="AK157" s="21" t="s">
        <v>141</v>
      </c>
      <c r="AL157" s="20" t="s">
        <v>141</v>
      </c>
      <c r="AM157" s="21" t="s">
        <v>141</v>
      </c>
      <c r="AN157" s="20" t="s">
        <v>141</v>
      </c>
      <c r="AO157" s="21" t="s">
        <v>141</v>
      </c>
      <c r="AP157" s="20" t="s">
        <v>141</v>
      </c>
      <c r="AQ157" s="21" t="s">
        <v>141</v>
      </c>
      <c r="AR157" s="20" t="s">
        <v>141</v>
      </c>
      <c r="AS157" s="21" t="s">
        <v>141</v>
      </c>
      <c r="AT157" s="20" t="s">
        <v>141</v>
      </c>
      <c r="AU157" s="21" t="s">
        <v>141</v>
      </c>
      <c r="AV157" s="20" t="s">
        <v>141</v>
      </c>
      <c r="AW157" s="21" t="s">
        <v>141</v>
      </c>
      <c r="AX157" s="20" t="s">
        <v>141</v>
      </c>
      <c r="AY157" s="21" t="s">
        <v>141</v>
      </c>
    </row>
    <row r="158" spans="2:51">
      <c r="B158" s="2" t="s">
        <v>141</v>
      </c>
      <c r="C158" s="3" t="s">
        <v>141</v>
      </c>
      <c r="D158" s="20" t="s">
        <v>141</v>
      </c>
      <c r="E158" s="21" t="s">
        <v>141</v>
      </c>
      <c r="F158" s="20" t="s">
        <v>141</v>
      </c>
      <c r="G158" s="21" t="s">
        <v>141</v>
      </c>
      <c r="H158" s="20" t="s">
        <v>141</v>
      </c>
      <c r="I158" s="21" t="s">
        <v>141</v>
      </c>
      <c r="J158" s="20" t="s">
        <v>141</v>
      </c>
      <c r="K158" s="21" t="s">
        <v>141</v>
      </c>
      <c r="L158" s="20" t="s">
        <v>141</v>
      </c>
      <c r="M158" s="21" t="s">
        <v>141</v>
      </c>
      <c r="N158" s="20" t="s">
        <v>141</v>
      </c>
      <c r="O158" s="21" t="s">
        <v>141</v>
      </c>
      <c r="P158" s="20" t="s">
        <v>141</v>
      </c>
      <c r="Q158" s="21" t="s">
        <v>141</v>
      </c>
      <c r="R158" s="20" t="s">
        <v>141</v>
      </c>
      <c r="S158" s="21" t="s">
        <v>141</v>
      </c>
      <c r="T158" s="20" t="s">
        <v>141</v>
      </c>
      <c r="U158" s="21" t="s">
        <v>141</v>
      </c>
      <c r="V158" s="20" t="s">
        <v>141</v>
      </c>
      <c r="W158" s="21" t="s">
        <v>141</v>
      </c>
      <c r="X158" s="20" t="s">
        <v>141</v>
      </c>
      <c r="Y158" s="21" t="s">
        <v>141</v>
      </c>
      <c r="Z158" s="20" t="s">
        <v>141</v>
      </c>
      <c r="AA158" s="21" t="s">
        <v>141</v>
      </c>
      <c r="AB158" s="20" t="s">
        <v>141</v>
      </c>
      <c r="AC158" s="21" t="s">
        <v>141</v>
      </c>
      <c r="AD158" s="20" t="s">
        <v>141</v>
      </c>
      <c r="AE158" s="21" t="s">
        <v>141</v>
      </c>
      <c r="AF158" s="20" t="s">
        <v>141</v>
      </c>
      <c r="AG158" s="21" t="s">
        <v>141</v>
      </c>
      <c r="AH158" s="20" t="s">
        <v>141</v>
      </c>
      <c r="AI158" s="21" t="s">
        <v>141</v>
      </c>
      <c r="AJ158" s="20" t="s">
        <v>141</v>
      </c>
      <c r="AK158" s="21" t="s">
        <v>141</v>
      </c>
      <c r="AL158" s="20" t="s">
        <v>141</v>
      </c>
      <c r="AM158" s="21" t="s">
        <v>141</v>
      </c>
      <c r="AN158" s="20" t="s">
        <v>141</v>
      </c>
      <c r="AO158" s="21" t="s">
        <v>141</v>
      </c>
      <c r="AP158" s="20" t="s">
        <v>141</v>
      </c>
      <c r="AQ158" s="21" t="s">
        <v>141</v>
      </c>
      <c r="AR158" s="20" t="s">
        <v>141</v>
      </c>
      <c r="AS158" s="21" t="s">
        <v>141</v>
      </c>
      <c r="AT158" s="20" t="s">
        <v>141</v>
      </c>
      <c r="AU158" s="21" t="s">
        <v>141</v>
      </c>
      <c r="AV158" s="20" t="s">
        <v>141</v>
      </c>
      <c r="AW158" s="21" t="s">
        <v>141</v>
      </c>
      <c r="AX158" s="20" t="s">
        <v>141</v>
      </c>
      <c r="AY158" s="21" t="s">
        <v>141</v>
      </c>
    </row>
    <row r="159" spans="2:51">
      <c r="B159" s="2" t="s">
        <v>141</v>
      </c>
      <c r="C159" s="3" t="s">
        <v>141</v>
      </c>
      <c r="D159" s="20" t="s">
        <v>141</v>
      </c>
      <c r="E159" s="21" t="s">
        <v>141</v>
      </c>
      <c r="F159" s="20" t="s">
        <v>141</v>
      </c>
      <c r="G159" s="21" t="s">
        <v>141</v>
      </c>
      <c r="H159" s="20" t="s">
        <v>141</v>
      </c>
      <c r="I159" s="21" t="s">
        <v>141</v>
      </c>
      <c r="J159" s="20" t="s">
        <v>141</v>
      </c>
      <c r="K159" s="21" t="s">
        <v>141</v>
      </c>
      <c r="L159" s="20" t="s">
        <v>141</v>
      </c>
      <c r="M159" s="21" t="s">
        <v>141</v>
      </c>
      <c r="N159" s="20" t="s">
        <v>141</v>
      </c>
      <c r="O159" s="21" t="s">
        <v>141</v>
      </c>
      <c r="P159" s="20" t="s">
        <v>141</v>
      </c>
      <c r="Q159" s="21" t="s">
        <v>141</v>
      </c>
      <c r="R159" s="20" t="s">
        <v>141</v>
      </c>
      <c r="S159" s="21" t="s">
        <v>141</v>
      </c>
      <c r="T159" s="20" t="s">
        <v>141</v>
      </c>
      <c r="U159" s="21" t="s">
        <v>141</v>
      </c>
      <c r="V159" s="20" t="s">
        <v>141</v>
      </c>
      <c r="W159" s="21" t="s">
        <v>141</v>
      </c>
      <c r="X159" s="20" t="s">
        <v>141</v>
      </c>
      <c r="Y159" s="21" t="s">
        <v>141</v>
      </c>
      <c r="Z159" s="20" t="s">
        <v>141</v>
      </c>
      <c r="AA159" s="21" t="s">
        <v>141</v>
      </c>
      <c r="AB159" s="20" t="s">
        <v>141</v>
      </c>
      <c r="AC159" s="21" t="s">
        <v>141</v>
      </c>
      <c r="AD159" s="20" t="s">
        <v>141</v>
      </c>
      <c r="AE159" s="21" t="s">
        <v>141</v>
      </c>
      <c r="AF159" s="20" t="s">
        <v>141</v>
      </c>
      <c r="AG159" s="21" t="s">
        <v>141</v>
      </c>
      <c r="AH159" s="20" t="s">
        <v>141</v>
      </c>
      <c r="AI159" s="21" t="s">
        <v>141</v>
      </c>
      <c r="AJ159" s="20" t="s">
        <v>141</v>
      </c>
      <c r="AK159" s="21" t="s">
        <v>141</v>
      </c>
      <c r="AL159" s="20" t="s">
        <v>141</v>
      </c>
      <c r="AM159" s="21" t="s">
        <v>141</v>
      </c>
      <c r="AN159" s="20" t="s">
        <v>141</v>
      </c>
      <c r="AO159" s="21" t="s">
        <v>141</v>
      </c>
      <c r="AP159" s="20" t="s">
        <v>141</v>
      </c>
      <c r="AQ159" s="21" t="s">
        <v>141</v>
      </c>
      <c r="AR159" s="20" t="s">
        <v>141</v>
      </c>
      <c r="AS159" s="21" t="s">
        <v>141</v>
      </c>
      <c r="AT159" s="20" t="s">
        <v>141</v>
      </c>
      <c r="AU159" s="21" t="s">
        <v>141</v>
      </c>
      <c r="AV159" s="20" t="s">
        <v>141</v>
      </c>
      <c r="AW159" s="21" t="s">
        <v>141</v>
      </c>
      <c r="AX159" s="20" t="s">
        <v>141</v>
      </c>
      <c r="AY159" s="21" t="s">
        <v>141</v>
      </c>
    </row>
    <row r="160" spans="2:51">
      <c r="B160" s="2" t="s">
        <v>141</v>
      </c>
      <c r="C160" s="3" t="s">
        <v>141</v>
      </c>
      <c r="D160" s="20" t="s">
        <v>141</v>
      </c>
      <c r="E160" s="21" t="s">
        <v>141</v>
      </c>
      <c r="F160" s="20" t="s">
        <v>141</v>
      </c>
      <c r="G160" s="21" t="s">
        <v>141</v>
      </c>
      <c r="H160" s="20" t="s">
        <v>141</v>
      </c>
      <c r="I160" s="21" t="s">
        <v>141</v>
      </c>
      <c r="J160" s="20" t="s">
        <v>141</v>
      </c>
      <c r="K160" s="21" t="s">
        <v>141</v>
      </c>
      <c r="L160" s="20" t="s">
        <v>141</v>
      </c>
      <c r="M160" s="21" t="s">
        <v>141</v>
      </c>
      <c r="N160" s="20" t="s">
        <v>141</v>
      </c>
      <c r="O160" s="21" t="s">
        <v>141</v>
      </c>
      <c r="P160" s="20" t="s">
        <v>141</v>
      </c>
      <c r="Q160" s="21" t="s">
        <v>141</v>
      </c>
      <c r="R160" s="20" t="s">
        <v>141</v>
      </c>
      <c r="S160" s="21" t="s">
        <v>141</v>
      </c>
      <c r="T160" s="20" t="s">
        <v>141</v>
      </c>
      <c r="U160" s="21" t="s">
        <v>141</v>
      </c>
      <c r="V160" s="20" t="s">
        <v>141</v>
      </c>
      <c r="W160" s="21" t="s">
        <v>141</v>
      </c>
      <c r="X160" s="20" t="s">
        <v>141</v>
      </c>
      <c r="Y160" s="21" t="s">
        <v>141</v>
      </c>
      <c r="Z160" s="20" t="s">
        <v>141</v>
      </c>
      <c r="AA160" s="21" t="s">
        <v>141</v>
      </c>
      <c r="AB160" s="20" t="s">
        <v>141</v>
      </c>
      <c r="AC160" s="21" t="s">
        <v>141</v>
      </c>
      <c r="AD160" s="20" t="s">
        <v>141</v>
      </c>
      <c r="AE160" s="21" t="s">
        <v>141</v>
      </c>
      <c r="AF160" s="20" t="s">
        <v>141</v>
      </c>
      <c r="AG160" s="21" t="s">
        <v>141</v>
      </c>
      <c r="AH160" s="20" t="s">
        <v>141</v>
      </c>
      <c r="AI160" s="21" t="s">
        <v>141</v>
      </c>
      <c r="AJ160" s="20" t="s">
        <v>141</v>
      </c>
      <c r="AK160" s="21" t="s">
        <v>141</v>
      </c>
      <c r="AL160" s="20" t="s">
        <v>141</v>
      </c>
      <c r="AM160" s="21" t="s">
        <v>141</v>
      </c>
      <c r="AN160" s="20" t="s">
        <v>141</v>
      </c>
      <c r="AO160" s="21" t="s">
        <v>141</v>
      </c>
      <c r="AP160" s="20" t="s">
        <v>141</v>
      </c>
      <c r="AQ160" s="21" t="s">
        <v>141</v>
      </c>
      <c r="AR160" s="20" t="s">
        <v>141</v>
      </c>
      <c r="AS160" s="21" t="s">
        <v>141</v>
      </c>
      <c r="AT160" s="20" t="s">
        <v>141</v>
      </c>
      <c r="AU160" s="21" t="s">
        <v>141</v>
      </c>
      <c r="AV160" s="20" t="s">
        <v>141</v>
      </c>
      <c r="AW160" s="21" t="s">
        <v>141</v>
      </c>
      <c r="AX160" s="20" t="s">
        <v>141</v>
      </c>
      <c r="AY160" s="21" t="s">
        <v>141</v>
      </c>
    </row>
    <row r="161" spans="2:51">
      <c r="B161" s="2" t="s">
        <v>141</v>
      </c>
      <c r="C161" s="3" t="s">
        <v>141</v>
      </c>
      <c r="D161" s="20" t="s">
        <v>141</v>
      </c>
      <c r="E161" s="21" t="s">
        <v>141</v>
      </c>
      <c r="F161" s="20" t="s">
        <v>141</v>
      </c>
      <c r="G161" s="21" t="s">
        <v>141</v>
      </c>
      <c r="H161" s="20" t="s">
        <v>141</v>
      </c>
      <c r="I161" s="21" t="s">
        <v>141</v>
      </c>
      <c r="J161" s="20" t="s">
        <v>141</v>
      </c>
      <c r="K161" s="21" t="s">
        <v>141</v>
      </c>
      <c r="L161" s="20" t="s">
        <v>141</v>
      </c>
      <c r="M161" s="21" t="s">
        <v>141</v>
      </c>
      <c r="N161" s="20" t="s">
        <v>141</v>
      </c>
      <c r="O161" s="21" t="s">
        <v>141</v>
      </c>
      <c r="P161" s="20" t="s">
        <v>141</v>
      </c>
      <c r="Q161" s="21" t="s">
        <v>141</v>
      </c>
      <c r="R161" s="20" t="s">
        <v>141</v>
      </c>
      <c r="S161" s="21" t="s">
        <v>141</v>
      </c>
      <c r="T161" s="20" t="s">
        <v>141</v>
      </c>
      <c r="U161" s="21" t="s">
        <v>141</v>
      </c>
      <c r="V161" s="20" t="s">
        <v>141</v>
      </c>
      <c r="W161" s="21" t="s">
        <v>141</v>
      </c>
      <c r="X161" s="20" t="s">
        <v>141</v>
      </c>
      <c r="Y161" s="21" t="s">
        <v>141</v>
      </c>
      <c r="Z161" s="20" t="s">
        <v>141</v>
      </c>
      <c r="AA161" s="21" t="s">
        <v>141</v>
      </c>
      <c r="AB161" s="20" t="s">
        <v>141</v>
      </c>
      <c r="AC161" s="21" t="s">
        <v>141</v>
      </c>
      <c r="AD161" s="20" t="s">
        <v>141</v>
      </c>
      <c r="AE161" s="21" t="s">
        <v>141</v>
      </c>
      <c r="AF161" s="20" t="s">
        <v>141</v>
      </c>
      <c r="AG161" s="21" t="s">
        <v>141</v>
      </c>
      <c r="AH161" s="20" t="s">
        <v>141</v>
      </c>
      <c r="AI161" s="21" t="s">
        <v>141</v>
      </c>
      <c r="AJ161" s="20" t="s">
        <v>141</v>
      </c>
      <c r="AK161" s="21" t="s">
        <v>141</v>
      </c>
      <c r="AL161" s="20" t="s">
        <v>141</v>
      </c>
      <c r="AM161" s="21" t="s">
        <v>141</v>
      </c>
      <c r="AN161" s="20" t="s">
        <v>141</v>
      </c>
      <c r="AO161" s="21" t="s">
        <v>141</v>
      </c>
      <c r="AP161" s="20" t="s">
        <v>141</v>
      </c>
      <c r="AQ161" s="21" t="s">
        <v>141</v>
      </c>
      <c r="AR161" s="20" t="s">
        <v>141</v>
      </c>
      <c r="AS161" s="21" t="s">
        <v>141</v>
      </c>
      <c r="AT161" s="20" t="s">
        <v>141</v>
      </c>
      <c r="AU161" s="21" t="s">
        <v>141</v>
      </c>
      <c r="AV161" s="20" t="s">
        <v>141</v>
      </c>
      <c r="AW161" s="21" t="s">
        <v>141</v>
      </c>
      <c r="AX161" s="20" t="s">
        <v>141</v>
      </c>
      <c r="AY161" s="21" t="s">
        <v>141</v>
      </c>
    </row>
    <row r="162" spans="2:51">
      <c r="B162" s="2" t="s">
        <v>141</v>
      </c>
      <c r="C162" s="3" t="s">
        <v>141</v>
      </c>
      <c r="D162" s="20" t="s">
        <v>141</v>
      </c>
      <c r="E162" s="21" t="s">
        <v>141</v>
      </c>
      <c r="F162" s="20" t="s">
        <v>141</v>
      </c>
      <c r="G162" s="21" t="s">
        <v>141</v>
      </c>
      <c r="H162" s="20" t="s">
        <v>141</v>
      </c>
      <c r="I162" s="21" t="s">
        <v>141</v>
      </c>
      <c r="J162" s="20" t="s">
        <v>141</v>
      </c>
      <c r="K162" s="21" t="s">
        <v>141</v>
      </c>
      <c r="L162" s="20" t="s">
        <v>141</v>
      </c>
      <c r="M162" s="21" t="s">
        <v>141</v>
      </c>
      <c r="N162" s="20" t="s">
        <v>141</v>
      </c>
      <c r="O162" s="21" t="s">
        <v>141</v>
      </c>
      <c r="P162" s="20" t="s">
        <v>141</v>
      </c>
      <c r="Q162" s="21" t="s">
        <v>141</v>
      </c>
      <c r="R162" s="20" t="s">
        <v>141</v>
      </c>
      <c r="S162" s="21" t="s">
        <v>141</v>
      </c>
      <c r="T162" s="20" t="s">
        <v>141</v>
      </c>
      <c r="U162" s="21" t="s">
        <v>141</v>
      </c>
      <c r="V162" s="20" t="s">
        <v>141</v>
      </c>
      <c r="W162" s="21" t="s">
        <v>141</v>
      </c>
      <c r="X162" s="20" t="s">
        <v>141</v>
      </c>
      <c r="Y162" s="21" t="s">
        <v>141</v>
      </c>
      <c r="Z162" s="20" t="s">
        <v>141</v>
      </c>
      <c r="AA162" s="21" t="s">
        <v>141</v>
      </c>
      <c r="AB162" s="20" t="s">
        <v>141</v>
      </c>
      <c r="AC162" s="21" t="s">
        <v>141</v>
      </c>
      <c r="AD162" s="20" t="s">
        <v>141</v>
      </c>
      <c r="AE162" s="21" t="s">
        <v>141</v>
      </c>
      <c r="AF162" s="20" t="s">
        <v>141</v>
      </c>
      <c r="AG162" s="21" t="s">
        <v>141</v>
      </c>
      <c r="AH162" s="20" t="s">
        <v>141</v>
      </c>
      <c r="AI162" s="21" t="s">
        <v>141</v>
      </c>
      <c r="AJ162" s="20" t="s">
        <v>141</v>
      </c>
      <c r="AK162" s="21" t="s">
        <v>141</v>
      </c>
      <c r="AL162" s="20" t="s">
        <v>141</v>
      </c>
      <c r="AM162" s="21" t="s">
        <v>141</v>
      </c>
      <c r="AN162" s="20" t="s">
        <v>141</v>
      </c>
      <c r="AO162" s="21" t="s">
        <v>141</v>
      </c>
      <c r="AP162" s="20" t="s">
        <v>141</v>
      </c>
      <c r="AQ162" s="21" t="s">
        <v>141</v>
      </c>
      <c r="AR162" s="20" t="s">
        <v>141</v>
      </c>
      <c r="AS162" s="21" t="s">
        <v>141</v>
      </c>
      <c r="AT162" s="20" t="s">
        <v>141</v>
      </c>
      <c r="AU162" s="21" t="s">
        <v>141</v>
      </c>
      <c r="AV162" s="20" t="s">
        <v>141</v>
      </c>
      <c r="AW162" s="21" t="s">
        <v>141</v>
      </c>
      <c r="AX162" s="20" t="s">
        <v>141</v>
      </c>
      <c r="AY162" s="21" t="s">
        <v>141</v>
      </c>
    </row>
    <row r="163" spans="2:51">
      <c r="B163" s="2" t="s">
        <v>141</v>
      </c>
      <c r="C163" s="3" t="s">
        <v>141</v>
      </c>
      <c r="D163" s="20" t="s">
        <v>141</v>
      </c>
      <c r="E163" s="21" t="s">
        <v>141</v>
      </c>
      <c r="F163" s="20" t="s">
        <v>141</v>
      </c>
      <c r="G163" s="21" t="s">
        <v>141</v>
      </c>
      <c r="H163" s="20" t="s">
        <v>141</v>
      </c>
      <c r="I163" s="21" t="s">
        <v>141</v>
      </c>
      <c r="J163" s="20" t="s">
        <v>141</v>
      </c>
      <c r="K163" s="21" t="s">
        <v>141</v>
      </c>
      <c r="L163" s="20" t="s">
        <v>141</v>
      </c>
      <c r="M163" s="21" t="s">
        <v>141</v>
      </c>
      <c r="N163" s="20" t="s">
        <v>141</v>
      </c>
      <c r="O163" s="21" t="s">
        <v>141</v>
      </c>
      <c r="P163" s="20" t="s">
        <v>141</v>
      </c>
      <c r="Q163" s="21" t="s">
        <v>141</v>
      </c>
      <c r="R163" s="20" t="s">
        <v>141</v>
      </c>
      <c r="S163" s="21" t="s">
        <v>141</v>
      </c>
      <c r="T163" s="20" t="s">
        <v>141</v>
      </c>
      <c r="U163" s="21" t="s">
        <v>141</v>
      </c>
      <c r="V163" s="20" t="s">
        <v>141</v>
      </c>
      <c r="W163" s="21" t="s">
        <v>141</v>
      </c>
      <c r="X163" s="20" t="s">
        <v>141</v>
      </c>
      <c r="Y163" s="21" t="s">
        <v>141</v>
      </c>
      <c r="Z163" s="20" t="s">
        <v>141</v>
      </c>
      <c r="AA163" s="21" t="s">
        <v>141</v>
      </c>
      <c r="AB163" s="20" t="s">
        <v>141</v>
      </c>
      <c r="AC163" s="21" t="s">
        <v>141</v>
      </c>
      <c r="AD163" s="20" t="s">
        <v>141</v>
      </c>
      <c r="AE163" s="21" t="s">
        <v>141</v>
      </c>
      <c r="AF163" s="20" t="s">
        <v>141</v>
      </c>
      <c r="AG163" s="21" t="s">
        <v>141</v>
      </c>
      <c r="AH163" s="20" t="s">
        <v>141</v>
      </c>
      <c r="AI163" s="21" t="s">
        <v>141</v>
      </c>
      <c r="AJ163" s="20" t="s">
        <v>141</v>
      </c>
      <c r="AK163" s="21" t="s">
        <v>141</v>
      </c>
      <c r="AL163" s="20" t="s">
        <v>141</v>
      </c>
      <c r="AM163" s="21" t="s">
        <v>141</v>
      </c>
      <c r="AN163" s="20" t="s">
        <v>141</v>
      </c>
      <c r="AO163" s="21" t="s">
        <v>141</v>
      </c>
      <c r="AP163" s="20" t="s">
        <v>141</v>
      </c>
      <c r="AQ163" s="21" t="s">
        <v>141</v>
      </c>
      <c r="AR163" s="20" t="s">
        <v>141</v>
      </c>
      <c r="AS163" s="21" t="s">
        <v>141</v>
      </c>
      <c r="AT163" s="20" t="s">
        <v>141</v>
      </c>
      <c r="AU163" s="21" t="s">
        <v>141</v>
      </c>
      <c r="AV163" s="20" t="s">
        <v>141</v>
      </c>
      <c r="AW163" s="21" t="s">
        <v>141</v>
      </c>
      <c r="AX163" s="20" t="s">
        <v>141</v>
      </c>
      <c r="AY163" s="21" t="s">
        <v>141</v>
      </c>
    </row>
    <row r="164" spans="2:51">
      <c r="B164" s="2" t="s">
        <v>141</v>
      </c>
      <c r="C164" s="3" t="s">
        <v>141</v>
      </c>
      <c r="D164" s="20" t="s">
        <v>141</v>
      </c>
      <c r="E164" s="21" t="s">
        <v>141</v>
      </c>
      <c r="F164" s="20" t="s">
        <v>141</v>
      </c>
      <c r="G164" s="21" t="s">
        <v>141</v>
      </c>
      <c r="H164" s="20" t="s">
        <v>141</v>
      </c>
      <c r="I164" s="21" t="s">
        <v>141</v>
      </c>
      <c r="J164" s="20" t="s">
        <v>141</v>
      </c>
      <c r="K164" s="21" t="s">
        <v>141</v>
      </c>
      <c r="L164" s="20" t="s">
        <v>141</v>
      </c>
      <c r="M164" s="21" t="s">
        <v>141</v>
      </c>
      <c r="N164" s="20" t="s">
        <v>141</v>
      </c>
      <c r="O164" s="21" t="s">
        <v>141</v>
      </c>
      <c r="P164" s="20" t="s">
        <v>141</v>
      </c>
      <c r="Q164" s="21" t="s">
        <v>141</v>
      </c>
      <c r="R164" s="20" t="s">
        <v>141</v>
      </c>
      <c r="S164" s="21" t="s">
        <v>141</v>
      </c>
      <c r="T164" s="20" t="s">
        <v>141</v>
      </c>
      <c r="U164" s="21" t="s">
        <v>141</v>
      </c>
      <c r="V164" s="20" t="s">
        <v>141</v>
      </c>
      <c r="W164" s="21" t="s">
        <v>141</v>
      </c>
      <c r="X164" s="20" t="s">
        <v>141</v>
      </c>
      <c r="Y164" s="21" t="s">
        <v>141</v>
      </c>
      <c r="Z164" s="20" t="s">
        <v>141</v>
      </c>
      <c r="AA164" s="21" t="s">
        <v>141</v>
      </c>
      <c r="AB164" s="20" t="s">
        <v>141</v>
      </c>
      <c r="AC164" s="21" t="s">
        <v>141</v>
      </c>
      <c r="AD164" s="20" t="s">
        <v>141</v>
      </c>
      <c r="AE164" s="21" t="s">
        <v>141</v>
      </c>
      <c r="AF164" s="20" t="s">
        <v>141</v>
      </c>
      <c r="AG164" s="21" t="s">
        <v>141</v>
      </c>
      <c r="AH164" s="20" t="s">
        <v>141</v>
      </c>
      <c r="AI164" s="21" t="s">
        <v>141</v>
      </c>
      <c r="AJ164" s="20" t="s">
        <v>141</v>
      </c>
      <c r="AK164" s="21" t="s">
        <v>141</v>
      </c>
      <c r="AL164" s="20" t="s">
        <v>141</v>
      </c>
      <c r="AM164" s="21" t="s">
        <v>141</v>
      </c>
      <c r="AN164" s="20" t="s">
        <v>141</v>
      </c>
      <c r="AO164" s="21" t="s">
        <v>141</v>
      </c>
      <c r="AP164" s="20" t="s">
        <v>141</v>
      </c>
      <c r="AQ164" s="21" t="s">
        <v>141</v>
      </c>
      <c r="AR164" s="20" t="s">
        <v>141</v>
      </c>
      <c r="AS164" s="21" t="s">
        <v>141</v>
      </c>
      <c r="AT164" s="20" t="s">
        <v>141</v>
      </c>
      <c r="AU164" s="21" t="s">
        <v>141</v>
      </c>
      <c r="AV164" s="20" t="s">
        <v>141</v>
      </c>
      <c r="AW164" s="21" t="s">
        <v>141</v>
      </c>
      <c r="AX164" s="20" t="s">
        <v>141</v>
      </c>
      <c r="AY164" s="21" t="s">
        <v>141</v>
      </c>
    </row>
    <row r="165" spans="2:51">
      <c r="B165" s="2" t="s">
        <v>141</v>
      </c>
      <c r="C165" s="3" t="s">
        <v>141</v>
      </c>
      <c r="D165" s="20" t="s">
        <v>141</v>
      </c>
      <c r="E165" s="21" t="s">
        <v>141</v>
      </c>
      <c r="F165" s="20" t="s">
        <v>141</v>
      </c>
      <c r="G165" s="21" t="s">
        <v>141</v>
      </c>
      <c r="H165" s="20" t="s">
        <v>141</v>
      </c>
      <c r="I165" s="21" t="s">
        <v>141</v>
      </c>
      <c r="J165" s="20" t="s">
        <v>141</v>
      </c>
      <c r="K165" s="21" t="s">
        <v>141</v>
      </c>
      <c r="L165" s="20" t="s">
        <v>141</v>
      </c>
      <c r="M165" s="21" t="s">
        <v>141</v>
      </c>
      <c r="N165" s="20" t="s">
        <v>141</v>
      </c>
      <c r="O165" s="21" t="s">
        <v>141</v>
      </c>
      <c r="P165" s="20" t="s">
        <v>141</v>
      </c>
      <c r="Q165" s="21" t="s">
        <v>141</v>
      </c>
      <c r="R165" s="20" t="s">
        <v>141</v>
      </c>
      <c r="S165" s="21" t="s">
        <v>141</v>
      </c>
      <c r="T165" s="20" t="s">
        <v>141</v>
      </c>
      <c r="U165" s="21" t="s">
        <v>141</v>
      </c>
      <c r="V165" s="20" t="s">
        <v>141</v>
      </c>
      <c r="W165" s="21" t="s">
        <v>141</v>
      </c>
      <c r="X165" s="20" t="s">
        <v>141</v>
      </c>
      <c r="Y165" s="21" t="s">
        <v>141</v>
      </c>
      <c r="Z165" s="20" t="s">
        <v>141</v>
      </c>
      <c r="AA165" s="21" t="s">
        <v>141</v>
      </c>
      <c r="AB165" s="20" t="s">
        <v>141</v>
      </c>
      <c r="AC165" s="21" t="s">
        <v>141</v>
      </c>
      <c r="AD165" s="20" t="s">
        <v>141</v>
      </c>
      <c r="AE165" s="21" t="s">
        <v>141</v>
      </c>
      <c r="AF165" s="20" t="s">
        <v>141</v>
      </c>
      <c r="AG165" s="21" t="s">
        <v>141</v>
      </c>
      <c r="AH165" s="20" t="s">
        <v>141</v>
      </c>
      <c r="AI165" s="21" t="s">
        <v>141</v>
      </c>
      <c r="AJ165" s="20" t="s">
        <v>141</v>
      </c>
      <c r="AK165" s="21" t="s">
        <v>141</v>
      </c>
      <c r="AL165" s="20" t="s">
        <v>141</v>
      </c>
      <c r="AM165" s="21" t="s">
        <v>141</v>
      </c>
      <c r="AN165" s="20" t="s">
        <v>141</v>
      </c>
      <c r="AO165" s="21" t="s">
        <v>141</v>
      </c>
      <c r="AP165" s="20" t="s">
        <v>141</v>
      </c>
      <c r="AQ165" s="21" t="s">
        <v>141</v>
      </c>
      <c r="AR165" s="20" t="s">
        <v>141</v>
      </c>
      <c r="AS165" s="21" t="s">
        <v>141</v>
      </c>
      <c r="AT165" s="20" t="s">
        <v>141</v>
      </c>
      <c r="AU165" s="21" t="s">
        <v>141</v>
      </c>
      <c r="AV165" s="20" t="s">
        <v>141</v>
      </c>
      <c r="AW165" s="21" t="s">
        <v>141</v>
      </c>
      <c r="AX165" s="20" t="s">
        <v>141</v>
      </c>
      <c r="AY165" s="21" t="s">
        <v>141</v>
      </c>
    </row>
    <row r="166" spans="2:51">
      <c r="B166" t="s">
        <v>141</v>
      </c>
      <c r="C166" t="s">
        <v>141</v>
      </c>
      <c r="D166" t="s">
        <v>141</v>
      </c>
      <c r="E166" t="s">
        <v>141</v>
      </c>
      <c r="F166" t="s">
        <v>141</v>
      </c>
      <c r="G166" t="s">
        <v>141</v>
      </c>
      <c r="H166" t="s">
        <v>141</v>
      </c>
      <c r="I166" t="s">
        <v>141</v>
      </c>
      <c r="J166" t="s">
        <v>141</v>
      </c>
      <c r="K166" t="s">
        <v>141</v>
      </c>
      <c r="L166" t="s">
        <v>141</v>
      </c>
      <c r="M166" t="s">
        <v>141</v>
      </c>
      <c r="N166" t="s">
        <v>141</v>
      </c>
      <c r="O166" t="s">
        <v>141</v>
      </c>
      <c r="P166" t="s">
        <v>141</v>
      </c>
      <c r="Q166" t="s">
        <v>141</v>
      </c>
      <c r="R166" t="s">
        <v>141</v>
      </c>
      <c r="S166" t="s">
        <v>141</v>
      </c>
      <c r="T166" t="s">
        <v>141</v>
      </c>
      <c r="U166" t="s">
        <v>141</v>
      </c>
      <c r="V166" t="s">
        <v>141</v>
      </c>
      <c r="W166" t="s">
        <v>141</v>
      </c>
      <c r="X166" t="s">
        <v>141</v>
      </c>
      <c r="Y166" t="s">
        <v>141</v>
      </c>
      <c r="Z166" t="s">
        <v>141</v>
      </c>
      <c r="AA166" t="s">
        <v>141</v>
      </c>
      <c r="AB166" t="s">
        <v>141</v>
      </c>
      <c r="AC166" t="s">
        <v>141</v>
      </c>
      <c r="AD166" t="s">
        <v>141</v>
      </c>
      <c r="AE166" t="s">
        <v>141</v>
      </c>
      <c r="AF166" t="s">
        <v>141</v>
      </c>
      <c r="AG166" t="s">
        <v>141</v>
      </c>
      <c r="AH166" t="s">
        <v>141</v>
      </c>
      <c r="AI166" t="s">
        <v>141</v>
      </c>
      <c r="AJ166" t="s">
        <v>141</v>
      </c>
      <c r="AK166" t="s">
        <v>141</v>
      </c>
      <c r="AL166" t="s">
        <v>141</v>
      </c>
      <c r="AM166" t="s">
        <v>141</v>
      </c>
      <c r="AN166" t="s">
        <v>141</v>
      </c>
      <c r="AO166" t="s">
        <v>141</v>
      </c>
      <c r="AP166" t="s">
        <v>141</v>
      </c>
      <c r="AQ166" t="s">
        <v>141</v>
      </c>
      <c r="AR166" t="s">
        <v>141</v>
      </c>
      <c r="AS166" t="s">
        <v>141</v>
      </c>
      <c r="AT166" t="s">
        <v>141</v>
      </c>
      <c r="AU166" t="s">
        <v>141</v>
      </c>
      <c r="AV166" t="s">
        <v>141</v>
      </c>
      <c r="AW166" t="s">
        <v>141</v>
      </c>
      <c r="AX166" t="s">
        <v>141</v>
      </c>
      <c r="AY166" t="s">
        <v>141</v>
      </c>
    </row>
  </sheetData>
  <hyperlinks>
    <hyperlink ref="A2" location="TOC!A1" display="TOC" xr:uid="{00000000-0004-0000-0500-000000000000}"/>
  </hyperlink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rgb="FF00B0F0"/>
  </sheetPr>
  <dimension ref="A1:BW166"/>
  <sheetViews>
    <sheetView workbookViewId="0">
      <selection activeCell="A117" sqref="A117:XFD117"/>
    </sheetView>
  </sheetViews>
  <sheetFormatPr defaultRowHeight="15"/>
  <cols>
    <col min="3" max="3" width="29.42578125" bestFit="1" customWidth="1"/>
    <col min="4" max="4" width="11.5703125" bestFit="1" customWidth="1"/>
    <col min="5" max="5" width="9.28515625" bestFit="1" customWidth="1"/>
    <col min="6" max="6" width="11.5703125" bestFit="1" customWidth="1"/>
    <col min="7" max="7" width="9.28515625" bestFit="1" customWidth="1"/>
    <col min="8" max="8" width="11.5703125" bestFit="1" customWidth="1"/>
    <col min="9" max="9" width="9.28515625" bestFit="1" customWidth="1"/>
    <col min="10" max="10" width="11.5703125" bestFit="1" customWidth="1"/>
    <col min="11" max="11" width="9.28515625" bestFit="1" customWidth="1"/>
    <col min="12" max="12" width="11.5703125" bestFit="1" customWidth="1"/>
    <col min="13" max="13" width="9.28515625" bestFit="1" customWidth="1"/>
    <col min="14" max="14" width="11.5703125" bestFit="1" customWidth="1"/>
    <col min="15" max="15" width="9.28515625" bestFit="1" customWidth="1"/>
    <col min="16" max="16" width="11.5703125" bestFit="1" customWidth="1"/>
    <col min="17" max="17" width="9.28515625" bestFit="1" customWidth="1"/>
    <col min="18" max="18" width="11.5703125" bestFit="1" customWidth="1"/>
    <col min="19" max="19" width="9.28515625" bestFit="1" customWidth="1"/>
    <col min="20" max="20" width="11.5703125" bestFit="1" customWidth="1"/>
    <col min="21" max="21" width="9.28515625" bestFit="1" customWidth="1"/>
    <col min="22" max="22" width="11.5703125" bestFit="1" customWidth="1"/>
    <col min="23" max="23" width="9.28515625" bestFit="1" customWidth="1"/>
    <col min="24" max="24" width="11.5703125" bestFit="1" customWidth="1"/>
    <col min="25" max="25" width="9.28515625" bestFit="1" customWidth="1"/>
    <col min="26" max="26" width="11.5703125" bestFit="1" customWidth="1"/>
    <col min="27" max="27" width="9.28515625" bestFit="1" customWidth="1"/>
    <col min="28" max="51" width="9.28515625" customWidth="1"/>
    <col min="52" max="52" width="11.5703125" bestFit="1" customWidth="1"/>
    <col min="53" max="53" width="9.28515625" bestFit="1" customWidth="1"/>
    <col min="54" max="54" width="11.5703125" bestFit="1" customWidth="1"/>
    <col min="55" max="55" width="9.28515625" bestFit="1" customWidth="1"/>
    <col min="56" max="56" width="11.5703125" bestFit="1" customWidth="1"/>
    <col min="57" max="57" width="9.28515625" bestFit="1" customWidth="1"/>
    <col min="58" max="58" width="11.5703125" bestFit="1" customWidth="1"/>
    <col min="59" max="59" width="9.28515625" bestFit="1" customWidth="1"/>
    <col min="60" max="60" width="11.5703125" bestFit="1" customWidth="1"/>
    <col min="61" max="61" width="9.28515625" bestFit="1" customWidth="1"/>
    <col min="62" max="62" width="11.5703125" bestFit="1" customWidth="1"/>
    <col min="63" max="63" width="9.28515625" bestFit="1" customWidth="1"/>
    <col min="64" max="64" width="11.5703125" bestFit="1" customWidth="1"/>
    <col min="65" max="65" width="9.28515625" bestFit="1" customWidth="1"/>
    <col min="66" max="66" width="11.5703125" bestFit="1" customWidth="1"/>
    <col min="67" max="67" width="9.28515625" bestFit="1" customWidth="1"/>
    <col min="68" max="68" width="11.5703125" bestFit="1" customWidth="1"/>
    <col min="69" max="69" width="9.28515625" bestFit="1" customWidth="1"/>
    <col min="70" max="70" width="11.5703125" bestFit="1" customWidth="1"/>
    <col min="71" max="71" width="9.28515625" bestFit="1" customWidth="1"/>
    <col min="72" max="72" width="11.5703125" bestFit="1" customWidth="1"/>
    <col min="73" max="73" width="9.28515625" bestFit="1" customWidth="1"/>
    <col min="74" max="74" width="11.5703125" bestFit="1" customWidth="1"/>
    <col min="75" max="75" width="9.28515625" bestFit="1" customWidth="1"/>
    <col min="283" max="283" width="29.42578125" bestFit="1" customWidth="1"/>
    <col min="284" max="284" width="11.5703125" bestFit="1" customWidth="1"/>
    <col min="285" max="285" width="9.28515625" bestFit="1" customWidth="1"/>
    <col min="286" max="286" width="11.5703125" bestFit="1" customWidth="1"/>
    <col min="287" max="287" width="9.28515625" bestFit="1" customWidth="1"/>
    <col min="288" max="288" width="11.5703125" bestFit="1" customWidth="1"/>
    <col min="289" max="289" width="9.28515625" bestFit="1" customWidth="1"/>
    <col min="290" max="290" width="11.5703125" bestFit="1" customWidth="1"/>
    <col min="291" max="291" width="9.28515625" bestFit="1" customWidth="1"/>
    <col min="292" max="292" width="11.5703125" bestFit="1" customWidth="1"/>
    <col min="293" max="293" width="9.28515625" bestFit="1" customWidth="1"/>
    <col min="294" max="294" width="11.5703125" bestFit="1" customWidth="1"/>
    <col min="295" max="295" width="9.28515625" bestFit="1" customWidth="1"/>
    <col min="296" max="296" width="11.5703125" bestFit="1" customWidth="1"/>
    <col min="297" max="297" width="9.28515625" bestFit="1" customWidth="1"/>
    <col min="298" max="298" width="11.5703125" bestFit="1" customWidth="1"/>
    <col min="299" max="299" width="9.28515625" bestFit="1" customWidth="1"/>
    <col min="300" max="300" width="11.5703125" bestFit="1" customWidth="1"/>
    <col min="301" max="301" width="9.28515625" bestFit="1" customWidth="1"/>
    <col min="302" max="302" width="11.5703125" bestFit="1" customWidth="1"/>
    <col min="303" max="303" width="9.28515625" bestFit="1" customWidth="1"/>
    <col min="304" max="304" width="11.5703125" bestFit="1" customWidth="1"/>
    <col min="305" max="305" width="9.28515625" bestFit="1" customWidth="1"/>
    <col min="306" max="306" width="11.5703125" bestFit="1" customWidth="1"/>
    <col min="307" max="307" width="9.28515625" bestFit="1" customWidth="1"/>
    <col min="308" max="308" width="11.5703125" bestFit="1" customWidth="1"/>
    <col min="309" max="309" width="9.28515625" bestFit="1" customWidth="1"/>
    <col min="310" max="310" width="11.5703125" bestFit="1" customWidth="1"/>
    <col min="311" max="311" width="9.28515625" bestFit="1" customWidth="1"/>
    <col min="312" max="312" width="11.5703125" bestFit="1" customWidth="1"/>
    <col min="313" max="313" width="9.28515625" bestFit="1" customWidth="1"/>
    <col min="314" max="314" width="11.5703125" bestFit="1" customWidth="1"/>
    <col min="315" max="315" width="9.28515625" bestFit="1" customWidth="1"/>
    <col min="316" max="316" width="11.5703125" bestFit="1" customWidth="1"/>
    <col min="317" max="317" width="9.28515625" bestFit="1" customWidth="1"/>
    <col min="318" max="318" width="11.5703125" bestFit="1" customWidth="1"/>
    <col min="319" max="319" width="9.28515625" bestFit="1" customWidth="1"/>
    <col min="320" max="320" width="11.5703125" bestFit="1" customWidth="1"/>
    <col min="321" max="321" width="9.28515625" bestFit="1" customWidth="1"/>
    <col min="322" max="322" width="11.5703125" bestFit="1" customWidth="1"/>
    <col min="323" max="323" width="9.28515625" bestFit="1" customWidth="1"/>
    <col min="324" max="324" width="11.5703125" bestFit="1" customWidth="1"/>
    <col min="325" max="325" width="9.28515625" bestFit="1" customWidth="1"/>
    <col min="326" max="326" width="11.5703125" bestFit="1" customWidth="1"/>
    <col min="327" max="327" width="9.28515625" bestFit="1" customWidth="1"/>
    <col min="328" max="328" width="11.5703125" bestFit="1" customWidth="1"/>
    <col min="329" max="329" width="9.28515625" bestFit="1" customWidth="1"/>
    <col min="330" max="330" width="11.5703125" bestFit="1" customWidth="1"/>
    <col min="331" max="331" width="9.28515625" bestFit="1" customWidth="1"/>
    <col min="539" max="539" width="29.42578125" bestFit="1" customWidth="1"/>
    <col min="540" max="540" width="11.5703125" bestFit="1" customWidth="1"/>
    <col min="541" max="541" width="9.28515625" bestFit="1" customWidth="1"/>
    <col min="542" max="542" width="11.5703125" bestFit="1" customWidth="1"/>
    <col min="543" max="543" width="9.28515625" bestFit="1" customWidth="1"/>
    <col min="544" max="544" width="11.5703125" bestFit="1" customWidth="1"/>
    <col min="545" max="545" width="9.28515625" bestFit="1" customWidth="1"/>
    <col min="546" max="546" width="11.5703125" bestFit="1" customWidth="1"/>
    <col min="547" max="547" width="9.28515625" bestFit="1" customWidth="1"/>
    <col min="548" max="548" width="11.5703125" bestFit="1" customWidth="1"/>
    <col min="549" max="549" width="9.28515625" bestFit="1" customWidth="1"/>
    <col min="550" max="550" width="11.5703125" bestFit="1" customWidth="1"/>
    <col min="551" max="551" width="9.28515625" bestFit="1" customWidth="1"/>
    <col min="552" max="552" width="11.5703125" bestFit="1" customWidth="1"/>
    <col min="553" max="553" width="9.28515625" bestFit="1" customWidth="1"/>
    <col min="554" max="554" width="11.5703125" bestFit="1" customWidth="1"/>
    <col min="555" max="555" width="9.28515625" bestFit="1" customWidth="1"/>
    <col min="556" max="556" width="11.5703125" bestFit="1" customWidth="1"/>
    <col min="557" max="557" width="9.28515625" bestFit="1" customWidth="1"/>
    <col min="558" max="558" width="11.5703125" bestFit="1" customWidth="1"/>
    <col min="559" max="559" width="9.28515625" bestFit="1" customWidth="1"/>
    <col min="560" max="560" width="11.5703125" bestFit="1" customWidth="1"/>
    <col min="561" max="561" width="9.28515625" bestFit="1" customWidth="1"/>
    <col min="562" max="562" width="11.5703125" bestFit="1" customWidth="1"/>
    <col min="563" max="563" width="9.28515625" bestFit="1" customWidth="1"/>
    <col min="564" max="564" width="11.5703125" bestFit="1" customWidth="1"/>
    <col min="565" max="565" width="9.28515625" bestFit="1" customWidth="1"/>
    <col min="566" max="566" width="11.5703125" bestFit="1" customWidth="1"/>
    <col min="567" max="567" width="9.28515625" bestFit="1" customWidth="1"/>
    <col min="568" max="568" width="11.5703125" bestFit="1" customWidth="1"/>
    <col min="569" max="569" width="9.28515625" bestFit="1" customWidth="1"/>
    <col min="570" max="570" width="11.5703125" bestFit="1" customWidth="1"/>
    <col min="571" max="571" width="9.28515625" bestFit="1" customWidth="1"/>
    <col min="572" max="572" width="11.5703125" bestFit="1" customWidth="1"/>
    <col min="573" max="573" width="9.28515625" bestFit="1" customWidth="1"/>
    <col min="574" max="574" width="11.5703125" bestFit="1" customWidth="1"/>
    <col min="575" max="575" width="9.28515625" bestFit="1" customWidth="1"/>
    <col min="576" max="576" width="11.5703125" bestFit="1" customWidth="1"/>
    <col min="577" max="577" width="9.28515625" bestFit="1" customWidth="1"/>
    <col min="578" max="578" width="11.5703125" bestFit="1" customWidth="1"/>
    <col min="579" max="579" width="9.28515625" bestFit="1" customWidth="1"/>
    <col min="580" max="580" width="11.5703125" bestFit="1" customWidth="1"/>
    <col min="581" max="581" width="9.28515625" bestFit="1" customWidth="1"/>
    <col min="582" max="582" width="11.5703125" bestFit="1" customWidth="1"/>
    <col min="583" max="583" width="9.28515625" bestFit="1" customWidth="1"/>
    <col min="584" max="584" width="11.5703125" bestFit="1" customWidth="1"/>
    <col min="585" max="585" width="9.28515625" bestFit="1" customWidth="1"/>
    <col min="586" max="586" width="11.5703125" bestFit="1" customWidth="1"/>
    <col min="587" max="587" width="9.28515625" bestFit="1" customWidth="1"/>
    <col min="795" max="795" width="29.42578125" bestFit="1" customWidth="1"/>
    <col min="796" max="796" width="11.5703125" bestFit="1" customWidth="1"/>
    <col min="797" max="797" width="9.28515625" bestFit="1" customWidth="1"/>
    <col min="798" max="798" width="11.5703125" bestFit="1" customWidth="1"/>
    <col min="799" max="799" width="9.28515625" bestFit="1" customWidth="1"/>
    <col min="800" max="800" width="11.5703125" bestFit="1" customWidth="1"/>
    <col min="801" max="801" width="9.28515625" bestFit="1" customWidth="1"/>
    <col min="802" max="802" width="11.5703125" bestFit="1" customWidth="1"/>
    <col min="803" max="803" width="9.28515625" bestFit="1" customWidth="1"/>
    <col min="804" max="804" width="11.5703125" bestFit="1" customWidth="1"/>
    <col min="805" max="805" width="9.28515625" bestFit="1" customWidth="1"/>
    <col min="806" max="806" width="11.5703125" bestFit="1" customWidth="1"/>
    <col min="807" max="807" width="9.28515625" bestFit="1" customWidth="1"/>
    <col min="808" max="808" width="11.5703125" bestFit="1" customWidth="1"/>
    <col min="809" max="809" width="9.28515625" bestFit="1" customWidth="1"/>
    <col min="810" max="810" width="11.5703125" bestFit="1" customWidth="1"/>
    <col min="811" max="811" width="9.28515625" bestFit="1" customWidth="1"/>
    <col min="812" max="812" width="11.5703125" bestFit="1" customWidth="1"/>
    <col min="813" max="813" width="9.28515625" bestFit="1" customWidth="1"/>
    <col min="814" max="814" width="11.5703125" bestFit="1" customWidth="1"/>
    <col min="815" max="815" width="9.28515625" bestFit="1" customWidth="1"/>
    <col min="816" max="816" width="11.5703125" bestFit="1" customWidth="1"/>
    <col min="817" max="817" width="9.28515625" bestFit="1" customWidth="1"/>
    <col min="818" max="818" width="11.5703125" bestFit="1" customWidth="1"/>
    <col min="819" max="819" width="9.28515625" bestFit="1" customWidth="1"/>
    <col min="820" max="820" width="11.5703125" bestFit="1" customWidth="1"/>
    <col min="821" max="821" width="9.28515625" bestFit="1" customWidth="1"/>
    <col min="822" max="822" width="11.5703125" bestFit="1" customWidth="1"/>
    <col min="823" max="823" width="9.28515625" bestFit="1" customWidth="1"/>
    <col min="824" max="824" width="11.5703125" bestFit="1" customWidth="1"/>
    <col min="825" max="825" width="9.28515625" bestFit="1" customWidth="1"/>
    <col min="826" max="826" width="11.5703125" bestFit="1" customWidth="1"/>
    <col min="827" max="827" width="9.28515625" bestFit="1" customWidth="1"/>
    <col min="828" max="828" width="11.5703125" bestFit="1" customWidth="1"/>
    <col min="829" max="829" width="9.28515625" bestFit="1" customWidth="1"/>
    <col min="830" max="830" width="11.5703125" bestFit="1" customWidth="1"/>
    <col min="831" max="831" width="9.28515625" bestFit="1" customWidth="1"/>
    <col min="832" max="832" width="11.5703125" bestFit="1" customWidth="1"/>
    <col min="833" max="833" width="9.28515625" bestFit="1" customWidth="1"/>
    <col min="834" max="834" width="11.5703125" bestFit="1" customWidth="1"/>
    <col min="835" max="835" width="9.28515625" bestFit="1" customWidth="1"/>
    <col min="836" max="836" width="11.5703125" bestFit="1" customWidth="1"/>
    <col min="837" max="837" width="9.28515625" bestFit="1" customWidth="1"/>
    <col min="838" max="838" width="11.5703125" bestFit="1" customWidth="1"/>
    <col min="839" max="839" width="9.28515625" bestFit="1" customWidth="1"/>
    <col min="840" max="840" width="11.5703125" bestFit="1" customWidth="1"/>
    <col min="841" max="841" width="9.28515625" bestFit="1" customWidth="1"/>
    <col min="842" max="842" width="11.5703125" bestFit="1" customWidth="1"/>
    <col min="843" max="843" width="9.28515625" bestFit="1" customWidth="1"/>
    <col min="1051" max="1051" width="29.42578125" bestFit="1" customWidth="1"/>
    <col min="1052" max="1052" width="11.5703125" bestFit="1" customWidth="1"/>
    <col min="1053" max="1053" width="9.28515625" bestFit="1" customWidth="1"/>
    <col min="1054" max="1054" width="11.5703125" bestFit="1" customWidth="1"/>
    <col min="1055" max="1055" width="9.28515625" bestFit="1" customWidth="1"/>
    <col min="1056" max="1056" width="11.5703125" bestFit="1" customWidth="1"/>
    <col min="1057" max="1057" width="9.28515625" bestFit="1" customWidth="1"/>
    <col min="1058" max="1058" width="11.5703125" bestFit="1" customWidth="1"/>
    <col min="1059" max="1059" width="9.28515625" bestFit="1" customWidth="1"/>
    <col min="1060" max="1060" width="11.5703125" bestFit="1" customWidth="1"/>
    <col min="1061" max="1061" width="9.28515625" bestFit="1" customWidth="1"/>
    <col min="1062" max="1062" width="11.5703125" bestFit="1" customWidth="1"/>
    <col min="1063" max="1063" width="9.28515625" bestFit="1" customWidth="1"/>
    <col min="1064" max="1064" width="11.5703125" bestFit="1" customWidth="1"/>
    <col min="1065" max="1065" width="9.28515625" bestFit="1" customWidth="1"/>
    <col min="1066" max="1066" width="11.5703125" bestFit="1" customWidth="1"/>
    <col min="1067" max="1067" width="9.28515625" bestFit="1" customWidth="1"/>
    <col min="1068" max="1068" width="11.5703125" bestFit="1" customWidth="1"/>
    <col min="1069" max="1069" width="9.28515625" bestFit="1" customWidth="1"/>
    <col min="1070" max="1070" width="11.5703125" bestFit="1" customWidth="1"/>
    <col min="1071" max="1071" width="9.28515625" bestFit="1" customWidth="1"/>
    <col min="1072" max="1072" width="11.5703125" bestFit="1" customWidth="1"/>
    <col min="1073" max="1073" width="9.28515625" bestFit="1" customWidth="1"/>
    <col min="1074" max="1074" width="11.5703125" bestFit="1" customWidth="1"/>
    <col min="1075" max="1075" width="9.28515625" bestFit="1" customWidth="1"/>
    <col min="1076" max="1076" width="11.5703125" bestFit="1" customWidth="1"/>
    <col min="1077" max="1077" width="9.28515625" bestFit="1" customWidth="1"/>
    <col min="1078" max="1078" width="11.5703125" bestFit="1" customWidth="1"/>
    <col min="1079" max="1079" width="9.28515625" bestFit="1" customWidth="1"/>
    <col min="1080" max="1080" width="11.5703125" bestFit="1" customWidth="1"/>
    <col min="1081" max="1081" width="9.28515625" bestFit="1" customWidth="1"/>
    <col min="1082" max="1082" width="11.5703125" bestFit="1" customWidth="1"/>
    <col min="1083" max="1083" width="9.28515625" bestFit="1" customWidth="1"/>
    <col min="1084" max="1084" width="11.5703125" bestFit="1" customWidth="1"/>
    <col min="1085" max="1085" width="9.28515625" bestFit="1" customWidth="1"/>
    <col min="1086" max="1086" width="11.5703125" bestFit="1" customWidth="1"/>
    <col min="1087" max="1087" width="9.28515625" bestFit="1" customWidth="1"/>
    <col min="1088" max="1088" width="11.5703125" bestFit="1" customWidth="1"/>
    <col min="1089" max="1089" width="9.28515625" bestFit="1" customWidth="1"/>
    <col min="1090" max="1090" width="11.5703125" bestFit="1" customWidth="1"/>
    <col min="1091" max="1091" width="9.28515625" bestFit="1" customWidth="1"/>
    <col min="1092" max="1092" width="11.5703125" bestFit="1" customWidth="1"/>
    <col min="1093" max="1093" width="9.28515625" bestFit="1" customWidth="1"/>
    <col min="1094" max="1094" width="11.5703125" bestFit="1" customWidth="1"/>
    <col min="1095" max="1095" width="9.28515625" bestFit="1" customWidth="1"/>
    <col min="1096" max="1096" width="11.5703125" bestFit="1" customWidth="1"/>
    <col min="1097" max="1097" width="9.28515625" bestFit="1" customWidth="1"/>
    <col min="1098" max="1098" width="11.5703125" bestFit="1" customWidth="1"/>
    <col min="1099" max="1099" width="9.28515625" bestFit="1" customWidth="1"/>
    <col min="1307" max="1307" width="29.42578125" bestFit="1" customWidth="1"/>
    <col min="1308" max="1308" width="11.5703125" bestFit="1" customWidth="1"/>
    <col min="1309" max="1309" width="9.28515625" bestFit="1" customWidth="1"/>
    <col min="1310" max="1310" width="11.5703125" bestFit="1" customWidth="1"/>
    <col min="1311" max="1311" width="9.28515625" bestFit="1" customWidth="1"/>
    <col min="1312" max="1312" width="11.5703125" bestFit="1" customWidth="1"/>
    <col min="1313" max="1313" width="9.28515625" bestFit="1" customWidth="1"/>
    <col min="1314" max="1314" width="11.5703125" bestFit="1" customWidth="1"/>
    <col min="1315" max="1315" width="9.28515625" bestFit="1" customWidth="1"/>
    <col min="1316" max="1316" width="11.5703125" bestFit="1" customWidth="1"/>
    <col min="1317" max="1317" width="9.28515625" bestFit="1" customWidth="1"/>
    <col min="1318" max="1318" width="11.5703125" bestFit="1" customWidth="1"/>
    <col min="1319" max="1319" width="9.28515625" bestFit="1" customWidth="1"/>
    <col min="1320" max="1320" width="11.5703125" bestFit="1" customWidth="1"/>
    <col min="1321" max="1321" width="9.28515625" bestFit="1" customWidth="1"/>
    <col min="1322" max="1322" width="11.5703125" bestFit="1" customWidth="1"/>
    <col min="1323" max="1323" width="9.28515625" bestFit="1" customWidth="1"/>
    <col min="1324" max="1324" width="11.5703125" bestFit="1" customWidth="1"/>
    <col min="1325" max="1325" width="9.28515625" bestFit="1" customWidth="1"/>
    <col min="1326" max="1326" width="11.5703125" bestFit="1" customWidth="1"/>
    <col min="1327" max="1327" width="9.28515625" bestFit="1" customWidth="1"/>
    <col min="1328" max="1328" width="11.5703125" bestFit="1" customWidth="1"/>
    <col min="1329" max="1329" width="9.28515625" bestFit="1" customWidth="1"/>
    <col min="1330" max="1330" width="11.5703125" bestFit="1" customWidth="1"/>
    <col min="1331" max="1331" width="9.28515625" bestFit="1" customWidth="1"/>
    <col min="1332" max="1332" width="11.5703125" bestFit="1" customWidth="1"/>
    <col min="1333" max="1333" width="9.28515625" bestFit="1" customWidth="1"/>
    <col min="1334" max="1334" width="11.5703125" bestFit="1" customWidth="1"/>
    <col min="1335" max="1335" width="9.28515625" bestFit="1" customWidth="1"/>
    <col min="1336" max="1336" width="11.5703125" bestFit="1" customWidth="1"/>
    <col min="1337" max="1337" width="9.28515625" bestFit="1" customWidth="1"/>
    <col min="1338" max="1338" width="11.5703125" bestFit="1" customWidth="1"/>
    <col min="1339" max="1339" width="9.28515625" bestFit="1" customWidth="1"/>
    <col min="1340" max="1340" width="11.5703125" bestFit="1" customWidth="1"/>
    <col min="1341" max="1341" width="9.28515625" bestFit="1" customWidth="1"/>
    <col min="1342" max="1342" width="11.5703125" bestFit="1" customWidth="1"/>
    <col min="1343" max="1343" width="9.28515625" bestFit="1" customWidth="1"/>
    <col min="1344" max="1344" width="11.5703125" bestFit="1" customWidth="1"/>
    <col min="1345" max="1345" width="9.28515625" bestFit="1" customWidth="1"/>
    <col min="1346" max="1346" width="11.5703125" bestFit="1" customWidth="1"/>
    <col min="1347" max="1347" width="9.28515625" bestFit="1" customWidth="1"/>
    <col min="1348" max="1348" width="11.5703125" bestFit="1" customWidth="1"/>
    <col min="1349" max="1349" width="9.28515625" bestFit="1" customWidth="1"/>
    <col min="1350" max="1350" width="11.5703125" bestFit="1" customWidth="1"/>
    <col min="1351" max="1351" width="9.28515625" bestFit="1" customWidth="1"/>
    <col min="1352" max="1352" width="11.5703125" bestFit="1" customWidth="1"/>
    <col min="1353" max="1353" width="9.28515625" bestFit="1" customWidth="1"/>
    <col min="1354" max="1354" width="11.5703125" bestFit="1" customWidth="1"/>
    <col min="1355" max="1355" width="9.28515625" bestFit="1" customWidth="1"/>
    <col min="1563" max="1563" width="29.42578125" bestFit="1" customWidth="1"/>
    <col min="1564" max="1564" width="11.5703125" bestFit="1" customWidth="1"/>
    <col min="1565" max="1565" width="9.28515625" bestFit="1" customWidth="1"/>
    <col min="1566" max="1566" width="11.5703125" bestFit="1" customWidth="1"/>
    <col min="1567" max="1567" width="9.28515625" bestFit="1" customWidth="1"/>
    <col min="1568" max="1568" width="11.5703125" bestFit="1" customWidth="1"/>
    <col min="1569" max="1569" width="9.28515625" bestFit="1" customWidth="1"/>
    <col min="1570" max="1570" width="11.5703125" bestFit="1" customWidth="1"/>
    <col min="1571" max="1571" width="9.28515625" bestFit="1" customWidth="1"/>
    <col min="1572" max="1572" width="11.5703125" bestFit="1" customWidth="1"/>
    <col min="1573" max="1573" width="9.28515625" bestFit="1" customWidth="1"/>
    <col min="1574" max="1574" width="11.5703125" bestFit="1" customWidth="1"/>
    <col min="1575" max="1575" width="9.28515625" bestFit="1" customWidth="1"/>
    <col min="1576" max="1576" width="11.5703125" bestFit="1" customWidth="1"/>
    <col min="1577" max="1577" width="9.28515625" bestFit="1" customWidth="1"/>
    <col min="1578" max="1578" width="11.5703125" bestFit="1" customWidth="1"/>
    <col min="1579" max="1579" width="9.28515625" bestFit="1" customWidth="1"/>
    <col min="1580" max="1580" width="11.5703125" bestFit="1" customWidth="1"/>
    <col min="1581" max="1581" width="9.28515625" bestFit="1" customWidth="1"/>
    <col min="1582" max="1582" width="11.5703125" bestFit="1" customWidth="1"/>
    <col min="1583" max="1583" width="9.28515625" bestFit="1" customWidth="1"/>
    <col min="1584" max="1584" width="11.5703125" bestFit="1" customWidth="1"/>
    <col min="1585" max="1585" width="9.28515625" bestFit="1" customWidth="1"/>
    <col min="1586" max="1586" width="11.5703125" bestFit="1" customWidth="1"/>
    <col min="1587" max="1587" width="9.28515625" bestFit="1" customWidth="1"/>
    <col min="1588" max="1588" width="11.5703125" bestFit="1" customWidth="1"/>
    <col min="1589" max="1589" width="9.28515625" bestFit="1" customWidth="1"/>
    <col min="1590" max="1590" width="11.5703125" bestFit="1" customWidth="1"/>
    <col min="1591" max="1591" width="9.28515625" bestFit="1" customWidth="1"/>
    <col min="1592" max="1592" width="11.5703125" bestFit="1" customWidth="1"/>
    <col min="1593" max="1593" width="9.28515625" bestFit="1" customWidth="1"/>
    <col min="1594" max="1594" width="11.5703125" bestFit="1" customWidth="1"/>
    <col min="1595" max="1595" width="9.28515625" bestFit="1" customWidth="1"/>
    <col min="1596" max="1596" width="11.5703125" bestFit="1" customWidth="1"/>
    <col min="1597" max="1597" width="9.28515625" bestFit="1" customWidth="1"/>
    <col min="1598" max="1598" width="11.5703125" bestFit="1" customWidth="1"/>
    <col min="1599" max="1599" width="9.28515625" bestFit="1" customWidth="1"/>
    <col min="1600" max="1600" width="11.5703125" bestFit="1" customWidth="1"/>
    <col min="1601" max="1601" width="9.28515625" bestFit="1" customWidth="1"/>
    <col min="1602" max="1602" width="11.5703125" bestFit="1" customWidth="1"/>
    <col min="1603" max="1603" width="9.28515625" bestFit="1" customWidth="1"/>
    <col min="1604" max="1604" width="11.5703125" bestFit="1" customWidth="1"/>
    <col min="1605" max="1605" width="9.28515625" bestFit="1" customWidth="1"/>
    <col min="1606" max="1606" width="11.5703125" bestFit="1" customWidth="1"/>
    <col min="1607" max="1607" width="9.28515625" bestFit="1" customWidth="1"/>
    <col min="1608" max="1608" width="11.5703125" bestFit="1" customWidth="1"/>
    <col min="1609" max="1609" width="9.28515625" bestFit="1" customWidth="1"/>
    <col min="1610" max="1610" width="11.5703125" bestFit="1" customWidth="1"/>
    <col min="1611" max="1611" width="9.28515625" bestFit="1" customWidth="1"/>
    <col min="1819" max="1819" width="29.42578125" bestFit="1" customWidth="1"/>
    <col min="1820" max="1820" width="11.5703125" bestFit="1" customWidth="1"/>
    <col min="1821" max="1821" width="9.28515625" bestFit="1" customWidth="1"/>
    <col min="1822" max="1822" width="11.5703125" bestFit="1" customWidth="1"/>
    <col min="1823" max="1823" width="9.28515625" bestFit="1" customWidth="1"/>
    <col min="1824" max="1824" width="11.5703125" bestFit="1" customWidth="1"/>
    <col min="1825" max="1825" width="9.28515625" bestFit="1" customWidth="1"/>
    <col min="1826" max="1826" width="11.5703125" bestFit="1" customWidth="1"/>
    <col min="1827" max="1827" width="9.28515625" bestFit="1" customWidth="1"/>
    <col min="1828" max="1828" width="11.5703125" bestFit="1" customWidth="1"/>
    <col min="1829" max="1829" width="9.28515625" bestFit="1" customWidth="1"/>
    <col min="1830" max="1830" width="11.5703125" bestFit="1" customWidth="1"/>
    <col min="1831" max="1831" width="9.28515625" bestFit="1" customWidth="1"/>
    <col min="1832" max="1832" width="11.5703125" bestFit="1" customWidth="1"/>
    <col min="1833" max="1833" width="9.28515625" bestFit="1" customWidth="1"/>
    <col min="1834" max="1834" width="11.5703125" bestFit="1" customWidth="1"/>
    <col min="1835" max="1835" width="9.28515625" bestFit="1" customWidth="1"/>
    <col min="1836" max="1836" width="11.5703125" bestFit="1" customWidth="1"/>
    <col min="1837" max="1837" width="9.28515625" bestFit="1" customWidth="1"/>
    <col min="1838" max="1838" width="11.5703125" bestFit="1" customWidth="1"/>
    <col min="1839" max="1839" width="9.28515625" bestFit="1" customWidth="1"/>
    <col min="1840" max="1840" width="11.5703125" bestFit="1" customWidth="1"/>
    <col min="1841" max="1841" width="9.28515625" bestFit="1" customWidth="1"/>
    <col min="1842" max="1842" width="11.5703125" bestFit="1" customWidth="1"/>
    <col min="1843" max="1843" width="9.28515625" bestFit="1" customWidth="1"/>
    <col min="1844" max="1844" width="11.5703125" bestFit="1" customWidth="1"/>
    <col min="1845" max="1845" width="9.28515625" bestFit="1" customWidth="1"/>
    <col min="1846" max="1846" width="11.5703125" bestFit="1" customWidth="1"/>
    <col min="1847" max="1847" width="9.28515625" bestFit="1" customWidth="1"/>
    <col min="1848" max="1848" width="11.5703125" bestFit="1" customWidth="1"/>
    <col min="1849" max="1849" width="9.28515625" bestFit="1" customWidth="1"/>
    <col min="1850" max="1850" width="11.5703125" bestFit="1" customWidth="1"/>
    <col min="1851" max="1851" width="9.28515625" bestFit="1" customWidth="1"/>
    <col min="1852" max="1852" width="11.5703125" bestFit="1" customWidth="1"/>
    <col min="1853" max="1853" width="9.28515625" bestFit="1" customWidth="1"/>
    <col min="1854" max="1854" width="11.5703125" bestFit="1" customWidth="1"/>
    <col min="1855" max="1855" width="9.28515625" bestFit="1" customWidth="1"/>
    <col min="1856" max="1856" width="11.5703125" bestFit="1" customWidth="1"/>
    <col min="1857" max="1857" width="9.28515625" bestFit="1" customWidth="1"/>
    <col min="1858" max="1858" width="11.5703125" bestFit="1" customWidth="1"/>
    <col min="1859" max="1859" width="9.28515625" bestFit="1" customWidth="1"/>
    <col min="1860" max="1860" width="11.5703125" bestFit="1" customWidth="1"/>
    <col min="1861" max="1861" width="9.28515625" bestFit="1" customWidth="1"/>
    <col min="1862" max="1862" width="11.5703125" bestFit="1" customWidth="1"/>
    <col min="1863" max="1863" width="9.28515625" bestFit="1" customWidth="1"/>
    <col min="1864" max="1864" width="11.5703125" bestFit="1" customWidth="1"/>
    <col min="1865" max="1865" width="9.28515625" bestFit="1" customWidth="1"/>
    <col min="1866" max="1866" width="11.5703125" bestFit="1" customWidth="1"/>
    <col min="1867" max="1867" width="9.28515625" bestFit="1" customWidth="1"/>
    <col min="2075" max="2075" width="29.42578125" bestFit="1" customWidth="1"/>
    <col min="2076" max="2076" width="11.5703125" bestFit="1" customWidth="1"/>
    <col min="2077" max="2077" width="9.28515625" bestFit="1" customWidth="1"/>
    <col min="2078" max="2078" width="11.5703125" bestFit="1" customWidth="1"/>
    <col min="2079" max="2079" width="9.28515625" bestFit="1" customWidth="1"/>
    <col min="2080" max="2080" width="11.5703125" bestFit="1" customWidth="1"/>
    <col min="2081" max="2081" width="9.28515625" bestFit="1" customWidth="1"/>
    <col min="2082" max="2082" width="11.5703125" bestFit="1" customWidth="1"/>
    <col min="2083" max="2083" width="9.28515625" bestFit="1" customWidth="1"/>
    <col min="2084" max="2084" width="11.5703125" bestFit="1" customWidth="1"/>
    <col min="2085" max="2085" width="9.28515625" bestFit="1" customWidth="1"/>
    <col min="2086" max="2086" width="11.5703125" bestFit="1" customWidth="1"/>
    <col min="2087" max="2087" width="9.28515625" bestFit="1" customWidth="1"/>
    <col min="2088" max="2088" width="11.5703125" bestFit="1" customWidth="1"/>
    <col min="2089" max="2089" width="9.28515625" bestFit="1" customWidth="1"/>
    <col min="2090" max="2090" width="11.5703125" bestFit="1" customWidth="1"/>
    <col min="2091" max="2091" width="9.28515625" bestFit="1" customWidth="1"/>
    <col min="2092" max="2092" width="11.5703125" bestFit="1" customWidth="1"/>
    <col min="2093" max="2093" width="9.28515625" bestFit="1" customWidth="1"/>
    <col min="2094" max="2094" width="11.5703125" bestFit="1" customWidth="1"/>
    <col min="2095" max="2095" width="9.28515625" bestFit="1" customWidth="1"/>
    <col min="2096" max="2096" width="11.5703125" bestFit="1" customWidth="1"/>
    <col min="2097" max="2097" width="9.28515625" bestFit="1" customWidth="1"/>
    <col min="2098" max="2098" width="11.5703125" bestFit="1" customWidth="1"/>
    <col min="2099" max="2099" width="9.28515625" bestFit="1" customWidth="1"/>
    <col min="2100" max="2100" width="11.5703125" bestFit="1" customWidth="1"/>
    <col min="2101" max="2101" width="9.28515625" bestFit="1" customWidth="1"/>
    <col min="2102" max="2102" width="11.5703125" bestFit="1" customWidth="1"/>
    <col min="2103" max="2103" width="9.28515625" bestFit="1" customWidth="1"/>
    <col min="2104" max="2104" width="11.5703125" bestFit="1" customWidth="1"/>
    <col min="2105" max="2105" width="9.28515625" bestFit="1" customWidth="1"/>
    <col min="2106" max="2106" width="11.5703125" bestFit="1" customWidth="1"/>
    <col min="2107" max="2107" width="9.28515625" bestFit="1" customWidth="1"/>
    <col min="2108" max="2108" width="11.5703125" bestFit="1" customWidth="1"/>
    <col min="2109" max="2109" width="9.28515625" bestFit="1" customWidth="1"/>
    <col min="2110" max="2110" width="11.5703125" bestFit="1" customWidth="1"/>
    <col min="2111" max="2111" width="9.28515625" bestFit="1" customWidth="1"/>
    <col min="2112" max="2112" width="11.5703125" bestFit="1" customWidth="1"/>
    <col min="2113" max="2113" width="9.28515625" bestFit="1" customWidth="1"/>
    <col min="2114" max="2114" width="11.5703125" bestFit="1" customWidth="1"/>
    <col min="2115" max="2115" width="9.28515625" bestFit="1" customWidth="1"/>
    <col min="2116" max="2116" width="11.5703125" bestFit="1" customWidth="1"/>
    <col min="2117" max="2117" width="9.28515625" bestFit="1" customWidth="1"/>
    <col min="2118" max="2118" width="11.5703125" bestFit="1" customWidth="1"/>
    <col min="2119" max="2119" width="9.28515625" bestFit="1" customWidth="1"/>
    <col min="2120" max="2120" width="11.5703125" bestFit="1" customWidth="1"/>
    <col min="2121" max="2121" width="9.28515625" bestFit="1" customWidth="1"/>
    <col min="2122" max="2122" width="11.5703125" bestFit="1" customWidth="1"/>
    <col min="2123" max="2123" width="9.28515625" bestFit="1" customWidth="1"/>
    <col min="2331" max="2331" width="29.42578125" bestFit="1" customWidth="1"/>
    <col min="2332" max="2332" width="11.5703125" bestFit="1" customWidth="1"/>
    <col min="2333" max="2333" width="9.28515625" bestFit="1" customWidth="1"/>
    <col min="2334" max="2334" width="11.5703125" bestFit="1" customWidth="1"/>
    <col min="2335" max="2335" width="9.28515625" bestFit="1" customWidth="1"/>
    <col min="2336" max="2336" width="11.5703125" bestFit="1" customWidth="1"/>
    <col min="2337" max="2337" width="9.28515625" bestFit="1" customWidth="1"/>
    <col min="2338" max="2338" width="11.5703125" bestFit="1" customWidth="1"/>
    <col min="2339" max="2339" width="9.28515625" bestFit="1" customWidth="1"/>
    <col min="2340" max="2340" width="11.5703125" bestFit="1" customWidth="1"/>
    <col min="2341" max="2341" width="9.28515625" bestFit="1" customWidth="1"/>
    <col min="2342" max="2342" width="11.5703125" bestFit="1" customWidth="1"/>
    <col min="2343" max="2343" width="9.28515625" bestFit="1" customWidth="1"/>
    <col min="2344" max="2344" width="11.5703125" bestFit="1" customWidth="1"/>
    <col min="2345" max="2345" width="9.28515625" bestFit="1" customWidth="1"/>
    <col min="2346" max="2346" width="11.5703125" bestFit="1" customWidth="1"/>
    <col min="2347" max="2347" width="9.28515625" bestFit="1" customWidth="1"/>
    <col min="2348" max="2348" width="11.5703125" bestFit="1" customWidth="1"/>
    <col min="2349" max="2349" width="9.28515625" bestFit="1" customWidth="1"/>
    <col min="2350" max="2350" width="11.5703125" bestFit="1" customWidth="1"/>
    <col min="2351" max="2351" width="9.28515625" bestFit="1" customWidth="1"/>
    <col min="2352" max="2352" width="11.5703125" bestFit="1" customWidth="1"/>
    <col min="2353" max="2353" width="9.28515625" bestFit="1" customWidth="1"/>
    <col min="2354" max="2354" width="11.5703125" bestFit="1" customWidth="1"/>
    <col min="2355" max="2355" width="9.28515625" bestFit="1" customWidth="1"/>
    <col min="2356" max="2356" width="11.5703125" bestFit="1" customWidth="1"/>
    <col min="2357" max="2357" width="9.28515625" bestFit="1" customWidth="1"/>
    <col min="2358" max="2358" width="11.5703125" bestFit="1" customWidth="1"/>
    <col min="2359" max="2359" width="9.28515625" bestFit="1" customWidth="1"/>
    <col min="2360" max="2360" width="11.5703125" bestFit="1" customWidth="1"/>
    <col min="2361" max="2361" width="9.28515625" bestFit="1" customWidth="1"/>
    <col min="2362" max="2362" width="11.5703125" bestFit="1" customWidth="1"/>
    <col min="2363" max="2363" width="9.28515625" bestFit="1" customWidth="1"/>
    <col min="2364" max="2364" width="11.5703125" bestFit="1" customWidth="1"/>
    <col min="2365" max="2365" width="9.28515625" bestFit="1" customWidth="1"/>
    <col min="2366" max="2366" width="11.5703125" bestFit="1" customWidth="1"/>
    <col min="2367" max="2367" width="9.28515625" bestFit="1" customWidth="1"/>
    <col min="2368" max="2368" width="11.5703125" bestFit="1" customWidth="1"/>
    <col min="2369" max="2369" width="9.28515625" bestFit="1" customWidth="1"/>
    <col min="2370" max="2370" width="11.5703125" bestFit="1" customWidth="1"/>
    <col min="2371" max="2371" width="9.28515625" bestFit="1" customWidth="1"/>
    <col min="2372" max="2372" width="11.5703125" bestFit="1" customWidth="1"/>
    <col min="2373" max="2373" width="9.28515625" bestFit="1" customWidth="1"/>
    <col min="2374" max="2374" width="11.5703125" bestFit="1" customWidth="1"/>
    <col min="2375" max="2375" width="9.28515625" bestFit="1" customWidth="1"/>
    <col min="2376" max="2376" width="11.5703125" bestFit="1" customWidth="1"/>
    <col min="2377" max="2377" width="9.28515625" bestFit="1" customWidth="1"/>
    <col min="2378" max="2378" width="11.5703125" bestFit="1" customWidth="1"/>
    <col min="2379" max="2379" width="9.28515625" bestFit="1" customWidth="1"/>
    <col min="2587" max="2587" width="29.42578125" bestFit="1" customWidth="1"/>
    <col min="2588" max="2588" width="11.5703125" bestFit="1" customWidth="1"/>
    <col min="2589" max="2589" width="9.28515625" bestFit="1" customWidth="1"/>
    <col min="2590" max="2590" width="11.5703125" bestFit="1" customWidth="1"/>
    <col min="2591" max="2591" width="9.28515625" bestFit="1" customWidth="1"/>
    <col min="2592" max="2592" width="11.5703125" bestFit="1" customWidth="1"/>
    <col min="2593" max="2593" width="9.28515625" bestFit="1" customWidth="1"/>
    <col min="2594" max="2594" width="11.5703125" bestFit="1" customWidth="1"/>
    <col min="2595" max="2595" width="9.28515625" bestFit="1" customWidth="1"/>
    <col min="2596" max="2596" width="11.5703125" bestFit="1" customWidth="1"/>
    <col min="2597" max="2597" width="9.28515625" bestFit="1" customWidth="1"/>
    <col min="2598" max="2598" width="11.5703125" bestFit="1" customWidth="1"/>
    <col min="2599" max="2599" width="9.28515625" bestFit="1" customWidth="1"/>
    <col min="2600" max="2600" width="11.5703125" bestFit="1" customWidth="1"/>
    <col min="2601" max="2601" width="9.28515625" bestFit="1" customWidth="1"/>
    <col min="2602" max="2602" width="11.5703125" bestFit="1" customWidth="1"/>
    <col min="2603" max="2603" width="9.28515625" bestFit="1" customWidth="1"/>
    <col min="2604" max="2604" width="11.5703125" bestFit="1" customWidth="1"/>
    <col min="2605" max="2605" width="9.28515625" bestFit="1" customWidth="1"/>
    <col min="2606" max="2606" width="11.5703125" bestFit="1" customWidth="1"/>
    <col min="2607" max="2607" width="9.28515625" bestFit="1" customWidth="1"/>
    <col min="2608" max="2608" width="11.5703125" bestFit="1" customWidth="1"/>
    <col min="2609" max="2609" width="9.28515625" bestFit="1" customWidth="1"/>
    <col min="2610" max="2610" width="11.5703125" bestFit="1" customWidth="1"/>
    <col min="2611" max="2611" width="9.28515625" bestFit="1" customWidth="1"/>
    <col min="2612" max="2612" width="11.5703125" bestFit="1" customWidth="1"/>
    <col min="2613" max="2613" width="9.28515625" bestFit="1" customWidth="1"/>
    <col min="2614" max="2614" width="11.5703125" bestFit="1" customWidth="1"/>
    <col min="2615" max="2615" width="9.28515625" bestFit="1" customWidth="1"/>
    <col min="2616" max="2616" width="11.5703125" bestFit="1" customWidth="1"/>
    <col min="2617" max="2617" width="9.28515625" bestFit="1" customWidth="1"/>
    <col min="2618" max="2618" width="11.5703125" bestFit="1" customWidth="1"/>
    <col min="2619" max="2619" width="9.28515625" bestFit="1" customWidth="1"/>
    <col min="2620" max="2620" width="11.5703125" bestFit="1" customWidth="1"/>
    <col min="2621" max="2621" width="9.28515625" bestFit="1" customWidth="1"/>
    <col min="2622" max="2622" width="11.5703125" bestFit="1" customWidth="1"/>
    <col min="2623" max="2623" width="9.28515625" bestFit="1" customWidth="1"/>
    <col min="2624" max="2624" width="11.5703125" bestFit="1" customWidth="1"/>
    <col min="2625" max="2625" width="9.28515625" bestFit="1" customWidth="1"/>
    <col min="2626" max="2626" width="11.5703125" bestFit="1" customWidth="1"/>
    <col min="2627" max="2627" width="9.28515625" bestFit="1" customWidth="1"/>
    <col min="2628" max="2628" width="11.5703125" bestFit="1" customWidth="1"/>
    <col min="2629" max="2629" width="9.28515625" bestFit="1" customWidth="1"/>
    <col min="2630" max="2630" width="11.5703125" bestFit="1" customWidth="1"/>
    <col min="2631" max="2631" width="9.28515625" bestFit="1" customWidth="1"/>
    <col min="2632" max="2632" width="11.5703125" bestFit="1" customWidth="1"/>
    <col min="2633" max="2633" width="9.28515625" bestFit="1" customWidth="1"/>
    <col min="2634" max="2634" width="11.5703125" bestFit="1" customWidth="1"/>
    <col min="2635" max="2635" width="9.28515625" bestFit="1" customWidth="1"/>
    <col min="2843" max="2843" width="29.42578125" bestFit="1" customWidth="1"/>
    <col min="2844" max="2844" width="11.5703125" bestFit="1" customWidth="1"/>
    <col min="2845" max="2845" width="9.28515625" bestFit="1" customWidth="1"/>
    <col min="2846" max="2846" width="11.5703125" bestFit="1" customWidth="1"/>
    <col min="2847" max="2847" width="9.28515625" bestFit="1" customWidth="1"/>
    <col min="2848" max="2848" width="11.5703125" bestFit="1" customWidth="1"/>
    <col min="2849" max="2849" width="9.28515625" bestFit="1" customWidth="1"/>
    <col min="2850" max="2850" width="11.5703125" bestFit="1" customWidth="1"/>
    <col min="2851" max="2851" width="9.28515625" bestFit="1" customWidth="1"/>
    <col min="2852" max="2852" width="11.5703125" bestFit="1" customWidth="1"/>
    <col min="2853" max="2853" width="9.28515625" bestFit="1" customWidth="1"/>
    <col min="2854" max="2854" width="11.5703125" bestFit="1" customWidth="1"/>
    <col min="2855" max="2855" width="9.28515625" bestFit="1" customWidth="1"/>
    <col min="2856" max="2856" width="11.5703125" bestFit="1" customWidth="1"/>
    <col min="2857" max="2857" width="9.28515625" bestFit="1" customWidth="1"/>
    <col min="2858" max="2858" width="11.5703125" bestFit="1" customWidth="1"/>
    <col min="2859" max="2859" width="9.28515625" bestFit="1" customWidth="1"/>
    <col min="2860" max="2860" width="11.5703125" bestFit="1" customWidth="1"/>
    <col min="2861" max="2861" width="9.28515625" bestFit="1" customWidth="1"/>
    <col min="2862" max="2862" width="11.5703125" bestFit="1" customWidth="1"/>
    <col min="2863" max="2863" width="9.28515625" bestFit="1" customWidth="1"/>
    <col min="2864" max="2864" width="11.5703125" bestFit="1" customWidth="1"/>
    <col min="2865" max="2865" width="9.28515625" bestFit="1" customWidth="1"/>
    <col min="2866" max="2866" width="11.5703125" bestFit="1" customWidth="1"/>
    <col min="2867" max="2867" width="9.28515625" bestFit="1" customWidth="1"/>
    <col min="2868" max="2868" width="11.5703125" bestFit="1" customWidth="1"/>
    <col min="2869" max="2869" width="9.28515625" bestFit="1" customWidth="1"/>
    <col min="2870" max="2870" width="11.5703125" bestFit="1" customWidth="1"/>
    <col min="2871" max="2871" width="9.28515625" bestFit="1" customWidth="1"/>
    <col min="2872" max="2872" width="11.5703125" bestFit="1" customWidth="1"/>
    <col min="2873" max="2873" width="9.28515625" bestFit="1" customWidth="1"/>
    <col min="2874" max="2874" width="11.5703125" bestFit="1" customWidth="1"/>
    <col min="2875" max="2875" width="9.28515625" bestFit="1" customWidth="1"/>
    <col min="2876" max="2876" width="11.5703125" bestFit="1" customWidth="1"/>
    <col min="2877" max="2877" width="9.28515625" bestFit="1" customWidth="1"/>
    <col min="2878" max="2878" width="11.5703125" bestFit="1" customWidth="1"/>
    <col min="2879" max="2879" width="9.28515625" bestFit="1" customWidth="1"/>
    <col min="2880" max="2880" width="11.5703125" bestFit="1" customWidth="1"/>
    <col min="2881" max="2881" width="9.28515625" bestFit="1" customWidth="1"/>
    <col min="2882" max="2882" width="11.5703125" bestFit="1" customWidth="1"/>
    <col min="2883" max="2883" width="9.28515625" bestFit="1" customWidth="1"/>
    <col min="2884" max="2884" width="11.5703125" bestFit="1" customWidth="1"/>
    <col min="2885" max="2885" width="9.28515625" bestFit="1" customWidth="1"/>
    <col min="2886" max="2886" width="11.5703125" bestFit="1" customWidth="1"/>
    <col min="2887" max="2887" width="9.28515625" bestFit="1" customWidth="1"/>
    <col min="2888" max="2888" width="11.5703125" bestFit="1" customWidth="1"/>
    <col min="2889" max="2889" width="9.28515625" bestFit="1" customWidth="1"/>
    <col min="2890" max="2890" width="11.5703125" bestFit="1" customWidth="1"/>
    <col min="2891" max="2891" width="9.28515625" bestFit="1" customWidth="1"/>
    <col min="3099" max="3099" width="29.42578125" bestFit="1" customWidth="1"/>
    <col min="3100" max="3100" width="11.5703125" bestFit="1" customWidth="1"/>
    <col min="3101" max="3101" width="9.28515625" bestFit="1" customWidth="1"/>
    <col min="3102" max="3102" width="11.5703125" bestFit="1" customWidth="1"/>
    <col min="3103" max="3103" width="9.28515625" bestFit="1" customWidth="1"/>
    <col min="3104" max="3104" width="11.5703125" bestFit="1" customWidth="1"/>
    <col min="3105" max="3105" width="9.28515625" bestFit="1" customWidth="1"/>
    <col min="3106" max="3106" width="11.5703125" bestFit="1" customWidth="1"/>
    <col min="3107" max="3107" width="9.28515625" bestFit="1" customWidth="1"/>
    <col min="3108" max="3108" width="11.5703125" bestFit="1" customWidth="1"/>
    <col min="3109" max="3109" width="9.28515625" bestFit="1" customWidth="1"/>
    <col min="3110" max="3110" width="11.5703125" bestFit="1" customWidth="1"/>
    <col min="3111" max="3111" width="9.28515625" bestFit="1" customWidth="1"/>
    <col min="3112" max="3112" width="11.5703125" bestFit="1" customWidth="1"/>
    <col min="3113" max="3113" width="9.28515625" bestFit="1" customWidth="1"/>
    <col min="3114" max="3114" width="11.5703125" bestFit="1" customWidth="1"/>
    <col min="3115" max="3115" width="9.28515625" bestFit="1" customWidth="1"/>
    <col min="3116" max="3116" width="11.5703125" bestFit="1" customWidth="1"/>
    <col min="3117" max="3117" width="9.28515625" bestFit="1" customWidth="1"/>
    <col min="3118" max="3118" width="11.5703125" bestFit="1" customWidth="1"/>
    <col min="3119" max="3119" width="9.28515625" bestFit="1" customWidth="1"/>
    <col min="3120" max="3120" width="11.5703125" bestFit="1" customWidth="1"/>
    <col min="3121" max="3121" width="9.28515625" bestFit="1" customWidth="1"/>
    <col min="3122" max="3122" width="11.5703125" bestFit="1" customWidth="1"/>
    <col min="3123" max="3123" width="9.28515625" bestFit="1" customWidth="1"/>
    <col min="3124" max="3124" width="11.5703125" bestFit="1" customWidth="1"/>
    <col min="3125" max="3125" width="9.28515625" bestFit="1" customWidth="1"/>
    <col min="3126" max="3126" width="11.5703125" bestFit="1" customWidth="1"/>
    <col min="3127" max="3127" width="9.28515625" bestFit="1" customWidth="1"/>
    <col min="3128" max="3128" width="11.5703125" bestFit="1" customWidth="1"/>
    <col min="3129" max="3129" width="9.28515625" bestFit="1" customWidth="1"/>
    <col min="3130" max="3130" width="11.5703125" bestFit="1" customWidth="1"/>
    <col min="3131" max="3131" width="9.28515625" bestFit="1" customWidth="1"/>
    <col min="3132" max="3132" width="11.5703125" bestFit="1" customWidth="1"/>
    <col min="3133" max="3133" width="9.28515625" bestFit="1" customWidth="1"/>
    <col min="3134" max="3134" width="11.5703125" bestFit="1" customWidth="1"/>
    <col min="3135" max="3135" width="9.28515625" bestFit="1" customWidth="1"/>
    <col min="3136" max="3136" width="11.5703125" bestFit="1" customWidth="1"/>
    <col min="3137" max="3137" width="9.28515625" bestFit="1" customWidth="1"/>
    <col min="3138" max="3138" width="11.5703125" bestFit="1" customWidth="1"/>
    <col min="3139" max="3139" width="9.28515625" bestFit="1" customWidth="1"/>
    <col min="3140" max="3140" width="11.5703125" bestFit="1" customWidth="1"/>
    <col min="3141" max="3141" width="9.28515625" bestFit="1" customWidth="1"/>
    <col min="3142" max="3142" width="11.5703125" bestFit="1" customWidth="1"/>
    <col min="3143" max="3143" width="9.28515625" bestFit="1" customWidth="1"/>
    <col min="3144" max="3144" width="11.5703125" bestFit="1" customWidth="1"/>
    <col min="3145" max="3145" width="9.28515625" bestFit="1" customWidth="1"/>
    <col min="3146" max="3146" width="11.5703125" bestFit="1" customWidth="1"/>
    <col min="3147" max="3147" width="9.28515625" bestFit="1" customWidth="1"/>
    <col min="3355" max="3355" width="29.42578125" bestFit="1" customWidth="1"/>
    <col min="3356" max="3356" width="11.5703125" bestFit="1" customWidth="1"/>
    <col min="3357" max="3357" width="9.28515625" bestFit="1" customWidth="1"/>
    <col min="3358" max="3358" width="11.5703125" bestFit="1" customWidth="1"/>
    <col min="3359" max="3359" width="9.28515625" bestFit="1" customWidth="1"/>
    <col min="3360" max="3360" width="11.5703125" bestFit="1" customWidth="1"/>
    <col min="3361" max="3361" width="9.28515625" bestFit="1" customWidth="1"/>
    <col min="3362" max="3362" width="11.5703125" bestFit="1" customWidth="1"/>
    <col min="3363" max="3363" width="9.28515625" bestFit="1" customWidth="1"/>
    <col min="3364" max="3364" width="11.5703125" bestFit="1" customWidth="1"/>
    <col min="3365" max="3365" width="9.28515625" bestFit="1" customWidth="1"/>
    <col min="3366" max="3366" width="11.5703125" bestFit="1" customWidth="1"/>
    <col min="3367" max="3367" width="9.28515625" bestFit="1" customWidth="1"/>
    <col min="3368" max="3368" width="11.5703125" bestFit="1" customWidth="1"/>
    <col min="3369" max="3369" width="9.28515625" bestFit="1" customWidth="1"/>
    <col min="3370" max="3370" width="11.5703125" bestFit="1" customWidth="1"/>
    <col min="3371" max="3371" width="9.28515625" bestFit="1" customWidth="1"/>
    <col min="3372" max="3372" width="11.5703125" bestFit="1" customWidth="1"/>
    <col min="3373" max="3373" width="9.28515625" bestFit="1" customWidth="1"/>
    <col min="3374" max="3374" width="11.5703125" bestFit="1" customWidth="1"/>
    <col min="3375" max="3375" width="9.28515625" bestFit="1" customWidth="1"/>
    <col min="3376" max="3376" width="11.5703125" bestFit="1" customWidth="1"/>
    <col min="3377" max="3377" width="9.28515625" bestFit="1" customWidth="1"/>
    <col min="3378" max="3378" width="11.5703125" bestFit="1" customWidth="1"/>
    <col min="3379" max="3379" width="9.28515625" bestFit="1" customWidth="1"/>
    <col min="3380" max="3380" width="11.5703125" bestFit="1" customWidth="1"/>
    <col min="3381" max="3381" width="9.28515625" bestFit="1" customWidth="1"/>
    <col min="3382" max="3382" width="11.5703125" bestFit="1" customWidth="1"/>
    <col min="3383" max="3383" width="9.28515625" bestFit="1" customWidth="1"/>
    <col min="3384" max="3384" width="11.5703125" bestFit="1" customWidth="1"/>
    <col min="3385" max="3385" width="9.28515625" bestFit="1" customWidth="1"/>
    <col min="3386" max="3386" width="11.5703125" bestFit="1" customWidth="1"/>
    <col min="3387" max="3387" width="9.28515625" bestFit="1" customWidth="1"/>
    <col min="3388" max="3388" width="11.5703125" bestFit="1" customWidth="1"/>
    <col min="3389" max="3389" width="9.28515625" bestFit="1" customWidth="1"/>
    <col min="3390" max="3390" width="11.5703125" bestFit="1" customWidth="1"/>
    <col min="3391" max="3391" width="9.28515625" bestFit="1" customWidth="1"/>
    <col min="3392" max="3392" width="11.5703125" bestFit="1" customWidth="1"/>
    <col min="3393" max="3393" width="9.28515625" bestFit="1" customWidth="1"/>
    <col min="3394" max="3394" width="11.5703125" bestFit="1" customWidth="1"/>
    <col min="3395" max="3395" width="9.28515625" bestFit="1" customWidth="1"/>
    <col min="3396" max="3396" width="11.5703125" bestFit="1" customWidth="1"/>
    <col min="3397" max="3397" width="9.28515625" bestFit="1" customWidth="1"/>
    <col min="3398" max="3398" width="11.5703125" bestFit="1" customWidth="1"/>
    <col min="3399" max="3399" width="9.28515625" bestFit="1" customWidth="1"/>
    <col min="3400" max="3400" width="11.5703125" bestFit="1" customWidth="1"/>
    <col min="3401" max="3401" width="9.28515625" bestFit="1" customWidth="1"/>
    <col min="3402" max="3402" width="11.5703125" bestFit="1" customWidth="1"/>
    <col min="3403" max="3403" width="9.28515625" bestFit="1" customWidth="1"/>
    <col min="3611" max="3611" width="29.42578125" bestFit="1" customWidth="1"/>
    <col min="3612" max="3612" width="11.5703125" bestFit="1" customWidth="1"/>
    <col min="3613" max="3613" width="9.28515625" bestFit="1" customWidth="1"/>
    <col min="3614" max="3614" width="11.5703125" bestFit="1" customWidth="1"/>
    <col min="3615" max="3615" width="9.28515625" bestFit="1" customWidth="1"/>
    <col min="3616" max="3616" width="11.5703125" bestFit="1" customWidth="1"/>
    <col min="3617" max="3617" width="9.28515625" bestFit="1" customWidth="1"/>
    <col min="3618" max="3618" width="11.5703125" bestFit="1" customWidth="1"/>
    <col min="3619" max="3619" width="9.28515625" bestFit="1" customWidth="1"/>
    <col min="3620" max="3620" width="11.5703125" bestFit="1" customWidth="1"/>
    <col min="3621" max="3621" width="9.28515625" bestFit="1" customWidth="1"/>
    <col min="3622" max="3622" width="11.5703125" bestFit="1" customWidth="1"/>
    <col min="3623" max="3623" width="9.28515625" bestFit="1" customWidth="1"/>
    <col min="3624" max="3624" width="11.5703125" bestFit="1" customWidth="1"/>
    <col min="3625" max="3625" width="9.28515625" bestFit="1" customWidth="1"/>
    <col min="3626" max="3626" width="11.5703125" bestFit="1" customWidth="1"/>
    <col min="3627" max="3627" width="9.28515625" bestFit="1" customWidth="1"/>
    <col min="3628" max="3628" width="11.5703125" bestFit="1" customWidth="1"/>
    <col min="3629" max="3629" width="9.28515625" bestFit="1" customWidth="1"/>
    <col min="3630" max="3630" width="11.5703125" bestFit="1" customWidth="1"/>
    <col min="3631" max="3631" width="9.28515625" bestFit="1" customWidth="1"/>
    <col min="3632" max="3632" width="11.5703125" bestFit="1" customWidth="1"/>
    <col min="3633" max="3633" width="9.28515625" bestFit="1" customWidth="1"/>
    <col min="3634" max="3634" width="11.5703125" bestFit="1" customWidth="1"/>
    <col min="3635" max="3635" width="9.28515625" bestFit="1" customWidth="1"/>
    <col min="3636" max="3636" width="11.5703125" bestFit="1" customWidth="1"/>
    <col min="3637" max="3637" width="9.28515625" bestFit="1" customWidth="1"/>
    <col min="3638" max="3638" width="11.5703125" bestFit="1" customWidth="1"/>
    <col min="3639" max="3639" width="9.28515625" bestFit="1" customWidth="1"/>
    <col min="3640" max="3640" width="11.5703125" bestFit="1" customWidth="1"/>
    <col min="3641" max="3641" width="9.28515625" bestFit="1" customWidth="1"/>
    <col min="3642" max="3642" width="11.5703125" bestFit="1" customWidth="1"/>
    <col min="3643" max="3643" width="9.28515625" bestFit="1" customWidth="1"/>
    <col min="3644" max="3644" width="11.5703125" bestFit="1" customWidth="1"/>
    <col min="3645" max="3645" width="9.28515625" bestFit="1" customWidth="1"/>
    <col min="3646" max="3646" width="11.5703125" bestFit="1" customWidth="1"/>
    <col min="3647" max="3647" width="9.28515625" bestFit="1" customWidth="1"/>
    <col min="3648" max="3648" width="11.5703125" bestFit="1" customWidth="1"/>
    <col min="3649" max="3649" width="9.28515625" bestFit="1" customWidth="1"/>
    <col min="3650" max="3650" width="11.5703125" bestFit="1" customWidth="1"/>
    <col min="3651" max="3651" width="9.28515625" bestFit="1" customWidth="1"/>
    <col min="3652" max="3652" width="11.5703125" bestFit="1" customWidth="1"/>
    <col min="3653" max="3653" width="9.28515625" bestFit="1" customWidth="1"/>
    <col min="3654" max="3654" width="11.5703125" bestFit="1" customWidth="1"/>
    <col min="3655" max="3655" width="9.28515625" bestFit="1" customWidth="1"/>
    <col min="3656" max="3656" width="11.5703125" bestFit="1" customWidth="1"/>
    <col min="3657" max="3657" width="9.28515625" bestFit="1" customWidth="1"/>
    <col min="3658" max="3658" width="11.5703125" bestFit="1" customWidth="1"/>
    <col min="3659" max="3659" width="9.28515625" bestFit="1" customWidth="1"/>
    <col min="3867" max="3867" width="29.42578125" bestFit="1" customWidth="1"/>
    <col min="3868" max="3868" width="11.5703125" bestFit="1" customWidth="1"/>
    <col min="3869" max="3869" width="9.28515625" bestFit="1" customWidth="1"/>
    <col min="3870" max="3870" width="11.5703125" bestFit="1" customWidth="1"/>
    <col min="3871" max="3871" width="9.28515625" bestFit="1" customWidth="1"/>
    <col min="3872" max="3872" width="11.5703125" bestFit="1" customWidth="1"/>
    <col min="3873" max="3873" width="9.28515625" bestFit="1" customWidth="1"/>
    <col min="3874" max="3874" width="11.5703125" bestFit="1" customWidth="1"/>
    <col min="3875" max="3875" width="9.28515625" bestFit="1" customWidth="1"/>
    <col min="3876" max="3876" width="11.5703125" bestFit="1" customWidth="1"/>
    <col min="3877" max="3877" width="9.28515625" bestFit="1" customWidth="1"/>
    <col min="3878" max="3878" width="11.5703125" bestFit="1" customWidth="1"/>
    <col min="3879" max="3879" width="9.28515625" bestFit="1" customWidth="1"/>
    <col min="3880" max="3880" width="11.5703125" bestFit="1" customWidth="1"/>
    <col min="3881" max="3881" width="9.28515625" bestFit="1" customWidth="1"/>
    <col min="3882" max="3882" width="11.5703125" bestFit="1" customWidth="1"/>
    <col min="3883" max="3883" width="9.28515625" bestFit="1" customWidth="1"/>
    <col min="3884" max="3884" width="11.5703125" bestFit="1" customWidth="1"/>
    <col min="3885" max="3885" width="9.28515625" bestFit="1" customWidth="1"/>
    <col min="3886" max="3886" width="11.5703125" bestFit="1" customWidth="1"/>
    <col min="3887" max="3887" width="9.28515625" bestFit="1" customWidth="1"/>
    <col min="3888" max="3888" width="11.5703125" bestFit="1" customWidth="1"/>
    <col min="3889" max="3889" width="9.28515625" bestFit="1" customWidth="1"/>
    <col min="3890" max="3890" width="11.5703125" bestFit="1" customWidth="1"/>
    <col min="3891" max="3891" width="9.28515625" bestFit="1" customWidth="1"/>
    <col min="3892" max="3892" width="11.5703125" bestFit="1" customWidth="1"/>
    <col min="3893" max="3893" width="9.28515625" bestFit="1" customWidth="1"/>
    <col min="3894" max="3894" width="11.5703125" bestFit="1" customWidth="1"/>
    <col min="3895" max="3895" width="9.28515625" bestFit="1" customWidth="1"/>
    <col min="3896" max="3896" width="11.5703125" bestFit="1" customWidth="1"/>
    <col min="3897" max="3897" width="9.28515625" bestFit="1" customWidth="1"/>
    <col min="3898" max="3898" width="11.5703125" bestFit="1" customWidth="1"/>
    <col min="3899" max="3899" width="9.28515625" bestFit="1" customWidth="1"/>
    <col min="3900" max="3900" width="11.5703125" bestFit="1" customWidth="1"/>
    <col min="3901" max="3901" width="9.28515625" bestFit="1" customWidth="1"/>
    <col min="3902" max="3902" width="11.5703125" bestFit="1" customWidth="1"/>
    <col min="3903" max="3903" width="9.28515625" bestFit="1" customWidth="1"/>
    <col min="3904" max="3904" width="11.5703125" bestFit="1" customWidth="1"/>
    <col min="3905" max="3905" width="9.28515625" bestFit="1" customWidth="1"/>
    <col min="3906" max="3906" width="11.5703125" bestFit="1" customWidth="1"/>
    <col min="3907" max="3907" width="9.28515625" bestFit="1" customWidth="1"/>
    <col min="3908" max="3908" width="11.5703125" bestFit="1" customWidth="1"/>
    <col min="3909" max="3909" width="9.28515625" bestFit="1" customWidth="1"/>
    <col min="3910" max="3910" width="11.5703125" bestFit="1" customWidth="1"/>
    <col min="3911" max="3911" width="9.28515625" bestFit="1" customWidth="1"/>
    <col min="3912" max="3912" width="11.5703125" bestFit="1" customWidth="1"/>
    <col min="3913" max="3913" width="9.28515625" bestFit="1" customWidth="1"/>
    <col min="3914" max="3914" width="11.5703125" bestFit="1" customWidth="1"/>
    <col min="3915" max="3915" width="9.28515625" bestFit="1" customWidth="1"/>
    <col min="4123" max="4123" width="29.42578125" bestFit="1" customWidth="1"/>
    <col min="4124" max="4124" width="11.5703125" bestFit="1" customWidth="1"/>
    <col min="4125" max="4125" width="9.28515625" bestFit="1" customWidth="1"/>
    <col min="4126" max="4126" width="11.5703125" bestFit="1" customWidth="1"/>
    <col min="4127" max="4127" width="9.28515625" bestFit="1" customWidth="1"/>
    <col min="4128" max="4128" width="11.5703125" bestFit="1" customWidth="1"/>
    <col min="4129" max="4129" width="9.28515625" bestFit="1" customWidth="1"/>
    <col min="4130" max="4130" width="11.5703125" bestFit="1" customWidth="1"/>
    <col min="4131" max="4131" width="9.28515625" bestFit="1" customWidth="1"/>
    <col min="4132" max="4132" width="11.5703125" bestFit="1" customWidth="1"/>
    <col min="4133" max="4133" width="9.28515625" bestFit="1" customWidth="1"/>
    <col min="4134" max="4134" width="11.5703125" bestFit="1" customWidth="1"/>
    <col min="4135" max="4135" width="9.28515625" bestFit="1" customWidth="1"/>
    <col min="4136" max="4136" width="11.5703125" bestFit="1" customWidth="1"/>
    <col min="4137" max="4137" width="9.28515625" bestFit="1" customWidth="1"/>
    <col min="4138" max="4138" width="11.5703125" bestFit="1" customWidth="1"/>
    <col min="4139" max="4139" width="9.28515625" bestFit="1" customWidth="1"/>
    <col min="4140" max="4140" width="11.5703125" bestFit="1" customWidth="1"/>
    <col min="4141" max="4141" width="9.28515625" bestFit="1" customWidth="1"/>
    <col min="4142" max="4142" width="11.5703125" bestFit="1" customWidth="1"/>
    <col min="4143" max="4143" width="9.28515625" bestFit="1" customWidth="1"/>
    <col min="4144" max="4144" width="11.5703125" bestFit="1" customWidth="1"/>
    <col min="4145" max="4145" width="9.28515625" bestFit="1" customWidth="1"/>
    <col min="4146" max="4146" width="11.5703125" bestFit="1" customWidth="1"/>
    <col min="4147" max="4147" width="9.28515625" bestFit="1" customWidth="1"/>
    <col min="4148" max="4148" width="11.5703125" bestFit="1" customWidth="1"/>
    <col min="4149" max="4149" width="9.28515625" bestFit="1" customWidth="1"/>
    <col min="4150" max="4150" width="11.5703125" bestFit="1" customWidth="1"/>
    <col min="4151" max="4151" width="9.28515625" bestFit="1" customWidth="1"/>
    <col min="4152" max="4152" width="11.5703125" bestFit="1" customWidth="1"/>
    <col min="4153" max="4153" width="9.28515625" bestFit="1" customWidth="1"/>
    <col min="4154" max="4154" width="11.5703125" bestFit="1" customWidth="1"/>
    <col min="4155" max="4155" width="9.28515625" bestFit="1" customWidth="1"/>
    <col min="4156" max="4156" width="11.5703125" bestFit="1" customWidth="1"/>
    <col min="4157" max="4157" width="9.28515625" bestFit="1" customWidth="1"/>
    <col min="4158" max="4158" width="11.5703125" bestFit="1" customWidth="1"/>
    <col min="4159" max="4159" width="9.28515625" bestFit="1" customWidth="1"/>
    <col min="4160" max="4160" width="11.5703125" bestFit="1" customWidth="1"/>
    <col min="4161" max="4161" width="9.28515625" bestFit="1" customWidth="1"/>
    <col min="4162" max="4162" width="11.5703125" bestFit="1" customWidth="1"/>
    <col min="4163" max="4163" width="9.28515625" bestFit="1" customWidth="1"/>
    <col min="4164" max="4164" width="11.5703125" bestFit="1" customWidth="1"/>
    <col min="4165" max="4165" width="9.28515625" bestFit="1" customWidth="1"/>
    <col min="4166" max="4166" width="11.5703125" bestFit="1" customWidth="1"/>
    <col min="4167" max="4167" width="9.28515625" bestFit="1" customWidth="1"/>
    <col min="4168" max="4168" width="11.5703125" bestFit="1" customWidth="1"/>
    <col min="4169" max="4169" width="9.28515625" bestFit="1" customWidth="1"/>
    <col min="4170" max="4170" width="11.5703125" bestFit="1" customWidth="1"/>
    <col min="4171" max="4171" width="9.28515625" bestFit="1" customWidth="1"/>
    <col min="4379" max="4379" width="29.42578125" bestFit="1" customWidth="1"/>
    <col min="4380" max="4380" width="11.5703125" bestFit="1" customWidth="1"/>
    <col min="4381" max="4381" width="9.28515625" bestFit="1" customWidth="1"/>
    <col min="4382" max="4382" width="11.5703125" bestFit="1" customWidth="1"/>
    <col min="4383" max="4383" width="9.28515625" bestFit="1" customWidth="1"/>
    <col min="4384" max="4384" width="11.5703125" bestFit="1" customWidth="1"/>
    <col min="4385" max="4385" width="9.28515625" bestFit="1" customWidth="1"/>
    <col min="4386" max="4386" width="11.5703125" bestFit="1" customWidth="1"/>
    <col min="4387" max="4387" width="9.28515625" bestFit="1" customWidth="1"/>
    <col min="4388" max="4388" width="11.5703125" bestFit="1" customWidth="1"/>
    <col min="4389" max="4389" width="9.28515625" bestFit="1" customWidth="1"/>
    <col min="4390" max="4390" width="11.5703125" bestFit="1" customWidth="1"/>
    <col min="4391" max="4391" width="9.28515625" bestFit="1" customWidth="1"/>
    <col min="4392" max="4392" width="11.5703125" bestFit="1" customWidth="1"/>
    <col min="4393" max="4393" width="9.28515625" bestFit="1" customWidth="1"/>
    <col min="4394" max="4394" width="11.5703125" bestFit="1" customWidth="1"/>
    <col min="4395" max="4395" width="9.28515625" bestFit="1" customWidth="1"/>
    <col min="4396" max="4396" width="11.5703125" bestFit="1" customWidth="1"/>
    <col min="4397" max="4397" width="9.28515625" bestFit="1" customWidth="1"/>
    <col min="4398" max="4398" width="11.5703125" bestFit="1" customWidth="1"/>
    <col min="4399" max="4399" width="9.28515625" bestFit="1" customWidth="1"/>
    <col min="4400" max="4400" width="11.5703125" bestFit="1" customWidth="1"/>
    <col min="4401" max="4401" width="9.28515625" bestFit="1" customWidth="1"/>
    <col min="4402" max="4402" width="11.5703125" bestFit="1" customWidth="1"/>
    <col min="4403" max="4403" width="9.28515625" bestFit="1" customWidth="1"/>
    <col min="4404" max="4404" width="11.5703125" bestFit="1" customWidth="1"/>
    <col min="4405" max="4405" width="9.28515625" bestFit="1" customWidth="1"/>
    <col min="4406" max="4406" width="11.5703125" bestFit="1" customWidth="1"/>
    <col min="4407" max="4407" width="9.28515625" bestFit="1" customWidth="1"/>
    <col min="4408" max="4408" width="11.5703125" bestFit="1" customWidth="1"/>
    <col min="4409" max="4409" width="9.28515625" bestFit="1" customWidth="1"/>
    <col min="4410" max="4410" width="11.5703125" bestFit="1" customWidth="1"/>
    <col min="4411" max="4411" width="9.28515625" bestFit="1" customWidth="1"/>
    <col min="4412" max="4412" width="11.5703125" bestFit="1" customWidth="1"/>
    <col min="4413" max="4413" width="9.28515625" bestFit="1" customWidth="1"/>
    <col min="4414" max="4414" width="11.5703125" bestFit="1" customWidth="1"/>
    <col min="4415" max="4415" width="9.28515625" bestFit="1" customWidth="1"/>
    <col min="4416" max="4416" width="11.5703125" bestFit="1" customWidth="1"/>
    <col min="4417" max="4417" width="9.28515625" bestFit="1" customWidth="1"/>
    <col min="4418" max="4418" width="11.5703125" bestFit="1" customWidth="1"/>
    <col min="4419" max="4419" width="9.28515625" bestFit="1" customWidth="1"/>
    <col min="4420" max="4420" width="11.5703125" bestFit="1" customWidth="1"/>
    <col min="4421" max="4421" width="9.28515625" bestFit="1" customWidth="1"/>
    <col min="4422" max="4422" width="11.5703125" bestFit="1" customWidth="1"/>
    <col min="4423" max="4423" width="9.28515625" bestFit="1" customWidth="1"/>
    <col min="4424" max="4424" width="11.5703125" bestFit="1" customWidth="1"/>
    <col min="4425" max="4425" width="9.28515625" bestFit="1" customWidth="1"/>
    <col min="4426" max="4426" width="11.5703125" bestFit="1" customWidth="1"/>
    <col min="4427" max="4427" width="9.28515625" bestFit="1" customWidth="1"/>
    <col min="4635" max="4635" width="29.42578125" bestFit="1" customWidth="1"/>
    <col min="4636" max="4636" width="11.5703125" bestFit="1" customWidth="1"/>
    <col min="4637" max="4637" width="9.28515625" bestFit="1" customWidth="1"/>
    <col min="4638" max="4638" width="11.5703125" bestFit="1" customWidth="1"/>
    <col min="4639" max="4639" width="9.28515625" bestFit="1" customWidth="1"/>
    <col min="4640" max="4640" width="11.5703125" bestFit="1" customWidth="1"/>
    <col min="4641" max="4641" width="9.28515625" bestFit="1" customWidth="1"/>
    <col min="4642" max="4642" width="11.5703125" bestFit="1" customWidth="1"/>
    <col min="4643" max="4643" width="9.28515625" bestFit="1" customWidth="1"/>
    <col min="4644" max="4644" width="11.5703125" bestFit="1" customWidth="1"/>
    <col min="4645" max="4645" width="9.28515625" bestFit="1" customWidth="1"/>
    <col min="4646" max="4646" width="11.5703125" bestFit="1" customWidth="1"/>
    <col min="4647" max="4647" width="9.28515625" bestFit="1" customWidth="1"/>
    <col min="4648" max="4648" width="11.5703125" bestFit="1" customWidth="1"/>
    <col min="4649" max="4649" width="9.28515625" bestFit="1" customWidth="1"/>
    <col min="4650" max="4650" width="11.5703125" bestFit="1" customWidth="1"/>
    <col min="4651" max="4651" width="9.28515625" bestFit="1" customWidth="1"/>
    <col min="4652" max="4652" width="11.5703125" bestFit="1" customWidth="1"/>
    <col min="4653" max="4653" width="9.28515625" bestFit="1" customWidth="1"/>
    <col min="4654" max="4654" width="11.5703125" bestFit="1" customWidth="1"/>
    <col min="4655" max="4655" width="9.28515625" bestFit="1" customWidth="1"/>
    <col min="4656" max="4656" width="11.5703125" bestFit="1" customWidth="1"/>
    <col min="4657" max="4657" width="9.28515625" bestFit="1" customWidth="1"/>
    <col min="4658" max="4658" width="11.5703125" bestFit="1" customWidth="1"/>
    <col min="4659" max="4659" width="9.28515625" bestFit="1" customWidth="1"/>
    <col min="4660" max="4660" width="11.5703125" bestFit="1" customWidth="1"/>
    <col min="4661" max="4661" width="9.28515625" bestFit="1" customWidth="1"/>
    <col min="4662" max="4662" width="11.5703125" bestFit="1" customWidth="1"/>
    <col min="4663" max="4663" width="9.28515625" bestFit="1" customWidth="1"/>
    <col min="4664" max="4664" width="11.5703125" bestFit="1" customWidth="1"/>
    <col min="4665" max="4665" width="9.28515625" bestFit="1" customWidth="1"/>
    <col min="4666" max="4666" width="11.5703125" bestFit="1" customWidth="1"/>
    <col min="4667" max="4667" width="9.28515625" bestFit="1" customWidth="1"/>
    <col min="4668" max="4668" width="11.5703125" bestFit="1" customWidth="1"/>
    <col min="4669" max="4669" width="9.28515625" bestFit="1" customWidth="1"/>
    <col min="4670" max="4670" width="11.5703125" bestFit="1" customWidth="1"/>
    <col min="4671" max="4671" width="9.28515625" bestFit="1" customWidth="1"/>
    <col min="4672" max="4672" width="11.5703125" bestFit="1" customWidth="1"/>
    <col min="4673" max="4673" width="9.28515625" bestFit="1" customWidth="1"/>
    <col min="4674" max="4674" width="11.5703125" bestFit="1" customWidth="1"/>
    <col min="4675" max="4675" width="9.28515625" bestFit="1" customWidth="1"/>
    <col min="4676" max="4676" width="11.5703125" bestFit="1" customWidth="1"/>
    <col min="4677" max="4677" width="9.28515625" bestFit="1" customWidth="1"/>
    <col min="4678" max="4678" width="11.5703125" bestFit="1" customWidth="1"/>
    <col min="4679" max="4679" width="9.28515625" bestFit="1" customWidth="1"/>
    <col min="4680" max="4680" width="11.5703125" bestFit="1" customWidth="1"/>
    <col min="4681" max="4681" width="9.28515625" bestFit="1" customWidth="1"/>
    <col min="4682" max="4682" width="11.5703125" bestFit="1" customWidth="1"/>
    <col min="4683" max="4683" width="9.28515625" bestFit="1" customWidth="1"/>
    <col min="4891" max="4891" width="29.42578125" bestFit="1" customWidth="1"/>
    <col min="4892" max="4892" width="11.5703125" bestFit="1" customWidth="1"/>
    <col min="4893" max="4893" width="9.28515625" bestFit="1" customWidth="1"/>
    <col min="4894" max="4894" width="11.5703125" bestFit="1" customWidth="1"/>
    <col min="4895" max="4895" width="9.28515625" bestFit="1" customWidth="1"/>
    <col min="4896" max="4896" width="11.5703125" bestFit="1" customWidth="1"/>
    <col min="4897" max="4897" width="9.28515625" bestFit="1" customWidth="1"/>
    <col min="4898" max="4898" width="11.5703125" bestFit="1" customWidth="1"/>
    <col min="4899" max="4899" width="9.28515625" bestFit="1" customWidth="1"/>
    <col min="4900" max="4900" width="11.5703125" bestFit="1" customWidth="1"/>
    <col min="4901" max="4901" width="9.28515625" bestFit="1" customWidth="1"/>
    <col min="4902" max="4902" width="11.5703125" bestFit="1" customWidth="1"/>
    <col min="4903" max="4903" width="9.28515625" bestFit="1" customWidth="1"/>
    <col min="4904" max="4904" width="11.5703125" bestFit="1" customWidth="1"/>
    <col min="4905" max="4905" width="9.28515625" bestFit="1" customWidth="1"/>
    <col min="4906" max="4906" width="11.5703125" bestFit="1" customWidth="1"/>
    <col min="4907" max="4907" width="9.28515625" bestFit="1" customWidth="1"/>
    <col min="4908" max="4908" width="11.5703125" bestFit="1" customWidth="1"/>
    <col min="4909" max="4909" width="9.28515625" bestFit="1" customWidth="1"/>
    <col min="4910" max="4910" width="11.5703125" bestFit="1" customWidth="1"/>
    <col min="4911" max="4911" width="9.28515625" bestFit="1" customWidth="1"/>
    <col min="4912" max="4912" width="11.5703125" bestFit="1" customWidth="1"/>
    <col min="4913" max="4913" width="9.28515625" bestFit="1" customWidth="1"/>
    <col min="4914" max="4914" width="11.5703125" bestFit="1" customWidth="1"/>
    <col min="4915" max="4915" width="9.28515625" bestFit="1" customWidth="1"/>
    <col min="4916" max="4916" width="11.5703125" bestFit="1" customWidth="1"/>
    <col min="4917" max="4917" width="9.28515625" bestFit="1" customWidth="1"/>
    <col min="4918" max="4918" width="11.5703125" bestFit="1" customWidth="1"/>
    <col min="4919" max="4919" width="9.28515625" bestFit="1" customWidth="1"/>
    <col min="4920" max="4920" width="11.5703125" bestFit="1" customWidth="1"/>
    <col min="4921" max="4921" width="9.28515625" bestFit="1" customWidth="1"/>
    <col min="4922" max="4922" width="11.5703125" bestFit="1" customWidth="1"/>
    <col min="4923" max="4923" width="9.28515625" bestFit="1" customWidth="1"/>
    <col min="4924" max="4924" width="11.5703125" bestFit="1" customWidth="1"/>
    <col min="4925" max="4925" width="9.28515625" bestFit="1" customWidth="1"/>
    <col min="4926" max="4926" width="11.5703125" bestFit="1" customWidth="1"/>
    <col min="4927" max="4927" width="9.28515625" bestFit="1" customWidth="1"/>
    <col min="4928" max="4928" width="11.5703125" bestFit="1" customWidth="1"/>
    <col min="4929" max="4929" width="9.28515625" bestFit="1" customWidth="1"/>
    <col min="4930" max="4930" width="11.5703125" bestFit="1" customWidth="1"/>
    <col min="4931" max="4931" width="9.28515625" bestFit="1" customWidth="1"/>
    <col min="4932" max="4932" width="11.5703125" bestFit="1" customWidth="1"/>
    <col min="4933" max="4933" width="9.28515625" bestFit="1" customWidth="1"/>
    <col min="4934" max="4934" width="11.5703125" bestFit="1" customWidth="1"/>
    <col min="4935" max="4935" width="9.28515625" bestFit="1" customWidth="1"/>
    <col min="4936" max="4936" width="11.5703125" bestFit="1" customWidth="1"/>
    <col min="4937" max="4937" width="9.28515625" bestFit="1" customWidth="1"/>
    <col min="4938" max="4938" width="11.5703125" bestFit="1" customWidth="1"/>
    <col min="4939" max="4939" width="9.28515625" bestFit="1" customWidth="1"/>
    <col min="5147" max="5147" width="29.42578125" bestFit="1" customWidth="1"/>
    <col min="5148" max="5148" width="11.5703125" bestFit="1" customWidth="1"/>
    <col min="5149" max="5149" width="9.28515625" bestFit="1" customWidth="1"/>
    <col min="5150" max="5150" width="11.5703125" bestFit="1" customWidth="1"/>
    <col min="5151" max="5151" width="9.28515625" bestFit="1" customWidth="1"/>
    <col min="5152" max="5152" width="11.5703125" bestFit="1" customWidth="1"/>
    <col min="5153" max="5153" width="9.28515625" bestFit="1" customWidth="1"/>
    <col min="5154" max="5154" width="11.5703125" bestFit="1" customWidth="1"/>
    <col min="5155" max="5155" width="9.28515625" bestFit="1" customWidth="1"/>
    <col min="5156" max="5156" width="11.5703125" bestFit="1" customWidth="1"/>
    <col min="5157" max="5157" width="9.28515625" bestFit="1" customWidth="1"/>
    <col min="5158" max="5158" width="11.5703125" bestFit="1" customWidth="1"/>
    <col min="5159" max="5159" width="9.28515625" bestFit="1" customWidth="1"/>
    <col min="5160" max="5160" width="11.5703125" bestFit="1" customWidth="1"/>
    <col min="5161" max="5161" width="9.28515625" bestFit="1" customWidth="1"/>
    <col min="5162" max="5162" width="11.5703125" bestFit="1" customWidth="1"/>
    <col min="5163" max="5163" width="9.28515625" bestFit="1" customWidth="1"/>
    <col min="5164" max="5164" width="11.5703125" bestFit="1" customWidth="1"/>
    <col min="5165" max="5165" width="9.28515625" bestFit="1" customWidth="1"/>
    <col min="5166" max="5166" width="11.5703125" bestFit="1" customWidth="1"/>
    <col min="5167" max="5167" width="9.28515625" bestFit="1" customWidth="1"/>
    <col min="5168" max="5168" width="11.5703125" bestFit="1" customWidth="1"/>
    <col min="5169" max="5169" width="9.28515625" bestFit="1" customWidth="1"/>
    <col min="5170" max="5170" width="11.5703125" bestFit="1" customWidth="1"/>
    <col min="5171" max="5171" width="9.28515625" bestFit="1" customWidth="1"/>
    <col min="5172" max="5172" width="11.5703125" bestFit="1" customWidth="1"/>
    <col min="5173" max="5173" width="9.28515625" bestFit="1" customWidth="1"/>
    <col min="5174" max="5174" width="11.5703125" bestFit="1" customWidth="1"/>
    <col min="5175" max="5175" width="9.28515625" bestFit="1" customWidth="1"/>
    <col min="5176" max="5176" width="11.5703125" bestFit="1" customWidth="1"/>
    <col min="5177" max="5177" width="9.28515625" bestFit="1" customWidth="1"/>
    <col min="5178" max="5178" width="11.5703125" bestFit="1" customWidth="1"/>
    <col min="5179" max="5179" width="9.28515625" bestFit="1" customWidth="1"/>
    <col min="5180" max="5180" width="11.5703125" bestFit="1" customWidth="1"/>
    <col min="5181" max="5181" width="9.28515625" bestFit="1" customWidth="1"/>
    <col min="5182" max="5182" width="11.5703125" bestFit="1" customWidth="1"/>
    <col min="5183" max="5183" width="9.28515625" bestFit="1" customWidth="1"/>
    <col min="5184" max="5184" width="11.5703125" bestFit="1" customWidth="1"/>
    <col min="5185" max="5185" width="9.28515625" bestFit="1" customWidth="1"/>
    <col min="5186" max="5186" width="11.5703125" bestFit="1" customWidth="1"/>
    <col min="5187" max="5187" width="9.28515625" bestFit="1" customWidth="1"/>
    <col min="5188" max="5188" width="11.5703125" bestFit="1" customWidth="1"/>
    <col min="5189" max="5189" width="9.28515625" bestFit="1" customWidth="1"/>
    <col min="5190" max="5190" width="11.5703125" bestFit="1" customWidth="1"/>
    <col min="5191" max="5191" width="9.28515625" bestFit="1" customWidth="1"/>
    <col min="5192" max="5192" width="11.5703125" bestFit="1" customWidth="1"/>
    <col min="5193" max="5193" width="9.28515625" bestFit="1" customWidth="1"/>
    <col min="5194" max="5194" width="11.5703125" bestFit="1" customWidth="1"/>
    <col min="5195" max="5195" width="9.28515625" bestFit="1" customWidth="1"/>
    <col min="5403" max="5403" width="29.42578125" bestFit="1" customWidth="1"/>
    <col min="5404" max="5404" width="11.5703125" bestFit="1" customWidth="1"/>
    <col min="5405" max="5405" width="9.28515625" bestFit="1" customWidth="1"/>
    <col min="5406" max="5406" width="11.5703125" bestFit="1" customWidth="1"/>
    <col min="5407" max="5407" width="9.28515625" bestFit="1" customWidth="1"/>
    <col min="5408" max="5408" width="11.5703125" bestFit="1" customWidth="1"/>
    <col min="5409" max="5409" width="9.28515625" bestFit="1" customWidth="1"/>
    <col min="5410" max="5410" width="11.5703125" bestFit="1" customWidth="1"/>
    <col min="5411" max="5411" width="9.28515625" bestFit="1" customWidth="1"/>
    <col min="5412" max="5412" width="11.5703125" bestFit="1" customWidth="1"/>
    <col min="5413" max="5413" width="9.28515625" bestFit="1" customWidth="1"/>
    <col min="5414" max="5414" width="11.5703125" bestFit="1" customWidth="1"/>
    <col min="5415" max="5415" width="9.28515625" bestFit="1" customWidth="1"/>
    <col min="5416" max="5416" width="11.5703125" bestFit="1" customWidth="1"/>
    <col min="5417" max="5417" width="9.28515625" bestFit="1" customWidth="1"/>
    <col min="5418" max="5418" width="11.5703125" bestFit="1" customWidth="1"/>
    <col min="5419" max="5419" width="9.28515625" bestFit="1" customWidth="1"/>
    <col min="5420" max="5420" width="11.5703125" bestFit="1" customWidth="1"/>
    <col min="5421" max="5421" width="9.28515625" bestFit="1" customWidth="1"/>
    <col min="5422" max="5422" width="11.5703125" bestFit="1" customWidth="1"/>
    <col min="5423" max="5423" width="9.28515625" bestFit="1" customWidth="1"/>
    <col min="5424" max="5424" width="11.5703125" bestFit="1" customWidth="1"/>
    <col min="5425" max="5425" width="9.28515625" bestFit="1" customWidth="1"/>
    <col min="5426" max="5426" width="11.5703125" bestFit="1" customWidth="1"/>
    <col min="5427" max="5427" width="9.28515625" bestFit="1" customWidth="1"/>
    <col min="5428" max="5428" width="11.5703125" bestFit="1" customWidth="1"/>
    <col min="5429" max="5429" width="9.28515625" bestFit="1" customWidth="1"/>
    <col min="5430" max="5430" width="11.5703125" bestFit="1" customWidth="1"/>
    <col min="5431" max="5431" width="9.28515625" bestFit="1" customWidth="1"/>
    <col min="5432" max="5432" width="11.5703125" bestFit="1" customWidth="1"/>
    <col min="5433" max="5433" width="9.28515625" bestFit="1" customWidth="1"/>
    <col min="5434" max="5434" width="11.5703125" bestFit="1" customWidth="1"/>
    <col min="5435" max="5435" width="9.28515625" bestFit="1" customWidth="1"/>
    <col min="5436" max="5436" width="11.5703125" bestFit="1" customWidth="1"/>
    <col min="5437" max="5437" width="9.28515625" bestFit="1" customWidth="1"/>
    <col min="5438" max="5438" width="11.5703125" bestFit="1" customWidth="1"/>
    <col min="5439" max="5439" width="9.28515625" bestFit="1" customWidth="1"/>
    <col min="5440" max="5440" width="11.5703125" bestFit="1" customWidth="1"/>
    <col min="5441" max="5441" width="9.28515625" bestFit="1" customWidth="1"/>
    <col min="5442" max="5442" width="11.5703125" bestFit="1" customWidth="1"/>
    <col min="5443" max="5443" width="9.28515625" bestFit="1" customWidth="1"/>
    <col min="5444" max="5444" width="11.5703125" bestFit="1" customWidth="1"/>
    <col min="5445" max="5445" width="9.28515625" bestFit="1" customWidth="1"/>
    <col min="5446" max="5446" width="11.5703125" bestFit="1" customWidth="1"/>
    <col min="5447" max="5447" width="9.28515625" bestFit="1" customWidth="1"/>
    <col min="5448" max="5448" width="11.5703125" bestFit="1" customWidth="1"/>
    <col min="5449" max="5449" width="9.28515625" bestFit="1" customWidth="1"/>
    <col min="5450" max="5450" width="11.5703125" bestFit="1" customWidth="1"/>
    <col min="5451" max="5451" width="9.28515625" bestFit="1" customWidth="1"/>
    <col min="5659" max="5659" width="29.42578125" bestFit="1" customWidth="1"/>
    <col min="5660" max="5660" width="11.5703125" bestFit="1" customWidth="1"/>
    <col min="5661" max="5661" width="9.28515625" bestFit="1" customWidth="1"/>
    <col min="5662" max="5662" width="11.5703125" bestFit="1" customWidth="1"/>
    <col min="5663" max="5663" width="9.28515625" bestFit="1" customWidth="1"/>
    <col min="5664" max="5664" width="11.5703125" bestFit="1" customWidth="1"/>
    <col min="5665" max="5665" width="9.28515625" bestFit="1" customWidth="1"/>
    <col min="5666" max="5666" width="11.5703125" bestFit="1" customWidth="1"/>
    <col min="5667" max="5667" width="9.28515625" bestFit="1" customWidth="1"/>
    <col min="5668" max="5668" width="11.5703125" bestFit="1" customWidth="1"/>
    <col min="5669" max="5669" width="9.28515625" bestFit="1" customWidth="1"/>
    <col min="5670" max="5670" width="11.5703125" bestFit="1" customWidth="1"/>
    <col min="5671" max="5671" width="9.28515625" bestFit="1" customWidth="1"/>
    <col min="5672" max="5672" width="11.5703125" bestFit="1" customWidth="1"/>
    <col min="5673" max="5673" width="9.28515625" bestFit="1" customWidth="1"/>
    <col min="5674" max="5674" width="11.5703125" bestFit="1" customWidth="1"/>
    <col min="5675" max="5675" width="9.28515625" bestFit="1" customWidth="1"/>
    <col min="5676" max="5676" width="11.5703125" bestFit="1" customWidth="1"/>
    <col min="5677" max="5677" width="9.28515625" bestFit="1" customWidth="1"/>
    <col min="5678" max="5678" width="11.5703125" bestFit="1" customWidth="1"/>
    <col min="5679" max="5679" width="9.28515625" bestFit="1" customWidth="1"/>
    <col min="5680" max="5680" width="11.5703125" bestFit="1" customWidth="1"/>
    <col min="5681" max="5681" width="9.28515625" bestFit="1" customWidth="1"/>
    <col min="5682" max="5682" width="11.5703125" bestFit="1" customWidth="1"/>
    <col min="5683" max="5683" width="9.28515625" bestFit="1" customWidth="1"/>
    <col min="5684" max="5684" width="11.5703125" bestFit="1" customWidth="1"/>
    <col min="5685" max="5685" width="9.28515625" bestFit="1" customWidth="1"/>
    <col min="5686" max="5686" width="11.5703125" bestFit="1" customWidth="1"/>
    <col min="5687" max="5687" width="9.28515625" bestFit="1" customWidth="1"/>
    <col min="5688" max="5688" width="11.5703125" bestFit="1" customWidth="1"/>
    <col min="5689" max="5689" width="9.28515625" bestFit="1" customWidth="1"/>
    <col min="5690" max="5690" width="11.5703125" bestFit="1" customWidth="1"/>
    <col min="5691" max="5691" width="9.28515625" bestFit="1" customWidth="1"/>
    <col min="5692" max="5692" width="11.5703125" bestFit="1" customWidth="1"/>
    <col min="5693" max="5693" width="9.28515625" bestFit="1" customWidth="1"/>
    <col min="5694" max="5694" width="11.5703125" bestFit="1" customWidth="1"/>
    <col min="5695" max="5695" width="9.28515625" bestFit="1" customWidth="1"/>
    <col min="5696" max="5696" width="11.5703125" bestFit="1" customWidth="1"/>
    <col min="5697" max="5697" width="9.28515625" bestFit="1" customWidth="1"/>
    <col min="5698" max="5698" width="11.5703125" bestFit="1" customWidth="1"/>
    <col min="5699" max="5699" width="9.28515625" bestFit="1" customWidth="1"/>
    <col min="5700" max="5700" width="11.5703125" bestFit="1" customWidth="1"/>
    <col min="5701" max="5701" width="9.28515625" bestFit="1" customWidth="1"/>
    <col min="5702" max="5702" width="11.5703125" bestFit="1" customWidth="1"/>
    <col min="5703" max="5703" width="9.28515625" bestFit="1" customWidth="1"/>
    <col min="5704" max="5704" width="11.5703125" bestFit="1" customWidth="1"/>
    <col min="5705" max="5705" width="9.28515625" bestFit="1" customWidth="1"/>
    <col min="5706" max="5706" width="11.5703125" bestFit="1" customWidth="1"/>
    <col min="5707" max="5707" width="9.28515625" bestFit="1" customWidth="1"/>
    <col min="5915" max="5915" width="29.42578125" bestFit="1" customWidth="1"/>
    <col min="5916" max="5916" width="11.5703125" bestFit="1" customWidth="1"/>
    <col min="5917" max="5917" width="9.28515625" bestFit="1" customWidth="1"/>
    <col min="5918" max="5918" width="11.5703125" bestFit="1" customWidth="1"/>
    <col min="5919" max="5919" width="9.28515625" bestFit="1" customWidth="1"/>
    <col min="5920" max="5920" width="11.5703125" bestFit="1" customWidth="1"/>
    <col min="5921" max="5921" width="9.28515625" bestFit="1" customWidth="1"/>
    <col min="5922" max="5922" width="11.5703125" bestFit="1" customWidth="1"/>
    <col min="5923" max="5923" width="9.28515625" bestFit="1" customWidth="1"/>
    <col min="5924" max="5924" width="11.5703125" bestFit="1" customWidth="1"/>
    <col min="5925" max="5925" width="9.28515625" bestFit="1" customWidth="1"/>
    <col min="5926" max="5926" width="11.5703125" bestFit="1" customWidth="1"/>
    <col min="5927" max="5927" width="9.28515625" bestFit="1" customWidth="1"/>
    <col min="5928" max="5928" width="11.5703125" bestFit="1" customWidth="1"/>
    <col min="5929" max="5929" width="9.28515625" bestFit="1" customWidth="1"/>
    <col min="5930" max="5930" width="11.5703125" bestFit="1" customWidth="1"/>
    <col min="5931" max="5931" width="9.28515625" bestFit="1" customWidth="1"/>
    <col min="5932" max="5932" width="11.5703125" bestFit="1" customWidth="1"/>
    <col min="5933" max="5933" width="9.28515625" bestFit="1" customWidth="1"/>
    <col min="5934" max="5934" width="11.5703125" bestFit="1" customWidth="1"/>
    <col min="5935" max="5935" width="9.28515625" bestFit="1" customWidth="1"/>
    <col min="5936" max="5936" width="11.5703125" bestFit="1" customWidth="1"/>
    <col min="5937" max="5937" width="9.28515625" bestFit="1" customWidth="1"/>
    <col min="5938" max="5938" width="11.5703125" bestFit="1" customWidth="1"/>
    <col min="5939" max="5939" width="9.28515625" bestFit="1" customWidth="1"/>
    <col min="5940" max="5940" width="11.5703125" bestFit="1" customWidth="1"/>
    <col min="5941" max="5941" width="9.28515625" bestFit="1" customWidth="1"/>
    <col min="5942" max="5942" width="11.5703125" bestFit="1" customWidth="1"/>
    <col min="5943" max="5943" width="9.28515625" bestFit="1" customWidth="1"/>
    <col min="5944" max="5944" width="11.5703125" bestFit="1" customWidth="1"/>
    <col min="5945" max="5945" width="9.28515625" bestFit="1" customWidth="1"/>
    <col min="5946" max="5946" width="11.5703125" bestFit="1" customWidth="1"/>
    <col min="5947" max="5947" width="9.28515625" bestFit="1" customWidth="1"/>
    <col min="5948" max="5948" width="11.5703125" bestFit="1" customWidth="1"/>
    <col min="5949" max="5949" width="9.28515625" bestFit="1" customWidth="1"/>
    <col min="5950" max="5950" width="11.5703125" bestFit="1" customWidth="1"/>
    <col min="5951" max="5951" width="9.28515625" bestFit="1" customWidth="1"/>
    <col min="5952" max="5952" width="11.5703125" bestFit="1" customWidth="1"/>
    <col min="5953" max="5953" width="9.28515625" bestFit="1" customWidth="1"/>
    <col min="5954" max="5954" width="11.5703125" bestFit="1" customWidth="1"/>
    <col min="5955" max="5955" width="9.28515625" bestFit="1" customWidth="1"/>
    <col min="5956" max="5956" width="11.5703125" bestFit="1" customWidth="1"/>
    <col min="5957" max="5957" width="9.28515625" bestFit="1" customWidth="1"/>
    <col min="5958" max="5958" width="11.5703125" bestFit="1" customWidth="1"/>
    <col min="5959" max="5959" width="9.28515625" bestFit="1" customWidth="1"/>
    <col min="5960" max="5960" width="11.5703125" bestFit="1" customWidth="1"/>
    <col min="5961" max="5961" width="9.28515625" bestFit="1" customWidth="1"/>
    <col min="5962" max="5962" width="11.5703125" bestFit="1" customWidth="1"/>
    <col min="5963" max="5963" width="9.28515625" bestFit="1" customWidth="1"/>
    <col min="6171" max="6171" width="29.42578125" bestFit="1" customWidth="1"/>
    <col min="6172" max="6172" width="11.5703125" bestFit="1" customWidth="1"/>
    <col min="6173" max="6173" width="9.28515625" bestFit="1" customWidth="1"/>
    <col min="6174" max="6174" width="11.5703125" bestFit="1" customWidth="1"/>
    <col min="6175" max="6175" width="9.28515625" bestFit="1" customWidth="1"/>
    <col min="6176" max="6176" width="11.5703125" bestFit="1" customWidth="1"/>
    <col min="6177" max="6177" width="9.28515625" bestFit="1" customWidth="1"/>
    <col min="6178" max="6178" width="11.5703125" bestFit="1" customWidth="1"/>
    <col min="6179" max="6179" width="9.28515625" bestFit="1" customWidth="1"/>
    <col min="6180" max="6180" width="11.5703125" bestFit="1" customWidth="1"/>
    <col min="6181" max="6181" width="9.28515625" bestFit="1" customWidth="1"/>
    <col min="6182" max="6182" width="11.5703125" bestFit="1" customWidth="1"/>
    <col min="6183" max="6183" width="9.28515625" bestFit="1" customWidth="1"/>
    <col min="6184" max="6184" width="11.5703125" bestFit="1" customWidth="1"/>
    <col min="6185" max="6185" width="9.28515625" bestFit="1" customWidth="1"/>
    <col min="6186" max="6186" width="11.5703125" bestFit="1" customWidth="1"/>
    <col min="6187" max="6187" width="9.28515625" bestFit="1" customWidth="1"/>
    <col min="6188" max="6188" width="11.5703125" bestFit="1" customWidth="1"/>
    <col min="6189" max="6189" width="9.28515625" bestFit="1" customWidth="1"/>
    <col min="6190" max="6190" width="11.5703125" bestFit="1" customWidth="1"/>
    <col min="6191" max="6191" width="9.28515625" bestFit="1" customWidth="1"/>
    <col min="6192" max="6192" width="11.5703125" bestFit="1" customWidth="1"/>
    <col min="6193" max="6193" width="9.28515625" bestFit="1" customWidth="1"/>
    <col min="6194" max="6194" width="11.5703125" bestFit="1" customWidth="1"/>
    <col min="6195" max="6195" width="9.28515625" bestFit="1" customWidth="1"/>
    <col min="6196" max="6196" width="11.5703125" bestFit="1" customWidth="1"/>
    <col min="6197" max="6197" width="9.28515625" bestFit="1" customWidth="1"/>
    <col min="6198" max="6198" width="11.5703125" bestFit="1" customWidth="1"/>
    <col min="6199" max="6199" width="9.28515625" bestFit="1" customWidth="1"/>
    <col min="6200" max="6200" width="11.5703125" bestFit="1" customWidth="1"/>
    <col min="6201" max="6201" width="9.28515625" bestFit="1" customWidth="1"/>
    <col min="6202" max="6202" width="11.5703125" bestFit="1" customWidth="1"/>
    <col min="6203" max="6203" width="9.28515625" bestFit="1" customWidth="1"/>
    <col min="6204" max="6204" width="11.5703125" bestFit="1" customWidth="1"/>
    <col min="6205" max="6205" width="9.28515625" bestFit="1" customWidth="1"/>
    <col min="6206" max="6206" width="11.5703125" bestFit="1" customWidth="1"/>
    <col min="6207" max="6207" width="9.28515625" bestFit="1" customWidth="1"/>
    <col min="6208" max="6208" width="11.5703125" bestFit="1" customWidth="1"/>
    <col min="6209" max="6209" width="9.28515625" bestFit="1" customWidth="1"/>
    <col min="6210" max="6210" width="11.5703125" bestFit="1" customWidth="1"/>
    <col min="6211" max="6211" width="9.28515625" bestFit="1" customWidth="1"/>
    <col min="6212" max="6212" width="11.5703125" bestFit="1" customWidth="1"/>
    <col min="6213" max="6213" width="9.28515625" bestFit="1" customWidth="1"/>
    <col min="6214" max="6214" width="11.5703125" bestFit="1" customWidth="1"/>
    <col min="6215" max="6215" width="9.28515625" bestFit="1" customWidth="1"/>
    <col min="6216" max="6216" width="11.5703125" bestFit="1" customWidth="1"/>
    <col min="6217" max="6217" width="9.28515625" bestFit="1" customWidth="1"/>
    <col min="6218" max="6218" width="11.5703125" bestFit="1" customWidth="1"/>
    <col min="6219" max="6219" width="9.28515625" bestFit="1" customWidth="1"/>
    <col min="6427" max="6427" width="29.42578125" bestFit="1" customWidth="1"/>
    <col min="6428" max="6428" width="11.5703125" bestFit="1" customWidth="1"/>
    <col min="6429" max="6429" width="9.28515625" bestFit="1" customWidth="1"/>
    <col min="6430" max="6430" width="11.5703125" bestFit="1" customWidth="1"/>
    <col min="6431" max="6431" width="9.28515625" bestFit="1" customWidth="1"/>
    <col min="6432" max="6432" width="11.5703125" bestFit="1" customWidth="1"/>
    <col min="6433" max="6433" width="9.28515625" bestFit="1" customWidth="1"/>
    <col min="6434" max="6434" width="11.5703125" bestFit="1" customWidth="1"/>
    <col min="6435" max="6435" width="9.28515625" bestFit="1" customWidth="1"/>
    <col min="6436" max="6436" width="11.5703125" bestFit="1" customWidth="1"/>
    <col min="6437" max="6437" width="9.28515625" bestFit="1" customWidth="1"/>
    <col min="6438" max="6438" width="11.5703125" bestFit="1" customWidth="1"/>
    <col min="6439" max="6439" width="9.28515625" bestFit="1" customWidth="1"/>
    <col min="6440" max="6440" width="11.5703125" bestFit="1" customWidth="1"/>
    <col min="6441" max="6441" width="9.28515625" bestFit="1" customWidth="1"/>
    <col min="6442" max="6442" width="11.5703125" bestFit="1" customWidth="1"/>
    <col min="6443" max="6443" width="9.28515625" bestFit="1" customWidth="1"/>
    <col min="6444" max="6444" width="11.5703125" bestFit="1" customWidth="1"/>
    <col min="6445" max="6445" width="9.28515625" bestFit="1" customWidth="1"/>
    <col min="6446" max="6446" width="11.5703125" bestFit="1" customWidth="1"/>
    <col min="6447" max="6447" width="9.28515625" bestFit="1" customWidth="1"/>
    <col min="6448" max="6448" width="11.5703125" bestFit="1" customWidth="1"/>
    <col min="6449" max="6449" width="9.28515625" bestFit="1" customWidth="1"/>
    <col min="6450" max="6450" width="11.5703125" bestFit="1" customWidth="1"/>
    <col min="6451" max="6451" width="9.28515625" bestFit="1" customWidth="1"/>
    <col min="6452" max="6452" width="11.5703125" bestFit="1" customWidth="1"/>
    <col min="6453" max="6453" width="9.28515625" bestFit="1" customWidth="1"/>
    <col min="6454" max="6454" width="11.5703125" bestFit="1" customWidth="1"/>
    <col min="6455" max="6455" width="9.28515625" bestFit="1" customWidth="1"/>
    <col min="6456" max="6456" width="11.5703125" bestFit="1" customWidth="1"/>
    <col min="6457" max="6457" width="9.28515625" bestFit="1" customWidth="1"/>
    <col min="6458" max="6458" width="11.5703125" bestFit="1" customWidth="1"/>
    <col min="6459" max="6459" width="9.28515625" bestFit="1" customWidth="1"/>
    <col min="6460" max="6460" width="11.5703125" bestFit="1" customWidth="1"/>
    <col min="6461" max="6461" width="9.28515625" bestFit="1" customWidth="1"/>
    <col min="6462" max="6462" width="11.5703125" bestFit="1" customWidth="1"/>
    <col min="6463" max="6463" width="9.28515625" bestFit="1" customWidth="1"/>
    <col min="6464" max="6464" width="11.5703125" bestFit="1" customWidth="1"/>
    <col min="6465" max="6465" width="9.28515625" bestFit="1" customWidth="1"/>
    <col min="6466" max="6466" width="11.5703125" bestFit="1" customWidth="1"/>
    <col min="6467" max="6467" width="9.28515625" bestFit="1" customWidth="1"/>
    <col min="6468" max="6468" width="11.5703125" bestFit="1" customWidth="1"/>
    <col min="6469" max="6469" width="9.28515625" bestFit="1" customWidth="1"/>
    <col min="6470" max="6470" width="11.5703125" bestFit="1" customWidth="1"/>
    <col min="6471" max="6471" width="9.28515625" bestFit="1" customWidth="1"/>
    <col min="6472" max="6472" width="11.5703125" bestFit="1" customWidth="1"/>
    <col min="6473" max="6473" width="9.28515625" bestFit="1" customWidth="1"/>
    <col min="6474" max="6474" width="11.5703125" bestFit="1" customWidth="1"/>
    <col min="6475" max="6475" width="9.28515625" bestFit="1" customWidth="1"/>
    <col min="6683" max="6683" width="29.42578125" bestFit="1" customWidth="1"/>
    <col min="6684" max="6684" width="11.5703125" bestFit="1" customWidth="1"/>
    <col min="6685" max="6685" width="9.28515625" bestFit="1" customWidth="1"/>
    <col min="6686" max="6686" width="11.5703125" bestFit="1" customWidth="1"/>
    <col min="6687" max="6687" width="9.28515625" bestFit="1" customWidth="1"/>
    <col min="6688" max="6688" width="11.5703125" bestFit="1" customWidth="1"/>
    <col min="6689" max="6689" width="9.28515625" bestFit="1" customWidth="1"/>
    <col min="6690" max="6690" width="11.5703125" bestFit="1" customWidth="1"/>
    <col min="6691" max="6691" width="9.28515625" bestFit="1" customWidth="1"/>
    <col min="6692" max="6692" width="11.5703125" bestFit="1" customWidth="1"/>
    <col min="6693" max="6693" width="9.28515625" bestFit="1" customWidth="1"/>
    <col min="6694" max="6694" width="11.5703125" bestFit="1" customWidth="1"/>
    <col min="6695" max="6695" width="9.28515625" bestFit="1" customWidth="1"/>
    <col min="6696" max="6696" width="11.5703125" bestFit="1" customWidth="1"/>
    <col min="6697" max="6697" width="9.28515625" bestFit="1" customWidth="1"/>
    <col min="6698" max="6698" width="11.5703125" bestFit="1" customWidth="1"/>
    <col min="6699" max="6699" width="9.28515625" bestFit="1" customWidth="1"/>
    <col min="6700" max="6700" width="11.5703125" bestFit="1" customWidth="1"/>
    <col min="6701" max="6701" width="9.28515625" bestFit="1" customWidth="1"/>
    <col min="6702" max="6702" width="11.5703125" bestFit="1" customWidth="1"/>
    <col min="6703" max="6703" width="9.28515625" bestFit="1" customWidth="1"/>
    <col min="6704" max="6704" width="11.5703125" bestFit="1" customWidth="1"/>
    <col min="6705" max="6705" width="9.28515625" bestFit="1" customWidth="1"/>
    <col min="6706" max="6706" width="11.5703125" bestFit="1" customWidth="1"/>
    <col min="6707" max="6707" width="9.28515625" bestFit="1" customWidth="1"/>
    <col min="6708" max="6708" width="11.5703125" bestFit="1" customWidth="1"/>
    <col min="6709" max="6709" width="9.28515625" bestFit="1" customWidth="1"/>
    <col min="6710" max="6710" width="11.5703125" bestFit="1" customWidth="1"/>
    <col min="6711" max="6711" width="9.28515625" bestFit="1" customWidth="1"/>
    <col min="6712" max="6712" width="11.5703125" bestFit="1" customWidth="1"/>
    <col min="6713" max="6713" width="9.28515625" bestFit="1" customWidth="1"/>
    <col min="6714" max="6714" width="11.5703125" bestFit="1" customWidth="1"/>
    <col min="6715" max="6715" width="9.28515625" bestFit="1" customWidth="1"/>
    <col min="6716" max="6716" width="11.5703125" bestFit="1" customWidth="1"/>
    <col min="6717" max="6717" width="9.28515625" bestFit="1" customWidth="1"/>
    <col min="6718" max="6718" width="11.5703125" bestFit="1" customWidth="1"/>
    <col min="6719" max="6719" width="9.28515625" bestFit="1" customWidth="1"/>
    <col min="6720" max="6720" width="11.5703125" bestFit="1" customWidth="1"/>
    <col min="6721" max="6721" width="9.28515625" bestFit="1" customWidth="1"/>
    <col min="6722" max="6722" width="11.5703125" bestFit="1" customWidth="1"/>
    <col min="6723" max="6723" width="9.28515625" bestFit="1" customWidth="1"/>
    <col min="6724" max="6724" width="11.5703125" bestFit="1" customWidth="1"/>
    <col min="6725" max="6725" width="9.28515625" bestFit="1" customWidth="1"/>
    <col min="6726" max="6726" width="11.5703125" bestFit="1" customWidth="1"/>
    <col min="6727" max="6727" width="9.28515625" bestFit="1" customWidth="1"/>
    <col min="6728" max="6728" width="11.5703125" bestFit="1" customWidth="1"/>
    <col min="6729" max="6729" width="9.28515625" bestFit="1" customWidth="1"/>
    <col min="6730" max="6730" width="11.5703125" bestFit="1" customWidth="1"/>
    <col min="6731" max="6731" width="9.28515625" bestFit="1" customWidth="1"/>
    <col min="6939" max="6939" width="29.42578125" bestFit="1" customWidth="1"/>
    <col min="6940" max="6940" width="11.5703125" bestFit="1" customWidth="1"/>
    <col min="6941" max="6941" width="9.28515625" bestFit="1" customWidth="1"/>
    <col min="6942" max="6942" width="11.5703125" bestFit="1" customWidth="1"/>
    <col min="6943" max="6943" width="9.28515625" bestFit="1" customWidth="1"/>
    <col min="6944" max="6944" width="11.5703125" bestFit="1" customWidth="1"/>
    <col min="6945" max="6945" width="9.28515625" bestFit="1" customWidth="1"/>
    <col min="6946" max="6946" width="11.5703125" bestFit="1" customWidth="1"/>
    <col min="6947" max="6947" width="9.28515625" bestFit="1" customWidth="1"/>
    <col min="6948" max="6948" width="11.5703125" bestFit="1" customWidth="1"/>
    <col min="6949" max="6949" width="9.28515625" bestFit="1" customWidth="1"/>
    <col min="6950" max="6950" width="11.5703125" bestFit="1" customWidth="1"/>
    <col min="6951" max="6951" width="9.28515625" bestFit="1" customWidth="1"/>
    <col min="6952" max="6952" width="11.5703125" bestFit="1" customWidth="1"/>
    <col min="6953" max="6953" width="9.28515625" bestFit="1" customWidth="1"/>
    <col min="6954" max="6954" width="11.5703125" bestFit="1" customWidth="1"/>
    <col min="6955" max="6955" width="9.28515625" bestFit="1" customWidth="1"/>
    <col min="6956" max="6956" width="11.5703125" bestFit="1" customWidth="1"/>
    <col min="6957" max="6957" width="9.28515625" bestFit="1" customWidth="1"/>
    <col min="6958" max="6958" width="11.5703125" bestFit="1" customWidth="1"/>
    <col min="6959" max="6959" width="9.28515625" bestFit="1" customWidth="1"/>
    <col min="6960" max="6960" width="11.5703125" bestFit="1" customWidth="1"/>
    <col min="6961" max="6961" width="9.28515625" bestFit="1" customWidth="1"/>
    <col min="6962" max="6962" width="11.5703125" bestFit="1" customWidth="1"/>
    <col min="6963" max="6963" width="9.28515625" bestFit="1" customWidth="1"/>
    <col min="6964" max="6964" width="11.5703125" bestFit="1" customWidth="1"/>
    <col min="6965" max="6965" width="9.28515625" bestFit="1" customWidth="1"/>
    <col min="6966" max="6966" width="11.5703125" bestFit="1" customWidth="1"/>
    <col min="6967" max="6967" width="9.28515625" bestFit="1" customWidth="1"/>
    <col min="6968" max="6968" width="11.5703125" bestFit="1" customWidth="1"/>
    <col min="6969" max="6969" width="9.28515625" bestFit="1" customWidth="1"/>
    <col min="6970" max="6970" width="11.5703125" bestFit="1" customWidth="1"/>
    <col min="6971" max="6971" width="9.28515625" bestFit="1" customWidth="1"/>
    <col min="6972" max="6972" width="11.5703125" bestFit="1" customWidth="1"/>
    <col min="6973" max="6973" width="9.28515625" bestFit="1" customWidth="1"/>
    <col min="6974" max="6974" width="11.5703125" bestFit="1" customWidth="1"/>
    <col min="6975" max="6975" width="9.28515625" bestFit="1" customWidth="1"/>
    <col min="6976" max="6976" width="11.5703125" bestFit="1" customWidth="1"/>
    <col min="6977" max="6977" width="9.28515625" bestFit="1" customWidth="1"/>
    <col min="6978" max="6978" width="11.5703125" bestFit="1" customWidth="1"/>
    <col min="6979" max="6979" width="9.28515625" bestFit="1" customWidth="1"/>
    <col min="6980" max="6980" width="11.5703125" bestFit="1" customWidth="1"/>
    <col min="6981" max="6981" width="9.28515625" bestFit="1" customWidth="1"/>
    <col min="6982" max="6982" width="11.5703125" bestFit="1" customWidth="1"/>
    <col min="6983" max="6983" width="9.28515625" bestFit="1" customWidth="1"/>
    <col min="6984" max="6984" width="11.5703125" bestFit="1" customWidth="1"/>
    <col min="6985" max="6985" width="9.28515625" bestFit="1" customWidth="1"/>
    <col min="6986" max="6986" width="11.5703125" bestFit="1" customWidth="1"/>
    <col min="6987" max="6987" width="9.28515625" bestFit="1" customWidth="1"/>
    <col min="7195" max="7195" width="29.42578125" bestFit="1" customWidth="1"/>
    <col min="7196" max="7196" width="11.5703125" bestFit="1" customWidth="1"/>
    <col min="7197" max="7197" width="9.28515625" bestFit="1" customWidth="1"/>
    <col min="7198" max="7198" width="11.5703125" bestFit="1" customWidth="1"/>
    <col min="7199" max="7199" width="9.28515625" bestFit="1" customWidth="1"/>
    <col min="7200" max="7200" width="11.5703125" bestFit="1" customWidth="1"/>
    <col min="7201" max="7201" width="9.28515625" bestFit="1" customWidth="1"/>
    <col min="7202" max="7202" width="11.5703125" bestFit="1" customWidth="1"/>
    <col min="7203" max="7203" width="9.28515625" bestFit="1" customWidth="1"/>
    <col min="7204" max="7204" width="11.5703125" bestFit="1" customWidth="1"/>
    <col min="7205" max="7205" width="9.28515625" bestFit="1" customWidth="1"/>
    <col min="7206" max="7206" width="11.5703125" bestFit="1" customWidth="1"/>
    <col min="7207" max="7207" width="9.28515625" bestFit="1" customWidth="1"/>
    <col min="7208" max="7208" width="11.5703125" bestFit="1" customWidth="1"/>
    <col min="7209" max="7209" width="9.28515625" bestFit="1" customWidth="1"/>
    <col min="7210" max="7210" width="11.5703125" bestFit="1" customWidth="1"/>
    <col min="7211" max="7211" width="9.28515625" bestFit="1" customWidth="1"/>
    <col min="7212" max="7212" width="11.5703125" bestFit="1" customWidth="1"/>
    <col min="7213" max="7213" width="9.28515625" bestFit="1" customWidth="1"/>
    <col min="7214" max="7214" width="11.5703125" bestFit="1" customWidth="1"/>
    <col min="7215" max="7215" width="9.28515625" bestFit="1" customWidth="1"/>
    <col min="7216" max="7216" width="11.5703125" bestFit="1" customWidth="1"/>
    <col min="7217" max="7217" width="9.28515625" bestFit="1" customWidth="1"/>
    <col min="7218" max="7218" width="11.5703125" bestFit="1" customWidth="1"/>
    <col min="7219" max="7219" width="9.28515625" bestFit="1" customWidth="1"/>
    <col min="7220" max="7220" width="11.5703125" bestFit="1" customWidth="1"/>
    <col min="7221" max="7221" width="9.28515625" bestFit="1" customWidth="1"/>
    <col min="7222" max="7222" width="11.5703125" bestFit="1" customWidth="1"/>
    <col min="7223" max="7223" width="9.28515625" bestFit="1" customWidth="1"/>
    <col min="7224" max="7224" width="11.5703125" bestFit="1" customWidth="1"/>
    <col min="7225" max="7225" width="9.28515625" bestFit="1" customWidth="1"/>
    <col min="7226" max="7226" width="11.5703125" bestFit="1" customWidth="1"/>
    <col min="7227" max="7227" width="9.28515625" bestFit="1" customWidth="1"/>
    <col min="7228" max="7228" width="11.5703125" bestFit="1" customWidth="1"/>
    <col min="7229" max="7229" width="9.28515625" bestFit="1" customWidth="1"/>
    <col min="7230" max="7230" width="11.5703125" bestFit="1" customWidth="1"/>
    <col min="7231" max="7231" width="9.28515625" bestFit="1" customWidth="1"/>
    <col min="7232" max="7232" width="11.5703125" bestFit="1" customWidth="1"/>
    <col min="7233" max="7233" width="9.28515625" bestFit="1" customWidth="1"/>
    <col min="7234" max="7234" width="11.5703125" bestFit="1" customWidth="1"/>
    <col min="7235" max="7235" width="9.28515625" bestFit="1" customWidth="1"/>
    <col min="7236" max="7236" width="11.5703125" bestFit="1" customWidth="1"/>
    <col min="7237" max="7237" width="9.28515625" bestFit="1" customWidth="1"/>
    <col min="7238" max="7238" width="11.5703125" bestFit="1" customWidth="1"/>
    <col min="7239" max="7239" width="9.28515625" bestFit="1" customWidth="1"/>
    <col min="7240" max="7240" width="11.5703125" bestFit="1" customWidth="1"/>
    <col min="7241" max="7241" width="9.28515625" bestFit="1" customWidth="1"/>
    <col min="7242" max="7242" width="11.5703125" bestFit="1" customWidth="1"/>
    <col min="7243" max="7243" width="9.28515625" bestFit="1" customWidth="1"/>
    <col min="7451" max="7451" width="29.42578125" bestFit="1" customWidth="1"/>
    <col min="7452" max="7452" width="11.5703125" bestFit="1" customWidth="1"/>
    <col min="7453" max="7453" width="9.28515625" bestFit="1" customWidth="1"/>
    <col min="7454" max="7454" width="11.5703125" bestFit="1" customWidth="1"/>
    <col min="7455" max="7455" width="9.28515625" bestFit="1" customWidth="1"/>
    <col min="7456" max="7456" width="11.5703125" bestFit="1" customWidth="1"/>
    <col min="7457" max="7457" width="9.28515625" bestFit="1" customWidth="1"/>
    <col min="7458" max="7458" width="11.5703125" bestFit="1" customWidth="1"/>
    <col min="7459" max="7459" width="9.28515625" bestFit="1" customWidth="1"/>
    <col min="7460" max="7460" width="11.5703125" bestFit="1" customWidth="1"/>
    <col min="7461" max="7461" width="9.28515625" bestFit="1" customWidth="1"/>
    <col min="7462" max="7462" width="11.5703125" bestFit="1" customWidth="1"/>
    <col min="7463" max="7463" width="9.28515625" bestFit="1" customWidth="1"/>
    <col min="7464" max="7464" width="11.5703125" bestFit="1" customWidth="1"/>
    <col min="7465" max="7465" width="9.28515625" bestFit="1" customWidth="1"/>
    <col min="7466" max="7466" width="11.5703125" bestFit="1" customWidth="1"/>
    <col min="7467" max="7467" width="9.28515625" bestFit="1" customWidth="1"/>
    <col min="7468" max="7468" width="11.5703125" bestFit="1" customWidth="1"/>
    <col min="7469" max="7469" width="9.28515625" bestFit="1" customWidth="1"/>
    <col min="7470" max="7470" width="11.5703125" bestFit="1" customWidth="1"/>
    <col min="7471" max="7471" width="9.28515625" bestFit="1" customWidth="1"/>
    <col min="7472" max="7472" width="11.5703125" bestFit="1" customWidth="1"/>
    <col min="7473" max="7473" width="9.28515625" bestFit="1" customWidth="1"/>
    <col min="7474" max="7474" width="11.5703125" bestFit="1" customWidth="1"/>
    <col min="7475" max="7475" width="9.28515625" bestFit="1" customWidth="1"/>
    <col min="7476" max="7476" width="11.5703125" bestFit="1" customWidth="1"/>
    <col min="7477" max="7477" width="9.28515625" bestFit="1" customWidth="1"/>
    <col min="7478" max="7478" width="11.5703125" bestFit="1" customWidth="1"/>
    <col min="7479" max="7479" width="9.28515625" bestFit="1" customWidth="1"/>
    <col min="7480" max="7480" width="11.5703125" bestFit="1" customWidth="1"/>
    <col min="7481" max="7481" width="9.28515625" bestFit="1" customWidth="1"/>
    <col min="7482" max="7482" width="11.5703125" bestFit="1" customWidth="1"/>
    <col min="7483" max="7483" width="9.28515625" bestFit="1" customWidth="1"/>
    <col min="7484" max="7484" width="11.5703125" bestFit="1" customWidth="1"/>
    <col min="7485" max="7485" width="9.28515625" bestFit="1" customWidth="1"/>
    <col min="7486" max="7486" width="11.5703125" bestFit="1" customWidth="1"/>
    <col min="7487" max="7487" width="9.28515625" bestFit="1" customWidth="1"/>
    <col min="7488" max="7488" width="11.5703125" bestFit="1" customWidth="1"/>
    <col min="7489" max="7489" width="9.28515625" bestFit="1" customWidth="1"/>
    <col min="7490" max="7490" width="11.5703125" bestFit="1" customWidth="1"/>
    <col min="7491" max="7491" width="9.28515625" bestFit="1" customWidth="1"/>
    <col min="7492" max="7492" width="11.5703125" bestFit="1" customWidth="1"/>
    <col min="7493" max="7493" width="9.28515625" bestFit="1" customWidth="1"/>
    <col min="7494" max="7494" width="11.5703125" bestFit="1" customWidth="1"/>
    <col min="7495" max="7495" width="9.28515625" bestFit="1" customWidth="1"/>
    <col min="7496" max="7496" width="11.5703125" bestFit="1" customWidth="1"/>
    <col min="7497" max="7497" width="9.28515625" bestFit="1" customWidth="1"/>
    <col min="7498" max="7498" width="11.5703125" bestFit="1" customWidth="1"/>
    <col min="7499" max="7499" width="9.28515625" bestFit="1" customWidth="1"/>
    <col min="7707" max="7707" width="29.42578125" bestFit="1" customWidth="1"/>
    <col min="7708" max="7708" width="11.5703125" bestFit="1" customWidth="1"/>
    <col min="7709" max="7709" width="9.28515625" bestFit="1" customWidth="1"/>
    <col min="7710" max="7710" width="11.5703125" bestFit="1" customWidth="1"/>
    <col min="7711" max="7711" width="9.28515625" bestFit="1" customWidth="1"/>
    <col min="7712" max="7712" width="11.5703125" bestFit="1" customWidth="1"/>
    <col min="7713" max="7713" width="9.28515625" bestFit="1" customWidth="1"/>
    <col min="7714" max="7714" width="11.5703125" bestFit="1" customWidth="1"/>
    <col min="7715" max="7715" width="9.28515625" bestFit="1" customWidth="1"/>
    <col min="7716" max="7716" width="11.5703125" bestFit="1" customWidth="1"/>
    <col min="7717" max="7717" width="9.28515625" bestFit="1" customWidth="1"/>
    <col min="7718" max="7718" width="11.5703125" bestFit="1" customWidth="1"/>
    <col min="7719" max="7719" width="9.28515625" bestFit="1" customWidth="1"/>
    <col min="7720" max="7720" width="11.5703125" bestFit="1" customWidth="1"/>
    <col min="7721" max="7721" width="9.28515625" bestFit="1" customWidth="1"/>
    <col min="7722" max="7722" width="11.5703125" bestFit="1" customWidth="1"/>
    <col min="7723" max="7723" width="9.28515625" bestFit="1" customWidth="1"/>
    <col min="7724" max="7724" width="11.5703125" bestFit="1" customWidth="1"/>
    <col min="7725" max="7725" width="9.28515625" bestFit="1" customWidth="1"/>
    <col min="7726" max="7726" width="11.5703125" bestFit="1" customWidth="1"/>
    <col min="7727" max="7727" width="9.28515625" bestFit="1" customWidth="1"/>
    <col min="7728" max="7728" width="11.5703125" bestFit="1" customWidth="1"/>
    <col min="7729" max="7729" width="9.28515625" bestFit="1" customWidth="1"/>
    <col min="7730" max="7730" width="11.5703125" bestFit="1" customWidth="1"/>
    <col min="7731" max="7731" width="9.28515625" bestFit="1" customWidth="1"/>
    <col min="7732" max="7732" width="11.5703125" bestFit="1" customWidth="1"/>
    <col min="7733" max="7733" width="9.28515625" bestFit="1" customWidth="1"/>
    <col min="7734" max="7734" width="11.5703125" bestFit="1" customWidth="1"/>
    <col min="7735" max="7735" width="9.28515625" bestFit="1" customWidth="1"/>
    <col min="7736" max="7736" width="11.5703125" bestFit="1" customWidth="1"/>
    <col min="7737" max="7737" width="9.28515625" bestFit="1" customWidth="1"/>
    <col min="7738" max="7738" width="11.5703125" bestFit="1" customWidth="1"/>
    <col min="7739" max="7739" width="9.28515625" bestFit="1" customWidth="1"/>
    <col min="7740" max="7740" width="11.5703125" bestFit="1" customWidth="1"/>
    <col min="7741" max="7741" width="9.28515625" bestFit="1" customWidth="1"/>
    <col min="7742" max="7742" width="11.5703125" bestFit="1" customWidth="1"/>
    <col min="7743" max="7743" width="9.28515625" bestFit="1" customWidth="1"/>
    <col min="7744" max="7744" width="11.5703125" bestFit="1" customWidth="1"/>
    <col min="7745" max="7745" width="9.28515625" bestFit="1" customWidth="1"/>
    <col min="7746" max="7746" width="11.5703125" bestFit="1" customWidth="1"/>
    <col min="7747" max="7747" width="9.28515625" bestFit="1" customWidth="1"/>
    <col min="7748" max="7748" width="11.5703125" bestFit="1" customWidth="1"/>
    <col min="7749" max="7749" width="9.28515625" bestFit="1" customWidth="1"/>
    <col min="7750" max="7750" width="11.5703125" bestFit="1" customWidth="1"/>
    <col min="7751" max="7751" width="9.28515625" bestFit="1" customWidth="1"/>
    <col min="7752" max="7752" width="11.5703125" bestFit="1" customWidth="1"/>
    <col min="7753" max="7753" width="9.28515625" bestFit="1" customWidth="1"/>
    <col min="7754" max="7754" width="11.5703125" bestFit="1" customWidth="1"/>
    <col min="7755" max="7755" width="9.28515625" bestFit="1" customWidth="1"/>
    <col min="7963" max="7963" width="29.42578125" bestFit="1" customWidth="1"/>
    <col min="7964" max="7964" width="11.5703125" bestFit="1" customWidth="1"/>
    <col min="7965" max="7965" width="9.28515625" bestFit="1" customWidth="1"/>
    <col min="7966" max="7966" width="11.5703125" bestFit="1" customWidth="1"/>
    <col min="7967" max="7967" width="9.28515625" bestFit="1" customWidth="1"/>
    <col min="7968" max="7968" width="11.5703125" bestFit="1" customWidth="1"/>
    <col min="7969" max="7969" width="9.28515625" bestFit="1" customWidth="1"/>
    <col min="7970" max="7970" width="11.5703125" bestFit="1" customWidth="1"/>
    <col min="7971" max="7971" width="9.28515625" bestFit="1" customWidth="1"/>
    <col min="7972" max="7972" width="11.5703125" bestFit="1" customWidth="1"/>
    <col min="7973" max="7973" width="9.28515625" bestFit="1" customWidth="1"/>
    <col min="7974" max="7974" width="11.5703125" bestFit="1" customWidth="1"/>
    <col min="7975" max="7975" width="9.28515625" bestFit="1" customWidth="1"/>
    <col min="7976" max="7976" width="11.5703125" bestFit="1" customWidth="1"/>
    <col min="7977" max="7977" width="9.28515625" bestFit="1" customWidth="1"/>
    <col min="7978" max="7978" width="11.5703125" bestFit="1" customWidth="1"/>
    <col min="7979" max="7979" width="9.28515625" bestFit="1" customWidth="1"/>
    <col min="7980" max="7980" width="11.5703125" bestFit="1" customWidth="1"/>
    <col min="7981" max="7981" width="9.28515625" bestFit="1" customWidth="1"/>
    <col min="7982" max="7982" width="11.5703125" bestFit="1" customWidth="1"/>
    <col min="7983" max="7983" width="9.28515625" bestFit="1" customWidth="1"/>
    <col min="7984" max="7984" width="11.5703125" bestFit="1" customWidth="1"/>
    <col min="7985" max="7985" width="9.28515625" bestFit="1" customWidth="1"/>
    <col min="7986" max="7986" width="11.5703125" bestFit="1" customWidth="1"/>
    <col min="7987" max="7987" width="9.28515625" bestFit="1" customWidth="1"/>
    <col min="7988" max="7988" width="11.5703125" bestFit="1" customWidth="1"/>
    <col min="7989" max="7989" width="9.28515625" bestFit="1" customWidth="1"/>
    <col min="7990" max="7990" width="11.5703125" bestFit="1" customWidth="1"/>
    <col min="7991" max="7991" width="9.28515625" bestFit="1" customWidth="1"/>
    <col min="7992" max="7992" width="11.5703125" bestFit="1" customWidth="1"/>
    <col min="7993" max="7993" width="9.28515625" bestFit="1" customWidth="1"/>
    <col min="7994" max="7994" width="11.5703125" bestFit="1" customWidth="1"/>
    <col min="7995" max="7995" width="9.28515625" bestFit="1" customWidth="1"/>
    <col min="7996" max="7996" width="11.5703125" bestFit="1" customWidth="1"/>
    <col min="7997" max="7997" width="9.28515625" bestFit="1" customWidth="1"/>
    <col min="7998" max="7998" width="11.5703125" bestFit="1" customWidth="1"/>
    <col min="7999" max="7999" width="9.28515625" bestFit="1" customWidth="1"/>
    <col min="8000" max="8000" width="11.5703125" bestFit="1" customWidth="1"/>
    <col min="8001" max="8001" width="9.28515625" bestFit="1" customWidth="1"/>
    <col min="8002" max="8002" width="11.5703125" bestFit="1" customWidth="1"/>
    <col min="8003" max="8003" width="9.28515625" bestFit="1" customWidth="1"/>
    <col min="8004" max="8004" width="11.5703125" bestFit="1" customWidth="1"/>
    <col min="8005" max="8005" width="9.28515625" bestFit="1" customWidth="1"/>
    <col min="8006" max="8006" width="11.5703125" bestFit="1" customWidth="1"/>
    <col min="8007" max="8007" width="9.28515625" bestFit="1" customWidth="1"/>
    <col min="8008" max="8008" width="11.5703125" bestFit="1" customWidth="1"/>
    <col min="8009" max="8009" width="9.28515625" bestFit="1" customWidth="1"/>
    <col min="8010" max="8010" width="11.5703125" bestFit="1" customWidth="1"/>
    <col min="8011" max="8011" width="9.28515625" bestFit="1" customWidth="1"/>
    <col min="8219" max="8219" width="29.42578125" bestFit="1" customWidth="1"/>
    <col min="8220" max="8220" width="11.5703125" bestFit="1" customWidth="1"/>
    <col min="8221" max="8221" width="9.28515625" bestFit="1" customWidth="1"/>
    <col min="8222" max="8222" width="11.5703125" bestFit="1" customWidth="1"/>
    <col min="8223" max="8223" width="9.28515625" bestFit="1" customWidth="1"/>
    <col min="8224" max="8224" width="11.5703125" bestFit="1" customWidth="1"/>
    <col min="8225" max="8225" width="9.28515625" bestFit="1" customWidth="1"/>
    <col min="8226" max="8226" width="11.5703125" bestFit="1" customWidth="1"/>
    <col min="8227" max="8227" width="9.28515625" bestFit="1" customWidth="1"/>
    <col min="8228" max="8228" width="11.5703125" bestFit="1" customWidth="1"/>
    <col min="8229" max="8229" width="9.28515625" bestFit="1" customWidth="1"/>
    <col min="8230" max="8230" width="11.5703125" bestFit="1" customWidth="1"/>
    <col min="8231" max="8231" width="9.28515625" bestFit="1" customWidth="1"/>
    <col min="8232" max="8232" width="11.5703125" bestFit="1" customWidth="1"/>
    <col min="8233" max="8233" width="9.28515625" bestFit="1" customWidth="1"/>
    <col min="8234" max="8234" width="11.5703125" bestFit="1" customWidth="1"/>
    <col min="8235" max="8235" width="9.28515625" bestFit="1" customWidth="1"/>
    <col min="8236" max="8236" width="11.5703125" bestFit="1" customWidth="1"/>
    <col min="8237" max="8237" width="9.28515625" bestFit="1" customWidth="1"/>
    <col min="8238" max="8238" width="11.5703125" bestFit="1" customWidth="1"/>
    <col min="8239" max="8239" width="9.28515625" bestFit="1" customWidth="1"/>
    <col min="8240" max="8240" width="11.5703125" bestFit="1" customWidth="1"/>
    <col min="8241" max="8241" width="9.28515625" bestFit="1" customWidth="1"/>
    <col min="8242" max="8242" width="11.5703125" bestFit="1" customWidth="1"/>
    <col min="8243" max="8243" width="9.28515625" bestFit="1" customWidth="1"/>
    <col min="8244" max="8244" width="11.5703125" bestFit="1" customWidth="1"/>
    <col min="8245" max="8245" width="9.28515625" bestFit="1" customWidth="1"/>
    <col min="8246" max="8246" width="11.5703125" bestFit="1" customWidth="1"/>
    <col min="8247" max="8247" width="9.28515625" bestFit="1" customWidth="1"/>
    <col min="8248" max="8248" width="11.5703125" bestFit="1" customWidth="1"/>
    <col min="8249" max="8249" width="9.28515625" bestFit="1" customWidth="1"/>
    <col min="8250" max="8250" width="11.5703125" bestFit="1" customWidth="1"/>
    <col min="8251" max="8251" width="9.28515625" bestFit="1" customWidth="1"/>
    <col min="8252" max="8252" width="11.5703125" bestFit="1" customWidth="1"/>
    <col min="8253" max="8253" width="9.28515625" bestFit="1" customWidth="1"/>
    <col min="8254" max="8254" width="11.5703125" bestFit="1" customWidth="1"/>
    <col min="8255" max="8255" width="9.28515625" bestFit="1" customWidth="1"/>
    <col min="8256" max="8256" width="11.5703125" bestFit="1" customWidth="1"/>
    <col min="8257" max="8257" width="9.28515625" bestFit="1" customWidth="1"/>
    <col min="8258" max="8258" width="11.5703125" bestFit="1" customWidth="1"/>
    <col min="8259" max="8259" width="9.28515625" bestFit="1" customWidth="1"/>
    <col min="8260" max="8260" width="11.5703125" bestFit="1" customWidth="1"/>
    <col min="8261" max="8261" width="9.28515625" bestFit="1" customWidth="1"/>
    <col min="8262" max="8262" width="11.5703125" bestFit="1" customWidth="1"/>
    <col min="8263" max="8263" width="9.28515625" bestFit="1" customWidth="1"/>
    <col min="8264" max="8264" width="11.5703125" bestFit="1" customWidth="1"/>
    <col min="8265" max="8265" width="9.28515625" bestFit="1" customWidth="1"/>
    <col min="8266" max="8266" width="11.5703125" bestFit="1" customWidth="1"/>
    <col min="8267" max="8267" width="9.28515625" bestFit="1" customWidth="1"/>
    <col min="8475" max="8475" width="29.42578125" bestFit="1" customWidth="1"/>
    <col min="8476" max="8476" width="11.5703125" bestFit="1" customWidth="1"/>
    <col min="8477" max="8477" width="9.28515625" bestFit="1" customWidth="1"/>
    <col min="8478" max="8478" width="11.5703125" bestFit="1" customWidth="1"/>
    <col min="8479" max="8479" width="9.28515625" bestFit="1" customWidth="1"/>
    <col min="8480" max="8480" width="11.5703125" bestFit="1" customWidth="1"/>
    <col min="8481" max="8481" width="9.28515625" bestFit="1" customWidth="1"/>
    <col min="8482" max="8482" width="11.5703125" bestFit="1" customWidth="1"/>
    <col min="8483" max="8483" width="9.28515625" bestFit="1" customWidth="1"/>
    <col min="8484" max="8484" width="11.5703125" bestFit="1" customWidth="1"/>
    <col min="8485" max="8485" width="9.28515625" bestFit="1" customWidth="1"/>
    <col min="8486" max="8486" width="11.5703125" bestFit="1" customWidth="1"/>
    <col min="8487" max="8487" width="9.28515625" bestFit="1" customWidth="1"/>
    <col min="8488" max="8488" width="11.5703125" bestFit="1" customWidth="1"/>
    <col min="8489" max="8489" width="9.28515625" bestFit="1" customWidth="1"/>
    <col min="8490" max="8490" width="11.5703125" bestFit="1" customWidth="1"/>
    <col min="8491" max="8491" width="9.28515625" bestFit="1" customWidth="1"/>
    <col min="8492" max="8492" width="11.5703125" bestFit="1" customWidth="1"/>
    <col min="8493" max="8493" width="9.28515625" bestFit="1" customWidth="1"/>
    <col min="8494" max="8494" width="11.5703125" bestFit="1" customWidth="1"/>
    <col min="8495" max="8495" width="9.28515625" bestFit="1" customWidth="1"/>
    <col min="8496" max="8496" width="11.5703125" bestFit="1" customWidth="1"/>
    <col min="8497" max="8497" width="9.28515625" bestFit="1" customWidth="1"/>
    <col min="8498" max="8498" width="11.5703125" bestFit="1" customWidth="1"/>
    <col min="8499" max="8499" width="9.28515625" bestFit="1" customWidth="1"/>
    <col min="8500" max="8500" width="11.5703125" bestFit="1" customWidth="1"/>
    <col min="8501" max="8501" width="9.28515625" bestFit="1" customWidth="1"/>
    <col min="8502" max="8502" width="11.5703125" bestFit="1" customWidth="1"/>
    <col min="8503" max="8503" width="9.28515625" bestFit="1" customWidth="1"/>
    <col min="8504" max="8504" width="11.5703125" bestFit="1" customWidth="1"/>
    <col min="8505" max="8505" width="9.28515625" bestFit="1" customWidth="1"/>
    <col min="8506" max="8506" width="11.5703125" bestFit="1" customWidth="1"/>
    <col min="8507" max="8507" width="9.28515625" bestFit="1" customWidth="1"/>
    <col min="8508" max="8508" width="11.5703125" bestFit="1" customWidth="1"/>
    <col min="8509" max="8509" width="9.28515625" bestFit="1" customWidth="1"/>
    <col min="8510" max="8510" width="11.5703125" bestFit="1" customWidth="1"/>
    <col min="8511" max="8511" width="9.28515625" bestFit="1" customWidth="1"/>
    <col min="8512" max="8512" width="11.5703125" bestFit="1" customWidth="1"/>
    <col min="8513" max="8513" width="9.28515625" bestFit="1" customWidth="1"/>
    <col min="8514" max="8514" width="11.5703125" bestFit="1" customWidth="1"/>
    <col min="8515" max="8515" width="9.28515625" bestFit="1" customWidth="1"/>
    <col min="8516" max="8516" width="11.5703125" bestFit="1" customWidth="1"/>
    <col min="8517" max="8517" width="9.28515625" bestFit="1" customWidth="1"/>
    <col min="8518" max="8518" width="11.5703125" bestFit="1" customWidth="1"/>
    <col min="8519" max="8519" width="9.28515625" bestFit="1" customWidth="1"/>
    <col min="8520" max="8520" width="11.5703125" bestFit="1" customWidth="1"/>
    <col min="8521" max="8521" width="9.28515625" bestFit="1" customWidth="1"/>
    <col min="8522" max="8522" width="11.5703125" bestFit="1" customWidth="1"/>
    <col min="8523" max="8523" width="9.28515625" bestFit="1" customWidth="1"/>
    <col min="8731" max="8731" width="29.42578125" bestFit="1" customWidth="1"/>
    <col min="8732" max="8732" width="11.5703125" bestFit="1" customWidth="1"/>
    <col min="8733" max="8733" width="9.28515625" bestFit="1" customWidth="1"/>
    <col min="8734" max="8734" width="11.5703125" bestFit="1" customWidth="1"/>
    <col min="8735" max="8735" width="9.28515625" bestFit="1" customWidth="1"/>
    <col min="8736" max="8736" width="11.5703125" bestFit="1" customWidth="1"/>
    <col min="8737" max="8737" width="9.28515625" bestFit="1" customWidth="1"/>
    <col min="8738" max="8738" width="11.5703125" bestFit="1" customWidth="1"/>
    <col min="8739" max="8739" width="9.28515625" bestFit="1" customWidth="1"/>
    <col min="8740" max="8740" width="11.5703125" bestFit="1" customWidth="1"/>
    <col min="8741" max="8741" width="9.28515625" bestFit="1" customWidth="1"/>
    <col min="8742" max="8742" width="11.5703125" bestFit="1" customWidth="1"/>
    <col min="8743" max="8743" width="9.28515625" bestFit="1" customWidth="1"/>
    <col min="8744" max="8744" width="11.5703125" bestFit="1" customWidth="1"/>
    <col min="8745" max="8745" width="9.28515625" bestFit="1" customWidth="1"/>
    <col min="8746" max="8746" width="11.5703125" bestFit="1" customWidth="1"/>
    <col min="8747" max="8747" width="9.28515625" bestFit="1" customWidth="1"/>
    <col min="8748" max="8748" width="11.5703125" bestFit="1" customWidth="1"/>
    <col min="8749" max="8749" width="9.28515625" bestFit="1" customWidth="1"/>
    <col min="8750" max="8750" width="11.5703125" bestFit="1" customWidth="1"/>
    <col min="8751" max="8751" width="9.28515625" bestFit="1" customWidth="1"/>
    <col min="8752" max="8752" width="11.5703125" bestFit="1" customWidth="1"/>
    <col min="8753" max="8753" width="9.28515625" bestFit="1" customWidth="1"/>
    <col min="8754" max="8754" width="11.5703125" bestFit="1" customWidth="1"/>
    <col min="8755" max="8755" width="9.28515625" bestFit="1" customWidth="1"/>
    <col min="8756" max="8756" width="11.5703125" bestFit="1" customWidth="1"/>
    <col min="8757" max="8757" width="9.28515625" bestFit="1" customWidth="1"/>
    <col min="8758" max="8758" width="11.5703125" bestFit="1" customWidth="1"/>
    <col min="8759" max="8759" width="9.28515625" bestFit="1" customWidth="1"/>
    <col min="8760" max="8760" width="11.5703125" bestFit="1" customWidth="1"/>
    <col min="8761" max="8761" width="9.28515625" bestFit="1" customWidth="1"/>
    <col min="8762" max="8762" width="11.5703125" bestFit="1" customWidth="1"/>
    <col min="8763" max="8763" width="9.28515625" bestFit="1" customWidth="1"/>
    <col min="8764" max="8764" width="11.5703125" bestFit="1" customWidth="1"/>
    <col min="8765" max="8765" width="9.28515625" bestFit="1" customWidth="1"/>
    <col min="8766" max="8766" width="11.5703125" bestFit="1" customWidth="1"/>
    <col min="8767" max="8767" width="9.28515625" bestFit="1" customWidth="1"/>
    <col min="8768" max="8768" width="11.5703125" bestFit="1" customWidth="1"/>
    <col min="8769" max="8769" width="9.28515625" bestFit="1" customWidth="1"/>
    <col min="8770" max="8770" width="11.5703125" bestFit="1" customWidth="1"/>
    <col min="8771" max="8771" width="9.28515625" bestFit="1" customWidth="1"/>
    <col min="8772" max="8772" width="11.5703125" bestFit="1" customWidth="1"/>
    <col min="8773" max="8773" width="9.28515625" bestFit="1" customWidth="1"/>
    <col min="8774" max="8774" width="11.5703125" bestFit="1" customWidth="1"/>
    <col min="8775" max="8775" width="9.28515625" bestFit="1" customWidth="1"/>
    <col min="8776" max="8776" width="11.5703125" bestFit="1" customWidth="1"/>
    <col min="8777" max="8777" width="9.28515625" bestFit="1" customWidth="1"/>
    <col min="8778" max="8778" width="11.5703125" bestFit="1" customWidth="1"/>
    <col min="8779" max="8779" width="9.28515625" bestFit="1" customWidth="1"/>
    <col min="8987" max="8987" width="29.42578125" bestFit="1" customWidth="1"/>
    <col min="8988" max="8988" width="11.5703125" bestFit="1" customWidth="1"/>
    <col min="8989" max="8989" width="9.28515625" bestFit="1" customWidth="1"/>
    <col min="8990" max="8990" width="11.5703125" bestFit="1" customWidth="1"/>
    <col min="8991" max="8991" width="9.28515625" bestFit="1" customWidth="1"/>
    <col min="8992" max="8992" width="11.5703125" bestFit="1" customWidth="1"/>
    <col min="8993" max="8993" width="9.28515625" bestFit="1" customWidth="1"/>
    <col min="8994" max="8994" width="11.5703125" bestFit="1" customWidth="1"/>
    <col min="8995" max="8995" width="9.28515625" bestFit="1" customWidth="1"/>
    <col min="8996" max="8996" width="11.5703125" bestFit="1" customWidth="1"/>
    <col min="8997" max="8997" width="9.28515625" bestFit="1" customWidth="1"/>
    <col min="8998" max="8998" width="11.5703125" bestFit="1" customWidth="1"/>
    <col min="8999" max="8999" width="9.28515625" bestFit="1" customWidth="1"/>
    <col min="9000" max="9000" width="11.5703125" bestFit="1" customWidth="1"/>
    <col min="9001" max="9001" width="9.28515625" bestFit="1" customWidth="1"/>
    <col min="9002" max="9002" width="11.5703125" bestFit="1" customWidth="1"/>
    <col min="9003" max="9003" width="9.28515625" bestFit="1" customWidth="1"/>
    <col min="9004" max="9004" width="11.5703125" bestFit="1" customWidth="1"/>
    <col min="9005" max="9005" width="9.28515625" bestFit="1" customWidth="1"/>
    <col min="9006" max="9006" width="11.5703125" bestFit="1" customWidth="1"/>
    <col min="9007" max="9007" width="9.28515625" bestFit="1" customWidth="1"/>
    <col min="9008" max="9008" width="11.5703125" bestFit="1" customWidth="1"/>
    <col min="9009" max="9009" width="9.28515625" bestFit="1" customWidth="1"/>
    <col min="9010" max="9010" width="11.5703125" bestFit="1" customWidth="1"/>
    <col min="9011" max="9011" width="9.28515625" bestFit="1" customWidth="1"/>
    <col min="9012" max="9012" width="11.5703125" bestFit="1" customWidth="1"/>
    <col min="9013" max="9013" width="9.28515625" bestFit="1" customWidth="1"/>
    <col min="9014" max="9014" width="11.5703125" bestFit="1" customWidth="1"/>
    <col min="9015" max="9015" width="9.28515625" bestFit="1" customWidth="1"/>
    <col min="9016" max="9016" width="11.5703125" bestFit="1" customWidth="1"/>
    <col min="9017" max="9017" width="9.28515625" bestFit="1" customWidth="1"/>
    <col min="9018" max="9018" width="11.5703125" bestFit="1" customWidth="1"/>
    <col min="9019" max="9019" width="9.28515625" bestFit="1" customWidth="1"/>
    <col min="9020" max="9020" width="11.5703125" bestFit="1" customWidth="1"/>
    <col min="9021" max="9021" width="9.28515625" bestFit="1" customWidth="1"/>
    <col min="9022" max="9022" width="11.5703125" bestFit="1" customWidth="1"/>
    <col min="9023" max="9023" width="9.28515625" bestFit="1" customWidth="1"/>
    <col min="9024" max="9024" width="11.5703125" bestFit="1" customWidth="1"/>
    <col min="9025" max="9025" width="9.28515625" bestFit="1" customWidth="1"/>
    <col min="9026" max="9026" width="11.5703125" bestFit="1" customWidth="1"/>
    <col min="9027" max="9027" width="9.28515625" bestFit="1" customWidth="1"/>
    <col min="9028" max="9028" width="11.5703125" bestFit="1" customWidth="1"/>
    <col min="9029" max="9029" width="9.28515625" bestFit="1" customWidth="1"/>
    <col min="9030" max="9030" width="11.5703125" bestFit="1" customWidth="1"/>
    <col min="9031" max="9031" width="9.28515625" bestFit="1" customWidth="1"/>
    <col min="9032" max="9032" width="11.5703125" bestFit="1" customWidth="1"/>
    <col min="9033" max="9033" width="9.28515625" bestFit="1" customWidth="1"/>
    <col min="9034" max="9034" width="11.5703125" bestFit="1" customWidth="1"/>
    <col min="9035" max="9035" width="9.28515625" bestFit="1" customWidth="1"/>
    <col min="9243" max="9243" width="29.42578125" bestFit="1" customWidth="1"/>
    <col min="9244" max="9244" width="11.5703125" bestFit="1" customWidth="1"/>
    <col min="9245" max="9245" width="9.28515625" bestFit="1" customWidth="1"/>
    <col min="9246" max="9246" width="11.5703125" bestFit="1" customWidth="1"/>
    <col min="9247" max="9247" width="9.28515625" bestFit="1" customWidth="1"/>
    <col min="9248" max="9248" width="11.5703125" bestFit="1" customWidth="1"/>
    <col min="9249" max="9249" width="9.28515625" bestFit="1" customWidth="1"/>
    <col min="9250" max="9250" width="11.5703125" bestFit="1" customWidth="1"/>
    <col min="9251" max="9251" width="9.28515625" bestFit="1" customWidth="1"/>
    <col min="9252" max="9252" width="11.5703125" bestFit="1" customWidth="1"/>
    <col min="9253" max="9253" width="9.28515625" bestFit="1" customWidth="1"/>
    <col min="9254" max="9254" width="11.5703125" bestFit="1" customWidth="1"/>
    <col min="9255" max="9255" width="9.28515625" bestFit="1" customWidth="1"/>
    <col min="9256" max="9256" width="11.5703125" bestFit="1" customWidth="1"/>
    <col min="9257" max="9257" width="9.28515625" bestFit="1" customWidth="1"/>
    <col min="9258" max="9258" width="11.5703125" bestFit="1" customWidth="1"/>
    <col min="9259" max="9259" width="9.28515625" bestFit="1" customWidth="1"/>
    <col min="9260" max="9260" width="11.5703125" bestFit="1" customWidth="1"/>
    <col min="9261" max="9261" width="9.28515625" bestFit="1" customWidth="1"/>
    <col min="9262" max="9262" width="11.5703125" bestFit="1" customWidth="1"/>
    <col min="9263" max="9263" width="9.28515625" bestFit="1" customWidth="1"/>
    <col min="9264" max="9264" width="11.5703125" bestFit="1" customWidth="1"/>
    <col min="9265" max="9265" width="9.28515625" bestFit="1" customWidth="1"/>
    <col min="9266" max="9266" width="11.5703125" bestFit="1" customWidth="1"/>
    <col min="9267" max="9267" width="9.28515625" bestFit="1" customWidth="1"/>
    <col min="9268" max="9268" width="11.5703125" bestFit="1" customWidth="1"/>
    <col min="9269" max="9269" width="9.28515625" bestFit="1" customWidth="1"/>
    <col min="9270" max="9270" width="11.5703125" bestFit="1" customWidth="1"/>
    <col min="9271" max="9271" width="9.28515625" bestFit="1" customWidth="1"/>
    <col min="9272" max="9272" width="11.5703125" bestFit="1" customWidth="1"/>
    <col min="9273" max="9273" width="9.28515625" bestFit="1" customWidth="1"/>
    <col min="9274" max="9274" width="11.5703125" bestFit="1" customWidth="1"/>
    <col min="9275" max="9275" width="9.28515625" bestFit="1" customWidth="1"/>
    <col min="9276" max="9276" width="11.5703125" bestFit="1" customWidth="1"/>
    <col min="9277" max="9277" width="9.28515625" bestFit="1" customWidth="1"/>
    <col min="9278" max="9278" width="11.5703125" bestFit="1" customWidth="1"/>
    <col min="9279" max="9279" width="9.28515625" bestFit="1" customWidth="1"/>
    <col min="9280" max="9280" width="11.5703125" bestFit="1" customWidth="1"/>
    <col min="9281" max="9281" width="9.28515625" bestFit="1" customWidth="1"/>
    <col min="9282" max="9282" width="11.5703125" bestFit="1" customWidth="1"/>
    <col min="9283" max="9283" width="9.28515625" bestFit="1" customWidth="1"/>
    <col min="9284" max="9284" width="11.5703125" bestFit="1" customWidth="1"/>
    <col min="9285" max="9285" width="9.28515625" bestFit="1" customWidth="1"/>
    <col min="9286" max="9286" width="11.5703125" bestFit="1" customWidth="1"/>
    <col min="9287" max="9287" width="9.28515625" bestFit="1" customWidth="1"/>
    <col min="9288" max="9288" width="11.5703125" bestFit="1" customWidth="1"/>
    <col min="9289" max="9289" width="9.28515625" bestFit="1" customWidth="1"/>
    <col min="9290" max="9290" width="11.5703125" bestFit="1" customWidth="1"/>
    <col min="9291" max="9291" width="9.28515625" bestFit="1" customWidth="1"/>
    <col min="9499" max="9499" width="29.42578125" bestFit="1" customWidth="1"/>
    <col min="9500" max="9500" width="11.5703125" bestFit="1" customWidth="1"/>
    <col min="9501" max="9501" width="9.28515625" bestFit="1" customWidth="1"/>
    <col min="9502" max="9502" width="11.5703125" bestFit="1" customWidth="1"/>
    <col min="9503" max="9503" width="9.28515625" bestFit="1" customWidth="1"/>
    <col min="9504" max="9504" width="11.5703125" bestFit="1" customWidth="1"/>
    <col min="9505" max="9505" width="9.28515625" bestFit="1" customWidth="1"/>
    <col min="9506" max="9506" width="11.5703125" bestFit="1" customWidth="1"/>
    <col min="9507" max="9507" width="9.28515625" bestFit="1" customWidth="1"/>
    <col min="9508" max="9508" width="11.5703125" bestFit="1" customWidth="1"/>
    <col min="9509" max="9509" width="9.28515625" bestFit="1" customWidth="1"/>
    <col min="9510" max="9510" width="11.5703125" bestFit="1" customWidth="1"/>
    <col min="9511" max="9511" width="9.28515625" bestFit="1" customWidth="1"/>
    <col min="9512" max="9512" width="11.5703125" bestFit="1" customWidth="1"/>
    <col min="9513" max="9513" width="9.28515625" bestFit="1" customWidth="1"/>
    <col min="9514" max="9514" width="11.5703125" bestFit="1" customWidth="1"/>
    <col min="9515" max="9515" width="9.28515625" bestFit="1" customWidth="1"/>
    <col min="9516" max="9516" width="11.5703125" bestFit="1" customWidth="1"/>
    <col min="9517" max="9517" width="9.28515625" bestFit="1" customWidth="1"/>
    <col min="9518" max="9518" width="11.5703125" bestFit="1" customWidth="1"/>
    <col min="9519" max="9519" width="9.28515625" bestFit="1" customWidth="1"/>
    <col min="9520" max="9520" width="11.5703125" bestFit="1" customWidth="1"/>
    <col min="9521" max="9521" width="9.28515625" bestFit="1" customWidth="1"/>
    <col min="9522" max="9522" width="11.5703125" bestFit="1" customWidth="1"/>
    <col min="9523" max="9523" width="9.28515625" bestFit="1" customWidth="1"/>
    <col min="9524" max="9524" width="11.5703125" bestFit="1" customWidth="1"/>
    <col min="9525" max="9525" width="9.28515625" bestFit="1" customWidth="1"/>
    <col min="9526" max="9526" width="11.5703125" bestFit="1" customWidth="1"/>
    <col min="9527" max="9527" width="9.28515625" bestFit="1" customWidth="1"/>
    <col min="9528" max="9528" width="11.5703125" bestFit="1" customWidth="1"/>
    <col min="9529" max="9529" width="9.28515625" bestFit="1" customWidth="1"/>
    <col min="9530" max="9530" width="11.5703125" bestFit="1" customWidth="1"/>
    <col min="9531" max="9531" width="9.28515625" bestFit="1" customWidth="1"/>
    <col min="9532" max="9532" width="11.5703125" bestFit="1" customWidth="1"/>
    <col min="9533" max="9533" width="9.28515625" bestFit="1" customWidth="1"/>
    <col min="9534" max="9534" width="11.5703125" bestFit="1" customWidth="1"/>
    <col min="9535" max="9535" width="9.28515625" bestFit="1" customWidth="1"/>
    <col min="9536" max="9536" width="11.5703125" bestFit="1" customWidth="1"/>
    <col min="9537" max="9537" width="9.28515625" bestFit="1" customWidth="1"/>
    <col min="9538" max="9538" width="11.5703125" bestFit="1" customWidth="1"/>
    <col min="9539" max="9539" width="9.28515625" bestFit="1" customWidth="1"/>
    <col min="9540" max="9540" width="11.5703125" bestFit="1" customWidth="1"/>
    <col min="9541" max="9541" width="9.28515625" bestFit="1" customWidth="1"/>
    <col min="9542" max="9542" width="11.5703125" bestFit="1" customWidth="1"/>
    <col min="9543" max="9543" width="9.28515625" bestFit="1" customWidth="1"/>
    <col min="9544" max="9544" width="11.5703125" bestFit="1" customWidth="1"/>
    <col min="9545" max="9545" width="9.28515625" bestFit="1" customWidth="1"/>
    <col min="9546" max="9546" width="11.5703125" bestFit="1" customWidth="1"/>
    <col min="9547" max="9547" width="9.28515625" bestFit="1" customWidth="1"/>
    <col min="9755" max="9755" width="29.42578125" bestFit="1" customWidth="1"/>
    <col min="9756" max="9756" width="11.5703125" bestFit="1" customWidth="1"/>
    <col min="9757" max="9757" width="9.28515625" bestFit="1" customWidth="1"/>
    <col min="9758" max="9758" width="11.5703125" bestFit="1" customWidth="1"/>
    <col min="9759" max="9759" width="9.28515625" bestFit="1" customWidth="1"/>
    <col min="9760" max="9760" width="11.5703125" bestFit="1" customWidth="1"/>
    <col min="9761" max="9761" width="9.28515625" bestFit="1" customWidth="1"/>
    <col min="9762" max="9762" width="11.5703125" bestFit="1" customWidth="1"/>
    <col min="9763" max="9763" width="9.28515625" bestFit="1" customWidth="1"/>
    <col min="9764" max="9764" width="11.5703125" bestFit="1" customWidth="1"/>
    <col min="9765" max="9765" width="9.28515625" bestFit="1" customWidth="1"/>
    <col min="9766" max="9766" width="11.5703125" bestFit="1" customWidth="1"/>
    <col min="9767" max="9767" width="9.28515625" bestFit="1" customWidth="1"/>
    <col min="9768" max="9768" width="11.5703125" bestFit="1" customWidth="1"/>
    <col min="9769" max="9769" width="9.28515625" bestFit="1" customWidth="1"/>
    <col min="9770" max="9770" width="11.5703125" bestFit="1" customWidth="1"/>
    <col min="9771" max="9771" width="9.28515625" bestFit="1" customWidth="1"/>
    <col min="9772" max="9772" width="11.5703125" bestFit="1" customWidth="1"/>
    <col min="9773" max="9773" width="9.28515625" bestFit="1" customWidth="1"/>
    <col min="9774" max="9774" width="11.5703125" bestFit="1" customWidth="1"/>
    <col min="9775" max="9775" width="9.28515625" bestFit="1" customWidth="1"/>
    <col min="9776" max="9776" width="11.5703125" bestFit="1" customWidth="1"/>
    <col min="9777" max="9777" width="9.28515625" bestFit="1" customWidth="1"/>
    <col min="9778" max="9778" width="11.5703125" bestFit="1" customWidth="1"/>
    <col min="9779" max="9779" width="9.28515625" bestFit="1" customWidth="1"/>
    <col min="9780" max="9780" width="11.5703125" bestFit="1" customWidth="1"/>
    <col min="9781" max="9781" width="9.28515625" bestFit="1" customWidth="1"/>
    <col min="9782" max="9782" width="11.5703125" bestFit="1" customWidth="1"/>
    <col min="9783" max="9783" width="9.28515625" bestFit="1" customWidth="1"/>
    <col min="9784" max="9784" width="11.5703125" bestFit="1" customWidth="1"/>
    <col min="9785" max="9785" width="9.28515625" bestFit="1" customWidth="1"/>
    <col min="9786" max="9786" width="11.5703125" bestFit="1" customWidth="1"/>
    <col min="9787" max="9787" width="9.28515625" bestFit="1" customWidth="1"/>
    <col min="9788" max="9788" width="11.5703125" bestFit="1" customWidth="1"/>
    <col min="9789" max="9789" width="9.28515625" bestFit="1" customWidth="1"/>
    <col min="9790" max="9790" width="11.5703125" bestFit="1" customWidth="1"/>
    <col min="9791" max="9791" width="9.28515625" bestFit="1" customWidth="1"/>
    <col min="9792" max="9792" width="11.5703125" bestFit="1" customWidth="1"/>
    <col min="9793" max="9793" width="9.28515625" bestFit="1" customWidth="1"/>
    <col min="9794" max="9794" width="11.5703125" bestFit="1" customWidth="1"/>
    <col min="9795" max="9795" width="9.28515625" bestFit="1" customWidth="1"/>
    <col min="9796" max="9796" width="11.5703125" bestFit="1" customWidth="1"/>
    <col min="9797" max="9797" width="9.28515625" bestFit="1" customWidth="1"/>
    <col min="9798" max="9798" width="11.5703125" bestFit="1" customWidth="1"/>
    <col min="9799" max="9799" width="9.28515625" bestFit="1" customWidth="1"/>
    <col min="9800" max="9800" width="11.5703125" bestFit="1" customWidth="1"/>
    <col min="9801" max="9801" width="9.28515625" bestFit="1" customWidth="1"/>
    <col min="9802" max="9802" width="11.5703125" bestFit="1" customWidth="1"/>
    <col min="9803" max="9803" width="9.28515625" bestFit="1" customWidth="1"/>
    <col min="10011" max="10011" width="29.42578125" bestFit="1" customWidth="1"/>
    <col min="10012" max="10012" width="11.5703125" bestFit="1" customWidth="1"/>
    <col min="10013" max="10013" width="9.28515625" bestFit="1" customWidth="1"/>
    <col min="10014" max="10014" width="11.5703125" bestFit="1" customWidth="1"/>
    <col min="10015" max="10015" width="9.28515625" bestFit="1" customWidth="1"/>
    <col min="10016" max="10016" width="11.5703125" bestFit="1" customWidth="1"/>
    <col min="10017" max="10017" width="9.28515625" bestFit="1" customWidth="1"/>
    <col min="10018" max="10018" width="11.5703125" bestFit="1" customWidth="1"/>
    <col min="10019" max="10019" width="9.28515625" bestFit="1" customWidth="1"/>
    <col min="10020" max="10020" width="11.5703125" bestFit="1" customWidth="1"/>
    <col min="10021" max="10021" width="9.28515625" bestFit="1" customWidth="1"/>
    <col min="10022" max="10022" width="11.5703125" bestFit="1" customWidth="1"/>
    <col min="10023" max="10023" width="9.28515625" bestFit="1" customWidth="1"/>
    <col min="10024" max="10024" width="11.5703125" bestFit="1" customWidth="1"/>
    <col min="10025" max="10025" width="9.28515625" bestFit="1" customWidth="1"/>
    <col min="10026" max="10026" width="11.5703125" bestFit="1" customWidth="1"/>
    <col min="10027" max="10027" width="9.28515625" bestFit="1" customWidth="1"/>
    <col min="10028" max="10028" width="11.5703125" bestFit="1" customWidth="1"/>
    <col min="10029" max="10029" width="9.28515625" bestFit="1" customWidth="1"/>
    <col min="10030" max="10030" width="11.5703125" bestFit="1" customWidth="1"/>
    <col min="10031" max="10031" width="9.28515625" bestFit="1" customWidth="1"/>
    <col min="10032" max="10032" width="11.5703125" bestFit="1" customWidth="1"/>
    <col min="10033" max="10033" width="9.28515625" bestFit="1" customWidth="1"/>
    <col min="10034" max="10034" width="11.5703125" bestFit="1" customWidth="1"/>
    <col min="10035" max="10035" width="9.28515625" bestFit="1" customWidth="1"/>
    <col min="10036" max="10036" width="11.5703125" bestFit="1" customWidth="1"/>
    <col min="10037" max="10037" width="9.28515625" bestFit="1" customWidth="1"/>
    <col min="10038" max="10038" width="11.5703125" bestFit="1" customWidth="1"/>
    <col min="10039" max="10039" width="9.28515625" bestFit="1" customWidth="1"/>
    <col min="10040" max="10040" width="11.5703125" bestFit="1" customWidth="1"/>
    <col min="10041" max="10041" width="9.28515625" bestFit="1" customWidth="1"/>
    <col min="10042" max="10042" width="11.5703125" bestFit="1" customWidth="1"/>
    <col min="10043" max="10043" width="9.28515625" bestFit="1" customWidth="1"/>
    <col min="10044" max="10044" width="11.5703125" bestFit="1" customWidth="1"/>
    <col min="10045" max="10045" width="9.28515625" bestFit="1" customWidth="1"/>
    <col min="10046" max="10046" width="11.5703125" bestFit="1" customWidth="1"/>
    <col min="10047" max="10047" width="9.28515625" bestFit="1" customWidth="1"/>
    <col min="10048" max="10048" width="11.5703125" bestFit="1" customWidth="1"/>
    <col min="10049" max="10049" width="9.28515625" bestFit="1" customWidth="1"/>
    <col min="10050" max="10050" width="11.5703125" bestFit="1" customWidth="1"/>
    <col min="10051" max="10051" width="9.28515625" bestFit="1" customWidth="1"/>
    <col min="10052" max="10052" width="11.5703125" bestFit="1" customWidth="1"/>
    <col min="10053" max="10053" width="9.28515625" bestFit="1" customWidth="1"/>
    <col min="10054" max="10054" width="11.5703125" bestFit="1" customWidth="1"/>
    <col min="10055" max="10055" width="9.28515625" bestFit="1" customWidth="1"/>
    <col min="10056" max="10056" width="11.5703125" bestFit="1" customWidth="1"/>
    <col min="10057" max="10057" width="9.28515625" bestFit="1" customWidth="1"/>
    <col min="10058" max="10058" width="11.5703125" bestFit="1" customWidth="1"/>
    <col min="10059" max="10059" width="9.28515625" bestFit="1" customWidth="1"/>
    <col min="10267" max="10267" width="29.42578125" bestFit="1" customWidth="1"/>
    <col min="10268" max="10268" width="11.5703125" bestFit="1" customWidth="1"/>
    <col min="10269" max="10269" width="9.28515625" bestFit="1" customWidth="1"/>
    <col min="10270" max="10270" width="11.5703125" bestFit="1" customWidth="1"/>
    <col min="10271" max="10271" width="9.28515625" bestFit="1" customWidth="1"/>
    <col min="10272" max="10272" width="11.5703125" bestFit="1" customWidth="1"/>
    <col min="10273" max="10273" width="9.28515625" bestFit="1" customWidth="1"/>
    <col min="10274" max="10274" width="11.5703125" bestFit="1" customWidth="1"/>
    <col min="10275" max="10275" width="9.28515625" bestFit="1" customWidth="1"/>
    <col min="10276" max="10276" width="11.5703125" bestFit="1" customWidth="1"/>
    <col min="10277" max="10277" width="9.28515625" bestFit="1" customWidth="1"/>
    <col min="10278" max="10278" width="11.5703125" bestFit="1" customWidth="1"/>
    <col min="10279" max="10279" width="9.28515625" bestFit="1" customWidth="1"/>
    <col min="10280" max="10280" width="11.5703125" bestFit="1" customWidth="1"/>
    <col min="10281" max="10281" width="9.28515625" bestFit="1" customWidth="1"/>
    <col min="10282" max="10282" width="11.5703125" bestFit="1" customWidth="1"/>
    <col min="10283" max="10283" width="9.28515625" bestFit="1" customWidth="1"/>
    <col min="10284" max="10284" width="11.5703125" bestFit="1" customWidth="1"/>
    <col min="10285" max="10285" width="9.28515625" bestFit="1" customWidth="1"/>
    <col min="10286" max="10286" width="11.5703125" bestFit="1" customWidth="1"/>
    <col min="10287" max="10287" width="9.28515625" bestFit="1" customWidth="1"/>
    <col min="10288" max="10288" width="11.5703125" bestFit="1" customWidth="1"/>
    <col min="10289" max="10289" width="9.28515625" bestFit="1" customWidth="1"/>
    <col min="10290" max="10290" width="11.5703125" bestFit="1" customWidth="1"/>
    <col min="10291" max="10291" width="9.28515625" bestFit="1" customWidth="1"/>
    <col min="10292" max="10292" width="11.5703125" bestFit="1" customWidth="1"/>
    <col min="10293" max="10293" width="9.28515625" bestFit="1" customWidth="1"/>
    <col min="10294" max="10294" width="11.5703125" bestFit="1" customWidth="1"/>
    <col min="10295" max="10295" width="9.28515625" bestFit="1" customWidth="1"/>
    <col min="10296" max="10296" width="11.5703125" bestFit="1" customWidth="1"/>
    <col min="10297" max="10297" width="9.28515625" bestFit="1" customWidth="1"/>
    <col min="10298" max="10298" width="11.5703125" bestFit="1" customWidth="1"/>
    <col min="10299" max="10299" width="9.28515625" bestFit="1" customWidth="1"/>
    <col min="10300" max="10300" width="11.5703125" bestFit="1" customWidth="1"/>
    <col min="10301" max="10301" width="9.28515625" bestFit="1" customWidth="1"/>
    <col min="10302" max="10302" width="11.5703125" bestFit="1" customWidth="1"/>
    <col min="10303" max="10303" width="9.28515625" bestFit="1" customWidth="1"/>
    <col min="10304" max="10304" width="11.5703125" bestFit="1" customWidth="1"/>
    <col min="10305" max="10305" width="9.28515625" bestFit="1" customWidth="1"/>
    <col min="10306" max="10306" width="11.5703125" bestFit="1" customWidth="1"/>
    <col min="10307" max="10307" width="9.28515625" bestFit="1" customWidth="1"/>
    <col min="10308" max="10308" width="11.5703125" bestFit="1" customWidth="1"/>
    <col min="10309" max="10309" width="9.28515625" bestFit="1" customWidth="1"/>
    <col min="10310" max="10310" width="11.5703125" bestFit="1" customWidth="1"/>
    <col min="10311" max="10311" width="9.28515625" bestFit="1" customWidth="1"/>
    <col min="10312" max="10312" width="11.5703125" bestFit="1" customWidth="1"/>
    <col min="10313" max="10313" width="9.28515625" bestFit="1" customWidth="1"/>
    <col min="10314" max="10314" width="11.5703125" bestFit="1" customWidth="1"/>
    <col min="10315" max="10315" width="9.28515625" bestFit="1" customWidth="1"/>
    <col min="10523" max="10523" width="29.42578125" bestFit="1" customWidth="1"/>
    <col min="10524" max="10524" width="11.5703125" bestFit="1" customWidth="1"/>
    <col min="10525" max="10525" width="9.28515625" bestFit="1" customWidth="1"/>
    <col min="10526" max="10526" width="11.5703125" bestFit="1" customWidth="1"/>
    <col min="10527" max="10527" width="9.28515625" bestFit="1" customWidth="1"/>
    <col min="10528" max="10528" width="11.5703125" bestFit="1" customWidth="1"/>
    <col min="10529" max="10529" width="9.28515625" bestFit="1" customWidth="1"/>
    <col min="10530" max="10530" width="11.5703125" bestFit="1" customWidth="1"/>
    <col min="10531" max="10531" width="9.28515625" bestFit="1" customWidth="1"/>
    <col min="10532" max="10532" width="11.5703125" bestFit="1" customWidth="1"/>
    <col min="10533" max="10533" width="9.28515625" bestFit="1" customWidth="1"/>
    <col min="10534" max="10534" width="11.5703125" bestFit="1" customWidth="1"/>
    <col min="10535" max="10535" width="9.28515625" bestFit="1" customWidth="1"/>
    <col min="10536" max="10536" width="11.5703125" bestFit="1" customWidth="1"/>
    <col min="10537" max="10537" width="9.28515625" bestFit="1" customWidth="1"/>
    <col min="10538" max="10538" width="11.5703125" bestFit="1" customWidth="1"/>
    <col min="10539" max="10539" width="9.28515625" bestFit="1" customWidth="1"/>
    <col min="10540" max="10540" width="11.5703125" bestFit="1" customWidth="1"/>
    <col min="10541" max="10541" width="9.28515625" bestFit="1" customWidth="1"/>
    <col min="10542" max="10542" width="11.5703125" bestFit="1" customWidth="1"/>
    <col min="10543" max="10543" width="9.28515625" bestFit="1" customWidth="1"/>
    <col min="10544" max="10544" width="11.5703125" bestFit="1" customWidth="1"/>
    <col min="10545" max="10545" width="9.28515625" bestFit="1" customWidth="1"/>
    <col min="10546" max="10546" width="11.5703125" bestFit="1" customWidth="1"/>
    <col min="10547" max="10547" width="9.28515625" bestFit="1" customWidth="1"/>
    <col min="10548" max="10548" width="11.5703125" bestFit="1" customWidth="1"/>
    <col min="10549" max="10549" width="9.28515625" bestFit="1" customWidth="1"/>
    <col min="10550" max="10550" width="11.5703125" bestFit="1" customWidth="1"/>
    <col min="10551" max="10551" width="9.28515625" bestFit="1" customWidth="1"/>
    <col min="10552" max="10552" width="11.5703125" bestFit="1" customWidth="1"/>
    <col min="10553" max="10553" width="9.28515625" bestFit="1" customWidth="1"/>
    <col min="10554" max="10554" width="11.5703125" bestFit="1" customWidth="1"/>
    <col min="10555" max="10555" width="9.28515625" bestFit="1" customWidth="1"/>
    <col min="10556" max="10556" width="11.5703125" bestFit="1" customWidth="1"/>
    <col min="10557" max="10557" width="9.28515625" bestFit="1" customWidth="1"/>
    <col min="10558" max="10558" width="11.5703125" bestFit="1" customWidth="1"/>
    <col min="10559" max="10559" width="9.28515625" bestFit="1" customWidth="1"/>
    <col min="10560" max="10560" width="11.5703125" bestFit="1" customWidth="1"/>
    <col min="10561" max="10561" width="9.28515625" bestFit="1" customWidth="1"/>
    <col min="10562" max="10562" width="11.5703125" bestFit="1" customWidth="1"/>
    <col min="10563" max="10563" width="9.28515625" bestFit="1" customWidth="1"/>
    <col min="10564" max="10564" width="11.5703125" bestFit="1" customWidth="1"/>
    <col min="10565" max="10565" width="9.28515625" bestFit="1" customWidth="1"/>
    <col min="10566" max="10566" width="11.5703125" bestFit="1" customWidth="1"/>
    <col min="10567" max="10567" width="9.28515625" bestFit="1" customWidth="1"/>
    <col min="10568" max="10568" width="11.5703125" bestFit="1" customWidth="1"/>
    <col min="10569" max="10569" width="9.28515625" bestFit="1" customWidth="1"/>
    <col min="10570" max="10570" width="11.5703125" bestFit="1" customWidth="1"/>
    <col min="10571" max="10571" width="9.28515625" bestFit="1" customWidth="1"/>
    <col min="10779" max="10779" width="29.42578125" bestFit="1" customWidth="1"/>
    <col min="10780" max="10780" width="11.5703125" bestFit="1" customWidth="1"/>
    <col min="10781" max="10781" width="9.28515625" bestFit="1" customWidth="1"/>
    <col min="10782" max="10782" width="11.5703125" bestFit="1" customWidth="1"/>
    <col min="10783" max="10783" width="9.28515625" bestFit="1" customWidth="1"/>
    <col min="10784" max="10784" width="11.5703125" bestFit="1" customWidth="1"/>
    <col min="10785" max="10785" width="9.28515625" bestFit="1" customWidth="1"/>
    <col min="10786" max="10786" width="11.5703125" bestFit="1" customWidth="1"/>
    <col min="10787" max="10787" width="9.28515625" bestFit="1" customWidth="1"/>
    <col min="10788" max="10788" width="11.5703125" bestFit="1" customWidth="1"/>
    <col min="10789" max="10789" width="9.28515625" bestFit="1" customWidth="1"/>
    <col min="10790" max="10790" width="11.5703125" bestFit="1" customWidth="1"/>
    <col min="10791" max="10791" width="9.28515625" bestFit="1" customWidth="1"/>
    <col min="10792" max="10792" width="11.5703125" bestFit="1" customWidth="1"/>
    <col min="10793" max="10793" width="9.28515625" bestFit="1" customWidth="1"/>
    <col min="10794" max="10794" width="11.5703125" bestFit="1" customWidth="1"/>
    <col min="10795" max="10795" width="9.28515625" bestFit="1" customWidth="1"/>
    <col min="10796" max="10796" width="11.5703125" bestFit="1" customWidth="1"/>
    <col min="10797" max="10797" width="9.28515625" bestFit="1" customWidth="1"/>
    <col min="10798" max="10798" width="11.5703125" bestFit="1" customWidth="1"/>
    <col min="10799" max="10799" width="9.28515625" bestFit="1" customWidth="1"/>
    <col min="10800" max="10800" width="11.5703125" bestFit="1" customWidth="1"/>
    <col min="10801" max="10801" width="9.28515625" bestFit="1" customWidth="1"/>
    <col min="10802" max="10802" width="11.5703125" bestFit="1" customWidth="1"/>
    <col min="10803" max="10803" width="9.28515625" bestFit="1" customWidth="1"/>
    <col min="10804" max="10804" width="11.5703125" bestFit="1" customWidth="1"/>
    <col min="10805" max="10805" width="9.28515625" bestFit="1" customWidth="1"/>
    <col min="10806" max="10806" width="11.5703125" bestFit="1" customWidth="1"/>
    <col min="10807" max="10807" width="9.28515625" bestFit="1" customWidth="1"/>
    <col min="10808" max="10808" width="11.5703125" bestFit="1" customWidth="1"/>
    <col min="10809" max="10809" width="9.28515625" bestFit="1" customWidth="1"/>
    <col min="10810" max="10810" width="11.5703125" bestFit="1" customWidth="1"/>
    <col min="10811" max="10811" width="9.28515625" bestFit="1" customWidth="1"/>
    <col min="10812" max="10812" width="11.5703125" bestFit="1" customWidth="1"/>
    <col min="10813" max="10813" width="9.28515625" bestFit="1" customWidth="1"/>
    <col min="10814" max="10814" width="11.5703125" bestFit="1" customWidth="1"/>
    <col min="10815" max="10815" width="9.28515625" bestFit="1" customWidth="1"/>
    <col min="10816" max="10816" width="11.5703125" bestFit="1" customWidth="1"/>
    <col min="10817" max="10817" width="9.28515625" bestFit="1" customWidth="1"/>
    <col min="10818" max="10818" width="11.5703125" bestFit="1" customWidth="1"/>
    <col min="10819" max="10819" width="9.28515625" bestFit="1" customWidth="1"/>
    <col min="10820" max="10820" width="11.5703125" bestFit="1" customWidth="1"/>
    <col min="10821" max="10821" width="9.28515625" bestFit="1" customWidth="1"/>
    <col min="10822" max="10822" width="11.5703125" bestFit="1" customWidth="1"/>
    <col min="10823" max="10823" width="9.28515625" bestFit="1" customWidth="1"/>
    <col min="10824" max="10824" width="11.5703125" bestFit="1" customWidth="1"/>
    <col min="10825" max="10825" width="9.28515625" bestFit="1" customWidth="1"/>
    <col min="10826" max="10826" width="11.5703125" bestFit="1" customWidth="1"/>
    <col min="10827" max="10827" width="9.28515625" bestFit="1" customWidth="1"/>
    <col min="11035" max="11035" width="29.42578125" bestFit="1" customWidth="1"/>
    <col min="11036" max="11036" width="11.5703125" bestFit="1" customWidth="1"/>
    <col min="11037" max="11037" width="9.28515625" bestFit="1" customWidth="1"/>
    <col min="11038" max="11038" width="11.5703125" bestFit="1" customWidth="1"/>
    <col min="11039" max="11039" width="9.28515625" bestFit="1" customWidth="1"/>
    <col min="11040" max="11040" width="11.5703125" bestFit="1" customWidth="1"/>
    <col min="11041" max="11041" width="9.28515625" bestFit="1" customWidth="1"/>
    <col min="11042" max="11042" width="11.5703125" bestFit="1" customWidth="1"/>
    <col min="11043" max="11043" width="9.28515625" bestFit="1" customWidth="1"/>
    <col min="11044" max="11044" width="11.5703125" bestFit="1" customWidth="1"/>
    <col min="11045" max="11045" width="9.28515625" bestFit="1" customWidth="1"/>
    <col min="11046" max="11046" width="11.5703125" bestFit="1" customWidth="1"/>
    <col min="11047" max="11047" width="9.28515625" bestFit="1" customWidth="1"/>
    <col min="11048" max="11048" width="11.5703125" bestFit="1" customWidth="1"/>
    <col min="11049" max="11049" width="9.28515625" bestFit="1" customWidth="1"/>
    <col min="11050" max="11050" width="11.5703125" bestFit="1" customWidth="1"/>
    <col min="11051" max="11051" width="9.28515625" bestFit="1" customWidth="1"/>
    <col min="11052" max="11052" width="11.5703125" bestFit="1" customWidth="1"/>
    <col min="11053" max="11053" width="9.28515625" bestFit="1" customWidth="1"/>
    <col min="11054" max="11054" width="11.5703125" bestFit="1" customWidth="1"/>
    <col min="11055" max="11055" width="9.28515625" bestFit="1" customWidth="1"/>
    <col min="11056" max="11056" width="11.5703125" bestFit="1" customWidth="1"/>
    <col min="11057" max="11057" width="9.28515625" bestFit="1" customWidth="1"/>
    <col min="11058" max="11058" width="11.5703125" bestFit="1" customWidth="1"/>
    <col min="11059" max="11059" width="9.28515625" bestFit="1" customWidth="1"/>
    <col min="11060" max="11060" width="11.5703125" bestFit="1" customWidth="1"/>
    <col min="11061" max="11061" width="9.28515625" bestFit="1" customWidth="1"/>
    <col min="11062" max="11062" width="11.5703125" bestFit="1" customWidth="1"/>
    <col min="11063" max="11063" width="9.28515625" bestFit="1" customWidth="1"/>
    <col min="11064" max="11064" width="11.5703125" bestFit="1" customWidth="1"/>
    <col min="11065" max="11065" width="9.28515625" bestFit="1" customWidth="1"/>
    <col min="11066" max="11066" width="11.5703125" bestFit="1" customWidth="1"/>
    <col min="11067" max="11067" width="9.28515625" bestFit="1" customWidth="1"/>
    <col min="11068" max="11068" width="11.5703125" bestFit="1" customWidth="1"/>
    <col min="11069" max="11069" width="9.28515625" bestFit="1" customWidth="1"/>
    <col min="11070" max="11070" width="11.5703125" bestFit="1" customWidth="1"/>
    <col min="11071" max="11071" width="9.28515625" bestFit="1" customWidth="1"/>
    <col min="11072" max="11072" width="11.5703125" bestFit="1" customWidth="1"/>
    <col min="11073" max="11073" width="9.28515625" bestFit="1" customWidth="1"/>
    <col min="11074" max="11074" width="11.5703125" bestFit="1" customWidth="1"/>
    <col min="11075" max="11075" width="9.28515625" bestFit="1" customWidth="1"/>
    <col min="11076" max="11076" width="11.5703125" bestFit="1" customWidth="1"/>
    <col min="11077" max="11077" width="9.28515625" bestFit="1" customWidth="1"/>
    <col min="11078" max="11078" width="11.5703125" bestFit="1" customWidth="1"/>
    <col min="11079" max="11079" width="9.28515625" bestFit="1" customWidth="1"/>
    <col min="11080" max="11080" width="11.5703125" bestFit="1" customWidth="1"/>
    <col min="11081" max="11081" width="9.28515625" bestFit="1" customWidth="1"/>
    <col min="11082" max="11082" width="11.5703125" bestFit="1" customWidth="1"/>
    <col min="11083" max="11083" width="9.28515625" bestFit="1" customWidth="1"/>
    <col min="11291" max="11291" width="29.42578125" bestFit="1" customWidth="1"/>
    <col min="11292" max="11292" width="11.5703125" bestFit="1" customWidth="1"/>
    <col min="11293" max="11293" width="9.28515625" bestFit="1" customWidth="1"/>
    <col min="11294" max="11294" width="11.5703125" bestFit="1" customWidth="1"/>
    <col min="11295" max="11295" width="9.28515625" bestFit="1" customWidth="1"/>
    <col min="11296" max="11296" width="11.5703125" bestFit="1" customWidth="1"/>
    <col min="11297" max="11297" width="9.28515625" bestFit="1" customWidth="1"/>
    <col min="11298" max="11298" width="11.5703125" bestFit="1" customWidth="1"/>
    <col min="11299" max="11299" width="9.28515625" bestFit="1" customWidth="1"/>
    <col min="11300" max="11300" width="11.5703125" bestFit="1" customWidth="1"/>
    <col min="11301" max="11301" width="9.28515625" bestFit="1" customWidth="1"/>
    <col min="11302" max="11302" width="11.5703125" bestFit="1" customWidth="1"/>
    <col min="11303" max="11303" width="9.28515625" bestFit="1" customWidth="1"/>
    <col min="11304" max="11304" width="11.5703125" bestFit="1" customWidth="1"/>
    <col min="11305" max="11305" width="9.28515625" bestFit="1" customWidth="1"/>
    <col min="11306" max="11306" width="11.5703125" bestFit="1" customWidth="1"/>
    <col min="11307" max="11307" width="9.28515625" bestFit="1" customWidth="1"/>
    <col min="11308" max="11308" width="11.5703125" bestFit="1" customWidth="1"/>
    <col min="11309" max="11309" width="9.28515625" bestFit="1" customWidth="1"/>
    <col min="11310" max="11310" width="11.5703125" bestFit="1" customWidth="1"/>
    <col min="11311" max="11311" width="9.28515625" bestFit="1" customWidth="1"/>
    <col min="11312" max="11312" width="11.5703125" bestFit="1" customWidth="1"/>
    <col min="11313" max="11313" width="9.28515625" bestFit="1" customWidth="1"/>
    <col min="11314" max="11314" width="11.5703125" bestFit="1" customWidth="1"/>
    <col min="11315" max="11315" width="9.28515625" bestFit="1" customWidth="1"/>
    <col min="11316" max="11316" width="11.5703125" bestFit="1" customWidth="1"/>
    <col min="11317" max="11317" width="9.28515625" bestFit="1" customWidth="1"/>
    <col min="11318" max="11318" width="11.5703125" bestFit="1" customWidth="1"/>
    <col min="11319" max="11319" width="9.28515625" bestFit="1" customWidth="1"/>
    <col min="11320" max="11320" width="11.5703125" bestFit="1" customWidth="1"/>
    <col min="11321" max="11321" width="9.28515625" bestFit="1" customWidth="1"/>
    <col min="11322" max="11322" width="11.5703125" bestFit="1" customWidth="1"/>
    <col min="11323" max="11323" width="9.28515625" bestFit="1" customWidth="1"/>
    <col min="11324" max="11324" width="11.5703125" bestFit="1" customWidth="1"/>
    <col min="11325" max="11325" width="9.28515625" bestFit="1" customWidth="1"/>
    <col min="11326" max="11326" width="11.5703125" bestFit="1" customWidth="1"/>
    <col min="11327" max="11327" width="9.28515625" bestFit="1" customWidth="1"/>
    <col min="11328" max="11328" width="11.5703125" bestFit="1" customWidth="1"/>
    <col min="11329" max="11329" width="9.28515625" bestFit="1" customWidth="1"/>
    <col min="11330" max="11330" width="11.5703125" bestFit="1" customWidth="1"/>
    <col min="11331" max="11331" width="9.28515625" bestFit="1" customWidth="1"/>
    <col min="11332" max="11332" width="11.5703125" bestFit="1" customWidth="1"/>
    <col min="11333" max="11333" width="9.28515625" bestFit="1" customWidth="1"/>
    <col min="11334" max="11334" width="11.5703125" bestFit="1" customWidth="1"/>
    <col min="11335" max="11335" width="9.28515625" bestFit="1" customWidth="1"/>
    <col min="11336" max="11336" width="11.5703125" bestFit="1" customWidth="1"/>
    <col min="11337" max="11337" width="9.28515625" bestFit="1" customWidth="1"/>
    <col min="11338" max="11338" width="11.5703125" bestFit="1" customWidth="1"/>
    <col min="11339" max="11339" width="9.28515625" bestFit="1" customWidth="1"/>
    <col min="11547" max="11547" width="29.42578125" bestFit="1" customWidth="1"/>
    <col min="11548" max="11548" width="11.5703125" bestFit="1" customWidth="1"/>
    <col min="11549" max="11549" width="9.28515625" bestFit="1" customWidth="1"/>
    <col min="11550" max="11550" width="11.5703125" bestFit="1" customWidth="1"/>
    <col min="11551" max="11551" width="9.28515625" bestFit="1" customWidth="1"/>
    <col min="11552" max="11552" width="11.5703125" bestFit="1" customWidth="1"/>
    <col min="11553" max="11553" width="9.28515625" bestFit="1" customWidth="1"/>
    <col min="11554" max="11554" width="11.5703125" bestFit="1" customWidth="1"/>
    <col min="11555" max="11555" width="9.28515625" bestFit="1" customWidth="1"/>
    <col min="11556" max="11556" width="11.5703125" bestFit="1" customWidth="1"/>
    <col min="11557" max="11557" width="9.28515625" bestFit="1" customWidth="1"/>
    <col min="11558" max="11558" width="11.5703125" bestFit="1" customWidth="1"/>
    <col min="11559" max="11559" width="9.28515625" bestFit="1" customWidth="1"/>
    <col min="11560" max="11560" width="11.5703125" bestFit="1" customWidth="1"/>
    <col min="11561" max="11561" width="9.28515625" bestFit="1" customWidth="1"/>
    <col min="11562" max="11562" width="11.5703125" bestFit="1" customWidth="1"/>
    <col min="11563" max="11563" width="9.28515625" bestFit="1" customWidth="1"/>
    <col min="11564" max="11564" width="11.5703125" bestFit="1" customWidth="1"/>
    <col min="11565" max="11565" width="9.28515625" bestFit="1" customWidth="1"/>
    <col min="11566" max="11566" width="11.5703125" bestFit="1" customWidth="1"/>
    <col min="11567" max="11567" width="9.28515625" bestFit="1" customWidth="1"/>
    <col min="11568" max="11568" width="11.5703125" bestFit="1" customWidth="1"/>
    <col min="11569" max="11569" width="9.28515625" bestFit="1" customWidth="1"/>
    <col min="11570" max="11570" width="11.5703125" bestFit="1" customWidth="1"/>
    <col min="11571" max="11571" width="9.28515625" bestFit="1" customWidth="1"/>
    <col min="11572" max="11572" width="11.5703125" bestFit="1" customWidth="1"/>
    <col min="11573" max="11573" width="9.28515625" bestFit="1" customWidth="1"/>
    <col min="11574" max="11574" width="11.5703125" bestFit="1" customWidth="1"/>
    <col min="11575" max="11575" width="9.28515625" bestFit="1" customWidth="1"/>
    <col min="11576" max="11576" width="11.5703125" bestFit="1" customWidth="1"/>
    <col min="11577" max="11577" width="9.28515625" bestFit="1" customWidth="1"/>
    <col min="11578" max="11578" width="11.5703125" bestFit="1" customWidth="1"/>
    <col min="11579" max="11579" width="9.28515625" bestFit="1" customWidth="1"/>
    <col min="11580" max="11580" width="11.5703125" bestFit="1" customWidth="1"/>
    <col min="11581" max="11581" width="9.28515625" bestFit="1" customWidth="1"/>
    <col min="11582" max="11582" width="11.5703125" bestFit="1" customWidth="1"/>
    <col min="11583" max="11583" width="9.28515625" bestFit="1" customWidth="1"/>
    <col min="11584" max="11584" width="11.5703125" bestFit="1" customWidth="1"/>
    <col min="11585" max="11585" width="9.28515625" bestFit="1" customWidth="1"/>
    <col min="11586" max="11586" width="11.5703125" bestFit="1" customWidth="1"/>
    <col min="11587" max="11587" width="9.28515625" bestFit="1" customWidth="1"/>
    <col min="11588" max="11588" width="11.5703125" bestFit="1" customWidth="1"/>
    <col min="11589" max="11589" width="9.28515625" bestFit="1" customWidth="1"/>
    <col min="11590" max="11590" width="11.5703125" bestFit="1" customWidth="1"/>
    <col min="11591" max="11591" width="9.28515625" bestFit="1" customWidth="1"/>
    <col min="11592" max="11592" width="11.5703125" bestFit="1" customWidth="1"/>
    <col min="11593" max="11593" width="9.28515625" bestFit="1" customWidth="1"/>
    <col min="11594" max="11594" width="11.5703125" bestFit="1" customWidth="1"/>
    <col min="11595" max="11595" width="9.28515625" bestFit="1" customWidth="1"/>
    <col min="11803" max="11803" width="29.42578125" bestFit="1" customWidth="1"/>
    <col min="11804" max="11804" width="11.5703125" bestFit="1" customWidth="1"/>
    <col min="11805" max="11805" width="9.28515625" bestFit="1" customWidth="1"/>
    <col min="11806" max="11806" width="11.5703125" bestFit="1" customWidth="1"/>
    <col min="11807" max="11807" width="9.28515625" bestFit="1" customWidth="1"/>
    <col min="11808" max="11808" width="11.5703125" bestFit="1" customWidth="1"/>
    <col min="11809" max="11809" width="9.28515625" bestFit="1" customWidth="1"/>
    <col min="11810" max="11810" width="11.5703125" bestFit="1" customWidth="1"/>
    <col min="11811" max="11811" width="9.28515625" bestFit="1" customWidth="1"/>
    <col min="11812" max="11812" width="11.5703125" bestFit="1" customWidth="1"/>
    <col min="11813" max="11813" width="9.28515625" bestFit="1" customWidth="1"/>
    <col min="11814" max="11814" width="11.5703125" bestFit="1" customWidth="1"/>
    <col min="11815" max="11815" width="9.28515625" bestFit="1" customWidth="1"/>
    <col min="11816" max="11816" width="11.5703125" bestFit="1" customWidth="1"/>
    <col min="11817" max="11817" width="9.28515625" bestFit="1" customWidth="1"/>
    <col min="11818" max="11818" width="11.5703125" bestFit="1" customWidth="1"/>
    <col min="11819" max="11819" width="9.28515625" bestFit="1" customWidth="1"/>
    <col min="11820" max="11820" width="11.5703125" bestFit="1" customWidth="1"/>
    <col min="11821" max="11821" width="9.28515625" bestFit="1" customWidth="1"/>
    <col min="11822" max="11822" width="11.5703125" bestFit="1" customWidth="1"/>
    <col min="11823" max="11823" width="9.28515625" bestFit="1" customWidth="1"/>
    <col min="11824" max="11824" width="11.5703125" bestFit="1" customWidth="1"/>
    <col min="11825" max="11825" width="9.28515625" bestFit="1" customWidth="1"/>
    <col min="11826" max="11826" width="11.5703125" bestFit="1" customWidth="1"/>
    <col min="11827" max="11827" width="9.28515625" bestFit="1" customWidth="1"/>
    <col min="11828" max="11828" width="11.5703125" bestFit="1" customWidth="1"/>
    <col min="11829" max="11829" width="9.28515625" bestFit="1" customWidth="1"/>
    <col min="11830" max="11830" width="11.5703125" bestFit="1" customWidth="1"/>
    <col min="11831" max="11831" width="9.28515625" bestFit="1" customWidth="1"/>
    <col min="11832" max="11832" width="11.5703125" bestFit="1" customWidth="1"/>
    <col min="11833" max="11833" width="9.28515625" bestFit="1" customWidth="1"/>
    <col min="11834" max="11834" width="11.5703125" bestFit="1" customWidth="1"/>
    <col min="11835" max="11835" width="9.28515625" bestFit="1" customWidth="1"/>
    <col min="11836" max="11836" width="11.5703125" bestFit="1" customWidth="1"/>
    <col min="11837" max="11837" width="9.28515625" bestFit="1" customWidth="1"/>
    <col min="11838" max="11838" width="11.5703125" bestFit="1" customWidth="1"/>
    <col min="11839" max="11839" width="9.28515625" bestFit="1" customWidth="1"/>
    <col min="11840" max="11840" width="11.5703125" bestFit="1" customWidth="1"/>
    <col min="11841" max="11841" width="9.28515625" bestFit="1" customWidth="1"/>
    <col min="11842" max="11842" width="11.5703125" bestFit="1" customWidth="1"/>
    <col min="11843" max="11843" width="9.28515625" bestFit="1" customWidth="1"/>
    <col min="11844" max="11844" width="11.5703125" bestFit="1" customWidth="1"/>
    <col min="11845" max="11845" width="9.28515625" bestFit="1" customWidth="1"/>
    <col min="11846" max="11846" width="11.5703125" bestFit="1" customWidth="1"/>
    <col min="11847" max="11847" width="9.28515625" bestFit="1" customWidth="1"/>
    <col min="11848" max="11848" width="11.5703125" bestFit="1" customWidth="1"/>
    <col min="11849" max="11849" width="9.28515625" bestFit="1" customWidth="1"/>
    <col min="11850" max="11850" width="11.5703125" bestFit="1" customWidth="1"/>
    <col min="11851" max="11851" width="9.28515625" bestFit="1" customWidth="1"/>
    <col min="12059" max="12059" width="29.42578125" bestFit="1" customWidth="1"/>
    <col min="12060" max="12060" width="11.5703125" bestFit="1" customWidth="1"/>
    <col min="12061" max="12061" width="9.28515625" bestFit="1" customWidth="1"/>
    <col min="12062" max="12062" width="11.5703125" bestFit="1" customWidth="1"/>
    <col min="12063" max="12063" width="9.28515625" bestFit="1" customWidth="1"/>
    <col min="12064" max="12064" width="11.5703125" bestFit="1" customWidth="1"/>
    <col min="12065" max="12065" width="9.28515625" bestFit="1" customWidth="1"/>
    <col min="12066" max="12066" width="11.5703125" bestFit="1" customWidth="1"/>
    <col min="12067" max="12067" width="9.28515625" bestFit="1" customWidth="1"/>
    <col min="12068" max="12068" width="11.5703125" bestFit="1" customWidth="1"/>
    <col min="12069" max="12069" width="9.28515625" bestFit="1" customWidth="1"/>
    <col min="12070" max="12070" width="11.5703125" bestFit="1" customWidth="1"/>
    <col min="12071" max="12071" width="9.28515625" bestFit="1" customWidth="1"/>
    <col min="12072" max="12072" width="11.5703125" bestFit="1" customWidth="1"/>
    <col min="12073" max="12073" width="9.28515625" bestFit="1" customWidth="1"/>
    <col min="12074" max="12074" width="11.5703125" bestFit="1" customWidth="1"/>
    <col min="12075" max="12075" width="9.28515625" bestFit="1" customWidth="1"/>
    <col min="12076" max="12076" width="11.5703125" bestFit="1" customWidth="1"/>
    <col min="12077" max="12077" width="9.28515625" bestFit="1" customWidth="1"/>
    <col min="12078" max="12078" width="11.5703125" bestFit="1" customWidth="1"/>
    <col min="12079" max="12079" width="9.28515625" bestFit="1" customWidth="1"/>
    <col min="12080" max="12080" width="11.5703125" bestFit="1" customWidth="1"/>
    <col min="12081" max="12081" width="9.28515625" bestFit="1" customWidth="1"/>
    <col min="12082" max="12082" width="11.5703125" bestFit="1" customWidth="1"/>
    <col min="12083" max="12083" width="9.28515625" bestFit="1" customWidth="1"/>
    <col min="12084" max="12084" width="11.5703125" bestFit="1" customWidth="1"/>
    <col min="12085" max="12085" width="9.28515625" bestFit="1" customWidth="1"/>
    <col min="12086" max="12086" width="11.5703125" bestFit="1" customWidth="1"/>
    <col min="12087" max="12087" width="9.28515625" bestFit="1" customWidth="1"/>
    <col min="12088" max="12088" width="11.5703125" bestFit="1" customWidth="1"/>
    <col min="12089" max="12089" width="9.28515625" bestFit="1" customWidth="1"/>
    <col min="12090" max="12090" width="11.5703125" bestFit="1" customWidth="1"/>
    <col min="12091" max="12091" width="9.28515625" bestFit="1" customWidth="1"/>
    <col min="12092" max="12092" width="11.5703125" bestFit="1" customWidth="1"/>
    <col min="12093" max="12093" width="9.28515625" bestFit="1" customWidth="1"/>
    <col min="12094" max="12094" width="11.5703125" bestFit="1" customWidth="1"/>
    <col min="12095" max="12095" width="9.28515625" bestFit="1" customWidth="1"/>
    <col min="12096" max="12096" width="11.5703125" bestFit="1" customWidth="1"/>
    <col min="12097" max="12097" width="9.28515625" bestFit="1" customWidth="1"/>
    <col min="12098" max="12098" width="11.5703125" bestFit="1" customWidth="1"/>
    <col min="12099" max="12099" width="9.28515625" bestFit="1" customWidth="1"/>
    <col min="12100" max="12100" width="11.5703125" bestFit="1" customWidth="1"/>
    <col min="12101" max="12101" width="9.28515625" bestFit="1" customWidth="1"/>
    <col min="12102" max="12102" width="11.5703125" bestFit="1" customWidth="1"/>
    <col min="12103" max="12103" width="9.28515625" bestFit="1" customWidth="1"/>
    <col min="12104" max="12104" width="11.5703125" bestFit="1" customWidth="1"/>
    <col min="12105" max="12105" width="9.28515625" bestFit="1" customWidth="1"/>
    <col min="12106" max="12106" width="11.5703125" bestFit="1" customWidth="1"/>
    <col min="12107" max="12107" width="9.28515625" bestFit="1" customWidth="1"/>
    <col min="12315" max="12315" width="29.42578125" bestFit="1" customWidth="1"/>
    <col min="12316" max="12316" width="11.5703125" bestFit="1" customWidth="1"/>
    <col min="12317" max="12317" width="9.28515625" bestFit="1" customWidth="1"/>
    <col min="12318" max="12318" width="11.5703125" bestFit="1" customWidth="1"/>
    <col min="12319" max="12319" width="9.28515625" bestFit="1" customWidth="1"/>
    <col min="12320" max="12320" width="11.5703125" bestFit="1" customWidth="1"/>
    <col min="12321" max="12321" width="9.28515625" bestFit="1" customWidth="1"/>
    <col min="12322" max="12322" width="11.5703125" bestFit="1" customWidth="1"/>
    <col min="12323" max="12323" width="9.28515625" bestFit="1" customWidth="1"/>
    <col min="12324" max="12324" width="11.5703125" bestFit="1" customWidth="1"/>
    <col min="12325" max="12325" width="9.28515625" bestFit="1" customWidth="1"/>
    <col min="12326" max="12326" width="11.5703125" bestFit="1" customWidth="1"/>
    <col min="12327" max="12327" width="9.28515625" bestFit="1" customWidth="1"/>
    <col min="12328" max="12328" width="11.5703125" bestFit="1" customWidth="1"/>
    <col min="12329" max="12329" width="9.28515625" bestFit="1" customWidth="1"/>
    <col min="12330" max="12330" width="11.5703125" bestFit="1" customWidth="1"/>
    <col min="12331" max="12331" width="9.28515625" bestFit="1" customWidth="1"/>
    <col min="12332" max="12332" width="11.5703125" bestFit="1" customWidth="1"/>
    <col min="12333" max="12333" width="9.28515625" bestFit="1" customWidth="1"/>
    <col min="12334" max="12334" width="11.5703125" bestFit="1" customWidth="1"/>
    <col min="12335" max="12335" width="9.28515625" bestFit="1" customWidth="1"/>
    <col min="12336" max="12336" width="11.5703125" bestFit="1" customWidth="1"/>
    <col min="12337" max="12337" width="9.28515625" bestFit="1" customWidth="1"/>
    <col min="12338" max="12338" width="11.5703125" bestFit="1" customWidth="1"/>
    <col min="12339" max="12339" width="9.28515625" bestFit="1" customWidth="1"/>
    <col min="12340" max="12340" width="11.5703125" bestFit="1" customWidth="1"/>
    <col min="12341" max="12341" width="9.28515625" bestFit="1" customWidth="1"/>
    <col min="12342" max="12342" width="11.5703125" bestFit="1" customWidth="1"/>
    <col min="12343" max="12343" width="9.28515625" bestFit="1" customWidth="1"/>
    <col min="12344" max="12344" width="11.5703125" bestFit="1" customWidth="1"/>
    <col min="12345" max="12345" width="9.28515625" bestFit="1" customWidth="1"/>
    <col min="12346" max="12346" width="11.5703125" bestFit="1" customWidth="1"/>
    <col min="12347" max="12347" width="9.28515625" bestFit="1" customWidth="1"/>
    <col min="12348" max="12348" width="11.5703125" bestFit="1" customWidth="1"/>
    <col min="12349" max="12349" width="9.28515625" bestFit="1" customWidth="1"/>
    <col min="12350" max="12350" width="11.5703125" bestFit="1" customWidth="1"/>
    <col min="12351" max="12351" width="9.28515625" bestFit="1" customWidth="1"/>
    <col min="12352" max="12352" width="11.5703125" bestFit="1" customWidth="1"/>
    <col min="12353" max="12353" width="9.28515625" bestFit="1" customWidth="1"/>
    <col min="12354" max="12354" width="11.5703125" bestFit="1" customWidth="1"/>
    <col min="12355" max="12355" width="9.28515625" bestFit="1" customWidth="1"/>
    <col min="12356" max="12356" width="11.5703125" bestFit="1" customWidth="1"/>
    <col min="12357" max="12357" width="9.28515625" bestFit="1" customWidth="1"/>
    <col min="12358" max="12358" width="11.5703125" bestFit="1" customWidth="1"/>
    <col min="12359" max="12359" width="9.28515625" bestFit="1" customWidth="1"/>
    <col min="12360" max="12360" width="11.5703125" bestFit="1" customWidth="1"/>
    <col min="12361" max="12361" width="9.28515625" bestFit="1" customWidth="1"/>
    <col min="12362" max="12362" width="11.5703125" bestFit="1" customWidth="1"/>
    <col min="12363" max="12363" width="9.28515625" bestFit="1" customWidth="1"/>
    <col min="12571" max="12571" width="29.42578125" bestFit="1" customWidth="1"/>
    <col min="12572" max="12572" width="11.5703125" bestFit="1" customWidth="1"/>
    <col min="12573" max="12573" width="9.28515625" bestFit="1" customWidth="1"/>
    <col min="12574" max="12574" width="11.5703125" bestFit="1" customWidth="1"/>
    <col min="12575" max="12575" width="9.28515625" bestFit="1" customWidth="1"/>
    <col min="12576" max="12576" width="11.5703125" bestFit="1" customWidth="1"/>
    <col min="12577" max="12577" width="9.28515625" bestFit="1" customWidth="1"/>
    <col min="12578" max="12578" width="11.5703125" bestFit="1" customWidth="1"/>
    <col min="12579" max="12579" width="9.28515625" bestFit="1" customWidth="1"/>
    <col min="12580" max="12580" width="11.5703125" bestFit="1" customWidth="1"/>
    <col min="12581" max="12581" width="9.28515625" bestFit="1" customWidth="1"/>
    <col min="12582" max="12582" width="11.5703125" bestFit="1" customWidth="1"/>
    <col min="12583" max="12583" width="9.28515625" bestFit="1" customWidth="1"/>
    <col min="12584" max="12584" width="11.5703125" bestFit="1" customWidth="1"/>
    <col min="12585" max="12585" width="9.28515625" bestFit="1" customWidth="1"/>
    <col min="12586" max="12586" width="11.5703125" bestFit="1" customWidth="1"/>
    <col min="12587" max="12587" width="9.28515625" bestFit="1" customWidth="1"/>
    <col min="12588" max="12588" width="11.5703125" bestFit="1" customWidth="1"/>
    <col min="12589" max="12589" width="9.28515625" bestFit="1" customWidth="1"/>
    <col min="12590" max="12590" width="11.5703125" bestFit="1" customWidth="1"/>
    <col min="12591" max="12591" width="9.28515625" bestFit="1" customWidth="1"/>
    <col min="12592" max="12592" width="11.5703125" bestFit="1" customWidth="1"/>
    <col min="12593" max="12593" width="9.28515625" bestFit="1" customWidth="1"/>
    <col min="12594" max="12594" width="11.5703125" bestFit="1" customWidth="1"/>
    <col min="12595" max="12595" width="9.28515625" bestFit="1" customWidth="1"/>
    <col min="12596" max="12596" width="11.5703125" bestFit="1" customWidth="1"/>
    <col min="12597" max="12597" width="9.28515625" bestFit="1" customWidth="1"/>
    <col min="12598" max="12598" width="11.5703125" bestFit="1" customWidth="1"/>
    <col min="12599" max="12599" width="9.28515625" bestFit="1" customWidth="1"/>
    <col min="12600" max="12600" width="11.5703125" bestFit="1" customWidth="1"/>
    <col min="12601" max="12601" width="9.28515625" bestFit="1" customWidth="1"/>
    <col min="12602" max="12602" width="11.5703125" bestFit="1" customWidth="1"/>
    <col min="12603" max="12603" width="9.28515625" bestFit="1" customWidth="1"/>
    <col min="12604" max="12604" width="11.5703125" bestFit="1" customWidth="1"/>
    <col min="12605" max="12605" width="9.28515625" bestFit="1" customWidth="1"/>
    <col min="12606" max="12606" width="11.5703125" bestFit="1" customWidth="1"/>
    <col min="12607" max="12607" width="9.28515625" bestFit="1" customWidth="1"/>
    <col min="12608" max="12608" width="11.5703125" bestFit="1" customWidth="1"/>
    <col min="12609" max="12609" width="9.28515625" bestFit="1" customWidth="1"/>
    <col min="12610" max="12610" width="11.5703125" bestFit="1" customWidth="1"/>
    <col min="12611" max="12611" width="9.28515625" bestFit="1" customWidth="1"/>
    <col min="12612" max="12612" width="11.5703125" bestFit="1" customWidth="1"/>
    <col min="12613" max="12613" width="9.28515625" bestFit="1" customWidth="1"/>
    <col min="12614" max="12614" width="11.5703125" bestFit="1" customWidth="1"/>
    <col min="12615" max="12615" width="9.28515625" bestFit="1" customWidth="1"/>
    <col min="12616" max="12616" width="11.5703125" bestFit="1" customWidth="1"/>
    <col min="12617" max="12617" width="9.28515625" bestFit="1" customWidth="1"/>
    <col min="12618" max="12618" width="11.5703125" bestFit="1" customWidth="1"/>
    <col min="12619" max="12619" width="9.28515625" bestFit="1" customWidth="1"/>
    <col min="12827" max="12827" width="29.42578125" bestFit="1" customWidth="1"/>
    <col min="12828" max="12828" width="11.5703125" bestFit="1" customWidth="1"/>
    <col min="12829" max="12829" width="9.28515625" bestFit="1" customWidth="1"/>
    <col min="12830" max="12830" width="11.5703125" bestFit="1" customWidth="1"/>
    <col min="12831" max="12831" width="9.28515625" bestFit="1" customWidth="1"/>
    <col min="12832" max="12832" width="11.5703125" bestFit="1" customWidth="1"/>
    <col min="12833" max="12833" width="9.28515625" bestFit="1" customWidth="1"/>
    <col min="12834" max="12834" width="11.5703125" bestFit="1" customWidth="1"/>
    <col min="12835" max="12835" width="9.28515625" bestFit="1" customWidth="1"/>
    <col min="12836" max="12836" width="11.5703125" bestFit="1" customWidth="1"/>
    <col min="12837" max="12837" width="9.28515625" bestFit="1" customWidth="1"/>
    <col min="12838" max="12838" width="11.5703125" bestFit="1" customWidth="1"/>
    <col min="12839" max="12839" width="9.28515625" bestFit="1" customWidth="1"/>
    <col min="12840" max="12840" width="11.5703125" bestFit="1" customWidth="1"/>
    <col min="12841" max="12841" width="9.28515625" bestFit="1" customWidth="1"/>
    <col min="12842" max="12842" width="11.5703125" bestFit="1" customWidth="1"/>
    <col min="12843" max="12843" width="9.28515625" bestFit="1" customWidth="1"/>
    <col min="12844" max="12844" width="11.5703125" bestFit="1" customWidth="1"/>
    <col min="12845" max="12845" width="9.28515625" bestFit="1" customWidth="1"/>
    <col min="12846" max="12846" width="11.5703125" bestFit="1" customWidth="1"/>
    <col min="12847" max="12847" width="9.28515625" bestFit="1" customWidth="1"/>
    <col min="12848" max="12848" width="11.5703125" bestFit="1" customWidth="1"/>
    <col min="12849" max="12849" width="9.28515625" bestFit="1" customWidth="1"/>
    <col min="12850" max="12850" width="11.5703125" bestFit="1" customWidth="1"/>
    <col min="12851" max="12851" width="9.28515625" bestFit="1" customWidth="1"/>
    <col min="12852" max="12852" width="11.5703125" bestFit="1" customWidth="1"/>
    <col min="12853" max="12853" width="9.28515625" bestFit="1" customWidth="1"/>
    <col min="12854" max="12854" width="11.5703125" bestFit="1" customWidth="1"/>
    <col min="12855" max="12855" width="9.28515625" bestFit="1" customWidth="1"/>
    <col min="12856" max="12856" width="11.5703125" bestFit="1" customWidth="1"/>
    <col min="12857" max="12857" width="9.28515625" bestFit="1" customWidth="1"/>
    <col min="12858" max="12858" width="11.5703125" bestFit="1" customWidth="1"/>
    <col min="12859" max="12859" width="9.28515625" bestFit="1" customWidth="1"/>
    <col min="12860" max="12860" width="11.5703125" bestFit="1" customWidth="1"/>
    <col min="12861" max="12861" width="9.28515625" bestFit="1" customWidth="1"/>
    <col min="12862" max="12862" width="11.5703125" bestFit="1" customWidth="1"/>
    <col min="12863" max="12863" width="9.28515625" bestFit="1" customWidth="1"/>
    <col min="12864" max="12864" width="11.5703125" bestFit="1" customWidth="1"/>
    <col min="12865" max="12865" width="9.28515625" bestFit="1" customWidth="1"/>
    <col min="12866" max="12866" width="11.5703125" bestFit="1" customWidth="1"/>
    <col min="12867" max="12867" width="9.28515625" bestFit="1" customWidth="1"/>
    <col min="12868" max="12868" width="11.5703125" bestFit="1" customWidth="1"/>
    <col min="12869" max="12869" width="9.28515625" bestFit="1" customWidth="1"/>
    <col min="12870" max="12870" width="11.5703125" bestFit="1" customWidth="1"/>
    <col min="12871" max="12871" width="9.28515625" bestFit="1" customWidth="1"/>
    <col min="12872" max="12872" width="11.5703125" bestFit="1" customWidth="1"/>
    <col min="12873" max="12873" width="9.28515625" bestFit="1" customWidth="1"/>
    <col min="12874" max="12874" width="11.5703125" bestFit="1" customWidth="1"/>
    <col min="12875" max="12875" width="9.28515625" bestFit="1" customWidth="1"/>
    <col min="13083" max="13083" width="29.42578125" bestFit="1" customWidth="1"/>
    <col min="13084" max="13084" width="11.5703125" bestFit="1" customWidth="1"/>
    <col min="13085" max="13085" width="9.28515625" bestFit="1" customWidth="1"/>
    <col min="13086" max="13086" width="11.5703125" bestFit="1" customWidth="1"/>
    <col min="13087" max="13087" width="9.28515625" bestFit="1" customWidth="1"/>
    <col min="13088" max="13088" width="11.5703125" bestFit="1" customWidth="1"/>
    <col min="13089" max="13089" width="9.28515625" bestFit="1" customWidth="1"/>
    <col min="13090" max="13090" width="11.5703125" bestFit="1" customWidth="1"/>
    <col min="13091" max="13091" width="9.28515625" bestFit="1" customWidth="1"/>
    <col min="13092" max="13092" width="11.5703125" bestFit="1" customWidth="1"/>
    <col min="13093" max="13093" width="9.28515625" bestFit="1" customWidth="1"/>
    <col min="13094" max="13094" width="11.5703125" bestFit="1" customWidth="1"/>
    <col min="13095" max="13095" width="9.28515625" bestFit="1" customWidth="1"/>
    <col min="13096" max="13096" width="11.5703125" bestFit="1" customWidth="1"/>
    <col min="13097" max="13097" width="9.28515625" bestFit="1" customWidth="1"/>
    <col min="13098" max="13098" width="11.5703125" bestFit="1" customWidth="1"/>
    <col min="13099" max="13099" width="9.28515625" bestFit="1" customWidth="1"/>
    <col min="13100" max="13100" width="11.5703125" bestFit="1" customWidth="1"/>
    <col min="13101" max="13101" width="9.28515625" bestFit="1" customWidth="1"/>
    <col min="13102" max="13102" width="11.5703125" bestFit="1" customWidth="1"/>
    <col min="13103" max="13103" width="9.28515625" bestFit="1" customWidth="1"/>
    <col min="13104" max="13104" width="11.5703125" bestFit="1" customWidth="1"/>
    <col min="13105" max="13105" width="9.28515625" bestFit="1" customWidth="1"/>
    <col min="13106" max="13106" width="11.5703125" bestFit="1" customWidth="1"/>
    <col min="13107" max="13107" width="9.28515625" bestFit="1" customWidth="1"/>
    <col min="13108" max="13108" width="11.5703125" bestFit="1" customWidth="1"/>
    <col min="13109" max="13109" width="9.28515625" bestFit="1" customWidth="1"/>
    <col min="13110" max="13110" width="11.5703125" bestFit="1" customWidth="1"/>
    <col min="13111" max="13111" width="9.28515625" bestFit="1" customWidth="1"/>
    <col min="13112" max="13112" width="11.5703125" bestFit="1" customWidth="1"/>
    <col min="13113" max="13113" width="9.28515625" bestFit="1" customWidth="1"/>
    <col min="13114" max="13114" width="11.5703125" bestFit="1" customWidth="1"/>
    <col min="13115" max="13115" width="9.28515625" bestFit="1" customWidth="1"/>
    <col min="13116" max="13116" width="11.5703125" bestFit="1" customWidth="1"/>
    <col min="13117" max="13117" width="9.28515625" bestFit="1" customWidth="1"/>
    <col min="13118" max="13118" width="11.5703125" bestFit="1" customWidth="1"/>
    <col min="13119" max="13119" width="9.28515625" bestFit="1" customWidth="1"/>
    <col min="13120" max="13120" width="11.5703125" bestFit="1" customWidth="1"/>
    <col min="13121" max="13121" width="9.28515625" bestFit="1" customWidth="1"/>
    <col min="13122" max="13122" width="11.5703125" bestFit="1" customWidth="1"/>
    <col min="13123" max="13123" width="9.28515625" bestFit="1" customWidth="1"/>
    <col min="13124" max="13124" width="11.5703125" bestFit="1" customWidth="1"/>
    <col min="13125" max="13125" width="9.28515625" bestFit="1" customWidth="1"/>
    <col min="13126" max="13126" width="11.5703125" bestFit="1" customWidth="1"/>
    <col min="13127" max="13127" width="9.28515625" bestFit="1" customWidth="1"/>
    <col min="13128" max="13128" width="11.5703125" bestFit="1" customWidth="1"/>
    <col min="13129" max="13129" width="9.28515625" bestFit="1" customWidth="1"/>
    <col min="13130" max="13130" width="11.5703125" bestFit="1" customWidth="1"/>
    <col min="13131" max="13131" width="9.28515625" bestFit="1" customWidth="1"/>
    <col min="13339" max="13339" width="29.42578125" bestFit="1" customWidth="1"/>
    <col min="13340" max="13340" width="11.5703125" bestFit="1" customWidth="1"/>
    <col min="13341" max="13341" width="9.28515625" bestFit="1" customWidth="1"/>
    <col min="13342" max="13342" width="11.5703125" bestFit="1" customWidth="1"/>
    <col min="13343" max="13343" width="9.28515625" bestFit="1" customWidth="1"/>
    <col min="13344" max="13344" width="11.5703125" bestFit="1" customWidth="1"/>
    <col min="13345" max="13345" width="9.28515625" bestFit="1" customWidth="1"/>
    <col min="13346" max="13346" width="11.5703125" bestFit="1" customWidth="1"/>
    <col min="13347" max="13347" width="9.28515625" bestFit="1" customWidth="1"/>
    <col min="13348" max="13348" width="11.5703125" bestFit="1" customWidth="1"/>
    <col min="13349" max="13349" width="9.28515625" bestFit="1" customWidth="1"/>
    <col min="13350" max="13350" width="11.5703125" bestFit="1" customWidth="1"/>
    <col min="13351" max="13351" width="9.28515625" bestFit="1" customWidth="1"/>
    <col min="13352" max="13352" width="11.5703125" bestFit="1" customWidth="1"/>
    <col min="13353" max="13353" width="9.28515625" bestFit="1" customWidth="1"/>
    <col min="13354" max="13354" width="11.5703125" bestFit="1" customWidth="1"/>
    <col min="13355" max="13355" width="9.28515625" bestFit="1" customWidth="1"/>
    <col min="13356" max="13356" width="11.5703125" bestFit="1" customWidth="1"/>
    <col min="13357" max="13357" width="9.28515625" bestFit="1" customWidth="1"/>
    <col min="13358" max="13358" width="11.5703125" bestFit="1" customWidth="1"/>
    <col min="13359" max="13359" width="9.28515625" bestFit="1" customWidth="1"/>
    <col min="13360" max="13360" width="11.5703125" bestFit="1" customWidth="1"/>
    <col min="13361" max="13361" width="9.28515625" bestFit="1" customWidth="1"/>
    <col min="13362" max="13362" width="11.5703125" bestFit="1" customWidth="1"/>
    <col min="13363" max="13363" width="9.28515625" bestFit="1" customWidth="1"/>
    <col min="13364" max="13364" width="11.5703125" bestFit="1" customWidth="1"/>
    <col min="13365" max="13365" width="9.28515625" bestFit="1" customWidth="1"/>
    <col min="13366" max="13366" width="11.5703125" bestFit="1" customWidth="1"/>
    <col min="13367" max="13367" width="9.28515625" bestFit="1" customWidth="1"/>
    <col min="13368" max="13368" width="11.5703125" bestFit="1" customWidth="1"/>
    <col min="13369" max="13369" width="9.28515625" bestFit="1" customWidth="1"/>
    <col min="13370" max="13370" width="11.5703125" bestFit="1" customWidth="1"/>
    <col min="13371" max="13371" width="9.28515625" bestFit="1" customWidth="1"/>
    <col min="13372" max="13372" width="11.5703125" bestFit="1" customWidth="1"/>
    <col min="13373" max="13373" width="9.28515625" bestFit="1" customWidth="1"/>
    <col min="13374" max="13374" width="11.5703125" bestFit="1" customWidth="1"/>
    <col min="13375" max="13375" width="9.28515625" bestFit="1" customWidth="1"/>
    <col min="13376" max="13376" width="11.5703125" bestFit="1" customWidth="1"/>
    <col min="13377" max="13377" width="9.28515625" bestFit="1" customWidth="1"/>
    <col min="13378" max="13378" width="11.5703125" bestFit="1" customWidth="1"/>
    <col min="13379" max="13379" width="9.28515625" bestFit="1" customWidth="1"/>
    <col min="13380" max="13380" width="11.5703125" bestFit="1" customWidth="1"/>
    <col min="13381" max="13381" width="9.28515625" bestFit="1" customWidth="1"/>
    <col min="13382" max="13382" width="11.5703125" bestFit="1" customWidth="1"/>
    <col min="13383" max="13383" width="9.28515625" bestFit="1" customWidth="1"/>
    <col min="13384" max="13384" width="11.5703125" bestFit="1" customWidth="1"/>
    <col min="13385" max="13385" width="9.28515625" bestFit="1" customWidth="1"/>
    <col min="13386" max="13386" width="11.5703125" bestFit="1" customWidth="1"/>
    <col min="13387" max="13387" width="9.28515625" bestFit="1" customWidth="1"/>
    <col min="13595" max="13595" width="29.42578125" bestFit="1" customWidth="1"/>
    <col min="13596" max="13596" width="11.5703125" bestFit="1" customWidth="1"/>
    <col min="13597" max="13597" width="9.28515625" bestFit="1" customWidth="1"/>
    <col min="13598" max="13598" width="11.5703125" bestFit="1" customWidth="1"/>
    <col min="13599" max="13599" width="9.28515625" bestFit="1" customWidth="1"/>
    <col min="13600" max="13600" width="11.5703125" bestFit="1" customWidth="1"/>
    <col min="13601" max="13601" width="9.28515625" bestFit="1" customWidth="1"/>
    <col min="13602" max="13602" width="11.5703125" bestFit="1" customWidth="1"/>
    <col min="13603" max="13603" width="9.28515625" bestFit="1" customWidth="1"/>
    <col min="13604" max="13604" width="11.5703125" bestFit="1" customWidth="1"/>
    <col min="13605" max="13605" width="9.28515625" bestFit="1" customWidth="1"/>
    <col min="13606" max="13606" width="11.5703125" bestFit="1" customWidth="1"/>
    <col min="13607" max="13607" width="9.28515625" bestFit="1" customWidth="1"/>
    <col min="13608" max="13608" width="11.5703125" bestFit="1" customWidth="1"/>
    <col min="13609" max="13609" width="9.28515625" bestFit="1" customWidth="1"/>
    <col min="13610" max="13610" width="11.5703125" bestFit="1" customWidth="1"/>
    <col min="13611" max="13611" width="9.28515625" bestFit="1" customWidth="1"/>
    <col min="13612" max="13612" width="11.5703125" bestFit="1" customWidth="1"/>
    <col min="13613" max="13613" width="9.28515625" bestFit="1" customWidth="1"/>
    <col min="13614" max="13614" width="11.5703125" bestFit="1" customWidth="1"/>
    <col min="13615" max="13615" width="9.28515625" bestFit="1" customWidth="1"/>
    <col min="13616" max="13616" width="11.5703125" bestFit="1" customWidth="1"/>
    <col min="13617" max="13617" width="9.28515625" bestFit="1" customWidth="1"/>
    <col min="13618" max="13618" width="11.5703125" bestFit="1" customWidth="1"/>
    <col min="13619" max="13619" width="9.28515625" bestFit="1" customWidth="1"/>
    <col min="13620" max="13620" width="11.5703125" bestFit="1" customWidth="1"/>
    <col min="13621" max="13621" width="9.28515625" bestFit="1" customWidth="1"/>
    <col min="13622" max="13622" width="11.5703125" bestFit="1" customWidth="1"/>
    <col min="13623" max="13623" width="9.28515625" bestFit="1" customWidth="1"/>
    <col min="13624" max="13624" width="11.5703125" bestFit="1" customWidth="1"/>
    <col min="13625" max="13625" width="9.28515625" bestFit="1" customWidth="1"/>
    <col min="13626" max="13626" width="11.5703125" bestFit="1" customWidth="1"/>
    <col min="13627" max="13627" width="9.28515625" bestFit="1" customWidth="1"/>
    <col min="13628" max="13628" width="11.5703125" bestFit="1" customWidth="1"/>
    <col min="13629" max="13629" width="9.28515625" bestFit="1" customWidth="1"/>
    <col min="13630" max="13630" width="11.5703125" bestFit="1" customWidth="1"/>
    <col min="13631" max="13631" width="9.28515625" bestFit="1" customWidth="1"/>
    <col min="13632" max="13632" width="11.5703125" bestFit="1" customWidth="1"/>
    <col min="13633" max="13633" width="9.28515625" bestFit="1" customWidth="1"/>
    <col min="13634" max="13634" width="11.5703125" bestFit="1" customWidth="1"/>
    <col min="13635" max="13635" width="9.28515625" bestFit="1" customWidth="1"/>
    <col min="13636" max="13636" width="11.5703125" bestFit="1" customWidth="1"/>
    <col min="13637" max="13637" width="9.28515625" bestFit="1" customWidth="1"/>
    <col min="13638" max="13638" width="11.5703125" bestFit="1" customWidth="1"/>
    <col min="13639" max="13639" width="9.28515625" bestFit="1" customWidth="1"/>
    <col min="13640" max="13640" width="11.5703125" bestFit="1" customWidth="1"/>
    <col min="13641" max="13641" width="9.28515625" bestFit="1" customWidth="1"/>
    <col min="13642" max="13642" width="11.5703125" bestFit="1" customWidth="1"/>
    <col min="13643" max="13643" width="9.28515625" bestFit="1" customWidth="1"/>
    <col min="13851" max="13851" width="29.42578125" bestFit="1" customWidth="1"/>
    <col min="13852" max="13852" width="11.5703125" bestFit="1" customWidth="1"/>
    <col min="13853" max="13853" width="9.28515625" bestFit="1" customWidth="1"/>
    <col min="13854" max="13854" width="11.5703125" bestFit="1" customWidth="1"/>
    <col min="13855" max="13855" width="9.28515625" bestFit="1" customWidth="1"/>
    <col min="13856" max="13856" width="11.5703125" bestFit="1" customWidth="1"/>
    <col min="13857" max="13857" width="9.28515625" bestFit="1" customWidth="1"/>
    <col min="13858" max="13858" width="11.5703125" bestFit="1" customWidth="1"/>
    <col min="13859" max="13859" width="9.28515625" bestFit="1" customWidth="1"/>
    <col min="13860" max="13860" width="11.5703125" bestFit="1" customWidth="1"/>
    <col min="13861" max="13861" width="9.28515625" bestFit="1" customWidth="1"/>
    <col min="13862" max="13862" width="11.5703125" bestFit="1" customWidth="1"/>
    <col min="13863" max="13863" width="9.28515625" bestFit="1" customWidth="1"/>
    <col min="13864" max="13864" width="11.5703125" bestFit="1" customWidth="1"/>
    <col min="13865" max="13865" width="9.28515625" bestFit="1" customWidth="1"/>
    <col min="13866" max="13866" width="11.5703125" bestFit="1" customWidth="1"/>
    <col min="13867" max="13867" width="9.28515625" bestFit="1" customWidth="1"/>
    <col min="13868" max="13868" width="11.5703125" bestFit="1" customWidth="1"/>
    <col min="13869" max="13869" width="9.28515625" bestFit="1" customWidth="1"/>
    <col min="13870" max="13870" width="11.5703125" bestFit="1" customWidth="1"/>
    <col min="13871" max="13871" width="9.28515625" bestFit="1" customWidth="1"/>
    <col min="13872" max="13872" width="11.5703125" bestFit="1" customWidth="1"/>
    <col min="13873" max="13873" width="9.28515625" bestFit="1" customWidth="1"/>
    <col min="13874" max="13874" width="11.5703125" bestFit="1" customWidth="1"/>
    <col min="13875" max="13875" width="9.28515625" bestFit="1" customWidth="1"/>
    <col min="13876" max="13876" width="11.5703125" bestFit="1" customWidth="1"/>
    <col min="13877" max="13877" width="9.28515625" bestFit="1" customWidth="1"/>
    <col min="13878" max="13878" width="11.5703125" bestFit="1" customWidth="1"/>
    <col min="13879" max="13879" width="9.28515625" bestFit="1" customWidth="1"/>
    <col min="13880" max="13880" width="11.5703125" bestFit="1" customWidth="1"/>
    <col min="13881" max="13881" width="9.28515625" bestFit="1" customWidth="1"/>
    <col min="13882" max="13882" width="11.5703125" bestFit="1" customWidth="1"/>
    <col min="13883" max="13883" width="9.28515625" bestFit="1" customWidth="1"/>
    <col min="13884" max="13884" width="11.5703125" bestFit="1" customWidth="1"/>
    <col min="13885" max="13885" width="9.28515625" bestFit="1" customWidth="1"/>
    <col min="13886" max="13886" width="11.5703125" bestFit="1" customWidth="1"/>
    <col min="13887" max="13887" width="9.28515625" bestFit="1" customWidth="1"/>
    <col min="13888" max="13888" width="11.5703125" bestFit="1" customWidth="1"/>
    <col min="13889" max="13889" width="9.28515625" bestFit="1" customWidth="1"/>
    <col min="13890" max="13890" width="11.5703125" bestFit="1" customWidth="1"/>
    <col min="13891" max="13891" width="9.28515625" bestFit="1" customWidth="1"/>
    <col min="13892" max="13892" width="11.5703125" bestFit="1" customWidth="1"/>
    <col min="13893" max="13893" width="9.28515625" bestFit="1" customWidth="1"/>
    <col min="13894" max="13894" width="11.5703125" bestFit="1" customWidth="1"/>
    <col min="13895" max="13895" width="9.28515625" bestFit="1" customWidth="1"/>
    <col min="13896" max="13896" width="11.5703125" bestFit="1" customWidth="1"/>
    <col min="13897" max="13897" width="9.28515625" bestFit="1" customWidth="1"/>
    <col min="13898" max="13898" width="11.5703125" bestFit="1" customWidth="1"/>
    <col min="13899" max="13899" width="9.28515625" bestFit="1" customWidth="1"/>
    <col min="14107" max="14107" width="29.42578125" bestFit="1" customWidth="1"/>
    <col min="14108" max="14108" width="11.5703125" bestFit="1" customWidth="1"/>
    <col min="14109" max="14109" width="9.28515625" bestFit="1" customWidth="1"/>
    <col min="14110" max="14110" width="11.5703125" bestFit="1" customWidth="1"/>
    <col min="14111" max="14111" width="9.28515625" bestFit="1" customWidth="1"/>
    <col min="14112" max="14112" width="11.5703125" bestFit="1" customWidth="1"/>
    <col min="14113" max="14113" width="9.28515625" bestFit="1" customWidth="1"/>
    <col min="14114" max="14114" width="11.5703125" bestFit="1" customWidth="1"/>
    <col min="14115" max="14115" width="9.28515625" bestFit="1" customWidth="1"/>
    <col min="14116" max="14116" width="11.5703125" bestFit="1" customWidth="1"/>
    <col min="14117" max="14117" width="9.28515625" bestFit="1" customWidth="1"/>
    <col min="14118" max="14118" width="11.5703125" bestFit="1" customWidth="1"/>
    <col min="14119" max="14119" width="9.28515625" bestFit="1" customWidth="1"/>
    <col min="14120" max="14120" width="11.5703125" bestFit="1" customWidth="1"/>
    <col min="14121" max="14121" width="9.28515625" bestFit="1" customWidth="1"/>
    <col min="14122" max="14122" width="11.5703125" bestFit="1" customWidth="1"/>
    <col min="14123" max="14123" width="9.28515625" bestFit="1" customWidth="1"/>
    <col min="14124" max="14124" width="11.5703125" bestFit="1" customWidth="1"/>
    <col min="14125" max="14125" width="9.28515625" bestFit="1" customWidth="1"/>
    <col min="14126" max="14126" width="11.5703125" bestFit="1" customWidth="1"/>
    <col min="14127" max="14127" width="9.28515625" bestFit="1" customWidth="1"/>
    <col min="14128" max="14128" width="11.5703125" bestFit="1" customWidth="1"/>
    <col min="14129" max="14129" width="9.28515625" bestFit="1" customWidth="1"/>
    <col min="14130" max="14130" width="11.5703125" bestFit="1" customWidth="1"/>
    <col min="14131" max="14131" width="9.28515625" bestFit="1" customWidth="1"/>
    <col min="14132" max="14132" width="11.5703125" bestFit="1" customWidth="1"/>
    <col min="14133" max="14133" width="9.28515625" bestFit="1" customWidth="1"/>
    <col min="14134" max="14134" width="11.5703125" bestFit="1" customWidth="1"/>
    <col min="14135" max="14135" width="9.28515625" bestFit="1" customWidth="1"/>
    <col min="14136" max="14136" width="11.5703125" bestFit="1" customWidth="1"/>
    <col min="14137" max="14137" width="9.28515625" bestFit="1" customWidth="1"/>
    <col min="14138" max="14138" width="11.5703125" bestFit="1" customWidth="1"/>
    <col min="14139" max="14139" width="9.28515625" bestFit="1" customWidth="1"/>
    <col min="14140" max="14140" width="11.5703125" bestFit="1" customWidth="1"/>
    <col min="14141" max="14141" width="9.28515625" bestFit="1" customWidth="1"/>
    <col min="14142" max="14142" width="11.5703125" bestFit="1" customWidth="1"/>
    <col min="14143" max="14143" width="9.28515625" bestFit="1" customWidth="1"/>
    <col min="14144" max="14144" width="11.5703125" bestFit="1" customWidth="1"/>
    <col min="14145" max="14145" width="9.28515625" bestFit="1" customWidth="1"/>
    <col min="14146" max="14146" width="11.5703125" bestFit="1" customWidth="1"/>
    <col min="14147" max="14147" width="9.28515625" bestFit="1" customWidth="1"/>
    <col min="14148" max="14148" width="11.5703125" bestFit="1" customWidth="1"/>
    <col min="14149" max="14149" width="9.28515625" bestFit="1" customWidth="1"/>
    <col min="14150" max="14150" width="11.5703125" bestFit="1" customWidth="1"/>
    <col min="14151" max="14151" width="9.28515625" bestFit="1" customWidth="1"/>
    <col min="14152" max="14152" width="11.5703125" bestFit="1" customWidth="1"/>
    <col min="14153" max="14153" width="9.28515625" bestFit="1" customWidth="1"/>
    <col min="14154" max="14154" width="11.5703125" bestFit="1" customWidth="1"/>
    <col min="14155" max="14155" width="9.28515625" bestFit="1" customWidth="1"/>
    <col min="14363" max="14363" width="29.42578125" bestFit="1" customWidth="1"/>
    <col min="14364" max="14364" width="11.5703125" bestFit="1" customWidth="1"/>
    <col min="14365" max="14365" width="9.28515625" bestFit="1" customWidth="1"/>
    <col min="14366" max="14366" width="11.5703125" bestFit="1" customWidth="1"/>
    <col min="14367" max="14367" width="9.28515625" bestFit="1" customWidth="1"/>
    <col min="14368" max="14368" width="11.5703125" bestFit="1" customWidth="1"/>
    <col min="14369" max="14369" width="9.28515625" bestFit="1" customWidth="1"/>
    <col min="14370" max="14370" width="11.5703125" bestFit="1" customWidth="1"/>
    <col min="14371" max="14371" width="9.28515625" bestFit="1" customWidth="1"/>
    <col min="14372" max="14372" width="11.5703125" bestFit="1" customWidth="1"/>
    <col min="14373" max="14373" width="9.28515625" bestFit="1" customWidth="1"/>
    <col min="14374" max="14374" width="11.5703125" bestFit="1" customWidth="1"/>
    <col min="14375" max="14375" width="9.28515625" bestFit="1" customWidth="1"/>
    <col min="14376" max="14376" width="11.5703125" bestFit="1" customWidth="1"/>
    <col min="14377" max="14377" width="9.28515625" bestFit="1" customWidth="1"/>
    <col min="14378" max="14378" width="11.5703125" bestFit="1" customWidth="1"/>
    <col min="14379" max="14379" width="9.28515625" bestFit="1" customWidth="1"/>
    <col min="14380" max="14380" width="11.5703125" bestFit="1" customWidth="1"/>
    <col min="14381" max="14381" width="9.28515625" bestFit="1" customWidth="1"/>
    <col min="14382" max="14382" width="11.5703125" bestFit="1" customWidth="1"/>
    <col min="14383" max="14383" width="9.28515625" bestFit="1" customWidth="1"/>
    <col min="14384" max="14384" width="11.5703125" bestFit="1" customWidth="1"/>
    <col min="14385" max="14385" width="9.28515625" bestFit="1" customWidth="1"/>
    <col min="14386" max="14386" width="11.5703125" bestFit="1" customWidth="1"/>
    <col min="14387" max="14387" width="9.28515625" bestFit="1" customWidth="1"/>
    <col min="14388" max="14388" width="11.5703125" bestFit="1" customWidth="1"/>
    <col min="14389" max="14389" width="9.28515625" bestFit="1" customWidth="1"/>
    <col min="14390" max="14390" width="11.5703125" bestFit="1" customWidth="1"/>
    <col min="14391" max="14391" width="9.28515625" bestFit="1" customWidth="1"/>
    <col min="14392" max="14392" width="11.5703125" bestFit="1" customWidth="1"/>
    <col min="14393" max="14393" width="9.28515625" bestFit="1" customWidth="1"/>
    <col min="14394" max="14394" width="11.5703125" bestFit="1" customWidth="1"/>
    <col min="14395" max="14395" width="9.28515625" bestFit="1" customWidth="1"/>
    <col min="14396" max="14396" width="11.5703125" bestFit="1" customWidth="1"/>
    <col min="14397" max="14397" width="9.28515625" bestFit="1" customWidth="1"/>
    <col min="14398" max="14398" width="11.5703125" bestFit="1" customWidth="1"/>
    <col min="14399" max="14399" width="9.28515625" bestFit="1" customWidth="1"/>
    <col min="14400" max="14400" width="11.5703125" bestFit="1" customWidth="1"/>
    <col min="14401" max="14401" width="9.28515625" bestFit="1" customWidth="1"/>
    <col min="14402" max="14402" width="11.5703125" bestFit="1" customWidth="1"/>
    <col min="14403" max="14403" width="9.28515625" bestFit="1" customWidth="1"/>
    <col min="14404" max="14404" width="11.5703125" bestFit="1" customWidth="1"/>
    <col min="14405" max="14405" width="9.28515625" bestFit="1" customWidth="1"/>
    <col min="14406" max="14406" width="11.5703125" bestFit="1" customWidth="1"/>
    <col min="14407" max="14407" width="9.28515625" bestFit="1" customWidth="1"/>
    <col min="14408" max="14408" width="11.5703125" bestFit="1" customWidth="1"/>
    <col min="14409" max="14409" width="9.28515625" bestFit="1" customWidth="1"/>
    <col min="14410" max="14410" width="11.5703125" bestFit="1" customWidth="1"/>
    <col min="14411" max="14411" width="9.28515625" bestFit="1" customWidth="1"/>
    <col min="14619" max="14619" width="29.42578125" bestFit="1" customWidth="1"/>
    <col min="14620" max="14620" width="11.5703125" bestFit="1" customWidth="1"/>
    <col min="14621" max="14621" width="9.28515625" bestFit="1" customWidth="1"/>
    <col min="14622" max="14622" width="11.5703125" bestFit="1" customWidth="1"/>
    <col min="14623" max="14623" width="9.28515625" bestFit="1" customWidth="1"/>
    <col min="14624" max="14624" width="11.5703125" bestFit="1" customWidth="1"/>
    <col min="14625" max="14625" width="9.28515625" bestFit="1" customWidth="1"/>
    <col min="14626" max="14626" width="11.5703125" bestFit="1" customWidth="1"/>
    <col min="14627" max="14627" width="9.28515625" bestFit="1" customWidth="1"/>
    <col min="14628" max="14628" width="11.5703125" bestFit="1" customWidth="1"/>
    <col min="14629" max="14629" width="9.28515625" bestFit="1" customWidth="1"/>
    <col min="14630" max="14630" width="11.5703125" bestFit="1" customWidth="1"/>
    <col min="14631" max="14631" width="9.28515625" bestFit="1" customWidth="1"/>
    <col min="14632" max="14632" width="11.5703125" bestFit="1" customWidth="1"/>
    <col min="14633" max="14633" width="9.28515625" bestFit="1" customWidth="1"/>
    <col min="14634" max="14634" width="11.5703125" bestFit="1" customWidth="1"/>
    <col min="14635" max="14635" width="9.28515625" bestFit="1" customWidth="1"/>
    <col min="14636" max="14636" width="11.5703125" bestFit="1" customWidth="1"/>
    <col min="14637" max="14637" width="9.28515625" bestFit="1" customWidth="1"/>
    <col min="14638" max="14638" width="11.5703125" bestFit="1" customWidth="1"/>
    <col min="14639" max="14639" width="9.28515625" bestFit="1" customWidth="1"/>
    <col min="14640" max="14640" width="11.5703125" bestFit="1" customWidth="1"/>
    <col min="14641" max="14641" width="9.28515625" bestFit="1" customWidth="1"/>
    <col min="14642" max="14642" width="11.5703125" bestFit="1" customWidth="1"/>
    <col min="14643" max="14643" width="9.28515625" bestFit="1" customWidth="1"/>
    <col min="14644" max="14644" width="11.5703125" bestFit="1" customWidth="1"/>
    <col min="14645" max="14645" width="9.28515625" bestFit="1" customWidth="1"/>
    <col min="14646" max="14646" width="11.5703125" bestFit="1" customWidth="1"/>
    <col min="14647" max="14647" width="9.28515625" bestFit="1" customWidth="1"/>
    <col min="14648" max="14648" width="11.5703125" bestFit="1" customWidth="1"/>
    <col min="14649" max="14649" width="9.28515625" bestFit="1" customWidth="1"/>
    <col min="14650" max="14650" width="11.5703125" bestFit="1" customWidth="1"/>
    <col min="14651" max="14651" width="9.28515625" bestFit="1" customWidth="1"/>
    <col min="14652" max="14652" width="11.5703125" bestFit="1" customWidth="1"/>
    <col min="14653" max="14653" width="9.28515625" bestFit="1" customWidth="1"/>
    <col min="14654" max="14654" width="11.5703125" bestFit="1" customWidth="1"/>
    <col min="14655" max="14655" width="9.28515625" bestFit="1" customWidth="1"/>
    <col min="14656" max="14656" width="11.5703125" bestFit="1" customWidth="1"/>
    <col min="14657" max="14657" width="9.28515625" bestFit="1" customWidth="1"/>
    <col min="14658" max="14658" width="11.5703125" bestFit="1" customWidth="1"/>
    <col min="14659" max="14659" width="9.28515625" bestFit="1" customWidth="1"/>
    <col min="14660" max="14660" width="11.5703125" bestFit="1" customWidth="1"/>
    <col min="14661" max="14661" width="9.28515625" bestFit="1" customWidth="1"/>
    <col min="14662" max="14662" width="11.5703125" bestFit="1" customWidth="1"/>
    <col min="14663" max="14663" width="9.28515625" bestFit="1" customWidth="1"/>
    <col min="14664" max="14664" width="11.5703125" bestFit="1" customWidth="1"/>
    <col min="14665" max="14665" width="9.28515625" bestFit="1" customWidth="1"/>
    <col min="14666" max="14666" width="11.5703125" bestFit="1" customWidth="1"/>
    <col min="14667" max="14667" width="9.28515625" bestFit="1" customWidth="1"/>
    <col min="14875" max="14875" width="29.42578125" bestFit="1" customWidth="1"/>
    <col min="14876" max="14876" width="11.5703125" bestFit="1" customWidth="1"/>
    <col min="14877" max="14877" width="9.28515625" bestFit="1" customWidth="1"/>
    <col min="14878" max="14878" width="11.5703125" bestFit="1" customWidth="1"/>
    <col min="14879" max="14879" width="9.28515625" bestFit="1" customWidth="1"/>
    <col min="14880" max="14880" width="11.5703125" bestFit="1" customWidth="1"/>
    <col min="14881" max="14881" width="9.28515625" bestFit="1" customWidth="1"/>
    <col min="14882" max="14882" width="11.5703125" bestFit="1" customWidth="1"/>
    <col min="14883" max="14883" width="9.28515625" bestFit="1" customWidth="1"/>
    <col min="14884" max="14884" width="11.5703125" bestFit="1" customWidth="1"/>
    <col min="14885" max="14885" width="9.28515625" bestFit="1" customWidth="1"/>
    <col min="14886" max="14886" width="11.5703125" bestFit="1" customWidth="1"/>
    <col min="14887" max="14887" width="9.28515625" bestFit="1" customWidth="1"/>
    <col min="14888" max="14888" width="11.5703125" bestFit="1" customWidth="1"/>
    <col min="14889" max="14889" width="9.28515625" bestFit="1" customWidth="1"/>
    <col min="14890" max="14890" width="11.5703125" bestFit="1" customWidth="1"/>
    <col min="14891" max="14891" width="9.28515625" bestFit="1" customWidth="1"/>
    <col min="14892" max="14892" width="11.5703125" bestFit="1" customWidth="1"/>
    <col min="14893" max="14893" width="9.28515625" bestFit="1" customWidth="1"/>
    <col min="14894" max="14894" width="11.5703125" bestFit="1" customWidth="1"/>
    <col min="14895" max="14895" width="9.28515625" bestFit="1" customWidth="1"/>
    <col min="14896" max="14896" width="11.5703125" bestFit="1" customWidth="1"/>
    <col min="14897" max="14897" width="9.28515625" bestFit="1" customWidth="1"/>
    <col min="14898" max="14898" width="11.5703125" bestFit="1" customWidth="1"/>
    <col min="14899" max="14899" width="9.28515625" bestFit="1" customWidth="1"/>
    <col min="14900" max="14900" width="11.5703125" bestFit="1" customWidth="1"/>
    <col min="14901" max="14901" width="9.28515625" bestFit="1" customWidth="1"/>
    <col min="14902" max="14902" width="11.5703125" bestFit="1" customWidth="1"/>
    <col min="14903" max="14903" width="9.28515625" bestFit="1" customWidth="1"/>
    <col min="14904" max="14904" width="11.5703125" bestFit="1" customWidth="1"/>
    <col min="14905" max="14905" width="9.28515625" bestFit="1" customWidth="1"/>
    <col min="14906" max="14906" width="11.5703125" bestFit="1" customWidth="1"/>
    <col min="14907" max="14907" width="9.28515625" bestFit="1" customWidth="1"/>
    <col min="14908" max="14908" width="11.5703125" bestFit="1" customWidth="1"/>
    <col min="14909" max="14909" width="9.28515625" bestFit="1" customWidth="1"/>
    <col min="14910" max="14910" width="11.5703125" bestFit="1" customWidth="1"/>
    <col min="14911" max="14911" width="9.28515625" bestFit="1" customWidth="1"/>
    <col min="14912" max="14912" width="11.5703125" bestFit="1" customWidth="1"/>
    <col min="14913" max="14913" width="9.28515625" bestFit="1" customWidth="1"/>
    <col min="14914" max="14914" width="11.5703125" bestFit="1" customWidth="1"/>
    <col min="14915" max="14915" width="9.28515625" bestFit="1" customWidth="1"/>
    <col min="14916" max="14916" width="11.5703125" bestFit="1" customWidth="1"/>
    <col min="14917" max="14917" width="9.28515625" bestFit="1" customWidth="1"/>
    <col min="14918" max="14918" width="11.5703125" bestFit="1" customWidth="1"/>
    <col min="14919" max="14919" width="9.28515625" bestFit="1" customWidth="1"/>
    <col min="14920" max="14920" width="11.5703125" bestFit="1" customWidth="1"/>
    <col min="14921" max="14921" width="9.28515625" bestFit="1" customWidth="1"/>
    <col min="14922" max="14922" width="11.5703125" bestFit="1" customWidth="1"/>
    <col min="14923" max="14923" width="9.28515625" bestFit="1" customWidth="1"/>
    <col min="15131" max="15131" width="29.42578125" bestFit="1" customWidth="1"/>
    <col min="15132" max="15132" width="11.5703125" bestFit="1" customWidth="1"/>
    <col min="15133" max="15133" width="9.28515625" bestFit="1" customWidth="1"/>
    <col min="15134" max="15134" width="11.5703125" bestFit="1" customWidth="1"/>
    <col min="15135" max="15135" width="9.28515625" bestFit="1" customWidth="1"/>
    <col min="15136" max="15136" width="11.5703125" bestFit="1" customWidth="1"/>
    <col min="15137" max="15137" width="9.28515625" bestFit="1" customWidth="1"/>
    <col min="15138" max="15138" width="11.5703125" bestFit="1" customWidth="1"/>
    <col min="15139" max="15139" width="9.28515625" bestFit="1" customWidth="1"/>
    <col min="15140" max="15140" width="11.5703125" bestFit="1" customWidth="1"/>
    <col min="15141" max="15141" width="9.28515625" bestFit="1" customWidth="1"/>
    <col min="15142" max="15142" width="11.5703125" bestFit="1" customWidth="1"/>
    <col min="15143" max="15143" width="9.28515625" bestFit="1" customWidth="1"/>
    <col min="15144" max="15144" width="11.5703125" bestFit="1" customWidth="1"/>
    <col min="15145" max="15145" width="9.28515625" bestFit="1" customWidth="1"/>
    <col min="15146" max="15146" width="11.5703125" bestFit="1" customWidth="1"/>
    <col min="15147" max="15147" width="9.28515625" bestFit="1" customWidth="1"/>
    <col min="15148" max="15148" width="11.5703125" bestFit="1" customWidth="1"/>
    <col min="15149" max="15149" width="9.28515625" bestFit="1" customWidth="1"/>
    <col min="15150" max="15150" width="11.5703125" bestFit="1" customWidth="1"/>
    <col min="15151" max="15151" width="9.28515625" bestFit="1" customWidth="1"/>
    <col min="15152" max="15152" width="11.5703125" bestFit="1" customWidth="1"/>
    <col min="15153" max="15153" width="9.28515625" bestFit="1" customWidth="1"/>
    <col min="15154" max="15154" width="11.5703125" bestFit="1" customWidth="1"/>
    <col min="15155" max="15155" width="9.28515625" bestFit="1" customWidth="1"/>
    <col min="15156" max="15156" width="11.5703125" bestFit="1" customWidth="1"/>
    <col min="15157" max="15157" width="9.28515625" bestFit="1" customWidth="1"/>
    <col min="15158" max="15158" width="11.5703125" bestFit="1" customWidth="1"/>
    <col min="15159" max="15159" width="9.28515625" bestFit="1" customWidth="1"/>
    <col min="15160" max="15160" width="11.5703125" bestFit="1" customWidth="1"/>
    <col min="15161" max="15161" width="9.28515625" bestFit="1" customWidth="1"/>
    <col min="15162" max="15162" width="11.5703125" bestFit="1" customWidth="1"/>
    <col min="15163" max="15163" width="9.28515625" bestFit="1" customWidth="1"/>
    <col min="15164" max="15164" width="11.5703125" bestFit="1" customWidth="1"/>
    <col min="15165" max="15165" width="9.28515625" bestFit="1" customWidth="1"/>
    <col min="15166" max="15166" width="11.5703125" bestFit="1" customWidth="1"/>
    <col min="15167" max="15167" width="9.28515625" bestFit="1" customWidth="1"/>
    <col min="15168" max="15168" width="11.5703125" bestFit="1" customWidth="1"/>
    <col min="15169" max="15169" width="9.28515625" bestFit="1" customWidth="1"/>
    <col min="15170" max="15170" width="11.5703125" bestFit="1" customWidth="1"/>
    <col min="15171" max="15171" width="9.28515625" bestFit="1" customWidth="1"/>
    <col min="15172" max="15172" width="11.5703125" bestFit="1" customWidth="1"/>
    <col min="15173" max="15173" width="9.28515625" bestFit="1" customWidth="1"/>
    <col min="15174" max="15174" width="11.5703125" bestFit="1" customWidth="1"/>
    <col min="15175" max="15175" width="9.28515625" bestFit="1" customWidth="1"/>
    <col min="15176" max="15176" width="11.5703125" bestFit="1" customWidth="1"/>
    <col min="15177" max="15177" width="9.28515625" bestFit="1" customWidth="1"/>
    <col min="15178" max="15178" width="11.5703125" bestFit="1" customWidth="1"/>
    <col min="15179" max="15179" width="9.28515625" bestFit="1" customWidth="1"/>
    <col min="15387" max="15387" width="29.42578125" bestFit="1" customWidth="1"/>
    <col min="15388" max="15388" width="11.5703125" bestFit="1" customWidth="1"/>
    <col min="15389" max="15389" width="9.28515625" bestFit="1" customWidth="1"/>
    <col min="15390" max="15390" width="11.5703125" bestFit="1" customWidth="1"/>
    <col min="15391" max="15391" width="9.28515625" bestFit="1" customWidth="1"/>
    <col min="15392" max="15392" width="11.5703125" bestFit="1" customWidth="1"/>
    <col min="15393" max="15393" width="9.28515625" bestFit="1" customWidth="1"/>
    <col min="15394" max="15394" width="11.5703125" bestFit="1" customWidth="1"/>
    <col min="15395" max="15395" width="9.28515625" bestFit="1" customWidth="1"/>
    <col min="15396" max="15396" width="11.5703125" bestFit="1" customWidth="1"/>
    <col min="15397" max="15397" width="9.28515625" bestFit="1" customWidth="1"/>
    <col min="15398" max="15398" width="11.5703125" bestFit="1" customWidth="1"/>
    <col min="15399" max="15399" width="9.28515625" bestFit="1" customWidth="1"/>
    <col min="15400" max="15400" width="11.5703125" bestFit="1" customWidth="1"/>
    <col min="15401" max="15401" width="9.28515625" bestFit="1" customWidth="1"/>
    <col min="15402" max="15402" width="11.5703125" bestFit="1" customWidth="1"/>
    <col min="15403" max="15403" width="9.28515625" bestFit="1" customWidth="1"/>
    <col min="15404" max="15404" width="11.5703125" bestFit="1" customWidth="1"/>
    <col min="15405" max="15405" width="9.28515625" bestFit="1" customWidth="1"/>
    <col min="15406" max="15406" width="11.5703125" bestFit="1" customWidth="1"/>
    <col min="15407" max="15407" width="9.28515625" bestFit="1" customWidth="1"/>
    <col min="15408" max="15408" width="11.5703125" bestFit="1" customWidth="1"/>
    <col min="15409" max="15409" width="9.28515625" bestFit="1" customWidth="1"/>
    <col min="15410" max="15410" width="11.5703125" bestFit="1" customWidth="1"/>
    <col min="15411" max="15411" width="9.28515625" bestFit="1" customWidth="1"/>
    <col min="15412" max="15412" width="11.5703125" bestFit="1" customWidth="1"/>
    <col min="15413" max="15413" width="9.28515625" bestFit="1" customWidth="1"/>
    <col min="15414" max="15414" width="11.5703125" bestFit="1" customWidth="1"/>
    <col min="15415" max="15415" width="9.28515625" bestFit="1" customWidth="1"/>
    <col min="15416" max="15416" width="11.5703125" bestFit="1" customWidth="1"/>
    <col min="15417" max="15417" width="9.28515625" bestFit="1" customWidth="1"/>
    <col min="15418" max="15418" width="11.5703125" bestFit="1" customWidth="1"/>
    <col min="15419" max="15419" width="9.28515625" bestFit="1" customWidth="1"/>
    <col min="15420" max="15420" width="11.5703125" bestFit="1" customWidth="1"/>
    <col min="15421" max="15421" width="9.28515625" bestFit="1" customWidth="1"/>
    <col min="15422" max="15422" width="11.5703125" bestFit="1" customWidth="1"/>
    <col min="15423" max="15423" width="9.28515625" bestFit="1" customWidth="1"/>
    <col min="15424" max="15424" width="11.5703125" bestFit="1" customWidth="1"/>
    <col min="15425" max="15425" width="9.28515625" bestFit="1" customWidth="1"/>
    <col min="15426" max="15426" width="11.5703125" bestFit="1" customWidth="1"/>
    <col min="15427" max="15427" width="9.28515625" bestFit="1" customWidth="1"/>
    <col min="15428" max="15428" width="11.5703125" bestFit="1" customWidth="1"/>
    <col min="15429" max="15429" width="9.28515625" bestFit="1" customWidth="1"/>
    <col min="15430" max="15430" width="11.5703125" bestFit="1" customWidth="1"/>
    <col min="15431" max="15431" width="9.28515625" bestFit="1" customWidth="1"/>
    <col min="15432" max="15432" width="11.5703125" bestFit="1" customWidth="1"/>
    <col min="15433" max="15433" width="9.28515625" bestFit="1" customWidth="1"/>
    <col min="15434" max="15434" width="11.5703125" bestFit="1" customWidth="1"/>
    <col min="15435" max="15435" width="9.28515625" bestFit="1" customWidth="1"/>
    <col min="15643" max="15643" width="29.42578125" bestFit="1" customWidth="1"/>
    <col min="15644" max="15644" width="11.5703125" bestFit="1" customWidth="1"/>
    <col min="15645" max="15645" width="9.28515625" bestFit="1" customWidth="1"/>
    <col min="15646" max="15646" width="11.5703125" bestFit="1" customWidth="1"/>
    <col min="15647" max="15647" width="9.28515625" bestFit="1" customWidth="1"/>
    <col min="15648" max="15648" width="11.5703125" bestFit="1" customWidth="1"/>
    <col min="15649" max="15649" width="9.28515625" bestFit="1" customWidth="1"/>
    <col min="15650" max="15650" width="11.5703125" bestFit="1" customWidth="1"/>
    <col min="15651" max="15651" width="9.28515625" bestFit="1" customWidth="1"/>
    <col min="15652" max="15652" width="11.5703125" bestFit="1" customWidth="1"/>
    <col min="15653" max="15653" width="9.28515625" bestFit="1" customWidth="1"/>
    <col min="15654" max="15654" width="11.5703125" bestFit="1" customWidth="1"/>
    <col min="15655" max="15655" width="9.28515625" bestFit="1" customWidth="1"/>
    <col min="15656" max="15656" width="11.5703125" bestFit="1" customWidth="1"/>
    <col min="15657" max="15657" width="9.28515625" bestFit="1" customWidth="1"/>
    <col min="15658" max="15658" width="11.5703125" bestFit="1" customWidth="1"/>
    <col min="15659" max="15659" width="9.28515625" bestFit="1" customWidth="1"/>
    <col min="15660" max="15660" width="11.5703125" bestFit="1" customWidth="1"/>
    <col min="15661" max="15661" width="9.28515625" bestFit="1" customWidth="1"/>
    <col min="15662" max="15662" width="11.5703125" bestFit="1" customWidth="1"/>
    <col min="15663" max="15663" width="9.28515625" bestFit="1" customWidth="1"/>
    <col min="15664" max="15664" width="11.5703125" bestFit="1" customWidth="1"/>
    <col min="15665" max="15665" width="9.28515625" bestFit="1" customWidth="1"/>
    <col min="15666" max="15666" width="11.5703125" bestFit="1" customWidth="1"/>
    <col min="15667" max="15667" width="9.28515625" bestFit="1" customWidth="1"/>
    <col min="15668" max="15668" width="11.5703125" bestFit="1" customWidth="1"/>
    <col min="15669" max="15669" width="9.28515625" bestFit="1" customWidth="1"/>
    <col min="15670" max="15670" width="11.5703125" bestFit="1" customWidth="1"/>
    <col min="15671" max="15671" width="9.28515625" bestFit="1" customWidth="1"/>
    <col min="15672" max="15672" width="11.5703125" bestFit="1" customWidth="1"/>
    <col min="15673" max="15673" width="9.28515625" bestFit="1" customWidth="1"/>
    <col min="15674" max="15674" width="11.5703125" bestFit="1" customWidth="1"/>
    <col min="15675" max="15675" width="9.28515625" bestFit="1" customWidth="1"/>
    <col min="15676" max="15676" width="11.5703125" bestFit="1" customWidth="1"/>
    <col min="15677" max="15677" width="9.28515625" bestFit="1" customWidth="1"/>
    <col min="15678" max="15678" width="11.5703125" bestFit="1" customWidth="1"/>
    <col min="15679" max="15679" width="9.28515625" bestFit="1" customWidth="1"/>
    <col min="15680" max="15680" width="11.5703125" bestFit="1" customWidth="1"/>
    <col min="15681" max="15681" width="9.28515625" bestFit="1" customWidth="1"/>
    <col min="15682" max="15682" width="11.5703125" bestFit="1" customWidth="1"/>
    <col min="15683" max="15683" width="9.28515625" bestFit="1" customWidth="1"/>
    <col min="15684" max="15684" width="11.5703125" bestFit="1" customWidth="1"/>
    <col min="15685" max="15685" width="9.28515625" bestFit="1" customWidth="1"/>
    <col min="15686" max="15686" width="11.5703125" bestFit="1" customWidth="1"/>
    <col min="15687" max="15687" width="9.28515625" bestFit="1" customWidth="1"/>
    <col min="15688" max="15688" width="11.5703125" bestFit="1" customWidth="1"/>
    <col min="15689" max="15689" width="9.28515625" bestFit="1" customWidth="1"/>
    <col min="15690" max="15690" width="11.5703125" bestFit="1" customWidth="1"/>
    <col min="15691" max="15691" width="9.28515625" bestFit="1" customWidth="1"/>
    <col min="15899" max="15899" width="29.42578125" bestFit="1" customWidth="1"/>
    <col min="15900" max="15900" width="11.5703125" bestFit="1" customWidth="1"/>
    <col min="15901" max="15901" width="9.28515625" bestFit="1" customWidth="1"/>
    <col min="15902" max="15902" width="11.5703125" bestFit="1" customWidth="1"/>
    <col min="15903" max="15903" width="9.28515625" bestFit="1" customWidth="1"/>
    <col min="15904" max="15904" width="11.5703125" bestFit="1" customWidth="1"/>
    <col min="15905" max="15905" width="9.28515625" bestFit="1" customWidth="1"/>
    <col min="15906" max="15906" width="11.5703125" bestFit="1" customWidth="1"/>
    <col min="15907" max="15907" width="9.28515625" bestFit="1" customWidth="1"/>
    <col min="15908" max="15908" width="11.5703125" bestFit="1" customWidth="1"/>
    <col min="15909" max="15909" width="9.28515625" bestFit="1" customWidth="1"/>
    <col min="15910" max="15910" width="11.5703125" bestFit="1" customWidth="1"/>
    <col min="15911" max="15911" width="9.28515625" bestFit="1" customWidth="1"/>
    <col min="15912" max="15912" width="11.5703125" bestFit="1" customWidth="1"/>
    <col min="15913" max="15913" width="9.28515625" bestFit="1" customWidth="1"/>
    <col min="15914" max="15914" width="11.5703125" bestFit="1" customWidth="1"/>
    <col min="15915" max="15915" width="9.28515625" bestFit="1" customWidth="1"/>
    <col min="15916" max="15916" width="11.5703125" bestFit="1" customWidth="1"/>
    <col min="15917" max="15917" width="9.28515625" bestFit="1" customWidth="1"/>
    <col min="15918" max="15918" width="11.5703125" bestFit="1" customWidth="1"/>
    <col min="15919" max="15919" width="9.28515625" bestFit="1" customWidth="1"/>
    <col min="15920" max="15920" width="11.5703125" bestFit="1" customWidth="1"/>
    <col min="15921" max="15921" width="9.28515625" bestFit="1" customWidth="1"/>
    <col min="15922" max="15922" width="11.5703125" bestFit="1" customWidth="1"/>
    <col min="15923" max="15923" width="9.28515625" bestFit="1" customWidth="1"/>
    <col min="15924" max="15924" width="11.5703125" bestFit="1" customWidth="1"/>
    <col min="15925" max="15925" width="9.28515625" bestFit="1" customWidth="1"/>
    <col min="15926" max="15926" width="11.5703125" bestFit="1" customWidth="1"/>
    <col min="15927" max="15927" width="9.28515625" bestFit="1" customWidth="1"/>
    <col min="15928" max="15928" width="11.5703125" bestFit="1" customWidth="1"/>
    <col min="15929" max="15929" width="9.28515625" bestFit="1" customWidth="1"/>
    <col min="15930" max="15930" width="11.5703125" bestFit="1" customWidth="1"/>
    <col min="15931" max="15931" width="9.28515625" bestFit="1" customWidth="1"/>
    <col min="15932" max="15932" width="11.5703125" bestFit="1" customWidth="1"/>
    <col min="15933" max="15933" width="9.28515625" bestFit="1" customWidth="1"/>
    <col min="15934" max="15934" width="11.5703125" bestFit="1" customWidth="1"/>
    <col min="15935" max="15935" width="9.28515625" bestFit="1" customWidth="1"/>
    <col min="15936" max="15936" width="11.5703125" bestFit="1" customWidth="1"/>
    <col min="15937" max="15937" width="9.28515625" bestFit="1" customWidth="1"/>
    <col min="15938" max="15938" width="11.5703125" bestFit="1" customWidth="1"/>
    <col min="15939" max="15939" width="9.28515625" bestFit="1" customWidth="1"/>
    <col min="15940" max="15940" width="11.5703125" bestFit="1" customWidth="1"/>
    <col min="15941" max="15941" width="9.28515625" bestFit="1" customWidth="1"/>
    <col min="15942" max="15942" width="11.5703125" bestFit="1" customWidth="1"/>
    <col min="15943" max="15943" width="9.28515625" bestFit="1" customWidth="1"/>
    <col min="15944" max="15944" width="11.5703125" bestFit="1" customWidth="1"/>
    <col min="15945" max="15945" width="9.28515625" bestFit="1" customWidth="1"/>
    <col min="15946" max="15946" width="11.5703125" bestFit="1" customWidth="1"/>
    <col min="15947" max="15947" width="9.28515625" bestFit="1" customWidth="1"/>
    <col min="16155" max="16155" width="29.42578125" bestFit="1" customWidth="1"/>
    <col min="16156" max="16156" width="11.5703125" bestFit="1" customWidth="1"/>
    <col min="16157" max="16157" width="9.28515625" bestFit="1" customWidth="1"/>
    <col min="16158" max="16158" width="11.5703125" bestFit="1" customWidth="1"/>
    <col min="16159" max="16159" width="9.28515625" bestFit="1" customWidth="1"/>
    <col min="16160" max="16160" width="11.5703125" bestFit="1" customWidth="1"/>
    <col min="16161" max="16161" width="9.28515625" bestFit="1" customWidth="1"/>
    <col min="16162" max="16162" width="11.5703125" bestFit="1" customWidth="1"/>
    <col min="16163" max="16163" width="9.28515625" bestFit="1" customWidth="1"/>
    <col min="16164" max="16164" width="11.5703125" bestFit="1" customWidth="1"/>
    <col min="16165" max="16165" width="9.28515625" bestFit="1" customWidth="1"/>
    <col min="16166" max="16166" width="11.5703125" bestFit="1" customWidth="1"/>
    <col min="16167" max="16167" width="9.28515625" bestFit="1" customWidth="1"/>
    <col min="16168" max="16168" width="11.5703125" bestFit="1" customWidth="1"/>
    <col min="16169" max="16169" width="9.28515625" bestFit="1" customWidth="1"/>
    <col min="16170" max="16170" width="11.5703125" bestFit="1" customWidth="1"/>
    <col min="16171" max="16171" width="9.28515625" bestFit="1" customWidth="1"/>
    <col min="16172" max="16172" width="11.5703125" bestFit="1" customWidth="1"/>
    <col min="16173" max="16173" width="9.28515625" bestFit="1" customWidth="1"/>
    <col min="16174" max="16174" width="11.5703125" bestFit="1" customWidth="1"/>
    <col min="16175" max="16175" width="9.28515625" bestFit="1" customWidth="1"/>
    <col min="16176" max="16176" width="11.5703125" bestFit="1" customWidth="1"/>
    <col min="16177" max="16177" width="9.28515625" bestFit="1" customWidth="1"/>
    <col min="16178" max="16178" width="11.5703125" bestFit="1" customWidth="1"/>
    <col min="16179" max="16179" width="9.28515625" bestFit="1" customWidth="1"/>
    <col min="16180" max="16180" width="11.5703125" bestFit="1" customWidth="1"/>
    <col min="16181" max="16181" width="9.28515625" bestFit="1" customWidth="1"/>
    <col min="16182" max="16182" width="11.5703125" bestFit="1" customWidth="1"/>
    <col min="16183" max="16183" width="9.28515625" bestFit="1" customWidth="1"/>
    <col min="16184" max="16184" width="11.5703125" bestFit="1" customWidth="1"/>
    <col min="16185" max="16185" width="9.28515625" bestFit="1" customWidth="1"/>
    <col min="16186" max="16186" width="11.5703125" bestFit="1" customWidth="1"/>
    <col min="16187" max="16187" width="9.28515625" bestFit="1" customWidth="1"/>
    <col min="16188" max="16188" width="11.5703125" bestFit="1" customWidth="1"/>
    <col min="16189" max="16189" width="9.28515625" bestFit="1" customWidth="1"/>
    <col min="16190" max="16190" width="11.5703125" bestFit="1" customWidth="1"/>
    <col min="16191" max="16191" width="9.28515625" bestFit="1" customWidth="1"/>
    <col min="16192" max="16192" width="11.5703125" bestFit="1" customWidth="1"/>
    <col min="16193" max="16193" width="9.28515625" bestFit="1" customWidth="1"/>
    <col min="16194" max="16194" width="11.5703125" bestFit="1" customWidth="1"/>
    <col min="16195" max="16195" width="9.28515625" bestFit="1" customWidth="1"/>
    <col min="16196" max="16196" width="11.5703125" bestFit="1" customWidth="1"/>
    <col min="16197" max="16197" width="9.28515625" bestFit="1" customWidth="1"/>
    <col min="16198" max="16198" width="11.5703125" bestFit="1" customWidth="1"/>
    <col min="16199" max="16199" width="9.28515625" bestFit="1" customWidth="1"/>
    <col min="16200" max="16200" width="11.5703125" bestFit="1" customWidth="1"/>
    <col min="16201" max="16201" width="9.28515625" bestFit="1" customWidth="1"/>
    <col min="16202" max="16202" width="11.5703125" bestFit="1" customWidth="1"/>
    <col min="16203" max="16203" width="9.28515625" bestFit="1" customWidth="1"/>
  </cols>
  <sheetData>
    <row r="1" spans="1:75">
      <c r="B1" s="82" t="s">
        <v>145</v>
      </c>
    </row>
    <row r="2" spans="1:75">
      <c r="A2" s="83"/>
      <c r="D2" s="86">
        <v>45931</v>
      </c>
      <c r="E2" s="122">
        <v>45931</v>
      </c>
      <c r="F2" s="86">
        <v>45962</v>
      </c>
      <c r="G2" s="122">
        <v>45962</v>
      </c>
      <c r="H2" s="86">
        <v>45992</v>
      </c>
      <c r="I2" s="122">
        <v>45992</v>
      </c>
      <c r="J2" s="86">
        <v>46023</v>
      </c>
      <c r="K2" s="122">
        <v>46023</v>
      </c>
      <c r="L2" s="86">
        <v>46054</v>
      </c>
      <c r="M2" s="122">
        <v>46054</v>
      </c>
      <c r="N2" s="86">
        <v>46082</v>
      </c>
      <c r="O2" s="122">
        <v>46082</v>
      </c>
      <c r="P2" s="86">
        <v>46113</v>
      </c>
      <c r="Q2" s="122">
        <v>46113</v>
      </c>
      <c r="R2" s="86">
        <v>46143</v>
      </c>
      <c r="S2" s="122">
        <v>46143</v>
      </c>
      <c r="T2" s="86">
        <v>46174</v>
      </c>
      <c r="U2" s="122">
        <v>46174</v>
      </c>
      <c r="V2" s="86">
        <v>46204</v>
      </c>
      <c r="W2" s="122">
        <v>46204</v>
      </c>
      <c r="X2" s="86">
        <v>46235</v>
      </c>
      <c r="Y2" s="122">
        <v>46235</v>
      </c>
      <c r="Z2" s="86">
        <v>46266</v>
      </c>
      <c r="AA2" s="122">
        <v>46266</v>
      </c>
      <c r="AB2" s="273">
        <v>46296</v>
      </c>
      <c r="AC2" s="273">
        <v>46296</v>
      </c>
      <c r="AD2" s="273">
        <v>46327</v>
      </c>
      <c r="AE2" s="273">
        <v>46327</v>
      </c>
      <c r="AF2" s="273">
        <v>46357</v>
      </c>
      <c r="AG2" s="273">
        <v>46357</v>
      </c>
      <c r="AH2" s="273">
        <v>46388</v>
      </c>
      <c r="AI2" s="273">
        <v>46388</v>
      </c>
      <c r="AJ2" s="273">
        <v>46419</v>
      </c>
      <c r="AK2" s="273">
        <v>46419</v>
      </c>
      <c r="AL2" s="273">
        <v>46447</v>
      </c>
      <c r="AM2" s="273">
        <v>46447</v>
      </c>
      <c r="AN2" s="273">
        <v>46478</v>
      </c>
      <c r="AO2" s="273">
        <v>46478</v>
      </c>
      <c r="AP2" s="273">
        <v>46508</v>
      </c>
      <c r="AQ2" s="273">
        <v>46508</v>
      </c>
      <c r="AR2" s="273">
        <v>46539</v>
      </c>
      <c r="AS2" s="273">
        <v>46539</v>
      </c>
      <c r="AT2" s="273">
        <v>46569</v>
      </c>
      <c r="AU2" s="273">
        <v>46569</v>
      </c>
      <c r="AV2" s="273">
        <v>46600</v>
      </c>
      <c r="AW2" s="273">
        <v>46600</v>
      </c>
      <c r="AX2" s="273">
        <v>46631</v>
      </c>
      <c r="AY2" s="273">
        <v>46631</v>
      </c>
      <c r="AZ2" s="86">
        <v>46661</v>
      </c>
      <c r="BA2" s="122">
        <v>46661</v>
      </c>
      <c r="BB2" s="86">
        <v>46692</v>
      </c>
      <c r="BC2" s="122">
        <v>46692</v>
      </c>
      <c r="BD2" s="86">
        <v>46722</v>
      </c>
      <c r="BE2" s="122">
        <v>46722</v>
      </c>
      <c r="BF2" s="86">
        <v>46753</v>
      </c>
      <c r="BG2" s="122">
        <v>46753</v>
      </c>
      <c r="BH2" s="86">
        <v>46784</v>
      </c>
      <c r="BI2" s="122">
        <v>46784</v>
      </c>
      <c r="BJ2" s="86">
        <v>46813</v>
      </c>
      <c r="BK2" s="122">
        <v>46813</v>
      </c>
      <c r="BL2" s="86">
        <v>46844</v>
      </c>
      <c r="BM2" s="122">
        <v>46844</v>
      </c>
      <c r="BN2" s="86">
        <v>46874</v>
      </c>
      <c r="BO2" s="122">
        <v>46874</v>
      </c>
      <c r="BP2" s="86">
        <v>46905</v>
      </c>
      <c r="BQ2" s="122">
        <v>46905</v>
      </c>
      <c r="BR2" s="86">
        <v>46935</v>
      </c>
      <c r="BS2" s="122">
        <v>46935</v>
      </c>
      <c r="BT2" s="86">
        <v>46966</v>
      </c>
      <c r="BU2" s="122">
        <v>46966</v>
      </c>
      <c r="BV2" s="86">
        <v>46997</v>
      </c>
      <c r="BW2" s="122">
        <v>46997</v>
      </c>
    </row>
    <row r="3" spans="1:75">
      <c r="B3" s="38" t="s">
        <v>2</v>
      </c>
      <c r="C3" s="38" t="s">
        <v>147</v>
      </c>
      <c r="D3" s="123" t="s">
        <v>143</v>
      </c>
      <c r="E3" s="124" t="s">
        <v>144</v>
      </c>
      <c r="F3" s="123" t="s">
        <v>143</v>
      </c>
      <c r="G3" s="124" t="s">
        <v>144</v>
      </c>
      <c r="H3" s="123" t="s">
        <v>143</v>
      </c>
      <c r="I3" s="124" t="s">
        <v>144</v>
      </c>
      <c r="J3" s="123" t="s">
        <v>143</v>
      </c>
      <c r="K3" s="124" t="s">
        <v>144</v>
      </c>
      <c r="L3" s="123" t="s">
        <v>143</v>
      </c>
      <c r="M3" s="124" t="s">
        <v>144</v>
      </c>
      <c r="N3" s="123" t="s">
        <v>143</v>
      </c>
      <c r="O3" s="124" t="s">
        <v>144</v>
      </c>
      <c r="P3" s="123" t="s">
        <v>143</v>
      </c>
      <c r="Q3" s="124" t="s">
        <v>144</v>
      </c>
      <c r="R3" s="123" t="s">
        <v>143</v>
      </c>
      <c r="S3" s="124" t="s">
        <v>144</v>
      </c>
      <c r="T3" s="123" t="s">
        <v>143</v>
      </c>
      <c r="U3" s="124" t="s">
        <v>144</v>
      </c>
      <c r="V3" s="123" t="s">
        <v>143</v>
      </c>
      <c r="W3" s="124" t="s">
        <v>144</v>
      </c>
      <c r="X3" s="123" t="s">
        <v>143</v>
      </c>
      <c r="Y3" s="124" t="s">
        <v>144</v>
      </c>
      <c r="Z3" s="123" t="s">
        <v>143</v>
      </c>
      <c r="AA3" s="124" t="s">
        <v>144</v>
      </c>
      <c r="AB3" s="274" t="s">
        <v>143</v>
      </c>
      <c r="AC3" s="274" t="s">
        <v>144</v>
      </c>
      <c r="AD3" s="274" t="s">
        <v>143</v>
      </c>
      <c r="AE3" s="274" t="s">
        <v>144</v>
      </c>
      <c r="AF3" s="274" t="s">
        <v>143</v>
      </c>
      <c r="AG3" s="274" t="s">
        <v>144</v>
      </c>
      <c r="AH3" s="274" t="s">
        <v>143</v>
      </c>
      <c r="AI3" s="274" t="s">
        <v>144</v>
      </c>
      <c r="AJ3" s="274" t="s">
        <v>143</v>
      </c>
      <c r="AK3" s="274" t="s">
        <v>144</v>
      </c>
      <c r="AL3" s="274" t="s">
        <v>143</v>
      </c>
      <c r="AM3" s="274" t="s">
        <v>144</v>
      </c>
      <c r="AN3" s="274" t="s">
        <v>143</v>
      </c>
      <c r="AO3" s="274" t="s">
        <v>144</v>
      </c>
      <c r="AP3" s="274" t="s">
        <v>143</v>
      </c>
      <c r="AQ3" s="274" t="s">
        <v>144</v>
      </c>
      <c r="AR3" s="274" t="s">
        <v>143</v>
      </c>
      <c r="AS3" s="274" t="s">
        <v>144</v>
      </c>
      <c r="AT3" s="274" t="s">
        <v>143</v>
      </c>
      <c r="AU3" s="274" t="s">
        <v>144</v>
      </c>
      <c r="AV3" s="274" t="s">
        <v>143</v>
      </c>
      <c r="AW3" s="274" t="s">
        <v>144</v>
      </c>
      <c r="AX3" s="274" t="s">
        <v>143</v>
      </c>
      <c r="AY3" s="274" t="s">
        <v>144</v>
      </c>
      <c r="AZ3" s="123" t="s">
        <v>143</v>
      </c>
      <c r="BA3" s="124" t="s">
        <v>144</v>
      </c>
      <c r="BB3" s="123" t="s">
        <v>143</v>
      </c>
      <c r="BC3" s="124" t="s">
        <v>144</v>
      </c>
      <c r="BD3" s="123" t="s">
        <v>143</v>
      </c>
      <c r="BE3" s="124" t="s">
        <v>144</v>
      </c>
      <c r="BF3" s="123" t="s">
        <v>143</v>
      </c>
      <c r="BG3" s="124" t="s">
        <v>144</v>
      </c>
      <c r="BH3" s="123" t="s">
        <v>143</v>
      </c>
      <c r="BI3" s="124" t="s">
        <v>144</v>
      </c>
      <c r="BJ3" s="123" t="s">
        <v>143</v>
      </c>
      <c r="BK3" s="124" t="s">
        <v>144</v>
      </c>
      <c r="BL3" s="123" t="s">
        <v>143</v>
      </c>
      <c r="BM3" s="124" t="s">
        <v>144</v>
      </c>
      <c r="BN3" s="123" t="s">
        <v>143</v>
      </c>
      <c r="BO3" s="124" t="s">
        <v>144</v>
      </c>
      <c r="BP3" s="123" t="s">
        <v>143</v>
      </c>
      <c r="BQ3" s="124" t="s">
        <v>144</v>
      </c>
      <c r="BR3" s="123" t="s">
        <v>143</v>
      </c>
      <c r="BS3" s="124" t="s">
        <v>144</v>
      </c>
      <c r="BT3" s="123" t="s">
        <v>143</v>
      </c>
      <c r="BU3" s="124" t="s">
        <v>144</v>
      </c>
      <c r="BV3" s="123" t="s">
        <v>143</v>
      </c>
      <c r="BW3" s="124" t="s">
        <v>144</v>
      </c>
    </row>
    <row r="4" spans="1:75">
      <c r="B4">
        <v>10015</v>
      </c>
      <c r="C4" t="s">
        <v>8</v>
      </c>
      <c r="D4" s="37">
        <v>300.48842592592587</v>
      </c>
      <c r="E4" s="37">
        <v>0</v>
      </c>
      <c r="F4" s="37">
        <v>0</v>
      </c>
      <c r="G4" s="37">
        <v>0</v>
      </c>
      <c r="H4" s="37">
        <v>29.670673076923173</v>
      </c>
      <c r="I4" s="37">
        <v>0</v>
      </c>
      <c r="J4" s="37">
        <v>112.75961538461532</v>
      </c>
      <c r="K4" s="37">
        <v>0</v>
      </c>
      <c r="L4" s="37">
        <v>224.72916666666677</v>
      </c>
      <c r="M4" s="37">
        <v>0</v>
      </c>
      <c r="N4" s="37">
        <v>173.0625</v>
      </c>
      <c r="O4" s="37">
        <v>0</v>
      </c>
      <c r="P4" s="37">
        <v>531.86057692307691</v>
      </c>
      <c r="Q4" s="37">
        <v>0</v>
      </c>
      <c r="R4" s="37">
        <v>445.33500000000004</v>
      </c>
      <c r="S4" s="37">
        <v>0</v>
      </c>
      <c r="T4" s="37">
        <v>476.14903846153857</v>
      </c>
      <c r="U4" s="37">
        <v>0</v>
      </c>
      <c r="V4" s="37">
        <v>633.93028846153834</v>
      </c>
      <c r="W4" s="37">
        <v>0</v>
      </c>
      <c r="X4" s="37">
        <v>310.94471153846138</v>
      </c>
      <c r="Y4" s="37">
        <v>0</v>
      </c>
      <c r="Z4" s="37">
        <v>526.32499999999993</v>
      </c>
      <c r="AA4" s="37">
        <v>0</v>
      </c>
      <c r="AB4" s="37">
        <v>300.48842592592587</v>
      </c>
      <c r="AC4" s="37">
        <v>0</v>
      </c>
      <c r="AD4" s="37">
        <v>0</v>
      </c>
      <c r="AE4" s="37">
        <v>0</v>
      </c>
      <c r="AF4" s="37">
        <v>29.670673076923173</v>
      </c>
      <c r="AG4" s="37">
        <v>0</v>
      </c>
      <c r="AH4" s="37">
        <v>94.349999999999937</v>
      </c>
      <c r="AI4" s="37">
        <v>0</v>
      </c>
      <c r="AJ4" s="37">
        <v>224.72916666666677</v>
      </c>
      <c r="AK4" s="37">
        <v>0</v>
      </c>
      <c r="AL4" s="37">
        <v>190.43055555555554</v>
      </c>
      <c r="AM4" s="37">
        <v>0</v>
      </c>
      <c r="AN4" s="37">
        <v>531.86057692307691</v>
      </c>
      <c r="AO4" s="37">
        <v>0</v>
      </c>
      <c r="AP4" s="37">
        <v>445.33500000000004</v>
      </c>
      <c r="AQ4" s="37">
        <v>0</v>
      </c>
      <c r="AR4" s="37">
        <v>476.14903846153857</v>
      </c>
      <c r="AS4" s="37">
        <v>0</v>
      </c>
      <c r="AT4" s="37">
        <v>633.93028846153834</v>
      </c>
      <c r="AU4" s="37">
        <v>0</v>
      </c>
      <c r="AV4" s="37">
        <v>310.94471153846138</v>
      </c>
      <c r="AW4" s="37">
        <v>0</v>
      </c>
      <c r="AX4" s="37">
        <v>526.32499999999993</v>
      </c>
      <c r="AY4" s="37">
        <v>0</v>
      </c>
      <c r="AZ4" s="37">
        <v>279.81490384615381</v>
      </c>
      <c r="BA4" s="37">
        <v>0</v>
      </c>
      <c r="BB4" s="37">
        <v>0</v>
      </c>
      <c r="BC4" s="37">
        <v>0</v>
      </c>
      <c r="BD4" s="37">
        <v>29.670673076923173</v>
      </c>
      <c r="BE4" s="37">
        <v>0</v>
      </c>
      <c r="BF4" s="37">
        <v>94.349999999999937</v>
      </c>
      <c r="BG4" s="37">
        <v>0</v>
      </c>
      <c r="BH4" s="37">
        <v>227.53999999999996</v>
      </c>
      <c r="BI4" s="37">
        <v>0</v>
      </c>
      <c r="BJ4" s="37">
        <v>190.43055555555554</v>
      </c>
      <c r="BK4" s="37">
        <v>0</v>
      </c>
      <c r="BL4" s="37">
        <v>508.69499999999988</v>
      </c>
      <c r="BM4" s="37">
        <v>0</v>
      </c>
      <c r="BN4" s="37">
        <v>477.12980769230762</v>
      </c>
      <c r="BO4" s="37">
        <v>0</v>
      </c>
      <c r="BP4" s="37">
        <v>476.14903846153857</v>
      </c>
      <c r="BQ4" s="37">
        <v>0</v>
      </c>
      <c r="BR4" s="37">
        <v>576.60749999999996</v>
      </c>
      <c r="BS4" s="37">
        <v>0</v>
      </c>
      <c r="BT4" s="37">
        <v>362.02083333333326</v>
      </c>
      <c r="BU4" s="37">
        <v>0</v>
      </c>
      <c r="BV4" s="37">
        <v>526.32499999999993</v>
      </c>
      <c r="BW4" s="37">
        <v>0</v>
      </c>
    </row>
    <row r="5" spans="1:75">
      <c r="B5">
        <v>10024</v>
      </c>
      <c r="C5" t="s">
        <v>9</v>
      </c>
      <c r="D5" s="37">
        <v>24991.555555555551</v>
      </c>
      <c r="E5" s="37">
        <v>0</v>
      </c>
      <c r="F5" s="37">
        <v>15695.268229166644</v>
      </c>
      <c r="G5" s="37">
        <v>0</v>
      </c>
      <c r="H5" s="37">
        <v>51658.646634615405</v>
      </c>
      <c r="I5" s="37">
        <v>0</v>
      </c>
      <c r="J5" s="37">
        <v>44873.290865384588</v>
      </c>
      <c r="K5" s="37">
        <v>0</v>
      </c>
      <c r="L5" s="37">
        <v>3797.5911458333658</v>
      </c>
      <c r="M5" s="37">
        <v>0</v>
      </c>
      <c r="N5" s="37">
        <v>28793.144230769194</v>
      </c>
      <c r="O5" s="37">
        <v>0</v>
      </c>
      <c r="P5" s="37">
        <v>42192.978365384588</v>
      </c>
      <c r="Q5" s="37">
        <v>0</v>
      </c>
      <c r="R5" s="37">
        <v>0</v>
      </c>
      <c r="S5" s="37">
        <v>0</v>
      </c>
      <c r="T5" s="37">
        <v>55414.889423076973</v>
      </c>
      <c r="U5" s="37">
        <v>0</v>
      </c>
      <c r="V5" s="37">
        <v>64607.413461538439</v>
      </c>
      <c r="W5" s="37">
        <v>0</v>
      </c>
      <c r="X5" s="37">
        <v>38385.271634615405</v>
      </c>
      <c r="Y5" s="37">
        <v>0</v>
      </c>
      <c r="Z5" s="37">
        <v>12356.682499999997</v>
      </c>
      <c r="AA5" s="37">
        <v>0</v>
      </c>
      <c r="AB5" s="37">
        <v>24586.305555555584</v>
      </c>
      <c r="AC5" s="37">
        <v>0</v>
      </c>
      <c r="AD5" s="37">
        <v>15463.76822916669</v>
      </c>
      <c r="AE5" s="37">
        <v>0</v>
      </c>
      <c r="AF5" s="37">
        <v>52373.21394230771</v>
      </c>
      <c r="AG5" s="37">
        <v>0</v>
      </c>
      <c r="AH5" s="37">
        <v>37393.074999999968</v>
      </c>
      <c r="AI5" s="37">
        <v>0</v>
      </c>
      <c r="AJ5" s="37">
        <v>3705.1822916666597</v>
      </c>
      <c r="AK5" s="37">
        <v>0</v>
      </c>
      <c r="AL5" s="37">
        <v>35389.696759259255</v>
      </c>
      <c r="AM5" s="37">
        <v>0</v>
      </c>
      <c r="AN5" s="37">
        <v>41805.144230769205</v>
      </c>
      <c r="AO5" s="37">
        <v>0</v>
      </c>
      <c r="AP5" s="37">
        <v>0</v>
      </c>
      <c r="AQ5" s="37">
        <v>0</v>
      </c>
      <c r="AR5" s="37">
        <v>55361.552884615405</v>
      </c>
      <c r="AS5" s="37">
        <v>0</v>
      </c>
      <c r="AT5" s="37">
        <v>64530.245192307688</v>
      </c>
      <c r="AU5" s="37">
        <v>0</v>
      </c>
      <c r="AV5" s="37">
        <v>38270.050480769183</v>
      </c>
      <c r="AW5" s="37">
        <v>0</v>
      </c>
      <c r="AX5" s="37">
        <v>11995.995000000015</v>
      </c>
      <c r="AY5" s="37">
        <v>0</v>
      </c>
      <c r="AZ5" s="37">
        <v>17195.475961538476</v>
      </c>
      <c r="BA5" s="37">
        <v>0</v>
      </c>
      <c r="BB5" s="37">
        <v>22864.60499999997</v>
      </c>
      <c r="BC5" s="37">
        <v>0</v>
      </c>
      <c r="BD5" s="37">
        <v>53116.937499999985</v>
      </c>
      <c r="BE5" s="37">
        <v>0</v>
      </c>
      <c r="BF5" s="37">
        <v>38735.722499999996</v>
      </c>
      <c r="BG5" s="37">
        <v>0</v>
      </c>
      <c r="BH5" s="37">
        <v>6831.780000000037</v>
      </c>
      <c r="BI5" s="37">
        <v>0</v>
      </c>
      <c r="BJ5" s="37">
        <v>35928.534722222248</v>
      </c>
      <c r="BK5" s="37">
        <v>0</v>
      </c>
      <c r="BL5" s="37">
        <v>34578.367500000015</v>
      </c>
      <c r="BM5" s="37">
        <v>0</v>
      </c>
      <c r="BN5" s="37">
        <v>0</v>
      </c>
      <c r="BO5" s="37">
        <v>0</v>
      </c>
      <c r="BP5" s="37">
        <v>56063.992788461546</v>
      </c>
      <c r="BQ5" s="37">
        <v>0</v>
      </c>
      <c r="BR5" s="37">
        <v>51678.632500000043</v>
      </c>
      <c r="BS5" s="37">
        <v>0</v>
      </c>
      <c r="BT5" s="37">
        <v>50207.814814814839</v>
      </c>
      <c r="BU5" s="37">
        <v>0</v>
      </c>
      <c r="BV5" s="37">
        <v>12459.042500000003</v>
      </c>
      <c r="BW5" s="37">
        <v>0</v>
      </c>
    </row>
    <row r="6" spans="1:75">
      <c r="B6">
        <v>10025</v>
      </c>
      <c r="C6" t="s">
        <v>10</v>
      </c>
      <c r="D6" s="37">
        <v>9317.206018518511</v>
      </c>
      <c r="E6" s="37">
        <v>0</v>
      </c>
      <c r="F6" s="37">
        <v>2168.869791666662</v>
      </c>
      <c r="G6" s="37">
        <v>0</v>
      </c>
      <c r="H6" s="37">
        <v>19987.108173076933</v>
      </c>
      <c r="I6" s="37">
        <v>0</v>
      </c>
      <c r="J6" s="37">
        <v>20794.209134615401</v>
      </c>
      <c r="K6" s="37">
        <v>0</v>
      </c>
      <c r="L6" s="37">
        <v>6074.2812500000055</v>
      </c>
      <c r="M6" s="37">
        <v>0</v>
      </c>
      <c r="N6" s="37">
        <v>11481.442307692323</v>
      </c>
      <c r="O6" s="37">
        <v>0</v>
      </c>
      <c r="P6" s="37">
        <v>0</v>
      </c>
      <c r="Q6" s="37">
        <v>0</v>
      </c>
      <c r="R6" s="37">
        <v>5394.1500000000033</v>
      </c>
      <c r="S6" s="37">
        <v>0</v>
      </c>
      <c r="T6" s="37">
        <v>14555.295673076918</v>
      </c>
      <c r="U6" s="37">
        <v>0</v>
      </c>
      <c r="V6" s="37">
        <v>18079.822115384624</v>
      </c>
      <c r="W6" s="37">
        <v>0</v>
      </c>
      <c r="X6" s="37">
        <v>19015.749999999982</v>
      </c>
      <c r="Y6" s="37">
        <v>0</v>
      </c>
      <c r="Z6" s="37">
        <v>14666.18250000001</v>
      </c>
      <c r="AA6" s="37">
        <v>0</v>
      </c>
      <c r="AB6" s="37">
        <v>9139.0162037036971</v>
      </c>
      <c r="AC6" s="37">
        <v>0</v>
      </c>
      <c r="AD6" s="37">
        <v>2091.161458333328</v>
      </c>
      <c r="AE6" s="37">
        <v>0</v>
      </c>
      <c r="AF6" s="37">
        <v>20441.793269230773</v>
      </c>
      <c r="AG6" s="37">
        <v>0</v>
      </c>
      <c r="AH6" s="37">
        <v>21649.12000000001</v>
      </c>
      <c r="AI6" s="37">
        <v>0</v>
      </c>
      <c r="AJ6" s="37">
        <v>6244.6302083333403</v>
      </c>
      <c r="AK6" s="37">
        <v>0</v>
      </c>
      <c r="AL6" s="37">
        <v>11306.539351851863</v>
      </c>
      <c r="AM6" s="37">
        <v>0</v>
      </c>
      <c r="AN6" s="37">
        <v>0</v>
      </c>
      <c r="AO6" s="37">
        <v>0</v>
      </c>
      <c r="AP6" s="37">
        <v>5326.464999999992</v>
      </c>
      <c r="AQ6" s="37">
        <v>0</v>
      </c>
      <c r="AR6" s="37">
        <v>14529.408653846152</v>
      </c>
      <c r="AS6" s="37">
        <v>0</v>
      </c>
      <c r="AT6" s="37">
        <v>18054.370192307681</v>
      </c>
      <c r="AU6" s="37">
        <v>0</v>
      </c>
      <c r="AV6" s="37">
        <v>19079.07692307694</v>
      </c>
      <c r="AW6" s="37">
        <v>0</v>
      </c>
      <c r="AX6" s="37">
        <v>14776.8675</v>
      </c>
      <c r="AY6" s="37">
        <v>0</v>
      </c>
      <c r="AZ6" s="37">
        <v>9489.8124999999927</v>
      </c>
      <c r="BA6" s="37">
        <v>0</v>
      </c>
      <c r="BB6" s="37">
        <v>2048.5825000000054</v>
      </c>
      <c r="BC6" s="37">
        <v>0</v>
      </c>
      <c r="BD6" s="37">
        <v>21294.112980769241</v>
      </c>
      <c r="BE6" s="37">
        <v>0</v>
      </c>
      <c r="BF6" s="37">
        <v>22102.942499999997</v>
      </c>
      <c r="BG6" s="37">
        <v>0</v>
      </c>
      <c r="BH6" s="37">
        <v>6125.2974999999951</v>
      </c>
      <c r="BI6" s="37">
        <v>0</v>
      </c>
      <c r="BJ6" s="37">
        <v>11451.442129629637</v>
      </c>
      <c r="BK6" s="37">
        <v>0</v>
      </c>
      <c r="BL6" s="37">
        <v>0</v>
      </c>
      <c r="BM6" s="37">
        <v>0</v>
      </c>
      <c r="BN6" s="37">
        <v>5224.3341346153829</v>
      </c>
      <c r="BO6" s="37">
        <v>0</v>
      </c>
      <c r="BP6" s="37">
        <v>14766.603365384617</v>
      </c>
      <c r="BQ6" s="37">
        <v>0</v>
      </c>
      <c r="BR6" s="37">
        <v>18435.977500000015</v>
      </c>
      <c r="BS6" s="37">
        <v>0</v>
      </c>
      <c r="BT6" s="37">
        <v>18993.634259259266</v>
      </c>
      <c r="BU6" s="37">
        <v>0</v>
      </c>
      <c r="BV6" s="37">
        <v>14869.445000000003</v>
      </c>
      <c r="BW6" s="37">
        <v>0</v>
      </c>
    </row>
    <row r="7" spans="1:75">
      <c r="B7">
        <v>10027</v>
      </c>
      <c r="C7" t="s">
        <v>11</v>
      </c>
      <c r="D7" s="37">
        <v>9326.0532407407409</v>
      </c>
      <c r="E7" s="37">
        <v>0</v>
      </c>
      <c r="F7" s="37">
        <v>2107.729166666662</v>
      </c>
      <c r="G7" s="37">
        <v>0</v>
      </c>
      <c r="H7" s="37">
        <v>11803.240384615396</v>
      </c>
      <c r="I7" s="37">
        <v>0</v>
      </c>
      <c r="J7" s="37">
        <v>16611.11298076923</v>
      </c>
      <c r="K7" s="37">
        <v>0</v>
      </c>
      <c r="L7" s="37">
        <v>7219.1302083333258</v>
      </c>
      <c r="M7" s="37">
        <v>0</v>
      </c>
      <c r="N7" s="37">
        <v>4098.4254807692369</v>
      </c>
      <c r="O7" s="37">
        <v>0</v>
      </c>
      <c r="P7" s="37">
        <v>7468.0216346153929</v>
      </c>
      <c r="Q7" s="37">
        <v>0</v>
      </c>
      <c r="R7" s="37">
        <v>86.422499999990521</v>
      </c>
      <c r="S7" s="37">
        <v>0</v>
      </c>
      <c r="T7" s="37">
        <v>8156.7644230769392</v>
      </c>
      <c r="U7" s="37">
        <v>0</v>
      </c>
      <c r="V7" s="37">
        <v>19952.199519230766</v>
      </c>
      <c r="W7" s="37">
        <v>0</v>
      </c>
      <c r="X7" s="37">
        <v>28890.074519230777</v>
      </c>
      <c r="Y7" s="37">
        <v>0</v>
      </c>
      <c r="Z7" s="37">
        <v>8237.6550000000025</v>
      </c>
      <c r="AA7" s="37">
        <v>0</v>
      </c>
      <c r="AB7" s="37">
        <v>9698.1203703703686</v>
      </c>
      <c r="AC7" s="37">
        <v>0</v>
      </c>
      <c r="AD7" s="37">
        <v>2287.5937500000027</v>
      </c>
      <c r="AE7" s="37">
        <v>0</v>
      </c>
      <c r="AF7" s="37">
        <v>12127.074519230779</v>
      </c>
      <c r="AG7" s="37">
        <v>0</v>
      </c>
      <c r="AH7" s="37">
        <v>15042.004999999999</v>
      </c>
      <c r="AI7" s="37">
        <v>0</v>
      </c>
      <c r="AJ7" s="37">
        <v>7556.1640625000027</v>
      </c>
      <c r="AK7" s="37">
        <v>0</v>
      </c>
      <c r="AL7" s="37">
        <v>5968.6597222222208</v>
      </c>
      <c r="AM7" s="37">
        <v>0</v>
      </c>
      <c r="AN7" s="37">
        <v>7868.4855769230744</v>
      </c>
      <c r="AO7" s="37">
        <v>0</v>
      </c>
      <c r="AP7" s="37">
        <v>532.37750000000256</v>
      </c>
      <c r="AQ7" s="37">
        <v>0</v>
      </c>
      <c r="AR7" s="37">
        <v>8569.0504807692378</v>
      </c>
      <c r="AS7" s="37">
        <v>0</v>
      </c>
      <c r="AT7" s="37">
        <v>20422.033653846134</v>
      </c>
      <c r="AU7" s="37">
        <v>0</v>
      </c>
      <c r="AV7" s="37">
        <v>29492.348557692319</v>
      </c>
      <c r="AW7" s="37">
        <v>0</v>
      </c>
      <c r="AX7" s="37">
        <v>8646.9399999999987</v>
      </c>
      <c r="AY7" s="37">
        <v>0</v>
      </c>
      <c r="AZ7" s="37">
        <v>7438.1105769230799</v>
      </c>
      <c r="BA7" s="37">
        <v>0</v>
      </c>
      <c r="BB7" s="37">
        <v>4425.9249999999956</v>
      </c>
      <c r="BC7" s="37">
        <v>0</v>
      </c>
      <c r="BD7" s="37">
        <v>12366.516826923071</v>
      </c>
      <c r="BE7" s="37">
        <v>0</v>
      </c>
      <c r="BF7" s="37">
        <v>15341.982500000004</v>
      </c>
      <c r="BG7" s="37">
        <v>0</v>
      </c>
      <c r="BH7" s="37">
        <v>8661.3275000000067</v>
      </c>
      <c r="BI7" s="37">
        <v>0</v>
      </c>
      <c r="BJ7" s="37">
        <v>6206.6388888888896</v>
      </c>
      <c r="BK7" s="37">
        <v>0</v>
      </c>
      <c r="BL7" s="37">
        <v>5428.3999999999924</v>
      </c>
      <c r="BM7" s="37">
        <v>0</v>
      </c>
      <c r="BN7" s="37">
        <v>4700.9326923077097</v>
      </c>
      <c r="BO7" s="37">
        <v>0</v>
      </c>
      <c r="BP7" s="37">
        <v>8583.7163461538676</v>
      </c>
      <c r="BQ7" s="37">
        <v>0</v>
      </c>
      <c r="BR7" s="37">
        <v>15266.075000000008</v>
      </c>
      <c r="BS7" s="37">
        <v>0</v>
      </c>
      <c r="BT7" s="37">
        <v>33829.0625</v>
      </c>
      <c r="BU7" s="37">
        <v>0</v>
      </c>
      <c r="BV7" s="37">
        <v>8840.5299999999988</v>
      </c>
      <c r="BW7" s="37">
        <v>0</v>
      </c>
    </row>
    <row r="8" spans="1:75">
      <c r="B8">
        <v>10029</v>
      </c>
      <c r="C8" t="s">
        <v>12</v>
      </c>
      <c r="D8" s="37">
        <v>0</v>
      </c>
      <c r="E8" s="37">
        <v>0</v>
      </c>
      <c r="F8" s="37">
        <v>0</v>
      </c>
      <c r="G8" s="37">
        <v>0</v>
      </c>
      <c r="H8" s="37">
        <v>0</v>
      </c>
      <c r="I8" s="37">
        <v>0</v>
      </c>
      <c r="J8" s="37">
        <v>0</v>
      </c>
      <c r="K8" s="37">
        <v>0</v>
      </c>
      <c r="L8" s="37">
        <v>0</v>
      </c>
      <c r="M8" s="37">
        <v>0</v>
      </c>
      <c r="N8" s="37">
        <v>0</v>
      </c>
      <c r="O8" s="37">
        <v>0</v>
      </c>
      <c r="P8" s="37">
        <v>0</v>
      </c>
      <c r="Q8" s="37">
        <v>0</v>
      </c>
      <c r="R8" s="37">
        <v>0</v>
      </c>
      <c r="S8" s="37">
        <v>0</v>
      </c>
      <c r="T8" s="37">
        <v>0</v>
      </c>
      <c r="U8" s="37">
        <v>0</v>
      </c>
      <c r="V8" s="37">
        <v>0</v>
      </c>
      <c r="W8" s="37">
        <v>0</v>
      </c>
      <c r="X8" s="37">
        <v>0</v>
      </c>
      <c r="Y8" s="37">
        <v>0</v>
      </c>
      <c r="Z8" s="37">
        <v>0</v>
      </c>
      <c r="AA8" s="37">
        <v>0</v>
      </c>
      <c r="AB8" s="37">
        <v>0</v>
      </c>
      <c r="AC8" s="37">
        <v>0</v>
      </c>
      <c r="AD8" s="37">
        <v>0</v>
      </c>
      <c r="AE8" s="37">
        <v>0</v>
      </c>
      <c r="AF8" s="37">
        <v>0</v>
      </c>
      <c r="AG8" s="37">
        <v>0</v>
      </c>
      <c r="AH8" s="37">
        <v>0</v>
      </c>
      <c r="AI8" s="37">
        <v>0</v>
      </c>
      <c r="AJ8" s="37">
        <v>0</v>
      </c>
      <c r="AK8" s="37">
        <v>0</v>
      </c>
      <c r="AL8" s="37">
        <v>0</v>
      </c>
      <c r="AM8" s="37">
        <v>0</v>
      </c>
      <c r="AN8" s="37">
        <v>0</v>
      </c>
      <c r="AO8" s="37">
        <v>0</v>
      </c>
      <c r="AP8" s="37">
        <v>0</v>
      </c>
      <c r="AQ8" s="37">
        <v>0</v>
      </c>
      <c r="AR8" s="37">
        <v>0</v>
      </c>
      <c r="AS8" s="37">
        <v>0</v>
      </c>
      <c r="AT8" s="37">
        <v>0</v>
      </c>
      <c r="AU8" s="37">
        <v>0</v>
      </c>
      <c r="AV8" s="37">
        <v>0</v>
      </c>
      <c r="AW8" s="37">
        <v>0</v>
      </c>
      <c r="AX8" s="37">
        <v>0</v>
      </c>
      <c r="AY8" s="37">
        <v>0</v>
      </c>
      <c r="AZ8" s="37">
        <v>0</v>
      </c>
      <c r="BA8" s="37">
        <v>0</v>
      </c>
      <c r="BB8" s="37">
        <v>0</v>
      </c>
      <c r="BC8" s="37">
        <v>0</v>
      </c>
      <c r="BD8" s="37">
        <v>0</v>
      </c>
      <c r="BE8" s="37">
        <v>0</v>
      </c>
      <c r="BF8" s="37">
        <v>0</v>
      </c>
      <c r="BG8" s="37">
        <v>0</v>
      </c>
      <c r="BH8" s="37">
        <v>0</v>
      </c>
      <c r="BI8" s="37">
        <v>0</v>
      </c>
      <c r="BJ8" s="37">
        <v>0</v>
      </c>
      <c r="BK8" s="37">
        <v>0</v>
      </c>
      <c r="BL8" s="37">
        <v>0</v>
      </c>
      <c r="BM8" s="37">
        <v>0</v>
      </c>
      <c r="BN8" s="37">
        <v>0</v>
      </c>
      <c r="BO8" s="37">
        <v>0</v>
      </c>
      <c r="BP8" s="37">
        <v>0</v>
      </c>
      <c r="BQ8" s="37">
        <v>0</v>
      </c>
      <c r="BR8" s="37">
        <v>0</v>
      </c>
      <c r="BS8" s="37">
        <v>0</v>
      </c>
      <c r="BT8" s="37">
        <v>0</v>
      </c>
      <c r="BU8" s="37">
        <v>0</v>
      </c>
      <c r="BV8" s="37">
        <v>0</v>
      </c>
      <c r="BW8" s="37">
        <v>0</v>
      </c>
    </row>
    <row r="9" spans="1:75">
      <c r="B9">
        <v>10044</v>
      </c>
      <c r="C9" t="s">
        <v>13</v>
      </c>
      <c r="D9" s="37">
        <v>1252.1342592592623</v>
      </c>
      <c r="E9" s="37">
        <v>0</v>
      </c>
      <c r="F9" s="37">
        <v>1305.5937500000007</v>
      </c>
      <c r="G9" s="37">
        <v>0</v>
      </c>
      <c r="H9" s="37">
        <v>2211.4735576923072</v>
      </c>
      <c r="I9" s="37">
        <v>0</v>
      </c>
      <c r="J9" s="37">
        <v>2313.865384615382</v>
      </c>
      <c r="K9" s="37">
        <v>0</v>
      </c>
      <c r="L9" s="37">
        <v>5732.7942708333339</v>
      </c>
      <c r="M9" s="37">
        <v>0</v>
      </c>
      <c r="N9" s="37">
        <v>3340.5817307692319</v>
      </c>
      <c r="O9" s="37">
        <v>0</v>
      </c>
      <c r="P9" s="37">
        <v>1452.9855769230774</v>
      </c>
      <c r="Q9" s="37">
        <v>0</v>
      </c>
      <c r="R9" s="37">
        <v>3845.9774999999968</v>
      </c>
      <c r="S9" s="37">
        <v>0</v>
      </c>
      <c r="T9" s="37">
        <v>7551.4038461538485</v>
      </c>
      <c r="U9" s="37">
        <v>0</v>
      </c>
      <c r="V9" s="37">
        <v>4785.649038461539</v>
      </c>
      <c r="W9" s="37">
        <v>0</v>
      </c>
      <c r="X9" s="37">
        <v>7498.7139423076906</v>
      </c>
      <c r="Y9" s="37">
        <v>0</v>
      </c>
      <c r="Z9" s="37">
        <v>4230.9774999999991</v>
      </c>
      <c r="AA9" s="37">
        <v>0</v>
      </c>
      <c r="AB9" s="37">
        <v>1284.3032407407384</v>
      </c>
      <c r="AC9" s="37">
        <v>0</v>
      </c>
      <c r="AD9" s="37">
        <v>1337.4322916666665</v>
      </c>
      <c r="AE9" s="37">
        <v>0</v>
      </c>
      <c r="AF9" s="37">
        <v>2242.7163461538476</v>
      </c>
      <c r="AG9" s="37">
        <v>0</v>
      </c>
      <c r="AH9" s="37">
        <v>2244.4000000000051</v>
      </c>
      <c r="AI9" s="37">
        <v>0</v>
      </c>
      <c r="AJ9" s="37">
        <v>5780.0390625000009</v>
      </c>
      <c r="AK9" s="37">
        <v>0</v>
      </c>
      <c r="AL9" s="37">
        <v>3456.1203703703727</v>
      </c>
      <c r="AM9" s="37">
        <v>0</v>
      </c>
      <c r="AN9" s="37">
        <v>1482.6802884615383</v>
      </c>
      <c r="AO9" s="37">
        <v>0</v>
      </c>
      <c r="AP9" s="37">
        <v>4096.7975000000006</v>
      </c>
      <c r="AQ9" s="37">
        <v>0</v>
      </c>
      <c r="AR9" s="37">
        <v>7803.723557692304</v>
      </c>
      <c r="AS9" s="37">
        <v>0</v>
      </c>
      <c r="AT9" s="37">
        <v>5035.2716346153838</v>
      </c>
      <c r="AU9" s="37">
        <v>0</v>
      </c>
      <c r="AV9" s="37">
        <v>7749.2115384615399</v>
      </c>
      <c r="AW9" s="37">
        <v>0</v>
      </c>
      <c r="AX9" s="37">
        <v>4478.8775000000005</v>
      </c>
      <c r="AY9" s="37">
        <v>0</v>
      </c>
      <c r="AZ9" s="37">
        <v>1225.8245192307675</v>
      </c>
      <c r="BA9" s="37">
        <v>0</v>
      </c>
      <c r="BB9" s="37">
        <v>1457.3150000000021</v>
      </c>
      <c r="BC9" s="37">
        <v>0</v>
      </c>
      <c r="BD9" s="37">
        <v>2270.9663461538439</v>
      </c>
      <c r="BE9" s="37">
        <v>0</v>
      </c>
      <c r="BF9" s="37">
        <v>2271.1549999999957</v>
      </c>
      <c r="BG9" s="37">
        <v>0</v>
      </c>
      <c r="BH9" s="37">
        <v>5977.2474999999995</v>
      </c>
      <c r="BI9" s="37">
        <v>0</v>
      </c>
      <c r="BJ9" s="37">
        <v>3488.8981481481433</v>
      </c>
      <c r="BK9" s="37">
        <v>0</v>
      </c>
      <c r="BL9" s="37">
        <v>1422.1474999999987</v>
      </c>
      <c r="BM9" s="37">
        <v>0</v>
      </c>
      <c r="BN9" s="37">
        <v>4433.5865384615363</v>
      </c>
      <c r="BO9" s="37">
        <v>0</v>
      </c>
      <c r="BP9" s="37">
        <v>8046.045673076922</v>
      </c>
      <c r="BQ9" s="37">
        <v>0</v>
      </c>
      <c r="BR9" s="37">
        <v>5165.54</v>
      </c>
      <c r="BS9" s="37">
        <v>0</v>
      </c>
      <c r="BT9" s="37">
        <v>8086.3240740740739</v>
      </c>
      <c r="BU9" s="37">
        <v>0</v>
      </c>
      <c r="BV9" s="37">
        <v>4717.7799999999988</v>
      </c>
      <c r="BW9" s="37">
        <v>0</v>
      </c>
    </row>
    <row r="10" spans="1:75">
      <c r="B10">
        <v>10046</v>
      </c>
      <c r="C10" t="s">
        <v>14</v>
      </c>
      <c r="D10" s="37">
        <v>0</v>
      </c>
      <c r="E10" s="37">
        <v>0</v>
      </c>
      <c r="F10" s="37">
        <v>0</v>
      </c>
      <c r="G10" s="37">
        <v>0</v>
      </c>
      <c r="H10" s="37">
        <v>0</v>
      </c>
      <c r="I10" s="37">
        <v>0</v>
      </c>
      <c r="J10" s="37">
        <v>0</v>
      </c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7">
        <v>0</v>
      </c>
      <c r="V10" s="37">
        <v>0</v>
      </c>
      <c r="W10" s="37">
        <v>0</v>
      </c>
      <c r="X10" s="37">
        <v>0</v>
      </c>
      <c r="Y10" s="37">
        <v>0</v>
      </c>
      <c r="Z10" s="37">
        <v>0</v>
      </c>
      <c r="AA10" s="37">
        <v>0</v>
      </c>
      <c r="AB10" s="37">
        <v>0</v>
      </c>
      <c r="AC10" s="37">
        <v>0</v>
      </c>
      <c r="AD10" s="37">
        <v>0</v>
      </c>
      <c r="AE10" s="37">
        <v>0</v>
      </c>
      <c r="AF10" s="37">
        <v>0</v>
      </c>
      <c r="AG10" s="37">
        <v>0</v>
      </c>
      <c r="AH10" s="37">
        <v>0</v>
      </c>
      <c r="AI10" s="37">
        <v>0</v>
      </c>
      <c r="AJ10" s="37">
        <v>0</v>
      </c>
      <c r="AK10" s="37">
        <v>0</v>
      </c>
      <c r="AL10" s="37">
        <v>0</v>
      </c>
      <c r="AM10" s="37">
        <v>0</v>
      </c>
      <c r="AN10" s="37">
        <v>0</v>
      </c>
      <c r="AO10" s="37">
        <v>0</v>
      </c>
      <c r="AP10" s="37">
        <v>0</v>
      </c>
      <c r="AQ10" s="37">
        <v>0</v>
      </c>
      <c r="AR10" s="37">
        <v>0</v>
      </c>
      <c r="AS10" s="37">
        <v>0</v>
      </c>
      <c r="AT10" s="37">
        <v>0</v>
      </c>
      <c r="AU10" s="37">
        <v>0</v>
      </c>
      <c r="AV10" s="37">
        <v>0</v>
      </c>
      <c r="AW10" s="37">
        <v>0</v>
      </c>
      <c r="AX10" s="37">
        <v>0</v>
      </c>
      <c r="AY10" s="37">
        <v>0</v>
      </c>
      <c r="AZ10" s="37">
        <v>0</v>
      </c>
      <c r="BA10" s="37">
        <v>0</v>
      </c>
      <c r="BB10" s="37">
        <v>0</v>
      </c>
      <c r="BC10" s="37">
        <v>0</v>
      </c>
      <c r="BD10" s="37">
        <v>0</v>
      </c>
      <c r="BE10" s="37">
        <v>0</v>
      </c>
      <c r="BF10" s="37">
        <v>0</v>
      </c>
      <c r="BG10" s="37">
        <v>0</v>
      </c>
      <c r="BH10" s="37">
        <v>0</v>
      </c>
      <c r="BI10" s="37">
        <v>0</v>
      </c>
      <c r="BJ10" s="37">
        <v>0</v>
      </c>
      <c r="BK10" s="37">
        <v>0</v>
      </c>
      <c r="BL10" s="37">
        <v>0</v>
      </c>
      <c r="BM10" s="37">
        <v>0</v>
      </c>
      <c r="BN10" s="37">
        <v>0</v>
      </c>
      <c r="BO10" s="37">
        <v>0</v>
      </c>
      <c r="BP10" s="37">
        <v>0</v>
      </c>
      <c r="BQ10" s="37">
        <v>0</v>
      </c>
      <c r="BR10" s="37">
        <v>0</v>
      </c>
      <c r="BS10" s="37">
        <v>0</v>
      </c>
      <c r="BT10" s="37">
        <v>0</v>
      </c>
      <c r="BU10" s="37">
        <v>0</v>
      </c>
      <c r="BV10" s="37">
        <v>0</v>
      </c>
      <c r="BW10" s="37">
        <v>0</v>
      </c>
    </row>
    <row r="11" spans="1:75">
      <c r="B11">
        <v>10047</v>
      </c>
      <c r="C11" t="s">
        <v>15</v>
      </c>
      <c r="D11" s="37">
        <v>11734.481481481494</v>
      </c>
      <c r="E11" s="37">
        <v>0</v>
      </c>
      <c r="F11" s="37">
        <v>8863.4218750000218</v>
      </c>
      <c r="G11" s="37">
        <v>0</v>
      </c>
      <c r="H11" s="37">
        <v>20673.177884615397</v>
      </c>
      <c r="I11" s="37">
        <v>0</v>
      </c>
      <c r="J11" s="37">
        <v>29919.858173076918</v>
      </c>
      <c r="K11" s="37">
        <v>0</v>
      </c>
      <c r="L11" s="37">
        <v>34659.09635416665</v>
      </c>
      <c r="M11" s="37">
        <v>0</v>
      </c>
      <c r="N11" s="37">
        <v>19762.516826923074</v>
      </c>
      <c r="O11" s="37">
        <v>0</v>
      </c>
      <c r="P11" s="37">
        <v>17337.418269230759</v>
      </c>
      <c r="Q11" s="37">
        <v>0</v>
      </c>
      <c r="R11" s="37">
        <v>5891.3149999999814</v>
      </c>
      <c r="S11" s="37">
        <v>0</v>
      </c>
      <c r="T11" s="37">
        <v>7073.5745192307677</v>
      </c>
      <c r="U11" s="37">
        <v>0</v>
      </c>
      <c r="V11" s="37">
        <v>9294.9134615384628</v>
      </c>
      <c r="W11" s="37">
        <v>0</v>
      </c>
      <c r="X11" s="37">
        <v>9094.9543269231017</v>
      </c>
      <c r="Y11" s="37">
        <v>0</v>
      </c>
      <c r="Z11" s="37">
        <v>5911.6924999999901</v>
      </c>
      <c r="AA11" s="37">
        <v>0</v>
      </c>
      <c r="AB11" s="37">
        <v>11577.905092592615</v>
      </c>
      <c r="AC11" s="37">
        <v>0</v>
      </c>
      <c r="AD11" s="37">
        <v>8693.1953125000164</v>
      </c>
      <c r="AE11" s="37">
        <v>0</v>
      </c>
      <c r="AF11" s="37">
        <v>20483.235576923078</v>
      </c>
      <c r="AG11" s="37">
        <v>0</v>
      </c>
      <c r="AH11" s="37">
        <v>29677.352500000026</v>
      </c>
      <c r="AI11" s="37">
        <v>0</v>
      </c>
      <c r="AJ11" s="37">
        <v>34483.356770833328</v>
      </c>
      <c r="AK11" s="37">
        <v>0</v>
      </c>
      <c r="AL11" s="37">
        <v>19619.939814814814</v>
      </c>
      <c r="AM11" s="37">
        <v>0</v>
      </c>
      <c r="AN11" s="37">
        <v>17179.495192307706</v>
      </c>
      <c r="AO11" s="37">
        <v>0</v>
      </c>
      <c r="AP11" s="37">
        <v>5747.4175000000014</v>
      </c>
      <c r="AQ11" s="37">
        <v>0</v>
      </c>
      <c r="AR11" s="37">
        <v>6939.1826923077033</v>
      </c>
      <c r="AS11" s="37">
        <v>0</v>
      </c>
      <c r="AT11" s="37">
        <v>9158.7307692307932</v>
      </c>
      <c r="AU11" s="37">
        <v>0</v>
      </c>
      <c r="AV11" s="37">
        <v>8955.6802884615372</v>
      </c>
      <c r="AW11" s="37">
        <v>0</v>
      </c>
      <c r="AX11" s="37">
        <v>5771.5475000000006</v>
      </c>
      <c r="AY11" s="37">
        <v>0</v>
      </c>
      <c r="AZ11" s="37">
        <v>11250.516826923089</v>
      </c>
      <c r="BA11" s="37">
        <v>0</v>
      </c>
      <c r="BB11" s="37">
        <v>8450.89749999999</v>
      </c>
      <c r="BC11" s="37">
        <v>0</v>
      </c>
      <c r="BD11" s="37">
        <v>20158.903846153862</v>
      </c>
      <c r="BE11" s="37">
        <v>0</v>
      </c>
      <c r="BF11" s="37">
        <v>29360.222500000036</v>
      </c>
      <c r="BG11" s="37">
        <v>0</v>
      </c>
      <c r="BH11" s="37">
        <v>34204.214999999975</v>
      </c>
      <c r="BI11" s="37">
        <v>0</v>
      </c>
      <c r="BJ11" s="37">
        <v>19326.157407407409</v>
      </c>
      <c r="BK11" s="37">
        <v>0</v>
      </c>
      <c r="BL11" s="37">
        <v>16908.202499999981</v>
      </c>
      <c r="BM11" s="37">
        <v>0</v>
      </c>
      <c r="BN11" s="37">
        <v>5532.7403846153693</v>
      </c>
      <c r="BO11" s="37">
        <v>0</v>
      </c>
      <c r="BP11" s="37">
        <v>6709.728365384628</v>
      </c>
      <c r="BQ11" s="37">
        <v>0</v>
      </c>
      <c r="BR11" s="37">
        <v>8899.2525000000096</v>
      </c>
      <c r="BS11" s="37">
        <v>0</v>
      </c>
      <c r="BT11" s="37">
        <v>8756.2592592592518</v>
      </c>
      <c r="BU11" s="37">
        <v>0</v>
      </c>
      <c r="BV11" s="37">
        <v>5532.2400000000052</v>
      </c>
      <c r="BW11" s="37">
        <v>0</v>
      </c>
    </row>
    <row r="12" spans="1:75">
      <c r="B12">
        <v>10055</v>
      </c>
      <c r="C12" t="s">
        <v>16</v>
      </c>
      <c r="D12" s="37">
        <v>234.21296296296296</v>
      </c>
      <c r="E12" s="37">
        <v>0</v>
      </c>
      <c r="F12" s="37">
        <v>137.34114583333334</v>
      </c>
      <c r="G12" s="37">
        <v>0</v>
      </c>
      <c r="H12" s="37">
        <v>376.67307692307696</v>
      </c>
      <c r="I12" s="37">
        <v>0</v>
      </c>
      <c r="J12" s="37">
        <v>373.08653846153857</v>
      </c>
      <c r="K12" s="37">
        <v>0</v>
      </c>
      <c r="L12" s="37">
        <v>221.01822916666654</v>
      </c>
      <c r="M12" s="37">
        <v>0</v>
      </c>
      <c r="N12" s="37">
        <v>221.23076923076928</v>
      </c>
      <c r="O12" s="37">
        <v>0</v>
      </c>
      <c r="P12" s="37">
        <v>77.170673076923052</v>
      </c>
      <c r="Q12" s="37">
        <v>0</v>
      </c>
      <c r="R12" s="37">
        <v>139.78249999999997</v>
      </c>
      <c r="S12" s="37">
        <v>0</v>
      </c>
      <c r="T12" s="37">
        <v>144.20432692307691</v>
      </c>
      <c r="U12" s="37">
        <v>0</v>
      </c>
      <c r="V12" s="37">
        <v>164.50240384615384</v>
      </c>
      <c r="W12" s="37">
        <v>0</v>
      </c>
      <c r="X12" s="37">
        <v>175.81730769230768</v>
      </c>
      <c r="Y12" s="37">
        <v>0</v>
      </c>
      <c r="Z12" s="37">
        <v>94.007500000000022</v>
      </c>
      <c r="AA12" s="37">
        <v>0</v>
      </c>
      <c r="AB12" s="37">
        <v>239.24999999999997</v>
      </c>
      <c r="AC12" s="37">
        <v>0</v>
      </c>
      <c r="AD12" s="37">
        <v>142.4609375</v>
      </c>
      <c r="AE12" s="37">
        <v>0</v>
      </c>
      <c r="AF12" s="37">
        <v>381.78605769230757</v>
      </c>
      <c r="AG12" s="37">
        <v>0</v>
      </c>
      <c r="AH12" s="37">
        <v>378.40500000000014</v>
      </c>
      <c r="AI12" s="37">
        <v>0</v>
      </c>
      <c r="AJ12" s="37">
        <v>226.15885416666657</v>
      </c>
      <c r="AK12" s="37">
        <v>0</v>
      </c>
      <c r="AL12" s="37">
        <v>226.37037037037038</v>
      </c>
      <c r="AM12" s="37">
        <v>0</v>
      </c>
      <c r="AN12" s="37">
        <v>82.264423076923052</v>
      </c>
      <c r="AO12" s="37">
        <v>0</v>
      </c>
      <c r="AP12" s="37">
        <v>144.79750000000001</v>
      </c>
      <c r="AQ12" s="37">
        <v>0</v>
      </c>
      <c r="AR12" s="37">
        <v>149.11298076923077</v>
      </c>
      <c r="AS12" s="37">
        <v>0</v>
      </c>
      <c r="AT12" s="37">
        <v>169.31250000000003</v>
      </c>
      <c r="AU12" s="37">
        <v>0</v>
      </c>
      <c r="AV12" s="37">
        <v>180.62259615384613</v>
      </c>
      <c r="AW12" s="37">
        <v>0</v>
      </c>
      <c r="AX12" s="37">
        <v>98.91</v>
      </c>
      <c r="AY12" s="37">
        <v>0</v>
      </c>
      <c r="AZ12" s="37">
        <v>243.70432692307691</v>
      </c>
      <c r="BA12" s="37">
        <v>0</v>
      </c>
      <c r="BB12" s="37">
        <v>146.72250000000008</v>
      </c>
      <c r="BC12" s="37">
        <v>0</v>
      </c>
      <c r="BD12" s="37">
        <v>386.89903846153828</v>
      </c>
      <c r="BE12" s="37">
        <v>0</v>
      </c>
      <c r="BF12" s="37">
        <v>383.56000000000006</v>
      </c>
      <c r="BG12" s="37">
        <v>0</v>
      </c>
      <c r="BH12" s="37">
        <v>238.84499999999994</v>
      </c>
      <c r="BI12" s="37">
        <v>0</v>
      </c>
      <c r="BJ12" s="37">
        <v>231.50231481481481</v>
      </c>
      <c r="BK12" s="37">
        <v>0</v>
      </c>
      <c r="BL12" s="37">
        <v>87.097499999999997</v>
      </c>
      <c r="BM12" s="37">
        <v>0</v>
      </c>
      <c r="BN12" s="37">
        <v>150.42307692307688</v>
      </c>
      <c r="BO12" s="37">
        <v>0</v>
      </c>
      <c r="BP12" s="37">
        <v>154.02163461538461</v>
      </c>
      <c r="BQ12" s="37">
        <v>0</v>
      </c>
      <c r="BR12" s="37">
        <v>172.32000000000002</v>
      </c>
      <c r="BS12" s="37">
        <v>0</v>
      </c>
      <c r="BT12" s="37">
        <v>187.02314814814818</v>
      </c>
      <c r="BU12" s="37">
        <v>0</v>
      </c>
      <c r="BV12" s="37">
        <v>103.81249999999997</v>
      </c>
      <c r="BW12" s="37">
        <v>0</v>
      </c>
    </row>
    <row r="13" spans="1:75">
      <c r="B13">
        <v>10057</v>
      </c>
      <c r="C13" t="s">
        <v>17</v>
      </c>
      <c r="D13" s="37">
        <v>1731.8773148148132</v>
      </c>
      <c r="E13" s="37">
        <v>0</v>
      </c>
      <c r="F13" s="37">
        <v>2322.0208333333376</v>
      </c>
      <c r="G13" s="37">
        <v>0</v>
      </c>
      <c r="H13" s="37">
        <v>0</v>
      </c>
      <c r="I13" s="37">
        <v>0</v>
      </c>
      <c r="J13" s="37">
        <v>2341.7716346153884</v>
      </c>
      <c r="K13" s="37">
        <v>0</v>
      </c>
      <c r="L13" s="37">
        <v>5249.5807291666633</v>
      </c>
      <c r="M13" s="37">
        <v>0</v>
      </c>
      <c r="N13" s="37">
        <v>4203.7451923076924</v>
      </c>
      <c r="O13" s="37">
        <v>0</v>
      </c>
      <c r="P13" s="37">
        <v>2794.826923076922</v>
      </c>
      <c r="Q13" s="37">
        <v>0</v>
      </c>
      <c r="R13" s="37">
        <v>3989.3850000000011</v>
      </c>
      <c r="S13" s="37">
        <v>0</v>
      </c>
      <c r="T13" s="37">
        <v>9145.7548076923085</v>
      </c>
      <c r="U13" s="37">
        <v>0</v>
      </c>
      <c r="V13" s="37">
        <v>4954.1754807692296</v>
      </c>
      <c r="W13" s="37">
        <v>0</v>
      </c>
      <c r="X13" s="37">
        <v>6759.9759615384564</v>
      </c>
      <c r="Y13" s="37">
        <v>0</v>
      </c>
      <c r="Z13" s="37">
        <v>7803.5799999999963</v>
      </c>
      <c r="AA13" s="37">
        <v>0</v>
      </c>
      <c r="AB13" s="37">
        <v>1731.8773148148132</v>
      </c>
      <c r="AC13" s="37">
        <v>0</v>
      </c>
      <c r="AD13" s="37">
        <v>2322.0208333333376</v>
      </c>
      <c r="AE13" s="37">
        <v>0</v>
      </c>
      <c r="AF13" s="37">
        <v>0</v>
      </c>
      <c r="AG13" s="37">
        <v>0</v>
      </c>
      <c r="AH13" s="37">
        <v>2358.2825000000021</v>
      </c>
      <c r="AI13" s="37">
        <v>0</v>
      </c>
      <c r="AJ13" s="37">
        <v>5249.5807291666633</v>
      </c>
      <c r="AK13" s="37">
        <v>0</v>
      </c>
      <c r="AL13" s="37">
        <v>4181.2245370370347</v>
      </c>
      <c r="AM13" s="37">
        <v>0</v>
      </c>
      <c r="AN13" s="37">
        <v>2794.826923076922</v>
      </c>
      <c r="AO13" s="37">
        <v>0</v>
      </c>
      <c r="AP13" s="37">
        <v>3989.3850000000011</v>
      </c>
      <c r="AQ13" s="37">
        <v>0</v>
      </c>
      <c r="AR13" s="37">
        <v>9145.7548076923085</v>
      </c>
      <c r="AS13" s="37">
        <v>0</v>
      </c>
      <c r="AT13" s="37">
        <v>4954.1754807692296</v>
      </c>
      <c r="AU13" s="37">
        <v>0</v>
      </c>
      <c r="AV13" s="37">
        <v>6759.9759615384564</v>
      </c>
      <c r="AW13" s="37">
        <v>0</v>
      </c>
      <c r="AX13" s="37">
        <v>7803.5799999999963</v>
      </c>
      <c r="AY13" s="37">
        <v>0</v>
      </c>
      <c r="AZ13" s="37">
        <v>1733.4639423076937</v>
      </c>
      <c r="BA13" s="37">
        <v>0</v>
      </c>
      <c r="BB13" s="37">
        <v>2310.1375000000044</v>
      </c>
      <c r="BC13" s="37">
        <v>0</v>
      </c>
      <c r="BD13" s="37">
        <v>0</v>
      </c>
      <c r="BE13" s="37">
        <v>0</v>
      </c>
      <c r="BF13" s="37">
        <v>2358.2825000000021</v>
      </c>
      <c r="BG13" s="37">
        <v>0</v>
      </c>
      <c r="BH13" s="37">
        <v>5254.9449999999997</v>
      </c>
      <c r="BI13" s="37">
        <v>0</v>
      </c>
      <c r="BJ13" s="37">
        <v>4181.2245370370347</v>
      </c>
      <c r="BK13" s="37">
        <v>0</v>
      </c>
      <c r="BL13" s="37">
        <v>2807.3124999999982</v>
      </c>
      <c r="BM13" s="37">
        <v>0</v>
      </c>
      <c r="BN13" s="37">
        <v>3986.1490384615399</v>
      </c>
      <c r="BO13" s="37">
        <v>0</v>
      </c>
      <c r="BP13" s="37">
        <v>9145.7548076923085</v>
      </c>
      <c r="BQ13" s="37">
        <v>0</v>
      </c>
      <c r="BR13" s="37">
        <v>4928.5874999999987</v>
      </c>
      <c r="BS13" s="37">
        <v>0</v>
      </c>
      <c r="BT13" s="37">
        <v>6775.1412037037026</v>
      </c>
      <c r="BU13" s="37">
        <v>0</v>
      </c>
      <c r="BV13" s="37">
        <v>7803.5799999999963</v>
      </c>
      <c r="BW13" s="37">
        <v>0</v>
      </c>
    </row>
    <row r="14" spans="1:75">
      <c r="B14">
        <v>10059</v>
      </c>
      <c r="C14" t="s">
        <v>18</v>
      </c>
      <c r="D14" s="37">
        <v>615.66666666666686</v>
      </c>
      <c r="E14" s="37">
        <v>0</v>
      </c>
      <c r="F14" s="37">
        <v>518.92447916666561</v>
      </c>
      <c r="G14" s="37">
        <v>0</v>
      </c>
      <c r="H14" s="37">
        <v>1055.7187500000009</v>
      </c>
      <c r="I14" s="37">
        <v>0</v>
      </c>
      <c r="J14" s="37">
        <v>2003.8581730769201</v>
      </c>
      <c r="K14" s="37">
        <v>0</v>
      </c>
      <c r="L14" s="37">
        <v>519.95833333333246</v>
      </c>
      <c r="M14" s="37">
        <v>0</v>
      </c>
      <c r="N14" s="37">
        <v>1521.5913461538478</v>
      </c>
      <c r="O14" s="37">
        <v>0</v>
      </c>
      <c r="P14" s="37">
        <v>1190.7307692307686</v>
      </c>
      <c r="Q14" s="37">
        <v>0</v>
      </c>
      <c r="R14" s="37">
        <v>420.55750000000057</v>
      </c>
      <c r="S14" s="37">
        <v>0</v>
      </c>
      <c r="T14" s="37">
        <v>652.22115384615358</v>
      </c>
      <c r="U14" s="37">
        <v>0</v>
      </c>
      <c r="V14" s="37">
        <v>430.4471153846149</v>
      </c>
      <c r="W14" s="37">
        <v>0</v>
      </c>
      <c r="X14" s="37">
        <v>308.75240384615444</v>
      </c>
      <c r="Y14" s="37">
        <v>0</v>
      </c>
      <c r="Z14" s="37">
        <v>203.69250000000028</v>
      </c>
      <c r="AA14" s="37">
        <v>0</v>
      </c>
      <c r="AB14" s="37">
        <v>615.66666666666686</v>
      </c>
      <c r="AC14" s="37">
        <v>0</v>
      </c>
      <c r="AD14" s="37">
        <v>518.92447916666561</v>
      </c>
      <c r="AE14" s="37">
        <v>0</v>
      </c>
      <c r="AF14" s="37">
        <v>1055.7187500000009</v>
      </c>
      <c r="AG14" s="37">
        <v>0</v>
      </c>
      <c r="AH14" s="37">
        <v>2044.6199999999974</v>
      </c>
      <c r="AI14" s="37">
        <v>0</v>
      </c>
      <c r="AJ14" s="37">
        <v>519.95833333333246</v>
      </c>
      <c r="AK14" s="37">
        <v>0</v>
      </c>
      <c r="AL14" s="37">
        <v>1484.5277777777781</v>
      </c>
      <c r="AM14" s="37">
        <v>0</v>
      </c>
      <c r="AN14" s="37">
        <v>1190.7307692307686</v>
      </c>
      <c r="AO14" s="37">
        <v>0</v>
      </c>
      <c r="AP14" s="37">
        <v>420.55750000000057</v>
      </c>
      <c r="AQ14" s="37">
        <v>0</v>
      </c>
      <c r="AR14" s="37">
        <v>652.22115384615358</v>
      </c>
      <c r="AS14" s="37">
        <v>0</v>
      </c>
      <c r="AT14" s="37">
        <v>430.4471153846149</v>
      </c>
      <c r="AU14" s="37">
        <v>0</v>
      </c>
      <c r="AV14" s="37">
        <v>308.75240384615444</v>
      </c>
      <c r="AW14" s="37">
        <v>0</v>
      </c>
      <c r="AX14" s="37">
        <v>203.69250000000028</v>
      </c>
      <c r="AY14" s="37">
        <v>0</v>
      </c>
      <c r="AZ14" s="37">
        <v>634.1850961538471</v>
      </c>
      <c r="BA14" s="37">
        <v>0</v>
      </c>
      <c r="BB14" s="37">
        <v>483.34749999999894</v>
      </c>
      <c r="BC14" s="37">
        <v>0</v>
      </c>
      <c r="BD14" s="37">
        <v>1053.5144230769231</v>
      </c>
      <c r="BE14" s="37">
        <v>0</v>
      </c>
      <c r="BF14" s="37">
        <v>2042.4374999999993</v>
      </c>
      <c r="BG14" s="37">
        <v>0</v>
      </c>
      <c r="BH14" s="37">
        <v>513.55250000000035</v>
      </c>
      <c r="BI14" s="37">
        <v>0</v>
      </c>
      <c r="BJ14" s="37">
        <v>1482.3750000000011</v>
      </c>
      <c r="BK14" s="37">
        <v>0</v>
      </c>
      <c r="BL14" s="37">
        <v>1226.2049999999988</v>
      </c>
      <c r="BM14" s="37">
        <v>0</v>
      </c>
      <c r="BN14" s="37">
        <v>393.51442307692298</v>
      </c>
      <c r="BO14" s="37">
        <v>0</v>
      </c>
      <c r="BP14" s="37">
        <v>650.01682692307577</v>
      </c>
      <c r="BQ14" s="37">
        <v>0</v>
      </c>
      <c r="BR14" s="37">
        <v>445.89999999999918</v>
      </c>
      <c r="BS14" s="37">
        <v>0</v>
      </c>
      <c r="BT14" s="37">
        <v>290.73611111111086</v>
      </c>
      <c r="BU14" s="37">
        <v>0</v>
      </c>
      <c r="BV14" s="37">
        <v>201.44749999999999</v>
      </c>
      <c r="BW14" s="37">
        <v>0</v>
      </c>
    </row>
    <row r="15" spans="1:75">
      <c r="B15">
        <v>10061</v>
      </c>
      <c r="C15" t="s">
        <v>19</v>
      </c>
      <c r="D15" s="37">
        <v>922.42592592592575</v>
      </c>
      <c r="E15" s="37">
        <v>0</v>
      </c>
      <c r="F15" s="37">
        <v>1335.2291666666617</v>
      </c>
      <c r="G15" s="37">
        <v>0</v>
      </c>
      <c r="H15" s="37">
        <v>1889.1057692307695</v>
      </c>
      <c r="I15" s="37">
        <v>0</v>
      </c>
      <c r="J15" s="37">
        <v>1977.4399038461538</v>
      </c>
      <c r="K15" s="37">
        <v>0</v>
      </c>
      <c r="L15" s="37">
        <v>1441.9244791666633</v>
      </c>
      <c r="M15" s="37">
        <v>0</v>
      </c>
      <c r="N15" s="37">
        <v>1645.9206730769238</v>
      </c>
      <c r="O15" s="37">
        <v>0</v>
      </c>
      <c r="P15" s="37">
        <v>1315.4447115384614</v>
      </c>
      <c r="Q15" s="37">
        <v>0</v>
      </c>
      <c r="R15" s="37">
        <v>1251.1849999999995</v>
      </c>
      <c r="S15" s="37">
        <v>0</v>
      </c>
      <c r="T15" s="37">
        <v>1376.9110576923074</v>
      </c>
      <c r="U15" s="37">
        <v>0</v>
      </c>
      <c r="V15" s="37">
        <v>1831.3341346153848</v>
      </c>
      <c r="W15" s="37">
        <v>0</v>
      </c>
      <c r="X15" s="37">
        <v>1417.0336538461538</v>
      </c>
      <c r="Y15" s="37">
        <v>0</v>
      </c>
      <c r="Z15" s="37">
        <v>1264.577499999999</v>
      </c>
      <c r="AA15" s="37">
        <v>0</v>
      </c>
      <c r="AB15" s="37">
        <v>1063.787037037037</v>
      </c>
      <c r="AC15" s="37">
        <v>0</v>
      </c>
      <c r="AD15" s="37">
        <v>1439.8932291666683</v>
      </c>
      <c r="AE15" s="37">
        <v>0</v>
      </c>
      <c r="AF15" s="37">
        <v>2106.1802884615386</v>
      </c>
      <c r="AG15" s="37">
        <v>0</v>
      </c>
      <c r="AH15" s="37">
        <v>2069.6449999999995</v>
      </c>
      <c r="AI15" s="37">
        <v>0</v>
      </c>
      <c r="AJ15" s="37">
        <v>1609.3437499999984</v>
      </c>
      <c r="AK15" s="37">
        <v>0</v>
      </c>
      <c r="AL15" s="37">
        <v>1853.3773148148139</v>
      </c>
      <c r="AM15" s="37">
        <v>0</v>
      </c>
      <c r="AN15" s="37">
        <v>1455.9759615384619</v>
      </c>
      <c r="AO15" s="37">
        <v>0</v>
      </c>
      <c r="AP15" s="37">
        <v>1387.1074999999992</v>
      </c>
      <c r="AQ15" s="37">
        <v>0</v>
      </c>
      <c r="AR15" s="37">
        <v>1551.4591346153848</v>
      </c>
      <c r="AS15" s="37">
        <v>0</v>
      </c>
      <c r="AT15" s="37">
        <v>2047.0745192307697</v>
      </c>
      <c r="AU15" s="37">
        <v>0</v>
      </c>
      <c r="AV15" s="37">
        <v>1530.8870192307695</v>
      </c>
      <c r="AW15" s="37">
        <v>0</v>
      </c>
      <c r="AX15" s="37">
        <v>1362.0475000000004</v>
      </c>
      <c r="AY15" s="37">
        <v>0</v>
      </c>
      <c r="AZ15" s="37">
        <v>1110.6322115384594</v>
      </c>
      <c r="BA15" s="37">
        <v>0</v>
      </c>
      <c r="BB15" s="37">
        <v>1680.2799999999988</v>
      </c>
      <c r="BC15" s="37">
        <v>0</v>
      </c>
      <c r="BD15" s="37">
        <v>2322.0600961538471</v>
      </c>
      <c r="BE15" s="37">
        <v>0</v>
      </c>
      <c r="BF15" s="37">
        <v>2231.7800000000025</v>
      </c>
      <c r="BG15" s="37">
        <v>0</v>
      </c>
      <c r="BH15" s="37">
        <v>1777.2925000000009</v>
      </c>
      <c r="BI15" s="37">
        <v>0</v>
      </c>
      <c r="BJ15" s="37">
        <v>1984.4351851851836</v>
      </c>
      <c r="BK15" s="37">
        <v>0</v>
      </c>
      <c r="BL15" s="37">
        <v>1460.9049999999988</v>
      </c>
      <c r="BM15" s="37">
        <v>0</v>
      </c>
      <c r="BN15" s="37">
        <v>1653.9254807692316</v>
      </c>
      <c r="BO15" s="37">
        <v>0</v>
      </c>
      <c r="BP15" s="37">
        <v>1721.2379807692314</v>
      </c>
      <c r="BQ15" s="37">
        <v>0</v>
      </c>
      <c r="BR15" s="37">
        <v>2129.6249999999982</v>
      </c>
      <c r="BS15" s="37">
        <v>0</v>
      </c>
      <c r="BT15" s="37">
        <v>1773.0856481481464</v>
      </c>
      <c r="BU15" s="37">
        <v>0</v>
      </c>
      <c r="BV15" s="37">
        <v>1449.6024999999986</v>
      </c>
      <c r="BW15" s="37">
        <v>0</v>
      </c>
    </row>
    <row r="16" spans="1:75">
      <c r="B16">
        <v>10062</v>
      </c>
      <c r="C16" t="s">
        <v>20</v>
      </c>
      <c r="D16" s="37">
        <v>435.45370370370364</v>
      </c>
      <c r="E16" s="37">
        <v>0</v>
      </c>
      <c r="F16" s="37">
        <v>575.06770833333417</v>
      </c>
      <c r="G16" s="37">
        <v>0</v>
      </c>
      <c r="H16" s="37">
        <v>3027.1105769230767</v>
      </c>
      <c r="I16" s="37">
        <v>0</v>
      </c>
      <c r="J16" s="37">
        <v>1764.7572115384614</v>
      </c>
      <c r="K16" s="37">
        <v>0</v>
      </c>
      <c r="L16" s="37">
        <v>2579.7005208333321</v>
      </c>
      <c r="M16" s="37">
        <v>0</v>
      </c>
      <c r="N16" s="37">
        <v>1183.9302884615381</v>
      </c>
      <c r="O16" s="37">
        <v>0</v>
      </c>
      <c r="P16" s="37">
        <v>1205.1129807692319</v>
      </c>
      <c r="Q16" s="37">
        <v>0</v>
      </c>
      <c r="R16" s="37">
        <v>0</v>
      </c>
      <c r="S16" s="37">
        <v>0</v>
      </c>
      <c r="T16" s="37">
        <v>413.56009615384551</v>
      </c>
      <c r="U16" s="37">
        <v>0</v>
      </c>
      <c r="V16" s="37">
        <v>757.61057692307611</v>
      </c>
      <c r="W16" s="37">
        <v>0</v>
      </c>
      <c r="X16" s="37">
        <v>375.36778846153919</v>
      </c>
      <c r="Y16" s="37">
        <v>0</v>
      </c>
      <c r="Z16" s="37">
        <v>0</v>
      </c>
      <c r="AA16" s="37">
        <v>0</v>
      </c>
      <c r="AB16" s="37">
        <v>454.00231481481643</v>
      </c>
      <c r="AC16" s="37">
        <v>0</v>
      </c>
      <c r="AD16" s="37">
        <v>588.48437500000034</v>
      </c>
      <c r="AE16" s="37">
        <v>0</v>
      </c>
      <c r="AF16" s="37">
        <v>3047.5865384615358</v>
      </c>
      <c r="AG16" s="37">
        <v>0</v>
      </c>
      <c r="AH16" s="37">
        <v>1284.7999999999993</v>
      </c>
      <c r="AI16" s="37">
        <v>0</v>
      </c>
      <c r="AJ16" s="37">
        <v>2600.5338541666674</v>
      </c>
      <c r="AK16" s="37">
        <v>0</v>
      </c>
      <c r="AL16" s="37">
        <v>1621.4398148148141</v>
      </c>
      <c r="AM16" s="37">
        <v>0</v>
      </c>
      <c r="AN16" s="37">
        <v>1224.5889423076931</v>
      </c>
      <c r="AO16" s="37">
        <v>0</v>
      </c>
      <c r="AP16" s="37">
        <v>0</v>
      </c>
      <c r="AQ16" s="37">
        <v>0</v>
      </c>
      <c r="AR16" s="37">
        <v>428.3052884615384</v>
      </c>
      <c r="AS16" s="37">
        <v>0</v>
      </c>
      <c r="AT16" s="37">
        <v>771.65865384615449</v>
      </c>
      <c r="AU16" s="37">
        <v>0</v>
      </c>
      <c r="AV16" s="37">
        <v>384.99519230769039</v>
      </c>
      <c r="AW16" s="37">
        <v>0</v>
      </c>
      <c r="AX16" s="37">
        <v>0</v>
      </c>
      <c r="AY16" s="37">
        <v>0</v>
      </c>
      <c r="AZ16" s="37">
        <v>92.382211538461604</v>
      </c>
      <c r="BA16" s="37">
        <v>0</v>
      </c>
      <c r="BB16" s="37">
        <v>1056.7449999999978</v>
      </c>
      <c r="BC16" s="37">
        <v>0</v>
      </c>
      <c r="BD16" s="37">
        <v>3069.0649038461524</v>
      </c>
      <c r="BE16" s="37">
        <v>0</v>
      </c>
      <c r="BF16" s="37">
        <v>1300.8925000000002</v>
      </c>
      <c r="BG16" s="37">
        <v>0</v>
      </c>
      <c r="BH16" s="37">
        <v>2671.0900000000006</v>
      </c>
      <c r="BI16" s="37">
        <v>0</v>
      </c>
      <c r="BJ16" s="37">
        <v>1642.3564814814806</v>
      </c>
      <c r="BK16" s="37">
        <v>0</v>
      </c>
      <c r="BL16" s="37">
        <v>851.86999999999898</v>
      </c>
      <c r="BM16" s="37">
        <v>0</v>
      </c>
      <c r="BN16" s="37">
        <v>0</v>
      </c>
      <c r="BO16" s="37">
        <v>0</v>
      </c>
      <c r="BP16" s="37">
        <v>443.05048076923129</v>
      </c>
      <c r="BQ16" s="37">
        <v>0</v>
      </c>
      <c r="BR16" s="37">
        <v>402.41499999999951</v>
      </c>
      <c r="BS16" s="37">
        <v>0</v>
      </c>
      <c r="BT16" s="37">
        <v>764.71064814814827</v>
      </c>
      <c r="BU16" s="37">
        <v>0</v>
      </c>
      <c r="BV16" s="37">
        <v>0</v>
      </c>
      <c r="BW16" s="37">
        <v>0</v>
      </c>
    </row>
    <row r="17" spans="2:75">
      <c r="B17">
        <v>10064</v>
      </c>
      <c r="C17" t="s">
        <v>21</v>
      </c>
      <c r="D17" s="37">
        <v>2943.3194444444448</v>
      </c>
      <c r="E17" s="37">
        <v>0</v>
      </c>
      <c r="F17" s="37">
        <v>495.67187499999977</v>
      </c>
      <c r="G17" s="37">
        <v>0</v>
      </c>
      <c r="H17" s="37">
        <v>2419.9423076923058</v>
      </c>
      <c r="I17" s="37">
        <v>0</v>
      </c>
      <c r="J17" s="37">
        <v>2976.009615384613</v>
      </c>
      <c r="K17" s="37">
        <v>0</v>
      </c>
      <c r="L17" s="37">
        <v>1420.2500000000025</v>
      </c>
      <c r="M17" s="37">
        <v>0</v>
      </c>
      <c r="N17" s="37">
        <v>2359.0480769230785</v>
      </c>
      <c r="O17" s="37">
        <v>0</v>
      </c>
      <c r="P17" s="37">
        <v>1542.8605769230769</v>
      </c>
      <c r="Q17" s="37">
        <v>0</v>
      </c>
      <c r="R17" s="37">
        <v>288.07000000000295</v>
      </c>
      <c r="S17" s="37">
        <v>0</v>
      </c>
      <c r="T17" s="37">
        <v>3436.7500000000005</v>
      </c>
      <c r="U17" s="37">
        <v>0</v>
      </c>
      <c r="V17" s="37">
        <v>3531.6442307692341</v>
      </c>
      <c r="W17" s="37">
        <v>0</v>
      </c>
      <c r="X17" s="37">
        <v>2795.7956730769233</v>
      </c>
      <c r="Y17" s="37">
        <v>0</v>
      </c>
      <c r="Z17" s="37">
        <v>1279.5774999999985</v>
      </c>
      <c r="AA17" s="37">
        <v>0</v>
      </c>
      <c r="AB17" s="37">
        <v>2974.7962962963006</v>
      </c>
      <c r="AC17" s="37">
        <v>0</v>
      </c>
      <c r="AD17" s="37">
        <v>529.00520833333474</v>
      </c>
      <c r="AE17" s="37">
        <v>0</v>
      </c>
      <c r="AF17" s="37">
        <v>2457.8028846153857</v>
      </c>
      <c r="AG17" s="37">
        <v>0</v>
      </c>
      <c r="AH17" s="37">
        <v>2809.5925000000016</v>
      </c>
      <c r="AI17" s="37">
        <v>0</v>
      </c>
      <c r="AJ17" s="37">
        <v>1455.510416666669</v>
      </c>
      <c r="AK17" s="37">
        <v>0</v>
      </c>
      <c r="AL17" s="37">
        <v>2605.5648148148134</v>
      </c>
      <c r="AM17" s="37">
        <v>0</v>
      </c>
      <c r="AN17" s="37">
        <v>1574.4399038461565</v>
      </c>
      <c r="AO17" s="37">
        <v>0</v>
      </c>
      <c r="AP17" s="37">
        <v>315.40250000000293</v>
      </c>
      <c r="AQ17" s="37">
        <v>0</v>
      </c>
      <c r="AR17" s="37">
        <v>3472.9254807692309</v>
      </c>
      <c r="AS17" s="37">
        <v>0</v>
      </c>
      <c r="AT17" s="37">
        <v>3569.9567307692305</v>
      </c>
      <c r="AU17" s="37">
        <v>0</v>
      </c>
      <c r="AV17" s="37">
        <v>2831.7548076923053</v>
      </c>
      <c r="AW17" s="37">
        <v>0</v>
      </c>
      <c r="AX17" s="37">
        <v>1308.6000000000056</v>
      </c>
      <c r="AY17" s="37">
        <v>0</v>
      </c>
      <c r="AZ17" s="37">
        <v>2792.4615384615381</v>
      </c>
      <c r="BA17" s="37">
        <v>0</v>
      </c>
      <c r="BB17" s="37">
        <v>778.62749999999937</v>
      </c>
      <c r="BC17" s="37">
        <v>0</v>
      </c>
      <c r="BD17" s="37">
        <v>2494.6875000000009</v>
      </c>
      <c r="BE17" s="37">
        <v>0</v>
      </c>
      <c r="BF17" s="37">
        <v>2847.5374999999985</v>
      </c>
      <c r="BG17" s="37">
        <v>0</v>
      </c>
      <c r="BH17" s="37">
        <v>1699.5325000000032</v>
      </c>
      <c r="BI17" s="37">
        <v>0</v>
      </c>
      <c r="BJ17" s="37">
        <v>2640.731481481479</v>
      </c>
      <c r="BK17" s="37">
        <v>0</v>
      </c>
      <c r="BL17" s="37">
        <v>1371.8450000000018</v>
      </c>
      <c r="BM17" s="37">
        <v>0</v>
      </c>
      <c r="BN17" s="37">
        <v>576.92548076923163</v>
      </c>
      <c r="BO17" s="37">
        <v>0</v>
      </c>
      <c r="BP17" s="37">
        <v>3508.9615384615381</v>
      </c>
      <c r="BQ17" s="37">
        <v>0</v>
      </c>
      <c r="BR17" s="37">
        <v>3352.3200000000015</v>
      </c>
      <c r="BS17" s="37">
        <v>0</v>
      </c>
      <c r="BT17" s="37">
        <v>3106.2870370370374</v>
      </c>
      <c r="BU17" s="37">
        <v>0</v>
      </c>
      <c r="BV17" s="37">
        <v>1338.497499999999</v>
      </c>
      <c r="BW17" s="37">
        <v>0</v>
      </c>
    </row>
    <row r="18" spans="2:75">
      <c r="B18">
        <v>10065</v>
      </c>
      <c r="C18" t="s">
        <v>22</v>
      </c>
      <c r="D18" s="37">
        <v>641.16203703703741</v>
      </c>
      <c r="E18" s="37">
        <v>0</v>
      </c>
      <c r="F18" s="37">
        <v>363.658854166666</v>
      </c>
      <c r="G18" s="37">
        <v>0</v>
      </c>
      <c r="H18" s="37">
        <v>1189.783653846154</v>
      </c>
      <c r="I18" s="37">
        <v>0</v>
      </c>
      <c r="J18" s="37">
        <v>830.76442307692332</v>
      </c>
      <c r="K18" s="37">
        <v>0</v>
      </c>
      <c r="L18" s="37">
        <v>1402.5442708333342</v>
      </c>
      <c r="M18" s="37">
        <v>0</v>
      </c>
      <c r="N18" s="37">
        <v>324.97355769230745</v>
      </c>
      <c r="O18" s="37">
        <v>0</v>
      </c>
      <c r="P18" s="37">
        <v>1037.9278846153838</v>
      </c>
      <c r="Q18" s="37">
        <v>0</v>
      </c>
      <c r="R18" s="37">
        <v>501.74000000000018</v>
      </c>
      <c r="S18" s="37">
        <v>0</v>
      </c>
      <c r="T18" s="37">
        <v>682.10576923076871</v>
      </c>
      <c r="U18" s="37">
        <v>0</v>
      </c>
      <c r="V18" s="37">
        <v>372.50240384615324</v>
      </c>
      <c r="W18" s="37">
        <v>0</v>
      </c>
      <c r="X18" s="37">
        <v>724.18028846153868</v>
      </c>
      <c r="Y18" s="37">
        <v>0</v>
      </c>
      <c r="Z18" s="37">
        <v>584.18250000000023</v>
      </c>
      <c r="AA18" s="37">
        <v>0</v>
      </c>
      <c r="AB18" s="37">
        <v>713.42592592592564</v>
      </c>
      <c r="AC18" s="37">
        <v>0</v>
      </c>
      <c r="AD18" s="37">
        <v>433.14062500000063</v>
      </c>
      <c r="AE18" s="37">
        <v>0</v>
      </c>
      <c r="AF18" s="37">
        <v>1273.9254807692307</v>
      </c>
      <c r="AG18" s="37">
        <v>0</v>
      </c>
      <c r="AH18" s="37">
        <v>888.09500000000003</v>
      </c>
      <c r="AI18" s="37">
        <v>0</v>
      </c>
      <c r="AJ18" s="37">
        <v>1459.7421875000007</v>
      </c>
      <c r="AK18" s="37">
        <v>0</v>
      </c>
      <c r="AL18" s="37">
        <v>397.21990740740682</v>
      </c>
      <c r="AM18" s="37">
        <v>0</v>
      </c>
      <c r="AN18" s="37">
        <v>1155.1706730769235</v>
      </c>
      <c r="AO18" s="37">
        <v>0</v>
      </c>
      <c r="AP18" s="37">
        <v>612.03499999999997</v>
      </c>
      <c r="AQ18" s="37">
        <v>0</v>
      </c>
      <c r="AR18" s="37">
        <v>673.3341346153851</v>
      </c>
      <c r="AS18" s="37">
        <v>0</v>
      </c>
      <c r="AT18" s="37">
        <v>361.39903846153879</v>
      </c>
      <c r="AU18" s="37">
        <v>0</v>
      </c>
      <c r="AV18" s="37">
        <v>717.15865384615449</v>
      </c>
      <c r="AW18" s="37">
        <v>0</v>
      </c>
      <c r="AX18" s="37">
        <v>576.63749999999993</v>
      </c>
      <c r="AY18" s="37">
        <v>0</v>
      </c>
      <c r="AZ18" s="37">
        <v>704.96153846153891</v>
      </c>
      <c r="BA18" s="37">
        <v>0</v>
      </c>
      <c r="BB18" s="37">
        <v>449.21250000000038</v>
      </c>
      <c r="BC18" s="37">
        <v>0</v>
      </c>
      <c r="BD18" s="37">
        <v>1285.3846153846148</v>
      </c>
      <c r="BE18" s="37">
        <v>0</v>
      </c>
      <c r="BF18" s="37">
        <v>898.1950000000005</v>
      </c>
      <c r="BG18" s="37">
        <v>0</v>
      </c>
      <c r="BH18" s="37">
        <v>1477.3625</v>
      </c>
      <c r="BI18" s="37">
        <v>0</v>
      </c>
      <c r="BJ18" s="37">
        <v>400.50000000000011</v>
      </c>
      <c r="BK18" s="37">
        <v>0</v>
      </c>
      <c r="BL18" s="37">
        <v>1156.8900000000001</v>
      </c>
      <c r="BM18" s="37">
        <v>0</v>
      </c>
      <c r="BN18" s="37">
        <v>622.65624999999977</v>
      </c>
      <c r="BO18" s="37">
        <v>0</v>
      </c>
      <c r="BP18" s="37">
        <v>666.12500000000091</v>
      </c>
      <c r="BQ18" s="37">
        <v>0</v>
      </c>
      <c r="BR18" s="37">
        <v>341.72249999999985</v>
      </c>
      <c r="BS18" s="37">
        <v>0</v>
      </c>
      <c r="BT18" s="37">
        <v>721.62268518518499</v>
      </c>
      <c r="BU18" s="37">
        <v>0</v>
      </c>
      <c r="BV18" s="37">
        <v>570.05250000000046</v>
      </c>
      <c r="BW18" s="37">
        <v>0</v>
      </c>
    </row>
    <row r="19" spans="2:75">
      <c r="B19">
        <v>10066</v>
      </c>
      <c r="C19" t="s">
        <v>23</v>
      </c>
      <c r="D19" s="37">
        <v>0</v>
      </c>
      <c r="E19" s="37">
        <v>0</v>
      </c>
      <c r="F19" s="37">
        <v>0</v>
      </c>
      <c r="G19" s="37">
        <v>0</v>
      </c>
      <c r="H19" s="37">
        <v>4526.0552884615427</v>
      </c>
      <c r="I19" s="37">
        <v>0</v>
      </c>
      <c r="J19" s="37">
        <v>0</v>
      </c>
      <c r="K19" s="37">
        <v>0</v>
      </c>
      <c r="L19" s="37">
        <v>4363.4036458333348</v>
      </c>
      <c r="M19" s="37">
        <v>0</v>
      </c>
      <c r="N19" s="37">
        <v>1809.6658653846146</v>
      </c>
      <c r="O19" s="37">
        <v>0</v>
      </c>
      <c r="P19" s="37">
        <v>1496.1971153846143</v>
      </c>
      <c r="Q19" s="37">
        <v>0</v>
      </c>
      <c r="R19" s="37">
        <v>1791.4974999999974</v>
      </c>
      <c r="S19" s="37">
        <v>0</v>
      </c>
      <c r="T19" s="37">
        <v>5894.4543269230726</v>
      </c>
      <c r="U19" s="37">
        <v>0</v>
      </c>
      <c r="V19" s="37">
        <v>2170.1899038461552</v>
      </c>
      <c r="W19" s="37">
        <v>0</v>
      </c>
      <c r="X19" s="37">
        <v>9159.8100961538476</v>
      </c>
      <c r="Y19" s="37">
        <v>0</v>
      </c>
      <c r="Z19" s="37">
        <v>383.36250000000138</v>
      </c>
      <c r="AA19" s="37">
        <v>0</v>
      </c>
      <c r="AB19" s="37">
        <v>0</v>
      </c>
      <c r="AC19" s="37">
        <v>0</v>
      </c>
      <c r="AD19" s="37">
        <v>0</v>
      </c>
      <c r="AE19" s="37">
        <v>0</v>
      </c>
      <c r="AF19" s="37">
        <v>4418.0889423076915</v>
      </c>
      <c r="AG19" s="37">
        <v>0</v>
      </c>
      <c r="AH19" s="37">
        <v>0</v>
      </c>
      <c r="AI19" s="37">
        <v>0</v>
      </c>
      <c r="AJ19" s="37">
        <v>4259.2031249999973</v>
      </c>
      <c r="AK19" s="37">
        <v>0</v>
      </c>
      <c r="AL19" s="37">
        <v>1723.2916666666592</v>
      </c>
      <c r="AM19" s="37">
        <v>0</v>
      </c>
      <c r="AN19" s="37">
        <v>1413.8822115384678</v>
      </c>
      <c r="AO19" s="37">
        <v>0</v>
      </c>
      <c r="AP19" s="37">
        <v>1724.1299999999978</v>
      </c>
      <c r="AQ19" s="37">
        <v>0</v>
      </c>
      <c r="AR19" s="37">
        <v>6219.2692307692296</v>
      </c>
      <c r="AS19" s="37">
        <v>0</v>
      </c>
      <c r="AT19" s="37">
        <v>2506.4543269230812</v>
      </c>
      <c r="AU19" s="37">
        <v>0</v>
      </c>
      <c r="AV19" s="37">
        <v>9527.3365384615408</v>
      </c>
      <c r="AW19" s="37">
        <v>0</v>
      </c>
      <c r="AX19" s="37">
        <v>678.81000000000301</v>
      </c>
      <c r="AY19" s="37">
        <v>0</v>
      </c>
      <c r="AZ19" s="37">
        <v>0</v>
      </c>
      <c r="BA19" s="37">
        <v>0</v>
      </c>
      <c r="BB19" s="37">
        <v>0</v>
      </c>
      <c r="BC19" s="37">
        <v>0</v>
      </c>
      <c r="BD19" s="37">
        <v>4325.516826923079</v>
      </c>
      <c r="BE19" s="37">
        <v>0</v>
      </c>
      <c r="BF19" s="37">
        <v>0</v>
      </c>
      <c r="BG19" s="37">
        <v>0</v>
      </c>
      <c r="BH19" s="37">
        <v>4170.8674999999985</v>
      </c>
      <c r="BI19" s="37">
        <v>0</v>
      </c>
      <c r="BJ19" s="37">
        <v>1641.3935185185178</v>
      </c>
      <c r="BK19" s="37">
        <v>0</v>
      </c>
      <c r="BL19" s="37">
        <v>1320.7924999999996</v>
      </c>
      <c r="BM19" s="37">
        <v>0</v>
      </c>
      <c r="BN19" s="37">
        <v>1714.5384615384626</v>
      </c>
      <c r="BO19" s="37">
        <v>0</v>
      </c>
      <c r="BP19" s="37">
        <v>6517.9158653846171</v>
      </c>
      <c r="BQ19" s="37">
        <v>0</v>
      </c>
      <c r="BR19" s="37">
        <v>2749.3799999999997</v>
      </c>
      <c r="BS19" s="37">
        <v>0</v>
      </c>
      <c r="BT19" s="37">
        <v>9919.6504629629635</v>
      </c>
      <c r="BU19" s="37">
        <v>0</v>
      </c>
      <c r="BV19" s="37">
        <v>951.12499999999841</v>
      </c>
      <c r="BW19" s="37">
        <v>0</v>
      </c>
    </row>
    <row r="20" spans="2:75">
      <c r="B20">
        <v>10067</v>
      </c>
      <c r="C20" t="s">
        <v>24</v>
      </c>
      <c r="D20" s="37">
        <v>5128.2569444444434</v>
      </c>
      <c r="E20" s="37">
        <v>0</v>
      </c>
      <c r="F20" s="37">
        <v>6386.0104166666661</v>
      </c>
      <c r="G20" s="37">
        <v>0</v>
      </c>
      <c r="H20" s="37">
        <v>5221.2884615384601</v>
      </c>
      <c r="I20" s="37">
        <v>0</v>
      </c>
      <c r="J20" s="37">
        <v>7551.9302884615345</v>
      </c>
      <c r="K20" s="37">
        <v>0</v>
      </c>
      <c r="L20" s="37">
        <v>4489.1041666666679</v>
      </c>
      <c r="M20" s="37">
        <v>0</v>
      </c>
      <c r="N20" s="37">
        <v>6168.3004807692287</v>
      </c>
      <c r="O20" s="37">
        <v>0</v>
      </c>
      <c r="P20" s="37">
        <v>6866.326923076921</v>
      </c>
      <c r="Q20" s="37">
        <v>0</v>
      </c>
      <c r="R20" s="37">
        <v>5931.7474999999986</v>
      </c>
      <c r="S20" s="37">
        <v>0</v>
      </c>
      <c r="T20" s="37">
        <v>5216.2860576923067</v>
      </c>
      <c r="U20" s="37">
        <v>0</v>
      </c>
      <c r="V20" s="37">
        <v>6750.3846153846134</v>
      </c>
      <c r="W20" s="37">
        <v>0</v>
      </c>
      <c r="X20" s="37">
        <v>5956.3365384615381</v>
      </c>
      <c r="Y20" s="37">
        <v>0</v>
      </c>
      <c r="Z20" s="37">
        <v>6957.2050000000008</v>
      </c>
      <c r="AA20" s="37">
        <v>0</v>
      </c>
      <c r="AB20" s="37">
        <v>5284.9236111111131</v>
      </c>
      <c r="AC20" s="37">
        <v>0</v>
      </c>
      <c r="AD20" s="37">
        <v>6600.7135416666661</v>
      </c>
      <c r="AE20" s="37">
        <v>0</v>
      </c>
      <c r="AF20" s="37">
        <v>5452.1538461538485</v>
      </c>
      <c r="AG20" s="37">
        <v>0</v>
      </c>
      <c r="AH20" s="37">
        <v>7814.8850000000002</v>
      </c>
      <c r="AI20" s="37">
        <v>0</v>
      </c>
      <c r="AJ20" s="37">
        <v>5735.3984375</v>
      </c>
      <c r="AK20" s="37">
        <v>0</v>
      </c>
      <c r="AL20" s="37">
        <v>6371.4212962962965</v>
      </c>
      <c r="AM20" s="37">
        <v>0</v>
      </c>
      <c r="AN20" s="37">
        <v>7045.5961538461534</v>
      </c>
      <c r="AO20" s="37">
        <v>0</v>
      </c>
      <c r="AP20" s="37">
        <v>6078.2399999999989</v>
      </c>
      <c r="AQ20" s="37">
        <v>0</v>
      </c>
      <c r="AR20" s="37">
        <v>5364.0961538461524</v>
      </c>
      <c r="AS20" s="37">
        <v>0</v>
      </c>
      <c r="AT20" s="37">
        <v>6923.1706730769229</v>
      </c>
      <c r="AU20" s="37">
        <v>0</v>
      </c>
      <c r="AV20" s="37">
        <v>6122.2956730769229</v>
      </c>
      <c r="AW20" s="37">
        <v>0</v>
      </c>
      <c r="AX20" s="37">
        <v>7106.9050000000007</v>
      </c>
      <c r="AY20" s="37">
        <v>0</v>
      </c>
      <c r="AZ20" s="37">
        <v>5428.1201923076933</v>
      </c>
      <c r="BA20" s="37">
        <v>0</v>
      </c>
      <c r="BB20" s="37">
        <v>6829.9925000000012</v>
      </c>
      <c r="BC20" s="37">
        <v>0</v>
      </c>
      <c r="BD20" s="37">
        <v>5687.0192307692305</v>
      </c>
      <c r="BE20" s="37">
        <v>0</v>
      </c>
      <c r="BF20" s="37">
        <v>8086.007499999997</v>
      </c>
      <c r="BG20" s="37">
        <v>0</v>
      </c>
      <c r="BH20" s="37">
        <v>6132.4200000000046</v>
      </c>
      <c r="BI20" s="37">
        <v>0</v>
      </c>
      <c r="BJ20" s="37">
        <v>6575.2523148148139</v>
      </c>
      <c r="BK20" s="37">
        <v>0</v>
      </c>
      <c r="BL20" s="37">
        <v>7215.7775000000001</v>
      </c>
      <c r="BM20" s="37">
        <v>0</v>
      </c>
      <c r="BN20" s="37">
        <v>6256.1081730769229</v>
      </c>
      <c r="BO20" s="37">
        <v>0</v>
      </c>
      <c r="BP20" s="37">
        <v>5515.9110576923076</v>
      </c>
      <c r="BQ20" s="37">
        <v>0</v>
      </c>
      <c r="BR20" s="37">
        <v>7072.0800000000017</v>
      </c>
      <c r="BS20" s="37">
        <v>0</v>
      </c>
      <c r="BT20" s="37">
        <v>6318.0856481481478</v>
      </c>
      <c r="BU20" s="37">
        <v>0</v>
      </c>
      <c r="BV20" s="37">
        <v>7261.6074999999992</v>
      </c>
      <c r="BW20" s="37">
        <v>0</v>
      </c>
    </row>
    <row r="21" spans="2:75">
      <c r="B21">
        <v>10068</v>
      </c>
      <c r="C21" t="s">
        <v>25</v>
      </c>
      <c r="D21" s="37">
        <v>0</v>
      </c>
      <c r="E21" s="37">
        <v>0</v>
      </c>
      <c r="F21" s="37">
        <v>384.62499999999977</v>
      </c>
      <c r="G21" s="37">
        <v>0</v>
      </c>
      <c r="H21" s="37">
        <v>688.55048076923072</v>
      </c>
      <c r="I21" s="37">
        <v>0</v>
      </c>
      <c r="J21" s="37">
        <v>880.43269230769261</v>
      </c>
      <c r="K21" s="37">
        <v>0</v>
      </c>
      <c r="L21" s="37">
        <v>529.66145833333303</v>
      </c>
      <c r="M21" s="37">
        <v>0</v>
      </c>
      <c r="N21" s="37">
        <v>538.82211538461513</v>
      </c>
      <c r="O21" s="37">
        <v>0</v>
      </c>
      <c r="P21" s="37">
        <v>736.29326923076951</v>
      </c>
      <c r="Q21" s="37">
        <v>0</v>
      </c>
      <c r="R21" s="37">
        <v>488.31999999999994</v>
      </c>
      <c r="S21" s="37">
        <v>0</v>
      </c>
      <c r="T21" s="37">
        <v>528.8317307692306</v>
      </c>
      <c r="U21" s="37">
        <v>0</v>
      </c>
      <c r="V21" s="37">
        <v>1096.8269230769229</v>
      </c>
      <c r="W21" s="37">
        <v>0</v>
      </c>
      <c r="X21" s="37">
        <v>892.34375000000045</v>
      </c>
      <c r="Y21" s="37">
        <v>0</v>
      </c>
      <c r="Z21" s="37">
        <v>600.75750000000028</v>
      </c>
      <c r="AA21" s="37">
        <v>0</v>
      </c>
      <c r="AB21" s="37">
        <v>0</v>
      </c>
      <c r="AC21" s="37">
        <v>0</v>
      </c>
      <c r="AD21" s="37">
        <v>384.62499999999977</v>
      </c>
      <c r="AE21" s="37">
        <v>0</v>
      </c>
      <c r="AF21" s="37">
        <v>688.55048076923072</v>
      </c>
      <c r="AG21" s="37">
        <v>0</v>
      </c>
      <c r="AH21" s="37">
        <v>737.97</v>
      </c>
      <c r="AI21" s="37">
        <v>0</v>
      </c>
      <c r="AJ21" s="37">
        <v>529.66145833333303</v>
      </c>
      <c r="AK21" s="37">
        <v>0</v>
      </c>
      <c r="AL21" s="37">
        <v>648.38425925925924</v>
      </c>
      <c r="AM21" s="37">
        <v>0</v>
      </c>
      <c r="AN21" s="37">
        <v>736.29326923076951</v>
      </c>
      <c r="AO21" s="37">
        <v>0</v>
      </c>
      <c r="AP21" s="37">
        <v>488.31999999999994</v>
      </c>
      <c r="AQ21" s="37">
        <v>0</v>
      </c>
      <c r="AR21" s="37">
        <v>528.8317307692306</v>
      </c>
      <c r="AS21" s="37">
        <v>0</v>
      </c>
      <c r="AT21" s="37">
        <v>1096.8269230769229</v>
      </c>
      <c r="AU21" s="37">
        <v>0</v>
      </c>
      <c r="AV21" s="37">
        <v>892.34375000000045</v>
      </c>
      <c r="AW21" s="37">
        <v>0</v>
      </c>
      <c r="AX21" s="37">
        <v>600.75750000000028</v>
      </c>
      <c r="AY21" s="37">
        <v>0</v>
      </c>
      <c r="AZ21" s="37">
        <v>0</v>
      </c>
      <c r="BA21" s="37">
        <v>0</v>
      </c>
      <c r="BB21" s="37">
        <v>507.83999999999986</v>
      </c>
      <c r="BC21" s="37">
        <v>0</v>
      </c>
      <c r="BD21" s="37">
        <v>688.55048076923072</v>
      </c>
      <c r="BE21" s="37">
        <v>0</v>
      </c>
      <c r="BF21" s="37">
        <v>737.97</v>
      </c>
      <c r="BG21" s="37">
        <v>0</v>
      </c>
      <c r="BH21" s="37">
        <v>580.66000000000042</v>
      </c>
      <c r="BI21" s="37">
        <v>0</v>
      </c>
      <c r="BJ21" s="37">
        <v>648.38425925925924</v>
      </c>
      <c r="BK21" s="37">
        <v>0</v>
      </c>
      <c r="BL21" s="37">
        <v>636.46500000000026</v>
      </c>
      <c r="BM21" s="37">
        <v>0</v>
      </c>
      <c r="BN21" s="37">
        <v>574.53846153846166</v>
      </c>
      <c r="BO21" s="37">
        <v>0</v>
      </c>
      <c r="BP21" s="37">
        <v>528.8317307692306</v>
      </c>
      <c r="BQ21" s="37">
        <v>0</v>
      </c>
      <c r="BR21" s="37">
        <v>995.37999999999965</v>
      </c>
      <c r="BS21" s="37">
        <v>0</v>
      </c>
      <c r="BT21" s="37">
        <v>985.36805555555577</v>
      </c>
      <c r="BU21" s="37">
        <v>0</v>
      </c>
      <c r="BV21" s="37">
        <v>600.75750000000028</v>
      </c>
      <c r="BW21" s="37">
        <v>0</v>
      </c>
    </row>
    <row r="22" spans="2:75">
      <c r="B22">
        <v>10070</v>
      </c>
      <c r="C22" t="s">
        <v>26</v>
      </c>
      <c r="D22" s="37">
        <v>170.73842592592592</v>
      </c>
      <c r="E22" s="37">
        <v>0</v>
      </c>
      <c r="F22" s="37">
        <v>76.458333333333272</v>
      </c>
      <c r="G22" s="37">
        <v>0</v>
      </c>
      <c r="H22" s="37">
        <v>146.22115384615375</v>
      </c>
      <c r="I22" s="37">
        <v>0</v>
      </c>
      <c r="J22" s="37">
        <v>147.74278846153842</v>
      </c>
      <c r="K22" s="37">
        <v>0</v>
      </c>
      <c r="L22" s="37">
        <v>108.64583333333336</v>
      </c>
      <c r="M22" s="37">
        <v>0</v>
      </c>
      <c r="N22" s="37">
        <v>143.59615384615375</v>
      </c>
      <c r="O22" s="37">
        <v>0</v>
      </c>
      <c r="P22" s="37">
        <v>105.59615384615392</v>
      </c>
      <c r="Q22" s="37">
        <v>0</v>
      </c>
      <c r="R22" s="37">
        <v>67.887500000000017</v>
      </c>
      <c r="S22" s="37">
        <v>0</v>
      </c>
      <c r="T22" s="37">
        <v>217.97836538461533</v>
      </c>
      <c r="U22" s="37">
        <v>0</v>
      </c>
      <c r="V22" s="37">
        <v>230.40384615384619</v>
      </c>
      <c r="W22" s="37">
        <v>0</v>
      </c>
      <c r="X22" s="37">
        <v>241.35576923076923</v>
      </c>
      <c r="Y22" s="37">
        <v>0</v>
      </c>
      <c r="Z22" s="37">
        <v>268.09250000000003</v>
      </c>
      <c r="AA22" s="37">
        <v>0</v>
      </c>
      <c r="AB22" s="37">
        <v>171.35879629629625</v>
      </c>
      <c r="AC22" s="37">
        <v>0</v>
      </c>
      <c r="AD22" s="37">
        <v>76.031249999999972</v>
      </c>
      <c r="AE22" s="37">
        <v>0</v>
      </c>
      <c r="AF22" s="37">
        <v>146.68509615384616</v>
      </c>
      <c r="AG22" s="37">
        <v>0</v>
      </c>
      <c r="AH22" s="37">
        <v>147.16499999999999</v>
      </c>
      <c r="AI22" s="37">
        <v>0</v>
      </c>
      <c r="AJ22" s="37">
        <v>109.16145833333337</v>
      </c>
      <c r="AK22" s="37">
        <v>0</v>
      </c>
      <c r="AL22" s="37">
        <v>143.88888888888886</v>
      </c>
      <c r="AM22" s="37">
        <v>0</v>
      </c>
      <c r="AN22" s="37">
        <v>105.21153846153855</v>
      </c>
      <c r="AO22" s="37">
        <v>0</v>
      </c>
      <c r="AP22" s="37">
        <v>68.534999999999982</v>
      </c>
      <c r="AQ22" s="37">
        <v>0</v>
      </c>
      <c r="AR22" s="37">
        <v>218.6346153846153</v>
      </c>
      <c r="AS22" s="37">
        <v>0</v>
      </c>
      <c r="AT22" s="37">
        <v>230.01682692307696</v>
      </c>
      <c r="AU22" s="37">
        <v>0</v>
      </c>
      <c r="AV22" s="37">
        <v>241.97115384615387</v>
      </c>
      <c r="AW22" s="37">
        <v>0</v>
      </c>
      <c r="AX22" s="37">
        <v>268.73250000000007</v>
      </c>
      <c r="AY22" s="37">
        <v>0</v>
      </c>
      <c r="AZ22" s="37">
        <v>170.72355769230762</v>
      </c>
      <c r="BA22" s="37">
        <v>0</v>
      </c>
      <c r="BB22" s="37">
        <v>77.792499999999961</v>
      </c>
      <c r="BC22" s="37">
        <v>0</v>
      </c>
      <c r="BD22" s="37">
        <v>146.15144230769229</v>
      </c>
      <c r="BE22" s="37">
        <v>0</v>
      </c>
      <c r="BF22" s="37">
        <v>147.6225</v>
      </c>
      <c r="BG22" s="37">
        <v>0</v>
      </c>
      <c r="BH22" s="37">
        <v>107.32750000000004</v>
      </c>
      <c r="BI22" s="37">
        <v>0</v>
      </c>
      <c r="BJ22" s="37">
        <v>144.47222222222217</v>
      </c>
      <c r="BK22" s="37">
        <v>0</v>
      </c>
      <c r="BL22" s="37">
        <v>104.79750000000007</v>
      </c>
      <c r="BM22" s="37">
        <v>0</v>
      </c>
      <c r="BN22" s="37">
        <v>69.384615384615344</v>
      </c>
      <c r="BO22" s="37">
        <v>0</v>
      </c>
      <c r="BP22" s="37">
        <v>218.28846153846152</v>
      </c>
      <c r="BQ22" s="37">
        <v>0</v>
      </c>
      <c r="BR22" s="37">
        <v>229.11000000000004</v>
      </c>
      <c r="BS22" s="37">
        <v>0</v>
      </c>
      <c r="BT22" s="37">
        <v>243.09490740740748</v>
      </c>
      <c r="BU22" s="37">
        <v>0</v>
      </c>
      <c r="BV22" s="37">
        <v>269.37000000000006</v>
      </c>
      <c r="BW22" s="37">
        <v>0</v>
      </c>
    </row>
    <row r="23" spans="2:75">
      <c r="B23">
        <v>10071</v>
      </c>
      <c r="C23" t="s">
        <v>27</v>
      </c>
      <c r="D23" s="37">
        <v>133.76851851851856</v>
      </c>
      <c r="E23" s="37">
        <v>0</v>
      </c>
      <c r="F23" s="37">
        <v>222.997395833333</v>
      </c>
      <c r="G23" s="37">
        <v>0</v>
      </c>
      <c r="H23" s="37">
        <v>288.92788461538464</v>
      </c>
      <c r="I23" s="37">
        <v>0</v>
      </c>
      <c r="J23" s="37">
        <v>340.69951923076889</v>
      </c>
      <c r="K23" s="37">
        <v>0</v>
      </c>
      <c r="L23" s="37">
        <v>262.43489583333326</v>
      </c>
      <c r="M23" s="37">
        <v>0</v>
      </c>
      <c r="N23" s="37">
        <v>457.76923076923049</v>
      </c>
      <c r="O23" s="37">
        <v>0</v>
      </c>
      <c r="P23" s="37">
        <v>389.58653846153823</v>
      </c>
      <c r="Q23" s="37">
        <v>0</v>
      </c>
      <c r="R23" s="37">
        <v>0</v>
      </c>
      <c r="S23" s="37">
        <v>0</v>
      </c>
      <c r="T23" s="37">
        <v>109.1249999999998</v>
      </c>
      <c r="U23" s="37">
        <v>0</v>
      </c>
      <c r="V23" s="37">
        <v>178.6153846153845</v>
      </c>
      <c r="W23" s="37">
        <v>0</v>
      </c>
      <c r="X23" s="37">
        <v>388.62980769230774</v>
      </c>
      <c r="Y23" s="37">
        <v>0</v>
      </c>
      <c r="Z23" s="37">
        <v>21.297499999999857</v>
      </c>
      <c r="AA23" s="37">
        <v>0</v>
      </c>
      <c r="AB23" s="37">
        <v>125.33564814814812</v>
      </c>
      <c r="AC23" s="37">
        <v>0</v>
      </c>
      <c r="AD23" s="37">
        <v>214.35416666666674</v>
      </c>
      <c r="AE23" s="37">
        <v>0</v>
      </c>
      <c r="AF23" s="37">
        <v>288.92788461538464</v>
      </c>
      <c r="AG23" s="37">
        <v>0</v>
      </c>
      <c r="AH23" s="37">
        <v>328.5999999999998</v>
      </c>
      <c r="AI23" s="37">
        <v>0</v>
      </c>
      <c r="AJ23" s="37">
        <v>262.43489583333326</v>
      </c>
      <c r="AK23" s="37">
        <v>0</v>
      </c>
      <c r="AL23" s="37">
        <v>465.64351851851814</v>
      </c>
      <c r="AM23" s="37">
        <v>0</v>
      </c>
      <c r="AN23" s="37">
        <v>389.58653846153823</v>
      </c>
      <c r="AO23" s="37">
        <v>0</v>
      </c>
      <c r="AP23" s="37">
        <v>0</v>
      </c>
      <c r="AQ23" s="37">
        <v>0</v>
      </c>
      <c r="AR23" s="37">
        <v>109.1249999999998</v>
      </c>
      <c r="AS23" s="37">
        <v>0</v>
      </c>
      <c r="AT23" s="37">
        <v>178.6153846153845</v>
      </c>
      <c r="AU23" s="37">
        <v>0</v>
      </c>
      <c r="AV23" s="37">
        <v>388.62980769230774</v>
      </c>
      <c r="AW23" s="37">
        <v>0</v>
      </c>
      <c r="AX23" s="37">
        <v>21.297499999999857</v>
      </c>
      <c r="AY23" s="37">
        <v>0</v>
      </c>
      <c r="AZ23" s="37">
        <v>117.02884615384612</v>
      </c>
      <c r="BA23" s="37">
        <v>0</v>
      </c>
      <c r="BB23" s="37">
        <v>223.33499999999995</v>
      </c>
      <c r="BC23" s="37">
        <v>0</v>
      </c>
      <c r="BD23" s="37">
        <v>288.92788461538464</v>
      </c>
      <c r="BE23" s="37">
        <v>0</v>
      </c>
      <c r="BF23" s="37">
        <v>328.5999999999998</v>
      </c>
      <c r="BG23" s="37">
        <v>0</v>
      </c>
      <c r="BH23" s="37">
        <v>277.02250000000026</v>
      </c>
      <c r="BI23" s="37">
        <v>0</v>
      </c>
      <c r="BJ23" s="37">
        <v>465.64351851851814</v>
      </c>
      <c r="BK23" s="37">
        <v>0</v>
      </c>
      <c r="BL23" s="37">
        <v>381.30250000000012</v>
      </c>
      <c r="BM23" s="37">
        <v>0</v>
      </c>
      <c r="BN23" s="37">
        <v>0</v>
      </c>
      <c r="BO23" s="37">
        <v>0</v>
      </c>
      <c r="BP23" s="37">
        <v>109.1249999999998</v>
      </c>
      <c r="BQ23" s="37">
        <v>0</v>
      </c>
      <c r="BR23" s="37">
        <v>168.99999999999991</v>
      </c>
      <c r="BS23" s="37">
        <v>0</v>
      </c>
      <c r="BT23" s="37">
        <v>397.1574074074075</v>
      </c>
      <c r="BU23" s="37">
        <v>0</v>
      </c>
      <c r="BV23" s="37">
        <v>21.297499999999857</v>
      </c>
      <c r="BW23" s="37">
        <v>0</v>
      </c>
    </row>
    <row r="24" spans="2:75">
      <c r="B24">
        <v>10072</v>
      </c>
      <c r="C24" t="s">
        <v>28</v>
      </c>
      <c r="D24" s="37">
        <v>5958.9282407407372</v>
      </c>
      <c r="E24" s="37">
        <v>0</v>
      </c>
      <c r="F24" s="37">
        <v>4573.9375000000064</v>
      </c>
      <c r="G24" s="37">
        <v>0</v>
      </c>
      <c r="H24" s="37">
        <v>7685.6682692307668</v>
      </c>
      <c r="I24" s="37">
        <v>0</v>
      </c>
      <c r="J24" s="37">
        <v>9670.9423076923067</v>
      </c>
      <c r="K24" s="37">
        <v>0</v>
      </c>
      <c r="L24" s="37">
        <v>7773.8880208333312</v>
      </c>
      <c r="M24" s="37">
        <v>0</v>
      </c>
      <c r="N24" s="37">
        <v>6835.8413461538512</v>
      </c>
      <c r="O24" s="37">
        <v>0</v>
      </c>
      <c r="P24" s="37">
        <v>8004.6899038461524</v>
      </c>
      <c r="Q24" s="37">
        <v>0</v>
      </c>
      <c r="R24" s="37">
        <v>8420.6149999999998</v>
      </c>
      <c r="S24" s="37">
        <v>0</v>
      </c>
      <c r="T24" s="37">
        <v>11256.913461538466</v>
      </c>
      <c r="U24" s="37">
        <v>0</v>
      </c>
      <c r="V24" s="37">
        <v>11069.69951923077</v>
      </c>
      <c r="W24" s="37">
        <v>0</v>
      </c>
      <c r="X24" s="37">
        <v>15413.733173076924</v>
      </c>
      <c r="Y24" s="37">
        <v>0</v>
      </c>
      <c r="Z24" s="37">
        <v>10011.215</v>
      </c>
      <c r="AA24" s="37">
        <v>0</v>
      </c>
      <c r="AB24" s="37">
        <v>6801.4768518518531</v>
      </c>
      <c r="AC24" s="37">
        <v>0</v>
      </c>
      <c r="AD24" s="37">
        <v>4900.5572916666615</v>
      </c>
      <c r="AE24" s="37">
        <v>0</v>
      </c>
      <c r="AF24" s="37">
        <v>8234.0336538461543</v>
      </c>
      <c r="AG24" s="37">
        <v>0</v>
      </c>
      <c r="AH24" s="37">
        <v>8705.9874999999993</v>
      </c>
      <c r="AI24" s="37">
        <v>0</v>
      </c>
      <c r="AJ24" s="37">
        <v>8288.9713541666715</v>
      </c>
      <c r="AK24" s="37">
        <v>0</v>
      </c>
      <c r="AL24" s="37">
        <v>8309.2962962962974</v>
      </c>
      <c r="AM24" s="37">
        <v>0</v>
      </c>
      <c r="AN24" s="37">
        <v>8386.4206730769201</v>
      </c>
      <c r="AO24" s="37">
        <v>0</v>
      </c>
      <c r="AP24" s="37">
        <v>8839.152500000002</v>
      </c>
      <c r="AQ24" s="37">
        <v>0</v>
      </c>
      <c r="AR24" s="37">
        <v>11692.713942307691</v>
      </c>
      <c r="AS24" s="37">
        <v>0</v>
      </c>
      <c r="AT24" s="37">
        <v>11328.211538461541</v>
      </c>
      <c r="AU24" s="37">
        <v>0</v>
      </c>
      <c r="AV24" s="37">
        <v>16622.610576923078</v>
      </c>
      <c r="AW24" s="37">
        <v>0</v>
      </c>
      <c r="AX24" s="37">
        <v>10135.517499999998</v>
      </c>
      <c r="AY24" s="37">
        <v>0</v>
      </c>
      <c r="AZ24" s="37">
        <v>5745.0817307692296</v>
      </c>
      <c r="BA24" s="37">
        <v>0</v>
      </c>
      <c r="BB24" s="37">
        <v>6242.9225000000024</v>
      </c>
      <c r="BC24" s="37">
        <v>0</v>
      </c>
      <c r="BD24" s="37">
        <v>8310.3245192307677</v>
      </c>
      <c r="BE24" s="37">
        <v>0</v>
      </c>
      <c r="BF24" s="37">
        <v>8765.1199999999953</v>
      </c>
      <c r="BG24" s="37">
        <v>0</v>
      </c>
      <c r="BH24" s="37">
        <v>8747.8700000000008</v>
      </c>
      <c r="BI24" s="37">
        <v>0</v>
      </c>
      <c r="BJ24" s="37">
        <v>8359.7939814814818</v>
      </c>
      <c r="BK24" s="37">
        <v>0</v>
      </c>
      <c r="BL24" s="37">
        <v>7324.4150000000018</v>
      </c>
      <c r="BM24" s="37">
        <v>0</v>
      </c>
      <c r="BN24" s="37">
        <v>9959.0024038461579</v>
      </c>
      <c r="BO24" s="37">
        <v>0</v>
      </c>
      <c r="BP24" s="37">
        <v>11817.471153846152</v>
      </c>
      <c r="BQ24" s="37">
        <v>0</v>
      </c>
      <c r="BR24" s="37">
        <v>10367.445000000003</v>
      </c>
      <c r="BS24" s="37">
        <v>0</v>
      </c>
      <c r="BT24" s="37">
        <v>17741.006944444442</v>
      </c>
      <c r="BU24" s="37">
        <v>0</v>
      </c>
      <c r="BV24" s="37">
        <v>10270.194999999998</v>
      </c>
      <c r="BW24" s="37">
        <v>0</v>
      </c>
    </row>
    <row r="25" spans="2:75">
      <c r="B25">
        <v>10074</v>
      </c>
      <c r="C25" t="s">
        <v>29</v>
      </c>
      <c r="D25" s="37">
        <v>0</v>
      </c>
      <c r="E25" s="37">
        <v>0</v>
      </c>
      <c r="F25" s="37">
        <v>2659.9322916666656</v>
      </c>
      <c r="G25" s="37">
        <v>0</v>
      </c>
      <c r="H25" s="37">
        <v>5910.5745192307686</v>
      </c>
      <c r="I25" s="37">
        <v>0</v>
      </c>
      <c r="J25" s="37">
        <v>3179.2451923076915</v>
      </c>
      <c r="K25" s="37">
        <v>0</v>
      </c>
      <c r="L25" s="37">
        <v>0</v>
      </c>
      <c r="M25" s="37">
        <v>0</v>
      </c>
      <c r="N25" s="37">
        <v>4129.2331730769183</v>
      </c>
      <c r="O25" s="37">
        <v>0</v>
      </c>
      <c r="P25" s="37">
        <v>982.37980769230762</v>
      </c>
      <c r="Q25" s="37">
        <v>0</v>
      </c>
      <c r="R25" s="37">
        <v>4781.3950000000023</v>
      </c>
      <c r="S25" s="37">
        <v>0</v>
      </c>
      <c r="T25" s="37">
        <v>10223.038461538461</v>
      </c>
      <c r="U25" s="37">
        <v>0</v>
      </c>
      <c r="V25" s="37">
        <v>9099.6923076923049</v>
      </c>
      <c r="W25" s="37">
        <v>0</v>
      </c>
      <c r="X25" s="37">
        <v>14131.757211538463</v>
      </c>
      <c r="Y25" s="37">
        <v>0</v>
      </c>
      <c r="Z25" s="37">
        <v>9078.0074999999961</v>
      </c>
      <c r="AA25" s="37">
        <v>0</v>
      </c>
      <c r="AB25" s="37">
        <v>0</v>
      </c>
      <c r="AC25" s="37">
        <v>0</v>
      </c>
      <c r="AD25" s="37">
        <v>2654.9817708333326</v>
      </c>
      <c r="AE25" s="37">
        <v>0</v>
      </c>
      <c r="AF25" s="37">
        <v>5922.3918269230735</v>
      </c>
      <c r="AG25" s="37">
        <v>0</v>
      </c>
      <c r="AH25" s="37">
        <v>3101.5450000000033</v>
      </c>
      <c r="AI25" s="37">
        <v>0</v>
      </c>
      <c r="AJ25" s="37">
        <v>0</v>
      </c>
      <c r="AK25" s="37">
        <v>0</v>
      </c>
      <c r="AL25" s="37">
        <v>4184.1874999999991</v>
      </c>
      <c r="AM25" s="37">
        <v>0</v>
      </c>
      <c r="AN25" s="37">
        <v>972.58413461538498</v>
      </c>
      <c r="AO25" s="37">
        <v>0</v>
      </c>
      <c r="AP25" s="37">
        <v>4785.1025</v>
      </c>
      <c r="AQ25" s="37">
        <v>0</v>
      </c>
      <c r="AR25" s="37">
        <v>10623.290865384615</v>
      </c>
      <c r="AS25" s="37">
        <v>0</v>
      </c>
      <c r="AT25" s="37">
        <v>9520.6394230769256</v>
      </c>
      <c r="AU25" s="37">
        <v>0</v>
      </c>
      <c r="AV25" s="37">
        <v>14625.677884615385</v>
      </c>
      <c r="AW25" s="37">
        <v>0</v>
      </c>
      <c r="AX25" s="37">
        <v>9434.5750000000007</v>
      </c>
      <c r="AY25" s="37">
        <v>0</v>
      </c>
      <c r="AZ25" s="37">
        <v>0</v>
      </c>
      <c r="BA25" s="37">
        <v>0</v>
      </c>
      <c r="BB25" s="37">
        <v>2675.9900000000007</v>
      </c>
      <c r="BC25" s="37">
        <v>0</v>
      </c>
      <c r="BD25" s="37">
        <v>5872.0120192307641</v>
      </c>
      <c r="BE25" s="37">
        <v>0</v>
      </c>
      <c r="BF25" s="37">
        <v>3033.6000000000017</v>
      </c>
      <c r="BG25" s="37">
        <v>0</v>
      </c>
      <c r="BH25" s="37">
        <v>0</v>
      </c>
      <c r="BI25" s="37">
        <v>0</v>
      </c>
      <c r="BJ25" s="37">
        <v>4132.6481481481414</v>
      </c>
      <c r="BK25" s="37">
        <v>0</v>
      </c>
      <c r="BL25" s="37">
        <v>850.04249999999718</v>
      </c>
      <c r="BM25" s="37">
        <v>0</v>
      </c>
      <c r="BN25" s="37">
        <v>4830.990384615382</v>
      </c>
      <c r="BO25" s="37">
        <v>0</v>
      </c>
      <c r="BP25" s="37">
        <v>10869.588942307682</v>
      </c>
      <c r="BQ25" s="37">
        <v>0</v>
      </c>
      <c r="BR25" s="37">
        <v>9674.4774999999991</v>
      </c>
      <c r="BS25" s="37">
        <v>0</v>
      </c>
      <c r="BT25" s="37">
        <v>15030.907407407405</v>
      </c>
      <c r="BU25" s="37">
        <v>0</v>
      </c>
      <c r="BV25" s="37">
        <v>9648.7274999999972</v>
      </c>
      <c r="BW25" s="37">
        <v>0</v>
      </c>
    </row>
    <row r="26" spans="2:75">
      <c r="B26">
        <v>10076</v>
      </c>
      <c r="C26" t="s">
        <v>30</v>
      </c>
      <c r="D26" s="37">
        <v>1155.5624999999993</v>
      </c>
      <c r="E26" s="37">
        <v>0</v>
      </c>
      <c r="F26" s="37">
        <v>262.54166666666714</v>
      </c>
      <c r="G26" s="37">
        <v>0</v>
      </c>
      <c r="H26" s="37">
        <v>1093.774038461539</v>
      </c>
      <c r="I26" s="37">
        <v>0</v>
      </c>
      <c r="J26" s="37">
        <v>853.53124999999886</v>
      </c>
      <c r="K26" s="37">
        <v>0</v>
      </c>
      <c r="L26" s="37">
        <v>521.9375000000008</v>
      </c>
      <c r="M26" s="37">
        <v>0</v>
      </c>
      <c r="N26" s="37">
        <v>710.68509615384471</v>
      </c>
      <c r="O26" s="37">
        <v>0</v>
      </c>
      <c r="P26" s="37">
        <v>744.59615384615279</v>
      </c>
      <c r="Q26" s="37">
        <v>0</v>
      </c>
      <c r="R26" s="37">
        <v>797.21250000000123</v>
      </c>
      <c r="S26" s="37">
        <v>0</v>
      </c>
      <c r="T26" s="37">
        <v>1446.9254807692305</v>
      </c>
      <c r="U26" s="37">
        <v>0</v>
      </c>
      <c r="V26" s="37">
        <v>1268.7475961538448</v>
      </c>
      <c r="W26" s="37">
        <v>0</v>
      </c>
      <c r="X26" s="37">
        <v>1308.6105769230762</v>
      </c>
      <c r="Y26" s="37">
        <v>0</v>
      </c>
      <c r="Z26" s="37">
        <v>1253.8400000000011</v>
      </c>
      <c r="AA26" s="37">
        <v>0</v>
      </c>
      <c r="AB26" s="37">
        <v>1221.6064814814799</v>
      </c>
      <c r="AC26" s="37">
        <v>0</v>
      </c>
      <c r="AD26" s="37">
        <v>331.12760416666617</v>
      </c>
      <c r="AE26" s="37">
        <v>0</v>
      </c>
      <c r="AF26" s="37">
        <v>1167.0624999999998</v>
      </c>
      <c r="AG26" s="37">
        <v>0</v>
      </c>
      <c r="AH26" s="37">
        <v>909.40499999999884</v>
      </c>
      <c r="AI26" s="37">
        <v>0</v>
      </c>
      <c r="AJ26" s="37">
        <v>593.7890625</v>
      </c>
      <c r="AK26" s="37">
        <v>0</v>
      </c>
      <c r="AL26" s="37">
        <v>795.30324074073894</v>
      </c>
      <c r="AM26" s="37">
        <v>0</v>
      </c>
      <c r="AN26" s="37">
        <v>810.93509615384687</v>
      </c>
      <c r="AO26" s="37">
        <v>0</v>
      </c>
      <c r="AP26" s="37">
        <v>860.75999999999976</v>
      </c>
      <c r="AQ26" s="37">
        <v>0</v>
      </c>
      <c r="AR26" s="37">
        <v>1512.475961538461</v>
      </c>
      <c r="AS26" s="37">
        <v>0</v>
      </c>
      <c r="AT26" s="37">
        <v>1336.6802884615377</v>
      </c>
      <c r="AU26" s="37">
        <v>0</v>
      </c>
      <c r="AV26" s="37">
        <v>1375.4230769230774</v>
      </c>
      <c r="AW26" s="37">
        <v>0</v>
      </c>
      <c r="AX26" s="37">
        <v>1317.1825000000001</v>
      </c>
      <c r="AY26" s="37">
        <v>0</v>
      </c>
      <c r="AZ26" s="37">
        <v>1271.259615384615</v>
      </c>
      <c r="BA26" s="37">
        <v>0</v>
      </c>
      <c r="BB26" s="37">
        <v>417.61749999999932</v>
      </c>
      <c r="BC26" s="37">
        <v>0</v>
      </c>
      <c r="BD26" s="37">
        <v>1239.3533653846159</v>
      </c>
      <c r="BE26" s="37">
        <v>0</v>
      </c>
      <c r="BF26" s="37">
        <v>982.14750000000095</v>
      </c>
      <c r="BG26" s="37">
        <v>0</v>
      </c>
      <c r="BH26" s="37">
        <v>690.98250000000144</v>
      </c>
      <c r="BI26" s="37">
        <v>0</v>
      </c>
      <c r="BJ26" s="37">
        <v>866.08333333333314</v>
      </c>
      <c r="BK26" s="37">
        <v>0</v>
      </c>
      <c r="BL26" s="37">
        <v>861.78000000000088</v>
      </c>
      <c r="BM26" s="37">
        <v>0</v>
      </c>
      <c r="BN26" s="37">
        <v>947.94951923076962</v>
      </c>
      <c r="BO26" s="37">
        <v>0</v>
      </c>
      <c r="BP26" s="37">
        <v>1580.0240384615383</v>
      </c>
      <c r="BQ26" s="37">
        <v>0</v>
      </c>
      <c r="BR26" s="37">
        <v>1379.9250000000009</v>
      </c>
      <c r="BS26" s="37">
        <v>0</v>
      </c>
      <c r="BT26" s="37">
        <v>1467.7847222222224</v>
      </c>
      <c r="BU26" s="37">
        <v>0</v>
      </c>
      <c r="BV26" s="37">
        <v>1381.5224999999998</v>
      </c>
      <c r="BW26" s="37">
        <v>0</v>
      </c>
    </row>
    <row r="27" spans="2:75">
      <c r="B27">
        <v>10078</v>
      </c>
      <c r="C27" t="s">
        <v>31</v>
      </c>
      <c r="D27" s="37">
        <v>1142.9791666666663</v>
      </c>
      <c r="E27" s="37">
        <v>0</v>
      </c>
      <c r="F27" s="37">
        <v>1412.716145833333</v>
      </c>
      <c r="G27" s="37">
        <v>0</v>
      </c>
      <c r="H27" s="37">
        <v>1339.069711538461</v>
      </c>
      <c r="I27" s="37">
        <v>0</v>
      </c>
      <c r="J27" s="37">
        <v>849.19471153846189</v>
      </c>
      <c r="K27" s="37">
        <v>0</v>
      </c>
      <c r="L27" s="37">
        <v>1893.0546875000007</v>
      </c>
      <c r="M27" s="37">
        <v>0</v>
      </c>
      <c r="N27" s="37">
        <v>1360.1394230769233</v>
      </c>
      <c r="O27" s="37">
        <v>0</v>
      </c>
      <c r="P27" s="37">
        <v>1130.384615384615</v>
      </c>
      <c r="Q27" s="37">
        <v>0</v>
      </c>
      <c r="R27" s="37">
        <v>1009.5799999999997</v>
      </c>
      <c r="S27" s="37">
        <v>0</v>
      </c>
      <c r="T27" s="37">
        <v>592.37980769230796</v>
      </c>
      <c r="U27" s="37">
        <v>0</v>
      </c>
      <c r="V27" s="37">
        <v>329.21875000000034</v>
      </c>
      <c r="W27" s="37">
        <v>0</v>
      </c>
      <c r="X27" s="37">
        <v>985.50961538461593</v>
      </c>
      <c r="Y27" s="37">
        <v>0</v>
      </c>
      <c r="Z27" s="37">
        <v>633.28750000000002</v>
      </c>
      <c r="AA27" s="37">
        <v>0</v>
      </c>
      <c r="AB27" s="37">
        <v>1150.583333333333</v>
      </c>
      <c r="AC27" s="37">
        <v>0</v>
      </c>
      <c r="AD27" s="37">
        <v>1418.5130208333337</v>
      </c>
      <c r="AE27" s="37">
        <v>0</v>
      </c>
      <c r="AF27" s="37">
        <v>1346.350961538461</v>
      </c>
      <c r="AG27" s="37">
        <v>0</v>
      </c>
      <c r="AH27" s="37">
        <v>814.02750000000015</v>
      </c>
      <c r="AI27" s="37">
        <v>0</v>
      </c>
      <c r="AJ27" s="37">
        <v>1902.0416666666667</v>
      </c>
      <c r="AK27" s="37">
        <v>0</v>
      </c>
      <c r="AL27" s="37">
        <v>1402.210648148148</v>
      </c>
      <c r="AM27" s="37">
        <v>0</v>
      </c>
      <c r="AN27" s="37">
        <v>1135.6634615384612</v>
      </c>
      <c r="AO27" s="37">
        <v>0</v>
      </c>
      <c r="AP27" s="37">
        <v>1016.5449999999998</v>
      </c>
      <c r="AQ27" s="37">
        <v>0</v>
      </c>
      <c r="AR27" s="37">
        <v>596.86778846153788</v>
      </c>
      <c r="AS27" s="37">
        <v>0</v>
      </c>
      <c r="AT27" s="37">
        <v>331.98798076923055</v>
      </c>
      <c r="AU27" s="37">
        <v>0</v>
      </c>
      <c r="AV27" s="37">
        <v>987.93990384615358</v>
      </c>
      <c r="AW27" s="37">
        <v>0</v>
      </c>
      <c r="AX27" s="37">
        <v>637.62750000000051</v>
      </c>
      <c r="AY27" s="37">
        <v>0</v>
      </c>
      <c r="AZ27" s="37">
        <v>1119.6754807692312</v>
      </c>
      <c r="BA27" s="37">
        <v>0</v>
      </c>
      <c r="BB27" s="37">
        <v>1464.3649999999996</v>
      </c>
      <c r="BC27" s="37">
        <v>0</v>
      </c>
      <c r="BD27" s="37">
        <v>1350.3870192307691</v>
      </c>
      <c r="BE27" s="37">
        <v>0</v>
      </c>
      <c r="BF27" s="37">
        <v>816.46249999999941</v>
      </c>
      <c r="BG27" s="37">
        <v>0</v>
      </c>
      <c r="BH27" s="37">
        <v>1914.5324999999996</v>
      </c>
      <c r="BI27" s="37">
        <v>0</v>
      </c>
      <c r="BJ27" s="37">
        <v>1408.3148148148148</v>
      </c>
      <c r="BK27" s="37">
        <v>0</v>
      </c>
      <c r="BL27" s="37">
        <v>1106.0199999999995</v>
      </c>
      <c r="BM27" s="37">
        <v>0</v>
      </c>
      <c r="BN27" s="37">
        <v>1053.21875</v>
      </c>
      <c r="BO27" s="37">
        <v>0</v>
      </c>
      <c r="BP27" s="37">
        <v>598.72115384615392</v>
      </c>
      <c r="BQ27" s="37">
        <v>0</v>
      </c>
      <c r="BR27" s="37">
        <v>302.94749999999971</v>
      </c>
      <c r="BS27" s="37">
        <v>0</v>
      </c>
      <c r="BT27" s="37">
        <v>1020.5162037037042</v>
      </c>
      <c r="BU27" s="37">
        <v>0</v>
      </c>
      <c r="BV27" s="37">
        <v>641.35750000000007</v>
      </c>
      <c r="BW27" s="37">
        <v>0</v>
      </c>
    </row>
    <row r="28" spans="2:75">
      <c r="B28">
        <v>10079</v>
      </c>
      <c r="C28" t="s">
        <v>32</v>
      </c>
      <c r="D28" s="37">
        <v>16563.7685185185</v>
      </c>
      <c r="E28" s="37">
        <v>0</v>
      </c>
      <c r="F28" s="37">
        <v>24828.138020833336</v>
      </c>
      <c r="G28" s="37">
        <v>0</v>
      </c>
      <c r="H28" s="37">
        <v>23259.826923076922</v>
      </c>
      <c r="I28" s="37">
        <v>0</v>
      </c>
      <c r="J28" s="37">
        <v>25271.076923076933</v>
      </c>
      <c r="K28" s="37">
        <v>0</v>
      </c>
      <c r="L28" s="37">
        <v>0</v>
      </c>
      <c r="M28" s="37">
        <v>0</v>
      </c>
      <c r="N28" s="37">
        <v>24601.509615384599</v>
      </c>
      <c r="O28" s="37">
        <v>0</v>
      </c>
      <c r="P28" s="37">
        <v>21140.091346153837</v>
      </c>
      <c r="Q28" s="37">
        <v>0</v>
      </c>
      <c r="R28" s="37">
        <v>27727.137500000019</v>
      </c>
      <c r="S28" s="37">
        <v>0</v>
      </c>
      <c r="T28" s="37">
        <v>27151.656250000011</v>
      </c>
      <c r="U28" s="37">
        <v>0</v>
      </c>
      <c r="V28" s="37">
        <v>20318.923076923056</v>
      </c>
      <c r="W28" s="37">
        <v>0</v>
      </c>
      <c r="X28" s="37">
        <v>25285.338942307688</v>
      </c>
      <c r="Y28" s="37">
        <v>0</v>
      </c>
      <c r="Z28" s="37">
        <v>22450.799999999999</v>
      </c>
      <c r="AA28" s="37">
        <v>0</v>
      </c>
      <c r="AB28" s="37">
        <v>16356.212962962956</v>
      </c>
      <c r="AC28" s="37">
        <v>0</v>
      </c>
      <c r="AD28" s="37">
        <v>24566.856770833339</v>
      </c>
      <c r="AE28" s="37">
        <v>0</v>
      </c>
      <c r="AF28" s="37">
        <v>22946.586538461524</v>
      </c>
      <c r="AG28" s="37">
        <v>0</v>
      </c>
      <c r="AH28" s="37">
        <v>23822.919999999995</v>
      </c>
      <c r="AI28" s="37">
        <v>0</v>
      </c>
      <c r="AJ28" s="37">
        <v>0</v>
      </c>
      <c r="AK28" s="37">
        <v>0</v>
      </c>
      <c r="AL28" s="37">
        <v>25343.055555555537</v>
      </c>
      <c r="AM28" s="37">
        <v>0</v>
      </c>
      <c r="AN28" s="37">
        <v>20913.867788461517</v>
      </c>
      <c r="AO28" s="37">
        <v>0</v>
      </c>
      <c r="AP28" s="37">
        <v>27525.322500000009</v>
      </c>
      <c r="AQ28" s="37">
        <v>0</v>
      </c>
      <c r="AR28" s="37">
        <v>26956.709134615387</v>
      </c>
      <c r="AS28" s="37">
        <v>0</v>
      </c>
      <c r="AT28" s="37">
        <v>20097.911057692287</v>
      </c>
      <c r="AU28" s="37">
        <v>0</v>
      </c>
      <c r="AV28" s="37">
        <v>25055.132211538465</v>
      </c>
      <c r="AW28" s="37">
        <v>0</v>
      </c>
      <c r="AX28" s="37">
        <v>22252.645000000015</v>
      </c>
      <c r="AY28" s="37">
        <v>0</v>
      </c>
      <c r="AZ28" s="37">
        <v>15140.173076923062</v>
      </c>
      <c r="BA28" s="37">
        <v>0</v>
      </c>
      <c r="BB28" s="37">
        <v>25475.972499999996</v>
      </c>
      <c r="BC28" s="37">
        <v>0</v>
      </c>
      <c r="BD28" s="37">
        <v>22631.75721153845</v>
      </c>
      <c r="BE28" s="37">
        <v>0</v>
      </c>
      <c r="BF28" s="37">
        <v>23527.079999999998</v>
      </c>
      <c r="BG28" s="37">
        <v>0</v>
      </c>
      <c r="BH28" s="37">
        <v>885.25499999999374</v>
      </c>
      <c r="BI28" s="37">
        <v>0</v>
      </c>
      <c r="BJ28" s="37">
        <v>25078.687499999985</v>
      </c>
      <c r="BK28" s="37">
        <v>0</v>
      </c>
      <c r="BL28" s="37">
        <v>19674.592499999988</v>
      </c>
      <c r="BM28" s="37">
        <v>0</v>
      </c>
      <c r="BN28" s="37">
        <v>28322.132211538468</v>
      </c>
      <c r="BO28" s="37">
        <v>0</v>
      </c>
      <c r="BP28" s="37">
        <v>26760.805288461546</v>
      </c>
      <c r="BQ28" s="37">
        <v>0</v>
      </c>
      <c r="BR28" s="37">
        <v>18803.097499999978</v>
      </c>
      <c r="BS28" s="37">
        <v>0</v>
      </c>
      <c r="BT28" s="37">
        <v>25875.469907407405</v>
      </c>
      <c r="BU28" s="37">
        <v>0</v>
      </c>
      <c r="BV28" s="37">
        <v>22053.542500000007</v>
      </c>
      <c r="BW28" s="37">
        <v>0</v>
      </c>
    </row>
    <row r="29" spans="2:75">
      <c r="B29">
        <v>10080</v>
      </c>
      <c r="C29" t="s">
        <v>33</v>
      </c>
      <c r="D29" s="37">
        <v>0</v>
      </c>
      <c r="E29" s="37">
        <v>0</v>
      </c>
      <c r="F29" s="37">
        <v>0</v>
      </c>
      <c r="G29" s="37">
        <v>0</v>
      </c>
      <c r="H29" s="37">
        <v>1495.5024038461543</v>
      </c>
      <c r="I29" s="37">
        <v>0</v>
      </c>
      <c r="J29" s="37">
        <v>1325.2812500000011</v>
      </c>
      <c r="K29" s="37">
        <v>0</v>
      </c>
      <c r="L29" s="37">
        <v>455.52604166666731</v>
      </c>
      <c r="M29" s="37">
        <v>0</v>
      </c>
      <c r="N29" s="37">
        <v>91.932692307693074</v>
      </c>
      <c r="O29" s="37">
        <v>0</v>
      </c>
      <c r="P29" s="37">
        <v>482.17548076923157</v>
      </c>
      <c r="Q29" s="37">
        <v>0</v>
      </c>
      <c r="R29" s="37">
        <v>1081.0999999999997</v>
      </c>
      <c r="S29" s="37">
        <v>0</v>
      </c>
      <c r="T29" s="37">
        <v>1852.4759615384614</v>
      </c>
      <c r="U29" s="37">
        <v>0</v>
      </c>
      <c r="V29" s="37">
        <v>1585.1754807692319</v>
      </c>
      <c r="W29" s="37">
        <v>0</v>
      </c>
      <c r="X29" s="37">
        <v>1829.9423076923072</v>
      </c>
      <c r="Y29" s="37">
        <v>0</v>
      </c>
      <c r="Z29" s="37">
        <v>1138.9499999999998</v>
      </c>
      <c r="AA29" s="37">
        <v>0</v>
      </c>
      <c r="AB29" s="37">
        <v>0</v>
      </c>
      <c r="AC29" s="37">
        <v>0</v>
      </c>
      <c r="AD29" s="37">
        <v>0</v>
      </c>
      <c r="AE29" s="37">
        <v>0</v>
      </c>
      <c r="AF29" s="37">
        <v>1487.9951923076906</v>
      </c>
      <c r="AG29" s="37">
        <v>0</v>
      </c>
      <c r="AH29" s="37">
        <v>1297.5949999999989</v>
      </c>
      <c r="AI29" s="37">
        <v>0</v>
      </c>
      <c r="AJ29" s="37">
        <v>448.63281250000142</v>
      </c>
      <c r="AK29" s="37">
        <v>0</v>
      </c>
      <c r="AL29" s="37">
        <v>99.641203703704889</v>
      </c>
      <c r="AM29" s="37">
        <v>0</v>
      </c>
      <c r="AN29" s="37">
        <v>474.30048076923214</v>
      </c>
      <c r="AO29" s="37">
        <v>0</v>
      </c>
      <c r="AP29" s="37">
        <v>1088.9475000000002</v>
      </c>
      <c r="AQ29" s="37">
        <v>0</v>
      </c>
      <c r="AR29" s="37">
        <v>1860.9975961538464</v>
      </c>
      <c r="AS29" s="37">
        <v>0</v>
      </c>
      <c r="AT29" s="37">
        <v>1593.9903846153854</v>
      </c>
      <c r="AU29" s="37">
        <v>0</v>
      </c>
      <c r="AV29" s="37">
        <v>1838.7548076923074</v>
      </c>
      <c r="AW29" s="37">
        <v>0</v>
      </c>
      <c r="AX29" s="37">
        <v>1147.675</v>
      </c>
      <c r="AY29" s="37">
        <v>0</v>
      </c>
      <c r="AZ29" s="37">
        <v>0</v>
      </c>
      <c r="BA29" s="37">
        <v>0</v>
      </c>
      <c r="BB29" s="37">
        <v>0</v>
      </c>
      <c r="BC29" s="37">
        <v>0</v>
      </c>
      <c r="BD29" s="37">
        <v>1481.7331730769213</v>
      </c>
      <c r="BE29" s="37">
        <v>0</v>
      </c>
      <c r="BF29" s="37">
        <v>1290.3749999999986</v>
      </c>
      <c r="BG29" s="37">
        <v>0</v>
      </c>
      <c r="BH29" s="37">
        <v>517.83999999999969</v>
      </c>
      <c r="BI29" s="37">
        <v>0</v>
      </c>
      <c r="BJ29" s="37">
        <v>92.039351851851634</v>
      </c>
      <c r="BK29" s="37">
        <v>0</v>
      </c>
      <c r="BL29" s="37">
        <v>452.45999999999964</v>
      </c>
      <c r="BM29" s="37">
        <v>0</v>
      </c>
      <c r="BN29" s="37">
        <v>1112.3701923076924</v>
      </c>
      <c r="BO29" s="37">
        <v>0</v>
      </c>
      <c r="BP29" s="37">
        <v>1869.3774038461538</v>
      </c>
      <c r="BQ29" s="37">
        <v>0</v>
      </c>
      <c r="BR29" s="37">
        <v>1586.2424999999989</v>
      </c>
      <c r="BS29" s="37">
        <v>0</v>
      </c>
      <c r="BT29" s="37">
        <v>1861.0254629629637</v>
      </c>
      <c r="BU29" s="37">
        <v>0</v>
      </c>
      <c r="BV29" s="37">
        <v>1155.2524999999991</v>
      </c>
      <c r="BW29" s="37">
        <v>0</v>
      </c>
    </row>
    <row r="30" spans="2:75">
      <c r="B30">
        <v>10081</v>
      </c>
      <c r="C30" t="s">
        <v>34</v>
      </c>
      <c r="D30" s="37">
        <v>0</v>
      </c>
      <c r="E30" s="37">
        <v>0</v>
      </c>
      <c r="F30" s="37">
        <v>0</v>
      </c>
      <c r="G30" s="37">
        <v>0</v>
      </c>
      <c r="H30" s="37">
        <v>3558.2692307692309</v>
      </c>
      <c r="I30" s="37">
        <v>0</v>
      </c>
      <c r="J30" s="37">
        <v>442.68269230769073</v>
      </c>
      <c r="K30" s="37">
        <v>0</v>
      </c>
      <c r="L30" s="37">
        <v>320.71354166666578</v>
      </c>
      <c r="M30" s="37">
        <v>0</v>
      </c>
      <c r="N30" s="37">
        <v>2042.461538461537</v>
      </c>
      <c r="O30" s="37">
        <v>0</v>
      </c>
      <c r="P30" s="37">
        <v>681.73076923076883</v>
      </c>
      <c r="Q30" s="37">
        <v>0</v>
      </c>
      <c r="R30" s="37">
        <v>0</v>
      </c>
      <c r="S30" s="37">
        <v>0</v>
      </c>
      <c r="T30" s="37">
        <v>3015.0528846153825</v>
      </c>
      <c r="U30" s="37">
        <v>0</v>
      </c>
      <c r="V30" s="37">
        <v>1296.8413461538448</v>
      </c>
      <c r="W30" s="37">
        <v>0</v>
      </c>
      <c r="X30" s="37">
        <v>1739.2403846153854</v>
      </c>
      <c r="Y30" s="37">
        <v>0</v>
      </c>
      <c r="Z30" s="37">
        <v>1078.0325</v>
      </c>
      <c r="AA30" s="37">
        <v>0</v>
      </c>
      <c r="AB30" s="37">
        <v>0</v>
      </c>
      <c r="AC30" s="37">
        <v>0</v>
      </c>
      <c r="AD30" s="37">
        <v>0</v>
      </c>
      <c r="AE30" s="37">
        <v>0</v>
      </c>
      <c r="AF30" s="37">
        <v>3558.2692307692309</v>
      </c>
      <c r="AG30" s="37">
        <v>0</v>
      </c>
      <c r="AH30" s="37">
        <v>540.17999999999859</v>
      </c>
      <c r="AI30" s="37">
        <v>0</v>
      </c>
      <c r="AJ30" s="37">
        <v>320.71354166666578</v>
      </c>
      <c r="AK30" s="37">
        <v>0</v>
      </c>
      <c r="AL30" s="37">
        <v>1972.6365740740741</v>
      </c>
      <c r="AM30" s="37">
        <v>0</v>
      </c>
      <c r="AN30" s="37">
        <v>681.73076923076883</v>
      </c>
      <c r="AO30" s="37">
        <v>0</v>
      </c>
      <c r="AP30" s="37">
        <v>0</v>
      </c>
      <c r="AQ30" s="37">
        <v>0</v>
      </c>
      <c r="AR30" s="37">
        <v>3015.0528846153825</v>
      </c>
      <c r="AS30" s="37">
        <v>0</v>
      </c>
      <c r="AT30" s="37">
        <v>1296.8413461538448</v>
      </c>
      <c r="AU30" s="37">
        <v>0</v>
      </c>
      <c r="AV30" s="37">
        <v>1739.2403846153854</v>
      </c>
      <c r="AW30" s="37">
        <v>0</v>
      </c>
      <c r="AX30" s="37">
        <v>1078.0325</v>
      </c>
      <c r="AY30" s="37">
        <v>0</v>
      </c>
      <c r="AZ30" s="37">
        <v>0</v>
      </c>
      <c r="BA30" s="37">
        <v>0</v>
      </c>
      <c r="BB30" s="37">
        <v>0</v>
      </c>
      <c r="BC30" s="37">
        <v>0</v>
      </c>
      <c r="BD30" s="37">
        <v>3558.2692307692309</v>
      </c>
      <c r="BE30" s="37">
        <v>0</v>
      </c>
      <c r="BF30" s="37">
        <v>540.17999999999859</v>
      </c>
      <c r="BG30" s="37">
        <v>0</v>
      </c>
      <c r="BH30" s="37">
        <v>372.77000000000004</v>
      </c>
      <c r="BI30" s="37">
        <v>0</v>
      </c>
      <c r="BJ30" s="37">
        <v>1972.6365740740741</v>
      </c>
      <c r="BK30" s="37">
        <v>0</v>
      </c>
      <c r="BL30" s="37">
        <v>736.57749999999828</v>
      </c>
      <c r="BM30" s="37">
        <v>0</v>
      </c>
      <c r="BN30" s="37">
        <v>0</v>
      </c>
      <c r="BO30" s="37">
        <v>0</v>
      </c>
      <c r="BP30" s="37">
        <v>3015.0528846153825</v>
      </c>
      <c r="BQ30" s="37">
        <v>0</v>
      </c>
      <c r="BR30" s="37">
        <v>1331.8850000000007</v>
      </c>
      <c r="BS30" s="37">
        <v>0</v>
      </c>
      <c r="BT30" s="37">
        <v>1702.0740740740746</v>
      </c>
      <c r="BU30" s="37">
        <v>0</v>
      </c>
      <c r="BV30" s="37">
        <v>1078.0325</v>
      </c>
      <c r="BW30" s="37">
        <v>0</v>
      </c>
    </row>
    <row r="31" spans="2:75">
      <c r="B31">
        <v>10082</v>
      </c>
      <c r="C31" t="s">
        <v>35</v>
      </c>
      <c r="D31" s="37">
        <v>33.280092592592567</v>
      </c>
      <c r="E31" s="37">
        <v>0</v>
      </c>
      <c r="F31" s="37">
        <v>21.833333333333329</v>
      </c>
      <c r="G31" s="37">
        <v>0</v>
      </c>
      <c r="H31" s="37">
        <v>21.39423076923077</v>
      </c>
      <c r="I31" s="37">
        <v>0</v>
      </c>
      <c r="J31" s="37">
        <v>37.783653846153854</v>
      </c>
      <c r="K31" s="37">
        <v>0</v>
      </c>
      <c r="L31" s="37">
        <v>23.367187499999996</v>
      </c>
      <c r="M31" s="37">
        <v>0</v>
      </c>
      <c r="N31" s="37">
        <v>17.548076923076916</v>
      </c>
      <c r="O31" s="37">
        <v>0</v>
      </c>
      <c r="P31" s="37">
        <v>17.793269230769237</v>
      </c>
      <c r="Q31" s="37">
        <v>0</v>
      </c>
      <c r="R31" s="37">
        <v>12.977500000000017</v>
      </c>
      <c r="S31" s="37">
        <v>0</v>
      </c>
      <c r="T31" s="37">
        <v>22.259615384615383</v>
      </c>
      <c r="U31" s="37">
        <v>0</v>
      </c>
      <c r="V31" s="37">
        <v>27.923076923076909</v>
      </c>
      <c r="W31" s="37">
        <v>0</v>
      </c>
      <c r="X31" s="37">
        <v>25.528846153846153</v>
      </c>
      <c r="Y31" s="37">
        <v>0</v>
      </c>
      <c r="Z31" s="37">
        <v>29.587500000000002</v>
      </c>
      <c r="AA31" s="37">
        <v>0</v>
      </c>
      <c r="AB31" s="37">
        <v>33.280092592592567</v>
      </c>
      <c r="AC31" s="37">
        <v>0</v>
      </c>
      <c r="AD31" s="37">
        <v>21.833333333333329</v>
      </c>
      <c r="AE31" s="37">
        <v>0</v>
      </c>
      <c r="AF31" s="37">
        <v>21.39423076923077</v>
      </c>
      <c r="AG31" s="37">
        <v>0</v>
      </c>
      <c r="AH31" s="37">
        <v>30.454999999999995</v>
      </c>
      <c r="AI31" s="37">
        <v>0</v>
      </c>
      <c r="AJ31" s="37">
        <v>23.367187499999996</v>
      </c>
      <c r="AK31" s="37">
        <v>0</v>
      </c>
      <c r="AL31" s="37">
        <v>22.379629629629612</v>
      </c>
      <c r="AM31" s="37">
        <v>0</v>
      </c>
      <c r="AN31" s="37">
        <v>17.793269230769237</v>
      </c>
      <c r="AO31" s="37">
        <v>0</v>
      </c>
      <c r="AP31" s="37">
        <v>12.977500000000017</v>
      </c>
      <c r="AQ31" s="37">
        <v>0</v>
      </c>
      <c r="AR31" s="37">
        <v>22.259615384615383</v>
      </c>
      <c r="AS31" s="37">
        <v>0</v>
      </c>
      <c r="AT31" s="37">
        <v>27.923076923076909</v>
      </c>
      <c r="AU31" s="37">
        <v>0</v>
      </c>
      <c r="AV31" s="37">
        <v>25.528846153846153</v>
      </c>
      <c r="AW31" s="37">
        <v>0</v>
      </c>
      <c r="AX31" s="37">
        <v>29.587500000000002</v>
      </c>
      <c r="AY31" s="37">
        <v>0</v>
      </c>
      <c r="AZ31" s="37">
        <v>29.290865384615365</v>
      </c>
      <c r="BA31" s="37">
        <v>0</v>
      </c>
      <c r="BB31" s="37">
        <v>26.880000000000003</v>
      </c>
      <c r="BC31" s="37">
        <v>0</v>
      </c>
      <c r="BD31" s="37">
        <v>21.39423076923077</v>
      </c>
      <c r="BE31" s="37">
        <v>0</v>
      </c>
      <c r="BF31" s="37">
        <v>30.454999999999995</v>
      </c>
      <c r="BG31" s="37">
        <v>0</v>
      </c>
      <c r="BH31" s="37">
        <v>27.137499999999982</v>
      </c>
      <c r="BI31" s="37">
        <v>0</v>
      </c>
      <c r="BJ31" s="37">
        <v>22.379629629629612</v>
      </c>
      <c r="BK31" s="37">
        <v>0</v>
      </c>
      <c r="BL31" s="37">
        <v>13.545000000000002</v>
      </c>
      <c r="BM31" s="37">
        <v>0</v>
      </c>
      <c r="BN31" s="37">
        <v>16.247596153846175</v>
      </c>
      <c r="BO31" s="37">
        <v>0</v>
      </c>
      <c r="BP31" s="37">
        <v>22.259615384615383</v>
      </c>
      <c r="BQ31" s="37">
        <v>0</v>
      </c>
      <c r="BR31" s="37">
        <v>24.31999999999999</v>
      </c>
      <c r="BS31" s="37">
        <v>0</v>
      </c>
      <c r="BT31" s="37">
        <v>28.916666666666661</v>
      </c>
      <c r="BU31" s="37">
        <v>0</v>
      </c>
      <c r="BV31" s="37">
        <v>29.587500000000002</v>
      </c>
      <c r="BW31" s="37">
        <v>0</v>
      </c>
    </row>
    <row r="32" spans="2:75">
      <c r="B32">
        <v>10083</v>
      </c>
      <c r="C32" t="s">
        <v>36</v>
      </c>
      <c r="D32" s="37">
        <v>633.43518518518499</v>
      </c>
      <c r="E32" s="37">
        <v>0</v>
      </c>
      <c r="F32" s="37">
        <v>66.158854166666885</v>
      </c>
      <c r="G32" s="37">
        <v>0</v>
      </c>
      <c r="H32" s="37">
        <v>1536.1754807692321</v>
      </c>
      <c r="I32" s="37">
        <v>0</v>
      </c>
      <c r="J32" s="37">
        <v>1537.8341346153825</v>
      </c>
      <c r="K32" s="37">
        <v>0</v>
      </c>
      <c r="L32" s="37">
        <v>1205.4765625</v>
      </c>
      <c r="M32" s="37">
        <v>0</v>
      </c>
      <c r="N32" s="37">
        <v>1250.7403846153834</v>
      </c>
      <c r="O32" s="37">
        <v>0</v>
      </c>
      <c r="P32" s="37">
        <v>676.13701923076826</v>
      </c>
      <c r="Q32" s="37">
        <v>0</v>
      </c>
      <c r="R32" s="37">
        <v>1829.8075000000001</v>
      </c>
      <c r="S32" s="37">
        <v>0</v>
      </c>
      <c r="T32" s="37">
        <v>4012.8533653846148</v>
      </c>
      <c r="U32" s="37">
        <v>0</v>
      </c>
      <c r="V32" s="37">
        <v>4161.8509615384619</v>
      </c>
      <c r="W32" s="37">
        <v>0</v>
      </c>
      <c r="X32" s="37">
        <v>4886.8605769230771</v>
      </c>
      <c r="Y32" s="37">
        <v>0</v>
      </c>
      <c r="Z32" s="37">
        <v>3174.5324999999998</v>
      </c>
      <c r="AA32" s="37">
        <v>0</v>
      </c>
      <c r="AB32" s="37">
        <v>639.03703703703661</v>
      </c>
      <c r="AC32" s="37">
        <v>0</v>
      </c>
      <c r="AD32" s="37">
        <v>70.986979166668192</v>
      </c>
      <c r="AE32" s="37">
        <v>0</v>
      </c>
      <c r="AF32" s="37">
        <v>1541.1201923076922</v>
      </c>
      <c r="AG32" s="37">
        <v>0</v>
      </c>
      <c r="AH32" s="37">
        <v>1564.2424999999994</v>
      </c>
      <c r="AI32" s="37">
        <v>0</v>
      </c>
      <c r="AJ32" s="37">
        <v>1210.4166666666658</v>
      </c>
      <c r="AK32" s="37">
        <v>0</v>
      </c>
      <c r="AL32" s="37">
        <v>1241.0324074074078</v>
      </c>
      <c r="AM32" s="37">
        <v>0</v>
      </c>
      <c r="AN32" s="37">
        <v>680.98557692307566</v>
      </c>
      <c r="AO32" s="37">
        <v>0</v>
      </c>
      <c r="AP32" s="37">
        <v>1855.962500000001</v>
      </c>
      <c r="AQ32" s="37">
        <v>0</v>
      </c>
      <c r="AR32" s="37">
        <v>4058.9350961538476</v>
      </c>
      <c r="AS32" s="37">
        <v>0</v>
      </c>
      <c r="AT32" s="37">
        <v>4211.1442307692314</v>
      </c>
      <c r="AU32" s="37">
        <v>0</v>
      </c>
      <c r="AV32" s="37">
        <v>4939.0096153846162</v>
      </c>
      <c r="AW32" s="37">
        <v>0</v>
      </c>
      <c r="AX32" s="37">
        <v>3210.2074999999991</v>
      </c>
      <c r="AY32" s="37">
        <v>0</v>
      </c>
      <c r="AZ32" s="37">
        <v>648.01442307692446</v>
      </c>
      <c r="BA32" s="37">
        <v>0</v>
      </c>
      <c r="BB32" s="37">
        <v>63.384999999999359</v>
      </c>
      <c r="BC32" s="37">
        <v>0</v>
      </c>
      <c r="BD32" s="37">
        <v>1545.0649038461531</v>
      </c>
      <c r="BE32" s="37">
        <v>0</v>
      </c>
      <c r="BF32" s="37">
        <v>1569.3025000000014</v>
      </c>
      <c r="BG32" s="37">
        <v>0</v>
      </c>
      <c r="BH32" s="37">
        <v>1171.1700000000005</v>
      </c>
      <c r="BI32" s="37">
        <v>0</v>
      </c>
      <c r="BJ32" s="37">
        <v>1245.9791666666665</v>
      </c>
      <c r="BK32" s="37">
        <v>0</v>
      </c>
      <c r="BL32" s="37">
        <v>697.03250000000014</v>
      </c>
      <c r="BM32" s="37">
        <v>0</v>
      </c>
      <c r="BN32" s="37">
        <v>1879.2331730769233</v>
      </c>
      <c r="BO32" s="37">
        <v>0</v>
      </c>
      <c r="BP32" s="37">
        <v>4106.016826923078</v>
      </c>
      <c r="BQ32" s="37">
        <v>0</v>
      </c>
      <c r="BR32" s="37">
        <v>4259.0949999999975</v>
      </c>
      <c r="BS32" s="37">
        <v>0</v>
      </c>
      <c r="BT32" s="37">
        <v>4992.0717592592609</v>
      </c>
      <c r="BU32" s="37">
        <v>0</v>
      </c>
      <c r="BV32" s="37">
        <v>3245.8824999999988</v>
      </c>
      <c r="BW32" s="37">
        <v>0</v>
      </c>
    </row>
    <row r="33" spans="2:75">
      <c r="B33">
        <v>10086</v>
      </c>
      <c r="C33" t="s">
        <v>37</v>
      </c>
      <c r="D33" s="37">
        <v>0</v>
      </c>
      <c r="E33" s="37">
        <v>0</v>
      </c>
      <c r="F33" s="37">
        <v>164.9270833333334</v>
      </c>
      <c r="G33" s="37">
        <v>0</v>
      </c>
      <c r="H33" s="37">
        <v>310.58413461538458</v>
      </c>
      <c r="I33" s="37">
        <v>0</v>
      </c>
      <c r="J33" s="37">
        <v>468.08173076923089</v>
      </c>
      <c r="K33" s="37">
        <v>0</v>
      </c>
      <c r="L33" s="37">
        <v>343.96093749999989</v>
      </c>
      <c r="M33" s="37">
        <v>0</v>
      </c>
      <c r="N33" s="37">
        <v>262.9663461538463</v>
      </c>
      <c r="O33" s="37">
        <v>0</v>
      </c>
      <c r="P33" s="37">
        <v>748.26442307692287</v>
      </c>
      <c r="Q33" s="37">
        <v>0</v>
      </c>
      <c r="R33" s="37">
        <v>0</v>
      </c>
      <c r="S33" s="37">
        <v>0</v>
      </c>
      <c r="T33" s="37">
        <v>22.276442307692214</v>
      </c>
      <c r="U33" s="37">
        <v>0</v>
      </c>
      <c r="V33" s="37">
        <v>24.766826923076746</v>
      </c>
      <c r="W33" s="37">
        <v>0</v>
      </c>
      <c r="X33" s="37">
        <v>290.918269230769</v>
      </c>
      <c r="Y33" s="37">
        <v>0</v>
      </c>
      <c r="Z33" s="37">
        <v>117.0625000000004</v>
      </c>
      <c r="AA33" s="37">
        <v>0</v>
      </c>
      <c r="AB33" s="37">
        <v>0</v>
      </c>
      <c r="AC33" s="37">
        <v>0</v>
      </c>
      <c r="AD33" s="37">
        <v>168.86458333333354</v>
      </c>
      <c r="AE33" s="37">
        <v>0</v>
      </c>
      <c r="AF33" s="37">
        <v>314.82932692307662</v>
      </c>
      <c r="AG33" s="37">
        <v>0</v>
      </c>
      <c r="AH33" s="37">
        <v>510.81749999999926</v>
      </c>
      <c r="AI33" s="37">
        <v>0</v>
      </c>
      <c r="AJ33" s="37">
        <v>347.80208333333371</v>
      </c>
      <c r="AK33" s="37">
        <v>0</v>
      </c>
      <c r="AL33" s="37">
        <v>231.76388888888931</v>
      </c>
      <c r="AM33" s="37">
        <v>0</v>
      </c>
      <c r="AN33" s="37">
        <v>753.22836538461524</v>
      </c>
      <c r="AO33" s="37">
        <v>0</v>
      </c>
      <c r="AP33" s="37">
        <v>0</v>
      </c>
      <c r="AQ33" s="37">
        <v>0</v>
      </c>
      <c r="AR33" s="37">
        <v>25.322115384615039</v>
      </c>
      <c r="AS33" s="37">
        <v>0</v>
      </c>
      <c r="AT33" s="37">
        <v>26.853365384615024</v>
      </c>
      <c r="AU33" s="37">
        <v>0</v>
      </c>
      <c r="AV33" s="37">
        <v>292.92788461538487</v>
      </c>
      <c r="AW33" s="37">
        <v>0</v>
      </c>
      <c r="AX33" s="37">
        <v>120.14999999999986</v>
      </c>
      <c r="AY33" s="37">
        <v>0</v>
      </c>
      <c r="AZ33" s="37">
        <v>0</v>
      </c>
      <c r="BA33" s="37">
        <v>0</v>
      </c>
      <c r="BB33" s="37">
        <v>131.11999999999989</v>
      </c>
      <c r="BC33" s="37">
        <v>0</v>
      </c>
      <c r="BD33" s="37">
        <v>319.07692307692372</v>
      </c>
      <c r="BE33" s="37">
        <v>0</v>
      </c>
      <c r="BF33" s="37">
        <v>514.91500000000042</v>
      </c>
      <c r="BG33" s="37">
        <v>0</v>
      </c>
      <c r="BH33" s="37">
        <v>391.22499999999991</v>
      </c>
      <c r="BI33" s="37">
        <v>0</v>
      </c>
      <c r="BJ33" s="37">
        <v>235.39814814814864</v>
      </c>
      <c r="BK33" s="37">
        <v>0</v>
      </c>
      <c r="BL33" s="37">
        <v>801.03999999999974</v>
      </c>
      <c r="BM33" s="37">
        <v>0</v>
      </c>
      <c r="BN33" s="37">
        <v>0</v>
      </c>
      <c r="BO33" s="37">
        <v>0</v>
      </c>
      <c r="BP33" s="37">
        <v>27.334134615385032</v>
      </c>
      <c r="BQ33" s="37">
        <v>0</v>
      </c>
      <c r="BR33" s="37">
        <v>66.16750000000016</v>
      </c>
      <c r="BS33" s="37">
        <v>0</v>
      </c>
      <c r="BT33" s="37">
        <v>255.13194444444443</v>
      </c>
      <c r="BU33" s="37">
        <v>0</v>
      </c>
      <c r="BV33" s="37">
        <v>123.20250000000021</v>
      </c>
      <c r="BW33" s="37">
        <v>0</v>
      </c>
    </row>
    <row r="34" spans="2:75">
      <c r="B34">
        <v>10087</v>
      </c>
      <c r="C34" t="s">
        <v>38</v>
      </c>
      <c r="D34" s="37">
        <v>0</v>
      </c>
      <c r="E34" s="37">
        <v>0</v>
      </c>
      <c r="F34" s="37">
        <v>0</v>
      </c>
      <c r="G34" s="37">
        <v>0</v>
      </c>
      <c r="H34" s="37">
        <v>3270.2524038461538</v>
      </c>
      <c r="I34" s="37">
        <v>0</v>
      </c>
      <c r="J34" s="37">
        <v>0</v>
      </c>
      <c r="K34" s="37">
        <v>0</v>
      </c>
      <c r="L34" s="37">
        <v>0</v>
      </c>
      <c r="M34" s="37">
        <v>0</v>
      </c>
      <c r="N34" s="37">
        <v>0</v>
      </c>
      <c r="O34" s="37">
        <v>0</v>
      </c>
      <c r="P34" s="37">
        <v>0</v>
      </c>
      <c r="Q34" s="37">
        <v>0</v>
      </c>
      <c r="R34" s="37">
        <v>0</v>
      </c>
      <c r="S34" s="37">
        <v>0</v>
      </c>
      <c r="T34" s="37">
        <v>0</v>
      </c>
      <c r="U34" s="37">
        <v>0</v>
      </c>
      <c r="V34" s="37">
        <v>0</v>
      </c>
      <c r="W34" s="37">
        <v>0</v>
      </c>
      <c r="X34" s="37">
        <v>0</v>
      </c>
      <c r="Y34" s="37">
        <v>0</v>
      </c>
      <c r="Z34" s="37">
        <v>0</v>
      </c>
      <c r="AA34" s="37">
        <v>0</v>
      </c>
      <c r="AB34" s="37">
        <v>0</v>
      </c>
      <c r="AC34" s="37">
        <v>0</v>
      </c>
      <c r="AD34" s="37">
        <v>0</v>
      </c>
      <c r="AE34" s="37">
        <v>0</v>
      </c>
      <c r="AF34" s="37">
        <v>3270.2524038461538</v>
      </c>
      <c r="AG34" s="37">
        <v>0</v>
      </c>
      <c r="AH34" s="37">
        <v>0</v>
      </c>
      <c r="AI34" s="37">
        <v>0</v>
      </c>
      <c r="AJ34" s="37">
        <v>0</v>
      </c>
      <c r="AK34" s="37">
        <v>0</v>
      </c>
      <c r="AL34" s="37">
        <v>0</v>
      </c>
      <c r="AM34" s="37">
        <v>0</v>
      </c>
      <c r="AN34" s="37">
        <v>0</v>
      </c>
      <c r="AO34" s="37">
        <v>0</v>
      </c>
      <c r="AP34" s="37">
        <v>0</v>
      </c>
      <c r="AQ34" s="37">
        <v>0</v>
      </c>
      <c r="AR34" s="37">
        <v>0</v>
      </c>
      <c r="AS34" s="37">
        <v>0</v>
      </c>
      <c r="AT34" s="37">
        <v>0</v>
      </c>
      <c r="AU34" s="37">
        <v>0</v>
      </c>
      <c r="AV34" s="37">
        <v>0</v>
      </c>
      <c r="AW34" s="37">
        <v>0</v>
      </c>
      <c r="AX34" s="37">
        <v>0</v>
      </c>
      <c r="AY34" s="37">
        <v>0</v>
      </c>
      <c r="AZ34" s="37">
        <v>0</v>
      </c>
      <c r="BA34" s="37">
        <v>0</v>
      </c>
      <c r="BB34" s="37">
        <v>0</v>
      </c>
      <c r="BC34" s="37">
        <v>0</v>
      </c>
      <c r="BD34" s="37">
        <v>3270.2524038461538</v>
      </c>
      <c r="BE34" s="37">
        <v>0</v>
      </c>
      <c r="BF34" s="37">
        <v>0</v>
      </c>
      <c r="BG34" s="37">
        <v>0</v>
      </c>
      <c r="BH34" s="37">
        <v>0</v>
      </c>
      <c r="BI34" s="37">
        <v>0</v>
      </c>
      <c r="BJ34" s="37">
        <v>0</v>
      </c>
      <c r="BK34" s="37">
        <v>0</v>
      </c>
      <c r="BL34" s="37">
        <v>0</v>
      </c>
      <c r="BM34" s="37">
        <v>0</v>
      </c>
      <c r="BN34" s="37">
        <v>0</v>
      </c>
      <c r="BO34" s="37">
        <v>0</v>
      </c>
      <c r="BP34" s="37">
        <v>0</v>
      </c>
      <c r="BQ34" s="37">
        <v>0</v>
      </c>
      <c r="BR34" s="37">
        <v>0</v>
      </c>
      <c r="BS34" s="37">
        <v>0</v>
      </c>
      <c r="BT34" s="37">
        <v>0</v>
      </c>
      <c r="BU34" s="37">
        <v>0</v>
      </c>
      <c r="BV34" s="37">
        <v>0</v>
      </c>
      <c r="BW34" s="37">
        <v>0</v>
      </c>
    </row>
    <row r="35" spans="2:75">
      <c r="B35">
        <v>10089</v>
      </c>
      <c r="C35" t="s">
        <v>39</v>
      </c>
      <c r="D35" s="37">
        <v>0</v>
      </c>
      <c r="E35" s="37">
        <v>0</v>
      </c>
      <c r="F35" s="37">
        <v>0</v>
      </c>
      <c r="G35" s="37">
        <v>0</v>
      </c>
      <c r="H35" s="37">
        <v>7175.0937499999845</v>
      </c>
      <c r="I35" s="37">
        <v>0</v>
      </c>
      <c r="J35" s="37">
        <v>1138.7235576922947</v>
      </c>
      <c r="K35" s="37">
        <v>0</v>
      </c>
      <c r="L35" s="37">
        <v>0</v>
      </c>
      <c r="M35" s="37">
        <v>0</v>
      </c>
      <c r="N35" s="37">
        <v>4420.7451923076815</v>
      </c>
      <c r="O35" s="37">
        <v>0</v>
      </c>
      <c r="P35" s="37">
        <v>11137.050480769236</v>
      </c>
      <c r="Q35" s="37">
        <v>0</v>
      </c>
      <c r="R35" s="37">
        <v>0</v>
      </c>
      <c r="S35" s="37">
        <v>0</v>
      </c>
      <c r="T35" s="37">
        <v>18464.843750000015</v>
      </c>
      <c r="U35" s="37">
        <v>0</v>
      </c>
      <c r="V35" s="37">
        <v>13069.319711538472</v>
      </c>
      <c r="W35" s="37">
        <v>0</v>
      </c>
      <c r="X35" s="37">
        <v>19483.754807692305</v>
      </c>
      <c r="Y35" s="37">
        <v>0</v>
      </c>
      <c r="Z35" s="37">
        <v>8252.6950000000033</v>
      </c>
      <c r="AA35" s="37">
        <v>0</v>
      </c>
      <c r="AB35" s="37">
        <v>0</v>
      </c>
      <c r="AC35" s="37">
        <v>0</v>
      </c>
      <c r="AD35" s="37">
        <v>0</v>
      </c>
      <c r="AE35" s="37">
        <v>0</v>
      </c>
      <c r="AF35" s="37">
        <v>7340.3774038461443</v>
      </c>
      <c r="AG35" s="37">
        <v>0</v>
      </c>
      <c r="AH35" s="37">
        <v>1518.8699999999997</v>
      </c>
      <c r="AI35" s="37">
        <v>0</v>
      </c>
      <c r="AJ35" s="37">
        <v>0</v>
      </c>
      <c r="AK35" s="37">
        <v>0</v>
      </c>
      <c r="AL35" s="37">
        <v>3956.2361111111136</v>
      </c>
      <c r="AM35" s="37">
        <v>0</v>
      </c>
      <c r="AN35" s="37">
        <v>10844.637019230764</v>
      </c>
      <c r="AO35" s="37">
        <v>0</v>
      </c>
      <c r="AP35" s="37">
        <v>0</v>
      </c>
      <c r="AQ35" s="37">
        <v>0</v>
      </c>
      <c r="AR35" s="37">
        <v>18277.841346153848</v>
      </c>
      <c r="AS35" s="37">
        <v>0</v>
      </c>
      <c r="AT35" s="37">
        <v>12911.240384615387</v>
      </c>
      <c r="AU35" s="37">
        <v>0</v>
      </c>
      <c r="AV35" s="37">
        <v>19353.139423076907</v>
      </c>
      <c r="AW35" s="37">
        <v>0</v>
      </c>
      <c r="AX35" s="37">
        <v>8088.4475000000011</v>
      </c>
      <c r="AY35" s="37">
        <v>0</v>
      </c>
      <c r="AZ35" s="37">
        <v>0</v>
      </c>
      <c r="BA35" s="37">
        <v>0</v>
      </c>
      <c r="BB35" s="37">
        <v>0</v>
      </c>
      <c r="BC35" s="37">
        <v>0</v>
      </c>
      <c r="BD35" s="37">
        <v>7651.5721153846061</v>
      </c>
      <c r="BE35" s="37">
        <v>0</v>
      </c>
      <c r="BF35" s="37">
        <v>1751.5274999999874</v>
      </c>
      <c r="BG35" s="37">
        <v>0</v>
      </c>
      <c r="BH35" s="37">
        <v>0</v>
      </c>
      <c r="BI35" s="37">
        <v>0</v>
      </c>
      <c r="BJ35" s="37">
        <v>3880.074074074063</v>
      </c>
      <c r="BK35" s="37">
        <v>0</v>
      </c>
      <c r="BL35" s="37">
        <v>10849.34250000001</v>
      </c>
      <c r="BM35" s="37">
        <v>0</v>
      </c>
      <c r="BN35" s="37">
        <v>0</v>
      </c>
      <c r="BO35" s="37">
        <v>0</v>
      </c>
      <c r="BP35" s="37">
        <v>18227.538461538457</v>
      </c>
      <c r="BQ35" s="37">
        <v>0</v>
      </c>
      <c r="BR35" s="37">
        <v>12804.662500000009</v>
      </c>
      <c r="BS35" s="37">
        <v>0</v>
      </c>
      <c r="BT35" s="37">
        <v>19330.071759259237</v>
      </c>
      <c r="BU35" s="37">
        <v>0</v>
      </c>
      <c r="BV35" s="37">
        <v>7998.0175000000036</v>
      </c>
      <c r="BW35" s="37">
        <v>0</v>
      </c>
    </row>
    <row r="36" spans="2:75">
      <c r="B36">
        <v>10091</v>
      </c>
      <c r="C36" t="s">
        <v>40</v>
      </c>
      <c r="D36" s="37">
        <v>1259.8356481481492</v>
      </c>
      <c r="E36" s="37">
        <v>0</v>
      </c>
      <c r="F36" s="37">
        <v>1628.2526041666658</v>
      </c>
      <c r="G36" s="37">
        <v>0</v>
      </c>
      <c r="H36" s="37">
        <v>2086.8798076923076</v>
      </c>
      <c r="I36" s="37">
        <v>0</v>
      </c>
      <c r="J36" s="37">
        <v>1964.9879807692305</v>
      </c>
      <c r="K36" s="37">
        <v>0</v>
      </c>
      <c r="L36" s="37">
        <v>1254.4531250000014</v>
      </c>
      <c r="M36" s="37">
        <v>0</v>
      </c>
      <c r="N36" s="37">
        <v>493.51442307692349</v>
      </c>
      <c r="O36" s="37">
        <v>0</v>
      </c>
      <c r="P36" s="37">
        <v>1482.0697115384617</v>
      </c>
      <c r="Q36" s="37">
        <v>0</v>
      </c>
      <c r="R36" s="37">
        <v>1551.5275000000008</v>
      </c>
      <c r="S36" s="37">
        <v>0</v>
      </c>
      <c r="T36" s="37">
        <v>1499.2836538461543</v>
      </c>
      <c r="U36" s="37">
        <v>0</v>
      </c>
      <c r="V36" s="37">
        <v>1780.7500000000002</v>
      </c>
      <c r="W36" s="37">
        <v>0</v>
      </c>
      <c r="X36" s="37">
        <v>1431.6201923076928</v>
      </c>
      <c r="Y36" s="37">
        <v>0</v>
      </c>
      <c r="Z36" s="37">
        <v>1286.8625000000004</v>
      </c>
      <c r="AA36" s="37">
        <v>0</v>
      </c>
      <c r="AB36" s="37">
        <v>1259.8356481481492</v>
      </c>
      <c r="AC36" s="37">
        <v>0</v>
      </c>
      <c r="AD36" s="37">
        <v>1628.2526041666658</v>
      </c>
      <c r="AE36" s="37">
        <v>0</v>
      </c>
      <c r="AF36" s="37">
        <v>2086.8798076923076</v>
      </c>
      <c r="AG36" s="37">
        <v>0</v>
      </c>
      <c r="AH36" s="37">
        <v>1435.2674999999988</v>
      </c>
      <c r="AI36" s="37">
        <v>0</v>
      </c>
      <c r="AJ36" s="37">
        <v>1254.4531250000014</v>
      </c>
      <c r="AK36" s="37">
        <v>0</v>
      </c>
      <c r="AL36" s="37">
        <v>883.64351851851768</v>
      </c>
      <c r="AM36" s="37">
        <v>0</v>
      </c>
      <c r="AN36" s="37">
        <v>1482.0697115384617</v>
      </c>
      <c r="AO36" s="37">
        <v>0</v>
      </c>
      <c r="AP36" s="37">
        <v>1551.5275000000008</v>
      </c>
      <c r="AQ36" s="37">
        <v>0</v>
      </c>
      <c r="AR36" s="37">
        <v>1499.2836538461543</v>
      </c>
      <c r="AS36" s="37">
        <v>0</v>
      </c>
      <c r="AT36" s="37">
        <v>1780.7500000000002</v>
      </c>
      <c r="AU36" s="37">
        <v>0</v>
      </c>
      <c r="AV36" s="37">
        <v>1431.6201923076928</v>
      </c>
      <c r="AW36" s="37">
        <v>0</v>
      </c>
      <c r="AX36" s="37">
        <v>1286.8625000000004</v>
      </c>
      <c r="AY36" s="37">
        <v>0</v>
      </c>
      <c r="AZ36" s="37">
        <v>915.94471153846155</v>
      </c>
      <c r="BA36" s="37">
        <v>0</v>
      </c>
      <c r="BB36" s="37">
        <v>2051.0425000000005</v>
      </c>
      <c r="BC36" s="37">
        <v>0</v>
      </c>
      <c r="BD36" s="37">
        <v>2086.8798076923076</v>
      </c>
      <c r="BE36" s="37">
        <v>0</v>
      </c>
      <c r="BF36" s="37">
        <v>1435.2674999999988</v>
      </c>
      <c r="BG36" s="37">
        <v>0</v>
      </c>
      <c r="BH36" s="37">
        <v>1423.6450000000023</v>
      </c>
      <c r="BI36" s="37">
        <v>0</v>
      </c>
      <c r="BJ36" s="37">
        <v>883.64351851851768</v>
      </c>
      <c r="BK36" s="37">
        <v>0</v>
      </c>
      <c r="BL36" s="37">
        <v>1114.6324999999995</v>
      </c>
      <c r="BM36" s="37">
        <v>0</v>
      </c>
      <c r="BN36" s="37">
        <v>1882.1610576923081</v>
      </c>
      <c r="BO36" s="37">
        <v>0</v>
      </c>
      <c r="BP36" s="37">
        <v>1499.2836538461543</v>
      </c>
      <c r="BQ36" s="37">
        <v>0</v>
      </c>
      <c r="BR36" s="37">
        <v>1395.1400000000006</v>
      </c>
      <c r="BS36" s="37">
        <v>0</v>
      </c>
      <c r="BT36" s="37">
        <v>1775.3379629629637</v>
      </c>
      <c r="BU36" s="37">
        <v>0</v>
      </c>
      <c r="BV36" s="37">
        <v>1286.8625000000004</v>
      </c>
      <c r="BW36" s="37">
        <v>0</v>
      </c>
    </row>
    <row r="37" spans="2:75">
      <c r="B37">
        <v>10094</v>
      </c>
      <c r="C37" t="s">
        <v>41</v>
      </c>
      <c r="D37" s="37">
        <v>582.00925925925901</v>
      </c>
      <c r="E37" s="37">
        <v>0</v>
      </c>
      <c r="F37" s="37">
        <v>0</v>
      </c>
      <c r="G37" s="37">
        <v>0</v>
      </c>
      <c r="H37" s="37">
        <v>506.81009615384585</v>
      </c>
      <c r="I37" s="37">
        <v>0</v>
      </c>
      <c r="J37" s="37">
        <v>687.09855769230762</v>
      </c>
      <c r="K37" s="37">
        <v>0</v>
      </c>
      <c r="L37" s="37">
        <v>318.04947916666617</v>
      </c>
      <c r="M37" s="37">
        <v>0</v>
      </c>
      <c r="N37" s="37">
        <v>525.14423076923117</v>
      </c>
      <c r="O37" s="37">
        <v>0</v>
      </c>
      <c r="P37" s="37">
        <v>715.72836538461536</v>
      </c>
      <c r="Q37" s="37">
        <v>0</v>
      </c>
      <c r="R37" s="37">
        <v>288.0475000000003</v>
      </c>
      <c r="S37" s="37">
        <v>0</v>
      </c>
      <c r="T37" s="37">
        <v>621.14423076923072</v>
      </c>
      <c r="U37" s="37">
        <v>0</v>
      </c>
      <c r="V37" s="37">
        <v>660.0913461538463</v>
      </c>
      <c r="W37" s="37">
        <v>0</v>
      </c>
      <c r="X37" s="37">
        <v>602.44711538461559</v>
      </c>
      <c r="Y37" s="37">
        <v>0</v>
      </c>
      <c r="Z37" s="37">
        <v>402.80499999999972</v>
      </c>
      <c r="AA37" s="37">
        <v>0</v>
      </c>
      <c r="AB37" s="37">
        <v>579.43055555555554</v>
      </c>
      <c r="AC37" s="37">
        <v>0</v>
      </c>
      <c r="AD37" s="37">
        <v>0</v>
      </c>
      <c r="AE37" s="37">
        <v>0</v>
      </c>
      <c r="AF37" s="37">
        <v>503.04807692307639</v>
      </c>
      <c r="AG37" s="37">
        <v>0</v>
      </c>
      <c r="AH37" s="37">
        <v>532.25499999999965</v>
      </c>
      <c r="AI37" s="37">
        <v>0</v>
      </c>
      <c r="AJ37" s="37">
        <v>315.43489583333309</v>
      </c>
      <c r="AK37" s="37">
        <v>0</v>
      </c>
      <c r="AL37" s="37">
        <v>647.6111111111112</v>
      </c>
      <c r="AM37" s="37">
        <v>0</v>
      </c>
      <c r="AN37" s="37">
        <v>713.45673076923117</v>
      </c>
      <c r="AO37" s="37">
        <v>0</v>
      </c>
      <c r="AP37" s="37">
        <v>283.70999999999975</v>
      </c>
      <c r="AQ37" s="37">
        <v>0</v>
      </c>
      <c r="AR37" s="37">
        <v>617.11057692307736</v>
      </c>
      <c r="AS37" s="37">
        <v>0</v>
      </c>
      <c r="AT37" s="37">
        <v>656.17307692307656</v>
      </c>
      <c r="AU37" s="37">
        <v>0</v>
      </c>
      <c r="AV37" s="37">
        <v>597.87740384615404</v>
      </c>
      <c r="AW37" s="37">
        <v>0</v>
      </c>
      <c r="AX37" s="37">
        <v>398.75750000000022</v>
      </c>
      <c r="AY37" s="37">
        <v>0</v>
      </c>
      <c r="AZ37" s="37">
        <v>465.961538461538</v>
      </c>
      <c r="BA37" s="37">
        <v>0</v>
      </c>
      <c r="BB37" s="37">
        <v>36.892499999999885</v>
      </c>
      <c r="BC37" s="37">
        <v>0</v>
      </c>
      <c r="BD37" s="37">
        <v>499.51201923076951</v>
      </c>
      <c r="BE37" s="37">
        <v>0</v>
      </c>
      <c r="BF37" s="37">
        <v>528.75499999999943</v>
      </c>
      <c r="BG37" s="37">
        <v>0</v>
      </c>
      <c r="BH37" s="37">
        <v>345.95500000000044</v>
      </c>
      <c r="BI37" s="37">
        <v>0</v>
      </c>
      <c r="BJ37" s="37">
        <v>645.26851851851882</v>
      </c>
      <c r="BK37" s="37">
        <v>0</v>
      </c>
      <c r="BL37" s="37">
        <v>597.0500000000003</v>
      </c>
      <c r="BM37" s="37">
        <v>0</v>
      </c>
      <c r="BN37" s="37">
        <v>385.97596153846155</v>
      </c>
      <c r="BO37" s="37">
        <v>0</v>
      </c>
      <c r="BP37" s="37">
        <v>613.30769230769261</v>
      </c>
      <c r="BQ37" s="37">
        <v>0</v>
      </c>
      <c r="BR37" s="37">
        <v>536.98249999999962</v>
      </c>
      <c r="BS37" s="37">
        <v>0</v>
      </c>
      <c r="BT37" s="37">
        <v>706.12731481481478</v>
      </c>
      <c r="BU37" s="37">
        <v>0</v>
      </c>
      <c r="BV37" s="37">
        <v>394.94499999999977</v>
      </c>
      <c r="BW37" s="37">
        <v>0</v>
      </c>
    </row>
    <row r="38" spans="2:75">
      <c r="B38">
        <v>10095</v>
      </c>
      <c r="C38" t="s">
        <v>42</v>
      </c>
      <c r="D38" s="37">
        <v>534.9236111111112</v>
      </c>
      <c r="E38" s="37">
        <v>0</v>
      </c>
      <c r="F38" s="37">
        <v>526.84114583333303</v>
      </c>
      <c r="G38" s="37">
        <v>0</v>
      </c>
      <c r="H38" s="37">
        <v>362.6250000000004</v>
      </c>
      <c r="I38" s="37">
        <v>0</v>
      </c>
      <c r="J38" s="37">
        <v>438.22836538461553</v>
      </c>
      <c r="K38" s="37">
        <v>0</v>
      </c>
      <c r="L38" s="37">
        <v>301.38541666666652</v>
      </c>
      <c r="M38" s="37">
        <v>0</v>
      </c>
      <c r="N38" s="37">
        <v>109.84855769230717</v>
      </c>
      <c r="O38" s="37">
        <v>0</v>
      </c>
      <c r="P38" s="37">
        <v>338.41586538461598</v>
      </c>
      <c r="Q38" s="37">
        <v>0</v>
      </c>
      <c r="R38" s="37">
        <v>36.37500000000049</v>
      </c>
      <c r="S38" s="37">
        <v>0</v>
      </c>
      <c r="T38" s="37">
        <v>137.40384615384582</v>
      </c>
      <c r="U38" s="37">
        <v>0</v>
      </c>
      <c r="V38" s="37">
        <v>212.33413461538464</v>
      </c>
      <c r="W38" s="37">
        <v>0</v>
      </c>
      <c r="X38" s="37">
        <v>86.687499999999702</v>
      </c>
      <c r="Y38" s="37">
        <v>0</v>
      </c>
      <c r="Z38" s="37">
        <v>135.00749999999994</v>
      </c>
      <c r="AA38" s="37">
        <v>0</v>
      </c>
      <c r="AB38" s="37">
        <v>530.31018518518511</v>
      </c>
      <c r="AC38" s="37">
        <v>0</v>
      </c>
      <c r="AD38" s="37">
        <v>522.85937499999943</v>
      </c>
      <c r="AE38" s="37">
        <v>0</v>
      </c>
      <c r="AF38" s="37">
        <v>358.15384615384625</v>
      </c>
      <c r="AG38" s="37">
        <v>0</v>
      </c>
      <c r="AH38" s="37">
        <v>381.86000000000053</v>
      </c>
      <c r="AI38" s="37">
        <v>0</v>
      </c>
      <c r="AJ38" s="37">
        <v>299.20572916666742</v>
      </c>
      <c r="AK38" s="37">
        <v>0</v>
      </c>
      <c r="AL38" s="37">
        <v>157.09953703703695</v>
      </c>
      <c r="AM38" s="37">
        <v>0</v>
      </c>
      <c r="AN38" s="37">
        <v>335.51682692307696</v>
      </c>
      <c r="AO38" s="37">
        <v>0</v>
      </c>
      <c r="AP38" s="37">
        <v>33.769999999999634</v>
      </c>
      <c r="AQ38" s="37">
        <v>0</v>
      </c>
      <c r="AR38" s="37">
        <v>134.53846153846195</v>
      </c>
      <c r="AS38" s="37">
        <v>0</v>
      </c>
      <c r="AT38" s="37">
        <v>208.31250000000011</v>
      </c>
      <c r="AU38" s="37">
        <v>0</v>
      </c>
      <c r="AV38" s="37">
        <v>84.108173076923194</v>
      </c>
      <c r="AW38" s="37">
        <v>0</v>
      </c>
      <c r="AX38" s="37">
        <v>132.09499999999963</v>
      </c>
      <c r="AY38" s="37">
        <v>0</v>
      </c>
      <c r="AZ38" s="37">
        <v>483.62980769230836</v>
      </c>
      <c r="BA38" s="37">
        <v>0</v>
      </c>
      <c r="BB38" s="37">
        <v>568.98750000000041</v>
      </c>
      <c r="BC38" s="37">
        <v>0</v>
      </c>
      <c r="BD38" s="37">
        <v>355.6081730769227</v>
      </c>
      <c r="BE38" s="37">
        <v>0</v>
      </c>
      <c r="BF38" s="37">
        <v>380.2950000000003</v>
      </c>
      <c r="BG38" s="37">
        <v>0</v>
      </c>
      <c r="BH38" s="37">
        <v>298.82250000000022</v>
      </c>
      <c r="BI38" s="37">
        <v>0</v>
      </c>
      <c r="BJ38" s="37">
        <v>155.41898148148127</v>
      </c>
      <c r="BK38" s="37">
        <v>0</v>
      </c>
      <c r="BL38" s="37">
        <v>288.64250000000004</v>
      </c>
      <c r="BM38" s="37">
        <v>0</v>
      </c>
      <c r="BN38" s="37">
        <v>79.906249999999631</v>
      </c>
      <c r="BO38" s="37">
        <v>0</v>
      </c>
      <c r="BP38" s="37">
        <v>132.71634615384565</v>
      </c>
      <c r="BQ38" s="37">
        <v>0</v>
      </c>
      <c r="BR38" s="37">
        <v>159.75249999999997</v>
      </c>
      <c r="BS38" s="37">
        <v>0</v>
      </c>
      <c r="BT38" s="37">
        <v>123.78009259259282</v>
      </c>
      <c r="BU38" s="37">
        <v>0</v>
      </c>
      <c r="BV38" s="37">
        <v>129.36250000000049</v>
      </c>
      <c r="BW38" s="37">
        <v>0</v>
      </c>
    </row>
    <row r="39" spans="2:75">
      <c r="B39">
        <v>10097</v>
      </c>
      <c r="C39" t="s">
        <v>43</v>
      </c>
      <c r="D39" s="37">
        <v>541.86805555555566</v>
      </c>
      <c r="E39" s="37">
        <v>0</v>
      </c>
      <c r="F39" s="37">
        <v>219.20312499999977</v>
      </c>
      <c r="G39" s="37">
        <v>0</v>
      </c>
      <c r="H39" s="37">
        <v>759.66586538461581</v>
      </c>
      <c r="I39" s="37">
        <v>0</v>
      </c>
      <c r="J39" s="37">
        <v>678.75240384615347</v>
      </c>
      <c r="K39" s="37">
        <v>0</v>
      </c>
      <c r="L39" s="37">
        <v>279.24999999999966</v>
      </c>
      <c r="M39" s="37">
        <v>0</v>
      </c>
      <c r="N39" s="37">
        <v>353.67307692307702</v>
      </c>
      <c r="O39" s="37">
        <v>0</v>
      </c>
      <c r="P39" s="37">
        <v>486.60576923076945</v>
      </c>
      <c r="Q39" s="37">
        <v>0</v>
      </c>
      <c r="R39" s="37">
        <v>247.60250000000016</v>
      </c>
      <c r="S39" s="37">
        <v>0</v>
      </c>
      <c r="T39" s="37">
        <v>300.88461538461547</v>
      </c>
      <c r="U39" s="37">
        <v>0</v>
      </c>
      <c r="V39" s="37">
        <v>265.89903846153828</v>
      </c>
      <c r="W39" s="37">
        <v>0</v>
      </c>
      <c r="X39" s="37">
        <v>236.63942307692321</v>
      </c>
      <c r="Y39" s="37">
        <v>0</v>
      </c>
      <c r="Z39" s="37">
        <v>297.27750000000009</v>
      </c>
      <c r="AA39" s="37">
        <v>0</v>
      </c>
      <c r="AB39" s="37">
        <v>543.85416666666663</v>
      </c>
      <c r="AC39" s="37">
        <v>0</v>
      </c>
      <c r="AD39" s="37">
        <v>220.27604166666654</v>
      </c>
      <c r="AE39" s="37">
        <v>0</v>
      </c>
      <c r="AF39" s="37">
        <v>762.51442307692298</v>
      </c>
      <c r="AG39" s="37">
        <v>0</v>
      </c>
      <c r="AH39" s="37">
        <v>555.42000000000007</v>
      </c>
      <c r="AI39" s="37">
        <v>0</v>
      </c>
      <c r="AJ39" s="37">
        <v>280.73177083333331</v>
      </c>
      <c r="AK39" s="37">
        <v>0</v>
      </c>
      <c r="AL39" s="37">
        <v>447.39351851851836</v>
      </c>
      <c r="AM39" s="37">
        <v>0</v>
      </c>
      <c r="AN39" s="37">
        <v>489.53605769230825</v>
      </c>
      <c r="AO39" s="37">
        <v>0</v>
      </c>
      <c r="AP39" s="37">
        <v>249.43000000000004</v>
      </c>
      <c r="AQ39" s="37">
        <v>0</v>
      </c>
      <c r="AR39" s="37">
        <v>301.90144230769249</v>
      </c>
      <c r="AS39" s="37">
        <v>0</v>
      </c>
      <c r="AT39" s="37">
        <v>265.85336538461536</v>
      </c>
      <c r="AU39" s="37">
        <v>0</v>
      </c>
      <c r="AV39" s="37">
        <v>236.5528846153847</v>
      </c>
      <c r="AW39" s="37">
        <v>0</v>
      </c>
      <c r="AX39" s="37">
        <v>298.29499999999996</v>
      </c>
      <c r="AY39" s="37">
        <v>0</v>
      </c>
      <c r="AZ39" s="37">
        <v>469.23557692307662</v>
      </c>
      <c r="BA39" s="37">
        <v>0</v>
      </c>
      <c r="BB39" s="37">
        <v>320.39</v>
      </c>
      <c r="BC39" s="37">
        <v>0</v>
      </c>
      <c r="BD39" s="37">
        <v>765.33413461538453</v>
      </c>
      <c r="BE39" s="37">
        <v>0</v>
      </c>
      <c r="BF39" s="37">
        <v>557.85749999999928</v>
      </c>
      <c r="BG39" s="37">
        <v>0</v>
      </c>
      <c r="BH39" s="37">
        <v>258.75249999999983</v>
      </c>
      <c r="BI39" s="37">
        <v>0</v>
      </c>
      <c r="BJ39" s="37">
        <v>449.64583333333343</v>
      </c>
      <c r="BK39" s="37">
        <v>0</v>
      </c>
      <c r="BL39" s="37">
        <v>409.58749999999998</v>
      </c>
      <c r="BM39" s="37">
        <v>0</v>
      </c>
      <c r="BN39" s="37">
        <v>311.6538461538463</v>
      </c>
      <c r="BO39" s="37">
        <v>0</v>
      </c>
      <c r="BP39" s="37">
        <v>302.90384615384608</v>
      </c>
      <c r="BQ39" s="37">
        <v>0</v>
      </c>
      <c r="BR39" s="37">
        <v>205.46249999999992</v>
      </c>
      <c r="BS39" s="37">
        <v>0</v>
      </c>
      <c r="BT39" s="37">
        <v>294.74305555555537</v>
      </c>
      <c r="BU39" s="37">
        <v>0</v>
      </c>
      <c r="BV39" s="37">
        <v>300.3125</v>
      </c>
      <c r="BW39" s="37">
        <v>0</v>
      </c>
    </row>
    <row r="40" spans="2:75">
      <c r="B40">
        <v>10101</v>
      </c>
      <c r="C40" t="s">
        <v>44</v>
      </c>
      <c r="D40" s="37">
        <v>0</v>
      </c>
      <c r="E40" s="37">
        <v>0</v>
      </c>
      <c r="F40" s="37">
        <v>0</v>
      </c>
      <c r="G40" s="37">
        <v>0</v>
      </c>
      <c r="H40" s="37">
        <v>24224.692307692301</v>
      </c>
      <c r="I40" s="37">
        <v>0</v>
      </c>
      <c r="J40" s="37">
        <v>19019.163461538461</v>
      </c>
      <c r="K40" s="37">
        <v>0</v>
      </c>
      <c r="L40" s="37">
        <v>17495.755208333328</v>
      </c>
      <c r="M40" s="37">
        <v>0</v>
      </c>
      <c r="N40" s="37">
        <v>11989.088942307681</v>
      </c>
      <c r="O40" s="37">
        <v>0</v>
      </c>
      <c r="P40" s="37">
        <v>18765.060096153858</v>
      </c>
      <c r="Q40" s="37">
        <v>0</v>
      </c>
      <c r="R40" s="37">
        <v>13758.487499999994</v>
      </c>
      <c r="S40" s="37">
        <v>0</v>
      </c>
      <c r="T40" s="37">
        <v>11063.711538461537</v>
      </c>
      <c r="U40" s="37">
        <v>0</v>
      </c>
      <c r="V40" s="37">
        <v>7824.7163461538403</v>
      </c>
      <c r="W40" s="37">
        <v>0</v>
      </c>
      <c r="X40" s="37">
        <v>7481.6057692307631</v>
      </c>
      <c r="Y40" s="37">
        <v>0</v>
      </c>
      <c r="Z40" s="37">
        <v>1461.017499999997</v>
      </c>
      <c r="AA40" s="37">
        <v>0</v>
      </c>
      <c r="AB40" s="37">
        <v>0</v>
      </c>
      <c r="AC40" s="37">
        <v>0</v>
      </c>
      <c r="AD40" s="37">
        <v>0</v>
      </c>
      <c r="AE40" s="37">
        <v>0</v>
      </c>
      <c r="AF40" s="37">
        <v>25315.651442307677</v>
      </c>
      <c r="AG40" s="37">
        <v>0</v>
      </c>
      <c r="AH40" s="37">
        <v>15068.904999999993</v>
      </c>
      <c r="AI40" s="37">
        <v>0</v>
      </c>
      <c r="AJ40" s="37">
        <v>18556.867187500011</v>
      </c>
      <c r="AK40" s="37">
        <v>0</v>
      </c>
      <c r="AL40" s="37">
        <v>16848.423611111109</v>
      </c>
      <c r="AM40" s="37">
        <v>0</v>
      </c>
      <c r="AN40" s="37">
        <v>19722.548076923089</v>
      </c>
      <c r="AO40" s="37">
        <v>0</v>
      </c>
      <c r="AP40" s="37">
        <v>14711.875</v>
      </c>
      <c r="AQ40" s="37">
        <v>0</v>
      </c>
      <c r="AR40" s="37">
        <v>11920.312500000005</v>
      </c>
      <c r="AS40" s="37">
        <v>0</v>
      </c>
      <c r="AT40" s="37">
        <v>8692.8004807692341</v>
      </c>
      <c r="AU40" s="37">
        <v>0</v>
      </c>
      <c r="AV40" s="37">
        <v>8351.4615384615372</v>
      </c>
      <c r="AW40" s="37">
        <v>0</v>
      </c>
      <c r="AX40" s="37">
        <v>2284.1300000000047</v>
      </c>
      <c r="AY40" s="37">
        <v>0</v>
      </c>
      <c r="AZ40" s="37">
        <v>0</v>
      </c>
      <c r="BA40" s="37">
        <v>0</v>
      </c>
      <c r="BB40" s="37">
        <v>457.66500000001997</v>
      </c>
      <c r="BC40" s="37">
        <v>0</v>
      </c>
      <c r="BD40" s="37">
        <v>26395.949519230777</v>
      </c>
      <c r="BE40" s="37">
        <v>0</v>
      </c>
      <c r="BF40" s="37">
        <v>16146.117499999995</v>
      </c>
      <c r="BG40" s="37">
        <v>0</v>
      </c>
      <c r="BH40" s="37">
        <v>19768.602500000023</v>
      </c>
      <c r="BI40" s="37">
        <v>0</v>
      </c>
      <c r="BJ40" s="37">
        <v>17892.356481481478</v>
      </c>
      <c r="BK40" s="37">
        <v>0</v>
      </c>
      <c r="BL40" s="37">
        <v>17429.687499999985</v>
      </c>
      <c r="BM40" s="37">
        <v>0</v>
      </c>
      <c r="BN40" s="37">
        <v>18363.963942307699</v>
      </c>
      <c r="BO40" s="37">
        <v>0</v>
      </c>
      <c r="BP40" s="37">
        <v>12778.514423076917</v>
      </c>
      <c r="BQ40" s="37">
        <v>0</v>
      </c>
      <c r="BR40" s="37">
        <v>7201.4375000000027</v>
      </c>
      <c r="BS40" s="37">
        <v>0</v>
      </c>
      <c r="BT40" s="37">
        <v>11508.277777777779</v>
      </c>
      <c r="BU40" s="37">
        <v>0</v>
      </c>
      <c r="BV40" s="37">
        <v>3109.1649999999972</v>
      </c>
      <c r="BW40" s="37">
        <v>0</v>
      </c>
    </row>
    <row r="41" spans="2:75">
      <c r="B41">
        <v>10103</v>
      </c>
      <c r="C41" t="s">
        <v>45</v>
      </c>
      <c r="D41" s="37">
        <v>16022.636574074057</v>
      </c>
      <c r="E41" s="37">
        <v>0</v>
      </c>
      <c r="F41" s="37">
        <v>60899.351562500044</v>
      </c>
      <c r="G41" s="37">
        <v>0</v>
      </c>
      <c r="H41" s="37">
        <v>89080.802884615303</v>
      </c>
      <c r="I41" s="37">
        <v>0</v>
      </c>
      <c r="J41" s="37">
        <v>39896.052884615361</v>
      </c>
      <c r="K41" s="37">
        <v>0</v>
      </c>
      <c r="L41" s="37">
        <v>35239.986979166533</v>
      </c>
      <c r="M41" s="37">
        <v>0</v>
      </c>
      <c r="N41" s="37">
        <v>123428.15865384617</v>
      </c>
      <c r="O41" s="37">
        <v>0</v>
      </c>
      <c r="P41" s="37">
        <v>52289.685096153815</v>
      </c>
      <c r="Q41" s="37">
        <v>0</v>
      </c>
      <c r="R41" s="37">
        <v>72637.289999999935</v>
      </c>
      <c r="S41" s="37">
        <v>0</v>
      </c>
      <c r="T41" s="37">
        <v>189990.48798076922</v>
      </c>
      <c r="U41" s="37">
        <v>0</v>
      </c>
      <c r="V41" s="37">
        <v>124695.91346153842</v>
      </c>
      <c r="W41" s="37">
        <v>0</v>
      </c>
      <c r="X41" s="37">
        <v>172774.81730769225</v>
      </c>
      <c r="Y41" s="37">
        <v>0</v>
      </c>
      <c r="Z41" s="37">
        <v>167349.20250000004</v>
      </c>
      <c r="AA41" s="37">
        <v>0</v>
      </c>
      <c r="AB41" s="37">
        <v>18540.134259259332</v>
      </c>
      <c r="AC41" s="37">
        <v>0</v>
      </c>
      <c r="AD41" s="37">
        <v>64868.765625000095</v>
      </c>
      <c r="AE41" s="37">
        <v>0</v>
      </c>
      <c r="AF41" s="37">
        <v>93070.170673076864</v>
      </c>
      <c r="AG41" s="37">
        <v>0</v>
      </c>
      <c r="AH41" s="37">
        <v>44498.780000000181</v>
      </c>
      <c r="AI41" s="37">
        <v>0</v>
      </c>
      <c r="AJ41" s="37">
        <v>38938.942708333285</v>
      </c>
      <c r="AK41" s="37">
        <v>0</v>
      </c>
      <c r="AL41" s="37">
        <v>126538.28009259248</v>
      </c>
      <c r="AM41" s="37">
        <v>0</v>
      </c>
      <c r="AN41" s="37">
        <v>55264.447115384573</v>
      </c>
      <c r="AO41" s="37">
        <v>0</v>
      </c>
      <c r="AP41" s="37">
        <v>75042.835000000006</v>
      </c>
      <c r="AQ41" s="37">
        <v>0</v>
      </c>
      <c r="AR41" s="37">
        <v>194604.6610576924</v>
      </c>
      <c r="AS41" s="37">
        <v>0</v>
      </c>
      <c r="AT41" s="37">
        <v>129130.91826923082</v>
      </c>
      <c r="AU41" s="37">
        <v>0</v>
      </c>
      <c r="AV41" s="37">
        <v>177522.37980769231</v>
      </c>
      <c r="AW41" s="37">
        <v>0</v>
      </c>
      <c r="AX41" s="37">
        <v>171008.65500000009</v>
      </c>
      <c r="AY41" s="37">
        <v>0</v>
      </c>
      <c r="AZ41" s="37">
        <v>21506.019230769256</v>
      </c>
      <c r="BA41" s="37">
        <v>0</v>
      </c>
      <c r="BB41" s="37">
        <v>68064.28</v>
      </c>
      <c r="BC41" s="37">
        <v>0</v>
      </c>
      <c r="BD41" s="37">
        <v>97060.319711538337</v>
      </c>
      <c r="BE41" s="37">
        <v>0</v>
      </c>
      <c r="BF41" s="37">
        <v>48085.029999999788</v>
      </c>
      <c r="BG41" s="37">
        <v>0</v>
      </c>
      <c r="BH41" s="37">
        <v>42564.029999999715</v>
      </c>
      <c r="BI41" s="37">
        <v>0</v>
      </c>
      <c r="BJ41" s="37">
        <v>130618.31018518527</v>
      </c>
      <c r="BK41" s="37">
        <v>0</v>
      </c>
      <c r="BL41" s="37">
        <v>59048.297500000015</v>
      </c>
      <c r="BM41" s="37">
        <v>0</v>
      </c>
      <c r="BN41" s="37">
        <v>77064.413461538425</v>
      </c>
      <c r="BO41" s="37">
        <v>0</v>
      </c>
      <c r="BP41" s="37">
        <v>199239.70673076904</v>
      </c>
      <c r="BQ41" s="37">
        <v>0</v>
      </c>
      <c r="BR41" s="37">
        <v>133727.71749999991</v>
      </c>
      <c r="BS41" s="37">
        <v>0</v>
      </c>
      <c r="BT41" s="37">
        <v>182119.65277777775</v>
      </c>
      <c r="BU41" s="37">
        <v>0</v>
      </c>
      <c r="BV41" s="37">
        <v>174657.2900000001</v>
      </c>
      <c r="BW41" s="37">
        <v>0</v>
      </c>
    </row>
    <row r="42" spans="2:75">
      <c r="B42">
        <v>10105</v>
      </c>
      <c r="C42" t="s">
        <v>46</v>
      </c>
      <c r="D42" s="37">
        <v>0</v>
      </c>
      <c r="E42" s="37">
        <v>0</v>
      </c>
      <c r="F42" s="37">
        <v>0</v>
      </c>
      <c r="G42" s="37">
        <v>0</v>
      </c>
      <c r="H42" s="37">
        <v>0</v>
      </c>
      <c r="I42" s="37">
        <v>0</v>
      </c>
      <c r="J42" s="37">
        <v>0</v>
      </c>
      <c r="K42" s="37">
        <v>0</v>
      </c>
      <c r="L42" s="37">
        <v>0</v>
      </c>
      <c r="M42" s="37">
        <v>0</v>
      </c>
      <c r="N42" s="37">
        <v>0</v>
      </c>
      <c r="O42" s="37">
        <v>0</v>
      </c>
      <c r="P42" s="37">
        <v>0</v>
      </c>
      <c r="Q42" s="37">
        <v>0</v>
      </c>
      <c r="R42" s="37">
        <v>0</v>
      </c>
      <c r="S42" s="37">
        <v>0</v>
      </c>
      <c r="T42" s="37">
        <v>0</v>
      </c>
      <c r="U42" s="37">
        <v>0</v>
      </c>
      <c r="V42" s="37">
        <v>0</v>
      </c>
      <c r="W42" s="37">
        <v>0</v>
      </c>
      <c r="X42" s="37">
        <v>0</v>
      </c>
      <c r="Y42" s="37">
        <v>0</v>
      </c>
      <c r="Z42" s="37">
        <v>0</v>
      </c>
      <c r="AA42" s="37">
        <v>0</v>
      </c>
      <c r="AB42" s="37">
        <v>0</v>
      </c>
      <c r="AC42" s="37">
        <v>0</v>
      </c>
      <c r="AD42" s="37">
        <v>0</v>
      </c>
      <c r="AE42" s="37">
        <v>0</v>
      </c>
      <c r="AF42" s="37">
        <v>0</v>
      </c>
      <c r="AG42" s="37">
        <v>0</v>
      </c>
      <c r="AH42" s="37">
        <v>0</v>
      </c>
      <c r="AI42" s="37">
        <v>0</v>
      </c>
      <c r="AJ42" s="37">
        <v>0</v>
      </c>
      <c r="AK42" s="37">
        <v>0</v>
      </c>
      <c r="AL42" s="37">
        <v>0</v>
      </c>
      <c r="AM42" s="37">
        <v>0</v>
      </c>
      <c r="AN42" s="37">
        <v>0</v>
      </c>
      <c r="AO42" s="37">
        <v>0</v>
      </c>
      <c r="AP42" s="37">
        <v>0</v>
      </c>
      <c r="AQ42" s="37">
        <v>0</v>
      </c>
      <c r="AR42" s="37">
        <v>0</v>
      </c>
      <c r="AS42" s="37">
        <v>0</v>
      </c>
      <c r="AT42" s="37">
        <v>0</v>
      </c>
      <c r="AU42" s="37">
        <v>0</v>
      </c>
      <c r="AV42" s="37">
        <v>0</v>
      </c>
      <c r="AW42" s="37">
        <v>0</v>
      </c>
      <c r="AX42" s="37">
        <v>0</v>
      </c>
      <c r="AY42" s="37">
        <v>0</v>
      </c>
      <c r="AZ42" s="37">
        <v>0</v>
      </c>
      <c r="BA42" s="37">
        <v>0</v>
      </c>
      <c r="BB42" s="37">
        <v>0</v>
      </c>
      <c r="BC42" s="37">
        <v>0</v>
      </c>
      <c r="BD42" s="37">
        <v>0</v>
      </c>
      <c r="BE42" s="37">
        <v>0</v>
      </c>
      <c r="BF42" s="37">
        <v>0</v>
      </c>
      <c r="BG42" s="37">
        <v>0</v>
      </c>
      <c r="BH42" s="37">
        <v>0</v>
      </c>
      <c r="BI42" s="37">
        <v>0</v>
      </c>
      <c r="BJ42" s="37">
        <v>0</v>
      </c>
      <c r="BK42" s="37">
        <v>0</v>
      </c>
      <c r="BL42" s="37">
        <v>0</v>
      </c>
      <c r="BM42" s="37">
        <v>0</v>
      </c>
      <c r="BN42" s="37">
        <v>0</v>
      </c>
      <c r="BO42" s="37">
        <v>0</v>
      </c>
      <c r="BP42" s="37">
        <v>0</v>
      </c>
      <c r="BQ42" s="37">
        <v>0</v>
      </c>
      <c r="BR42" s="37">
        <v>0</v>
      </c>
      <c r="BS42" s="37">
        <v>0</v>
      </c>
      <c r="BT42" s="37">
        <v>0</v>
      </c>
      <c r="BU42" s="37">
        <v>0</v>
      </c>
      <c r="BV42" s="37">
        <v>0</v>
      </c>
      <c r="BW42" s="37">
        <v>0</v>
      </c>
    </row>
    <row r="43" spans="2:75">
      <c r="B43">
        <v>10106</v>
      </c>
      <c r="C43" t="s">
        <v>47</v>
      </c>
      <c r="D43" s="37">
        <v>0</v>
      </c>
      <c r="E43" s="37">
        <v>0</v>
      </c>
      <c r="F43" s="37">
        <v>0</v>
      </c>
      <c r="G43" s="37">
        <v>0</v>
      </c>
      <c r="H43" s="37">
        <v>0</v>
      </c>
      <c r="I43" s="37">
        <v>0</v>
      </c>
      <c r="J43" s="37">
        <v>0</v>
      </c>
      <c r="K43" s="37">
        <v>0</v>
      </c>
      <c r="L43" s="37">
        <v>0</v>
      </c>
      <c r="M43" s="37">
        <v>0</v>
      </c>
      <c r="N43" s="37">
        <v>0</v>
      </c>
      <c r="O43" s="37">
        <v>0</v>
      </c>
      <c r="P43" s="37">
        <v>0</v>
      </c>
      <c r="Q43" s="37">
        <v>0</v>
      </c>
      <c r="R43" s="37">
        <v>0</v>
      </c>
      <c r="S43" s="37">
        <v>0</v>
      </c>
      <c r="T43" s="37">
        <v>0</v>
      </c>
      <c r="U43" s="37">
        <v>0</v>
      </c>
      <c r="V43" s="37">
        <v>0</v>
      </c>
      <c r="W43" s="37">
        <v>0</v>
      </c>
      <c r="X43" s="37">
        <v>0</v>
      </c>
      <c r="Y43" s="37">
        <v>0</v>
      </c>
      <c r="Z43" s="37">
        <v>0</v>
      </c>
      <c r="AA43" s="37">
        <v>0</v>
      </c>
      <c r="AB43" s="37">
        <v>0</v>
      </c>
      <c r="AC43" s="37">
        <v>0</v>
      </c>
      <c r="AD43" s="37">
        <v>0</v>
      </c>
      <c r="AE43" s="37">
        <v>0</v>
      </c>
      <c r="AF43" s="37">
        <v>0</v>
      </c>
      <c r="AG43" s="37">
        <v>0</v>
      </c>
      <c r="AH43" s="37">
        <v>0</v>
      </c>
      <c r="AI43" s="37">
        <v>0</v>
      </c>
      <c r="AJ43" s="37">
        <v>0</v>
      </c>
      <c r="AK43" s="37">
        <v>0</v>
      </c>
      <c r="AL43" s="37">
        <v>0</v>
      </c>
      <c r="AM43" s="37">
        <v>0</v>
      </c>
      <c r="AN43" s="37">
        <v>0</v>
      </c>
      <c r="AO43" s="37">
        <v>0</v>
      </c>
      <c r="AP43" s="37">
        <v>0</v>
      </c>
      <c r="AQ43" s="37">
        <v>0</v>
      </c>
      <c r="AR43" s="37">
        <v>0</v>
      </c>
      <c r="AS43" s="37">
        <v>0</v>
      </c>
      <c r="AT43" s="37">
        <v>0</v>
      </c>
      <c r="AU43" s="37">
        <v>0</v>
      </c>
      <c r="AV43" s="37">
        <v>0</v>
      </c>
      <c r="AW43" s="37">
        <v>0</v>
      </c>
      <c r="AX43" s="37">
        <v>0</v>
      </c>
      <c r="AY43" s="37">
        <v>0</v>
      </c>
      <c r="AZ43" s="37">
        <v>0</v>
      </c>
      <c r="BA43" s="37">
        <v>0</v>
      </c>
      <c r="BB43" s="37">
        <v>0</v>
      </c>
      <c r="BC43" s="37">
        <v>0</v>
      </c>
      <c r="BD43" s="37">
        <v>0</v>
      </c>
      <c r="BE43" s="37">
        <v>0</v>
      </c>
      <c r="BF43" s="37">
        <v>0</v>
      </c>
      <c r="BG43" s="37">
        <v>0</v>
      </c>
      <c r="BH43" s="37">
        <v>0</v>
      </c>
      <c r="BI43" s="37">
        <v>0</v>
      </c>
      <c r="BJ43" s="37">
        <v>0</v>
      </c>
      <c r="BK43" s="37">
        <v>0</v>
      </c>
      <c r="BL43" s="37">
        <v>0</v>
      </c>
      <c r="BM43" s="37">
        <v>0</v>
      </c>
      <c r="BN43" s="37">
        <v>0</v>
      </c>
      <c r="BO43" s="37">
        <v>0</v>
      </c>
      <c r="BP43" s="37">
        <v>0</v>
      </c>
      <c r="BQ43" s="37">
        <v>0</v>
      </c>
      <c r="BR43" s="37">
        <v>0</v>
      </c>
      <c r="BS43" s="37">
        <v>0</v>
      </c>
      <c r="BT43" s="37">
        <v>0</v>
      </c>
      <c r="BU43" s="37">
        <v>0</v>
      </c>
      <c r="BV43" s="37">
        <v>0</v>
      </c>
      <c r="BW43" s="37">
        <v>0</v>
      </c>
    </row>
    <row r="44" spans="2:75">
      <c r="B44">
        <v>10109</v>
      </c>
      <c r="C44" t="s">
        <v>48</v>
      </c>
      <c r="D44" s="37">
        <v>3641.5023148148161</v>
      </c>
      <c r="E44" s="37">
        <v>0</v>
      </c>
      <c r="F44" s="37">
        <v>1288.1927083333312</v>
      </c>
      <c r="G44" s="37">
        <v>0</v>
      </c>
      <c r="H44" s="37">
        <v>5141.6586538461506</v>
      </c>
      <c r="I44" s="37">
        <v>0</v>
      </c>
      <c r="J44" s="37">
        <v>6972.2932692307731</v>
      </c>
      <c r="K44" s="37">
        <v>0</v>
      </c>
      <c r="L44" s="37">
        <v>2471.2708333333326</v>
      </c>
      <c r="M44" s="37">
        <v>0</v>
      </c>
      <c r="N44" s="37">
        <v>8050.5000000000064</v>
      </c>
      <c r="O44" s="37">
        <v>0</v>
      </c>
      <c r="P44" s="37">
        <v>0</v>
      </c>
      <c r="Q44" s="37">
        <v>0</v>
      </c>
      <c r="R44" s="37">
        <v>3521.5749999999962</v>
      </c>
      <c r="S44" s="37">
        <v>0</v>
      </c>
      <c r="T44" s="37">
        <v>0</v>
      </c>
      <c r="U44" s="37">
        <v>0</v>
      </c>
      <c r="V44" s="37">
        <v>11585.1875</v>
      </c>
      <c r="W44" s="37">
        <v>0</v>
      </c>
      <c r="X44" s="37">
        <v>0</v>
      </c>
      <c r="Y44" s="37">
        <v>0</v>
      </c>
      <c r="Z44" s="37">
        <v>7964.625</v>
      </c>
      <c r="AA44" s="37">
        <v>0</v>
      </c>
      <c r="AB44" s="37">
        <v>2938.439814814818</v>
      </c>
      <c r="AC44" s="37">
        <v>0</v>
      </c>
      <c r="AD44" s="37">
        <v>953.94791666666822</v>
      </c>
      <c r="AE44" s="37">
        <v>0</v>
      </c>
      <c r="AF44" s="37">
        <v>6928.8125</v>
      </c>
      <c r="AG44" s="37">
        <v>0</v>
      </c>
      <c r="AH44" s="37">
        <v>7672.4500000000035</v>
      </c>
      <c r="AI44" s="37">
        <v>0</v>
      </c>
      <c r="AJ44" s="37">
        <v>124.63541666666433</v>
      </c>
      <c r="AK44" s="37">
        <v>0</v>
      </c>
      <c r="AL44" s="37">
        <v>9853.2592592592573</v>
      </c>
      <c r="AM44" s="37">
        <v>0</v>
      </c>
      <c r="AN44" s="37">
        <v>0</v>
      </c>
      <c r="AO44" s="37">
        <v>0</v>
      </c>
      <c r="AP44" s="37">
        <v>3828.7500000000041</v>
      </c>
      <c r="AQ44" s="37">
        <v>0</v>
      </c>
      <c r="AR44" s="37">
        <v>0</v>
      </c>
      <c r="AS44" s="37">
        <v>0</v>
      </c>
      <c r="AT44" s="37">
        <v>11805.341346153849</v>
      </c>
      <c r="AU44" s="37">
        <v>0</v>
      </c>
      <c r="AV44" s="37">
        <v>0</v>
      </c>
      <c r="AW44" s="37">
        <v>0</v>
      </c>
      <c r="AX44" s="37">
        <v>7886.1</v>
      </c>
      <c r="AY44" s="37">
        <v>0</v>
      </c>
      <c r="AZ44" s="37">
        <v>1640.0384615384608</v>
      </c>
      <c r="BA44" s="37">
        <v>0</v>
      </c>
      <c r="BB44" s="37">
        <v>2152.8000000000002</v>
      </c>
      <c r="BC44" s="37">
        <v>0</v>
      </c>
      <c r="BD44" s="37">
        <v>7085.1586538461515</v>
      </c>
      <c r="BE44" s="37">
        <v>0</v>
      </c>
      <c r="BF44" s="37">
        <v>7881.8499999999985</v>
      </c>
      <c r="BG44" s="37">
        <v>0</v>
      </c>
      <c r="BH44" s="37">
        <v>458.62499999999875</v>
      </c>
      <c r="BI44" s="37">
        <v>0</v>
      </c>
      <c r="BJ44" s="37">
        <v>10060.361111111109</v>
      </c>
      <c r="BK44" s="37">
        <v>0</v>
      </c>
      <c r="BL44" s="37">
        <v>0</v>
      </c>
      <c r="BM44" s="37">
        <v>0</v>
      </c>
      <c r="BN44" s="37">
        <v>5402.6682692307713</v>
      </c>
      <c r="BO44" s="37">
        <v>0</v>
      </c>
      <c r="BP44" s="37">
        <v>0</v>
      </c>
      <c r="BQ44" s="37">
        <v>0</v>
      </c>
      <c r="BR44" s="37">
        <v>10640.525</v>
      </c>
      <c r="BS44" s="37">
        <v>0</v>
      </c>
      <c r="BT44" s="37">
        <v>0</v>
      </c>
      <c r="BU44" s="37">
        <v>0</v>
      </c>
      <c r="BV44" s="37">
        <v>8093.1500000000033</v>
      </c>
      <c r="BW44" s="37">
        <v>0</v>
      </c>
    </row>
    <row r="45" spans="2:75">
      <c r="B45">
        <v>10111</v>
      </c>
      <c r="C45" t="s">
        <v>49</v>
      </c>
      <c r="D45" s="37">
        <v>1220.9143518518517</v>
      </c>
      <c r="E45" s="37">
        <v>0</v>
      </c>
      <c r="F45" s="37">
        <v>302.18489583333309</v>
      </c>
      <c r="G45" s="37">
        <v>0</v>
      </c>
      <c r="H45" s="37">
        <v>518.53846153846189</v>
      </c>
      <c r="I45" s="37">
        <v>0</v>
      </c>
      <c r="J45" s="37">
        <v>1104.2740384615383</v>
      </c>
      <c r="K45" s="37">
        <v>0</v>
      </c>
      <c r="L45" s="37">
        <v>470.47395833333348</v>
      </c>
      <c r="M45" s="37">
        <v>0</v>
      </c>
      <c r="N45" s="37">
        <v>618.56009615384573</v>
      </c>
      <c r="O45" s="37">
        <v>0</v>
      </c>
      <c r="P45" s="37">
        <v>0</v>
      </c>
      <c r="Q45" s="37">
        <v>0</v>
      </c>
      <c r="R45" s="37">
        <v>108.54000000000019</v>
      </c>
      <c r="S45" s="37">
        <v>0</v>
      </c>
      <c r="T45" s="37">
        <v>542.30528846153845</v>
      </c>
      <c r="U45" s="37">
        <v>0</v>
      </c>
      <c r="V45" s="37">
        <v>603.9711538461537</v>
      </c>
      <c r="W45" s="37">
        <v>0</v>
      </c>
      <c r="X45" s="37">
        <v>1013.0793269230769</v>
      </c>
      <c r="Y45" s="37">
        <v>0</v>
      </c>
      <c r="Z45" s="37">
        <v>898.49</v>
      </c>
      <c r="AA45" s="37">
        <v>0</v>
      </c>
      <c r="AB45" s="37">
        <v>1221.025462962963</v>
      </c>
      <c r="AC45" s="37">
        <v>0</v>
      </c>
      <c r="AD45" s="37">
        <v>302.26302083333343</v>
      </c>
      <c r="AE45" s="37">
        <v>0</v>
      </c>
      <c r="AF45" s="37">
        <v>519.25721153846166</v>
      </c>
      <c r="AG45" s="37">
        <v>0</v>
      </c>
      <c r="AH45" s="37">
        <v>1127.1049999999996</v>
      </c>
      <c r="AI45" s="37">
        <v>0</v>
      </c>
      <c r="AJ45" s="37">
        <v>470.46875</v>
      </c>
      <c r="AK45" s="37">
        <v>0</v>
      </c>
      <c r="AL45" s="37">
        <v>599.60648148148141</v>
      </c>
      <c r="AM45" s="37">
        <v>0</v>
      </c>
      <c r="AN45" s="37">
        <v>0</v>
      </c>
      <c r="AO45" s="37">
        <v>0</v>
      </c>
      <c r="AP45" s="37">
        <v>108.89500000000052</v>
      </c>
      <c r="AQ45" s="37">
        <v>0</v>
      </c>
      <c r="AR45" s="37">
        <v>541.66826923076928</v>
      </c>
      <c r="AS45" s="37">
        <v>0</v>
      </c>
      <c r="AT45" s="37">
        <v>604.13221153846189</v>
      </c>
      <c r="AU45" s="37">
        <v>0</v>
      </c>
      <c r="AV45" s="37">
        <v>1013.7548076923077</v>
      </c>
      <c r="AW45" s="37">
        <v>0</v>
      </c>
      <c r="AX45" s="37">
        <v>898.43500000000029</v>
      </c>
      <c r="AY45" s="37">
        <v>0</v>
      </c>
      <c r="AZ45" s="37">
        <v>1232.4567307692309</v>
      </c>
      <c r="BA45" s="37">
        <v>0</v>
      </c>
      <c r="BB45" s="37">
        <v>281.89750000000015</v>
      </c>
      <c r="BC45" s="37">
        <v>0</v>
      </c>
      <c r="BD45" s="37">
        <v>518.89663461538476</v>
      </c>
      <c r="BE45" s="37">
        <v>0</v>
      </c>
      <c r="BF45" s="37">
        <v>1126.825</v>
      </c>
      <c r="BG45" s="37">
        <v>0</v>
      </c>
      <c r="BH45" s="37">
        <v>476.57000000000039</v>
      </c>
      <c r="BI45" s="37">
        <v>0</v>
      </c>
      <c r="BJ45" s="37">
        <v>599.80324074074076</v>
      </c>
      <c r="BK45" s="37">
        <v>0</v>
      </c>
      <c r="BL45" s="37">
        <v>0</v>
      </c>
      <c r="BM45" s="37">
        <v>0</v>
      </c>
      <c r="BN45" s="37">
        <v>93.185096153846402</v>
      </c>
      <c r="BO45" s="37">
        <v>0</v>
      </c>
      <c r="BP45" s="37">
        <v>542.44951923076906</v>
      </c>
      <c r="BQ45" s="37">
        <v>0</v>
      </c>
      <c r="BR45" s="37">
        <v>625.96249999999964</v>
      </c>
      <c r="BS45" s="37">
        <v>0</v>
      </c>
      <c r="BT45" s="37">
        <v>994.82870370370335</v>
      </c>
      <c r="BU45" s="37">
        <v>0</v>
      </c>
      <c r="BV45" s="37">
        <v>898.51250000000005</v>
      </c>
      <c r="BW45" s="37">
        <v>0</v>
      </c>
    </row>
    <row r="46" spans="2:75">
      <c r="B46">
        <v>10112</v>
      </c>
      <c r="C46" t="s">
        <v>50</v>
      </c>
      <c r="D46" s="37">
        <v>9843.432870370365</v>
      </c>
      <c r="E46" s="37">
        <v>0</v>
      </c>
      <c r="F46" s="37">
        <v>5615.2239583333403</v>
      </c>
      <c r="G46" s="37">
        <v>0</v>
      </c>
      <c r="H46" s="37">
        <v>16824.01923076923</v>
      </c>
      <c r="I46" s="37">
        <v>0</v>
      </c>
      <c r="J46" s="37">
        <v>5278.8581730769247</v>
      </c>
      <c r="K46" s="37">
        <v>0</v>
      </c>
      <c r="L46" s="37">
        <v>10855.731770833332</v>
      </c>
      <c r="M46" s="37">
        <v>0</v>
      </c>
      <c r="N46" s="37">
        <v>5025.475961538451</v>
      </c>
      <c r="O46" s="37">
        <v>0</v>
      </c>
      <c r="P46" s="37">
        <v>12794.365384615381</v>
      </c>
      <c r="Q46" s="37">
        <v>0</v>
      </c>
      <c r="R46" s="37">
        <v>13215.937500000005</v>
      </c>
      <c r="S46" s="37">
        <v>0</v>
      </c>
      <c r="T46" s="37">
        <v>18687.28365384616</v>
      </c>
      <c r="U46" s="37">
        <v>0</v>
      </c>
      <c r="V46" s="37">
        <v>20748.456730769223</v>
      </c>
      <c r="W46" s="37">
        <v>0</v>
      </c>
      <c r="X46" s="37">
        <v>24101.951923076926</v>
      </c>
      <c r="Y46" s="37">
        <v>0</v>
      </c>
      <c r="Z46" s="37">
        <v>17370.075000000001</v>
      </c>
      <c r="AA46" s="37">
        <v>0</v>
      </c>
      <c r="AB46" s="37">
        <v>10192.969907407409</v>
      </c>
      <c r="AC46" s="37">
        <v>0</v>
      </c>
      <c r="AD46" s="37">
        <v>6007.5286458333267</v>
      </c>
      <c r="AE46" s="37">
        <v>0</v>
      </c>
      <c r="AF46" s="37">
        <v>17299.055288461539</v>
      </c>
      <c r="AG46" s="37">
        <v>0</v>
      </c>
      <c r="AH46" s="37">
        <v>2490.9499999999962</v>
      </c>
      <c r="AI46" s="37">
        <v>0</v>
      </c>
      <c r="AJ46" s="37">
        <v>11364.502604166675</v>
      </c>
      <c r="AK46" s="37">
        <v>0</v>
      </c>
      <c r="AL46" s="37">
        <v>8058.3148148148102</v>
      </c>
      <c r="AM46" s="37">
        <v>0</v>
      </c>
      <c r="AN46" s="37">
        <v>13206.526442307697</v>
      </c>
      <c r="AO46" s="37">
        <v>0</v>
      </c>
      <c r="AP46" s="37">
        <v>13592.237499999999</v>
      </c>
      <c r="AQ46" s="37">
        <v>0</v>
      </c>
      <c r="AR46" s="37">
        <v>19294.514423076926</v>
      </c>
      <c r="AS46" s="37">
        <v>0</v>
      </c>
      <c r="AT46" s="37">
        <v>21385.526442307688</v>
      </c>
      <c r="AU46" s="37">
        <v>0</v>
      </c>
      <c r="AV46" s="37">
        <v>24773.086538461543</v>
      </c>
      <c r="AW46" s="37">
        <v>0</v>
      </c>
      <c r="AX46" s="37">
        <v>17946.112499999999</v>
      </c>
      <c r="AY46" s="37">
        <v>0</v>
      </c>
      <c r="AZ46" s="37">
        <v>7983.8557692307777</v>
      </c>
      <c r="BA46" s="37">
        <v>0</v>
      </c>
      <c r="BB46" s="37">
        <v>8790.592499999997</v>
      </c>
      <c r="BC46" s="37">
        <v>0</v>
      </c>
      <c r="BD46" s="37">
        <v>17391.12259615384</v>
      </c>
      <c r="BE46" s="37">
        <v>0</v>
      </c>
      <c r="BF46" s="37">
        <v>2487.6124999999956</v>
      </c>
      <c r="BG46" s="37">
        <v>0</v>
      </c>
      <c r="BH46" s="37">
        <v>11471.800000000003</v>
      </c>
      <c r="BI46" s="37">
        <v>0</v>
      </c>
      <c r="BJ46" s="37">
        <v>8149.0810185185192</v>
      </c>
      <c r="BK46" s="37">
        <v>0</v>
      </c>
      <c r="BL46" s="37">
        <v>10790.285000000002</v>
      </c>
      <c r="BM46" s="37">
        <v>0</v>
      </c>
      <c r="BN46" s="37">
        <v>16006.906249999989</v>
      </c>
      <c r="BO46" s="37">
        <v>0</v>
      </c>
      <c r="BP46" s="37">
        <v>19499.872596153837</v>
      </c>
      <c r="BQ46" s="37">
        <v>0</v>
      </c>
      <c r="BR46" s="37">
        <v>19102.204999999994</v>
      </c>
      <c r="BS46" s="37">
        <v>0</v>
      </c>
      <c r="BT46" s="37">
        <v>27495.923611111109</v>
      </c>
      <c r="BU46" s="37">
        <v>0</v>
      </c>
      <c r="BV46" s="37">
        <v>18139.077499999999</v>
      </c>
      <c r="BW46" s="37">
        <v>0</v>
      </c>
    </row>
    <row r="47" spans="2:75">
      <c r="B47">
        <v>10113</v>
      </c>
      <c r="C47" t="s">
        <v>51</v>
      </c>
      <c r="D47" s="37">
        <v>3791.8263888888964</v>
      </c>
      <c r="E47" s="37">
        <v>0</v>
      </c>
      <c r="F47" s="37">
        <v>2151.2838541666674</v>
      </c>
      <c r="G47" s="37">
        <v>0</v>
      </c>
      <c r="H47" s="37">
        <v>2485.9711538461584</v>
      </c>
      <c r="I47" s="37">
        <v>0</v>
      </c>
      <c r="J47" s="37">
        <v>2093.2716346153825</v>
      </c>
      <c r="K47" s="37">
        <v>0</v>
      </c>
      <c r="L47" s="37">
        <v>853.03124999999727</v>
      </c>
      <c r="M47" s="37">
        <v>0</v>
      </c>
      <c r="N47" s="37">
        <v>3611.0024038461538</v>
      </c>
      <c r="O47" s="37">
        <v>0</v>
      </c>
      <c r="P47" s="37">
        <v>6325.6442307692287</v>
      </c>
      <c r="Q47" s="37">
        <v>0</v>
      </c>
      <c r="R47" s="37">
        <v>0</v>
      </c>
      <c r="S47" s="37">
        <v>0</v>
      </c>
      <c r="T47" s="37">
        <v>17899.221153846156</v>
      </c>
      <c r="U47" s="37">
        <v>0</v>
      </c>
      <c r="V47" s="37">
        <v>9338.3557692307695</v>
      </c>
      <c r="W47" s="37">
        <v>0</v>
      </c>
      <c r="X47" s="37">
        <v>16213.375</v>
      </c>
      <c r="Y47" s="37">
        <v>0</v>
      </c>
      <c r="Z47" s="37">
        <v>5028.7650000000003</v>
      </c>
      <c r="AA47" s="37">
        <v>0</v>
      </c>
      <c r="AB47" s="37">
        <v>3757.9375000000005</v>
      </c>
      <c r="AC47" s="37">
        <v>0</v>
      </c>
      <c r="AD47" s="37">
        <v>2073.7500000000005</v>
      </c>
      <c r="AE47" s="37">
        <v>0</v>
      </c>
      <c r="AF47" s="37">
        <v>2392.2644230769238</v>
      </c>
      <c r="AG47" s="37">
        <v>0</v>
      </c>
      <c r="AH47" s="37">
        <v>1966.5074999999938</v>
      </c>
      <c r="AI47" s="37">
        <v>0</v>
      </c>
      <c r="AJ47" s="37">
        <v>737.66145833333496</v>
      </c>
      <c r="AK47" s="37">
        <v>0</v>
      </c>
      <c r="AL47" s="37">
        <v>3599.0115740740762</v>
      </c>
      <c r="AM47" s="37">
        <v>0</v>
      </c>
      <c r="AN47" s="37">
        <v>6317.7115384615372</v>
      </c>
      <c r="AO47" s="37">
        <v>0</v>
      </c>
      <c r="AP47" s="37">
        <v>0</v>
      </c>
      <c r="AQ47" s="37">
        <v>0</v>
      </c>
      <c r="AR47" s="37">
        <v>18013.233173076926</v>
      </c>
      <c r="AS47" s="37">
        <v>0</v>
      </c>
      <c r="AT47" s="37">
        <v>9345.8389423076896</v>
      </c>
      <c r="AU47" s="37">
        <v>0</v>
      </c>
      <c r="AV47" s="37">
        <v>16311.180288461543</v>
      </c>
      <c r="AW47" s="37">
        <v>0</v>
      </c>
      <c r="AX47" s="37">
        <v>5045.0124999999989</v>
      </c>
      <c r="AY47" s="37">
        <v>0</v>
      </c>
      <c r="AZ47" s="37">
        <v>3649.3293269230767</v>
      </c>
      <c r="BA47" s="37">
        <v>0</v>
      </c>
      <c r="BB47" s="37">
        <v>2013.5924999999943</v>
      </c>
      <c r="BC47" s="37">
        <v>0</v>
      </c>
      <c r="BD47" s="37">
        <v>2290.7451923076928</v>
      </c>
      <c r="BE47" s="37">
        <v>0</v>
      </c>
      <c r="BF47" s="37">
        <v>1860.4875000000036</v>
      </c>
      <c r="BG47" s="37">
        <v>0</v>
      </c>
      <c r="BH47" s="37">
        <v>1119.7374999999993</v>
      </c>
      <c r="BI47" s="37">
        <v>0</v>
      </c>
      <c r="BJ47" s="37">
        <v>3546.1226851851857</v>
      </c>
      <c r="BK47" s="37">
        <v>0</v>
      </c>
      <c r="BL47" s="37">
        <v>6237.8374999999978</v>
      </c>
      <c r="BM47" s="37">
        <v>0</v>
      </c>
      <c r="BN47" s="37">
        <v>0</v>
      </c>
      <c r="BO47" s="37">
        <v>0</v>
      </c>
      <c r="BP47" s="37">
        <v>18111.338942307695</v>
      </c>
      <c r="BQ47" s="37">
        <v>0</v>
      </c>
      <c r="BR47" s="37">
        <v>9245.2800000000043</v>
      </c>
      <c r="BS47" s="37">
        <v>0</v>
      </c>
      <c r="BT47" s="37">
        <v>16487.379629629628</v>
      </c>
      <c r="BU47" s="37">
        <v>0</v>
      </c>
      <c r="BV47" s="37">
        <v>5049.2100000000019</v>
      </c>
      <c r="BW47" s="37">
        <v>0</v>
      </c>
    </row>
    <row r="48" spans="2:75">
      <c r="B48">
        <v>10116</v>
      </c>
      <c r="C48" t="s">
        <v>52</v>
      </c>
      <c r="D48" s="37">
        <v>370.19907407407413</v>
      </c>
      <c r="E48" s="37">
        <v>0</v>
      </c>
      <c r="F48" s="37">
        <v>0</v>
      </c>
      <c r="G48" s="37">
        <v>0</v>
      </c>
      <c r="H48" s="37">
        <v>0</v>
      </c>
      <c r="I48" s="37">
        <v>0</v>
      </c>
      <c r="J48" s="37">
        <v>0</v>
      </c>
      <c r="K48" s="37">
        <v>0</v>
      </c>
      <c r="L48" s="37">
        <v>0</v>
      </c>
      <c r="M48" s="37">
        <v>0</v>
      </c>
      <c r="N48" s="37">
        <v>0</v>
      </c>
      <c r="O48" s="37">
        <v>0</v>
      </c>
      <c r="P48" s="37">
        <v>281.09375</v>
      </c>
      <c r="Q48" s="37">
        <v>0</v>
      </c>
      <c r="R48" s="37">
        <v>693.61</v>
      </c>
      <c r="S48" s="37">
        <v>0</v>
      </c>
      <c r="T48" s="37">
        <v>918.30528846153857</v>
      </c>
      <c r="U48" s="37">
        <v>0</v>
      </c>
      <c r="V48" s="37">
        <v>786.87740384615404</v>
      </c>
      <c r="W48" s="37">
        <v>0</v>
      </c>
      <c r="X48" s="37">
        <v>887.75</v>
      </c>
      <c r="Y48" s="37">
        <v>0</v>
      </c>
      <c r="Z48" s="37">
        <v>1092.7225000000003</v>
      </c>
      <c r="AA48" s="37">
        <v>0</v>
      </c>
      <c r="AB48" s="37">
        <v>370.19907407407413</v>
      </c>
      <c r="AC48" s="37">
        <v>0</v>
      </c>
      <c r="AD48" s="37">
        <v>0</v>
      </c>
      <c r="AE48" s="37">
        <v>0</v>
      </c>
      <c r="AF48" s="37">
        <v>0</v>
      </c>
      <c r="AG48" s="37">
        <v>0</v>
      </c>
      <c r="AH48" s="37">
        <v>0</v>
      </c>
      <c r="AI48" s="37">
        <v>0</v>
      </c>
      <c r="AJ48" s="37">
        <v>0</v>
      </c>
      <c r="AK48" s="37">
        <v>0</v>
      </c>
      <c r="AL48" s="37">
        <v>0</v>
      </c>
      <c r="AM48" s="37">
        <v>0</v>
      </c>
      <c r="AN48" s="37">
        <v>281.09375</v>
      </c>
      <c r="AO48" s="37">
        <v>0</v>
      </c>
      <c r="AP48" s="37">
        <v>693.61</v>
      </c>
      <c r="AQ48" s="37">
        <v>0</v>
      </c>
      <c r="AR48" s="37">
        <v>918.30528846153857</v>
      </c>
      <c r="AS48" s="37">
        <v>0</v>
      </c>
      <c r="AT48" s="37">
        <v>786.87740384615404</v>
      </c>
      <c r="AU48" s="37">
        <v>0</v>
      </c>
      <c r="AV48" s="37">
        <v>887.75</v>
      </c>
      <c r="AW48" s="37">
        <v>0</v>
      </c>
      <c r="AX48" s="37">
        <v>1092.7225000000003</v>
      </c>
      <c r="AY48" s="37">
        <v>0</v>
      </c>
      <c r="AZ48" s="37">
        <v>360.39903846153845</v>
      </c>
      <c r="BA48" s="37">
        <v>0</v>
      </c>
      <c r="BB48" s="37">
        <v>0</v>
      </c>
      <c r="BC48" s="37">
        <v>0</v>
      </c>
      <c r="BD48" s="37">
        <v>0</v>
      </c>
      <c r="BE48" s="37">
        <v>0</v>
      </c>
      <c r="BF48" s="37">
        <v>0</v>
      </c>
      <c r="BG48" s="37">
        <v>0</v>
      </c>
      <c r="BH48" s="37">
        <v>0</v>
      </c>
      <c r="BI48" s="37">
        <v>0</v>
      </c>
      <c r="BJ48" s="37">
        <v>0</v>
      </c>
      <c r="BK48" s="37">
        <v>0</v>
      </c>
      <c r="BL48" s="37">
        <v>269.77749999999997</v>
      </c>
      <c r="BM48" s="37">
        <v>0</v>
      </c>
      <c r="BN48" s="37">
        <v>702.97115384615392</v>
      </c>
      <c r="BO48" s="37">
        <v>0</v>
      </c>
      <c r="BP48" s="37">
        <v>918.30528846153857</v>
      </c>
      <c r="BQ48" s="37">
        <v>0</v>
      </c>
      <c r="BR48" s="37">
        <v>777.55250000000012</v>
      </c>
      <c r="BS48" s="37">
        <v>0</v>
      </c>
      <c r="BT48" s="37">
        <v>895.5</v>
      </c>
      <c r="BU48" s="37">
        <v>0</v>
      </c>
      <c r="BV48" s="37">
        <v>1092.7225000000003</v>
      </c>
      <c r="BW48" s="37">
        <v>0</v>
      </c>
    </row>
    <row r="49" spans="2:75">
      <c r="B49">
        <v>10118</v>
      </c>
      <c r="C49" t="s">
        <v>53</v>
      </c>
      <c r="D49" s="37">
        <v>0</v>
      </c>
      <c r="E49" s="37">
        <v>0</v>
      </c>
      <c r="F49" s="37">
        <v>0</v>
      </c>
      <c r="G49" s="37">
        <v>0</v>
      </c>
      <c r="H49" s="37">
        <v>0</v>
      </c>
      <c r="I49" s="37">
        <v>0</v>
      </c>
      <c r="J49" s="37">
        <v>0</v>
      </c>
      <c r="K49" s="37">
        <v>0</v>
      </c>
      <c r="L49" s="37">
        <v>0</v>
      </c>
      <c r="M49" s="37">
        <v>0</v>
      </c>
      <c r="N49" s="37">
        <v>0</v>
      </c>
      <c r="O49" s="37">
        <v>0</v>
      </c>
      <c r="P49" s="37">
        <v>0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0</v>
      </c>
      <c r="W49" s="37">
        <v>0</v>
      </c>
      <c r="X49" s="37">
        <v>0</v>
      </c>
      <c r="Y49" s="37">
        <v>0</v>
      </c>
      <c r="Z49" s="37">
        <v>0</v>
      </c>
      <c r="AA49" s="37">
        <v>0</v>
      </c>
      <c r="AB49" s="37">
        <v>0</v>
      </c>
      <c r="AC49" s="37">
        <v>0</v>
      </c>
      <c r="AD49" s="37">
        <v>0</v>
      </c>
      <c r="AE49" s="37">
        <v>0</v>
      </c>
      <c r="AF49" s="37">
        <v>0</v>
      </c>
      <c r="AG49" s="37">
        <v>0</v>
      </c>
      <c r="AH49" s="37">
        <v>0</v>
      </c>
      <c r="AI49" s="37">
        <v>0</v>
      </c>
      <c r="AJ49" s="37">
        <v>0</v>
      </c>
      <c r="AK49" s="37">
        <v>0</v>
      </c>
      <c r="AL49" s="37">
        <v>0</v>
      </c>
      <c r="AM49" s="37">
        <v>0</v>
      </c>
      <c r="AN49" s="37">
        <v>0</v>
      </c>
      <c r="AO49" s="37">
        <v>0</v>
      </c>
      <c r="AP49" s="37">
        <v>0</v>
      </c>
      <c r="AQ49" s="37">
        <v>0</v>
      </c>
      <c r="AR49" s="37">
        <v>0</v>
      </c>
      <c r="AS49" s="37">
        <v>0</v>
      </c>
      <c r="AT49" s="37">
        <v>0</v>
      </c>
      <c r="AU49" s="37">
        <v>0</v>
      </c>
      <c r="AV49" s="37">
        <v>0</v>
      </c>
      <c r="AW49" s="37">
        <v>0</v>
      </c>
      <c r="AX49" s="37">
        <v>0</v>
      </c>
      <c r="AY49" s="37">
        <v>0</v>
      </c>
      <c r="AZ49" s="37">
        <v>0</v>
      </c>
      <c r="BA49" s="37">
        <v>0</v>
      </c>
      <c r="BB49" s="37">
        <v>0</v>
      </c>
      <c r="BC49" s="37">
        <v>0</v>
      </c>
      <c r="BD49" s="37">
        <v>0</v>
      </c>
      <c r="BE49" s="37">
        <v>0</v>
      </c>
      <c r="BF49" s="37">
        <v>0</v>
      </c>
      <c r="BG49" s="37">
        <v>0</v>
      </c>
      <c r="BH49" s="37">
        <v>0</v>
      </c>
      <c r="BI49" s="37">
        <v>0</v>
      </c>
      <c r="BJ49" s="37">
        <v>0</v>
      </c>
      <c r="BK49" s="37">
        <v>0</v>
      </c>
      <c r="BL49" s="37">
        <v>0</v>
      </c>
      <c r="BM49" s="37">
        <v>0</v>
      </c>
      <c r="BN49" s="37">
        <v>0</v>
      </c>
      <c r="BO49" s="37">
        <v>0</v>
      </c>
      <c r="BP49" s="37">
        <v>0</v>
      </c>
      <c r="BQ49" s="37">
        <v>0</v>
      </c>
      <c r="BR49" s="37">
        <v>0</v>
      </c>
      <c r="BS49" s="37">
        <v>0</v>
      </c>
      <c r="BT49" s="37">
        <v>0</v>
      </c>
      <c r="BU49" s="37">
        <v>0</v>
      </c>
      <c r="BV49" s="37">
        <v>0</v>
      </c>
      <c r="BW49" s="37">
        <v>0</v>
      </c>
    </row>
    <row r="50" spans="2:75">
      <c r="B50">
        <v>10121</v>
      </c>
      <c r="C50" t="s">
        <v>54</v>
      </c>
      <c r="D50" s="37">
        <v>0</v>
      </c>
      <c r="E50" s="37">
        <v>0</v>
      </c>
      <c r="F50" s="37">
        <v>0</v>
      </c>
      <c r="G50" s="37">
        <v>0</v>
      </c>
      <c r="H50" s="37">
        <v>0</v>
      </c>
      <c r="I50" s="37">
        <v>0</v>
      </c>
      <c r="J50" s="37">
        <v>0</v>
      </c>
      <c r="K50" s="37">
        <v>0</v>
      </c>
      <c r="L50" s="37">
        <v>0</v>
      </c>
      <c r="M50" s="37">
        <v>0</v>
      </c>
      <c r="N50" s="37">
        <v>0</v>
      </c>
      <c r="O50" s="37">
        <v>0</v>
      </c>
      <c r="P50" s="37">
        <v>0</v>
      </c>
      <c r="Q50" s="37">
        <v>0</v>
      </c>
      <c r="R50" s="37">
        <v>0</v>
      </c>
      <c r="S50" s="37">
        <v>0</v>
      </c>
      <c r="T50" s="37">
        <v>0</v>
      </c>
      <c r="U50" s="37">
        <v>0</v>
      </c>
      <c r="V50" s="37">
        <v>0</v>
      </c>
      <c r="W50" s="37">
        <v>0</v>
      </c>
      <c r="X50" s="37">
        <v>0</v>
      </c>
      <c r="Y50" s="37">
        <v>0</v>
      </c>
      <c r="Z50" s="37">
        <v>0</v>
      </c>
      <c r="AA50" s="37">
        <v>0</v>
      </c>
      <c r="AB50" s="37">
        <v>0</v>
      </c>
      <c r="AC50" s="37">
        <v>0</v>
      </c>
      <c r="AD50" s="37">
        <v>0</v>
      </c>
      <c r="AE50" s="37">
        <v>0</v>
      </c>
      <c r="AF50" s="37">
        <v>0</v>
      </c>
      <c r="AG50" s="37">
        <v>0</v>
      </c>
      <c r="AH50" s="37">
        <v>0</v>
      </c>
      <c r="AI50" s="37">
        <v>0</v>
      </c>
      <c r="AJ50" s="37">
        <v>0</v>
      </c>
      <c r="AK50" s="37">
        <v>0</v>
      </c>
      <c r="AL50" s="37">
        <v>0</v>
      </c>
      <c r="AM50" s="37">
        <v>0</v>
      </c>
      <c r="AN50" s="37">
        <v>0</v>
      </c>
      <c r="AO50" s="37">
        <v>0</v>
      </c>
      <c r="AP50" s="37">
        <v>0</v>
      </c>
      <c r="AQ50" s="37">
        <v>0</v>
      </c>
      <c r="AR50" s="37">
        <v>0</v>
      </c>
      <c r="AS50" s="37">
        <v>0</v>
      </c>
      <c r="AT50" s="37">
        <v>0</v>
      </c>
      <c r="AU50" s="37">
        <v>0</v>
      </c>
      <c r="AV50" s="37">
        <v>0</v>
      </c>
      <c r="AW50" s="37">
        <v>0</v>
      </c>
      <c r="AX50" s="37">
        <v>0</v>
      </c>
      <c r="AY50" s="37">
        <v>0</v>
      </c>
      <c r="AZ50" s="37">
        <v>0</v>
      </c>
      <c r="BA50" s="37">
        <v>0</v>
      </c>
      <c r="BB50" s="37">
        <v>0</v>
      </c>
      <c r="BC50" s="37">
        <v>0</v>
      </c>
      <c r="BD50" s="37">
        <v>0</v>
      </c>
      <c r="BE50" s="37">
        <v>0</v>
      </c>
      <c r="BF50" s="37">
        <v>0</v>
      </c>
      <c r="BG50" s="37">
        <v>0</v>
      </c>
      <c r="BH50" s="37">
        <v>0</v>
      </c>
      <c r="BI50" s="37">
        <v>0</v>
      </c>
      <c r="BJ50" s="37">
        <v>0</v>
      </c>
      <c r="BK50" s="37">
        <v>0</v>
      </c>
      <c r="BL50" s="37">
        <v>0</v>
      </c>
      <c r="BM50" s="37">
        <v>0</v>
      </c>
      <c r="BN50" s="37">
        <v>0</v>
      </c>
      <c r="BO50" s="37">
        <v>0</v>
      </c>
      <c r="BP50" s="37">
        <v>0</v>
      </c>
      <c r="BQ50" s="37">
        <v>0</v>
      </c>
      <c r="BR50" s="37">
        <v>0</v>
      </c>
      <c r="BS50" s="37">
        <v>0</v>
      </c>
      <c r="BT50" s="37">
        <v>0</v>
      </c>
      <c r="BU50" s="37">
        <v>0</v>
      </c>
      <c r="BV50" s="37">
        <v>0</v>
      </c>
      <c r="BW50" s="37">
        <v>0</v>
      </c>
    </row>
    <row r="51" spans="2:75">
      <c r="B51">
        <v>10123</v>
      </c>
      <c r="C51" t="s">
        <v>55</v>
      </c>
      <c r="D51" s="37">
        <v>0</v>
      </c>
      <c r="E51" s="37">
        <v>0</v>
      </c>
      <c r="F51" s="37">
        <v>0</v>
      </c>
      <c r="G51" s="37">
        <v>0</v>
      </c>
      <c r="H51" s="37">
        <v>0</v>
      </c>
      <c r="I51" s="37">
        <v>0</v>
      </c>
      <c r="J51" s="37">
        <v>0</v>
      </c>
      <c r="K51" s="37">
        <v>0</v>
      </c>
      <c r="L51" s="37">
        <v>0</v>
      </c>
      <c r="M51" s="37">
        <v>0</v>
      </c>
      <c r="N51" s="37">
        <v>0</v>
      </c>
      <c r="O51" s="37">
        <v>0</v>
      </c>
      <c r="P51" s="37">
        <v>0</v>
      </c>
      <c r="Q51" s="37">
        <v>0</v>
      </c>
      <c r="R51" s="37">
        <v>0</v>
      </c>
      <c r="S51" s="37">
        <v>0</v>
      </c>
      <c r="T51" s="37">
        <v>0</v>
      </c>
      <c r="U51" s="37">
        <v>0</v>
      </c>
      <c r="V51" s="37">
        <v>0</v>
      </c>
      <c r="W51" s="37">
        <v>0</v>
      </c>
      <c r="X51" s="37">
        <v>0</v>
      </c>
      <c r="Y51" s="37">
        <v>0</v>
      </c>
      <c r="Z51" s="37">
        <v>0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7">
        <v>0</v>
      </c>
      <c r="AG51" s="37">
        <v>0</v>
      </c>
      <c r="AH51" s="37">
        <v>0</v>
      </c>
      <c r="AI51" s="37">
        <v>0</v>
      </c>
      <c r="AJ51" s="37">
        <v>0</v>
      </c>
      <c r="AK51" s="37">
        <v>0</v>
      </c>
      <c r="AL51" s="37">
        <v>0</v>
      </c>
      <c r="AM51" s="37">
        <v>0</v>
      </c>
      <c r="AN51" s="37">
        <v>0</v>
      </c>
      <c r="AO51" s="37">
        <v>0</v>
      </c>
      <c r="AP51" s="37">
        <v>0</v>
      </c>
      <c r="AQ51" s="37">
        <v>0</v>
      </c>
      <c r="AR51" s="37">
        <v>0</v>
      </c>
      <c r="AS51" s="37">
        <v>0</v>
      </c>
      <c r="AT51" s="37">
        <v>0</v>
      </c>
      <c r="AU51" s="37">
        <v>0</v>
      </c>
      <c r="AV51" s="37">
        <v>0</v>
      </c>
      <c r="AW51" s="37">
        <v>0</v>
      </c>
      <c r="AX51" s="37">
        <v>0</v>
      </c>
      <c r="AY51" s="37">
        <v>0</v>
      </c>
      <c r="AZ51" s="37">
        <v>0</v>
      </c>
      <c r="BA51" s="37">
        <v>0</v>
      </c>
      <c r="BB51" s="37">
        <v>0</v>
      </c>
      <c r="BC51" s="37">
        <v>0</v>
      </c>
      <c r="BD51" s="37">
        <v>0</v>
      </c>
      <c r="BE51" s="37">
        <v>0</v>
      </c>
      <c r="BF51" s="37">
        <v>0</v>
      </c>
      <c r="BG51" s="37">
        <v>0</v>
      </c>
      <c r="BH51" s="37">
        <v>0</v>
      </c>
      <c r="BI51" s="37">
        <v>0</v>
      </c>
      <c r="BJ51" s="37">
        <v>0</v>
      </c>
      <c r="BK51" s="37">
        <v>0</v>
      </c>
      <c r="BL51" s="37">
        <v>0</v>
      </c>
      <c r="BM51" s="37">
        <v>0</v>
      </c>
      <c r="BN51" s="37">
        <v>0</v>
      </c>
      <c r="BO51" s="37">
        <v>0</v>
      </c>
      <c r="BP51" s="37">
        <v>0</v>
      </c>
      <c r="BQ51" s="37">
        <v>0</v>
      </c>
      <c r="BR51" s="37">
        <v>0</v>
      </c>
      <c r="BS51" s="37">
        <v>0</v>
      </c>
      <c r="BT51" s="37">
        <v>0</v>
      </c>
      <c r="BU51" s="37">
        <v>0</v>
      </c>
      <c r="BV51" s="37">
        <v>0</v>
      </c>
      <c r="BW51" s="37">
        <v>0</v>
      </c>
    </row>
    <row r="52" spans="2:75">
      <c r="B52">
        <v>10136</v>
      </c>
      <c r="C52" t="s">
        <v>56</v>
      </c>
      <c r="D52" s="37">
        <v>0</v>
      </c>
      <c r="E52" s="37">
        <v>0</v>
      </c>
      <c r="F52" s="37">
        <v>0</v>
      </c>
      <c r="G52" s="37">
        <v>0</v>
      </c>
      <c r="H52" s="37">
        <v>0</v>
      </c>
      <c r="I52" s="37">
        <v>0</v>
      </c>
      <c r="J52" s="37">
        <v>0</v>
      </c>
      <c r="K52" s="37">
        <v>0</v>
      </c>
      <c r="L52" s="37">
        <v>0</v>
      </c>
      <c r="M52" s="37">
        <v>0</v>
      </c>
      <c r="N52" s="37">
        <v>0</v>
      </c>
      <c r="O52" s="37">
        <v>0</v>
      </c>
      <c r="P52" s="37">
        <v>0</v>
      </c>
      <c r="Q52" s="37">
        <v>0</v>
      </c>
      <c r="R52" s="37">
        <v>0</v>
      </c>
      <c r="S52" s="37">
        <v>0</v>
      </c>
      <c r="T52" s="37">
        <v>0</v>
      </c>
      <c r="U52" s="37">
        <v>0</v>
      </c>
      <c r="V52" s="37">
        <v>0</v>
      </c>
      <c r="W52" s="37">
        <v>0</v>
      </c>
      <c r="X52" s="37">
        <v>0</v>
      </c>
      <c r="Y52" s="37">
        <v>0</v>
      </c>
      <c r="Z52" s="37">
        <v>0</v>
      </c>
      <c r="AA52" s="37">
        <v>0</v>
      </c>
      <c r="AB52" s="37">
        <v>0</v>
      </c>
      <c r="AC52" s="37">
        <v>0</v>
      </c>
      <c r="AD52" s="37">
        <v>0</v>
      </c>
      <c r="AE52" s="37">
        <v>0</v>
      </c>
      <c r="AF52" s="37">
        <v>0</v>
      </c>
      <c r="AG52" s="37">
        <v>0</v>
      </c>
      <c r="AH52" s="37">
        <v>0</v>
      </c>
      <c r="AI52" s="37">
        <v>0</v>
      </c>
      <c r="AJ52" s="37">
        <v>0</v>
      </c>
      <c r="AK52" s="37">
        <v>0</v>
      </c>
      <c r="AL52" s="37">
        <v>0</v>
      </c>
      <c r="AM52" s="37">
        <v>0</v>
      </c>
      <c r="AN52" s="37">
        <v>0</v>
      </c>
      <c r="AO52" s="37">
        <v>0</v>
      </c>
      <c r="AP52" s="37">
        <v>0</v>
      </c>
      <c r="AQ52" s="37">
        <v>0</v>
      </c>
      <c r="AR52" s="37">
        <v>0</v>
      </c>
      <c r="AS52" s="37">
        <v>0</v>
      </c>
      <c r="AT52" s="37">
        <v>0</v>
      </c>
      <c r="AU52" s="37">
        <v>0</v>
      </c>
      <c r="AV52" s="37">
        <v>0</v>
      </c>
      <c r="AW52" s="37">
        <v>0</v>
      </c>
      <c r="AX52" s="37">
        <v>0</v>
      </c>
      <c r="AY52" s="37">
        <v>0</v>
      </c>
      <c r="AZ52" s="37">
        <v>0</v>
      </c>
      <c r="BA52" s="37">
        <v>0</v>
      </c>
      <c r="BB52" s="37">
        <v>0</v>
      </c>
      <c r="BC52" s="37">
        <v>0</v>
      </c>
      <c r="BD52" s="37">
        <v>0</v>
      </c>
      <c r="BE52" s="37">
        <v>0</v>
      </c>
      <c r="BF52" s="37">
        <v>0</v>
      </c>
      <c r="BG52" s="37">
        <v>0</v>
      </c>
      <c r="BH52" s="37">
        <v>0</v>
      </c>
      <c r="BI52" s="37">
        <v>0</v>
      </c>
      <c r="BJ52" s="37">
        <v>0</v>
      </c>
      <c r="BK52" s="37">
        <v>0</v>
      </c>
      <c r="BL52" s="37">
        <v>0</v>
      </c>
      <c r="BM52" s="37">
        <v>0</v>
      </c>
      <c r="BN52" s="37">
        <v>0</v>
      </c>
      <c r="BO52" s="37">
        <v>0</v>
      </c>
      <c r="BP52" s="37">
        <v>0</v>
      </c>
      <c r="BQ52" s="37">
        <v>0</v>
      </c>
      <c r="BR52" s="37">
        <v>0</v>
      </c>
      <c r="BS52" s="37">
        <v>0</v>
      </c>
      <c r="BT52" s="37">
        <v>0</v>
      </c>
      <c r="BU52" s="37">
        <v>0</v>
      </c>
      <c r="BV52" s="37">
        <v>0</v>
      </c>
      <c r="BW52" s="37">
        <v>0</v>
      </c>
    </row>
    <row r="53" spans="2:75">
      <c r="B53">
        <v>10142</v>
      </c>
      <c r="C53" t="s">
        <v>57</v>
      </c>
      <c r="D53" s="37">
        <v>938.58796296296282</v>
      </c>
      <c r="E53" s="37">
        <v>0</v>
      </c>
      <c r="F53" s="37">
        <v>693.38020833333303</v>
      </c>
      <c r="G53" s="37">
        <v>0</v>
      </c>
      <c r="H53" s="37">
        <v>1207.0985576923078</v>
      </c>
      <c r="I53" s="37">
        <v>0</v>
      </c>
      <c r="J53" s="37">
        <v>794.64182692307634</v>
      </c>
      <c r="K53" s="37">
        <v>0</v>
      </c>
      <c r="L53" s="37">
        <v>723.77604166666674</v>
      </c>
      <c r="M53" s="37">
        <v>0</v>
      </c>
      <c r="N53" s="37">
        <v>691.41346153846132</v>
      </c>
      <c r="O53" s="37">
        <v>0</v>
      </c>
      <c r="P53" s="37">
        <v>837.61298076923163</v>
      </c>
      <c r="Q53" s="37">
        <v>0</v>
      </c>
      <c r="R53" s="37">
        <v>609.59249999999997</v>
      </c>
      <c r="S53" s="37">
        <v>0</v>
      </c>
      <c r="T53" s="37">
        <v>1017.4807692307691</v>
      </c>
      <c r="U53" s="37">
        <v>0</v>
      </c>
      <c r="V53" s="37">
        <v>1436.7692307692312</v>
      </c>
      <c r="W53" s="37">
        <v>0</v>
      </c>
      <c r="X53" s="37">
        <v>1024.2259615384619</v>
      </c>
      <c r="Y53" s="37">
        <v>0</v>
      </c>
      <c r="Z53" s="37">
        <v>800.35250000000008</v>
      </c>
      <c r="AA53" s="37">
        <v>0</v>
      </c>
      <c r="AB53" s="37">
        <v>1023.4490740740747</v>
      </c>
      <c r="AC53" s="37">
        <v>0</v>
      </c>
      <c r="AD53" s="37">
        <v>775.68229166666652</v>
      </c>
      <c r="AE53" s="37">
        <v>0</v>
      </c>
      <c r="AF53" s="37">
        <v>1293.8100961538462</v>
      </c>
      <c r="AG53" s="37">
        <v>0</v>
      </c>
      <c r="AH53" s="37">
        <v>865.95</v>
      </c>
      <c r="AI53" s="37">
        <v>0</v>
      </c>
      <c r="AJ53" s="37">
        <v>808.31510416666697</v>
      </c>
      <c r="AK53" s="37">
        <v>0</v>
      </c>
      <c r="AL53" s="37">
        <v>787.38888888888846</v>
      </c>
      <c r="AM53" s="37">
        <v>0</v>
      </c>
      <c r="AN53" s="37">
        <v>921.59375</v>
      </c>
      <c r="AO53" s="37">
        <v>0</v>
      </c>
      <c r="AP53" s="37">
        <v>639.35250000000042</v>
      </c>
      <c r="AQ53" s="37">
        <v>0</v>
      </c>
      <c r="AR53" s="37">
        <v>1047.3557692307686</v>
      </c>
      <c r="AS53" s="37">
        <v>0</v>
      </c>
      <c r="AT53" s="37">
        <v>1466.9735576923085</v>
      </c>
      <c r="AU53" s="37">
        <v>0</v>
      </c>
      <c r="AV53" s="37">
        <v>1043.6225961538457</v>
      </c>
      <c r="AW53" s="37">
        <v>0</v>
      </c>
      <c r="AX53" s="37">
        <v>817.65249999999969</v>
      </c>
      <c r="AY53" s="37">
        <v>0</v>
      </c>
      <c r="AZ53" s="37">
        <v>1058.8653846153848</v>
      </c>
      <c r="BA53" s="37">
        <v>0</v>
      </c>
      <c r="BB53" s="37">
        <v>831.8575000000003</v>
      </c>
      <c r="BC53" s="37">
        <v>0</v>
      </c>
      <c r="BD53" s="37">
        <v>1330.5432692307695</v>
      </c>
      <c r="BE53" s="37">
        <v>0</v>
      </c>
      <c r="BF53" s="37">
        <v>895.31000000000006</v>
      </c>
      <c r="BG53" s="37">
        <v>0</v>
      </c>
      <c r="BH53" s="37">
        <v>864.19</v>
      </c>
      <c r="BI53" s="37">
        <v>0</v>
      </c>
      <c r="BJ53" s="37">
        <v>797.77777777777749</v>
      </c>
      <c r="BK53" s="37">
        <v>0</v>
      </c>
      <c r="BL53" s="37">
        <v>904.08</v>
      </c>
      <c r="BM53" s="37">
        <v>0</v>
      </c>
      <c r="BN53" s="37">
        <v>676.25240384615392</v>
      </c>
      <c r="BO53" s="37">
        <v>0</v>
      </c>
      <c r="BP53" s="37">
        <v>1047.3749999999991</v>
      </c>
      <c r="BQ53" s="37">
        <v>0</v>
      </c>
      <c r="BR53" s="37">
        <v>1423.63</v>
      </c>
      <c r="BS53" s="37">
        <v>0</v>
      </c>
      <c r="BT53" s="37">
        <v>1082.8310185185182</v>
      </c>
      <c r="BU53" s="37">
        <v>0</v>
      </c>
      <c r="BV53" s="37">
        <v>813.38499999999999</v>
      </c>
      <c r="BW53" s="37">
        <v>0</v>
      </c>
    </row>
    <row r="54" spans="2:75">
      <c r="B54">
        <v>10144</v>
      </c>
      <c r="C54" t="s">
        <v>58</v>
      </c>
      <c r="D54" s="37">
        <v>499.28472222222229</v>
      </c>
      <c r="E54" s="37">
        <v>0</v>
      </c>
      <c r="F54" s="37">
        <v>329.05729166666652</v>
      </c>
      <c r="G54" s="37">
        <v>0</v>
      </c>
      <c r="H54" s="37">
        <v>1136.4711538461538</v>
      </c>
      <c r="I54" s="37">
        <v>0</v>
      </c>
      <c r="J54" s="37">
        <v>1513.0000000000005</v>
      </c>
      <c r="K54" s="37">
        <v>0</v>
      </c>
      <c r="L54" s="37">
        <v>930.47656249999977</v>
      </c>
      <c r="M54" s="37">
        <v>0</v>
      </c>
      <c r="N54" s="37">
        <v>1168.9326923076924</v>
      </c>
      <c r="O54" s="37">
        <v>0</v>
      </c>
      <c r="P54" s="37">
        <v>759.23798076923049</v>
      </c>
      <c r="Q54" s="37">
        <v>0</v>
      </c>
      <c r="R54" s="37">
        <v>633.34749999999974</v>
      </c>
      <c r="S54" s="37">
        <v>0</v>
      </c>
      <c r="T54" s="37">
        <v>585.15144230769249</v>
      </c>
      <c r="U54" s="37">
        <v>0</v>
      </c>
      <c r="V54" s="37">
        <v>616.26201923076871</v>
      </c>
      <c r="W54" s="37">
        <v>0</v>
      </c>
      <c r="X54" s="37">
        <v>799.57692307692344</v>
      </c>
      <c r="Y54" s="37">
        <v>0</v>
      </c>
      <c r="Z54" s="37">
        <v>425.72499999999968</v>
      </c>
      <c r="AA54" s="37">
        <v>0</v>
      </c>
      <c r="AB54" s="37">
        <v>499.28472222222229</v>
      </c>
      <c r="AC54" s="37">
        <v>0</v>
      </c>
      <c r="AD54" s="37">
        <v>329.05729166666652</v>
      </c>
      <c r="AE54" s="37">
        <v>0</v>
      </c>
      <c r="AF54" s="37">
        <v>1136.4711538461538</v>
      </c>
      <c r="AG54" s="37">
        <v>0</v>
      </c>
      <c r="AH54" s="37">
        <v>1533.8650000000011</v>
      </c>
      <c r="AI54" s="37">
        <v>0</v>
      </c>
      <c r="AJ54" s="37">
        <v>930.47656249999977</v>
      </c>
      <c r="AK54" s="37">
        <v>0</v>
      </c>
      <c r="AL54" s="37">
        <v>1152.3680555555554</v>
      </c>
      <c r="AM54" s="37">
        <v>0</v>
      </c>
      <c r="AN54" s="37">
        <v>759.23798076923049</v>
      </c>
      <c r="AO54" s="37">
        <v>0</v>
      </c>
      <c r="AP54" s="37">
        <v>633.34749999999974</v>
      </c>
      <c r="AQ54" s="37">
        <v>0</v>
      </c>
      <c r="AR54" s="37">
        <v>585.15144230769249</v>
      </c>
      <c r="AS54" s="37">
        <v>0</v>
      </c>
      <c r="AT54" s="37">
        <v>616.26201923076871</v>
      </c>
      <c r="AU54" s="37">
        <v>0</v>
      </c>
      <c r="AV54" s="37">
        <v>799.57692307692344</v>
      </c>
      <c r="AW54" s="37">
        <v>0</v>
      </c>
      <c r="AX54" s="37">
        <v>425.72499999999968</v>
      </c>
      <c r="AY54" s="37">
        <v>0</v>
      </c>
      <c r="AZ54" s="37">
        <v>509.75000000000034</v>
      </c>
      <c r="BA54" s="37">
        <v>0</v>
      </c>
      <c r="BB54" s="37">
        <v>312.73000000000019</v>
      </c>
      <c r="BC54" s="37">
        <v>0</v>
      </c>
      <c r="BD54" s="37">
        <v>1136.4711538461538</v>
      </c>
      <c r="BE54" s="37">
        <v>0</v>
      </c>
      <c r="BF54" s="37">
        <v>1533.8650000000011</v>
      </c>
      <c r="BG54" s="37">
        <v>0</v>
      </c>
      <c r="BH54" s="37">
        <v>880.54749999999933</v>
      </c>
      <c r="BI54" s="37">
        <v>0</v>
      </c>
      <c r="BJ54" s="37">
        <v>1152.3680555555554</v>
      </c>
      <c r="BK54" s="37">
        <v>0</v>
      </c>
      <c r="BL54" s="37">
        <v>773.76999999999987</v>
      </c>
      <c r="BM54" s="37">
        <v>0</v>
      </c>
      <c r="BN54" s="37">
        <v>626.2692307692306</v>
      </c>
      <c r="BO54" s="37">
        <v>0</v>
      </c>
      <c r="BP54" s="37">
        <v>585.15144230769249</v>
      </c>
      <c r="BQ54" s="37">
        <v>0</v>
      </c>
      <c r="BR54" s="37">
        <v>623.55249999999967</v>
      </c>
      <c r="BS54" s="37">
        <v>0</v>
      </c>
      <c r="BT54" s="37">
        <v>793.49537037037089</v>
      </c>
      <c r="BU54" s="37">
        <v>0</v>
      </c>
      <c r="BV54" s="37">
        <v>425.72499999999968</v>
      </c>
      <c r="BW54" s="37">
        <v>0</v>
      </c>
    </row>
    <row r="55" spans="2:75">
      <c r="B55">
        <v>10156</v>
      </c>
      <c r="C55" t="s">
        <v>59</v>
      </c>
      <c r="D55" s="37">
        <v>635.41203703703536</v>
      </c>
      <c r="E55" s="37">
        <v>0</v>
      </c>
      <c r="F55" s="37">
        <v>560.97916666665878</v>
      </c>
      <c r="G55" s="37">
        <v>0</v>
      </c>
      <c r="H55" s="37">
        <v>11373.814903846154</v>
      </c>
      <c r="I55" s="37">
        <v>0</v>
      </c>
      <c r="J55" s="37">
        <v>8753.158653846147</v>
      </c>
      <c r="K55" s="37">
        <v>0</v>
      </c>
      <c r="L55" s="37">
        <v>7080.4635416666652</v>
      </c>
      <c r="M55" s="37">
        <v>0</v>
      </c>
      <c r="N55" s="37">
        <v>600.23076923076951</v>
      </c>
      <c r="O55" s="37">
        <v>0</v>
      </c>
      <c r="P55" s="37">
        <v>5431.5576923076987</v>
      </c>
      <c r="Q55" s="37">
        <v>0</v>
      </c>
      <c r="R55" s="37">
        <v>1041.6375000000021</v>
      </c>
      <c r="S55" s="37">
        <v>0</v>
      </c>
      <c r="T55" s="37">
        <v>8442.9014423076915</v>
      </c>
      <c r="U55" s="37">
        <v>0</v>
      </c>
      <c r="V55" s="37">
        <v>9224.2860576923104</v>
      </c>
      <c r="W55" s="37">
        <v>0</v>
      </c>
      <c r="X55" s="37">
        <v>9129.2163461538421</v>
      </c>
      <c r="Y55" s="37">
        <v>0</v>
      </c>
      <c r="Z55" s="37">
        <v>5855.715000000002</v>
      </c>
      <c r="AA55" s="37">
        <v>0</v>
      </c>
      <c r="AB55" s="37">
        <v>825.98611111110642</v>
      </c>
      <c r="AC55" s="37">
        <v>0</v>
      </c>
      <c r="AD55" s="37">
        <v>769.78645833333917</v>
      </c>
      <c r="AE55" s="37">
        <v>0</v>
      </c>
      <c r="AF55" s="37">
        <v>11737.899038461537</v>
      </c>
      <c r="AG55" s="37">
        <v>0</v>
      </c>
      <c r="AH55" s="37">
        <v>7133.4249999999938</v>
      </c>
      <c r="AI55" s="37">
        <v>0</v>
      </c>
      <c r="AJ55" s="37">
        <v>7342.4114583333285</v>
      </c>
      <c r="AK55" s="37">
        <v>0</v>
      </c>
      <c r="AL55" s="37">
        <v>2256.8587962962993</v>
      </c>
      <c r="AM55" s="37">
        <v>0</v>
      </c>
      <c r="AN55" s="37">
        <v>5610.3221153846125</v>
      </c>
      <c r="AO55" s="37">
        <v>0</v>
      </c>
      <c r="AP55" s="37">
        <v>1214.8500000000001</v>
      </c>
      <c r="AQ55" s="37">
        <v>0</v>
      </c>
      <c r="AR55" s="37">
        <v>8624.5192307692323</v>
      </c>
      <c r="AS55" s="37">
        <v>0</v>
      </c>
      <c r="AT55" s="37">
        <v>9412.0625000000018</v>
      </c>
      <c r="AU55" s="37">
        <v>0</v>
      </c>
      <c r="AV55" s="37">
        <v>9306.0336538461506</v>
      </c>
      <c r="AW55" s="37">
        <v>0</v>
      </c>
      <c r="AX55" s="37">
        <v>6037.5274999999974</v>
      </c>
      <c r="AY55" s="37">
        <v>0</v>
      </c>
      <c r="AZ55" s="37">
        <v>0</v>
      </c>
      <c r="BA55" s="37">
        <v>0</v>
      </c>
      <c r="BB55" s="37">
        <v>2647.5924999999984</v>
      </c>
      <c r="BC55" s="37">
        <v>0</v>
      </c>
      <c r="BD55" s="37">
        <v>12069.656249999996</v>
      </c>
      <c r="BE55" s="37">
        <v>0</v>
      </c>
      <c r="BF55" s="37">
        <v>7482.9849999999979</v>
      </c>
      <c r="BG55" s="37">
        <v>0</v>
      </c>
      <c r="BH55" s="37">
        <v>8063.0674999999937</v>
      </c>
      <c r="BI55" s="37">
        <v>0</v>
      </c>
      <c r="BJ55" s="37">
        <v>2438.0023148148171</v>
      </c>
      <c r="BK55" s="37">
        <v>0</v>
      </c>
      <c r="BL55" s="37">
        <v>4473.6750000000002</v>
      </c>
      <c r="BM55" s="37">
        <v>0</v>
      </c>
      <c r="BN55" s="37">
        <v>2459.9399038461538</v>
      </c>
      <c r="BO55" s="37">
        <v>0</v>
      </c>
      <c r="BP55" s="37">
        <v>8797.6129807692323</v>
      </c>
      <c r="BQ55" s="37">
        <v>0</v>
      </c>
      <c r="BR55" s="37">
        <v>8476.6875000000036</v>
      </c>
      <c r="BS55" s="37">
        <v>0</v>
      </c>
      <c r="BT55" s="37">
        <v>10554.627314814812</v>
      </c>
      <c r="BU55" s="37">
        <v>0</v>
      </c>
      <c r="BV55" s="37">
        <v>6210.755000000001</v>
      </c>
      <c r="BW55" s="37">
        <v>0</v>
      </c>
    </row>
    <row r="56" spans="2:75">
      <c r="B56">
        <v>10157</v>
      </c>
      <c r="C56" t="s">
        <v>60</v>
      </c>
      <c r="D56" s="37">
        <v>20830.750000000011</v>
      </c>
      <c r="E56" s="37">
        <v>0</v>
      </c>
      <c r="F56" s="37">
        <v>11518.700520833321</v>
      </c>
      <c r="G56" s="37">
        <v>0</v>
      </c>
      <c r="H56" s="37">
        <v>18704.252403846156</v>
      </c>
      <c r="I56" s="37">
        <v>0</v>
      </c>
      <c r="J56" s="37">
        <v>23933.03605769229</v>
      </c>
      <c r="K56" s="37">
        <v>0</v>
      </c>
      <c r="L56" s="37">
        <v>0</v>
      </c>
      <c r="M56" s="37">
        <v>0</v>
      </c>
      <c r="N56" s="37">
        <v>10711.144230769236</v>
      </c>
      <c r="O56" s="37">
        <v>0</v>
      </c>
      <c r="P56" s="37">
        <v>10178.807692307686</v>
      </c>
      <c r="Q56" s="37">
        <v>0</v>
      </c>
      <c r="R56" s="37">
        <v>0</v>
      </c>
      <c r="S56" s="37">
        <v>0</v>
      </c>
      <c r="T56" s="37">
        <v>17137.161057692298</v>
      </c>
      <c r="U56" s="37">
        <v>0</v>
      </c>
      <c r="V56" s="37">
        <v>12811.39663461539</v>
      </c>
      <c r="W56" s="37">
        <v>0</v>
      </c>
      <c r="X56" s="37">
        <v>14008.685096153851</v>
      </c>
      <c r="Y56" s="37">
        <v>0</v>
      </c>
      <c r="Z56" s="37">
        <v>10853.600000000008</v>
      </c>
      <c r="AA56" s="37">
        <v>0</v>
      </c>
      <c r="AB56" s="37">
        <v>21040.120370370383</v>
      </c>
      <c r="AC56" s="37">
        <v>0</v>
      </c>
      <c r="AD56" s="37">
        <v>11667.322916666692</v>
      </c>
      <c r="AE56" s="37">
        <v>0</v>
      </c>
      <c r="AF56" s="37">
        <v>18792.110576923078</v>
      </c>
      <c r="AG56" s="37">
        <v>0</v>
      </c>
      <c r="AH56" s="37">
        <v>20142.412500000006</v>
      </c>
      <c r="AI56" s="37">
        <v>0</v>
      </c>
      <c r="AJ56" s="37">
        <v>0</v>
      </c>
      <c r="AK56" s="37">
        <v>0</v>
      </c>
      <c r="AL56" s="37">
        <v>14210.298611111128</v>
      </c>
      <c r="AM56" s="37">
        <v>0</v>
      </c>
      <c r="AN56" s="37">
        <v>10474.127403846169</v>
      </c>
      <c r="AO56" s="37">
        <v>0</v>
      </c>
      <c r="AP56" s="37">
        <v>0</v>
      </c>
      <c r="AQ56" s="37">
        <v>0</v>
      </c>
      <c r="AR56" s="37">
        <v>17347.531250000011</v>
      </c>
      <c r="AS56" s="37">
        <v>0</v>
      </c>
      <c r="AT56" s="37">
        <v>13027.663461538465</v>
      </c>
      <c r="AU56" s="37">
        <v>0</v>
      </c>
      <c r="AV56" s="37">
        <v>14208.096153846152</v>
      </c>
      <c r="AW56" s="37">
        <v>0</v>
      </c>
      <c r="AX56" s="37">
        <v>11116.987499999987</v>
      </c>
      <c r="AY56" s="37">
        <v>0</v>
      </c>
      <c r="AZ56" s="37">
        <v>18280.269230769216</v>
      </c>
      <c r="BA56" s="37">
        <v>0</v>
      </c>
      <c r="BB56" s="37">
        <v>15533.982499999993</v>
      </c>
      <c r="BC56" s="37">
        <v>0</v>
      </c>
      <c r="BD56" s="37">
        <v>18974.951923076915</v>
      </c>
      <c r="BE56" s="37">
        <v>0</v>
      </c>
      <c r="BF56" s="37">
        <v>20105.644999999997</v>
      </c>
      <c r="BG56" s="37">
        <v>0</v>
      </c>
      <c r="BH56" s="37">
        <v>0</v>
      </c>
      <c r="BI56" s="37">
        <v>0</v>
      </c>
      <c r="BJ56" s="37">
        <v>14221.256944444434</v>
      </c>
      <c r="BK56" s="37">
        <v>0</v>
      </c>
      <c r="BL56" s="37">
        <v>7247.5124999999989</v>
      </c>
      <c r="BM56" s="37">
        <v>0</v>
      </c>
      <c r="BN56" s="37">
        <v>0</v>
      </c>
      <c r="BO56" s="37">
        <v>0</v>
      </c>
      <c r="BP56" s="37">
        <v>17371.430288461532</v>
      </c>
      <c r="BQ56" s="37">
        <v>0</v>
      </c>
      <c r="BR56" s="37">
        <v>9832.3749999999964</v>
      </c>
      <c r="BS56" s="37">
        <v>0</v>
      </c>
      <c r="BT56" s="37">
        <v>17340.687500000004</v>
      </c>
      <c r="BU56" s="37">
        <v>0</v>
      </c>
      <c r="BV56" s="37">
        <v>11143.362500000003</v>
      </c>
      <c r="BW56" s="37">
        <v>0</v>
      </c>
    </row>
    <row r="57" spans="2:75">
      <c r="B57">
        <v>10158</v>
      </c>
      <c r="C57" t="s">
        <v>61</v>
      </c>
      <c r="D57" s="37">
        <v>157.56481481481487</v>
      </c>
      <c r="E57" s="37">
        <v>0</v>
      </c>
      <c r="F57" s="37">
        <v>38.565104166666586</v>
      </c>
      <c r="G57" s="37">
        <v>0</v>
      </c>
      <c r="H57" s="37">
        <v>662.9086538461537</v>
      </c>
      <c r="I57" s="37">
        <v>0</v>
      </c>
      <c r="J57" s="37">
        <v>534.45192307692344</v>
      </c>
      <c r="K57" s="37">
        <v>0</v>
      </c>
      <c r="L57" s="37">
        <v>374.70833333333309</v>
      </c>
      <c r="M57" s="37">
        <v>0</v>
      </c>
      <c r="N57" s="37">
        <v>637.27163461538453</v>
      </c>
      <c r="O57" s="37">
        <v>0</v>
      </c>
      <c r="P57" s="37">
        <v>422.99999999999972</v>
      </c>
      <c r="Q57" s="37">
        <v>0</v>
      </c>
      <c r="R57" s="37">
        <v>185.50500000000008</v>
      </c>
      <c r="S57" s="37">
        <v>0</v>
      </c>
      <c r="T57" s="37">
        <v>146.50961538461564</v>
      </c>
      <c r="U57" s="37">
        <v>0</v>
      </c>
      <c r="V57" s="37">
        <v>258.86298076923066</v>
      </c>
      <c r="W57" s="37">
        <v>0</v>
      </c>
      <c r="X57" s="37">
        <v>260.64663461538493</v>
      </c>
      <c r="Y57" s="37">
        <v>0</v>
      </c>
      <c r="Z57" s="37">
        <v>0</v>
      </c>
      <c r="AA57" s="37">
        <v>0</v>
      </c>
      <c r="AB57" s="37">
        <v>157.56481481481487</v>
      </c>
      <c r="AC57" s="37">
        <v>0</v>
      </c>
      <c r="AD57" s="37">
        <v>38.565104166666586</v>
      </c>
      <c r="AE57" s="37">
        <v>0</v>
      </c>
      <c r="AF57" s="37">
        <v>662.9086538461537</v>
      </c>
      <c r="AG57" s="37">
        <v>0</v>
      </c>
      <c r="AH57" s="37">
        <v>534.48749999999984</v>
      </c>
      <c r="AI57" s="37">
        <v>0</v>
      </c>
      <c r="AJ57" s="37">
        <v>374.70833333333309</v>
      </c>
      <c r="AK57" s="37">
        <v>0</v>
      </c>
      <c r="AL57" s="37">
        <v>634.64351851851848</v>
      </c>
      <c r="AM57" s="37">
        <v>0</v>
      </c>
      <c r="AN57" s="37">
        <v>422.99999999999972</v>
      </c>
      <c r="AO57" s="37">
        <v>0</v>
      </c>
      <c r="AP57" s="37">
        <v>185.50500000000008</v>
      </c>
      <c r="AQ57" s="37">
        <v>0</v>
      </c>
      <c r="AR57" s="37">
        <v>146.50961538461564</v>
      </c>
      <c r="AS57" s="37">
        <v>0</v>
      </c>
      <c r="AT57" s="37">
        <v>258.86298076923066</v>
      </c>
      <c r="AU57" s="37">
        <v>0</v>
      </c>
      <c r="AV57" s="37">
        <v>260.64663461538493</v>
      </c>
      <c r="AW57" s="37">
        <v>0</v>
      </c>
      <c r="AX57" s="37">
        <v>0</v>
      </c>
      <c r="AY57" s="37">
        <v>0</v>
      </c>
      <c r="AZ57" s="37">
        <v>157.10576923076925</v>
      </c>
      <c r="BA57" s="37">
        <v>0</v>
      </c>
      <c r="BB57" s="37">
        <v>37.379999999999747</v>
      </c>
      <c r="BC57" s="37">
        <v>0</v>
      </c>
      <c r="BD57" s="37">
        <v>662.9086538461537</v>
      </c>
      <c r="BE57" s="37">
        <v>0</v>
      </c>
      <c r="BF57" s="37">
        <v>534.48749999999984</v>
      </c>
      <c r="BG57" s="37">
        <v>0</v>
      </c>
      <c r="BH57" s="37">
        <v>368.87750000000005</v>
      </c>
      <c r="BI57" s="37">
        <v>0</v>
      </c>
      <c r="BJ57" s="37">
        <v>634.64351851851848</v>
      </c>
      <c r="BK57" s="37">
        <v>0</v>
      </c>
      <c r="BL57" s="37">
        <v>424.38249999999977</v>
      </c>
      <c r="BM57" s="37">
        <v>0</v>
      </c>
      <c r="BN57" s="37">
        <v>187.04326923076937</v>
      </c>
      <c r="BO57" s="37">
        <v>0</v>
      </c>
      <c r="BP57" s="37">
        <v>146.50961538461564</v>
      </c>
      <c r="BQ57" s="37">
        <v>0</v>
      </c>
      <c r="BR57" s="37">
        <v>254.44749999999993</v>
      </c>
      <c r="BS57" s="37">
        <v>0</v>
      </c>
      <c r="BT57" s="37">
        <v>264.79398148148181</v>
      </c>
      <c r="BU57" s="37">
        <v>0</v>
      </c>
      <c r="BV57" s="37">
        <v>0</v>
      </c>
      <c r="BW57" s="37">
        <v>0</v>
      </c>
    </row>
    <row r="58" spans="2:75">
      <c r="B58">
        <v>10170</v>
      </c>
      <c r="C58" t="s">
        <v>62</v>
      </c>
      <c r="D58" s="37">
        <v>0</v>
      </c>
      <c r="E58" s="37">
        <v>0</v>
      </c>
      <c r="F58" s="37">
        <v>0</v>
      </c>
      <c r="G58" s="37">
        <v>0</v>
      </c>
      <c r="H58" s="37">
        <v>0</v>
      </c>
      <c r="I58" s="37">
        <v>0</v>
      </c>
      <c r="J58" s="37">
        <v>0</v>
      </c>
      <c r="K58" s="37">
        <v>0</v>
      </c>
      <c r="L58" s="37">
        <v>0</v>
      </c>
      <c r="M58" s="37">
        <v>0</v>
      </c>
      <c r="N58" s="37">
        <v>0</v>
      </c>
      <c r="O58" s="37">
        <v>0</v>
      </c>
      <c r="P58" s="37">
        <v>0</v>
      </c>
      <c r="Q58" s="37">
        <v>0</v>
      </c>
      <c r="R58" s="37">
        <v>0</v>
      </c>
      <c r="S58" s="37">
        <v>0</v>
      </c>
      <c r="T58" s="37">
        <v>0</v>
      </c>
      <c r="U58" s="37">
        <v>0</v>
      </c>
      <c r="V58" s="37">
        <v>0</v>
      </c>
      <c r="W58" s="37">
        <v>0</v>
      </c>
      <c r="X58" s="37">
        <v>0</v>
      </c>
      <c r="Y58" s="37">
        <v>0</v>
      </c>
      <c r="Z58" s="37">
        <v>0</v>
      </c>
      <c r="AA58" s="37">
        <v>0</v>
      </c>
      <c r="AB58" s="37">
        <v>0</v>
      </c>
      <c r="AC58" s="37">
        <v>0</v>
      </c>
      <c r="AD58" s="37">
        <v>0</v>
      </c>
      <c r="AE58" s="37">
        <v>0</v>
      </c>
      <c r="AF58" s="37">
        <v>0</v>
      </c>
      <c r="AG58" s="37">
        <v>0</v>
      </c>
      <c r="AH58" s="37">
        <v>0</v>
      </c>
      <c r="AI58" s="37">
        <v>0</v>
      </c>
      <c r="AJ58" s="37">
        <v>0</v>
      </c>
      <c r="AK58" s="37">
        <v>0</v>
      </c>
      <c r="AL58" s="37">
        <v>0</v>
      </c>
      <c r="AM58" s="37">
        <v>0</v>
      </c>
      <c r="AN58" s="37">
        <v>0</v>
      </c>
      <c r="AO58" s="37">
        <v>0</v>
      </c>
      <c r="AP58" s="37">
        <v>0</v>
      </c>
      <c r="AQ58" s="37">
        <v>0</v>
      </c>
      <c r="AR58" s="37">
        <v>0</v>
      </c>
      <c r="AS58" s="37">
        <v>0</v>
      </c>
      <c r="AT58" s="37">
        <v>0</v>
      </c>
      <c r="AU58" s="37">
        <v>0</v>
      </c>
      <c r="AV58" s="37">
        <v>0</v>
      </c>
      <c r="AW58" s="37">
        <v>0</v>
      </c>
      <c r="AX58" s="37">
        <v>0</v>
      </c>
      <c r="AY58" s="37">
        <v>0</v>
      </c>
      <c r="AZ58" s="37">
        <v>0</v>
      </c>
      <c r="BA58" s="37">
        <v>0</v>
      </c>
      <c r="BB58" s="37">
        <v>0</v>
      </c>
      <c r="BC58" s="37">
        <v>0</v>
      </c>
      <c r="BD58" s="37">
        <v>0</v>
      </c>
      <c r="BE58" s="37">
        <v>0</v>
      </c>
      <c r="BF58" s="37">
        <v>0</v>
      </c>
      <c r="BG58" s="37">
        <v>0</v>
      </c>
      <c r="BH58" s="37">
        <v>0</v>
      </c>
      <c r="BI58" s="37">
        <v>0</v>
      </c>
      <c r="BJ58" s="37">
        <v>0</v>
      </c>
      <c r="BK58" s="37">
        <v>0</v>
      </c>
      <c r="BL58" s="37">
        <v>0</v>
      </c>
      <c r="BM58" s="37">
        <v>0</v>
      </c>
      <c r="BN58" s="37">
        <v>0</v>
      </c>
      <c r="BO58" s="37">
        <v>0</v>
      </c>
      <c r="BP58" s="37">
        <v>0</v>
      </c>
      <c r="BQ58" s="37">
        <v>0</v>
      </c>
      <c r="BR58" s="37">
        <v>0</v>
      </c>
      <c r="BS58" s="37">
        <v>0</v>
      </c>
      <c r="BT58" s="37">
        <v>0</v>
      </c>
      <c r="BU58" s="37">
        <v>0</v>
      </c>
      <c r="BV58" s="37">
        <v>0</v>
      </c>
      <c r="BW58" s="37">
        <v>0</v>
      </c>
    </row>
    <row r="59" spans="2:75">
      <c r="B59">
        <v>10172</v>
      </c>
      <c r="C59" t="s">
        <v>63</v>
      </c>
      <c r="D59" s="37">
        <v>1848.3958333333335</v>
      </c>
      <c r="E59" s="37">
        <v>0</v>
      </c>
      <c r="F59" s="37">
        <v>1878.0703124999998</v>
      </c>
      <c r="G59" s="37">
        <v>0</v>
      </c>
      <c r="H59" s="37">
        <v>2009.2620192307695</v>
      </c>
      <c r="I59" s="37">
        <v>0</v>
      </c>
      <c r="J59" s="37">
        <v>2241.6634615384605</v>
      </c>
      <c r="K59" s="37">
        <v>0</v>
      </c>
      <c r="L59" s="37">
        <v>2493.375</v>
      </c>
      <c r="M59" s="37">
        <v>0</v>
      </c>
      <c r="N59" s="37">
        <v>1766.7379807692314</v>
      </c>
      <c r="O59" s="37">
        <v>0</v>
      </c>
      <c r="P59" s="37">
        <v>2255.1562500000005</v>
      </c>
      <c r="Q59" s="37">
        <v>0</v>
      </c>
      <c r="R59" s="37">
        <v>1726.1650000000011</v>
      </c>
      <c r="S59" s="37">
        <v>0</v>
      </c>
      <c r="T59" s="37">
        <v>1789.5528846153859</v>
      </c>
      <c r="U59" s="37">
        <v>0</v>
      </c>
      <c r="V59" s="37">
        <v>2061.617788461539</v>
      </c>
      <c r="W59" s="37">
        <v>0</v>
      </c>
      <c r="X59" s="37">
        <v>1688.3004807692312</v>
      </c>
      <c r="Y59" s="37">
        <v>0</v>
      </c>
      <c r="Z59" s="37">
        <v>1630.9475000000002</v>
      </c>
      <c r="AA59" s="37">
        <v>0</v>
      </c>
      <c r="AB59" s="37">
        <v>2086.6319444444443</v>
      </c>
      <c r="AC59" s="37">
        <v>0</v>
      </c>
      <c r="AD59" s="37">
        <v>2109.9140624999991</v>
      </c>
      <c r="AE59" s="37">
        <v>0</v>
      </c>
      <c r="AF59" s="37">
        <v>2237.5769230769242</v>
      </c>
      <c r="AG59" s="37">
        <v>0</v>
      </c>
      <c r="AH59" s="37">
        <v>2217.9949999999994</v>
      </c>
      <c r="AI59" s="37">
        <v>0</v>
      </c>
      <c r="AJ59" s="37">
        <v>2709.1484374999991</v>
      </c>
      <c r="AK59" s="37">
        <v>0</v>
      </c>
      <c r="AL59" s="37">
        <v>2073.3726851851861</v>
      </c>
      <c r="AM59" s="37">
        <v>0</v>
      </c>
      <c r="AN59" s="37">
        <v>2457.2788461538471</v>
      </c>
      <c r="AO59" s="37">
        <v>0</v>
      </c>
      <c r="AP59" s="37">
        <v>1782.7574999999999</v>
      </c>
      <c r="AQ59" s="37">
        <v>0</v>
      </c>
      <c r="AR59" s="37">
        <v>1976.2620192307691</v>
      </c>
      <c r="AS59" s="37">
        <v>0</v>
      </c>
      <c r="AT59" s="37">
        <v>2242.0264423076915</v>
      </c>
      <c r="AU59" s="37">
        <v>0</v>
      </c>
      <c r="AV59" s="37">
        <v>1732.4206730769231</v>
      </c>
      <c r="AW59" s="37">
        <v>0</v>
      </c>
      <c r="AX59" s="37">
        <v>1791.3250000000003</v>
      </c>
      <c r="AY59" s="37">
        <v>0</v>
      </c>
      <c r="AZ59" s="37">
        <v>2038.2091346153852</v>
      </c>
      <c r="BA59" s="37">
        <v>0</v>
      </c>
      <c r="BB59" s="37">
        <v>2496.5774999999994</v>
      </c>
      <c r="BC59" s="37">
        <v>0</v>
      </c>
      <c r="BD59" s="37">
        <v>2396.6466346153848</v>
      </c>
      <c r="BE59" s="37">
        <v>0</v>
      </c>
      <c r="BF59" s="37">
        <v>2378.892499999999</v>
      </c>
      <c r="BG59" s="37">
        <v>0</v>
      </c>
      <c r="BH59" s="37">
        <v>2832.712500000001</v>
      </c>
      <c r="BI59" s="37">
        <v>0</v>
      </c>
      <c r="BJ59" s="37">
        <v>2168.9444444444443</v>
      </c>
      <c r="BK59" s="37">
        <v>0</v>
      </c>
      <c r="BL59" s="37">
        <v>2406.9925000000003</v>
      </c>
      <c r="BM59" s="37">
        <v>0</v>
      </c>
      <c r="BN59" s="37">
        <v>2058.0528846153852</v>
      </c>
      <c r="BO59" s="37">
        <v>0</v>
      </c>
      <c r="BP59" s="37">
        <v>2140.1802884615381</v>
      </c>
      <c r="BQ59" s="37">
        <v>0</v>
      </c>
      <c r="BR59" s="37">
        <v>2162.2250000000008</v>
      </c>
      <c r="BS59" s="37">
        <v>0</v>
      </c>
      <c r="BT59" s="37">
        <v>2010.17824074074</v>
      </c>
      <c r="BU59" s="37">
        <v>0</v>
      </c>
      <c r="BV59" s="37">
        <v>1952.6699999999992</v>
      </c>
      <c r="BW59" s="37">
        <v>0</v>
      </c>
    </row>
    <row r="60" spans="2:75">
      <c r="B60">
        <v>10173</v>
      </c>
      <c r="C60" t="s">
        <v>64</v>
      </c>
      <c r="D60" s="37">
        <v>0</v>
      </c>
      <c r="E60" s="37">
        <v>0</v>
      </c>
      <c r="F60" s="37">
        <v>0</v>
      </c>
      <c r="G60" s="37">
        <v>0</v>
      </c>
      <c r="H60" s="37">
        <v>0</v>
      </c>
      <c r="I60" s="37">
        <v>0</v>
      </c>
      <c r="J60" s="37">
        <v>0</v>
      </c>
      <c r="K60" s="37">
        <v>0</v>
      </c>
      <c r="L60" s="37">
        <v>0</v>
      </c>
      <c r="M60" s="37">
        <v>0</v>
      </c>
      <c r="N60" s="37">
        <v>0</v>
      </c>
      <c r="O60" s="37">
        <v>0</v>
      </c>
      <c r="P60" s="37">
        <v>0</v>
      </c>
      <c r="Q60" s="37">
        <v>0</v>
      </c>
      <c r="R60" s="37">
        <v>0</v>
      </c>
      <c r="S60" s="37">
        <v>0</v>
      </c>
      <c r="T60" s="37">
        <v>0</v>
      </c>
      <c r="U60" s="37">
        <v>0</v>
      </c>
      <c r="V60" s="37">
        <v>0</v>
      </c>
      <c r="W60" s="37">
        <v>0</v>
      </c>
      <c r="X60" s="37">
        <v>0</v>
      </c>
      <c r="Y60" s="37">
        <v>0</v>
      </c>
      <c r="Z60" s="37">
        <v>0</v>
      </c>
      <c r="AA60" s="37">
        <v>0</v>
      </c>
      <c r="AB60" s="37">
        <v>0</v>
      </c>
      <c r="AC60" s="37">
        <v>0</v>
      </c>
      <c r="AD60" s="37">
        <v>0</v>
      </c>
      <c r="AE60" s="37">
        <v>0</v>
      </c>
      <c r="AF60" s="37">
        <v>0</v>
      </c>
      <c r="AG60" s="37">
        <v>0</v>
      </c>
      <c r="AH60" s="37">
        <v>0</v>
      </c>
      <c r="AI60" s="37">
        <v>0</v>
      </c>
      <c r="AJ60" s="37">
        <v>0</v>
      </c>
      <c r="AK60" s="37">
        <v>0</v>
      </c>
      <c r="AL60" s="37">
        <v>0</v>
      </c>
      <c r="AM60" s="37">
        <v>0</v>
      </c>
      <c r="AN60" s="37">
        <v>0</v>
      </c>
      <c r="AO60" s="37">
        <v>0</v>
      </c>
      <c r="AP60" s="37">
        <v>0</v>
      </c>
      <c r="AQ60" s="37">
        <v>0</v>
      </c>
      <c r="AR60" s="37">
        <v>0</v>
      </c>
      <c r="AS60" s="37">
        <v>0</v>
      </c>
      <c r="AT60" s="37">
        <v>0</v>
      </c>
      <c r="AU60" s="37">
        <v>0</v>
      </c>
      <c r="AV60" s="37">
        <v>0</v>
      </c>
      <c r="AW60" s="37">
        <v>0</v>
      </c>
      <c r="AX60" s="37">
        <v>0</v>
      </c>
      <c r="AY60" s="37">
        <v>0</v>
      </c>
      <c r="AZ60" s="37">
        <v>0</v>
      </c>
      <c r="BA60" s="37">
        <v>0</v>
      </c>
      <c r="BB60" s="37">
        <v>0</v>
      </c>
      <c r="BC60" s="37">
        <v>0</v>
      </c>
      <c r="BD60" s="37">
        <v>0</v>
      </c>
      <c r="BE60" s="37">
        <v>0</v>
      </c>
      <c r="BF60" s="37">
        <v>0</v>
      </c>
      <c r="BG60" s="37">
        <v>0</v>
      </c>
      <c r="BH60" s="37">
        <v>0</v>
      </c>
      <c r="BI60" s="37">
        <v>0</v>
      </c>
      <c r="BJ60" s="37">
        <v>0</v>
      </c>
      <c r="BK60" s="37">
        <v>0</v>
      </c>
      <c r="BL60" s="37">
        <v>0</v>
      </c>
      <c r="BM60" s="37">
        <v>0</v>
      </c>
      <c r="BN60" s="37">
        <v>0</v>
      </c>
      <c r="BO60" s="37">
        <v>0</v>
      </c>
      <c r="BP60" s="37">
        <v>0</v>
      </c>
      <c r="BQ60" s="37">
        <v>0</v>
      </c>
      <c r="BR60" s="37">
        <v>0</v>
      </c>
      <c r="BS60" s="37">
        <v>0</v>
      </c>
      <c r="BT60" s="37">
        <v>0</v>
      </c>
      <c r="BU60" s="37">
        <v>0</v>
      </c>
      <c r="BV60" s="37">
        <v>0</v>
      </c>
      <c r="BW60" s="37">
        <v>0</v>
      </c>
    </row>
    <row r="61" spans="2:75">
      <c r="B61">
        <v>10174</v>
      </c>
      <c r="C61" t="s">
        <v>65</v>
      </c>
      <c r="D61" s="37">
        <v>365.47222222222229</v>
      </c>
      <c r="E61" s="37">
        <v>0</v>
      </c>
      <c r="F61" s="37">
        <v>232.2239583333332</v>
      </c>
      <c r="G61" s="37">
        <v>0</v>
      </c>
      <c r="H61" s="37">
        <v>438.46634615384625</v>
      </c>
      <c r="I61" s="37">
        <v>0</v>
      </c>
      <c r="J61" s="37">
        <v>450.44230769230779</v>
      </c>
      <c r="K61" s="37">
        <v>0</v>
      </c>
      <c r="L61" s="37">
        <v>316.41145833333326</v>
      </c>
      <c r="M61" s="37">
        <v>0</v>
      </c>
      <c r="N61" s="37">
        <v>345.14903846153857</v>
      </c>
      <c r="O61" s="37">
        <v>0</v>
      </c>
      <c r="P61" s="37">
        <v>312.73317307692304</v>
      </c>
      <c r="Q61" s="37">
        <v>0</v>
      </c>
      <c r="R61" s="37">
        <v>314.05499999999995</v>
      </c>
      <c r="S61" s="37">
        <v>0</v>
      </c>
      <c r="T61" s="37">
        <v>348.12980769230774</v>
      </c>
      <c r="U61" s="37">
        <v>0</v>
      </c>
      <c r="V61" s="37">
        <v>329.50480769230774</v>
      </c>
      <c r="W61" s="37">
        <v>0</v>
      </c>
      <c r="X61" s="37">
        <v>309.43509615384613</v>
      </c>
      <c r="Y61" s="37">
        <v>0</v>
      </c>
      <c r="Z61" s="37">
        <v>283.15250000000003</v>
      </c>
      <c r="AA61" s="37">
        <v>0</v>
      </c>
      <c r="AB61" s="37">
        <v>370.57175925925924</v>
      </c>
      <c r="AC61" s="37">
        <v>0</v>
      </c>
      <c r="AD61" s="37">
        <v>237.33593750000003</v>
      </c>
      <c r="AE61" s="37">
        <v>0</v>
      </c>
      <c r="AF61" s="37">
        <v>443.58413461538453</v>
      </c>
      <c r="AG61" s="37">
        <v>0</v>
      </c>
      <c r="AH61" s="37">
        <v>457.11750000000001</v>
      </c>
      <c r="AI61" s="37">
        <v>0</v>
      </c>
      <c r="AJ61" s="37">
        <v>321.53906250000006</v>
      </c>
      <c r="AK61" s="37">
        <v>0</v>
      </c>
      <c r="AL61" s="37">
        <v>348.02083333333343</v>
      </c>
      <c r="AM61" s="37">
        <v>0</v>
      </c>
      <c r="AN61" s="37">
        <v>316.85336538461542</v>
      </c>
      <c r="AO61" s="37">
        <v>0</v>
      </c>
      <c r="AP61" s="37">
        <v>319.10249999999996</v>
      </c>
      <c r="AQ61" s="37">
        <v>0</v>
      </c>
      <c r="AR61" s="37">
        <v>353.13942307692315</v>
      </c>
      <c r="AS61" s="37">
        <v>0</v>
      </c>
      <c r="AT61" s="37">
        <v>334.46394230769226</v>
      </c>
      <c r="AU61" s="37">
        <v>0</v>
      </c>
      <c r="AV61" s="37">
        <v>314.38942307692309</v>
      </c>
      <c r="AW61" s="37">
        <v>0</v>
      </c>
      <c r="AX61" s="37">
        <v>287.15749999999997</v>
      </c>
      <c r="AY61" s="37">
        <v>0</v>
      </c>
      <c r="AZ61" s="37">
        <v>376.25961538461536</v>
      </c>
      <c r="BA61" s="37">
        <v>0</v>
      </c>
      <c r="BB61" s="37">
        <v>241.61499999999992</v>
      </c>
      <c r="BC61" s="37">
        <v>0</v>
      </c>
      <c r="BD61" s="37">
        <v>448.69951923076928</v>
      </c>
      <c r="BE61" s="37">
        <v>0</v>
      </c>
      <c r="BF61" s="37">
        <v>462.25500000000017</v>
      </c>
      <c r="BG61" s="37">
        <v>0</v>
      </c>
      <c r="BH61" s="37">
        <v>334.47750000000008</v>
      </c>
      <c r="BI61" s="37">
        <v>0</v>
      </c>
      <c r="BJ61" s="37">
        <v>353.16435185185179</v>
      </c>
      <c r="BK61" s="37">
        <v>0</v>
      </c>
      <c r="BL61" s="37">
        <v>322.81749999999988</v>
      </c>
      <c r="BM61" s="37">
        <v>0</v>
      </c>
      <c r="BN61" s="37">
        <v>324.15865384615381</v>
      </c>
      <c r="BO61" s="37">
        <v>0</v>
      </c>
      <c r="BP61" s="37">
        <v>357.14663461538464</v>
      </c>
      <c r="BQ61" s="37">
        <v>0</v>
      </c>
      <c r="BR61" s="37">
        <v>338.3250000000001</v>
      </c>
      <c r="BS61" s="37">
        <v>0</v>
      </c>
      <c r="BT61" s="37">
        <v>319.35416666666674</v>
      </c>
      <c r="BU61" s="37">
        <v>0</v>
      </c>
      <c r="BV61" s="37">
        <v>292.16249999999997</v>
      </c>
      <c r="BW61" s="37">
        <v>0</v>
      </c>
    </row>
    <row r="62" spans="2:75">
      <c r="B62">
        <v>10177</v>
      </c>
      <c r="C62" t="s">
        <v>66</v>
      </c>
      <c r="D62" s="37">
        <v>3431.4629629629608</v>
      </c>
      <c r="E62" s="37">
        <v>0</v>
      </c>
      <c r="F62" s="37">
        <v>3242.1484374999982</v>
      </c>
      <c r="G62" s="37">
        <v>0</v>
      </c>
      <c r="H62" s="37">
        <v>5465.6802884615381</v>
      </c>
      <c r="I62" s="37">
        <v>0</v>
      </c>
      <c r="J62" s="37">
        <v>6247.4831730769229</v>
      </c>
      <c r="K62" s="37">
        <v>0</v>
      </c>
      <c r="L62" s="37">
        <v>5999.84375</v>
      </c>
      <c r="M62" s="37">
        <v>0</v>
      </c>
      <c r="N62" s="37">
        <v>3348.5408653846148</v>
      </c>
      <c r="O62" s="37">
        <v>0</v>
      </c>
      <c r="P62" s="37">
        <v>4840.4807692307677</v>
      </c>
      <c r="Q62" s="37">
        <v>0</v>
      </c>
      <c r="R62" s="37">
        <v>3588.1850000000004</v>
      </c>
      <c r="S62" s="37">
        <v>0</v>
      </c>
      <c r="T62" s="37">
        <v>4021.8004807692305</v>
      </c>
      <c r="U62" s="37">
        <v>0</v>
      </c>
      <c r="V62" s="37">
        <v>4215.516826923078</v>
      </c>
      <c r="W62" s="37">
        <v>0</v>
      </c>
      <c r="X62" s="37">
        <v>4811.6682692307695</v>
      </c>
      <c r="Y62" s="37">
        <v>0</v>
      </c>
      <c r="Z62" s="37">
        <v>3462.6000000000004</v>
      </c>
      <c r="AA62" s="37">
        <v>0</v>
      </c>
      <c r="AB62" s="37">
        <v>3452.5763888888896</v>
      </c>
      <c r="AC62" s="37">
        <v>0</v>
      </c>
      <c r="AD62" s="37">
        <v>3265.0677083333326</v>
      </c>
      <c r="AE62" s="37">
        <v>0</v>
      </c>
      <c r="AF62" s="37">
        <v>5494.3173076923058</v>
      </c>
      <c r="AG62" s="37">
        <v>0</v>
      </c>
      <c r="AH62" s="37">
        <v>5732.2325000000019</v>
      </c>
      <c r="AI62" s="37">
        <v>0</v>
      </c>
      <c r="AJ62" s="37">
        <v>6036.2395833333339</v>
      </c>
      <c r="AK62" s="37">
        <v>0</v>
      </c>
      <c r="AL62" s="37">
        <v>3781.1111111111104</v>
      </c>
      <c r="AM62" s="37">
        <v>0</v>
      </c>
      <c r="AN62" s="37">
        <v>4867.6081730769238</v>
      </c>
      <c r="AO62" s="37">
        <v>0</v>
      </c>
      <c r="AP62" s="37">
        <v>3605.3675000000007</v>
      </c>
      <c r="AQ62" s="37">
        <v>0</v>
      </c>
      <c r="AR62" s="37">
        <v>4034.1009615384601</v>
      </c>
      <c r="AS62" s="37">
        <v>0</v>
      </c>
      <c r="AT62" s="37">
        <v>4228.3413461538466</v>
      </c>
      <c r="AU62" s="37">
        <v>0</v>
      </c>
      <c r="AV62" s="37">
        <v>4825.5841346153857</v>
      </c>
      <c r="AW62" s="37">
        <v>0</v>
      </c>
      <c r="AX62" s="37">
        <v>3480.5150000000017</v>
      </c>
      <c r="AY62" s="37">
        <v>0</v>
      </c>
      <c r="AZ62" s="37">
        <v>3131.1778846153829</v>
      </c>
      <c r="BA62" s="37">
        <v>0</v>
      </c>
      <c r="BB62" s="37">
        <v>3738.3274999999994</v>
      </c>
      <c r="BC62" s="37">
        <v>0</v>
      </c>
      <c r="BD62" s="37">
        <v>5523.7500000000018</v>
      </c>
      <c r="BE62" s="37">
        <v>0</v>
      </c>
      <c r="BF62" s="37">
        <v>5761.6050000000014</v>
      </c>
      <c r="BG62" s="37">
        <v>0</v>
      </c>
      <c r="BH62" s="37">
        <v>6242.6174999999994</v>
      </c>
      <c r="BI62" s="37">
        <v>0</v>
      </c>
      <c r="BJ62" s="37">
        <v>3804.0578703703695</v>
      </c>
      <c r="BK62" s="37">
        <v>0</v>
      </c>
      <c r="BL62" s="37">
        <v>4503.9224999999997</v>
      </c>
      <c r="BM62" s="37">
        <v>0</v>
      </c>
      <c r="BN62" s="37">
        <v>3947.0072115384614</v>
      </c>
      <c r="BO62" s="37">
        <v>0</v>
      </c>
      <c r="BP62" s="37">
        <v>4046.7379807692296</v>
      </c>
      <c r="BQ62" s="37">
        <v>0</v>
      </c>
      <c r="BR62" s="37">
        <v>3896.1550000000011</v>
      </c>
      <c r="BS62" s="37">
        <v>0</v>
      </c>
      <c r="BT62" s="37">
        <v>5152.2615740740739</v>
      </c>
      <c r="BU62" s="37">
        <v>0</v>
      </c>
      <c r="BV62" s="37">
        <v>3497.8025000000002</v>
      </c>
      <c r="BW62" s="37">
        <v>0</v>
      </c>
    </row>
    <row r="63" spans="2:75">
      <c r="B63">
        <v>10179</v>
      </c>
      <c r="C63" t="s">
        <v>67</v>
      </c>
      <c r="D63" s="37">
        <v>0</v>
      </c>
      <c r="E63" s="37">
        <v>0</v>
      </c>
      <c r="F63" s="37">
        <v>0</v>
      </c>
      <c r="G63" s="37">
        <v>0</v>
      </c>
      <c r="H63" s="37">
        <v>0</v>
      </c>
      <c r="I63" s="37">
        <v>0</v>
      </c>
      <c r="J63" s="37">
        <v>0</v>
      </c>
      <c r="K63" s="37">
        <v>0</v>
      </c>
      <c r="L63" s="37">
        <v>0</v>
      </c>
      <c r="M63" s="37">
        <v>0</v>
      </c>
      <c r="N63" s="37">
        <v>0</v>
      </c>
      <c r="O63" s="37">
        <v>0</v>
      </c>
      <c r="P63" s="37">
        <v>0</v>
      </c>
      <c r="Q63" s="37">
        <v>0</v>
      </c>
      <c r="R63" s="37">
        <v>0</v>
      </c>
      <c r="S63" s="37">
        <v>0</v>
      </c>
      <c r="T63" s="37">
        <v>0</v>
      </c>
      <c r="U63" s="37">
        <v>0</v>
      </c>
      <c r="V63" s="37">
        <v>0</v>
      </c>
      <c r="W63" s="37">
        <v>0</v>
      </c>
      <c r="X63" s="37">
        <v>0</v>
      </c>
      <c r="Y63" s="37">
        <v>0</v>
      </c>
      <c r="Z63" s="37">
        <v>0</v>
      </c>
      <c r="AA63" s="37">
        <v>0</v>
      </c>
      <c r="AB63" s="37">
        <v>0</v>
      </c>
      <c r="AC63" s="37">
        <v>0</v>
      </c>
      <c r="AD63" s="37">
        <v>0</v>
      </c>
      <c r="AE63" s="37">
        <v>0</v>
      </c>
      <c r="AF63" s="37">
        <v>0</v>
      </c>
      <c r="AG63" s="37">
        <v>0</v>
      </c>
      <c r="AH63" s="37">
        <v>0</v>
      </c>
      <c r="AI63" s="37">
        <v>0</v>
      </c>
      <c r="AJ63" s="37">
        <v>0</v>
      </c>
      <c r="AK63" s="37">
        <v>0</v>
      </c>
      <c r="AL63" s="37">
        <v>0</v>
      </c>
      <c r="AM63" s="37">
        <v>0</v>
      </c>
      <c r="AN63" s="37">
        <v>0</v>
      </c>
      <c r="AO63" s="37">
        <v>0</v>
      </c>
      <c r="AP63" s="37">
        <v>0</v>
      </c>
      <c r="AQ63" s="37">
        <v>0</v>
      </c>
      <c r="AR63" s="37">
        <v>0</v>
      </c>
      <c r="AS63" s="37">
        <v>0</v>
      </c>
      <c r="AT63" s="37">
        <v>0</v>
      </c>
      <c r="AU63" s="37">
        <v>0</v>
      </c>
      <c r="AV63" s="37">
        <v>0</v>
      </c>
      <c r="AW63" s="37">
        <v>0</v>
      </c>
      <c r="AX63" s="37">
        <v>0</v>
      </c>
      <c r="AY63" s="37">
        <v>0</v>
      </c>
      <c r="AZ63" s="37">
        <v>0</v>
      </c>
      <c r="BA63" s="37">
        <v>0</v>
      </c>
      <c r="BB63" s="37">
        <v>0</v>
      </c>
      <c r="BC63" s="37">
        <v>0</v>
      </c>
      <c r="BD63" s="37">
        <v>0</v>
      </c>
      <c r="BE63" s="37">
        <v>0</v>
      </c>
      <c r="BF63" s="37">
        <v>0</v>
      </c>
      <c r="BG63" s="37">
        <v>0</v>
      </c>
      <c r="BH63" s="37">
        <v>0</v>
      </c>
      <c r="BI63" s="37">
        <v>0</v>
      </c>
      <c r="BJ63" s="37">
        <v>0</v>
      </c>
      <c r="BK63" s="37">
        <v>0</v>
      </c>
      <c r="BL63" s="37">
        <v>0</v>
      </c>
      <c r="BM63" s="37">
        <v>0</v>
      </c>
      <c r="BN63" s="37">
        <v>0</v>
      </c>
      <c r="BO63" s="37">
        <v>0</v>
      </c>
      <c r="BP63" s="37">
        <v>0</v>
      </c>
      <c r="BQ63" s="37">
        <v>0</v>
      </c>
      <c r="BR63" s="37">
        <v>0</v>
      </c>
      <c r="BS63" s="37">
        <v>0</v>
      </c>
      <c r="BT63" s="37">
        <v>0</v>
      </c>
      <c r="BU63" s="37">
        <v>0</v>
      </c>
      <c r="BV63" s="37">
        <v>0</v>
      </c>
      <c r="BW63" s="37">
        <v>0</v>
      </c>
    </row>
    <row r="64" spans="2:75">
      <c r="B64">
        <v>10183</v>
      </c>
      <c r="C64" t="s">
        <v>68</v>
      </c>
      <c r="D64" s="37">
        <v>0</v>
      </c>
      <c r="E64" s="37">
        <v>0</v>
      </c>
      <c r="F64" s="37">
        <v>0</v>
      </c>
      <c r="G64" s="37">
        <v>0</v>
      </c>
      <c r="H64" s="37">
        <v>0</v>
      </c>
      <c r="I64" s="37">
        <v>0</v>
      </c>
      <c r="J64" s="37">
        <v>0</v>
      </c>
      <c r="K64" s="37">
        <v>0</v>
      </c>
      <c r="L64" s="37">
        <v>0</v>
      </c>
      <c r="M64" s="37">
        <v>0</v>
      </c>
      <c r="N64" s="37">
        <v>0</v>
      </c>
      <c r="O64" s="37">
        <v>0</v>
      </c>
      <c r="P64" s="37">
        <v>0</v>
      </c>
      <c r="Q64" s="37">
        <v>0</v>
      </c>
      <c r="R64" s="37">
        <v>0</v>
      </c>
      <c r="S64" s="37">
        <v>0</v>
      </c>
      <c r="T64" s="37">
        <v>0</v>
      </c>
      <c r="U64" s="37">
        <v>0</v>
      </c>
      <c r="V64" s="37">
        <v>0</v>
      </c>
      <c r="W64" s="37">
        <v>0</v>
      </c>
      <c r="X64" s="37">
        <v>0</v>
      </c>
      <c r="Y64" s="37">
        <v>0</v>
      </c>
      <c r="Z64" s="37">
        <v>0</v>
      </c>
      <c r="AA64" s="37">
        <v>0</v>
      </c>
      <c r="AB64" s="37">
        <v>0</v>
      </c>
      <c r="AC64" s="37">
        <v>0</v>
      </c>
      <c r="AD64" s="37">
        <v>0</v>
      </c>
      <c r="AE64" s="37">
        <v>0</v>
      </c>
      <c r="AF64" s="37">
        <v>0</v>
      </c>
      <c r="AG64" s="37">
        <v>0</v>
      </c>
      <c r="AH64" s="37">
        <v>0</v>
      </c>
      <c r="AI64" s="37">
        <v>0</v>
      </c>
      <c r="AJ64" s="37">
        <v>0</v>
      </c>
      <c r="AK64" s="37">
        <v>0</v>
      </c>
      <c r="AL64" s="37">
        <v>0</v>
      </c>
      <c r="AM64" s="37">
        <v>0</v>
      </c>
      <c r="AN64" s="37">
        <v>0</v>
      </c>
      <c r="AO64" s="37">
        <v>0</v>
      </c>
      <c r="AP64" s="37">
        <v>0</v>
      </c>
      <c r="AQ64" s="37">
        <v>0</v>
      </c>
      <c r="AR64" s="37">
        <v>0</v>
      </c>
      <c r="AS64" s="37">
        <v>0</v>
      </c>
      <c r="AT64" s="37">
        <v>0</v>
      </c>
      <c r="AU64" s="37">
        <v>0</v>
      </c>
      <c r="AV64" s="37">
        <v>0</v>
      </c>
      <c r="AW64" s="37">
        <v>0</v>
      </c>
      <c r="AX64" s="37">
        <v>0</v>
      </c>
      <c r="AY64" s="37">
        <v>0</v>
      </c>
      <c r="AZ64" s="37">
        <v>0</v>
      </c>
      <c r="BA64" s="37">
        <v>0</v>
      </c>
      <c r="BB64" s="37">
        <v>0</v>
      </c>
      <c r="BC64" s="37">
        <v>0</v>
      </c>
      <c r="BD64" s="37">
        <v>0</v>
      </c>
      <c r="BE64" s="37">
        <v>0</v>
      </c>
      <c r="BF64" s="37">
        <v>0</v>
      </c>
      <c r="BG64" s="37">
        <v>0</v>
      </c>
      <c r="BH64" s="37">
        <v>0</v>
      </c>
      <c r="BI64" s="37">
        <v>0</v>
      </c>
      <c r="BJ64" s="37">
        <v>0</v>
      </c>
      <c r="BK64" s="37">
        <v>0</v>
      </c>
      <c r="BL64" s="37">
        <v>0</v>
      </c>
      <c r="BM64" s="37">
        <v>0</v>
      </c>
      <c r="BN64" s="37">
        <v>0</v>
      </c>
      <c r="BO64" s="37">
        <v>0</v>
      </c>
      <c r="BP64" s="37">
        <v>0</v>
      </c>
      <c r="BQ64" s="37">
        <v>0</v>
      </c>
      <c r="BR64" s="37">
        <v>0</v>
      </c>
      <c r="BS64" s="37">
        <v>0</v>
      </c>
      <c r="BT64" s="37">
        <v>0</v>
      </c>
      <c r="BU64" s="37">
        <v>0</v>
      </c>
      <c r="BV64" s="37">
        <v>0</v>
      </c>
      <c r="BW64" s="37">
        <v>0</v>
      </c>
    </row>
    <row r="65" spans="2:75">
      <c r="B65">
        <v>10186</v>
      </c>
      <c r="C65" t="s">
        <v>69</v>
      </c>
      <c r="D65" s="37">
        <v>4525.8981481481496</v>
      </c>
      <c r="E65" s="37">
        <v>0</v>
      </c>
      <c r="F65" s="37">
        <v>577.92708333333383</v>
      </c>
      <c r="G65" s="37">
        <v>0</v>
      </c>
      <c r="H65" s="37">
        <v>3481.57451923077</v>
      </c>
      <c r="I65" s="37">
        <v>0</v>
      </c>
      <c r="J65" s="37">
        <v>1368.6802884615413</v>
      </c>
      <c r="K65" s="37">
        <v>0</v>
      </c>
      <c r="L65" s="37">
        <v>5236.8854166666697</v>
      </c>
      <c r="M65" s="37">
        <v>0</v>
      </c>
      <c r="N65" s="37">
        <v>2758.6081730769206</v>
      </c>
      <c r="O65" s="37">
        <v>0</v>
      </c>
      <c r="P65" s="37">
        <v>2891.3774038461538</v>
      </c>
      <c r="Q65" s="37">
        <v>0</v>
      </c>
      <c r="R65" s="37">
        <v>1323.3200000000013</v>
      </c>
      <c r="S65" s="37">
        <v>0</v>
      </c>
      <c r="T65" s="37">
        <v>2972.2475961538457</v>
      </c>
      <c r="U65" s="37">
        <v>0</v>
      </c>
      <c r="V65" s="37">
        <v>3332.0673076923104</v>
      </c>
      <c r="W65" s="37">
        <v>0</v>
      </c>
      <c r="X65" s="37">
        <v>2765.5192307692309</v>
      </c>
      <c r="Y65" s="37">
        <v>0</v>
      </c>
      <c r="Z65" s="37">
        <v>1625.4274999999998</v>
      </c>
      <c r="AA65" s="37">
        <v>0</v>
      </c>
      <c r="AB65" s="37">
        <v>4524.2245370370374</v>
      </c>
      <c r="AC65" s="37">
        <v>0</v>
      </c>
      <c r="AD65" s="37">
        <v>579.06770833333178</v>
      </c>
      <c r="AE65" s="37">
        <v>0</v>
      </c>
      <c r="AF65" s="37">
        <v>3481.6153846153857</v>
      </c>
      <c r="AG65" s="37">
        <v>0</v>
      </c>
      <c r="AH65" s="37">
        <v>308.28000000000077</v>
      </c>
      <c r="AI65" s="37">
        <v>0</v>
      </c>
      <c r="AJ65" s="37">
        <v>5236.2526041666688</v>
      </c>
      <c r="AK65" s="37">
        <v>0</v>
      </c>
      <c r="AL65" s="37">
        <v>3657.8981481481474</v>
      </c>
      <c r="AM65" s="37">
        <v>0</v>
      </c>
      <c r="AN65" s="37">
        <v>2892.0216346153861</v>
      </c>
      <c r="AO65" s="37">
        <v>0</v>
      </c>
      <c r="AP65" s="37">
        <v>1321.8824999999999</v>
      </c>
      <c r="AQ65" s="37">
        <v>0</v>
      </c>
      <c r="AR65" s="37">
        <v>2972.0961538461524</v>
      </c>
      <c r="AS65" s="37">
        <v>0</v>
      </c>
      <c r="AT65" s="37">
        <v>3332.3076923076947</v>
      </c>
      <c r="AU65" s="37">
        <v>0</v>
      </c>
      <c r="AV65" s="37">
        <v>2766.2692307692309</v>
      </c>
      <c r="AW65" s="37">
        <v>0</v>
      </c>
      <c r="AX65" s="37">
        <v>1625.3074999999972</v>
      </c>
      <c r="AY65" s="37">
        <v>0</v>
      </c>
      <c r="AZ65" s="37">
        <v>3780.0360576923044</v>
      </c>
      <c r="BA65" s="37">
        <v>0</v>
      </c>
      <c r="BB65" s="37">
        <v>1564.9199999999989</v>
      </c>
      <c r="BC65" s="37">
        <v>0</v>
      </c>
      <c r="BD65" s="37">
        <v>3482.329326923073</v>
      </c>
      <c r="BE65" s="37">
        <v>0</v>
      </c>
      <c r="BF65" s="37">
        <v>309.17500000000064</v>
      </c>
      <c r="BG65" s="37">
        <v>0</v>
      </c>
      <c r="BH65" s="37">
        <v>5535.9525000000003</v>
      </c>
      <c r="BI65" s="37">
        <v>0</v>
      </c>
      <c r="BJ65" s="37">
        <v>3657.9328703703686</v>
      </c>
      <c r="BK65" s="37">
        <v>0</v>
      </c>
      <c r="BL65" s="37">
        <v>2046.0324999999996</v>
      </c>
      <c r="BM65" s="37">
        <v>0</v>
      </c>
      <c r="BN65" s="37">
        <v>2106.1586538461538</v>
      </c>
      <c r="BO65" s="37">
        <v>0</v>
      </c>
      <c r="BP65" s="37">
        <v>2971.8221153846152</v>
      </c>
      <c r="BQ65" s="37">
        <v>0</v>
      </c>
      <c r="BR65" s="37">
        <v>2470.7025000000026</v>
      </c>
      <c r="BS65" s="37">
        <v>0</v>
      </c>
      <c r="BT65" s="37">
        <v>3547.4097222222222</v>
      </c>
      <c r="BU65" s="37">
        <v>0</v>
      </c>
      <c r="BV65" s="37">
        <v>1625.3124999999989</v>
      </c>
      <c r="BW65" s="37">
        <v>0</v>
      </c>
    </row>
    <row r="66" spans="2:75">
      <c r="B66">
        <v>10190</v>
      </c>
      <c r="C66" t="s">
        <v>70</v>
      </c>
      <c r="D66" s="37">
        <v>817.42129629629721</v>
      </c>
      <c r="E66" s="37">
        <v>0</v>
      </c>
      <c r="F66" s="37">
        <v>1145.5598958333333</v>
      </c>
      <c r="G66" s="37">
        <v>0</v>
      </c>
      <c r="H66" s="37">
        <v>2903.6225961538462</v>
      </c>
      <c r="I66" s="37">
        <v>0</v>
      </c>
      <c r="J66" s="37">
        <v>2393.757211538461</v>
      </c>
      <c r="K66" s="37">
        <v>0</v>
      </c>
      <c r="L66" s="37">
        <v>1390.5781250000011</v>
      </c>
      <c r="M66" s="37">
        <v>0</v>
      </c>
      <c r="N66" s="37">
        <v>2143.2716346153838</v>
      </c>
      <c r="O66" s="37">
        <v>0</v>
      </c>
      <c r="P66" s="37">
        <v>1405.149038461539</v>
      </c>
      <c r="Q66" s="37">
        <v>0</v>
      </c>
      <c r="R66" s="37">
        <v>742.70999999999958</v>
      </c>
      <c r="S66" s="37">
        <v>0</v>
      </c>
      <c r="T66" s="37">
        <v>731.56730769230683</v>
      </c>
      <c r="U66" s="37">
        <v>0</v>
      </c>
      <c r="V66" s="37">
        <v>1082.8437500000002</v>
      </c>
      <c r="W66" s="37">
        <v>0</v>
      </c>
      <c r="X66" s="37">
        <v>979.05528846153891</v>
      </c>
      <c r="Y66" s="37">
        <v>0</v>
      </c>
      <c r="Z66" s="37">
        <v>929.55750000000057</v>
      </c>
      <c r="AA66" s="37">
        <v>0</v>
      </c>
      <c r="AB66" s="37">
        <v>817.42129629629721</v>
      </c>
      <c r="AC66" s="37">
        <v>0</v>
      </c>
      <c r="AD66" s="37">
        <v>1145.5598958333333</v>
      </c>
      <c r="AE66" s="37">
        <v>0</v>
      </c>
      <c r="AF66" s="37">
        <v>2903.6225961538462</v>
      </c>
      <c r="AG66" s="37">
        <v>0</v>
      </c>
      <c r="AH66" s="37">
        <v>1935.2674999999988</v>
      </c>
      <c r="AI66" s="37">
        <v>0</v>
      </c>
      <c r="AJ66" s="37">
        <v>1390.5781250000011</v>
      </c>
      <c r="AK66" s="37">
        <v>0</v>
      </c>
      <c r="AL66" s="37">
        <v>2478.0023148148134</v>
      </c>
      <c r="AM66" s="37">
        <v>0</v>
      </c>
      <c r="AN66" s="37">
        <v>1405.149038461539</v>
      </c>
      <c r="AO66" s="37">
        <v>0</v>
      </c>
      <c r="AP66" s="37">
        <v>742.70999999999958</v>
      </c>
      <c r="AQ66" s="37">
        <v>0</v>
      </c>
      <c r="AR66" s="37">
        <v>731.56730769230683</v>
      </c>
      <c r="AS66" s="37">
        <v>0</v>
      </c>
      <c r="AT66" s="37">
        <v>1082.8437500000002</v>
      </c>
      <c r="AU66" s="37">
        <v>0</v>
      </c>
      <c r="AV66" s="37">
        <v>979.05528846153891</v>
      </c>
      <c r="AW66" s="37">
        <v>0</v>
      </c>
      <c r="AX66" s="37">
        <v>929.55750000000057</v>
      </c>
      <c r="AY66" s="37">
        <v>0</v>
      </c>
      <c r="AZ66" s="37">
        <v>548.97596153846257</v>
      </c>
      <c r="BA66" s="37">
        <v>0</v>
      </c>
      <c r="BB66" s="37">
        <v>1545.6974999999993</v>
      </c>
      <c r="BC66" s="37">
        <v>0</v>
      </c>
      <c r="BD66" s="37">
        <v>2903.6225961538462</v>
      </c>
      <c r="BE66" s="37">
        <v>0</v>
      </c>
      <c r="BF66" s="37">
        <v>1935.2674999999988</v>
      </c>
      <c r="BG66" s="37">
        <v>0</v>
      </c>
      <c r="BH66" s="37">
        <v>1451.7900000000009</v>
      </c>
      <c r="BI66" s="37">
        <v>0</v>
      </c>
      <c r="BJ66" s="37">
        <v>2478.0023148148152</v>
      </c>
      <c r="BK66" s="37">
        <v>0</v>
      </c>
      <c r="BL66" s="37">
        <v>1122.1549999999997</v>
      </c>
      <c r="BM66" s="37">
        <v>0</v>
      </c>
      <c r="BN66" s="37">
        <v>1008.1826923076924</v>
      </c>
      <c r="BO66" s="37">
        <v>0</v>
      </c>
      <c r="BP66" s="37">
        <v>731.56730769230683</v>
      </c>
      <c r="BQ66" s="37">
        <v>0</v>
      </c>
      <c r="BR66" s="37">
        <v>776.39749999999981</v>
      </c>
      <c r="BS66" s="37">
        <v>0</v>
      </c>
      <c r="BT66" s="37">
        <v>1265.7939814814822</v>
      </c>
      <c r="BU66" s="37">
        <v>0</v>
      </c>
      <c r="BV66" s="37">
        <v>929.55750000000057</v>
      </c>
      <c r="BW66" s="37">
        <v>0</v>
      </c>
    </row>
    <row r="67" spans="2:75">
      <c r="B67">
        <v>10191</v>
      </c>
      <c r="C67" t="s">
        <v>71</v>
      </c>
      <c r="D67" s="37">
        <v>8002.8796296296323</v>
      </c>
      <c r="E67" s="37">
        <v>0</v>
      </c>
      <c r="F67" s="37">
        <v>14492.281250000013</v>
      </c>
      <c r="G67" s="37">
        <v>0</v>
      </c>
      <c r="H67" s="37">
        <v>53022.983173076944</v>
      </c>
      <c r="I67" s="37">
        <v>0</v>
      </c>
      <c r="J67" s="37">
        <v>30346.295673076926</v>
      </c>
      <c r="K67" s="37">
        <v>0</v>
      </c>
      <c r="L67" s="37">
        <v>27291.835937500018</v>
      </c>
      <c r="M67" s="37">
        <v>0</v>
      </c>
      <c r="N67" s="37">
        <v>30006.644230769238</v>
      </c>
      <c r="O67" s="37">
        <v>0</v>
      </c>
      <c r="P67" s="37">
        <v>24174.415865384617</v>
      </c>
      <c r="Q67" s="37">
        <v>0</v>
      </c>
      <c r="R67" s="37">
        <v>10979.030000000008</v>
      </c>
      <c r="S67" s="37">
        <v>0</v>
      </c>
      <c r="T67" s="37">
        <v>9052.8822115384501</v>
      </c>
      <c r="U67" s="37">
        <v>0</v>
      </c>
      <c r="V67" s="37">
        <v>15186.701923076931</v>
      </c>
      <c r="W67" s="37">
        <v>0</v>
      </c>
      <c r="X67" s="37">
        <v>6640.9903846153675</v>
      </c>
      <c r="Y67" s="37">
        <v>0</v>
      </c>
      <c r="Z67" s="37">
        <v>0</v>
      </c>
      <c r="AA67" s="37">
        <v>0</v>
      </c>
      <c r="AB67" s="37">
        <v>8002.8888888888905</v>
      </c>
      <c r="AC67" s="37">
        <v>0</v>
      </c>
      <c r="AD67" s="37">
        <v>14492.281250000013</v>
      </c>
      <c r="AE67" s="37">
        <v>0</v>
      </c>
      <c r="AF67" s="37">
        <v>53022.944711538461</v>
      </c>
      <c r="AG67" s="37">
        <v>0</v>
      </c>
      <c r="AH67" s="37">
        <v>30238.772499999985</v>
      </c>
      <c r="AI67" s="37">
        <v>0</v>
      </c>
      <c r="AJ67" s="37">
        <v>27291.835937500018</v>
      </c>
      <c r="AK67" s="37">
        <v>0</v>
      </c>
      <c r="AL67" s="37">
        <v>30057.914351851847</v>
      </c>
      <c r="AM67" s="37">
        <v>0</v>
      </c>
      <c r="AN67" s="37">
        <v>24174.435096153844</v>
      </c>
      <c r="AO67" s="37">
        <v>0</v>
      </c>
      <c r="AP67" s="37">
        <v>10979.040000000012</v>
      </c>
      <c r="AQ67" s="37">
        <v>0</v>
      </c>
      <c r="AR67" s="37">
        <v>9052.8918269230617</v>
      </c>
      <c r="AS67" s="37">
        <v>0</v>
      </c>
      <c r="AT67" s="37">
        <v>15186.71153846153</v>
      </c>
      <c r="AU67" s="37">
        <v>0</v>
      </c>
      <c r="AV67" s="37">
        <v>6641.0168269230817</v>
      </c>
      <c r="AW67" s="37">
        <v>0</v>
      </c>
      <c r="AX67" s="37">
        <v>0</v>
      </c>
      <c r="AY67" s="37">
        <v>0</v>
      </c>
      <c r="AZ67" s="37">
        <v>7924.6875000000191</v>
      </c>
      <c r="BA67" s="37">
        <v>0</v>
      </c>
      <c r="BB67" s="37">
        <v>14666.222499999996</v>
      </c>
      <c r="BC67" s="37">
        <v>0</v>
      </c>
      <c r="BD67" s="37">
        <v>53084.975961538483</v>
      </c>
      <c r="BE67" s="37">
        <v>0</v>
      </c>
      <c r="BF67" s="37">
        <v>30295.287499999977</v>
      </c>
      <c r="BG67" s="37">
        <v>0</v>
      </c>
      <c r="BH67" s="37">
        <v>27361.152499999997</v>
      </c>
      <c r="BI67" s="37">
        <v>0</v>
      </c>
      <c r="BJ67" s="37">
        <v>30112.09490740742</v>
      </c>
      <c r="BK67" s="37">
        <v>0</v>
      </c>
      <c r="BL67" s="37">
        <v>24162.959999999999</v>
      </c>
      <c r="BM67" s="37">
        <v>0</v>
      </c>
      <c r="BN67" s="37">
        <v>11116.47596153847</v>
      </c>
      <c r="BO67" s="37">
        <v>0</v>
      </c>
      <c r="BP67" s="37">
        <v>9092.5264423076769</v>
      </c>
      <c r="BQ67" s="37">
        <v>0</v>
      </c>
      <c r="BR67" s="37">
        <v>15106.359999999988</v>
      </c>
      <c r="BS67" s="37">
        <v>0</v>
      </c>
      <c r="BT67" s="37">
        <v>6818.4560185185073</v>
      </c>
      <c r="BU67" s="37">
        <v>0</v>
      </c>
      <c r="BV67" s="37">
        <v>0</v>
      </c>
      <c r="BW67" s="37">
        <v>0</v>
      </c>
    </row>
    <row r="68" spans="2:75">
      <c r="B68">
        <v>10197</v>
      </c>
      <c r="C68" t="s">
        <v>72</v>
      </c>
      <c r="D68" s="37">
        <v>7977.4351851851879</v>
      </c>
      <c r="E68" s="37">
        <v>0</v>
      </c>
      <c r="F68" s="37">
        <v>1177.4713541666686</v>
      </c>
      <c r="G68" s="37">
        <v>0</v>
      </c>
      <c r="H68" s="37">
        <v>1802.4783653846148</v>
      </c>
      <c r="I68" s="37">
        <v>0</v>
      </c>
      <c r="J68" s="37">
        <v>2125.9375000000014</v>
      </c>
      <c r="K68" s="37">
        <v>0</v>
      </c>
      <c r="L68" s="37">
        <v>1124.5677083333346</v>
      </c>
      <c r="M68" s="37">
        <v>0</v>
      </c>
      <c r="N68" s="37">
        <v>740.43269230769317</v>
      </c>
      <c r="O68" s="37">
        <v>0</v>
      </c>
      <c r="P68" s="37">
        <v>11414.086538461537</v>
      </c>
      <c r="Q68" s="37">
        <v>0</v>
      </c>
      <c r="R68" s="37">
        <v>7582.1625000000058</v>
      </c>
      <c r="S68" s="37">
        <v>0</v>
      </c>
      <c r="T68" s="37">
        <v>11496.649038461539</v>
      </c>
      <c r="U68" s="37">
        <v>0</v>
      </c>
      <c r="V68" s="37">
        <v>10114.98798076922</v>
      </c>
      <c r="W68" s="37">
        <v>0</v>
      </c>
      <c r="X68" s="37">
        <v>8740.9615384615408</v>
      </c>
      <c r="Y68" s="37">
        <v>0</v>
      </c>
      <c r="Z68" s="37">
        <v>6136.4874999999975</v>
      </c>
      <c r="AA68" s="37">
        <v>0</v>
      </c>
      <c r="AB68" s="37">
        <v>7816.4467592592591</v>
      </c>
      <c r="AC68" s="37">
        <v>0</v>
      </c>
      <c r="AD68" s="37">
        <v>955.13020833333371</v>
      </c>
      <c r="AE68" s="37">
        <v>0</v>
      </c>
      <c r="AF68" s="37">
        <v>1072.9014423076917</v>
      </c>
      <c r="AG68" s="37">
        <v>0</v>
      </c>
      <c r="AH68" s="37">
        <v>1460.7700000000007</v>
      </c>
      <c r="AI68" s="37">
        <v>0</v>
      </c>
      <c r="AJ68" s="37">
        <v>1164.2031250000025</v>
      </c>
      <c r="AK68" s="37">
        <v>0</v>
      </c>
      <c r="AL68" s="37">
        <v>727.61805555555361</v>
      </c>
      <c r="AM68" s="37">
        <v>0</v>
      </c>
      <c r="AN68" s="37">
        <v>11369.822115384617</v>
      </c>
      <c r="AO68" s="37">
        <v>0</v>
      </c>
      <c r="AP68" s="37">
        <v>7559.7900000000027</v>
      </c>
      <c r="AQ68" s="37">
        <v>0</v>
      </c>
      <c r="AR68" s="37">
        <v>11453.098557692298</v>
      </c>
      <c r="AS68" s="37">
        <v>0</v>
      </c>
      <c r="AT68" s="37">
        <v>9539.3653846153993</v>
      </c>
      <c r="AU68" s="37">
        <v>0</v>
      </c>
      <c r="AV68" s="37">
        <v>8260.245192307706</v>
      </c>
      <c r="AW68" s="37">
        <v>0</v>
      </c>
      <c r="AX68" s="37">
        <v>6223.314999999996</v>
      </c>
      <c r="AY68" s="37">
        <v>0</v>
      </c>
      <c r="AZ68" s="37">
        <v>7702.7620192307695</v>
      </c>
      <c r="BA68" s="37">
        <v>0</v>
      </c>
      <c r="BB68" s="37">
        <v>678.10749999999985</v>
      </c>
      <c r="BC68" s="37">
        <v>0</v>
      </c>
      <c r="BD68" s="37">
        <v>837.53125000000762</v>
      </c>
      <c r="BE68" s="37">
        <v>0</v>
      </c>
      <c r="BF68" s="37">
        <v>1155.7499999999945</v>
      </c>
      <c r="BG68" s="37">
        <v>0</v>
      </c>
      <c r="BH68" s="37">
        <v>1023.7050000000019</v>
      </c>
      <c r="BI68" s="37">
        <v>0</v>
      </c>
      <c r="BJ68" s="37">
        <v>509.46296296295924</v>
      </c>
      <c r="BK68" s="37">
        <v>0</v>
      </c>
      <c r="BL68" s="37">
        <v>10744.764999999999</v>
      </c>
      <c r="BM68" s="37">
        <v>0</v>
      </c>
      <c r="BN68" s="37">
        <v>6819.0384615384583</v>
      </c>
      <c r="BO68" s="37">
        <v>0</v>
      </c>
      <c r="BP68" s="37">
        <v>10776.562499999995</v>
      </c>
      <c r="BQ68" s="37">
        <v>0</v>
      </c>
      <c r="BR68" s="37">
        <v>9543.2025000000049</v>
      </c>
      <c r="BS68" s="37">
        <v>0</v>
      </c>
      <c r="BT68" s="37">
        <v>7938.6319444444671</v>
      </c>
      <c r="BU68" s="37">
        <v>0</v>
      </c>
      <c r="BV68" s="37">
        <v>5509.3424999999916</v>
      </c>
      <c r="BW68" s="37">
        <v>0</v>
      </c>
    </row>
    <row r="69" spans="2:75">
      <c r="B69">
        <v>10202</v>
      </c>
      <c r="C69" t="s">
        <v>73</v>
      </c>
      <c r="D69" s="37">
        <v>4270.7546296296305</v>
      </c>
      <c r="E69" s="37">
        <v>0</v>
      </c>
      <c r="F69" s="37">
        <v>2843.9374999999986</v>
      </c>
      <c r="G69" s="37">
        <v>0</v>
      </c>
      <c r="H69" s="37">
        <v>2233.4687500000005</v>
      </c>
      <c r="I69" s="37">
        <v>0</v>
      </c>
      <c r="J69" s="37">
        <v>0</v>
      </c>
      <c r="K69" s="37">
        <v>0</v>
      </c>
      <c r="L69" s="37">
        <v>5127.0963541666697</v>
      </c>
      <c r="M69" s="37">
        <v>0</v>
      </c>
      <c r="N69" s="37">
        <v>4889.0096153846152</v>
      </c>
      <c r="O69" s="37">
        <v>0</v>
      </c>
      <c r="P69" s="37">
        <v>623.63942307692537</v>
      </c>
      <c r="Q69" s="37">
        <v>0</v>
      </c>
      <c r="R69" s="37">
        <v>471.78749999999957</v>
      </c>
      <c r="S69" s="37">
        <v>0</v>
      </c>
      <c r="T69" s="37">
        <v>1913.3245192307722</v>
      </c>
      <c r="U69" s="37">
        <v>0</v>
      </c>
      <c r="V69" s="37">
        <v>2514.8509615384646</v>
      </c>
      <c r="W69" s="37">
        <v>0</v>
      </c>
      <c r="X69" s="37">
        <v>2875.8533653846143</v>
      </c>
      <c r="Y69" s="37">
        <v>0</v>
      </c>
      <c r="Z69" s="37">
        <v>3378.9199999999992</v>
      </c>
      <c r="AA69" s="37">
        <v>0</v>
      </c>
      <c r="AB69" s="37">
        <v>4298.7013888888887</v>
      </c>
      <c r="AC69" s="37">
        <v>0</v>
      </c>
      <c r="AD69" s="37">
        <v>2865.2682291666661</v>
      </c>
      <c r="AE69" s="37">
        <v>0</v>
      </c>
      <c r="AF69" s="37">
        <v>2246.3533653846112</v>
      </c>
      <c r="AG69" s="37">
        <v>0</v>
      </c>
      <c r="AH69" s="37">
        <v>0</v>
      </c>
      <c r="AI69" s="37">
        <v>0</v>
      </c>
      <c r="AJ69" s="37">
        <v>5163.822916666667</v>
      </c>
      <c r="AK69" s="37">
        <v>0</v>
      </c>
      <c r="AL69" s="37">
        <v>4950.7615740740712</v>
      </c>
      <c r="AM69" s="37">
        <v>0</v>
      </c>
      <c r="AN69" s="37">
        <v>658.93990384615358</v>
      </c>
      <c r="AO69" s="37">
        <v>0</v>
      </c>
      <c r="AP69" s="37">
        <v>488.37499999999955</v>
      </c>
      <c r="AQ69" s="37">
        <v>0</v>
      </c>
      <c r="AR69" s="37">
        <v>1948.5673076923085</v>
      </c>
      <c r="AS69" s="37">
        <v>0</v>
      </c>
      <c r="AT69" s="37">
        <v>2553.9807692307695</v>
      </c>
      <c r="AU69" s="37">
        <v>0</v>
      </c>
      <c r="AV69" s="37">
        <v>2923.7043269230794</v>
      </c>
      <c r="AW69" s="37">
        <v>0</v>
      </c>
      <c r="AX69" s="37">
        <v>3426.5725000000007</v>
      </c>
      <c r="AY69" s="37">
        <v>0</v>
      </c>
      <c r="AZ69" s="37">
        <v>4301.0697115384619</v>
      </c>
      <c r="BA69" s="37">
        <v>0</v>
      </c>
      <c r="BB69" s="37">
        <v>2931.5275000000011</v>
      </c>
      <c r="BC69" s="37">
        <v>0</v>
      </c>
      <c r="BD69" s="37">
        <v>2272.2788461538462</v>
      </c>
      <c r="BE69" s="37">
        <v>0</v>
      </c>
      <c r="BF69" s="37">
        <v>0</v>
      </c>
      <c r="BG69" s="37">
        <v>0</v>
      </c>
      <c r="BH69" s="37">
        <v>5214.8024999999998</v>
      </c>
      <c r="BI69" s="37">
        <v>0</v>
      </c>
      <c r="BJ69" s="37">
        <v>4995.3171296296287</v>
      </c>
      <c r="BK69" s="37">
        <v>0</v>
      </c>
      <c r="BL69" s="37">
        <v>671.50999999999965</v>
      </c>
      <c r="BM69" s="37">
        <v>0</v>
      </c>
      <c r="BN69" s="37">
        <v>555.09134615384778</v>
      </c>
      <c r="BO69" s="37">
        <v>0</v>
      </c>
      <c r="BP69" s="37">
        <v>1989.8822115384619</v>
      </c>
      <c r="BQ69" s="37">
        <v>0</v>
      </c>
      <c r="BR69" s="37">
        <v>2554.3425000000029</v>
      </c>
      <c r="BS69" s="37">
        <v>0</v>
      </c>
      <c r="BT69" s="37">
        <v>3023.8750000000005</v>
      </c>
      <c r="BU69" s="37">
        <v>0</v>
      </c>
      <c r="BV69" s="37">
        <v>3482.69</v>
      </c>
      <c r="BW69" s="37">
        <v>0</v>
      </c>
    </row>
    <row r="70" spans="2:75">
      <c r="B70">
        <v>10203</v>
      </c>
      <c r="C70" t="s">
        <v>74</v>
      </c>
      <c r="D70" s="37">
        <v>3292.49537037037</v>
      </c>
      <c r="E70" s="37">
        <v>0</v>
      </c>
      <c r="F70" s="37">
        <v>3314.4687500000023</v>
      </c>
      <c r="G70" s="37">
        <v>0</v>
      </c>
      <c r="H70" s="37">
        <v>3402.9711538461538</v>
      </c>
      <c r="I70" s="37">
        <v>0</v>
      </c>
      <c r="J70" s="37">
        <v>3721.9086538461556</v>
      </c>
      <c r="K70" s="37">
        <v>0</v>
      </c>
      <c r="L70" s="37">
        <v>2827.3776041666674</v>
      </c>
      <c r="M70" s="37">
        <v>0</v>
      </c>
      <c r="N70" s="37">
        <v>4450.735576923079</v>
      </c>
      <c r="O70" s="37">
        <v>0</v>
      </c>
      <c r="P70" s="37">
        <v>3391.2259615384614</v>
      </c>
      <c r="Q70" s="37">
        <v>0</v>
      </c>
      <c r="R70" s="37">
        <v>1843.8800000000008</v>
      </c>
      <c r="S70" s="37">
        <v>0</v>
      </c>
      <c r="T70" s="37">
        <v>2740.3125</v>
      </c>
      <c r="U70" s="37">
        <v>0</v>
      </c>
      <c r="V70" s="37">
        <v>2394.2668269230758</v>
      </c>
      <c r="W70" s="37">
        <v>0</v>
      </c>
      <c r="X70" s="37">
        <v>2448.0673076923072</v>
      </c>
      <c r="Y70" s="37">
        <v>0</v>
      </c>
      <c r="Z70" s="37">
        <v>2638.2499999999995</v>
      </c>
      <c r="AA70" s="37">
        <v>0</v>
      </c>
      <c r="AB70" s="37">
        <v>3539.5532407407413</v>
      </c>
      <c r="AC70" s="37">
        <v>0</v>
      </c>
      <c r="AD70" s="37">
        <v>3565.0416666666665</v>
      </c>
      <c r="AE70" s="37">
        <v>0</v>
      </c>
      <c r="AF70" s="37">
        <v>3649.6634615384605</v>
      </c>
      <c r="AG70" s="37">
        <v>0</v>
      </c>
      <c r="AH70" s="37">
        <v>4036.2625000000012</v>
      </c>
      <c r="AI70" s="37">
        <v>0</v>
      </c>
      <c r="AJ70" s="37">
        <v>3069.151041666667</v>
      </c>
      <c r="AK70" s="37">
        <v>0</v>
      </c>
      <c r="AL70" s="37">
        <v>4638.0879629629608</v>
      </c>
      <c r="AM70" s="37">
        <v>0</v>
      </c>
      <c r="AN70" s="37">
        <v>3501.7475961538466</v>
      </c>
      <c r="AO70" s="37">
        <v>0</v>
      </c>
      <c r="AP70" s="37">
        <v>1952.1650000000004</v>
      </c>
      <c r="AQ70" s="37">
        <v>0</v>
      </c>
      <c r="AR70" s="37">
        <v>2844.875</v>
      </c>
      <c r="AS70" s="37">
        <v>0</v>
      </c>
      <c r="AT70" s="37">
        <v>2497.9110576923072</v>
      </c>
      <c r="AU70" s="37">
        <v>0</v>
      </c>
      <c r="AV70" s="37">
        <v>2551.1778846153852</v>
      </c>
      <c r="AW70" s="37">
        <v>0</v>
      </c>
      <c r="AX70" s="37">
        <v>2742.8275000000003</v>
      </c>
      <c r="AY70" s="37">
        <v>0</v>
      </c>
      <c r="AZ70" s="37">
        <v>3788.8485576923085</v>
      </c>
      <c r="BA70" s="37">
        <v>0</v>
      </c>
      <c r="BB70" s="37">
        <v>3734.4549999999995</v>
      </c>
      <c r="BC70" s="37">
        <v>0</v>
      </c>
      <c r="BD70" s="37">
        <v>3870.0624999999991</v>
      </c>
      <c r="BE70" s="37">
        <v>0</v>
      </c>
      <c r="BF70" s="37">
        <v>4259.5149999999985</v>
      </c>
      <c r="BG70" s="37">
        <v>0</v>
      </c>
      <c r="BH70" s="37">
        <v>3339.2600000000016</v>
      </c>
      <c r="BI70" s="37">
        <v>0</v>
      </c>
      <c r="BJ70" s="37">
        <v>4856.5856481481469</v>
      </c>
      <c r="BK70" s="37">
        <v>0</v>
      </c>
      <c r="BL70" s="37">
        <v>3640.5099999999993</v>
      </c>
      <c r="BM70" s="37">
        <v>0</v>
      </c>
      <c r="BN70" s="37">
        <v>2030.9519230769238</v>
      </c>
      <c r="BO70" s="37">
        <v>0</v>
      </c>
      <c r="BP70" s="37">
        <v>2944.2427884615377</v>
      </c>
      <c r="BQ70" s="37">
        <v>0</v>
      </c>
      <c r="BR70" s="37">
        <v>2606.9575000000009</v>
      </c>
      <c r="BS70" s="37">
        <v>0</v>
      </c>
      <c r="BT70" s="37">
        <v>2636.5277777777792</v>
      </c>
      <c r="BU70" s="37">
        <v>0</v>
      </c>
      <c r="BV70" s="37">
        <v>2838.8825000000002</v>
      </c>
      <c r="BW70" s="37">
        <v>0</v>
      </c>
    </row>
    <row r="71" spans="2:75">
      <c r="B71">
        <v>10204</v>
      </c>
      <c r="C71" t="s">
        <v>75</v>
      </c>
      <c r="D71" s="37">
        <v>0</v>
      </c>
      <c r="E71" s="37">
        <v>0</v>
      </c>
      <c r="F71" s="37">
        <v>0</v>
      </c>
      <c r="G71" s="37">
        <v>0</v>
      </c>
      <c r="H71" s="37">
        <v>0</v>
      </c>
      <c r="I71" s="37">
        <v>0</v>
      </c>
      <c r="J71" s="37">
        <v>0</v>
      </c>
      <c r="K71" s="37">
        <v>0</v>
      </c>
      <c r="L71" s="37">
        <v>0</v>
      </c>
      <c r="M71" s="37">
        <v>0</v>
      </c>
      <c r="N71" s="37">
        <v>0</v>
      </c>
      <c r="O71" s="37">
        <v>0</v>
      </c>
      <c r="P71" s="37">
        <v>0</v>
      </c>
      <c r="Q71" s="37">
        <v>0</v>
      </c>
      <c r="R71" s="37">
        <v>0</v>
      </c>
      <c r="S71" s="37">
        <v>0</v>
      </c>
      <c r="T71" s="37">
        <v>0</v>
      </c>
      <c r="U71" s="37">
        <v>0</v>
      </c>
      <c r="V71" s="37">
        <v>0</v>
      </c>
      <c r="W71" s="37">
        <v>0</v>
      </c>
      <c r="X71" s="37">
        <v>0</v>
      </c>
      <c r="Y71" s="37">
        <v>0</v>
      </c>
      <c r="Z71" s="37">
        <v>0</v>
      </c>
      <c r="AA71" s="37">
        <v>0</v>
      </c>
      <c r="AB71" s="37">
        <v>0</v>
      </c>
      <c r="AC71" s="37">
        <v>0</v>
      </c>
      <c r="AD71" s="37">
        <v>0</v>
      </c>
      <c r="AE71" s="37">
        <v>0</v>
      </c>
      <c r="AF71" s="37">
        <v>0</v>
      </c>
      <c r="AG71" s="37">
        <v>0</v>
      </c>
      <c r="AH71" s="37">
        <v>0</v>
      </c>
      <c r="AI71" s="37">
        <v>0</v>
      </c>
      <c r="AJ71" s="37">
        <v>0</v>
      </c>
      <c r="AK71" s="37">
        <v>0</v>
      </c>
      <c r="AL71" s="37">
        <v>0</v>
      </c>
      <c r="AM71" s="37">
        <v>0</v>
      </c>
      <c r="AN71" s="37">
        <v>0</v>
      </c>
      <c r="AO71" s="37">
        <v>0</v>
      </c>
      <c r="AP71" s="37">
        <v>0</v>
      </c>
      <c r="AQ71" s="37">
        <v>0</v>
      </c>
      <c r="AR71" s="37">
        <v>0</v>
      </c>
      <c r="AS71" s="37">
        <v>0</v>
      </c>
      <c r="AT71" s="37">
        <v>0</v>
      </c>
      <c r="AU71" s="37">
        <v>0</v>
      </c>
      <c r="AV71" s="37">
        <v>0</v>
      </c>
      <c r="AW71" s="37">
        <v>0</v>
      </c>
      <c r="AX71" s="37">
        <v>0</v>
      </c>
      <c r="AY71" s="37">
        <v>0</v>
      </c>
      <c r="AZ71" s="37">
        <v>0</v>
      </c>
      <c r="BA71" s="37">
        <v>0</v>
      </c>
      <c r="BB71" s="37">
        <v>0</v>
      </c>
      <c r="BC71" s="37">
        <v>0</v>
      </c>
      <c r="BD71" s="37">
        <v>0</v>
      </c>
      <c r="BE71" s="37">
        <v>0</v>
      </c>
      <c r="BF71" s="37">
        <v>0</v>
      </c>
      <c r="BG71" s="37">
        <v>0</v>
      </c>
      <c r="BH71" s="37">
        <v>0</v>
      </c>
      <c r="BI71" s="37">
        <v>0</v>
      </c>
      <c r="BJ71" s="37">
        <v>0</v>
      </c>
      <c r="BK71" s="37">
        <v>0</v>
      </c>
      <c r="BL71" s="37">
        <v>0</v>
      </c>
      <c r="BM71" s="37">
        <v>0</v>
      </c>
      <c r="BN71" s="37">
        <v>0</v>
      </c>
      <c r="BO71" s="37">
        <v>0</v>
      </c>
      <c r="BP71" s="37">
        <v>0</v>
      </c>
      <c r="BQ71" s="37">
        <v>0</v>
      </c>
      <c r="BR71" s="37">
        <v>0</v>
      </c>
      <c r="BS71" s="37">
        <v>0</v>
      </c>
      <c r="BT71" s="37">
        <v>0</v>
      </c>
      <c r="BU71" s="37">
        <v>0</v>
      </c>
      <c r="BV71" s="37">
        <v>0</v>
      </c>
      <c r="BW71" s="37">
        <v>0</v>
      </c>
    </row>
    <row r="72" spans="2:75">
      <c r="B72">
        <v>10209</v>
      </c>
      <c r="C72" t="s">
        <v>76</v>
      </c>
      <c r="D72" s="37">
        <v>0</v>
      </c>
      <c r="E72" s="37">
        <v>0</v>
      </c>
      <c r="F72" s="37">
        <v>0</v>
      </c>
      <c r="G72" s="37">
        <v>0</v>
      </c>
      <c r="H72" s="37">
        <v>0</v>
      </c>
      <c r="I72" s="37">
        <v>0</v>
      </c>
      <c r="J72" s="37">
        <v>0</v>
      </c>
      <c r="K72" s="37">
        <v>0</v>
      </c>
      <c r="L72" s="37">
        <v>0</v>
      </c>
      <c r="M72" s="37">
        <v>0</v>
      </c>
      <c r="N72" s="37">
        <v>0</v>
      </c>
      <c r="O72" s="37">
        <v>0</v>
      </c>
      <c r="P72" s="37">
        <v>0</v>
      </c>
      <c r="Q72" s="37">
        <v>0</v>
      </c>
      <c r="R72" s="37">
        <v>0</v>
      </c>
      <c r="S72" s="37">
        <v>0</v>
      </c>
      <c r="T72" s="37">
        <v>0</v>
      </c>
      <c r="U72" s="37">
        <v>0</v>
      </c>
      <c r="V72" s="37">
        <v>0</v>
      </c>
      <c r="W72" s="37">
        <v>0</v>
      </c>
      <c r="X72" s="37">
        <v>0</v>
      </c>
      <c r="Y72" s="37">
        <v>0</v>
      </c>
      <c r="Z72" s="37">
        <v>0</v>
      </c>
      <c r="AA72" s="37">
        <v>0</v>
      </c>
      <c r="AB72" s="37">
        <v>0</v>
      </c>
      <c r="AC72" s="37">
        <v>0</v>
      </c>
      <c r="AD72" s="37">
        <v>0</v>
      </c>
      <c r="AE72" s="37">
        <v>0</v>
      </c>
      <c r="AF72" s="37">
        <v>0</v>
      </c>
      <c r="AG72" s="37">
        <v>0</v>
      </c>
      <c r="AH72" s="37">
        <v>0</v>
      </c>
      <c r="AI72" s="37">
        <v>0</v>
      </c>
      <c r="AJ72" s="37">
        <v>0</v>
      </c>
      <c r="AK72" s="37">
        <v>0</v>
      </c>
      <c r="AL72" s="37">
        <v>0</v>
      </c>
      <c r="AM72" s="37">
        <v>0</v>
      </c>
      <c r="AN72" s="37">
        <v>0</v>
      </c>
      <c r="AO72" s="37">
        <v>0</v>
      </c>
      <c r="AP72" s="37">
        <v>0</v>
      </c>
      <c r="AQ72" s="37">
        <v>0</v>
      </c>
      <c r="AR72" s="37">
        <v>0</v>
      </c>
      <c r="AS72" s="37">
        <v>0</v>
      </c>
      <c r="AT72" s="37">
        <v>0</v>
      </c>
      <c r="AU72" s="37">
        <v>0</v>
      </c>
      <c r="AV72" s="37">
        <v>0</v>
      </c>
      <c r="AW72" s="37">
        <v>0</v>
      </c>
      <c r="AX72" s="37">
        <v>0</v>
      </c>
      <c r="AY72" s="37">
        <v>0</v>
      </c>
      <c r="AZ72" s="37">
        <v>0</v>
      </c>
      <c r="BA72" s="37">
        <v>0</v>
      </c>
      <c r="BB72" s="37">
        <v>0</v>
      </c>
      <c r="BC72" s="37">
        <v>0</v>
      </c>
      <c r="BD72" s="37">
        <v>0</v>
      </c>
      <c r="BE72" s="37">
        <v>0</v>
      </c>
      <c r="BF72" s="37">
        <v>0</v>
      </c>
      <c r="BG72" s="37">
        <v>0</v>
      </c>
      <c r="BH72" s="37">
        <v>0</v>
      </c>
      <c r="BI72" s="37">
        <v>0</v>
      </c>
      <c r="BJ72" s="37">
        <v>0</v>
      </c>
      <c r="BK72" s="37">
        <v>0</v>
      </c>
      <c r="BL72" s="37">
        <v>0</v>
      </c>
      <c r="BM72" s="37">
        <v>0</v>
      </c>
      <c r="BN72" s="37">
        <v>0</v>
      </c>
      <c r="BO72" s="37">
        <v>0</v>
      </c>
      <c r="BP72" s="37">
        <v>0</v>
      </c>
      <c r="BQ72" s="37">
        <v>0</v>
      </c>
      <c r="BR72" s="37">
        <v>0</v>
      </c>
      <c r="BS72" s="37">
        <v>0</v>
      </c>
      <c r="BT72" s="37">
        <v>0</v>
      </c>
      <c r="BU72" s="37">
        <v>0</v>
      </c>
      <c r="BV72" s="37">
        <v>0</v>
      </c>
      <c r="BW72" s="37">
        <v>0</v>
      </c>
    </row>
    <row r="73" spans="2:75">
      <c r="B73">
        <v>10230</v>
      </c>
      <c r="C73" t="s">
        <v>77</v>
      </c>
      <c r="D73" s="37">
        <v>2379.5115740740744</v>
      </c>
      <c r="E73" s="37">
        <v>0</v>
      </c>
      <c r="F73" s="37">
        <v>2645.3645833333353</v>
      </c>
      <c r="G73" s="37">
        <v>0</v>
      </c>
      <c r="H73" s="37">
        <v>7142.985576923078</v>
      </c>
      <c r="I73" s="37">
        <v>0</v>
      </c>
      <c r="J73" s="37">
        <v>6335.1778846153848</v>
      </c>
      <c r="K73" s="37">
        <v>0</v>
      </c>
      <c r="L73" s="37">
        <v>6978.4427083333339</v>
      </c>
      <c r="M73" s="37">
        <v>0</v>
      </c>
      <c r="N73" s="37">
        <v>4048.9302884615358</v>
      </c>
      <c r="O73" s="37">
        <v>0</v>
      </c>
      <c r="P73" s="37">
        <v>3138.3028846153866</v>
      </c>
      <c r="Q73" s="37">
        <v>0</v>
      </c>
      <c r="R73" s="37">
        <v>2534.7324999999987</v>
      </c>
      <c r="S73" s="37">
        <v>0</v>
      </c>
      <c r="T73" s="37">
        <v>4176.4807692307677</v>
      </c>
      <c r="U73" s="37">
        <v>0</v>
      </c>
      <c r="V73" s="37">
        <v>4183.9374999999991</v>
      </c>
      <c r="W73" s="37">
        <v>0</v>
      </c>
      <c r="X73" s="37">
        <v>3470.0697115384628</v>
      </c>
      <c r="Y73" s="37">
        <v>0</v>
      </c>
      <c r="Z73" s="37">
        <v>3274.0100000000007</v>
      </c>
      <c r="AA73" s="37">
        <v>0</v>
      </c>
      <c r="AB73" s="37">
        <v>2607.9166666666697</v>
      </c>
      <c r="AC73" s="37">
        <v>0</v>
      </c>
      <c r="AD73" s="37">
        <v>2849.8489583333348</v>
      </c>
      <c r="AE73" s="37">
        <v>0</v>
      </c>
      <c r="AF73" s="37">
        <v>7499.9543269230817</v>
      </c>
      <c r="AG73" s="37">
        <v>0</v>
      </c>
      <c r="AH73" s="37">
        <v>5855.4425000000001</v>
      </c>
      <c r="AI73" s="37">
        <v>0</v>
      </c>
      <c r="AJ73" s="37">
        <v>7299.7265624999991</v>
      </c>
      <c r="AK73" s="37">
        <v>0</v>
      </c>
      <c r="AL73" s="37">
        <v>4924.4537037037035</v>
      </c>
      <c r="AM73" s="37">
        <v>0</v>
      </c>
      <c r="AN73" s="37">
        <v>3372.2980769230749</v>
      </c>
      <c r="AO73" s="37">
        <v>0</v>
      </c>
      <c r="AP73" s="37">
        <v>2728.1075000000019</v>
      </c>
      <c r="AQ73" s="37">
        <v>0</v>
      </c>
      <c r="AR73" s="37">
        <v>4377.3966346153848</v>
      </c>
      <c r="AS73" s="37">
        <v>0</v>
      </c>
      <c r="AT73" s="37">
        <v>4387.2620192307659</v>
      </c>
      <c r="AU73" s="37">
        <v>0</v>
      </c>
      <c r="AV73" s="37">
        <v>3637.57451923077</v>
      </c>
      <c r="AW73" s="37">
        <v>0</v>
      </c>
      <c r="AX73" s="37">
        <v>3489.1424999999981</v>
      </c>
      <c r="AY73" s="37">
        <v>0</v>
      </c>
      <c r="AZ73" s="37">
        <v>2280.108173076922</v>
      </c>
      <c r="BA73" s="37">
        <v>0</v>
      </c>
      <c r="BB73" s="37">
        <v>3777.9675000000016</v>
      </c>
      <c r="BC73" s="37">
        <v>0</v>
      </c>
      <c r="BD73" s="37">
        <v>7861.9423076923067</v>
      </c>
      <c r="BE73" s="37">
        <v>0</v>
      </c>
      <c r="BF73" s="37">
        <v>6221.1025000000018</v>
      </c>
      <c r="BG73" s="37">
        <v>0</v>
      </c>
      <c r="BH73" s="37">
        <v>7809.0725000000002</v>
      </c>
      <c r="BI73" s="37">
        <v>0</v>
      </c>
      <c r="BJ73" s="37">
        <v>5188.833333333333</v>
      </c>
      <c r="BK73" s="37">
        <v>0</v>
      </c>
      <c r="BL73" s="37">
        <v>2980.5724999999993</v>
      </c>
      <c r="BM73" s="37">
        <v>0</v>
      </c>
      <c r="BN73" s="37">
        <v>3469.0793269230758</v>
      </c>
      <c r="BO73" s="37">
        <v>0</v>
      </c>
      <c r="BP73" s="37">
        <v>4575.0961538461561</v>
      </c>
      <c r="BQ73" s="37">
        <v>0</v>
      </c>
      <c r="BR73" s="37">
        <v>3997.8149999999996</v>
      </c>
      <c r="BS73" s="37">
        <v>0</v>
      </c>
      <c r="BT73" s="37">
        <v>4377.5902777777774</v>
      </c>
      <c r="BU73" s="37">
        <v>0</v>
      </c>
      <c r="BV73" s="37">
        <v>3700.0325000000007</v>
      </c>
      <c r="BW73" s="37">
        <v>0</v>
      </c>
    </row>
    <row r="74" spans="2:75">
      <c r="B74">
        <v>10231</v>
      </c>
      <c r="C74" t="s">
        <v>78</v>
      </c>
      <c r="D74" s="37">
        <v>0</v>
      </c>
      <c r="E74" s="37">
        <v>0</v>
      </c>
      <c r="F74" s="37">
        <v>596.51041666666947</v>
      </c>
      <c r="G74" s="37">
        <v>0</v>
      </c>
      <c r="H74" s="37">
        <v>5036.5264423076842</v>
      </c>
      <c r="I74" s="37">
        <v>0</v>
      </c>
      <c r="J74" s="37">
        <v>733.17788461539908</v>
      </c>
      <c r="K74" s="37">
        <v>0</v>
      </c>
      <c r="L74" s="37">
        <v>3320.859375000005</v>
      </c>
      <c r="M74" s="37">
        <v>0</v>
      </c>
      <c r="N74" s="37">
        <v>3591.8437500000023</v>
      </c>
      <c r="O74" s="37">
        <v>0</v>
      </c>
      <c r="P74" s="37">
        <v>305.08173076923839</v>
      </c>
      <c r="Q74" s="37">
        <v>0</v>
      </c>
      <c r="R74" s="37">
        <v>3879.6174999999976</v>
      </c>
      <c r="S74" s="37">
        <v>0</v>
      </c>
      <c r="T74" s="37">
        <v>8541.836538461539</v>
      </c>
      <c r="U74" s="37">
        <v>0</v>
      </c>
      <c r="V74" s="37">
        <v>2022.2980769230751</v>
      </c>
      <c r="W74" s="37">
        <v>0</v>
      </c>
      <c r="X74" s="37">
        <v>8277.1634615384573</v>
      </c>
      <c r="Y74" s="37">
        <v>0</v>
      </c>
      <c r="Z74" s="37">
        <v>0</v>
      </c>
      <c r="AA74" s="37">
        <v>0</v>
      </c>
      <c r="AB74" s="37">
        <v>0</v>
      </c>
      <c r="AC74" s="37">
        <v>0</v>
      </c>
      <c r="AD74" s="37">
        <v>294.86979166667203</v>
      </c>
      <c r="AE74" s="37">
        <v>0</v>
      </c>
      <c r="AF74" s="37">
        <v>4968.3605769230844</v>
      </c>
      <c r="AG74" s="37">
        <v>0</v>
      </c>
      <c r="AH74" s="37">
        <v>814.94000000000528</v>
      </c>
      <c r="AI74" s="37">
        <v>0</v>
      </c>
      <c r="AJ74" s="37">
        <v>3054.1510416666711</v>
      </c>
      <c r="AK74" s="37">
        <v>0</v>
      </c>
      <c r="AL74" s="37">
        <v>3148.5023148148202</v>
      </c>
      <c r="AM74" s="37">
        <v>0</v>
      </c>
      <c r="AN74" s="37">
        <v>0</v>
      </c>
      <c r="AO74" s="37">
        <v>0</v>
      </c>
      <c r="AP74" s="37">
        <v>3459.1950000000038</v>
      </c>
      <c r="AQ74" s="37">
        <v>0</v>
      </c>
      <c r="AR74" s="37">
        <v>8120.31249999999</v>
      </c>
      <c r="AS74" s="37">
        <v>0</v>
      </c>
      <c r="AT74" s="37">
        <v>1563.2139423076801</v>
      </c>
      <c r="AU74" s="37">
        <v>0</v>
      </c>
      <c r="AV74" s="37">
        <v>7836.0649038461561</v>
      </c>
      <c r="AW74" s="37">
        <v>0</v>
      </c>
      <c r="AX74" s="37">
        <v>0</v>
      </c>
      <c r="AY74" s="37">
        <v>0</v>
      </c>
      <c r="AZ74" s="37">
        <v>0</v>
      </c>
      <c r="BA74" s="37">
        <v>0</v>
      </c>
      <c r="BB74" s="37">
        <v>0</v>
      </c>
      <c r="BC74" s="37">
        <v>0</v>
      </c>
      <c r="BD74" s="37">
        <v>4893.7043269230799</v>
      </c>
      <c r="BE74" s="37">
        <v>0</v>
      </c>
      <c r="BF74" s="37">
        <v>654.70249999999726</v>
      </c>
      <c r="BG74" s="37">
        <v>0</v>
      </c>
      <c r="BH74" s="37">
        <v>2775.6200000000035</v>
      </c>
      <c r="BI74" s="37">
        <v>0</v>
      </c>
      <c r="BJ74" s="37">
        <v>2796.9467592592637</v>
      </c>
      <c r="BK74" s="37">
        <v>0</v>
      </c>
      <c r="BL74" s="37">
        <v>0</v>
      </c>
      <c r="BM74" s="37">
        <v>0</v>
      </c>
      <c r="BN74" s="37">
        <v>2942.1682692307722</v>
      </c>
      <c r="BO74" s="37">
        <v>0</v>
      </c>
      <c r="BP74" s="37">
        <v>7668.3004807692269</v>
      </c>
      <c r="BQ74" s="37">
        <v>0</v>
      </c>
      <c r="BR74" s="37">
        <v>1136.5525000000041</v>
      </c>
      <c r="BS74" s="37">
        <v>0</v>
      </c>
      <c r="BT74" s="37">
        <v>7274.104166666667</v>
      </c>
      <c r="BU74" s="37">
        <v>0</v>
      </c>
      <c r="BV74" s="37">
        <v>0</v>
      </c>
      <c r="BW74" s="37">
        <v>0</v>
      </c>
    </row>
    <row r="75" spans="2:75">
      <c r="B75">
        <v>10234</v>
      </c>
      <c r="C75" t="s">
        <v>79</v>
      </c>
      <c r="D75" s="37">
        <v>0</v>
      </c>
      <c r="E75" s="37">
        <v>0</v>
      </c>
      <c r="F75" s="37">
        <v>0</v>
      </c>
      <c r="G75" s="37">
        <v>0</v>
      </c>
      <c r="H75" s="37">
        <v>0</v>
      </c>
      <c r="I75" s="37">
        <v>0</v>
      </c>
      <c r="J75" s="37">
        <v>0</v>
      </c>
      <c r="K75" s="37">
        <v>0</v>
      </c>
      <c r="L75" s="37">
        <v>0</v>
      </c>
      <c r="M75" s="37">
        <v>0</v>
      </c>
      <c r="N75" s="37">
        <v>0</v>
      </c>
      <c r="O75" s="37">
        <v>0</v>
      </c>
      <c r="P75" s="37">
        <v>0</v>
      </c>
      <c r="Q75" s="37">
        <v>0</v>
      </c>
      <c r="R75" s="37">
        <v>0</v>
      </c>
      <c r="S75" s="37">
        <v>0</v>
      </c>
      <c r="T75" s="37">
        <v>0</v>
      </c>
      <c r="U75" s="37">
        <v>0</v>
      </c>
      <c r="V75" s="37">
        <v>0</v>
      </c>
      <c r="W75" s="37">
        <v>0</v>
      </c>
      <c r="X75" s="37">
        <v>0</v>
      </c>
      <c r="Y75" s="37">
        <v>0</v>
      </c>
      <c r="Z75" s="37">
        <v>0</v>
      </c>
      <c r="AA75" s="37">
        <v>0</v>
      </c>
      <c r="AB75" s="37">
        <v>0</v>
      </c>
      <c r="AC75" s="37">
        <v>0</v>
      </c>
      <c r="AD75" s="37">
        <v>0</v>
      </c>
      <c r="AE75" s="37">
        <v>0</v>
      </c>
      <c r="AF75" s="37">
        <v>0</v>
      </c>
      <c r="AG75" s="37">
        <v>0</v>
      </c>
      <c r="AH75" s="37">
        <v>0</v>
      </c>
      <c r="AI75" s="37">
        <v>0</v>
      </c>
      <c r="AJ75" s="37">
        <v>0</v>
      </c>
      <c r="AK75" s="37">
        <v>0</v>
      </c>
      <c r="AL75" s="37">
        <v>0</v>
      </c>
      <c r="AM75" s="37">
        <v>0</v>
      </c>
      <c r="AN75" s="37">
        <v>0</v>
      </c>
      <c r="AO75" s="37">
        <v>0</v>
      </c>
      <c r="AP75" s="37">
        <v>0</v>
      </c>
      <c r="AQ75" s="37">
        <v>0</v>
      </c>
      <c r="AR75" s="37">
        <v>0</v>
      </c>
      <c r="AS75" s="37">
        <v>0</v>
      </c>
      <c r="AT75" s="37">
        <v>0</v>
      </c>
      <c r="AU75" s="37">
        <v>0</v>
      </c>
      <c r="AV75" s="37">
        <v>0</v>
      </c>
      <c r="AW75" s="37">
        <v>0</v>
      </c>
      <c r="AX75" s="37">
        <v>0</v>
      </c>
      <c r="AY75" s="37">
        <v>0</v>
      </c>
      <c r="AZ75" s="37">
        <v>0</v>
      </c>
      <c r="BA75" s="37">
        <v>0</v>
      </c>
      <c r="BB75" s="37">
        <v>0</v>
      </c>
      <c r="BC75" s="37">
        <v>0</v>
      </c>
      <c r="BD75" s="37">
        <v>0</v>
      </c>
      <c r="BE75" s="37">
        <v>0</v>
      </c>
      <c r="BF75" s="37">
        <v>0</v>
      </c>
      <c r="BG75" s="37">
        <v>0</v>
      </c>
      <c r="BH75" s="37">
        <v>0</v>
      </c>
      <c r="BI75" s="37">
        <v>0</v>
      </c>
      <c r="BJ75" s="37">
        <v>0</v>
      </c>
      <c r="BK75" s="37">
        <v>0</v>
      </c>
      <c r="BL75" s="37">
        <v>0</v>
      </c>
      <c r="BM75" s="37">
        <v>0</v>
      </c>
      <c r="BN75" s="37">
        <v>0</v>
      </c>
      <c r="BO75" s="37">
        <v>0</v>
      </c>
      <c r="BP75" s="37">
        <v>0</v>
      </c>
      <c r="BQ75" s="37">
        <v>0</v>
      </c>
      <c r="BR75" s="37">
        <v>0</v>
      </c>
      <c r="BS75" s="37">
        <v>0</v>
      </c>
      <c r="BT75" s="37">
        <v>0</v>
      </c>
      <c r="BU75" s="37">
        <v>0</v>
      </c>
      <c r="BV75" s="37">
        <v>0</v>
      </c>
      <c r="BW75" s="37">
        <v>0</v>
      </c>
    </row>
    <row r="76" spans="2:75">
      <c r="B76">
        <v>10235</v>
      </c>
      <c r="C76" t="s">
        <v>80</v>
      </c>
      <c r="D76" s="37">
        <v>2250.062499999995</v>
      </c>
      <c r="E76" s="37">
        <v>0</v>
      </c>
      <c r="F76" s="37">
        <v>1626.875</v>
      </c>
      <c r="G76" s="37">
        <v>0</v>
      </c>
      <c r="H76" s="37">
        <v>7144.1490384615436</v>
      </c>
      <c r="I76" s="37">
        <v>0</v>
      </c>
      <c r="J76" s="37">
        <v>6297.7716346153857</v>
      </c>
      <c r="K76" s="37">
        <v>0</v>
      </c>
      <c r="L76" s="37">
        <v>3731.5130208333348</v>
      </c>
      <c r="M76" s="37">
        <v>0</v>
      </c>
      <c r="N76" s="37">
        <v>4155.3605769230826</v>
      </c>
      <c r="O76" s="37">
        <v>0</v>
      </c>
      <c r="P76" s="37">
        <v>5960.6250000000027</v>
      </c>
      <c r="Q76" s="37">
        <v>0</v>
      </c>
      <c r="R76" s="37">
        <v>3141.9199999999964</v>
      </c>
      <c r="S76" s="37">
        <v>0</v>
      </c>
      <c r="T76" s="37">
        <v>4252.1730769230744</v>
      </c>
      <c r="U76" s="37">
        <v>0</v>
      </c>
      <c r="V76" s="37">
        <v>3685.0192307692291</v>
      </c>
      <c r="W76" s="37">
        <v>0</v>
      </c>
      <c r="X76" s="37">
        <v>4379.8125000000036</v>
      </c>
      <c r="Y76" s="37">
        <v>0</v>
      </c>
      <c r="Z76" s="37">
        <v>4139.2300000000041</v>
      </c>
      <c r="AA76" s="37">
        <v>0</v>
      </c>
      <c r="AB76" s="37">
        <v>2307.8958333333367</v>
      </c>
      <c r="AC76" s="37">
        <v>0</v>
      </c>
      <c r="AD76" s="37">
        <v>1696.348958333326</v>
      </c>
      <c r="AE76" s="37">
        <v>0</v>
      </c>
      <c r="AF76" s="37">
        <v>7222.5024038461515</v>
      </c>
      <c r="AG76" s="37">
        <v>0</v>
      </c>
      <c r="AH76" s="37">
        <v>6266.6274999999978</v>
      </c>
      <c r="AI76" s="37">
        <v>0</v>
      </c>
      <c r="AJ76" s="37">
        <v>3803.9088541666661</v>
      </c>
      <c r="AK76" s="37">
        <v>0</v>
      </c>
      <c r="AL76" s="37">
        <v>4306.5046296296387</v>
      </c>
      <c r="AM76" s="37">
        <v>0</v>
      </c>
      <c r="AN76" s="37">
        <v>6025.814903846157</v>
      </c>
      <c r="AO76" s="37">
        <v>0</v>
      </c>
      <c r="AP76" s="37">
        <v>3188.4175000000009</v>
      </c>
      <c r="AQ76" s="37">
        <v>0</v>
      </c>
      <c r="AR76" s="37">
        <v>4300.9735576923122</v>
      </c>
      <c r="AS76" s="37">
        <v>0</v>
      </c>
      <c r="AT76" s="37">
        <v>3739.6634615384601</v>
      </c>
      <c r="AU76" s="37">
        <v>0</v>
      </c>
      <c r="AV76" s="37">
        <v>4432.0288461538448</v>
      </c>
      <c r="AW76" s="37">
        <v>0</v>
      </c>
      <c r="AX76" s="37">
        <v>4185.7549999999956</v>
      </c>
      <c r="AY76" s="37">
        <v>0</v>
      </c>
      <c r="AZ76" s="37">
        <v>2268.9038461538507</v>
      </c>
      <c r="BA76" s="37">
        <v>0</v>
      </c>
      <c r="BB76" s="37">
        <v>1883.4175000000021</v>
      </c>
      <c r="BC76" s="37">
        <v>0</v>
      </c>
      <c r="BD76" s="37">
        <v>7300.6971153846171</v>
      </c>
      <c r="BE76" s="37">
        <v>0</v>
      </c>
      <c r="BF76" s="37">
        <v>6346.6950000000033</v>
      </c>
      <c r="BG76" s="37">
        <v>0</v>
      </c>
      <c r="BH76" s="37">
        <v>4136.8575000000001</v>
      </c>
      <c r="BI76" s="37">
        <v>0</v>
      </c>
      <c r="BJ76" s="37">
        <v>4371.9884259259234</v>
      </c>
      <c r="BK76" s="37">
        <v>0</v>
      </c>
      <c r="BL76" s="37">
        <v>6007.85</v>
      </c>
      <c r="BM76" s="37">
        <v>0</v>
      </c>
      <c r="BN76" s="37">
        <v>3328.1923076923131</v>
      </c>
      <c r="BO76" s="37">
        <v>0</v>
      </c>
      <c r="BP76" s="37">
        <v>4350.6658653846125</v>
      </c>
      <c r="BQ76" s="37">
        <v>0</v>
      </c>
      <c r="BR76" s="37">
        <v>3686.4774999999959</v>
      </c>
      <c r="BS76" s="37">
        <v>0</v>
      </c>
      <c r="BT76" s="37">
        <v>4584.0949074074078</v>
      </c>
      <c r="BU76" s="37">
        <v>0</v>
      </c>
      <c r="BV76" s="37">
        <v>4232.16</v>
      </c>
      <c r="BW76" s="37">
        <v>0</v>
      </c>
    </row>
    <row r="77" spans="2:75">
      <c r="B77">
        <v>10236</v>
      </c>
      <c r="C77" t="s">
        <v>81</v>
      </c>
      <c r="D77" s="37">
        <v>0</v>
      </c>
      <c r="E77" s="37">
        <v>0</v>
      </c>
      <c r="F77" s="37">
        <v>0</v>
      </c>
      <c r="G77" s="37">
        <v>0</v>
      </c>
      <c r="H77" s="37">
        <v>0</v>
      </c>
      <c r="I77" s="37">
        <v>0</v>
      </c>
      <c r="J77" s="37">
        <v>0</v>
      </c>
      <c r="K77" s="37">
        <v>0</v>
      </c>
      <c r="L77" s="37">
        <v>0</v>
      </c>
      <c r="M77" s="37">
        <v>0</v>
      </c>
      <c r="N77" s="37">
        <v>0</v>
      </c>
      <c r="O77" s="37">
        <v>0</v>
      </c>
      <c r="P77" s="37">
        <v>0</v>
      </c>
      <c r="Q77" s="37">
        <v>0</v>
      </c>
      <c r="R77" s="37">
        <v>0</v>
      </c>
      <c r="S77" s="37">
        <v>0</v>
      </c>
      <c r="T77" s="37">
        <v>0</v>
      </c>
      <c r="U77" s="37">
        <v>0</v>
      </c>
      <c r="V77" s="37">
        <v>0</v>
      </c>
      <c r="W77" s="37">
        <v>0</v>
      </c>
      <c r="X77" s="37">
        <v>0</v>
      </c>
      <c r="Y77" s="37">
        <v>0</v>
      </c>
      <c r="Z77" s="37">
        <v>0</v>
      </c>
      <c r="AA77" s="37">
        <v>0</v>
      </c>
      <c r="AB77" s="37">
        <v>0</v>
      </c>
      <c r="AC77" s="37">
        <v>0</v>
      </c>
      <c r="AD77" s="37">
        <v>0</v>
      </c>
      <c r="AE77" s="37">
        <v>0</v>
      </c>
      <c r="AF77" s="37">
        <v>0</v>
      </c>
      <c r="AG77" s="37">
        <v>0</v>
      </c>
      <c r="AH77" s="37">
        <v>0</v>
      </c>
      <c r="AI77" s="37">
        <v>0</v>
      </c>
      <c r="AJ77" s="37">
        <v>0</v>
      </c>
      <c r="AK77" s="37">
        <v>0</v>
      </c>
      <c r="AL77" s="37">
        <v>0</v>
      </c>
      <c r="AM77" s="37">
        <v>0</v>
      </c>
      <c r="AN77" s="37">
        <v>0</v>
      </c>
      <c r="AO77" s="37">
        <v>0</v>
      </c>
      <c r="AP77" s="37">
        <v>0</v>
      </c>
      <c r="AQ77" s="37">
        <v>0</v>
      </c>
      <c r="AR77" s="37">
        <v>0</v>
      </c>
      <c r="AS77" s="37">
        <v>0</v>
      </c>
      <c r="AT77" s="37">
        <v>0</v>
      </c>
      <c r="AU77" s="37">
        <v>0</v>
      </c>
      <c r="AV77" s="37">
        <v>0</v>
      </c>
      <c r="AW77" s="37">
        <v>0</v>
      </c>
      <c r="AX77" s="37">
        <v>0</v>
      </c>
      <c r="AY77" s="37">
        <v>0</v>
      </c>
      <c r="AZ77" s="37">
        <v>0</v>
      </c>
      <c r="BA77" s="37">
        <v>0</v>
      </c>
      <c r="BB77" s="37">
        <v>0</v>
      </c>
      <c r="BC77" s="37">
        <v>0</v>
      </c>
      <c r="BD77" s="37">
        <v>0</v>
      </c>
      <c r="BE77" s="37">
        <v>0</v>
      </c>
      <c r="BF77" s="37">
        <v>0</v>
      </c>
      <c r="BG77" s="37">
        <v>0</v>
      </c>
      <c r="BH77" s="37">
        <v>0</v>
      </c>
      <c r="BI77" s="37">
        <v>0</v>
      </c>
      <c r="BJ77" s="37">
        <v>0</v>
      </c>
      <c r="BK77" s="37">
        <v>0</v>
      </c>
      <c r="BL77" s="37">
        <v>0</v>
      </c>
      <c r="BM77" s="37">
        <v>0</v>
      </c>
      <c r="BN77" s="37">
        <v>0</v>
      </c>
      <c r="BO77" s="37">
        <v>0</v>
      </c>
      <c r="BP77" s="37">
        <v>0</v>
      </c>
      <c r="BQ77" s="37">
        <v>0</v>
      </c>
      <c r="BR77" s="37">
        <v>0</v>
      </c>
      <c r="BS77" s="37">
        <v>0</v>
      </c>
      <c r="BT77" s="37">
        <v>0</v>
      </c>
      <c r="BU77" s="37">
        <v>0</v>
      </c>
      <c r="BV77" s="37">
        <v>0</v>
      </c>
      <c r="BW77" s="37">
        <v>0</v>
      </c>
    </row>
    <row r="78" spans="2:75">
      <c r="B78">
        <v>10237</v>
      </c>
      <c r="C78" t="s">
        <v>82</v>
      </c>
      <c r="D78" s="37">
        <v>0</v>
      </c>
      <c r="E78" s="37">
        <v>0</v>
      </c>
      <c r="F78" s="37">
        <v>0</v>
      </c>
      <c r="G78" s="37">
        <v>0</v>
      </c>
      <c r="H78" s="37">
        <v>0</v>
      </c>
      <c r="I78" s="37">
        <v>0</v>
      </c>
      <c r="J78" s="37">
        <v>0</v>
      </c>
      <c r="K78" s="37">
        <v>0</v>
      </c>
      <c r="L78" s="37">
        <v>0</v>
      </c>
      <c r="M78" s="37">
        <v>0</v>
      </c>
      <c r="N78" s="37">
        <v>0</v>
      </c>
      <c r="O78" s="37">
        <v>0</v>
      </c>
      <c r="P78" s="37">
        <v>0</v>
      </c>
      <c r="Q78" s="37">
        <v>0</v>
      </c>
      <c r="R78" s="37">
        <v>0</v>
      </c>
      <c r="S78" s="37">
        <v>0</v>
      </c>
      <c r="T78" s="37">
        <v>0</v>
      </c>
      <c r="U78" s="37">
        <v>0</v>
      </c>
      <c r="V78" s="37">
        <v>0</v>
      </c>
      <c r="W78" s="37">
        <v>0</v>
      </c>
      <c r="X78" s="37">
        <v>0</v>
      </c>
      <c r="Y78" s="37">
        <v>0</v>
      </c>
      <c r="Z78" s="37">
        <v>0</v>
      </c>
      <c r="AA78" s="37">
        <v>0</v>
      </c>
      <c r="AB78" s="37">
        <v>0</v>
      </c>
      <c r="AC78" s="37">
        <v>0</v>
      </c>
      <c r="AD78" s="37">
        <v>0</v>
      </c>
      <c r="AE78" s="37">
        <v>0</v>
      </c>
      <c r="AF78" s="37">
        <v>0</v>
      </c>
      <c r="AG78" s="37">
        <v>0</v>
      </c>
      <c r="AH78" s="37">
        <v>0</v>
      </c>
      <c r="AI78" s="37">
        <v>0</v>
      </c>
      <c r="AJ78" s="37">
        <v>0</v>
      </c>
      <c r="AK78" s="37">
        <v>0</v>
      </c>
      <c r="AL78" s="37">
        <v>0</v>
      </c>
      <c r="AM78" s="37">
        <v>0</v>
      </c>
      <c r="AN78" s="37">
        <v>0</v>
      </c>
      <c r="AO78" s="37">
        <v>0</v>
      </c>
      <c r="AP78" s="37">
        <v>0</v>
      </c>
      <c r="AQ78" s="37">
        <v>0</v>
      </c>
      <c r="AR78" s="37">
        <v>0</v>
      </c>
      <c r="AS78" s="37">
        <v>0</v>
      </c>
      <c r="AT78" s="37">
        <v>0</v>
      </c>
      <c r="AU78" s="37">
        <v>0</v>
      </c>
      <c r="AV78" s="37">
        <v>0</v>
      </c>
      <c r="AW78" s="37">
        <v>0</v>
      </c>
      <c r="AX78" s="37">
        <v>0</v>
      </c>
      <c r="AY78" s="37">
        <v>0</v>
      </c>
      <c r="AZ78" s="37">
        <v>0</v>
      </c>
      <c r="BA78" s="37">
        <v>0</v>
      </c>
      <c r="BB78" s="37">
        <v>0</v>
      </c>
      <c r="BC78" s="37">
        <v>0</v>
      </c>
      <c r="BD78" s="37">
        <v>0</v>
      </c>
      <c r="BE78" s="37">
        <v>0</v>
      </c>
      <c r="BF78" s="37">
        <v>0</v>
      </c>
      <c r="BG78" s="37">
        <v>0</v>
      </c>
      <c r="BH78" s="37">
        <v>0</v>
      </c>
      <c r="BI78" s="37">
        <v>0</v>
      </c>
      <c r="BJ78" s="37">
        <v>0</v>
      </c>
      <c r="BK78" s="37">
        <v>0</v>
      </c>
      <c r="BL78" s="37">
        <v>0</v>
      </c>
      <c r="BM78" s="37">
        <v>0</v>
      </c>
      <c r="BN78" s="37">
        <v>0</v>
      </c>
      <c r="BO78" s="37">
        <v>0</v>
      </c>
      <c r="BP78" s="37">
        <v>0</v>
      </c>
      <c r="BQ78" s="37">
        <v>0</v>
      </c>
      <c r="BR78" s="37">
        <v>0</v>
      </c>
      <c r="BS78" s="37">
        <v>0</v>
      </c>
      <c r="BT78" s="37">
        <v>0</v>
      </c>
      <c r="BU78" s="37">
        <v>0</v>
      </c>
      <c r="BV78" s="37">
        <v>0</v>
      </c>
      <c r="BW78" s="37">
        <v>0</v>
      </c>
    </row>
    <row r="79" spans="2:75">
      <c r="B79">
        <v>10239</v>
      </c>
      <c r="C79" t="s">
        <v>83</v>
      </c>
      <c r="D79" s="37">
        <v>0</v>
      </c>
      <c r="E79" s="37">
        <v>0</v>
      </c>
      <c r="F79" s="37">
        <v>0</v>
      </c>
      <c r="G79" s="37">
        <v>0</v>
      </c>
      <c r="H79" s="37">
        <v>0</v>
      </c>
      <c r="I79" s="37">
        <v>0</v>
      </c>
      <c r="J79" s="37">
        <v>0</v>
      </c>
      <c r="K79" s="37">
        <v>0</v>
      </c>
      <c r="L79" s="37">
        <v>0</v>
      </c>
      <c r="M79" s="37">
        <v>0</v>
      </c>
      <c r="N79" s="37">
        <v>0</v>
      </c>
      <c r="O79" s="37">
        <v>0</v>
      </c>
      <c r="P79" s="37">
        <v>0</v>
      </c>
      <c r="Q79" s="37">
        <v>0</v>
      </c>
      <c r="R79" s="37">
        <v>0</v>
      </c>
      <c r="S79" s="37">
        <v>0</v>
      </c>
      <c r="T79" s="37">
        <v>0</v>
      </c>
      <c r="U79" s="37">
        <v>0</v>
      </c>
      <c r="V79" s="37">
        <v>0</v>
      </c>
      <c r="W79" s="37">
        <v>0</v>
      </c>
      <c r="X79" s="37">
        <v>0</v>
      </c>
      <c r="Y79" s="37">
        <v>0</v>
      </c>
      <c r="Z79" s="37">
        <v>0</v>
      </c>
      <c r="AA79" s="37">
        <v>0</v>
      </c>
      <c r="AB79" s="37">
        <v>0</v>
      </c>
      <c r="AC79" s="37">
        <v>0</v>
      </c>
      <c r="AD79" s="37">
        <v>0</v>
      </c>
      <c r="AE79" s="37">
        <v>0</v>
      </c>
      <c r="AF79" s="37">
        <v>0</v>
      </c>
      <c r="AG79" s="37">
        <v>0</v>
      </c>
      <c r="AH79" s="37">
        <v>0</v>
      </c>
      <c r="AI79" s="37">
        <v>0</v>
      </c>
      <c r="AJ79" s="37">
        <v>0</v>
      </c>
      <c r="AK79" s="37">
        <v>0</v>
      </c>
      <c r="AL79" s="37">
        <v>0</v>
      </c>
      <c r="AM79" s="37">
        <v>0</v>
      </c>
      <c r="AN79" s="37">
        <v>0</v>
      </c>
      <c r="AO79" s="37">
        <v>0</v>
      </c>
      <c r="AP79" s="37">
        <v>0</v>
      </c>
      <c r="AQ79" s="37">
        <v>0</v>
      </c>
      <c r="AR79" s="37">
        <v>0</v>
      </c>
      <c r="AS79" s="37">
        <v>0</v>
      </c>
      <c r="AT79" s="37">
        <v>0</v>
      </c>
      <c r="AU79" s="37">
        <v>0</v>
      </c>
      <c r="AV79" s="37">
        <v>0</v>
      </c>
      <c r="AW79" s="37">
        <v>0</v>
      </c>
      <c r="AX79" s="37">
        <v>0</v>
      </c>
      <c r="AY79" s="37">
        <v>0</v>
      </c>
      <c r="AZ79" s="37">
        <v>0</v>
      </c>
      <c r="BA79" s="37">
        <v>0</v>
      </c>
      <c r="BB79" s="37">
        <v>0</v>
      </c>
      <c r="BC79" s="37">
        <v>0</v>
      </c>
      <c r="BD79" s="37">
        <v>0</v>
      </c>
      <c r="BE79" s="37">
        <v>0</v>
      </c>
      <c r="BF79" s="37">
        <v>0</v>
      </c>
      <c r="BG79" s="37">
        <v>0</v>
      </c>
      <c r="BH79" s="37">
        <v>0</v>
      </c>
      <c r="BI79" s="37">
        <v>0</v>
      </c>
      <c r="BJ79" s="37">
        <v>0</v>
      </c>
      <c r="BK79" s="37">
        <v>0</v>
      </c>
      <c r="BL79" s="37">
        <v>0</v>
      </c>
      <c r="BM79" s="37">
        <v>0</v>
      </c>
      <c r="BN79" s="37">
        <v>0</v>
      </c>
      <c r="BO79" s="37">
        <v>0</v>
      </c>
      <c r="BP79" s="37">
        <v>0</v>
      </c>
      <c r="BQ79" s="37">
        <v>0</v>
      </c>
      <c r="BR79" s="37">
        <v>0</v>
      </c>
      <c r="BS79" s="37">
        <v>0</v>
      </c>
      <c r="BT79" s="37">
        <v>0</v>
      </c>
      <c r="BU79" s="37">
        <v>0</v>
      </c>
      <c r="BV79" s="37">
        <v>0</v>
      </c>
      <c r="BW79" s="37">
        <v>0</v>
      </c>
    </row>
    <row r="80" spans="2:75">
      <c r="B80">
        <v>10242</v>
      </c>
      <c r="C80" t="s">
        <v>84</v>
      </c>
      <c r="D80" s="37">
        <v>3462.8171296296309</v>
      </c>
      <c r="E80" s="37">
        <v>0</v>
      </c>
      <c r="F80" s="37">
        <v>682.23697916666777</v>
      </c>
      <c r="G80" s="37">
        <v>0</v>
      </c>
      <c r="H80" s="37">
        <v>1257.6057692307684</v>
      </c>
      <c r="I80" s="37">
        <v>0</v>
      </c>
      <c r="J80" s="37">
        <v>1388.9230769230778</v>
      </c>
      <c r="K80" s="37">
        <v>0</v>
      </c>
      <c r="L80" s="37">
        <v>1248.2161458333333</v>
      </c>
      <c r="M80" s="37">
        <v>0</v>
      </c>
      <c r="N80" s="37">
        <v>1598.822115384615</v>
      </c>
      <c r="O80" s="37">
        <v>0</v>
      </c>
      <c r="P80" s="37">
        <v>2184.6490384615372</v>
      </c>
      <c r="Q80" s="37">
        <v>0</v>
      </c>
      <c r="R80" s="37">
        <v>0</v>
      </c>
      <c r="S80" s="37">
        <v>0</v>
      </c>
      <c r="T80" s="37">
        <v>3736.5360576923053</v>
      </c>
      <c r="U80" s="37">
        <v>0</v>
      </c>
      <c r="V80" s="37">
        <v>5117.346153846157</v>
      </c>
      <c r="W80" s="37">
        <v>0</v>
      </c>
      <c r="X80" s="37">
        <v>1323.9951923076962</v>
      </c>
      <c r="Y80" s="37">
        <v>0</v>
      </c>
      <c r="Z80" s="37">
        <v>2624.3324999999995</v>
      </c>
      <c r="AA80" s="37">
        <v>0</v>
      </c>
      <c r="AB80" s="37">
        <v>3527.541666666667</v>
      </c>
      <c r="AC80" s="37">
        <v>0</v>
      </c>
      <c r="AD80" s="37">
        <v>722.77864583333292</v>
      </c>
      <c r="AE80" s="37">
        <v>0</v>
      </c>
      <c r="AF80" s="37">
        <v>1291.5985576923092</v>
      </c>
      <c r="AG80" s="37">
        <v>0</v>
      </c>
      <c r="AH80" s="37">
        <v>1098.2375000000015</v>
      </c>
      <c r="AI80" s="37">
        <v>0</v>
      </c>
      <c r="AJ80" s="37">
        <v>1290.2838541666658</v>
      </c>
      <c r="AK80" s="37">
        <v>0</v>
      </c>
      <c r="AL80" s="37">
        <v>1883.3865740740744</v>
      </c>
      <c r="AM80" s="37">
        <v>0</v>
      </c>
      <c r="AN80" s="37">
        <v>2240.5048076923072</v>
      </c>
      <c r="AO80" s="37">
        <v>0</v>
      </c>
      <c r="AP80" s="37">
        <v>0</v>
      </c>
      <c r="AQ80" s="37">
        <v>0</v>
      </c>
      <c r="AR80" s="37">
        <v>3760.0192307692273</v>
      </c>
      <c r="AS80" s="37">
        <v>0</v>
      </c>
      <c r="AT80" s="37">
        <v>5140.139423076921</v>
      </c>
      <c r="AU80" s="37">
        <v>0</v>
      </c>
      <c r="AV80" s="37">
        <v>1332.5144230769238</v>
      </c>
      <c r="AW80" s="37">
        <v>0</v>
      </c>
      <c r="AX80" s="37">
        <v>2670.5050000000006</v>
      </c>
      <c r="AY80" s="37">
        <v>0</v>
      </c>
      <c r="AZ80" s="37">
        <v>3344.2836538461547</v>
      </c>
      <c r="BA80" s="37">
        <v>0</v>
      </c>
      <c r="BB80" s="37">
        <v>1026.9274999999989</v>
      </c>
      <c r="BC80" s="37">
        <v>0</v>
      </c>
      <c r="BD80" s="37">
        <v>1321.2908653846162</v>
      </c>
      <c r="BE80" s="37">
        <v>0</v>
      </c>
      <c r="BF80" s="37">
        <v>1125.0324999999996</v>
      </c>
      <c r="BG80" s="37">
        <v>0</v>
      </c>
      <c r="BH80" s="37">
        <v>1231.162499999999</v>
      </c>
      <c r="BI80" s="37">
        <v>0</v>
      </c>
      <c r="BJ80" s="37">
        <v>1931.0347222222219</v>
      </c>
      <c r="BK80" s="37">
        <v>0</v>
      </c>
      <c r="BL80" s="37">
        <v>2066.1275000000014</v>
      </c>
      <c r="BM80" s="37">
        <v>0</v>
      </c>
      <c r="BN80" s="37">
        <v>0</v>
      </c>
      <c r="BO80" s="37">
        <v>0</v>
      </c>
      <c r="BP80" s="37">
        <v>3781.4326923076928</v>
      </c>
      <c r="BQ80" s="37">
        <v>0</v>
      </c>
      <c r="BR80" s="37">
        <v>4321.0625</v>
      </c>
      <c r="BS80" s="37">
        <v>0</v>
      </c>
      <c r="BT80" s="37">
        <v>2033.0300925925906</v>
      </c>
      <c r="BU80" s="37">
        <v>0</v>
      </c>
      <c r="BV80" s="37">
        <v>2712.9225000000029</v>
      </c>
      <c r="BW80" s="37">
        <v>0</v>
      </c>
    </row>
    <row r="81" spans="2:75">
      <c r="B81">
        <v>10244</v>
      </c>
      <c r="C81" t="s">
        <v>85</v>
      </c>
      <c r="D81" s="37">
        <v>47693.881944444431</v>
      </c>
      <c r="E81" s="37">
        <v>0</v>
      </c>
      <c r="F81" s="37">
        <v>21589.216145833325</v>
      </c>
      <c r="G81" s="37">
        <v>0</v>
      </c>
      <c r="H81" s="37">
        <v>36515.004807692341</v>
      </c>
      <c r="I81" s="37">
        <v>0</v>
      </c>
      <c r="J81" s="37">
        <v>58889.69711538461</v>
      </c>
      <c r="K81" s="37">
        <v>0</v>
      </c>
      <c r="L81" s="37">
        <v>28612.304687499985</v>
      </c>
      <c r="M81" s="37">
        <v>0</v>
      </c>
      <c r="N81" s="37">
        <v>45293.3125</v>
      </c>
      <c r="O81" s="37">
        <v>0</v>
      </c>
      <c r="P81" s="37">
        <v>40231.346153846171</v>
      </c>
      <c r="Q81" s="37">
        <v>0</v>
      </c>
      <c r="R81" s="37">
        <v>19507.857499999995</v>
      </c>
      <c r="S81" s="37">
        <v>0</v>
      </c>
      <c r="T81" s="37">
        <v>13431.377403846163</v>
      </c>
      <c r="U81" s="37">
        <v>0</v>
      </c>
      <c r="V81" s="37">
        <v>13346.725961538448</v>
      </c>
      <c r="W81" s="37">
        <v>0</v>
      </c>
      <c r="X81" s="37">
        <v>8162.8365384615317</v>
      </c>
      <c r="Y81" s="37">
        <v>0</v>
      </c>
      <c r="Z81" s="37">
        <v>13388.587499999996</v>
      </c>
      <c r="AA81" s="37">
        <v>0</v>
      </c>
      <c r="AB81" s="37">
        <v>51429.44212962962</v>
      </c>
      <c r="AC81" s="37">
        <v>0</v>
      </c>
      <c r="AD81" s="37">
        <v>25188.986979166635</v>
      </c>
      <c r="AE81" s="37">
        <v>0</v>
      </c>
      <c r="AF81" s="37">
        <v>40278.112980769256</v>
      </c>
      <c r="AG81" s="37">
        <v>0</v>
      </c>
      <c r="AH81" s="37">
        <v>55841.070000000014</v>
      </c>
      <c r="AI81" s="37">
        <v>0</v>
      </c>
      <c r="AJ81" s="37">
        <v>32158</v>
      </c>
      <c r="AK81" s="37">
        <v>0</v>
      </c>
      <c r="AL81" s="37">
        <v>54348.821759259255</v>
      </c>
      <c r="AM81" s="37">
        <v>0</v>
      </c>
      <c r="AN81" s="37">
        <v>42595.478365384661</v>
      </c>
      <c r="AO81" s="37">
        <v>0</v>
      </c>
      <c r="AP81" s="37">
        <v>20044.615000000002</v>
      </c>
      <c r="AQ81" s="37">
        <v>0</v>
      </c>
      <c r="AR81" s="37">
        <v>13922.05048076925</v>
      </c>
      <c r="AS81" s="37">
        <v>0</v>
      </c>
      <c r="AT81" s="37">
        <v>13878.913461538454</v>
      </c>
      <c r="AU81" s="37">
        <v>0</v>
      </c>
      <c r="AV81" s="37">
        <v>8636.5576923076878</v>
      </c>
      <c r="AW81" s="37">
        <v>0</v>
      </c>
      <c r="AX81" s="37">
        <v>13892.189999999995</v>
      </c>
      <c r="AY81" s="37">
        <v>0</v>
      </c>
      <c r="AZ81" s="37">
        <v>51025.951923076915</v>
      </c>
      <c r="BA81" s="37">
        <v>0</v>
      </c>
      <c r="BB81" s="37">
        <v>34451.574999999997</v>
      </c>
      <c r="BC81" s="37">
        <v>0</v>
      </c>
      <c r="BD81" s="37">
        <v>44106.41105769229</v>
      </c>
      <c r="BE81" s="37">
        <v>0</v>
      </c>
      <c r="BF81" s="37">
        <v>59615.745000000017</v>
      </c>
      <c r="BG81" s="37">
        <v>0</v>
      </c>
      <c r="BH81" s="37">
        <v>40209.637499999997</v>
      </c>
      <c r="BI81" s="37">
        <v>0</v>
      </c>
      <c r="BJ81" s="37">
        <v>58196.793981481489</v>
      </c>
      <c r="BK81" s="37">
        <v>0</v>
      </c>
      <c r="BL81" s="37">
        <v>40017.26</v>
      </c>
      <c r="BM81" s="37">
        <v>0</v>
      </c>
      <c r="BN81" s="37">
        <v>23818.94711538461</v>
      </c>
      <c r="BO81" s="37">
        <v>0</v>
      </c>
      <c r="BP81" s="37">
        <v>14436.937500000005</v>
      </c>
      <c r="BQ81" s="37">
        <v>0</v>
      </c>
      <c r="BR81" s="37">
        <v>11054.119999999992</v>
      </c>
      <c r="BS81" s="37">
        <v>0</v>
      </c>
      <c r="BT81" s="37">
        <v>12342.824074074071</v>
      </c>
      <c r="BU81" s="37">
        <v>0</v>
      </c>
      <c r="BV81" s="37">
        <v>14419.330000000013</v>
      </c>
      <c r="BW81" s="37">
        <v>0</v>
      </c>
    </row>
    <row r="82" spans="2:75">
      <c r="B82">
        <v>10246</v>
      </c>
      <c r="C82" t="s">
        <v>86</v>
      </c>
      <c r="D82" s="37">
        <v>4650.2037037037044</v>
      </c>
      <c r="E82" s="37">
        <v>0</v>
      </c>
      <c r="F82" s="37">
        <v>1460.9687500000002</v>
      </c>
      <c r="G82" s="37">
        <v>0</v>
      </c>
      <c r="H82" s="37">
        <v>6292.038461538461</v>
      </c>
      <c r="I82" s="37">
        <v>0</v>
      </c>
      <c r="J82" s="37">
        <v>3353.0961538461538</v>
      </c>
      <c r="K82" s="37">
        <v>0</v>
      </c>
      <c r="L82" s="37">
        <v>3733.4739583333344</v>
      </c>
      <c r="M82" s="37">
        <v>0</v>
      </c>
      <c r="N82" s="37">
        <v>3335.1129807692291</v>
      </c>
      <c r="O82" s="37">
        <v>0</v>
      </c>
      <c r="P82" s="37">
        <v>3101.0841346153852</v>
      </c>
      <c r="Q82" s="37">
        <v>0</v>
      </c>
      <c r="R82" s="37">
        <v>846.74000000000046</v>
      </c>
      <c r="S82" s="37">
        <v>0</v>
      </c>
      <c r="T82" s="37">
        <v>2123.4831730769229</v>
      </c>
      <c r="U82" s="37">
        <v>0</v>
      </c>
      <c r="V82" s="37">
        <v>1863.5841346153838</v>
      </c>
      <c r="W82" s="37">
        <v>0</v>
      </c>
      <c r="X82" s="37">
        <v>3058.6490384615381</v>
      </c>
      <c r="Y82" s="37">
        <v>0</v>
      </c>
      <c r="Z82" s="37">
        <v>244.94250000000096</v>
      </c>
      <c r="AA82" s="37">
        <v>0</v>
      </c>
      <c r="AB82" s="37">
        <v>4687.8125</v>
      </c>
      <c r="AC82" s="37">
        <v>0</v>
      </c>
      <c r="AD82" s="37">
        <v>1490.2994791666683</v>
      </c>
      <c r="AE82" s="37">
        <v>0</v>
      </c>
      <c r="AF82" s="37">
        <v>6329.0024038461543</v>
      </c>
      <c r="AG82" s="37">
        <v>0</v>
      </c>
      <c r="AH82" s="37">
        <v>3420.2349999999997</v>
      </c>
      <c r="AI82" s="37">
        <v>0</v>
      </c>
      <c r="AJ82" s="37">
        <v>3780.9401041666692</v>
      </c>
      <c r="AK82" s="37">
        <v>0</v>
      </c>
      <c r="AL82" s="37">
        <v>3328.7152777777792</v>
      </c>
      <c r="AM82" s="37">
        <v>0</v>
      </c>
      <c r="AN82" s="37">
        <v>3134.7692307692296</v>
      </c>
      <c r="AO82" s="37">
        <v>0</v>
      </c>
      <c r="AP82" s="37">
        <v>863.74249999999893</v>
      </c>
      <c r="AQ82" s="37">
        <v>0</v>
      </c>
      <c r="AR82" s="37">
        <v>2139.6514423076924</v>
      </c>
      <c r="AS82" s="37">
        <v>0</v>
      </c>
      <c r="AT82" s="37">
        <v>1875.9591346153843</v>
      </c>
      <c r="AU82" s="37">
        <v>0</v>
      </c>
      <c r="AV82" s="37">
        <v>3075.5336538461534</v>
      </c>
      <c r="AW82" s="37">
        <v>0</v>
      </c>
      <c r="AX82" s="37">
        <v>260.51499999999936</v>
      </c>
      <c r="AY82" s="37">
        <v>0</v>
      </c>
      <c r="AZ82" s="37">
        <v>4738.4591346153829</v>
      </c>
      <c r="BA82" s="37">
        <v>0</v>
      </c>
      <c r="BB82" s="37">
        <v>1491.575</v>
      </c>
      <c r="BC82" s="37">
        <v>0</v>
      </c>
      <c r="BD82" s="37">
        <v>6367.7427884615408</v>
      </c>
      <c r="BE82" s="37">
        <v>0</v>
      </c>
      <c r="BF82" s="37">
        <v>3449.5250000000028</v>
      </c>
      <c r="BG82" s="37">
        <v>0</v>
      </c>
      <c r="BH82" s="37">
        <v>3960.7774999999988</v>
      </c>
      <c r="BI82" s="37">
        <v>0</v>
      </c>
      <c r="BJ82" s="37">
        <v>3359.0902777777787</v>
      </c>
      <c r="BK82" s="37">
        <v>0</v>
      </c>
      <c r="BL82" s="37">
        <v>3196.9024999999997</v>
      </c>
      <c r="BM82" s="37">
        <v>0</v>
      </c>
      <c r="BN82" s="37">
        <v>860.55528846153879</v>
      </c>
      <c r="BO82" s="37">
        <v>0</v>
      </c>
      <c r="BP82" s="37">
        <v>2154.7043269230767</v>
      </c>
      <c r="BQ82" s="37">
        <v>0</v>
      </c>
      <c r="BR82" s="37">
        <v>1901.0874999999999</v>
      </c>
      <c r="BS82" s="37">
        <v>0</v>
      </c>
      <c r="BT82" s="37">
        <v>3082.8703703703704</v>
      </c>
      <c r="BU82" s="37">
        <v>0</v>
      </c>
      <c r="BV82" s="37">
        <v>273.86499999999938</v>
      </c>
      <c r="BW82" s="37">
        <v>0</v>
      </c>
    </row>
    <row r="83" spans="2:75">
      <c r="B83">
        <v>10247</v>
      </c>
      <c r="C83" t="s">
        <v>87</v>
      </c>
      <c r="D83" s="37">
        <v>5307.4212962962974</v>
      </c>
      <c r="E83" s="37">
        <v>0</v>
      </c>
      <c r="F83" s="37">
        <v>4449.8385416666652</v>
      </c>
      <c r="G83" s="37">
        <v>0</v>
      </c>
      <c r="H83" s="37">
        <v>34223.610576923063</v>
      </c>
      <c r="I83" s="37">
        <v>0</v>
      </c>
      <c r="J83" s="37">
        <v>6030.3942307692432</v>
      </c>
      <c r="K83" s="37">
        <v>0</v>
      </c>
      <c r="L83" s="37">
        <v>20401.385416666661</v>
      </c>
      <c r="M83" s="37">
        <v>0</v>
      </c>
      <c r="N83" s="37">
        <v>25465.182692307699</v>
      </c>
      <c r="O83" s="37">
        <v>0</v>
      </c>
      <c r="P83" s="37">
        <v>13912.12019230769</v>
      </c>
      <c r="Q83" s="37">
        <v>0</v>
      </c>
      <c r="R83" s="37">
        <v>1045.8250000000007</v>
      </c>
      <c r="S83" s="37">
        <v>0</v>
      </c>
      <c r="T83" s="37">
        <v>10647.211538461534</v>
      </c>
      <c r="U83" s="37">
        <v>0</v>
      </c>
      <c r="V83" s="37">
        <v>14706.50480769231</v>
      </c>
      <c r="W83" s="37">
        <v>0</v>
      </c>
      <c r="X83" s="37">
        <v>20691.951923076922</v>
      </c>
      <c r="Y83" s="37">
        <v>0</v>
      </c>
      <c r="Z83" s="37">
        <v>2767.6750000000075</v>
      </c>
      <c r="AA83" s="37">
        <v>0</v>
      </c>
      <c r="AB83" s="37">
        <v>5543.7824074074197</v>
      </c>
      <c r="AC83" s="37">
        <v>0</v>
      </c>
      <c r="AD83" s="37">
        <v>4808.3072916666506</v>
      </c>
      <c r="AE83" s="37">
        <v>0</v>
      </c>
      <c r="AF83" s="37">
        <v>34901.716346153858</v>
      </c>
      <c r="AG83" s="37">
        <v>0</v>
      </c>
      <c r="AH83" s="37">
        <v>1498.0999999999901</v>
      </c>
      <c r="AI83" s="37">
        <v>0</v>
      </c>
      <c r="AJ83" s="37">
        <v>21003.843749999978</v>
      </c>
      <c r="AK83" s="37">
        <v>0</v>
      </c>
      <c r="AL83" s="37">
        <v>29736.185185185172</v>
      </c>
      <c r="AM83" s="37">
        <v>0</v>
      </c>
      <c r="AN83" s="37">
        <v>14262.009615384606</v>
      </c>
      <c r="AO83" s="37">
        <v>0</v>
      </c>
      <c r="AP83" s="37">
        <v>1022.3000000000084</v>
      </c>
      <c r="AQ83" s="37">
        <v>0</v>
      </c>
      <c r="AR83" s="37">
        <v>10580.528846153853</v>
      </c>
      <c r="AS83" s="37">
        <v>0</v>
      </c>
      <c r="AT83" s="37">
        <v>14652.466346153857</v>
      </c>
      <c r="AU83" s="37">
        <v>0</v>
      </c>
      <c r="AV83" s="37">
        <v>20665.201923076915</v>
      </c>
      <c r="AW83" s="37">
        <v>0</v>
      </c>
      <c r="AX83" s="37">
        <v>2671.2000000000094</v>
      </c>
      <c r="AY83" s="37">
        <v>0</v>
      </c>
      <c r="AZ83" s="37">
        <v>2484.057692307701</v>
      </c>
      <c r="BA83" s="37">
        <v>0</v>
      </c>
      <c r="BB83" s="37">
        <v>9447.5500000000211</v>
      </c>
      <c r="BC83" s="37">
        <v>0</v>
      </c>
      <c r="BD83" s="37">
        <v>35469.793269230751</v>
      </c>
      <c r="BE83" s="37">
        <v>0</v>
      </c>
      <c r="BF83" s="37">
        <v>1825.6000000000049</v>
      </c>
      <c r="BG83" s="37">
        <v>0</v>
      </c>
      <c r="BH83" s="37">
        <v>23175.325000000019</v>
      </c>
      <c r="BI83" s="37">
        <v>0</v>
      </c>
      <c r="BJ83" s="37">
        <v>30212.953703703697</v>
      </c>
      <c r="BK83" s="37">
        <v>0</v>
      </c>
      <c r="BL83" s="37">
        <v>10939.30000000001</v>
      </c>
      <c r="BM83" s="37">
        <v>0</v>
      </c>
      <c r="BN83" s="37">
        <v>3980.6009615384637</v>
      </c>
      <c r="BO83" s="37">
        <v>0</v>
      </c>
      <c r="BP83" s="37">
        <v>10454.899038461534</v>
      </c>
      <c r="BQ83" s="37">
        <v>0</v>
      </c>
      <c r="BR83" s="37">
        <v>11640.275000000001</v>
      </c>
      <c r="BS83" s="37">
        <v>0</v>
      </c>
      <c r="BT83" s="37">
        <v>23288.888888888883</v>
      </c>
      <c r="BU83" s="37">
        <v>0</v>
      </c>
      <c r="BV83" s="37">
        <v>2515.1500000000019</v>
      </c>
      <c r="BW83" s="37">
        <v>0</v>
      </c>
    </row>
    <row r="84" spans="2:75">
      <c r="B84">
        <v>10256</v>
      </c>
      <c r="C84" t="s">
        <v>88</v>
      </c>
      <c r="D84" s="37">
        <v>22386.175925925927</v>
      </c>
      <c r="E84" s="37">
        <v>0</v>
      </c>
      <c r="F84" s="37">
        <v>15423.830729166668</v>
      </c>
      <c r="G84" s="37">
        <v>0</v>
      </c>
      <c r="H84" s="37">
        <v>28974.641826923074</v>
      </c>
      <c r="I84" s="37">
        <v>0</v>
      </c>
      <c r="J84" s="37">
        <v>31496.237980769223</v>
      </c>
      <c r="K84" s="37">
        <v>0</v>
      </c>
      <c r="L84" s="37">
        <v>20006.445312499989</v>
      </c>
      <c r="M84" s="37">
        <v>0</v>
      </c>
      <c r="N84" s="37">
        <v>23120.860576923071</v>
      </c>
      <c r="O84" s="37">
        <v>0</v>
      </c>
      <c r="P84" s="37">
        <v>16176.122596153846</v>
      </c>
      <c r="Q84" s="37">
        <v>0</v>
      </c>
      <c r="R84" s="37">
        <v>5268.3275000000012</v>
      </c>
      <c r="S84" s="37">
        <v>0</v>
      </c>
      <c r="T84" s="37">
        <v>8438.7427884615499</v>
      </c>
      <c r="U84" s="37">
        <v>0</v>
      </c>
      <c r="V84" s="37">
        <v>8012.1250000000045</v>
      </c>
      <c r="W84" s="37">
        <v>0</v>
      </c>
      <c r="X84" s="37">
        <v>8722.7500000000091</v>
      </c>
      <c r="Y84" s="37">
        <v>0</v>
      </c>
      <c r="Z84" s="37">
        <v>6362.3825000000006</v>
      </c>
      <c r="AA84" s="37">
        <v>0</v>
      </c>
      <c r="AB84" s="37">
        <v>23899.638888888887</v>
      </c>
      <c r="AC84" s="37">
        <v>0</v>
      </c>
      <c r="AD84" s="37">
        <v>16761.070312499996</v>
      </c>
      <c r="AE84" s="37">
        <v>0</v>
      </c>
      <c r="AF84" s="37">
        <v>30472.555288461535</v>
      </c>
      <c r="AG84" s="37">
        <v>0</v>
      </c>
      <c r="AH84" s="37">
        <v>29619.407500000008</v>
      </c>
      <c r="AI84" s="37">
        <v>0</v>
      </c>
      <c r="AJ84" s="37">
        <v>21327.828124999993</v>
      </c>
      <c r="AK84" s="37">
        <v>0</v>
      </c>
      <c r="AL84" s="37">
        <v>27380.488425925938</v>
      </c>
      <c r="AM84" s="37">
        <v>0</v>
      </c>
      <c r="AN84" s="37">
        <v>17614.721153846149</v>
      </c>
      <c r="AO84" s="37">
        <v>0</v>
      </c>
      <c r="AP84" s="37">
        <v>5451.4049999999979</v>
      </c>
      <c r="AQ84" s="37">
        <v>0</v>
      </c>
      <c r="AR84" s="37">
        <v>8642.048076923078</v>
      </c>
      <c r="AS84" s="37">
        <v>0</v>
      </c>
      <c r="AT84" s="37">
        <v>8258.5769230769165</v>
      </c>
      <c r="AU84" s="37">
        <v>0</v>
      </c>
      <c r="AV84" s="37">
        <v>8932.4350961538421</v>
      </c>
      <c r="AW84" s="37">
        <v>0</v>
      </c>
      <c r="AX84" s="37">
        <v>6553.7350000000015</v>
      </c>
      <c r="AY84" s="37">
        <v>0</v>
      </c>
      <c r="AZ84" s="37">
        <v>23001.156249999993</v>
      </c>
      <c r="BA84" s="37">
        <v>0</v>
      </c>
      <c r="BB84" s="37">
        <v>21072.89</v>
      </c>
      <c r="BC84" s="37">
        <v>0</v>
      </c>
      <c r="BD84" s="37">
        <v>31932.86298076923</v>
      </c>
      <c r="BE84" s="37">
        <v>0</v>
      </c>
      <c r="BF84" s="37">
        <v>31008.312499999989</v>
      </c>
      <c r="BG84" s="37">
        <v>0</v>
      </c>
      <c r="BH84" s="37">
        <v>23072.494999999999</v>
      </c>
      <c r="BI84" s="37">
        <v>0</v>
      </c>
      <c r="BJ84" s="37">
        <v>28848.891203703708</v>
      </c>
      <c r="BK84" s="37">
        <v>0</v>
      </c>
      <c r="BL84" s="37">
        <v>16135.492499999998</v>
      </c>
      <c r="BM84" s="37">
        <v>0</v>
      </c>
      <c r="BN84" s="37">
        <v>8246.6033653846189</v>
      </c>
      <c r="BO84" s="37">
        <v>0</v>
      </c>
      <c r="BP84" s="37">
        <v>8840.5793269230799</v>
      </c>
      <c r="BQ84" s="37">
        <v>0</v>
      </c>
      <c r="BR84" s="37">
        <v>5871.7249999999976</v>
      </c>
      <c r="BS84" s="37">
        <v>0</v>
      </c>
      <c r="BT84" s="37">
        <v>11602.284722222226</v>
      </c>
      <c r="BU84" s="37">
        <v>0</v>
      </c>
      <c r="BV84" s="37">
        <v>6740.6525000000011</v>
      </c>
      <c r="BW84" s="37">
        <v>0</v>
      </c>
    </row>
    <row r="85" spans="2:75">
      <c r="B85">
        <v>10258</v>
      </c>
      <c r="C85" t="s">
        <v>89</v>
      </c>
      <c r="D85" s="37">
        <v>28728.877314814818</v>
      </c>
      <c r="E85" s="37">
        <v>0</v>
      </c>
      <c r="F85" s="37">
        <v>737.46614583333781</v>
      </c>
      <c r="G85" s="37">
        <v>0</v>
      </c>
      <c r="H85" s="37">
        <v>20125.740384615397</v>
      </c>
      <c r="I85" s="37">
        <v>0</v>
      </c>
      <c r="J85" s="37">
        <v>7702.6802884615399</v>
      </c>
      <c r="K85" s="37">
        <v>0</v>
      </c>
      <c r="L85" s="37">
        <v>20138.981770833339</v>
      </c>
      <c r="M85" s="37">
        <v>0</v>
      </c>
      <c r="N85" s="37">
        <v>11536.185096153838</v>
      </c>
      <c r="O85" s="37">
        <v>0</v>
      </c>
      <c r="P85" s="37">
        <v>11565.382211538463</v>
      </c>
      <c r="Q85" s="37">
        <v>0</v>
      </c>
      <c r="R85" s="37">
        <v>62.142500000003764</v>
      </c>
      <c r="S85" s="37">
        <v>0</v>
      </c>
      <c r="T85" s="37">
        <v>4464.1947115384601</v>
      </c>
      <c r="U85" s="37">
        <v>0</v>
      </c>
      <c r="V85" s="37">
        <v>7886.4951923076878</v>
      </c>
      <c r="W85" s="37">
        <v>0</v>
      </c>
      <c r="X85" s="37">
        <v>9856.4278846153848</v>
      </c>
      <c r="Y85" s="37">
        <v>0</v>
      </c>
      <c r="Z85" s="37">
        <v>9139.9025000000001</v>
      </c>
      <c r="AA85" s="37">
        <v>0</v>
      </c>
      <c r="AB85" s="37">
        <v>29251.557870370369</v>
      </c>
      <c r="AC85" s="37">
        <v>0</v>
      </c>
      <c r="AD85" s="37">
        <v>978.86197916665901</v>
      </c>
      <c r="AE85" s="37">
        <v>0</v>
      </c>
      <c r="AF85" s="37">
        <v>20646.543269230777</v>
      </c>
      <c r="AG85" s="37">
        <v>0</v>
      </c>
      <c r="AH85" s="37">
        <v>5413.5850000000009</v>
      </c>
      <c r="AI85" s="37">
        <v>0</v>
      </c>
      <c r="AJ85" s="37">
        <v>20890.124999999996</v>
      </c>
      <c r="AK85" s="37">
        <v>0</v>
      </c>
      <c r="AL85" s="37">
        <v>14593.217592592582</v>
      </c>
      <c r="AM85" s="37">
        <v>0</v>
      </c>
      <c r="AN85" s="37">
        <v>12310.949519230775</v>
      </c>
      <c r="AO85" s="37">
        <v>0</v>
      </c>
      <c r="AP85" s="37">
        <v>614.30749999999887</v>
      </c>
      <c r="AQ85" s="37">
        <v>0</v>
      </c>
      <c r="AR85" s="37">
        <v>4959.4206730769192</v>
      </c>
      <c r="AS85" s="37">
        <v>0</v>
      </c>
      <c r="AT85" s="37">
        <v>8397.9519230769201</v>
      </c>
      <c r="AU85" s="37">
        <v>0</v>
      </c>
      <c r="AV85" s="37">
        <v>10323.593749999993</v>
      </c>
      <c r="AW85" s="37">
        <v>0</v>
      </c>
      <c r="AX85" s="37">
        <v>9826.2049999999963</v>
      </c>
      <c r="AY85" s="37">
        <v>0</v>
      </c>
      <c r="AZ85" s="37">
        <v>28571.579326923078</v>
      </c>
      <c r="BA85" s="37">
        <v>0</v>
      </c>
      <c r="BB85" s="37">
        <v>4258.125</v>
      </c>
      <c r="BC85" s="37">
        <v>0</v>
      </c>
      <c r="BD85" s="37">
        <v>21591.769230769245</v>
      </c>
      <c r="BE85" s="37">
        <v>0</v>
      </c>
      <c r="BF85" s="37">
        <v>6100.4150000000018</v>
      </c>
      <c r="BG85" s="37">
        <v>0</v>
      </c>
      <c r="BH85" s="37">
        <v>23126.329999999994</v>
      </c>
      <c r="BI85" s="37">
        <v>0</v>
      </c>
      <c r="BJ85" s="37">
        <v>15362.14120370371</v>
      </c>
      <c r="BK85" s="37">
        <v>0</v>
      </c>
      <c r="BL85" s="37">
        <v>10780.277500000004</v>
      </c>
      <c r="BM85" s="37">
        <v>0</v>
      </c>
      <c r="BN85" s="37">
        <v>2867.8966346153807</v>
      </c>
      <c r="BO85" s="37">
        <v>0</v>
      </c>
      <c r="BP85" s="37">
        <v>5219.5072115384628</v>
      </c>
      <c r="BQ85" s="37">
        <v>0</v>
      </c>
      <c r="BR85" s="37">
        <v>6093.5049999999901</v>
      </c>
      <c r="BS85" s="37">
        <v>0</v>
      </c>
      <c r="BT85" s="37">
        <v>12793.048611111104</v>
      </c>
      <c r="BU85" s="37">
        <v>0</v>
      </c>
      <c r="BV85" s="37">
        <v>10016.767500000002</v>
      </c>
      <c r="BW85" s="37">
        <v>0</v>
      </c>
    </row>
    <row r="86" spans="2:75">
      <c r="B86">
        <v>10259</v>
      </c>
      <c r="C86" t="s">
        <v>90</v>
      </c>
      <c r="D86" s="37">
        <v>3786.4120370370333</v>
      </c>
      <c r="E86" s="37">
        <v>0</v>
      </c>
      <c r="F86" s="37">
        <v>5100.3541666666661</v>
      </c>
      <c r="G86" s="37">
        <v>0</v>
      </c>
      <c r="H86" s="37">
        <v>9299.0288461538512</v>
      </c>
      <c r="I86" s="37">
        <v>0</v>
      </c>
      <c r="J86" s="37">
        <v>14759.081730769236</v>
      </c>
      <c r="K86" s="37">
        <v>0</v>
      </c>
      <c r="L86" s="37">
        <v>9354.4270833333303</v>
      </c>
      <c r="M86" s="37">
        <v>0</v>
      </c>
      <c r="N86" s="37">
        <v>7510.572115384608</v>
      </c>
      <c r="O86" s="37">
        <v>0</v>
      </c>
      <c r="P86" s="37">
        <v>8675.0192307692305</v>
      </c>
      <c r="Q86" s="37">
        <v>0</v>
      </c>
      <c r="R86" s="37">
        <v>3711.8000000000065</v>
      </c>
      <c r="S86" s="37">
        <v>0</v>
      </c>
      <c r="T86" s="37">
        <v>7674.0480769230735</v>
      </c>
      <c r="U86" s="37">
        <v>0</v>
      </c>
      <c r="V86" s="37">
        <v>9189.5048076923104</v>
      </c>
      <c r="W86" s="37">
        <v>0</v>
      </c>
      <c r="X86" s="37">
        <v>7904.0384615384628</v>
      </c>
      <c r="Y86" s="37">
        <v>0</v>
      </c>
      <c r="Z86" s="37">
        <v>3708.5500000000006</v>
      </c>
      <c r="AA86" s="37">
        <v>0</v>
      </c>
      <c r="AB86" s="37">
        <v>4194.8379629629662</v>
      </c>
      <c r="AC86" s="37">
        <v>0</v>
      </c>
      <c r="AD86" s="37">
        <v>5509.3906249999982</v>
      </c>
      <c r="AE86" s="37">
        <v>0</v>
      </c>
      <c r="AF86" s="37">
        <v>9714.2019230769183</v>
      </c>
      <c r="AG86" s="37">
        <v>0</v>
      </c>
      <c r="AH86" s="37">
        <v>15409.175000000008</v>
      </c>
      <c r="AI86" s="37">
        <v>0</v>
      </c>
      <c r="AJ86" s="37">
        <v>9771.7135416666679</v>
      </c>
      <c r="AK86" s="37">
        <v>0</v>
      </c>
      <c r="AL86" s="37">
        <v>7722.162037037041</v>
      </c>
      <c r="AM86" s="37">
        <v>0</v>
      </c>
      <c r="AN86" s="37">
        <v>9080.8749999999982</v>
      </c>
      <c r="AO86" s="37">
        <v>0</v>
      </c>
      <c r="AP86" s="37">
        <v>3788.4249999999993</v>
      </c>
      <c r="AQ86" s="37">
        <v>0</v>
      </c>
      <c r="AR86" s="37">
        <v>7741.8461538461561</v>
      </c>
      <c r="AS86" s="37">
        <v>0</v>
      </c>
      <c r="AT86" s="37">
        <v>9249.0432692307695</v>
      </c>
      <c r="AU86" s="37">
        <v>0</v>
      </c>
      <c r="AV86" s="37">
        <v>7968.0192307692296</v>
      </c>
      <c r="AW86" s="37">
        <v>0</v>
      </c>
      <c r="AX86" s="37">
        <v>3780.9499999999953</v>
      </c>
      <c r="AY86" s="37">
        <v>0</v>
      </c>
      <c r="AZ86" s="37">
        <v>4741.2836538461479</v>
      </c>
      <c r="BA86" s="37">
        <v>0</v>
      </c>
      <c r="BB86" s="37">
        <v>5701.800000000002</v>
      </c>
      <c r="BC86" s="37">
        <v>0</v>
      </c>
      <c r="BD86" s="37">
        <v>10118.004807692307</v>
      </c>
      <c r="BE86" s="37">
        <v>0</v>
      </c>
      <c r="BF86" s="37">
        <v>15812.450000000003</v>
      </c>
      <c r="BG86" s="37">
        <v>0</v>
      </c>
      <c r="BH86" s="37">
        <v>10360.575000000001</v>
      </c>
      <c r="BI86" s="37">
        <v>0</v>
      </c>
      <c r="BJ86" s="37">
        <v>8125.6111111111159</v>
      </c>
      <c r="BK86" s="37">
        <v>0</v>
      </c>
      <c r="BL86" s="37">
        <v>9665.9249999999938</v>
      </c>
      <c r="BM86" s="37">
        <v>0</v>
      </c>
      <c r="BN86" s="37">
        <v>3716.899038461544</v>
      </c>
      <c r="BO86" s="37">
        <v>0</v>
      </c>
      <c r="BP86" s="37">
        <v>7808.7259615384655</v>
      </c>
      <c r="BQ86" s="37">
        <v>0</v>
      </c>
      <c r="BR86" s="37">
        <v>9412.2499999999945</v>
      </c>
      <c r="BS86" s="37">
        <v>0</v>
      </c>
      <c r="BT86" s="37">
        <v>7905.2083333333303</v>
      </c>
      <c r="BU86" s="37">
        <v>0</v>
      </c>
      <c r="BV86" s="37">
        <v>3852.2249999999954</v>
      </c>
      <c r="BW86" s="37">
        <v>0</v>
      </c>
    </row>
    <row r="87" spans="2:75">
      <c r="B87">
        <v>10260</v>
      </c>
      <c r="C87" t="s">
        <v>91</v>
      </c>
      <c r="D87" s="37">
        <v>1349.886574074075</v>
      </c>
      <c r="E87" s="37">
        <v>0</v>
      </c>
      <c r="F87" s="37">
        <v>271.45052083333178</v>
      </c>
      <c r="G87" s="37">
        <v>0</v>
      </c>
      <c r="H87" s="37">
        <v>7698.5913461538439</v>
      </c>
      <c r="I87" s="37">
        <v>0</v>
      </c>
      <c r="J87" s="37">
        <v>5463.0865384615372</v>
      </c>
      <c r="K87" s="37">
        <v>0</v>
      </c>
      <c r="L87" s="37">
        <v>6256.9765624999982</v>
      </c>
      <c r="M87" s="37">
        <v>0</v>
      </c>
      <c r="N87" s="37">
        <v>2185.1658653846152</v>
      </c>
      <c r="O87" s="37">
        <v>0</v>
      </c>
      <c r="P87" s="37">
        <v>4779.0649038461534</v>
      </c>
      <c r="Q87" s="37">
        <v>0</v>
      </c>
      <c r="R87" s="37">
        <v>2497.5575000000003</v>
      </c>
      <c r="S87" s="37">
        <v>0</v>
      </c>
      <c r="T87" s="37">
        <v>8375.9350961538457</v>
      </c>
      <c r="U87" s="37">
        <v>0</v>
      </c>
      <c r="V87" s="37">
        <v>7911.2524038461543</v>
      </c>
      <c r="W87" s="37">
        <v>0</v>
      </c>
      <c r="X87" s="37">
        <v>8359.3461538461543</v>
      </c>
      <c r="Y87" s="37">
        <v>0</v>
      </c>
      <c r="Z87" s="37">
        <v>6069.5275000000056</v>
      </c>
      <c r="AA87" s="37">
        <v>0</v>
      </c>
      <c r="AB87" s="37">
        <v>1596.7384259259259</v>
      </c>
      <c r="AC87" s="37">
        <v>0</v>
      </c>
      <c r="AD87" s="37">
        <v>514.73697916666868</v>
      </c>
      <c r="AE87" s="37">
        <v>0</v>
      </c>
      <c r="AF87" s="37">
        <v>7949.9471153846207</v>
      </c>
      <c r="AG87" s="37">
        <v>0</v>
      </c>
      <c r="AH87" s="37">
        <v>4278.247500000004</v>
      </c>
      <c r="AI87" s="37">
        <v>0</v>
      </c>
      <c r="AJ87" s="37">
        <v>6506.5260416666661</v>
      </c>
      <c r="AK87" s="37">
        <v>0</v>
      </c>
      <c r="AL87" s="37">
        <v>3583.613425925922</v>
      </c>
      <c r="AM87" s="37">
        <v>0</v>
      </c>
      <c r="AN87" s="37">
        <v>5028.6538461538457</v>
      </c>
      <c r="AO87" s="37">
        <v>0</v>
      </c>
      <c r="AP87" s="37">
        <v>2738.4</v>
      </c>
      <c r="AQ87" s="37">
        <v>0</v>
      </c>
      <c r="AR87" s="37">
        <v>8621.038461538461</v>
      </c>
      <c r="AS87" s="37">
        <v>0</v>
      </c>
      <c r="AT87" s="37">
        <v>8155.3221153846189</v>
      </c>
      <c r="AU87" s="37">
        <v>0</v>
      </c>
      <c r="AV87" s="37">
        <v>8599.0168269230835</v>
      </c>
      <c r="AW87" s="37">
        <v>0</v>
      </c>
      <c r="AX87" s="37">
        <v>6315.3050000000012</v>
      </c>
      <c r="AY87" s="37">
        <v>0</v>
      </c>
      <c r="AZ87" s="37">
        <v>805.72596153845848</v>
      </c>
      <c r="BA87" s="37">
        <v>0</v>
      </c>
      <c r="BB87" s="37">
        <v>2031.8650000000016</v>
      </c>
      <c r="BC87" s="37">
        <v>0</v>
      </c>
      <c r="BD87" s="37">
        <v>8200.3100961538457</v>
      </c>
      <c r="BE87" s="37">
        <v>0</v>
      </c>
      <c r="BF87" s="37">
        <v>4522.6700000000037</v>
      </c>
      <c r="BG87" s="37">
        <v>0</v>
      </c>
      <c r="BH87" s="37">
        <v>7219.6575000000021</v>
      </c>
      <c r="BI87" s="37">
        <v>0</v>
      </c>
      <c r="BJ87" s="37">
        <v>3834.1111111111131</v>
      </c>
      <c r="BK87" s="37">
        <v>0</v>
      </c>
      <c r="BL87" s="37">
        <v>4179.2024999999967</v>
      </c>
      <c r="BM87" s="37">
        <v>0</v>
      </c>
      <c r="BN87" s="37">
        <v>3991.197115384613</v>
      </c>
      <c r="BO87" s="37">
        <v>0</v>
      </c>
      <c r="BP87" s="37">
        <v>8866.1418269230726</v>
      </c>
      <c r="BQ87" s="37">
        <v>0</v>
      </c>
      <c r="BR87" s="37">
        <v>7212.5325000000039</v>
      </c>
      <c r="BS87" s="37">
        <v>0</v>
      </c>
      <c r="BT87" s="37">
        <v>9973.2476851851898</v>
      </c>
      <c r="BU87" s="37">
        <v>0</v>
      </c>
      <c r="BV87" s="37">
        <v>6562.077500000004</v>
      </c>
      <c r="BW87" s="37">
        <v>0</v>
      </c>
    </row>
    <row r="88" spans="2:75">
      <c r="B88">
        <v>10273</v>
      </c>
      <c r="C88" t="s">
        <v>92</v>
      </c>
      <c r="D88" s="37">
        <v>2964.1689814814822</v>
      </c>
      <c r="E88" s="37">
        <v>0</v>
      </c>
      <c r="F88" s="37">
        <v>946.01822916666742</v>
      </c>
      <c r="G88" s="37">
        <v>0</v>
      </c>
      <c r="H88" s="37">
        <v>2633.6538461538462</v>
      </c>
      <c r="I88" s="37">
        <v>0</v>
      </c>
      <c r="J88" s="37">
        <v>2293.086538461539</v>
      </c>
      <c r="K88" s="37">
        <v>0</v>
      </c>
      <c r="L88" s="37">
        <v>1959.2239583333342</v>
      </c>
      <c r="M88" s="37">
        <v>0</v>
      </c>
      <c r="N88" s="37">
        <v>2318.2331730769229</v>
      </c>
      <c r="O88" s="37">
        <v>0</v>
      </c>
      <c r="P88" s="37">
        <v>1093.6225961538462</v>
      </c>
      <c r="Q88" s="37">
        <v>0</v>
      </c>
      <c r="R88" s="37">
        <v>1416.2424999999992</v>
      </c>
      <c r="S88" s="37">
        <v>0</v>
      </c>
      <c r="T88" s="37">
        <v>3316.8269230769233</v>
      </c>
      <c r="U88" s="37">
        <v>0</v>
      </c>
      <c r="V88" s="37">
        <v>2389.7884615384601</v>
      </c>
      <c r="W88" s="37">
        <v>0</v>
      </c>
      <c r="X88" s="37">
        <v>2741.6225961538471</v>
      </c>
      <c r="Y88" s="37">
        <v>0</v>
      </c>
      <c r="Z88" s="37">
        <v>4024.3374999999996</v>
      </c>
      <c r="AA88" s="37">
        <v>0</v>
      </c>
      <c r="AB88" s="37">
        <v>3059.1226851851857</v>
      </c>
      <c r="AC88" s="37">
        <v>0</v>
      </c>
      <c r="AD88" s="37">
        <v>1040.3645833333321</v>
      </c>
      <c r="AE88" s="37">
        <v>0</v>
      </c>
      <c r="AF88" s="37">
        <v>2729.7644230769233</v>
      </c>
      <c r="AG88" s="37">
        <v>0</v>
      </c>
      <c r="AH88" s="37">
        <v>2072.7075</v>
      </c>
      <c r="AI88" s="37">
        <v>0</v>
      </c>
      <c r="AJ88" s="37">
        <v>2054.541666666667</v>
      </c>
      <c r="AK88" s="37">
        <v>0</v>
      </c>
      <c r="AL88" s="37">
        <v>2638.3217592592596</v>
      </c>
      <c r="AM88" s="37">
        <v>0</v>
      </c>
      <c r="AN88" s="37">
        <v>1188.2908653846157</v>
      </c>
      <c r="AO88" s="37">
        <v>0</v>
      </c>
      <c r="AP88" s="37">
        <v>1508.5949999999998</v>
      </c>
      <c r="AQ88" s="37">
        <v>0</v>
      </c>
      <c r="AR88" s="37">
        <v>3411.7812499999995</v>
      </c>
      <c r="AS88" s="37">
        <v>0</v>
      </c>
      <c r="AT88" s="37">
        <v>2484.0841346153848</v>
      </c>
      <c r="AU88" s="37">
        <v>0</v>
      </c>
      <c r="AV88" s="37">
        <v>2834.4663461538439</v>
      </c>
      <c r="AW88" s="37">
        <v>0</v>
      </c>
      <c r="AX88" s="37">
        <v>4119.4299999999994</v>
      </c>
      <c r="AY88" s="37">
        <v>0</v>
      </c>
      <c r="AZ88" s="37">
        <v>2857.5048076923076</v>
      </c>
      <c r="BA88" s="37">
        <v>0</v>
      </c>
      <c r="BB88" s="37">
        <v>1404.6025000000002</v>
      </c>
      <c r="BC88" s="37">
        <v>0</v>
      </c>
      <c r="BD88" s="37">
        <v>2824.8725961538453</v>
      </c>
      <c r="BE88" s="37">
        <v>0</v>
      </c>
      <c r="BF88" s="37">
        <v>2167.2075</v>
      </c>
      <c r="BG88" s="37">
        <v>0</v>
      </c>
      <c r="BH88" s="37">
        <v>2120.5950000000007</v>
      </c>
      <c r="BI88" s="37">
        <v>0</v>
      </c>
      <c r="BJ88" s="37">
        <v>2734.8240740740753</v>
      </c>
      <c r="BK88" s="37">
        <v>0</v>
      </c>
      <c r="BL88" s="37">
        <v>1017.4374999999989</v>
      </c>
      <c r="BM88" s="37">
        <v>0</v>
      </c>
      <c r="BN88" s="37">
        <v>1933.21875</v>
      </c>
      <c r="BO88" s="37">
        <v>0</v>
      </c>
      <c r="BP88" s="37">
        <v>3506.7355769230762</v>
      </c>
      <c r="BQ88" s="37">
        <v>0</v>
      </c>
      <c r="BR88" s="37">
        <v>2079.3175000000019</v>
      </c>
      <c r="BS88" s="37">
        <v>0</v>
      </c>
      <c r="BT88" s="37">
        <v>3407.8495370370356</v>
      </c>
      <c r="BU88" s="37">
        <v>0</v>
      </c>
      <c r="BV88" s="37">
        <v>4214.5224999999991</v>
      </c>
      <c r="BW88" s="37">
        <v>0</v>
      </c>
    </row>
    <row r="89" spans="2:75">
      <c r="B89">
        <v>10278</v>
      </c>
      <c r="C89" t="s">
        <v>93</v>
      </c>
      <c r="D89" s="37">
        <v>0</v>
      </c>
      <c r="E89" s="37">
        <v>0</v>
      </c>
      <c r="F89" s="37">
        <v>0</v>
      </c>
      <c r="G89" s="37">
        <v>0</v>
      </c>
      <c r="H89" s="37">
        <v>0</v>
      </c>
      <c r="I89" s="37">
        <v>0</v>
      </c>
      <c r="J89" s="37">
        <v>0</v>
      </c>
      <c r="K89" s="37">
        <v>0</v>
      </c>
      <c r="L89" s="37">
        <v>0</v>
      </c>
      <c r="M89" s="37">
        <v>0</v>
      </c>
      <c r="N89" s="37">
        <v>0</v>
      </c>
      <c r="O89" s="37">
        <v>0</v>
      </c>
      <c r="P89" s="37">
        <v>0</v>
      </c>
      <c r="Q89" s="37">
        <v>0</v>
      </c>
      <c r="R89" s="37">
        <v>0</v>
      </c>
      <c r="S89" s="37">
        <v>0</v>
      </c>
      <c r="T89" s="37">
        <v>0</v>
      </c>
      <c r="U89" s="37">
        <v>0</v>
      </c>
      <c r="V89" s="37">
        <v>0</v>
      </c>
      <c r="W89" s="37">
        <v>0</v>
      </c>
      <c r="X89" s="37">
        <v>0</v>
      </c>
      <c r="Y89" s="37">
        <v>0</v>
      </c>
      <c r="Z89" s="37">
        <v>0</v>
      </c>
      <c r="AA89" s="37">
        <v>0</v>
      </c>
      <c r="AB89" s="37">
        <v>0</v>
      </c>
      <c r="AC89" s="37">
        <v>0</v>
      </c>
      <c r="AD89" s="37">
        <v>0</v>
      </c>
      <c r="AE89" s="37">
        <v>0</v>
      </c>
      <c r="AF89" s="37">
        <v>0</v>
      </c>
      <c r="AG89" s="37">
        <v>0</v>
      </c>
      <c r="AH89" s="37">
        <v>0</v>
      </c>
      <c r="AI89" s="37">
        <v>0</v>
      </c>
      <c r="AJ89" s="37">
        <v>0</v>
      </c>
      <c r="AK89" s="37">
        <v>0</v>
      </c>
      <c r="AL89" s="37">
        <v>0</v>
      </c>
      <c r="AM89" s="37">
        <v>0</v>
      </c>
      <c r="AN89" s="37">
        <v>0</v>
      </c>
      <c r="AO89" s="37">
        <v>0</v>
      </c>
      <c r="AP89" s="37">
        <v>0</v>
      </c>
      <c r="AQ89" s="37">
        <v>0</v>
      </c>
      <c r="AR89" s="37">
        <v>0</v>
      </c>
      <c r="AS89" s="37">
        <v>0</v>
      </c>
      <c r="AT89" s="37">
        <v>0</v>
      </c>
      <c r="AU89" s="37">
        <v>0</v>
      </c>
      <c r="AV89" s="37">
        <v>0</v>
      </c>
      <c r="AW89" s="37">
        <v>0</v>
      </c>
      <c r="AX89" s="37">
        <v>0</v>
      </c>
      <c r="AY89" s="37">
        <v>0</v>
      </c>
      <c r="AZ89" s="37">
        <v>0</v>
      </c>
      <c r="BA89" s="37">
        <v>0</v>
      </c>
      <c r="BB89" s="37">
        <v>0</v>
      </c>
      <c r="BC89" s="37">
        <v>0</v>
      </c>
      <c r="BD89" s="37">
        <v>0</v>
      </c>
      <c r="BE89" s="37">
        <v>0</v>
      </c>
      <c r="BF89" s="37">
        <v>0</v>
      </c>
      <c r="BG89" s="37">
        <v>0</v>
      </c>
      <c r="BH89" s="37">
        <v>0</v>
      </c>
      <c r="BI89" s="37">
        <v>0</v>
      </c>
      <c r="BJ89" s="37">
        <v>0</v>
      </c>
      <c r="BK89" s="37">
        <v>0</v>
      </c>
      <c r="BL89" s="37">
        <v>0</v>
      </c>
      <c r="BM89" s="37">
        <v>0</v>
      </c>
      <c r="BN89" s="37">
        <v>0</v>
      </c>
      <c r="BO89" s="37">
        <v>0</v>
      </c>
      <c r="BP89" s="37">
        <v>0</v>
      </c>
      <c r="BQ89" s="37">
        <v>0</v>
      </c>
      <c r="BR89" s="37">
        <v>0</v>
      </c>
      <c r="BS89" s="37">
        <v>0</v>
      </c>
      <c r="BT89" s="37">
        <v>0</v>
      </c>
      <c r="BU89" s="37">
        <v>0</v>
      </c>
      <c r="BV89" s="37">
        <v>0</v>
      </c>
      <c r="BW89" s="37">
        <v>0</v>
      </c>
    </row>
    <row r="90" spans="2:75">
      <c r="B90">
        <v>10279</v>
      </c>
      <c r="C90" t="s">
        <v>94</v>
      </c>
      <c r="D90" s="37">
        <v>8328.9583333333303</v>
      </c>
      <c r="E90" s="37">
        <v>0</v>
      </c>
      <c r="F90" s="37">
        <v>11694.223958333305</v>
      </c>
      <c r="G90" s="37">
        <v>0</v>
      </c>
      <c r="H90" s="37">
        <v>21290.673076923049</v>
      </c>
      <c r="I90" s="37">
        <v>0</v>
      </c>
      <c r="J90" s="37">
        <v>19361.838942307691</v>
      </c>
      <c r="K90" s="37">
        <v>0</v>
      </c>
      <c r="L90" s="37">
        <v>79431.523437499985</v>
      </c>
      <c r="M90" s="37">
        <v>0</v>
      </c>
      <c r="N90" s="37">
        <v>15379.661057692312</v>
      </c>
      <c r="O90" s="37">
        <v>0</v>
      </c>
      <c r="P90" s="37">
        <v>35114.127403846163</v>
      </c>
      <c r="Q90" s="37">
        <v>0</v>
      </c>
      <c r="R90" s="37">
        <v>3354.2549999999983</v>
      </c>
      <c r="S90" s="37">
        <v>0</v>
      </c>
      <c r="T90" s="37">
        <v>7933.9374999999918</v>
      </c>
      <c r="U90" s="37">
        <v>0</v>
      </c>
      <c r="V90" s="37">
        <v>8173.0528846153375</v>
      </c>
      <c r="W90" s="37">
        <v>0</v>
      </c>
      <c r="X90" s="37">
        <v>11478.331730769258</v>
      </c>
      <c r="Y90" s="37">
        <v>0</v>
      </c>
      <c r="Z90" s="37">
        <v>14916.550000000023</v>
      </c>
      <c r="AA90" s="37">
        <v>0</v>
      </c>
      <c r="AB90" s="37">
        <v>9007.3495370369856</v>
      </c>
      <c r="AC90" s="37">
        <v>0</v>
      </c>
      <c r="AD90" s="37">
        <v>12600.333333333348</v>
      </c>
      <c r="AE90" s="37">
        <v>0</v>
      </c>
      <c r="AF90" s="37">
        <v>22312.997596153869</v>
      </c>
      <c r="AG90" s="37">
        <v>0</v>
      </c>
      <c r="AH90" s="37">
        <v>20869.462500000005</v>
      </c>
      <c r="AI90" s="37">
        <v>0</v>
      </c>
      <c r="AJ90" s="37">
        <v>89635.536458333358</v>
      </c>
      <c r="AK90" s="37">
        <v>0</v>
      </c>
      <c r="AL90" s="37">
        <v>17223.611111111117</v>
      </c>
      <c r="AM90" s="37">
        <v>0</v>
      </c>
      <c r="AN90" s="37">
        <v>36801.754807692298</v>
      </c>
      <c r="AO90" s="37">
        <v>0</v>
      </c>
      <c r="AP90" s="37">
        <v>3608.0549999999826</v>
      </c>
      <c r="AQ90" s="37">
        <v>0</v>
      </c>
      <c r="AR90" s="37">
        <v>8267.3149038461343</v>
      </c>
      <c r="AS90" s="37">
        <v>0</v>
      </c>
      <c r="AT90" s="37">
        <v>8542.0240384615408</v>
      </c>
      <c r="AU90" s="37">
        <v>0</v>
      </c>
      <c r="AV90" s="37">
        <v>11876.17548076925</v>
      </c>
      <c r="AW90" s="37">
        <v>0</v>
      </c>
      <c r="AX90" s="37">
        <v>15297.617500000008</v>
      </c>
      <c r="AY90" s="37">
        <v>0</v>
      </c>
      <c r="AZ90" s="37">
        <v>9708.519230769225</v>
      </c>
      <c r="BA90" s="37">
        <v>0</v>
      </c>
      <c r="BB90" s="37">
        <v>12466.727499999943</v>
      </c>
      <c r="BC90" s="37">
        <v>0</v>
      </c>
      <c r="BD90" s="37">
        <v>22616.12499999996</v>
      </c>
      <c r="BE90" s="37">
        <v>0</v>
      </c>
      <c r="BF90" s="37">
        <v>21222.970000000012</v>
      </c>
      <c r="BG90" s="37">
        <v>0</v>
      </c>
      <c r="BH90" s="37">
        <v>89892.772499999977</v>
      </c>
      <c r="BI90" s="37">
        <v>0</v>
      </c>
      <c r="BJ90" s="37">
        <v>17544.650462962971</v>
      </c>
      <c r="BK90" s="37">
        <v>0</v>
      </c>
      <c r="BL90" s="37">
        <v>35402.552499999976</v>
      </c>
      <c r="BM90" s="37">
        <v>0</v>
      </c>
      <c r="BN90" s="37">
        <v>3507.911057692329</v>
      </c>
      <c r="BO90" s="37">
        <v>0</v>
      </c>
      <c r="BP90" s="37">
        <v>8653.247596153853</v>
      </c>
      <c r="BQ90" s="37">
        <v>0</v>
      </c>
      <c r="BR90" s="37">
        <v>9145.3249999999643</v>
      </c>
      <c r="BS90" s="37">
        <v>0</v>
      </c>
      <c r="BT90" s="37">
        <v>12026.567129629599</v>
      </c>
      <c r="BU90" s="37">
        <v>0</v>
      </c>
      <c r="BV90" s="37">
        <v>15725.8675</v>
      </c>
      <c r="BW90" s="37">
        <v>0</v>
      </c>
    </row>
    <row r="91" spans="2:75">
      <c r="B91">
        <v>10284</v>
      </c>
      <c r="C91" t="s">
        <v>95</v>
      </c>
      <c r="D91" s="37">
        <v>1118.1296296296307</v>
      </c>
      <c r="E91" s="37">
        <v>0</v>
      </c>
      <c r="F91" s="37">
        <v>736.40885416666538</v>
      </c>
      <c r="G91" s="37">
        <v>0</v>
      </c>
      <c r="H91" s="37">
        <v>2610.8076923076942</v>
      </c>
      <c r="I91" s="37">
        <v>0</v>
      </c>
      <c r="J91" s="37">
        <v>3326.9711538461538</v>
      </c>
      <c r="K91" s="37">
        <v>0</v>
      </c>
      <c r="L91" s="37">
        <v>1225.1484375000007</v>
      </c>
      <c r="M91" s="37">
        <v>0</v>
      </c>
      <c r="N91" s="37">
        <v>1848.2908653846132</v>
      </c>
      <c r="O91" s="37">
        <v>0</v>
      </c>
      <c r="P91" s="37">
        <v>1708.834134615385</v>
      </c>
      <c r="Q91" s="37">
        <v>0</v>
      </c>
      <c r="R91" s="37">
        <v>0</v>
      </c>
      <c r="S91" s="37">
        <v>0</v>
      </c>
      <c r="T91" s="37">
        <v>2083.5937499999991</v>
      </c>
      <c r="U91" s="37">
        <v>0</v>
      </c>
      <c r="V91" s="37">
        <v>1930.2259615384596</v>
      </c>
      <c r="W91" s="37">
        <v>0</v>
      </c>
      <c r="X91" s="37">
        <v>2794.1346153846157</v>
      </c>
      <c r="Y91" s="37">
        <v>0</v>
      </c>
      <c r="Z91" s="37">
        <v>665.16750000000127</v>
      </c>
      <c r="AA91" s="37">
        <v>0</v>
      </c>
      <c r="AB91" s="37">
        <v>1204.3425925925933</v>
      </c>
      <c r="AC91" s="37">
        <v>0</v>
      </c>
      <c r="AD91" s="37">
        <v>805.77083333333371</v>
      </c>
      <c r="AE91" s="37">
        <v>0</v>
      </c>
      <c r="AF91" s="37">
        <v>2670.0384615384596</v>
      </c>
      <c r="AG91" s="37">
        <v>0</v>
      </c>
      <c r="AH91" s="37">
        <v>3499.4099999999994</v>
      </c>
      <c r="AI91" s="37">
        <v>0</v>
      </c>
      <c r="AJ91" s="37">
        <v>1292.6848958333314</v>
      </c>
      <c r="AK91" s="37">
        <v>0</v>
      </c>
      <c r="AL91" s="37">
        <v>1835.1759259259265</v>
      </c>
      <c r="AM91" s="37">
        <v>0</v>
      </c>
      <c r="AN91" s="37">
        <v>1791.1346153846139</v>
      </c>
      <c r="AO91" s="37">
        <v>0</v>
      </c>
      <c r="AP91" s="37">
        <v>0</v>
      </c>
      <c r="AQ91" s="37">
        <v>0</v>
      </c>
      <c r="AR91" s="37">
        <v>2144.0649038461543</v>
      </c>
      <c r="AS91" s="37">
        <v>0</v>
      </c>
      <c r="AT91" s="37">
        <v>1986.7956730769229</v>
      </c>
      <c r="AU91" s="37">
        <v>0</v>
      </c>
      <c r="AV91" s="37">
        <v>2857.42548076923</v>
      </c>
      <c r="AW91" s="37">
        <v>0</v>
      </c>
      <c r="AX91" s="37">
        <v>727.67250000000104</v>
      </c>
      <c r="AY91" s="37">
        <v>0</v>
      </c>
      <c r="AZ91" s="37">
        <v>1354.3149038461547</v>
      </c>
      <c r="BA91" s="37">
        <v>0</v>
      </c>
      <c r="BB91" s="37">
        <v>784.94749999999942</v>
      </c>
      <c r="BC91" s="37">
        <v>0</v>
      </c>
      <c r="BD91" s="37">
        <v>2728.6971153846189</v>
      </c>
      <c r="BE91" s="37">
        <v>0</v>
      </c>
      <c r="BF91" s="37">
        <v>3565.9150000000022</v>
      </c>
      <c r="BG91" s="37">
        <v>0</v>
      </c>
      <c r="BH91" s="37">
        <v>1249.7300000000023</v>
      </c>
      <c r="BI91" s="37">
        <v>0</v>
      </c>
      <c r="BJ91" s="37">
        <v>1907.8333333333335</v>
      </c>
      <c r="BK91" s="37">
        <v>0</v>
      </c>
      <c r="BL91" s="37">
        <v>1951.5250000000001</v>
      </c>
      <c r="BM91" s="37">
        <v>0</v>
      </c>
      <c r="BN91" s="37">
        <v>0</v>
      </c>
      <c r="BO91" s="37">
        <v>0</v>
      </c>
      <c r="BP91" s="37">
        <v>2201.9134615384623</v>
      </c>
      <c r="BQ91" s="37">
        <v>0</v>
      </c>
      <c r="BR91" s="37">
        <v>2083.2624999999998</v>
      </c>
      <c r="BS91" s="37">
        <v>0</v>
      </c>
      <c r="BT91" s="37">
        <v>2881.6481481481464</v>
      </c>
      <c r="BU91" s="37">
        <v>0</v>
      </c>
      <c r="BV91" s="37">
        <v>788.53499999999997</v>
      </c>
      <c r="BW91" s="37">
        <v>0</v>
      </c>
    </row>
    <row r="92" spans="2:75">
      <c r="B92">
        <v>10285</v>
      </c>
      <c r="C92" t="s">
        <v>96</v>
      </c>
      <c r="D92" s="37">
        <v>0</v>
      </c>
      <c r="E92" s="37">
        <v>0</v>
      </c>
      <c r="F92" s="37">
        <v>0</v>
      </c>
      <c r="G92" s="37">
        <v>0</v>
      </c>
      <c r="H92" s="37">
        <v>0</v>
      </c>
      <c r="I92" s="37">
        <v>0</v>
      </c>
      <c r="J92" s="37">
        <v>0</v>
      </c>
      <c r="K92" s="37">
        <v>0</v>
      </c>
      <c r="L92" s="37">
        <v>0</v>
      </c>
      <c r="M92" s="37">
        <v>0</v>
      </c>
      <c r="N92" s="37">
        <v>0</v>
      </c>
      <c r="O92" s="37">
        <v>0</v>
      </c>
      <c r="P92" s="37">
        <v>0</v>
      </c>
      <c r="Q92" s="37">
        <v>0</v>
      </c>
      <c r="R92" s="37">
        <v>0</v>
      </c>
      <c r="S92" s="37">
        <v>0</v>
      </c>
      <c r="T92" s="37">
        <v>0</v>
      </c>
      <c r="U92" s="37">
        <v>0</v>
      </c>
      <c r="V92" s="37">
        <v>0</v>
      </c>
      <c r="W92" s="37">
        <v>0</v>
      </c>
      <c r="X92" s="37">
        <v>0</v>
      </c>
      <c r="Y92" s="37">
        <v>0</v>
      </c>
      <c r="Z92" s="37">
        <v>0</v>
      </c>
      <c r="AA92" s="37">
        <v>0</v>
      </c>
      <c r="AB92" s="37">
        <v>0</v>
      </c>
      <c r="AC92" s="37">
        <v>0</v>
      </c>
      <c r="AD92" s="37">
        <v>0</v>
      </c>
      <c r="AE92" s="37">
        <v>0</v>
      </c>
      <c r="AF92" s="37">
        <v>0</v>
      </c>
      <c r="AG92" s="37">
        <v>0</v>
      </c>
      <c r="AH92" s="37">
        <v>0</v>
      </c>
      <c r="AI92" s="37">
        <v>0</v>
      </c>
      <c r="AJ92" s="37">
        <v>0</v>
      </c>
      <c r="AK92" s="37">
        <v>0</v>
      </c>
      <c r="AL92" s="37">
        <v>0</v>
      </c>
      <c r="AM92" s="37">
        <v>0</v>
      </c>
      <c r="AN92" s="37">
        <v>0</v>
      </c>
      <c r="AO92" s="37">
        <v>0</v>
      </c>
      <c r="AP92" s="37">
        <v>0</v>
      </c>
      <c r="AQ92" s="37">
        <v>0</v>
      </c>
      <c r="AR92" s="37">
        <v>0</v>
      </c>
      <c r="AS92" s="37">
        <v>0</v>
      </c>
      <c r="AT92" s="37">
        <v>0</v>
      </c>
      <c r="AU92" s="37">
        <v>0</v>
      </c>
      <c r="AV92" s="37">
        <v>0</v>
      </c>
      <c r="AW92" s="37">
        <v>0</v>
      </c>
      <c r="AX92" s="37">
        <v>0</v>
      </c>
      <c r="AY92" s="37">
        <v>0</v>
      </c>
      <c r="AZ92" s="37">
        <v>0</v>
      </c>
      <c r="BA92" s="37">
        <v>0</v>
      </c>
      <c r="BB92" s="37">
        <v>0</v>
      </c>
      <c r="BC92" s="37">
        <v>0</v>
      </c>
      <c r="BD92" s="37">
        <v>0</v>
      </c>
      <c r="BE92" s="37">
        <v>0</v>
      </c>
      <c r="BF92" s="37">
        <v>0</v>
      </c>
      <c r="BG92" s="37">
        <v>0</v>
      </c>
      <c r="BH92" s="37">
        <v>0</v>
      </c>
      <c r="BI92" s="37">
        <v>0</v>
      </c>
      <c r="BJ92" s="37">
        <v>0</v>
      </c>
      <c r="BK92" s="37">
        <v>0</v>
      </c>
      <c r="BL92" s="37">
        <v>0</v>
      </c>
      <c r="BM92" s="37">
        <v>0</v>
      </c>
      <c r="BN92" s="37">
        <v>0</v>
      </c>
      <c r="BO92" s="37">
        <v>0</v>
      </c>
      <c r="BP92" s="37">
        <v>0</v>
      </c>
      <c r="BQ92" s="37">
        <v>0</v>
      </c>
      <c r="BR92" s="37">
        <v>0</v>
      </c>
      <c r="BS92" s="37">
        <v>0</v>
      </c>
      <c r="BT92" s="37">
        <v>0</v>
      </c>
      <c r="BU92" s="37">
        <v>0</v>
      </c>
      <c r="BV92" s="37">
        <v>0</v>
      </c>
      <c r="BW92" s="37">
        <v>0</v>
      </c>
    </row>
    <row r="93" spans="2:75">
      <c r="B93">
        <v>10286</v>
      </c>
      <c r="C93" t="s">
        <v>97</v>
      </c>
      <c r="D93" s="37">
        <v>0</v>
      </c>
      <c r="E93" s="37">
        <v>0</v>
      </c>
      <c r="F93" s="37">
        <v>0</v>
      </c>
      <c r="G93" s="37">
        <v>0</v>
      </c>
      <c r="H93" s="37">
        <v>0</v>
      </c>
      <c r="I93" s="37">
        <v>0</v>
      </c>
      <c r="J93" s="37">
        <v>0</v>
      </c>
      <c r="K93" s="37">
        <v>0</v>
      </c>
      <c r="L93" s="37">
        <v>0</v>
      </c>
      <c r="M93" s="37">
        <v>0</v>
      </c>
      <c r="N93" s="37">
        <v>0</v>
      </c>
      <c r="O93" s="37">
        <v>0</v>
      </c>
      <c r="P93" s="37">
        <v>0</v>
      </c>
      <c r="Q93" s="37">
        <v>0</v>
      </c>
      <c r="R93" s="37">
        <v>0</v>
      </c>
      <c r="S93" s="37">
        <v>0</v>
      </c>
      <c r="T93" s="37">
        <v>0</v>
      </c>
      <c r="U93" s="37">
        <v>0</v>
      </c>
      <c r="V93" s="37">
        <v>0</v>
      </c>
      <c r="W93" s="37">
        <v>0</v>
      </c>
      <c r="X93" s="37">
        <v>0</v>
      </c>
      <c r="Y93" s="37">
        <v>0</v>
      </c>
      <c r="Z93" s="37">
        <v>0</v>
      </c>
      <c r="AA93" s="37">
        <v>0</v>
      </c>
      <c r="AB93" s="37">
        <v>0</v>
      </c>
      <c r="AC93" s="37">
        <v>0</v>
      </c>
      <c r="AD93" s="37">
        <v>0</v>
      </c>
      <c r="AE93" s="37">
        <v>0</v>
      </c>
      <c r="AF93" s="37">
        <v>0</v>
      </c>
      <c r="AG93" s="37">
        <v>0</v>
      </c>
      <c r="AH93" s="37">
        <v>0</v>
      </c>
      <c r="AI93" s="37">
        <v>0</v>
      </c>
      <c r="AJ93" s="37">
        <v>0</v>
      </c>
      <c r="AK93" s="37">
        <v>0</v>
      </c>
      <c r="AL93" s="37">
        <v>0</v>
      </c>
      <c r="AM93" s="37">
        <v>0</v>
      </c>
      <c r="AN93" s="37">
        <v>0</v>
      </c>
      <c r="AO93" s="37">
        <v>0</v>
      </c>
      <c r="AP93" s="37">
        <v>0</v>
      </c>
      <c r="AQ93" s="37">
        <v>0</v>
      </c>
      <c r="AR93" s="37">
        <v>0</v>
      </c>
      <c r="AS93" s="37">
        <v>0</v>
      </c>
      <c r="AT93" s="37">
        <v>0</v>
      </c>
      <c r="AU93" s="37">
        <v>0</v>
      </c>
      <c r="AV93" s="37">
        <v>0</v>
      </c>
      <c r="AW93" s="37">
        <v>0</v>
      </c>
      <c r="AX93" s="37">
        <v>0</v>
      </c>
      <c r="AY93" s="37">
        <v>0</v>
      </c>
      <c r="AZ93" s="37">
        <v>0</v>
      </c>
      <c r="BA93" s="37">
        <v>0</v>
      </c>
      <c r="BB93" s="37">
        <v>0</v>
      </c>
      <c r="BC93" s="37">
        <v>0</v>
      </c>
      <c r="BD93" s="37">
        <v>0</v>
      </c>
      <c r="BE93" s="37">
        <v>0</v>
      </c>
      <c r="BF93" s="37">
        <v>0</v>
      </c>
      <c r="BG93" s="37">
        <v>0</v>
      </c>
      <c r="BH93" s="37">
        <v>0</v>
      </c>
      <c r="BI93" s="37">
        <v>0</v>
      </c>
      <c r="BJ93" s="37">
        <v>0</v>
      </c>
      <c r="BK93" s="37">
        <v>0</v>
      </c>
      <c r="BL93" s="37">
        <v>0</v>
      </c>
      <c r="BM93" s="37">
        <v>0</v>
      </c>
      <c r="BN93" s="37">
        <v>0</v>
      </c>
      <c r="BO93" s="37">
        <v>0</v>
      </c>
      <c r="BP93" s="37">
        <v>0</v>
      </c>
      <c r="BQ93" s="37">
        <v>0</v>
      </c>
      <c r="BR93" s="37">
        <v>0</v>
      </c>
      <c r="BS93" s="37">
        <v>0</v>
      </c>
      <c r="BT93" s="37">
        <v>0</v>
      </c>
      <c r="BU93" s="37">
        <v>0</v>
      </c>
      <c r="BV93" s="37">
        <v>0</v>
      </c>
      <c r="BW93" s="37">
        <v>0</v>
      </c>
    </row>
    <row r="94" spans="2:75">
      <c r="B94">
        <v>10288</v>
      </c>
      <c r="C94" t="s">
        <v>98</v>
      </c>
      <c r="D94" s="37">
        <v>0</v>
      </c>
      <c r="E94" s="37">
        <v>0</v>
      </c>
      <c r="F94" s="37">
        <v>0</v>
      </c>
      <c r="G94" s="37">
        <v>0</v>
      </c>
      <c r="H94" s="37">
        <v>0</v>
      </c>
      <c r="I94" s="37">
        <v>0</v>
      </c>
      <c r="J94" s="37">
        <v>0</v>
      </c>
      <c r="K94" s="37">
        <v>0</v>
      </c>
      <c r="L94" s="37">
        <v>0</v>
      </c>
      <c r="M94" s="37">
        <v>0</v>
      </c>
      <c r="N94" s="37">
        <v>0</v>
      </c>
      <c r="O94" s="37">
        <v>0</v>
      </c>
      <c r="P94" s="37">
        <v>0</v>
      </c>
      <c r="Q94" s="37">
        <v>0</v>
      </c>
      <c r="R94" s="37">
        <v>0</v>
      </c>
      <c r="S94" s="37">
        <v>0</v>
      </c>
      <c r="T94" s="37">
        <v>0</v>
      </c>
      <c r="U94" s="37">
        <v>0</v>
      </c>
      <c r="V94" s="37">
        <v>0</v>
      </c>
      <c r="W94" s="37">
        <v>0</v>
      </c>
      <c r="X94" s="37">
        <v>0</v>
      </c>
      <c r="Y94" s="37">
        <v>0</v>
      </c>
      <c r="Z94" s="37">
        <v>0</v>
      </c>
      <c r="AA94" s="37">
        <v>0</v>
      </c>
      <c r="AB94" s="37">
        <v>0</v>
      </c>
      <c r="AC94" s="37">
        <v>0</v>
      </c>
      <c r="AD94" s="37">
        <v>0</v>
      </c>
      <c r="AE94" s="37">
        <v>0</v>
      </c>
      <c r="AF94" s="37">
        <v>0</v>
      </c>
      <c r="AG94" s="37">
        <v>0</v>
      </c>
      <c r="AH94" s="37">
        <v>0</v>
      </c>
      <c r="AI94" s="37">
        <v>0</v>
      </c>
      <c r="AJ94" s="37">
        <v>0</v>
      </c>
      <c r="AK94" s="37">
        <v>0</v>
      </c>
      <c r="AL94" s="37">
        <v>0</v>
      </c>
      <c r="AM94" s="37">
        <v>0</v>
      </c>
      <c r="AN94" s="37">
        <v>0</v>
      </c>
      <c r="AO94" s="37">
        <v>0</v>
      </c>
      <c r="AP94" s="37">
        <v>0</v>
      </c>
      <c r="AQ94" s="37">
        <v>0</v>
      </c>
      <c r="AR94" s="37">
        <v>0</v>
      </c>
      <c r="AS94" s="37">
        <v>0</v>
      </c>
      <c r="AT94" s="37">
        <v>0</v>
      </c>
      <c r="AU94" s="37">
        <v>0</v>
      </c>
      <c r="AV94" s="37">
        <v>0</v>
      </c>
      <c r="AW94" s="37">
        <v>0</v>
      </c>
      <c r="AX94" s="37">
        <v>0</v>
      </c>
      <c r="AY94" s="37">
        <v>0</v>
      </c>
      <c r="AZ94" s="37">
        <v>0</v>
      </c>
      <c r="BA94" s="37">
        <v>0</v>
      </c>
      <c r="BB94" s="37">
        <v>0</v>
      </c>
      <c r="BC94" s="37">
        <v>0</v>
      </c>
      <c r="BD94" s="37">
        <v>0</v>
      </c>
      <c r="BE94" s="37">
        <v>0</v>
      </c>
      <c r="BF94" s="37">
        <v>0</v>
      </c>
      <c r="BG94" s="37">
        <v>0</v>
      </c>
      <c r="BH94" s="37">
        <v>0</v>
      </c>
      <c r="BI94" s="37">
        <v>0</v>
      </c>
      <c r="BJ94" s="37">
        <v>0</v>
      </c>
      <c r="BK94" s="37">
        <v>0</v>
      </c>
      <c r="BL94" s="37">
        <v>0</v>
      </c>
      <c r="BM94" s="37">
        <v>0</v>
      </c>
      <c r="BN94" s="37">
        <v>0</v>
      </c>
      <c r="BO94" s="37">
        <v>0</v>
      </c>
      <c r="BP94" s="37">
        <v>0</v>
      </c>
      <c r="BQ94" s="37">
        <v>0</v>
      </c>
      <c r="BR94" s="37">
        <v>0</v>
      </c>
      <c r="BS94" s="37">
        <v>0</v>
      </c>
      <c r="BT94" s="37">
        <v>0</v>
      </c>
      <c r="BU94" s="37">
        <v>0</v>
      </c>
      <c r="BV94" s="37">
        <v>0</v>
      </c>
      <c r="BW94" s="37">
        <v>0</v>
      </c>
    </row>
    <row r="95" spans="2:75">
      <c r="B95">
        <v>10291</v>
      </c>
      <c r="C95" t="s">
        <v>99</v>
      </c>
      <c r="D95" s="37">
        <v>15417.569444444445</v>
      </c>
      <c r="E95" s="37">
        <v>0</v>
      </c>
      <c r="F95" s="37">
        <v>2935.0572916666524</v>
      </c>
      <c r="G95" s="37">
        <v>0</v>
      </c>
      <c r="H95" s="37">
        <v>8951.0913461538457</v>
      </c>
      <c r="I95" s="37">
        <v>0</v>
      </c>
      <c r="J95" s="37">
        <v>33297.836538461539</v>
      </c>
      <c r="K95" s="37">
        <v>0</v>
      </c>
      <c r="L95" s="37">
        <v>10701.265624999984</v>
      </c>
      <c r="M95" s="37">
        <v>0</v>
      </c>
      <c r="N95" s="37">
        <v>13612.639423076927</v>
      </c>
      <c r="O95" s="37">
        <v>0</v>
      </c>
      <c r="P95" s="37">
        <v>14147.076923076927</v>
      </c>
      <c r="Q95" s="37">
        <v>0</v>
      </c>
      <c r="R95" s="37">
        <v>8780.7250000000022</v>
      </c>
      <c r="S95" s="37">
        <v>0</v>
      </c>
      <c r="T95" s="37">
        <v>13351.177884615367</v>
      </c>
      <c r="U95" s="37">
        <v>0</v>
      </c>
      <c r="V95" s="37">
        <v>12482.54326923078</v>
      </c>
      <c r="W95" s="37">
        <v>0</v>
      </c>
      <c r="X95" s="37">
        <v>24046.173076923067</v>
      </c>
      <c r="Y95" s="37">
        <v>0</v>
      </c>
      <c r="Z95" s="37">
        <v>21675.3</v>
      </c>
      <c r="AA95" s="37">
        <v>0</v>
      </c>
      <c r="AB95" s="37">
        <v>16822.041666666672</v>
      </c>
      <c r="AC95" s="37">
        <v>0</v>
      </c>
      <c r="AD95" s="37">
        <v>4403.9166666666461</v>
      </c>
      <c r="AE95" s="37">
        <v>0</v>
      </c>
      <c r="AF95" s="37">
        <v>10475.716346153831</v>
      </c>
      <c r="AG95" s="37">
        <v>0</v>
      </c>
      <c r="AH95" s="37">
        <v>35073.724999999999</v>
      </c>
      <c r="AI95" s="37">
        <v>0</v>
      </c>
      <c r="AJ95" s="37">
        <v>12280.661458333319</v>
      </c>
      <c r="AK95" s="37">
        <v>0</v>
      </c>
      <c r="AL95" s="37">
        <v>15206.750000000015</v>
      </c>
      <c r="AM95" s="37">
        <v>0</v>
      </c>
      <c r="AN95" s="37">
        <v>15497.264423076931</v>
      </c>
      <c r="AO95" s="37">
        <v>0</v>
      </c>
      <c r="AP95" s="37">
        <v>9980.2749999999905</v>
      </c>
      <c r="AQ95" s="37">
        <v>0</v>
      </c>
      <c r="AR95" s="37">
        <v>14780.586538461534</v>
      </c>
      <c r="AS95" s="37">
        <v>0</v>
      </c>
      <c r="AT95" s="37">
        <v>14033.057692307699</v>
      </c>
      <c r="AU95" s="37">
        <v>0</v>
      </c>
      <c r="AV95" s="37">
        <v>25656.259615384599</v>
      </c>
      <c r="AW95" s="37">
        <v>0</v>
      </c>
      <c r="AX95" s="37">
        <v>23014.699999999997</v>
      </c>
      <c r="AY95" s="37">
        <v>0</v>
      </c>
      <c r="AZ95" s="37">
        <v>18020.139423076918</v>
      </c>
      <c r="BA95" s="37">
        <v>0</v>
      </c>
      <c r="BB95" s="37">
        <v>6077.9249999999938</v>
      </c>
      <c r="BC95" s="37">
        <v>0</v>
      </c>
      <c r="BD95" s="37">
        <v>12037.490384615396</v>
      </c>
      <c r="BE95" s="37">
        <v>0</v>
      </c>
      <c r="BF95" s="37">
        <v>37033.825000000004</v>
      </c>
      <c r="BG95" s="37">
        <v>0</v>
      </c>
      <c r="BH95" s="37">
        <v>14235.049999999979</v>
      </c>
      <c r="BI95" s="37">
        <v>0</v>
      </c>
      <c r="BJ95" s="37">
        <v>16710.597222222234</v>
      </c>
      <c r="BK95" s="37">
        <v>0</v>
      </c>
      <c r="BL95" s="37">
        <v>16711.175000000014</v>
      </c>
      <c r="BM95" s="37">
        <v>0</v>
      </c>
      <c r="BN95" s="37">
        <v>11426.13461538461</v>
      </c>
      <c r="BO95" s="37">
        <v>0</v>
      </c>
      <c r="BP95" s="37">
        <v>16245.466346153848</v>
      </c>
      <c r="BQ95" s="37">
        <v>0</v>
      </c>
      <c r="BR95" s="37">
        <v>15330.300000000014</v>
      </c>
      <c r="BS95" s="37">
        <v>0</v>
      </c>
      <c r="BT95" s="37">
        <v>27575.879629629624</v>
      </c>
      <c r="BU95" s="37">
        <v>0</v>
      </c>
      <c r="BV95" s="37">
        <v>24386.150000000009</v>
      </c>
      <c r="BW95" s="37">
        <v>0</v>
      </c>
    </row>
    <row r="96" spans="2:75">
      <c r="B96">
        <v>10294</v>
      </c>
      <c r="C96" t="s">
        <v>100</v>
      </c>
      <c r="D96" s="37">
        <v>7880.4768518518458</v>
      </c>
      <c r="E96" s="37">
        <v>0</v>
      </c>
      <c r="F96" s="37">
        <v>3224.8177083333439</v>
      </c>
      <c r="G96" s="37">
        <v>0</v>
      </c>
      <c r="H96" s="37">
        <v>7495.3653846153829</v>
      </c>
      <c r="I96" s="37">
        <v>0</v>
      </c>
      <c r="J96" s="37">
        <v>18411.692307692309</v>
      </c>
      <c r="K96" s="37">
        <v>0</v>
      </c>
      <c r="L96" s="37">
        <v>4676.010416666667</v>
      </c>
      <c r="M96" s="37">
        <v>0</v>
      </c>
      <c r="N96" s="37">
        <v>13726.586538461541</v>
      </c>
      <c r="O96" s="37">
        <v>0</v>
      </c>
      <c r="P96" s="37">
        <v>10159.528846153846</v>
      </c>
      <c r="Q96" s="37">
        <v>0</v>
      </c>
      <c r="R96" s="37">
        <v>5845.5749999999953</v>
      </c>
      <c r="S96" s="37">
        <v>0</v>
      </c>
      <c r="T96" s="37">
        <v>4061.9182692307677</v>
      </c>
      <c r="U96" s="37">
        <v>0</v>
      </c>
      <c r="V96" s="37">
        <v>3425.6153846153829</v>
      </c>
      <c r="W96" s="37">
        <v>0</v>
      </c>
      <c r="X96" s="37">
        <v>5142.4326923076896</v>
      </c>
      <c r="Y96" s="37">
        <v>0</v>
      </c>
      <c r="Z96" s="37">
        <v>6085.2000000000025</v>
      </c>
      <c r="AA96" s="37">
        <v>0</v>
      </c>
      <c r="AB96" s="37">
        <v>7632.652777777771</v>
      </c>
      <c r="AC96" s="37">
        <v>0</v>
      </c>
      <c r="AD96" s="37">
        <v>2868.0729166666729</v>
      </c>
      <c r="AE96" s="37">
        <v>0</v>
      </c>
      <c r="AF96" s="37">
        <v>7090.0769230769283</v>
      </c>
      <c r="AG96" s="37">
        <v>0</v>
      </c>
      <c r="AH96" s="37">
        <v>15874.475</v>
      </c>
      <c r="AI96" s="37">
        <v>0</v>
      </c>
      <c r="AJ96" s="37">
        <v>4297.8072916666679</v>
      </c>
      <c r="AK96" s="37">
        <v>0</v>
      </c>
      <c r="AL96" s="37">
        <v>15224.513888888894</v>
      </c>
      <c r="AM96" s="37">
        <v>0</v>
      </c>
      <c r="AN96" s="37">
        <v>9873.2067307692323</v>
      </c>
      <c r="AO96" s="37">
        <v>0</v>
      </c>
      <c r="AP96" s="37">
        <v>5611.9749999999995</v>
      </c>
      <c r="AQ96" s="37">
        <v>0</v>
      </c>
      <c r="AR96" s="37">
        <v>3849.6105769230785</v>
      </c>
      <c r="AS96" s="37">
        <v>0</v>
      </c>
      <c r="AT96" s="37">
        <v>3229.0048076923085</v>
      </c>
      <c r="AU96" s="37">
        <v>0</v>
      </c>
      <c r="AV96" s="37">
        <v>4928.7307692307677</v>
      </c>
      <c r="AW96" s="37">
        <v>0</v>
      </c>
      <c r="AX96" s="37">
        <v>5877.6500000000005</v>
      </c>
      <c r="AY96" s="37">
        <v>0</v>
      </c>
      <c r="AZ96" s="37">
        <v>6063.144230769225</v>
      </c>
      <c r="BA96" s="37">
        <v>0</v>
      </c>
      <c r="BB96" s="37">
        <v>4557.075000000008</v>
      </c>
      <c r="BC96" s="37">
        <v>0</v>
      </c>
      <c r="BD96" s="37">
        <v>6721.7115384615481</v>
      </c>
      <c r="BE96" s="37">
        <v>0</v>
      </c>
      <c r="BF96" s="37">
        <v>15511.325000000003</v>
      </c>
      <c r="BG96" s="37">
        <v>0</v>
      </c>
      <c r="BH96" s="37">
        <v>4256.2500000000045</v>
      </c>
      <c r="BI96" s="37">
        <v>0</v>
      </c>
      <c r="BJ96" s="37">
        <v>14911.805555555562</v>
      </c>
      <c r="BK96" s="37">
        <v>0</v>
      </c>
      <c r="BL96" s="37">
        <v>7997.7</v>
      </c>
      <c r="BM96" s="37">
        <v>0</v>
      </c>
      <c r="BN96" s="37">
        <v>6666.7644230769256</v>
      </c>
      <c r="BO96" s="37">
        <v>0</v>
      </c>
      <c r="BP96" s="37">
        <v>3656.6538461538462</v>
      </c>
      <c r="BQ96" s="37">
        <v>0</v>
      </c>
      <c r="BR96" s="37">
        <v>1941.0499999999997</v>
      </c>
      <c r="BS96" s="37">
        <v>0</v>
      </c>
      <c r="BT96" s="37">
        <v>5850.8657407407372</v>
      </c>
      <c r="BU96" s="37">
        <v>0</v>
      </c>
      <c r="BV96" s="37">
        <v>5689.0000000000018</v>
      </c>
      <c r="BW96" s="37">
        <v>0</v>
      </c>
    </row>
    <row r="97" spans="2:75">
      <c r="B97">
        <v>10304</v>
      </c>
      <c r="C97" t="s">
        <v>101</v>
      </c>
      <c r="D97" s="37">
        <v>0</v>
      </c>
      <c r="E97" s="37">
        <v>0</v>
      </c>
      <c r="F97" s="37">
        <v>0</v>
      </c>
      <c r="G97" s="37">
        <v>0</v>
      </c>
      <c r="H97" s="37">
        <v>4333.5673076923058</v>
      </c>
      <c r="I97" s="37">
        <v>0</v>
      </c>
      <c r="J97" s="37">
        <v>3290.9975961538466</v>
      </c>
      <c r="K97" s="37">
        <v>0</v>
      </c>
      <c r="L97" s="37">
        <v>2085.4609374999986</v>
      </c>
      <c r="M97" s="37">
        <v>0</v>
      </c>
      <c r="N97" s="37">
        <v>0</v>
      </c>
      <c r="O97" s="37">
        <v>0</v>
      </c>
      <c r="P97" s="37">
        <v>1114.9254807692309</v>
      </c>
      <c r="Q97" s="37">
        <v>0</v>
      </c>
      <c r="R97" s="37">
        <v>1857.2975000000017</v>
      </c>
      <c r="S97" s="37">
        <v>0</v>
      </c>
      <c r="T97" s="37">
        <v>2398.6490384615377</v>
      </c>
      <c r="U97" s="37">
        <v>0</v>
      </c>
      <c r="V97" s="37">
        <v>2274.9447115384623</v>
      </c>
      <c r="W97" s="37">
        <v>0</v>
      </c>
      <c r="X97" s="37">
        <v>2264.2908653846152</v>
      </c>
      <c r="Y97" s="37">
        <v>0</v>
      </c>
      <c r="Z97" s="37">
        <v>1861.6024999999993</v>
      </c>
      <c r="AA97" s="37">
        <v>0</v>
      </c>
      <c r="AB97" s="37">
        <v>0</v>
      </c>
      <c r="AC97" s="37">
        <v>0</v>
      </c>
      <c r="AD97" s="37">
        <v>0</v>
      </c>
      <c r="AE97" s="37">
        <v>0</v>
      </c>
      <c r="AF97" s="37">
        <v>4395.5072115384619</v>
      </c>
      <c r="AG97" s="37">
        <v>0</v>
      </c>
      <c r="AH97" s="37">
        <v>2578.6775000000007</v>
      </c>
      <c r="AI97" s="37">
        <v>0</v>
      </c>
      <c r="AJ97" s="37">
        <v>2146.8958333333353</v>
      </c>
      <c r="AK97" s="37">
        <v>0</v>
      </c>
      <c r="AL97" s="37">
        <v>272.71759259259557</v>
      </c>
      <c r="AM97" s="37">
        <v>0</v>
      </c>
      <c r="AN97" s="37">
        <v>1170.0336538461534</v>
      </c>
      <c r="AO97" s="37">
        <v>0</v>
      </c>
      <c r="AP97" s="37">
        <v>1913.7100000000005</v>
      </c>
      <c r="AQ97" s="37">
        <v>0</v>
      </c>
      <c r="AR97" s="37">
        <v>2460.3100961538448</v>
      </c>
      <c r="AS97" s="37">
        <v>0</v>
      </c>
      <c r="AT97" s="37">
        <v>2341.6009615384619</v>
      </c>
      <c r="AU97" s="37">
        <v>0</v>
      </c>
      <c r="AV97" s="37">
        <v>2327.5552884615386</v>
      </c>
      <c r="AW97" s="37">
        <v>0</v>
      </c>
      <c r="AX97" s="37">
        <v>1916.6274999999998</v>
      </c>
      <c r="AY97" s="37">
        <v>0</v>
      </c>
      <c r="AZ97" s="37">
        <v>0</v>
      </c>
      <c r="BA97" s="37">
        <v>0</v>
      </c>
      <c r="BB97" s="37">
        <v>601.76000000000136</v>
      </c>
      <c r="BC97" s="37">
        <v>0</v>
      </c>
      <c r="BD97" s="37">
        <v>4456.2548076923076</v>
      </c>
      <c r="BE97" s="37">
        <v>0</v>
      </c>
      <c r="BF97" s="37">
        <v>2637.002500000001</v>
      </c>
      <c r="BG97" s="37">
        <v>0</v>
      </c>
      <c r="BH97" s="37">
        <v>2379.6949999999979</v>
      </c>
      <c r="BI97" s="37">
        <v>0</v>
      </c>
      <c r="BJ97" s="37">
        <v>325.03009259259488</v>
      </c>
      <c r="BK97" s="37">
        <v>0</v>
      </c>
      <c r="BL97" s="37">
        <v>666.74250000000245</v>
      </c>
      <c r="BM97" s="37">
        <v>0</v>
      </c>
      <c r="BN97" s="37">
        <v>2426.3052884615404</v>
      </c>
      <c r="BO97" s="37">
        <v>0</v>
      </c>
      <c r="BP97" s="37">
        <v>2519.774038461539</v>
      </c>
      <c r="BQ97" s="37">
        <v>0</v>
      </c>
      <c r="BR97" s="37">
        <v>1941.357499999998</v>
      </c>
      <c r="BS97" s="37">
        <v>0</v>
      </c>
      <c r="BT97" s="37">
        <v>2840.050925925927</v>
      </c>
      <c r="BU97" s="37">
        <v>0</v>
      </c>
      <c r="BV97" s="37">
        <v>1969.4200000000005</v>
      </c>
      <c r="BW97" s="37">
        <v>0</v>
      </c>
    </row>
    <row r="98" spans="2:75">
      <c r="B98">
        <v>10306</v>
      </c>
      <c r="C98" t="s">
        <v>102</v>
      </c>
      <c r="D98" s="37">
        <v>0</v>
      </c>
      <c r="E98" s="37">
        <v>0</v>
      </c>
      <c r="F98" s="37">
        <v>0</v>
      </c>
      <c r="G98" s="37">
        <v>0</v>
      </c>
      <c r="H98" s="37">
        <v>0</v>
      </c>
      <c r="I98" s="37">
        <v>0</v>
      </c>
      <c r="J98" s="37">
        <v>0</v>
      </c>
      <c r="K98" s="37">
        <v>0</v>
      </c>
      <c r="L98" s="37">
        <v>0</v>
      </c>
      <c r="M98" s="37">
        <v>0</v>
      </c>
      <c r="N98" s="37">
        <v>0</v>
      </c>
      <c r="O98" s="37">
        <v>0</v>
      </c>
      <c r="P98" s="37">
        <v>0</v>
      </c>
      <c r="Q98" s="37">
        <v>0</v>
      </c>
      <c r="R98" s="37">
        <v>0</v>
      </c>
      <c r="S98" s="37">
        <v>0</v>
      </c>
      <c r="T98" s="37">
        <v>0</v>
      </c>
      <c r="U98" s="37">
        <v>0</v>
      </c>
      <c r="V98" s="37">
        <v>0</v>
      </c>
      <c r="W98" s="37">
        <v>0</v>
      </c>
      <c r="X98" s="37">
        <v>0</v>
      </c>
      <c r="Y98" s="37">
        <v>0</v>
      </c>
      <c r="Z98" s="37">
        <v>0</v>
      </c>
      <c r="AA98" s="37">
        <v>0</v>
      </c>
      <c r="AB98" s="37">
        <v>0</v>
      </c>
      <c r="AC98" s="37">
        <v>0</v>
      </c>
      <c r="AD98" s="37">
        <v>0</v>
      </c>
      <c r="AE98" s="37">
        <v>0</v>
      </c>
      <c r="AF98" s="37">
        <v>0</v>
      </c>
      <c r="AG98" s="37">
        <v>0</v>
      </c>
      <c r="AH98" s="37">
        <v>0</v>
      </c>
      <c r="AI98" s="37">
        <v>0</v>
      </c>
      <c r="AJ98" s="37">
        <v>0</v>
      </c>
      <c r="AK98" s="37">
        <v>0</v>
      </c>
      <c r="AL98" s="37">
        <v>0</v>
      </c>
      <c r="AM98" s="37">
        <v>0</v>
      </c>
      <c r="AN98" s="37">
        <v>0</v>
      </c>
      <c r="AO98" s="37">
        <v>0</v>
      </c>
      <c r="AP98" s="37">
        <v>0</v>
      </c>
      <c r="AQ98" s="37">
        <v>0</v>
      </c>
      <c r="AR98" s="37">
        <v>0</v>
      </c>
      <c r="AS98" s="37">
        <v>0</v>
      </c>
      <c r="AT98" s="37">
        <v>0</v>
      </c>
      <c r="AU98" s="37">
        <v>0</v>
      </c>
      <c r="AV98" s="37">
        <v>0</v>
      </c>
      <c r="AW98" s="37">
        <v>0</v>
      </c>
      <c r="AX98" s="37">
        <v>0</v>
      </c>
      <c r="AY98" s="37">
        <v>0</v>
      </c>
      <c r="AZ98" s="37">
        <v>0</v>
      </c>
      <c r="BA98" s="37">
        <v>0</v>
      </c>
      <c r="BB98" s="37">
        <v>0</v>
      </c>
      <c r="BC98" s="37">
        <v>0</v>
      </c>
      <c r="BD98" s="37">
        <v>0</v>
      </c>
      <c r="BE98" s="37">
        <v>0</v>
      </c>
      <c r="BF98" s="37">
        <v>0</v>
      </c>
      <c r="BG98" s="37">
        <v>0</v>
      </c>
      <c r="BH98" s="37">
        <v>0</v>
      </c>
      <c r="BI98" s="37">
        <v>0</v>
      </c>
      <c r="BJ98" s="37">
        <v>0</v>
      </c>
      <c r="BK98" s="37">
        <v>0</v>
      </c>
      <c r="BL98" s="37">
        <v>0</v>
      </c>
      <c r="BM98" s="37">
        <v>0</v>
      </c>
      <c r="BN98" s="37">
        <v>0</v>
      </c>
      <c r="BO98" s="37">
        <v>0</v>
      </c>
      <c r="BP98" s="37">
        <v>0</v>
      </c>
      <c r="BQ98" s="37">
        <v>0</v>
      </c>
      <c r="BR98" s="37">
        <v>0</v>
      </c>
      <c r="BS98" s="37">
        <v>0</v>
      </c>
      <c r="BT98" s="37">
        <v>0</v>
      </c>
      <c r="BU98" s="37">
        <v>0</v>
      </c>
      <c r="BV98" s="37">
        <v>0</v>
      </c>
      <c r="BW98" s="37">
        <v>0</v>
      </c>
    </row>
    <row r="99" spans="2:75">
      <c r="B99">
        <v>10307</v>
      </c>
      <c r="C99" t="s">
        <v>103</v>
      </c>
      <c r="D99" s="37">
        <v>3119.787037037032</v>
      </c>
      <c r="E99" s="37">
        <v>0</v>
      </c>
      <c r="F99" s="37">
        <v>6529.5833333333276</v>
      </c>
      <c r="G99" s="37">
        <v>0</v>
      </c>
      <c r="H99" s="37">
        <v>24755.709134615383</v>
      </c>
      <c r="I99" s="37">
        <v>0</v>
      </c>
      <c r="J99" s="37">
        <v>20900.538461538454</v>
      </c>
      <c r="K99" s="37">
        <v>0</v>
      </c>
      <c r="L99" s="37">
        <v>12307.679687500002</v>
      </c>
      <c r="M99" s="37">
        <v>0</v>
      </c>
      <c r="N99" s="37">
        <v>11984.028846153851</v>
      </c>
      <c r="O99" s="37">
        <v>0</v>
      </c>
      <c r="P99" s="37">
        <v>13759.408653846151</v>
      </c>
      <c r="Q99" s="37">
        <v>0</v>
      </c>
      <c r="R99" s="37">
        <v>18523.189999999995</v>
      </c>
      <c r="S99" s="37">
        <v>0</v>
      </c>
      <c r="T99" s="37">
        <v>20731.430288461539</v>
      </c>
      <c r="U99" s="37">
        <v>0</v>
      </c>
      <c r="V99" s="37">
        <v>20868.490384615387</v>
      </c>
      <c r="W99" s="37">
        <v>0</v>
      </c>
      <c r="X99" s="37">
        <v>23164.752403846167</v>
      </c>
      <c r="Y99" s="37">
        <v>0</v>
      </c>
      <c r="Z99" s="37">
        <v>14165.735000000001</v>
      </c>
      <c r="AA99" s="37">
        <v>0</v>
      </c>
      <c r="AB99" s="37">
        <v>3926.8240740740803</v>
      </c>
      <c r="AC99" s="37">
        <v>0</v>
      </c>
      <c r="AD99" s="37">
        <v>7423.5546874999936</v>
      </c>
      <c r="AE99" s="37">
        <v>0</v>
      </c>
      <c r="AF99" s="37">
        <v>25606.884615384624</v>
      </c>
      <c r="AG99" s="37">
        <v>0</v>
      </c>
      <c r="AH99" s="37">
        <v>21641.117499999986</v>
      </c>
      <c r="AI99" s="37">
        <v>0</v>
      </c>
      <c r="AJ99" s="37">
        <v>13149.1875</v>
      </c>
      <c r="AK99" s="37">
        <v>0</v>
      </c>
      <c r="AL99" s="37">
        <v>12882.42129629629</v>
      </c>
      <c r="AM99" s="37">
        <v>0</v>
      </c>
      <c r="AN99" s="37">
        <v>14556.432692307681</v>
      </c>
      <c r="AO99" s="37">
        <v>0</v>
      </c>
      <c r="AP99" s="37">
        <v>19408.757500000003</v>
      </c>
      <c r="AQ99" s="37">
        <v>0</v>
      </c>
      <c r="AR99" s="37">
        <v>21612.951923076937</v>
      </c>
      <c r="AS99" s="37">
        <v>0</v>
      </c>
      <c r="AT99" s="37">
        <v>21835.170673076933</v>
      </c>
      <c r="AU99" s="37">
        <v>0</v>
      </c>
      <c r="AV99" s="37">
        <v>24129.223557692298</v>
      </c>
      <c r="AW99" s="37">
        <v>0</v>
      </c>
      <c r="AX99" s="37">
        <v>14990.637500000001</v>
      </c>
      <c r="AY99" s="37">
        <v>0</v>
      </c>
      <c r="AZ99" s="37">
        <v>4607.4951923076842</v>
      </c>
      <c r="BA99" s="37">
        <v>0</v>
      </c>
      <c r="BB99" s="37">
        <v>8410.4900000000034</v>
      </c>
      <c r="BC99" s="37">
        <v>0</v>
      </c>
      <c r="BD99" s="37">
        <v>26436.454326923067</v>
      </c>
      <c r="BE99" s="37">
        <v>0</v>
      </c>
      <c r="BF99" s="37">
        <v>22469.102499999997</v>
      </c>
      <c r="BG99" s="37">
        <v>0</v>
      </c>
      <c r="BH99" s="37">
        <v>14795.042499999983</v>
      </c>
      <c r="BI99" s="37">
        <v>0</v>
      </c>
      <c r="BJ99" s="37">
        <v>13703.148148148148</v>
      </c>
      <c r="BK99" s="37">
        <v>0</v>
      </c>
      <c r="BL99" s="37">
        <v>15278.775000000011</v>
      </c>
      <c r="BM99" s="37">
        <v>0</v>
      </c>
      <c r="BN99" s="37">
        <v>20336.23076923077</v>
      </c>
      <c r="BO99" s="37">
        <v>0</v>
      </c>
      <c r="BP99" s="37">
        <v>22470.802884615387</v>
      </c>
      <c r="BQ99" s="37">
        <v>0</v>
      </c>
      <c r="BR99" s="37">
        <v>22703.512500000004</v>
      </c>
      <c r="BS99" s="37">
        <v>0</v>
      </c>
      <c r="BT99" s="37">
        <v>25148.918981481485</v>
      </c>
      <c r="BU99" s="37">
        <v>0</v>
      </c>
      <c r="BV99" s="37">
        <v>15795.857499999998</v>
      </c>
      <c r="BW99" s="37">
        <v>0</v>
      </c>
    </row>
    <row r="100" spans="2:75">
      <c r="B100">
        <v>10326</v>
      </c>
      <c r="C100" t="s">
        <v>104</v>
      </c>
      <c r="D100" s="37">
        <v>2233.3078703703695</v>
      </c>
      <c r="E100" s="37">
        <v>0</v>
      </c>
      <c r="F100" s="37">
        <v>0</v>
      </c>
      <c r="G100" s="37">
        <v>0</v>
      </c>
      <c r="H100" s="37">
        <v>404.77644230768919</v>
      </c>
      <c r="I100" s="37">
        <v>0</v>
      </c>
      <c r="J100" s="37">
        <v>0</v>
      </c>
      <c r="K100" s="37">
        <v>0</v>
      </c>
      <c r="L100" s="37">
        <v>4124.1510416666652</v>
      </c>
      <c r="M100" s="37">
        <v>0</v>
      </c>
      <c r="N100" s="37">
        <v>4423.0793269230726</v>
      </c>
      <c r="O100" s="37">
        <v>0</v>
      </c>
      <c r="P100" s="37">
        <v>0</v>
      </c>
      <c r="Q100" s="37">
        <v>0</v>
      </c>
      <c r="R100" s="37">
        <v>1524.3699999999958</v>
      </c>
      <c r="S100" s="37">
        <v>0</v>
      </c>
      <c r="T100" s="37">
        <v>1496.3822115384655</v>
      </c>
      <c r="U100" s="37">
        <v>0</v>
      </c>
      <c r="V100" s="37">
        <v>3380.3028846153857</v>
      </c>
      <c r="W100" s="37">
        <v>0</v>
      </c>
      <c r="X100" s="37">
        <v>2376.6754807692296</v>
      </c>
      <c r="Y100" s="37">
        <v>0</v>
      </c>
      <c r="Z100" s="37">
        <v>1677.7225000000008</v>
      </c>
      <c r="AA100" s="37">
        <v>0</v>
      </c>
      <c r="AB100" s="37">
        <v>2253.0393518518517</v>
      </c>
      <c r="AC100" s="37">
        <v>0</v>
      </c>
      <c r="AD100" s="37">
        <v>0</v>
      </c>
      <c r="AE100" s="37">
        <v>0</v>
      </c>
      <c r="AF100" s="37">
        <v>418.62499999999511</v>
      </c>
      <c r="AG100" s="37">
        <v>0</v>
      </c>
      <c r="AH100" s="37">
        <v>0</v>
      </c>
      <c r="AI100" s="37">
        <v>0</v>
      </c>
      <c r="AJ100" s="37">
        <v>4141.3489583333321</v>
      </c>
      <c r="AK100" s="37">
        <v>0</v>
      </c>
      <c r="AL100" s="37">
        <v>4371.282407407406</v>
      </c>
      <c r="AM100" s="37">
        <v>0</v>
      </c>
      <c r="AN100" s="37">
        <v>0</v>
      </c>
      <c r="AO100" s="37">
        <v>0</v>
      </c>
      <c r="AP100" s="37">
        <v>1544.287500000001</v>
      </c>
      <c r="AQ100" s="37">
        <v>0</v>
      </c>
      <c r="AR100" s="37">
        <v>1513.4038461538478</v>
      </c>
      <c r="AS100" s="37">
        <v>0</v>
      </c>
      <c r="AT100" s="37">
        <v>3399.2764423076915</v>
      </c>
      <c r="AU100" s="37">
        <v>0</v>
      </c>
      <c r="AV100" s="37">
        <v>2393.173076923073</v>
      </c>
      <c r="AW100" s="37">
        <v>0</v>
      </c>
      <c r="AX100" s="37">
        <v>1693.0025000000012</v>
      </c>
      <c r="AY100" s="37">
        <v>0</v>
      </c>
      <c r="AZ100" s="37">
        <v>2327.9350961538494</v>
      </c>
      <c r="BA100" s="37">
        <v>0</v>
      </c>
      <c r="BB100" s="37">
        <v>0</v>
      </c>
      <c r="BC100" s="37">
        <v>0</v>
      </c>
      <c r="BD100" s="37">
        <v>429.40624999999955</v>
      </c>
      <c r="BE100" s="37">
        <v>0</v>
      </c>
      <c r="BF100" s="37">
        <v>0</v>
      </c>
      <c r="BG100" s="37">
        <v>0</v>
      </c>
      <c r="BH100" s="37">
        <v>4145.5674999999992</v>
      </c>
      <c r="BI100" s="37">
        <v>0</v>
      </c>
      <c r="BJ100" s="37">
        <v>4386.1689814814754</v>
      </c>
      <c r="BK100" s="37">
        <v>0</v>
      </c>
      <c r="BL100" s="37">
        <v>0</v>
      </c>
      <c r="BM100" s="37">
        <v>0</v>
      </c>
      <c r="BN100" s="37">
        <v>1516.3605769230787</v>
      </c>
      <c r="BO100" s="37">
        <v>0</v>
      </c>
      <c r="BP100" s="37">
        <v>1525.7379807692271</v>
      </c>
      <c r="BQ100" s="37">
        <v>0</v>
      </c>
      <c r="BR100" s="37">
        <v>3459.3849999999975</v>
      </c>
      <c r="BS100" s="37">
        <v>0</v>
      </c>
      <c r="BT100" s="37">
        <v>2363.6921296296264</v>
      </c>
      <c r="BU100" s="37">
        <v>0</v>
      </c>
      <c r="BV100" s="37">
        <v>1704.9150000000025</v>
      </c>
      <c r="BW100" s="37">
        <v>0</v>
      </c>
    </row>
    <row r="101" spans="2:75">
      <c r="B101">
        <v>10331</v>
      </c>
      <c r="C101" t="s">
        <v>105</v>
      </c>
      <c r="D101" s="37">
        <v>0</v>
      </c>
      <c r="E101" s="37">
        <v>0</v>
      </c>
      <c r="F101" s="37">
        <v>0</v>
      </c>
      <c r="G101" s="37">
        <v>0</v>
      </c>
      <c r="H101" s="37">
        <v>0</v>
      </c>
      <c r="I101" s="37">
        <v>0</v>
      </c>
      <c r="J101" s="37">
        <v>0</v>
      </c>
      <c r="K101" s="37">
        <v>0</v>
      </c>
      <c r="L101" s="37">
        <v>0</v>
      </c>
      <c r="M101" s="37">
        <v>0</v>
      </c>
      <c r="N101" s="37">
        <v>0</v>
      </c>
      <c r="O101" s="37">
        <v>0</v>
      </c>
      <c r="P101" s="37">
        <v>0</v>
      </c>
      <c r="Q101" s="37">
        <v>0</v>
      </c>
      <c r="R101" s="37">
        <v>0</v>
      </c>
      <c r="S101" s="37">
        <v>0</v>
      </c>
      <c r="T101" s="37">
        <v>0</v>
      </c>
      <c r="U101" s="37">
        <v>0</v>
      </c>
      <c r="V101" s="37">
        <v>0</v>
      </c>
      <c r="W101" s="37">
        <v>0</v>
      </c>
      <c r="X101" s="37">
        <v>0</v>
      </c>
      <c r="Y101" s="37">
        <v>0</v>
      </c>
      <c r="Z101" s="37">
        <v>0</v>
      </c>
      <c r="AA101" s="37">
        <v>0</v>
      </c>
      <c r="AB101" s="37">
        <v>0</v>
      </c>
      <c r="AC101" s="37">
        <v>0</v>
      </c>
      <c r="AD101" s="37">
        <v>0</v>
      </c>
      <c r="AE101" s="37">
        <v>0</v>
      </c>
      <c r="AF101" s="37">
        <v>0</v>
      </c>
      <c r="AG101" s="37">
        <v>0</v>
      </c>
      <c r="AH101" s="37">
        <v>0</v>
      </c>
      <c r="AI101" s="37">
        <v>0</v>
      </c>
      <c r="AJ101" s="37">
        <v>0</v>
      </c>
      <c r="AK101" s="37">
        <v>0</v>
      </c>
      <c r="AL101" s="37">
        <v>0</v>
      </c>
      <c r="AM101" s="37">
        <v>0</v>
      </c>
      <c r="AN101" s="37">
        <v>0</v>
      </c>
      <c r="AO101" s="37">
        <v>0</v>
      </c>
      <c r="AP101" s="37">
        <v>0</v>
      </c>
      <c r="AQ101" s="37">
        <v>0</v>
      </c>
      <c r="AR101" s="37">
        <v>0</v>
      </c>
      <c r="AS101" s="37">
        <v>0</v>
      </c>
      <c r="AT101" s="37">
        <v>0</v>
      </c>
      <c r="AU101" s="37">
        <v>0</v>
      </c>
      <c r="AV101" s="37">
        <v>0</v>
      </c>
      <c r="AW101" s="37">
        <v>0</v>
      </c>
      <c r="AX101" s="37">
        <v>0</v>
      </c>
      <c r="AY101" s="37">
        <v>0</v>
      </c>
      <c r="AZ101" s="37">
        <v>0</v>
      </c>
      <c r="BA101" s="37">
        <v>0</v>
      </c>
      <c r="BB101" s="37">
        <v>0</v>
      </c>
      <c r="BC101" s="37">
        <v>0</v>
      </c>
      <c r="BD101" s="37">
        <v>0</v>
      </c>
      <c r="BE101" s="37">
        <v>0</v>
      </c>
      <c r="BF101" s="37">
        <v>0</v>
      </c>
      <c r="BG101" s="37">
        <v>0</v>
      </c>
      <c r="BH101" s="37">
        <v>0</v>
      </c>
      <c r="BI101" s="37">
        <v>0</v>
      </c>
      <c r="BJ101" s="37">
        <v>0</v>
      </c>
      <c r="BK101" s="37">
        <v>0</v>
      </c>
      <c r="BL101" s="37">
        <v>0</v>
      </c>
      <c r="BM101" s="37">
        <v>0</v>
      </c>
      <c r="BN101" s="37">
        <v>0</v>
      </c>
      <c r="BO101" s="37">
        <v>0</v>
      </c>
      <c r="BP101" s="37">
        <v>0</v>
      </c>
      <c r="BQ101" s="37">
        <v>0</v>
      </c>
      <c r="BR101" s="37">
        <v>0</v>
      </c>
      <c r="BS101" s="37">
        <v>0</v>
      </c>
      <c r="BT101" s="37">
        <v>0</v>
      </c>
      <c r="BU101" s="37">
        <v>0</v>
      </c>
      <c r="BV101" s="37">
        <v>0</v>
      </c>
      <c r="BW101" s="37">
        <v>0</v>
      </c>
    </row>
    <row r="102" spans="2:75">
      <c r="B102">
        <v>10333</v>
      </c>
      <c r="C102" t="s">
        <v>106</v>
      </c>
      <c r="D102" s="37">
        <v>0</v>
      </c>
      <c r="E102" s="37">
        <v>0</v>
      </c>
      <c r="F102" s="37">
        <v>0</v>
      </c>
      <c r="G102" s="37">
        <v>0</v>
      </c>
      <c r="H102" s="37">
        <v>0</v>
      </c>
      <c r="I102" s="37">
        <v>0</v>
      </c>
      <c r="J102" s="37">
        <v>0</v>
      </c>
      <c r="K102" s="37">
        <v>0</v>
      </c>
      <c r="L102" s="37">
        <v>0</v>
      </c>
      <c r="M102" s="37">
        <v>0</v>
      </c>
      <c r="N102" s="37">
        <v>0</v>
      </c>
      <c r="O102" s="37">
        <v>0</v>
      </c>
      <c r="P102" s="37">
        <v>0</v>
      </c>
      <c r="Q102" s="37">
        <v>0</v>
      </c>
      <c r="R102" s="37">
        <v>0</v>
      </c>
      <c r="S102" s="37">
        <v>0</v>
      </c>
      <c r="T102" s="37">
        <v>0</v>
      </c>
      <c r="U102" s="37">
        <v>0</v>
      </c>
      <c r="V102" s="37">
        <v>0</v>
      </c>
      <c r="W102" s="37">
        <v>0</v>
      </c>
      <c r="X102" s="37">
        <v>0</v>
      </c>
      <c r="Y102" s="37">
        <v>0</v>
      </c>
      <c r="Z102" s="37">
        <v>0</v>
      </c>
      <c r="AA102" s="37">
        <v>0</v>
      </c>
      <c r="AB102" s="37">
        <v>0</v>
      </c>
      <c r="AC102" s="37">
        <v>0</v>
      </c>
      <c r="AD102" s="37">
        <v>0</v>
      </c>
      <c r="AE102" s="37">
        <v>0</v>
      </c>
      <c r="AF102" s="37">
        <v>0</v>
      </c>
      <c r="AG102" s="37">
        <v>0</v>
      </c>
      <c r="AH102" s="37">
        <v>0</v>
      </c>
      <c r="AI102" s="37">
        <v>0</v>
      </c>
      <c r="AJ102" s="37">
        <v>0</v>
      </c>
      <c r="AK102" s="37">
        <v>0</v>
      </c>
      <c r="AL102" s="37">
        <v>0</v>
      </c>
      <c r="AM102" s="37">
        <v>0</v>
      </c>
      <c r="AN102" s="37">
        <v>0</v>
      </c>
      <c r="AO102" s="37">
        <v>0</v>
      </c>
      <c r="AP102" s="37">
        <v>0</v>
      </c>
      <c r="AQ102" s="37">
        <v>0</v>
      </c>
      <c r="AR102" s="37">
        <v>0</v>
      </c>
      <c r="AS102" s="37">
        <v>0</v>
      </c>
      <c r="AT102" s="37">
        <v>0</v>
      </c>
      <c r="AU102" s="37">
        <v>0</v>
      </c>
      <c r="AV102" s="37">
        <v>0</v>
      </c>
      <c r="AW102" s="37">
        <v>0</v>
      </c>
      <c r="AX102" s="37">
        <v>0</v>
      </c>
      <c r="AY102" s="37">
        <v>0</v>
      </c>
      <c r="AZ102" s="37">
        <v>0</v>
      </c>
      <c r="BA102" s="37">
        <v>0</v>
      </c>
      <c r="BB102" s="37">
        <v>0</v>
      </c>
      <c r="BC102" s="37">
        <v>0</v>
      </c>
      <c r="BD102" s="37">
        <v>0</v>
      </c>
      <c r="BE102" s="37">
        <v>0</v>
      </c>
      <c r="BF102" s="37">
        <v>0</v>
      </c>
      <c r="BG102" s="37">
        <v>0</v>
      </c>
      <c r="BH102" s="37">
        <v>0</v>
      </c>
      <c r="BI102" s="37">
        <v>0</v>
      </c>
      <c r="BJ102" s="37">
        <v>0</v>
      </c>
      <c r="BK102" s="37">
        <v>0</v>
      </c>
      <c r="BL102" s="37">
        <v>0</v>
      </c>
      <c r="BM102" s="37">
        <v>0</v>
      </c>
      <c r="BN102" s="37">
        <v>0</v>
      </c>
      <c r="BO102" s="37">
        <v>0</v>
      </c>
      <c r="BP102" s="37">
        <v>0</v>
      </c>
      <c r="BQ102" s="37">
        <v>0</v>
      </c>
      <c r="BR102" s="37">
        <v>0</v>
      </c>
      <c r="BS102" s="37">
        <v>0</v>
      </c>
      <c r="BT102" s="37">
        <v>0</v>
      </c>
      <c r="BU102" s="37">
        <v>0</v>
      </c>
      <c r="BV102" s="37">
        <v>0</v>
      </c>
      <c r="BW102" s="37">
        <v>0</v>
      </c>
    </row>
    <row r="103" spans="2:75">
      <c r="B103">
        <v>10338</v>
      </c>
      <c r="C103" t="s">
        <v>107</v>
      </c>
      <c r="D103" s="37">
        <v>124.89814814814815</v>
      </c>
      <c r="E103" s="37">
        <v>0</v>
      </c>
      <c r="F103" s="37">
        <v>99.028645833333371</v>
      </c>
      <c r="G103" s="37">
        <v>0</v>
      </c>
      <c r="H103" s="37">
        <v>541.31971153846155</v>
      </c>
      <c r="I103" s="37">
        <v>0</v>
      </c>
      <c r="J103" s="37">
        <v>557.81490384615392</v>
      </c>
      <c r="K103" s="37">
        <v>0</v>
      </c>
      <c r="L103" s="37">
        <v>259.33593749999972</v>
      </c>
      <c r="M103" s="37">
        <v>0</v>
      </c>
      <c r="N103" s="37">
        <v>380.97596153846183</v>
      </c>
      <c r="O103" s="37">
        <v>0</v>
      </c>
      <c r="P103" s="37">
        <v>324.71394230769238</v>
      </c>
      <c r="Q103" s="37">
        <v>0</v>
      </c>
      <c r="R103" s="37">
        <v>875.93</v>
      </c>
      <c r="S103" s="37">
        <v>0</v>
      </c>
      <c r="T103" s="37">
        <v>520.04086538461559</v>
      </c>
      <c r="U103" s="37">
        <v>0</v>
      </c>
      <c r="V103" s="37">
        <v>693.86057692307759</v>
      </c>
      <c r="W103" s="37">
        <v>0</v>
      </c>
      <c r="X103" s="37">
        <v>599.07932692307713</v>
      </c>
      <c r="Y103" s="37">
        <v>0</v>
      </c>
      <c r="Z103" s="37">
        <v>417.17999999999944</v>
      </c>
      <c r="AA103" s="37">
        <v>0</v>
      </c>
      <c r="AB103" s="37">
        <v>102.89814814814791</v>
      </c>
      <c r="AC103" s="37">
        <v>0</v>
      </c>
      <c r="AD103" s="37">
        <v>81.536458333333115</v>
      </c>
      <c r="AE103" s="37">
        <v>0</v>
      </c>
      <c r="AF103" s="37">
        <v>523.75240384615427</v>
      </c>
      <c r="AG103" s="37">
        <v>0</v>
      </c>
      <c r="AH103" s="37">
        <v>542.6674999999999</v>
      </c>
      <c r="AI103" s="37">
        <v>0</v>
      </c>
      <c r="AJ103" s="37">
        <v>242.30208333333292</v>
      </c>
      <c r="AK103" s="37">
        <v>0</v>
      </c>
      <c r="AL103" s="37">
        <v>361.21759259259244</v>
      </c>
      <c r="AM103" s="37">
        <v>0</v>
      </c>
      <c r="AN103" s="37">
        <v>306.78365384615438</v>
      </c>
      <c r="AO103" s="37">
        <v>0</v>
      </c>
      <c r="AP103" s="37">
        <v>857.17499999999995</v>
      </c>
      <c r="AQ103" s="37">
        <v>0</v>
      </c>
      <c r="AR103" s="37">
        <v>500.76442307692236</v>
      </c>
      <c r="AS103" s="37">
        <v>0</v>
      </c>
      <c r="AT103" s="37">
        <v>673.51682692307634</v>
      </c>
      <c r="AU103" s="37">
        <v>0</v>
      </c>
      <c r="AV103" s="37">
        <v>578.52163461538441</v>
      </c>
      <c r="AW103" s="37">
        <v>0</v>
      </c>
      <c r="AX103" s="37">
        <v>397.6025000000003</v>
      </c>
      <c r="AY103" s="37">
        <v>0</v>
      </c>
      <c r="AZ103" s="37">
        <v>81.812500000000071</v>
      </c>
      <c r="BA103" s="37">
        <v>0</v>
      </c>
      <c r="BB103" s="37">
        <v>62.599999999999987</v>
      </c>
      <c r="BC103" s="37">
        <v>0</v>
      </c>
      <c r="BD103" s="37">
        <v>506.0312500000004</v>
      </c>
      <c r="BE103" s="37">
        <v>0</v>
      </c>
      <c r="BF103" s="37">
        <v>525.2375000000003</v>
      </c>
      <c r="BG103" s="37">
        <v>0</v>
      </c>
      <c r="BH103" s="37">
        <v>255.11499999999933</v>
      </c>
      <c r="BI103" s="37">
        <v>0</v>
      </c>
      <c r="BJ103" s="37">
        <v>343.54629629629608</v>
      </c>
      <c r="BK103" s="37">
        <v>0</v>
      </c>
      <c r="BL103" s="37">
        <v>287.56999999999965</v>
      </c>
      <c r="BM103" s="37">
        <v>0</v>
      </c>
      <c r="BN103" s="37">
        <v>843.805288461538</v>
      </c>
      <c r="BO103" s="37">
        <v>0</v>
      </c>
      <c r="BP103" s="37">
        <v>481.31490384615392</v>
      </c>
      <c r="BQ103" s="37">
        <v>0</v>
      </c>
      <c r="BR103" s="37">
        <v>644.51750000000038</v>
      </c>
      <c r="BS103" s="37">
        <v>0</v>
      </c>
      <c r="BT103" s="37">
        <v>566.17824074074042</v>
      </c>
      <c r="BU103" s="37">
        <v>0</v>
      </c>
      <c r="BV103" s="37">
        <v>378.86499999999955</v>
      </c>
      <c r="BW103" s="37">
        <v>0</v>
      </c>
    </row>
    <row r="104" spans="2:75">
      <c r="B104">
        <v>10342</v>
      </c>
      <c r="C104" t="s">
        <v>108</v>
      </c>
      <c r="D104" s="37">
        <v>796.55555555556123</v>
      </c>
      <c r="E104" s="37">
        <v>0</v>
      </c>
      <c r="F104" s="37">
        <v>0</v>
      </c>
      <c r="G104" s="37">
        <v>0</v>
      </c>
      <c r="H104" s="37">
        <v>9585.1875000000018</v>
      </c>
      <c r="I104" s="37">
        <v>0</v>
      </c>
      <c r="J104" s="37">
        <v>4495.5168269230817</v>
      </c>
      <c r="K104" s="37">
        <v>0</v>
      </c>
      <c r="L104" s="37">
        <v>4323.5572916666615</v>
      </c>
      <c r="M104" s="37">
        <v>0</v>
      </c>
      <c r="N104" s="37">
        <v>4562.6754807692369</v>
      </c>
      <c r="O104" s="37">
        <v>0</v>
      </c>
      <c r="P104" s="37">
        <v>3336.3653846153838</v>
      </c>
      <c r="Q104" s="37">
        <v>0</v>
      </c>
      <c r="R104" s="37">
        <v>7555.4024999999992</v>
      </c>
      <c r="S104" s="37">
        <v>0</v>
      </c>
      <c r="T104" s="37">
        <v>16747.562499999996</v>
      </c>
      <c r="U104" s="37">
        <v>0</v>
      </c>
      <c r="V104" s="37">
        <v>10786.44471153847</v>
      </c>
      <c r="W104" s="37">
        <v>0</v>
      </c>
      <c r="X104" s="37">
        <v>18799.187500000007</v>
      </c>
      <c r="Y104" s="37">
        <v>0</v>
      </c>
      <c r="Z104" s="37">
        <v>13360.807500000003</v>
      </c>
      <c r="AA104" s="37">
        <v>0</v>
      </c>
      <c r="AB104" s="37">
        <v>891.65046296296157</v>
      </c>
      <c r="AC104" s="37">
        <v>0</v>
      </c>
      <c r="AD104" s="37">
        <v>0</v>
      </c>
      <c r="AE104" s="37">
        <v>0</v>
      </c>
      <c r="AF104" s="37">
        <v>9782.0312499999945</v>
      </c>
      <c r="AG104" s="37">
        <v>0</v>
      </c>
      <c r="AH104" s="37">
        <v>4658.2175000000007</v>
      </c>
      <c r="AI104" s="37">
        <v>0</v>
      </c>
      <c r="AJ104" s="37">
        <v>4482.7291666666597</v>
      </c>
      <c r="AK104" s="37">
        <v>0</v>
      </c>
      <c r="AL104" s="37">
        <v>4674.7638888888969</v>
      </c>
      <c r="AM104" s="37">
        <v>0</v>
      </c>
      <c r="AN104" s="37">
        <v>3463.4519230769242</v>
      </c>
      <c r="AO104" s="37">
        <v>0</v>
      </c>
      <c r="AP104" s="37">
        <v>7708.5574999999981</v>
      </c>
      <c r="AQ104" s="37">
        <v>0</v>
      </c>
      <c r="AR104" s="37">
        <v>17094.649038461543</v>
      </c>
      <c r="AS104" s="37">
        <v>0</v>
      </c>
      <c r="AT104" s="37">
        <v>11150.90144230769</v>
      </c>
      <c r="AU104" s="37">
        <v>0</v>
      </c>
      <c r="AV104" s="37">
        <v>19215.689903846152</v>
      </c>
      <c r="AW104" s="37">
        <v>0</v>
      </c>
      <c r="AX104" s="37">
        <v>13654.909999999998</v>
      </c>
      <c r="AY104" s="37">
        <v>0</v>
      </c>
      <c r="AZ104" s="37">
        <v>970.19230769231251</v>
      </c>
      <c r="BA104" s="37">
        <v>0</v>
      </c>
      <c r="BB104" s="37">
        <v>0</v>
      </c>
      <c r="BC104" s="37">
        <v>0</v>
      </c>
      <c r="BD104" s="37">
        <v>9965.8052884615372</v>
      </c>
      <c r="BE104" s="37">
        <v>0</v>
      </c>
      <c r="BF104" s="37">
        <v>4794.1900000000023</v>
      </c>
      <c r="BG104" s="37">
        <v>0</v>
      </c>
      <c r="BH104" s="37">
        <v>4626.3124999999991</v>
      </c>
      <c r="BI104" s="37">
        <v>0</v>
      </c>
      <c r="BJ104" s="37">
        <v>4804.4560185185219</v>
      </c>
      <c r="BK104" s="37">
        <v>0</v>
      </c>
      <c r="BL104" s="37">
        <v>3590.9675000000052</v>
      </c>
      <c r="BM104" s="37">
        <v>0</v>
      </c>
      <c r="BN104" s="37">
        <v>7870.2331730769256</v>
      </c>
      <c r="BO104" s="37">
        <v>0</v>
      </c>
      <c r="BP104" s="37">
        <v>17423.084134615383</v>
      </c>
      <c r="BQ104" s="37">
        <v>0</v>
      </c>
      <c r="BR104" s="37">
        <v>11453.612500000003</v>
      </c>
      <c r="BS104" s="37">
        <v>0</v>
      </c>
      <c r="BT104" s="37">
        <v>19654.622685185193</v>
      </c>
      <c r="BU104" s="37">
        <v>0</v>
      </c>
      <c r="BV104" s="37">
        <v>13933.35</v>
      </c>
      <c r="BW104" s="37">
        <v>0</v>
      </c>
    </row>
    <row r="105" spans="2:75">
      <c r="B105">
        <v>10343</v>
      </c>
      <c r="C105" t="s">
        <v>109</v>
      </c>
      <c r="D105" s="37">
        <v>0</v>
      </c>
      <c r="E105" s="37">
        <v>0</v>
      </c>
      <c r="F105" s="37">
        <v>0</v>
      </c>
      <c r="G105" s="37">
        <v>0</v>
      </c>
      <c r="H105" s="37">
        <v>0</v>
      </c>
      <c r="I105" s="37">
        <v>0</v>
      </c>
      <c r="J105" s="37">
        <v>0</v>
      </c>
      <c r="K105" s="37">
        <v>0</v>
      </c>
      <c r="L105" s="37">
        <v>0</v>
      </c>
      <c r="M105" s="37">
        <v>0</v>
      </c>
      <c r="N105" s="37">
        <v>0</v>
      </c>
      <c r="O105" s="37">
        <v>0</v>
      </c>
      <c r="P105" s="37">
        <v>0</v>
      </c>
      <c r="Q105" s="37">
        <v>0</v>
      </c>
      <c r="R105" s="37">
        <v>0</v>
      </c>
      <c r="S105" s="37">
        <v>0</v>
      </c>
      <c r="T105" s="37">
        <v>0</v>
      </c>
      <c r="U105" s="37">
        <v>0</v>
      </c>
      <c r="V105" s="37">
        <v>0</v>
      </c>
      <c r="W105" s="37">
        <v>0</v>
      </c>
      <c r="X105" s="37">
        <v>0</v>
      </c>
      <c r="Y105" s="37">
        <v>0</v>
      </c>
      <c r="Z105" s="37">
        <v>0</v>
      </c>
      <c r="AA105" s="37">
        <v>0</v>
      </c>
      <c r="AB105" s="37">
        <v>0</v>
      </c>
      <c r="AC105" s="37">
        <v>0</v>
      </c>
      <c r="AD105" s="37">
        <v>0</v>
      </c>
      <c r="AE105" s="37">
        <v>0</v>
      </c>
      <c r="AF105" s="37">
        <v>0</v>
      </c>
      <c r="AG105" s="37">
        <v>0</v>
      </c>
      <c r="AH105" s="37">
        <v>0</v>
      </c>
      <c r="AI105" s="37">
        <v>0</v>
      </c>
      <c r="AJ105" s="37">
        <v>0</v>
      </c>
      <c r="AK105" s="37">
        <v>0</v>
      </c>
      <c r="AL105" s="37">
        <v>0</v>
      </c>
      <c r="AM105" s="37">
        <v>0</v>
      </c>
      <c r="AN105" s="37">
        <v>0</v>
      </c>
      <c r="AO105" s="37">
        <v>0</v>
      </c>
      <c r="AP105" s="37">
        <v>0</v>
      </c>
      <c r="AQ105" s="37">
        <v>0</v>
      </c>
      <c r="AR105" s="37">
        <v>0</v>
      </c>
      <c r="AS105" s="37">
        <v>0</v>
      </c>
      <c r="AT105" s="37">
        <v>0</v>
      </c>
      <c r="AU105" s="37">
        <v>0</v>
      </c>
      <c r="AV105" s="37">
        <v>0</v>
      </c>
      <c r="AW105" s="37">
        <v>0</v>
      </c>
      <c r="AX105" s="37">
        <v>0</v>
      </c>
      <c r="AY105" s="37">
        <v>0</v>
      </c>
      <c r="AZ105" s="37">
        <v>0</v>
      </c>
      <c r="BA105" s="37">
        <v>0</v>
      </c>
      <c r="BB105" s="37">
        <v>0</v>
      </c>
      <c r="BC105" s="37">
        <v>0</v>
      </c>
      <c r="BD105" s="37">
        <v>0</v>
      </c>
      <c r="BE105" s="37">
        <v>0</v>
      </c>
      <c r="BF105" s="37">
        <v>0</v>
      </c>
      <c r="BG105" s="37">
        <v>0</v>
      </c>
      <c r="BH105" s="37">
        <v>0</v>
      </c>
      <c r="BI105" s="37">
        <v>0</v>
      </c>
      <c r="BJ105" s="37">
        <v>0</v>
      </c>
      <c r="BK105" s="37">
        <v>0</v>
      </c>
      <c r="BL105" s="37">
        <v>0</v>
      </c>
      <c r="BM105" s="37">
        <v>0</v>
      </c>
      <c r="BN105" s="37">
        <v>0</v>
      </c>
      <c r="BO105" s="37">
        <v>0</v>
      </c>
      <c r="BP105" s="37">
        <v>0</v>
      </c>
      <c r="BQ105" s="37">
        <v>0</v>
      </c>
      <c r="BR105" s="37">
        <v>0</v>
      </c>
      <c r="BS105" s="37">
        <v>0</v>
      </c>
      <c r="BT105" s="37">
        <v>0</v>
      </c>
      <c r="BU105" s="37">
        <v>0</v>
      </c>
      <c r="BV105" s="37">
        <v>0</v>
      </c>
      <c r="BW105" s="37">
        <v>0</v>
      </c>
    </row>
    <row r="106" spans="2:75">
      <c r="B106">
        <v>10349</v>
      </c>
      <c r="C106" t="s">
        <v>110</v>
      </c>
      <c r="D106" s="37">
        <v>0</v>
      </c>
      <c r="E106" s="37">
        <v>0</v>
      </c>
      <c r="F106" s="37">
        <v>0</v>
      </c>
      <c r="G106" s="37">
        <v>0</v>
      </c>
      <c r="H106" s="37">
        <v>0</v>
      </c>
      <c r="I106" s="37">
        <v>0</v>
      </c>
      <c r="J106" s="37">
        <v>0</v>
      </c>
      <c r="K106" s="37">
        <v>0</v>
      </c>
      <c r="L106" s="37">
        <v>0</v>
      </c>
      <c r="M106" s="37">
        <v>0</v>
      </c>
      <c r="N106" s="37">
        <v>0</v>
      </c>
      <c r="O106" s="37">
        <v>0</v>
      </c>
      <c r="P106" s="37">
        <v>0</v>
      </c>
      <c r="Q106" s="37">
        <v>0</v>
      </c>
      <c r="R106" s="37">
        <v>0</v>
      </c>
      <c r="S106" s="37">
        <v>0</v>
      </c>
      <c r="T106" s="37">
        <v>0</v>
      </c>
      <c r="U106" s="37">
        <v>0</v>
      </c>
      <c r="V106" s="37">
        <v>0</v>
      </c>
      <c r="W106" s="37">
        <v>0</v>
      </c>
      <c r="X106" s="37">
        <v>0</v>
      </c>
      <c r="Y106" s="37">
        <v>0</v>
      </c>
      <c r="Z106" s="37">
        <v>0</v>
      </c>
      <c r="AA106" s="37">
        <v>0</v>
      </c>
      <c r="AB106" s="37">
        <v>0</v>
      </c>
      <c r="AC106" s="37">
        <v>0</v>
      </c>
      <c r="AD106" s="37">
        <v>0</v>
      </c>
      <c r="AE106" s="37">
        <v>0</v>
      </c>
      <c r="AF106" s="37">
        <v>0</v>
      </c>
      <c r="AG106" s="37">
        <v>0</v>
      </c>
      <c r="AH106" s="37">
        <v>0</v>
      </c>
      <c r="AI106" s="37">
        <v>0</v>
      </c>
      <c r="AJ106" s="37">
        <v>0</v>
      </c>
      <c r="AK106" s="37">
        <v>0</v>
      </c>
      <c r="AL106" s="37">
        <v>0</v>
      </c>
      <c r="AM106" s="37">
        <v>0</v>
      </c>
      <c r="AN106" s="37">
        <v>0</v>
      </c>
      <c r="AO106" s="37">
        <v>0</v>
      </c>
      <c r="AP106" s="37">
        <v>0</v>
      </c>
      <c r="AQ106" s="37">
        <v>0</v>
      </c>
      <c r="AR106" s="37">
        <v>0</v>
      </c>
      <c r="AS106" s="37">
        <v>0</v>
      </c>
      <c r="AT106" s="37">
        <v>0</v>
      </c>
      <c r="AU106" s="37">
        <v>0</v>
      </c>
      <c r="AV106" s="37">
        <v>0</v>
      </c>
      <c r="AW106" s="37">
        <v>0</v>
      </c>
      <c r="AX106" s="37">
        <v>0</v>
      </c>
      <c r="AY106" s="37">
        <v>0</v>
      </c>
      <c r="AZ106" s="37">
        <v>0</v>
      </c>
      <c r="BA106" s="37">
        <v>0</v>
      </c>
      <c r="BB106" s="37">
        <v>0</v>
      </c>
      <c r="BC106" s="37">
        <v>0</v>
      </c>
      <c r="BD106" s="37">
        <v>0</v>
      </c>
      <c r="BE106" s="37">
        <v>0</v>
      </c>
      <c r="BF106" s="37">
        <v>0</v>
      </c>
      <c r="BG106" s="37">
        <v>0</v>
      </c>
      <c r="BH106" s="37">
        <v>0</v>
      </c>
      <c r="BI106" s="37">
        <v>0</v>
      </c>
      <c r="BJ106" s="37">
        <v>0</v>
      </c>
      <c r="BK106" s="37">
        <v>0</v>
      </c>
      <c r="BL106" s="37">
        <v>0</v>
      </c>
      <c r="BM106" s="37">
        <v>0</v>
      </c>
      <c r="BN106" s="37">
        <v>0</v>
      </c>
      <c r="BO106" s="37">
        <v>0</v>
      </c>
      <c r="BP106" s="37">
        <v>0</v>
      </c>
      <c r="BQ106" s="37">
        <v>0</v>
      </c>
      <c r="BR106" s="37">
        <v>0</v>
      </c>
      <c r="BS106" s="37">
        <v>0</v>
      </c>
      <c r="BT106" s="37">
        <v>0</v>
      </c>
      <c r="BU106" s="37">
        <v>0</v>
      </c>
      <c r="BV106" s="37">
        <v>0</v>
      </c>
      <c r="BW106" s="37">
        <v>0</v>
      </c>
    </row>
    <row r="107" spans="2:75">
      <c r="B107">
        <v>10352</v>
      </c>
      <c r="C107" t="s">
        <v>111</v>
      </c>
      <c r="D107" s="37">
        <v>108.0486111111112</v>
      </c>
      <c r="E107" s="37">
        <v>0</v>
      </c>
      <c r="F107" s="37">
        <v>0</v>
      </c>
      <c r="G107" s="37">
        <v>0</v>
      </c>
      <c r="H107" s="37">
        <v>309.23317307692378</v>
      </c>
      <c r="I107" s="37">
        <v>0</v>
      </c>
      <c r="J107" s="37">
        <v>6959.3509615384583</v>
      </c>
      <c r="K107" s="37">
        <v>0</v>
      </c>
      <c r="L107" s="37">
        <v>5987.9869791666633</v>
      </c>
      <c r="M107" s="37">
        <v>0</v>
      </c>
      <c r="N107" s="37">
        <v>3663.8629807692337</v>
      </c>
      <c r="O107" s="37">
        <v>0</v>
      </c>
      <c r="P107" s="37">
        <v>2573.8701923076919</v>
      </c>
      <c r="Q107" s="37">
        <v>0</v>
      </c>
      <c r="R107" s="37">
        <v>1000.2874999999989</v>
      </c>
      <c r="S107" s="37">
        <v>0</v>
      </c>
      <c r="T107" s="37">
        <v>2670.795673076922</v>
      </c>
      <c r="U107" s="37">
        <v>0</v>
      </c>
      <c r="V107" s="37">
        <v>3508.6586538461561</v>
      </c>
      <c r="W107" s="37">
        <v>0</v>
      </c>
      <c r="X107" s="37">
        <v>5859.6322115384592</v>
      </c>
      <c r="Y107" s="37">
        <v>0</v>
      </c>
      <c r="Z107" s="37">
        <v>1707.7949999999983</v>
      </c>
      <c r="AA107" s="37">
        <v>0</v>
      </c>
      <c r="AB107" s="37">
        <v>194.8379629629633</v>
      </c>
      <c r="AC107" s="37">
        <v>0</v>
      </c>
      <c r="AD107" s="37">
        <v>42.677083333331645</v>
      </c>
      <c r="AE107" s="37">
        <v>0</v>
      </c>
      <c r="AF107" s="37">
        <v>388.90384615384255</v>
      </c>
      <c r="AG107" s="37">
        <v>0</v>
      </c>
      <c r="AH107" s="37">
        <v>7149.0224999999973</v>
      </c>
      <c r="AI107" s="37">
        <v>0</v>
      </c>
      <c r="AJ107" s="37">
        <v>6154.8828124999982</v>
      </c>
      <c r="AK107" s="37">
        <v>0</v>
      </c>
      <c r="AL107" s="37">
        <v>3753.0601851851866</v>
      </c>
      <c r="AM107" s="37">
        <v>0</v>
      </c>
      <c r="AN107" s="37">
        <v>2687.0312500000014</v>
      </c>
      <c r="AO107" s="37">
        <v>0</v>
      </c>
      <c r="AP107" s="37">
        <v>1086.7950000000003</v>
      </c>
      <c r="AQ107" s="37">
        <v>0</v>
      </c>
      <c r="AR107" s="37">
        <v>2783.2788461538462</v>
      </c>
      <c r="AS107" s="37">
        <v>0</v>
      </c>
      <c r="AT107" s="37">
        <v>3642.6730769230776</v>
      </c>
      <c r="AU107" s="37">
        <v>0</v>
      </c>
      <c r="AV107" s="37">
        <v>6009.2091346153838</v>
      </c>
      <c r="AW107" s="37">
        <v>0</v>
      </c>
      <c r="AX107" s="37">
        <v>1817.6449999999998</v>
      </c>
      <c r="AY107" s="37">
        <v>0</v>
      </c>
      <c r="AZ107" s="37">
        <v>216.49278846154286</v>
      </c>
      <c r="BA107" s="37">
        <v>0</v>
      </c>
      <c r="BB107" s="37">
        <v>43.399999999999217</v>
      </c>
      <c r="BC107" s="37">
        <v>0</v>
      </c>
      <c r="BD107" s="37">
        <v>385.95432692307475</v>
      </c>
      <c r="BE107" s="37">
        <v>0</v>
      </c>
      <c r="BF107" s="37">
        <v>7209.2750000000015</v>
      </c>
      <c r="BG107" s="37">
        <v>0</v>
      </c>
      <c r="BH107" s="37">
        <v>6213.4674999999997</v>
      </c>
      <c r="BI107" s="37">
        <v>0</v>
      </c>
      <c r="BJ107" s="37">
        <v>3789.9444444444434</v>
      </c>
      <c r="BK107" s="37">
        <v>0</v>
      </c>
      <c r="BL107" s="37">
        <v>2741.3174999999983</v>
      </c>
      <c r="BM107" s="37">
        <v>0</v>
      </c>
      <c r="BN107" s="37">
        <v>1121.9014423076922</v>
      </c>
      <c r="BO107" s="37">
        <v>0</v>
      </c>
      <c r="BP107" s="37">
        <v>2862.5336538461547</v>
      </c>
      <c r="BQ107" s="37">
        <v>0</v>
      </c>
      <c r="BR107" s="37">
        <v>3725.5575000000003</v>
      </c>
      <c r="BS107" s="37">
        <v>0</v>
      </c>
      <c r="BT107" s="37">
        <v>6129.4953703703695</v>
      </c>
      <c r="BU107" s="37">
        <v>0</v>
      </c>
      <c r="BV107" s="37">
        <v>1893.2925000000002</v>
      </c>
      <c r="BW107" s="37">
        <v>0</v>
      </c>
    </row>
    <row r="108" spans="2:75">
      <c r="B108">
        <v>10354</v>
      </c>
      <c r="C108" t="s">
        <v>112</v>
      </c>
      <c r="D108" s="37">
        <v>177179.10185185185</v>
      </c>
      <c r="E108" s="37">
        <v>0</v>
      </c>
      <c r="F108" s="37">
        <v>140557.58333333323</v>
      </c>
      <c r="G108" s="37">
        <v>0</v>
      </c>
      <c r="H108" s="37">
        <v>272285.51923076925</v>
      </c>
      <c r="I108" s="37">
        <v>0</v>
      </c>
      <c r="J108" s="37">
        <v>278020.32692307682</v>
      </c>
      <c r="K108" s="37">
        <v>0</v>
      </c>
      <c r="L108" s="37">
        <v>298201.17708333337</v>
      </c>
      <c r="M108" s="37">
        <v>0</v>
      </c>
      <c r="N108" s="37">
        <v>245043.24038461532</v>
      </c>
      <c r="O108" s="37">
        <v>0</v>
      </c>
      <c r="P108" s="37">
        <v>221718.91346153835</v>
      </c>
      <c r="Q108" s="37">
        <v>0</v>
      </c>
      <c r="R108" s="37">
        <v>151615.25</v>
      </c>
      <c r="S108" s="37">
        <v>0</v>
      </c>
      <c r="T108" s="37">
        <v>205386.42307692318</v>
      </c>
      <c r="U108" s="37">
        <v>0</v>
      </c>
      <c r="V108" s="37">
        <v>296780.17307692312</v>
      </c>
      <c r="W108" s="37">
        <v>0</v>
      </c>
      <c r="X108" s="37">
        <v>308203.35576923081</v>
      </c>
      <c r="Y108" s="37">
        <v>0</v>
      </c>
      <c r="Z108" s="37">
        <v>167124.74999999997</v>
      </c>
      <c r="AA108" s="37">
        <v>0</v>
      </c>
      <c r="AB108" s="37">
        <v>182330.52777777784</v>
      </c>
      <c r="AC108" s="37">
        <v>0</v>
      </c>
      <c r="AD108" s="37">
        <v>146190.08333333337</v>
      </c>
      <c r="AE108" s="37">
        <v>0</v>
      </c>
      <c r="AF108" s="37">
        <v>278443.43269230757</v>
      </c>
      <c r="AG108" s="37">
        <v>0</v>
      </c>
      <c r="AH108" s="37">
        <v>239137.25000000009</v>
      </c>
      <c r="AI108" s="37">
        <v>0</v>
      </c>
      <c r="AJ108" s="37">
        <v>303204.40625000006</v>
      </c>
      <c r="AK108" s="37">
        <v>0</v>
      </c>
      <c r="AL108" s="37">
        <v>285865.03703703696</v>
      </c>
      <c r="AM108" s="37">
        <v>0</v>
      </c>
      <c r="AN108" s="37">
        <v>225516.86538461546</v>
      </c>
      <c r="AO108" s="37">
        <v>0</v>
      </c>
      <c r="AP108" s="37">
        <v>154028.99999999994</v>
      </c>
      <c r="AQ108" s="37">
        <v>0</v>
      </c>
      <c r="AR108" s="37">
        <v>207832.13461538468</v>
      </c>
      <c r="AS108" s="37">
        <v>0</v>
      </c>
      <c r="AT108" s="37">
        <v>300608.79807692324</v>
      </c>
      <c r="AU108" s="37">
        <v>0</v>
      </c>
      <c r="AV108" s="37">
        <v>311814.75961538445</v>
      </c>
      <c r="AW108" s="37">
        <v>0</v>
      </c>
      <c r="AX108" s="37">
        <v>169633.25</v>
      </c>
      <c r="AY108" s="37">
        <v>0</v>
      </c>
      <c r="AZ108" s="37">
        <v>154632.68269230769</v>
      </c>
      <c r="BA108" s="37">
        <v>0</v>
      </c>
      <c r="BB108" s="37">
        <v>190877.24999999985</v>
      </c>
      <c r="BC108" s="37">
        <v>0</v>
      </c>
      <c r="BD108" s="37">
        <v>283101.52884615393</v>
      </c>
      <c r="BE108" s="37">
        <v>0</v>
      </c>
      <c r="BF108" s="37">
        <v>243935.24999999985</v>
      </c>
      <c r="BG108" s="37">
        <v>0</v>
      </c>
      <c r="BH108" s="37">
        <v>298358.49999999994</v>
      </c>
      <c r="BI108" s="37">
        <v>0</v>
      </c>
      <c r="BJ108" s="37">
        <v>290997.61111111112</v>
      </c>
      <c r="BK108" s="37">
        <v>0</v>
      </c>
      <c r="BL108" s="37">
        <v>195809.75000000012</v>
      </c>
      <c r="BM108" s="37">
        <v>0</v>
      </c>
      <c r="BN108" s="37">
        <v>187273.82692307691</v>
      </c>
      <c r="BO108" s="37">
        <v>0</v>
      </c>
      <c r="BP108" s="37">
        <v>210473.66346153853</v>
      </c>
      <c r="BQ108" s="37">
        <v>0</v>
      </c>
      <c r="BR108" s="37">
        <v>272772.50000000006</v>
      </c>
      <c r="BS108" s="37">
        <v>0</v>
      </c>
      <c r="BT108" s="37">
        <v>346573.57407407428</v>
      </c>
      <c r="BU108" s="37">
        <v>0</v>
      </c>
      <c r="BV108" s="37">
        <v>172343.75000000003</v>
      </c>
      <c r="BW108" s="37">
        <v>0</v>
      </c>
    </row>
    <row r="109" spans="2:75">
      <c r="B109">
        <v>10360</v>
      </c>
      <c r="C109" t="s">
        <v>113</v>
      </c>
      <c r="D109" s="37">
        <v>1200.7638888888887</v>
      </c>
      <c r="E109" s="37">
        <v>0</v>
      </c>
      <c r="F109" s="37">
        <v>260.73958333333371</v>
      </c>
      <c r="G109" s="37">
        <v>0</v>
      </c>
      <c r="H109" s="37">
        <v>639.13461538461445</v>
      </c>
      <c r="I109" s="37">
        <v>0</v>
      </c>
      <c r="J109" s="37">
        <v>752.40144230769192</v>
      </c>
      <c r="K109" s="37">
        <v>0</v>
      </c>
      <c r="L109" s="37">
        <v>132.58072916666697</v>
      </c>
      <c r="M109" s="37">
        <v>0</v>
      </c>
      <c r="N109" s="37">
        <v>179.3317307692308</v>
      </c>
      <c r="O109" s="37">
        <v>0</v>
      </c>
      <c r="P109" s="37">
        <v>1227.1274038461529</v>
      </c>
      <c r="Q109" s="37">
        <v>0</v>
      </c>
      <c r="R109" s="37">
        <v>1725.0724999999991</v>
      </c>
      <c r="S109" s="37">
        <v>0</v>
      </c>
      <c r="T109" s="37">
        <v>2748.3149038461547</v>
      </c>
      <c r="U109" s="37">
        <v>0</v>
      </c>
      <c r="V109" s="37">
        <v>2194.8437499999977</v>
      </c>
      <c r="W109" s="37">
        <v>0</v>
      </c>
      <c r="X109" s="37">
        <v>2299.8846153846157</v>
      </c>
      <c r="Y109" s="37">
        <v>0</v>
      </c>
      <c r="Z109" s="37">
        <v>2099.4775000000004</v>
      </c>
      <c r="AA109" s="37">
        <v>0</v>
      </c>
      <c r="AB109" s="37">
        <v>1178.1782407407409</v>
      </c>
      <c r="AC109" s="37">
        <v>0</v>
      </c>
      <c r="AD109" s="37">
        <v>237.92968750000031</v>
      </c>
      <c r="AE109" s="37">
        <v>0</v>
      </c>
      <c r="AF109" s="37">
        <v>616.15144230769192</v>
      </c>
      <c r="AG109" s="37">
        <v>0</v>
      </c>
      <c r="AH109" s="37">
        <v>725.92750000000024</v>
      </c>
      <c r="AI109" s="37">
        <v>0</v>
      </c>
      <c r="AJ109" s="37">
        <v>109.56770833333395</v>
      </c>
      <c r="AK109" s="37">
        <v>0</v>
      </c>
      <c r="AL109" s="37">
        <v>159.78935185185205</v>
      </c>
      <c r="AM109" s="37">
        <v>0</v>
      </c>
      <c r="AN109" s="37">
        <v>1207.1201923076926</v>
      </c>
      <c r="AO109" s="37">
        <v>0</v>
      </c>
      <c r="AP109" s="37">
        <v>1799.49</v>
      </c>
      <c r="AQ109" s="37">
        <v>0</v>
      </c>
      <c r="AR109" s="37">
        <v>2823.2596153846148</v>
      </c>
      <c r="AS109" s="37">
        <v>0</v>
      </c>
      <c r="AT109" s="37">
        <v>2264.8629807692309</v>
      </c>
      <c r="AU109" s="37">
        <v>0</v>
      </c>
      <c r="AV109" s="37">
        <v>2369.1802884615381</v>
      </c>
      <c r="AW109" s="37">
        <v>0</v>
      </c>
      <c r="AX109" s="37">
        <v>2174.5949999999998</v>
      </c>
      <c r="AY109" s="37">
        <v>0</v>
      </c>
      <c r="AZ109" s="37">
        <v>1146.9134615384619</v>
      </c>
      <c r="BA109" s="37">
        <v>0</v>
      </c>
      <c r="BB109" s="37">
        <v>219.25250000000051</v>
      </c>
      <c r="BC109" s="37">
        <v>0</v>
      </c>
      <c r="BD109" s="37">
        <v>593.81971153846064</v>
      </c>
      <c r="BE109" s="37">
        <v>0</v>
      </c>
      <c r="BF109" s="37">
        <v>703.38000000000034</v>
      </c>
      <c r="BG109" s="37">
        <v>0</v>
      </c>
      <c r="BH109" s="37">
        <v>129.82500000000076</v>
      </c>
      <c r="BI109" s="37">
        <v>0</v>
      </c>
      <c r="BJ109" s="37">
        <v>136.28935185185264</v>
      </c>
      <c r="BK109" s="37">
        <v>0</v>
      </c>
      <c r="BL109" s="37">
        <v>1177.1099999999994</v>
      </c>
      <c r="BM109" s="37">
        <v>0</v>
      </c>
      <c r="BN109" s="37">
        <v>1892.6947115384621</v>
      </c>
      <c r="BO109" s="37">
        <v>0</v>
      </c>
      <c r="BP109" s="37">
        <v>2898.3365384615395</v>
      </c>
      <c r="BQ109" s="37">
        <v>0</v>
      </c>
      <c r="BR109" s="37">
        <v>2311.4375000000014</v>
      </c>
      <c r="BS109" s="37">
        <v>0</v>
      </c>
      <c r="BT109" s="37">
        <v>2460.6319444444466</v>
      </c>
      <c r="BU109" s="37">
        <v>0</v>
      </c>
      <c r="BV109" s="37">
        <v>2248.9049999999993</v>
      </c>
      <c r="BW109" s="37">
        <v>0</v>
      </c>
    </row>
    <row r="110" spans="2:75">
      <c r="B110">
        <v>10363</v>
      </c>
      <c r="C110" t="s">
        <v>114</v>
      </c>
      <c r="D110" s="37">
        <v>0</v>
      </c>
      <c r="E110" s="37">
        <v>0</v>
      </c>
      <c r="F110" s="37">
        <v>15626.583333333332</v>
      </c>
      <c r="G110" s="37">
        <v>0</v>
      </c>
      <c r="H110" s="37">
        <v>9535.2716346153811</v>
      </c>
      <c r="I110" s="37">
        <v>0</v>
      </c>
      <c r="J110" s="37">
        <v>14387.853365384626</v>
      </c>
      <c r="K110" s="37">
        <v>0</v>
      </c>
      <c r="L110" s="37">
        <v>5958.3229166666524</v>
      </c>
      <c r="M110" s="37">
        <v>0</v>
      </c>
      <c r="N110" s="37">
        <v>15053.026442307697</v>
      </c>
      <c r="O110" s="37">
        <v>0</v>
      </c>
      <c r="P110" s="37">
        <v>5647.3461538461543</v>
      </c>
      <c r="Q110" s="37">
        <v>0</v>
      </c>
      <c r="R110" s="37">
        <v>4576.7200000000048</v>
      </c>
      <c r="S110" s="37">
        <v>0</v>
      </c>
      <c r="T110" s="37">
        <v>21311.024038461539</v>
      </c>
      <c r="U110" s="37">
        <v>0</v>
      </c>
      <c r="V110" s="37">
        <v>14395.072115384619</v>
      </c>
      <c r="W110" s="37">
        <v>0</v>
      </c>
      <c r="X110" s="37">
        <v>23570.300480769234</v>
      </c>
      <c r="Y110" s="37">
        <v>0</v>
      </c>
      <c r="Z110" s="37">
        <v>17451.145000000004</v>
      </c>
      <c r="AA110" s="37">
        <v>0</v>
      </c>
      <c r="AB110" s="37">
        <v>0</v>
      </c>
      <c r="AC110" s="37">
        <v>0</v>
      </c>
      <c r="AD110" s="37">
        <v>15791.705729166668</v>
      </c>
      <c r="AE110" s="37">
        <v>0</v>
      </c>
      <c r="AF110" s="37">
        <v>9836.9110576923158</v>
      </c>
      <c r="AG110" s="37">
        <v>0</v>
      </c>
      <c r="AH110" s="37">
        <v>14856.582499999999</v>
      </c>
      <c r="AI110" s="37">
        <v>0</v>
      </c>
      <c r="AJ110" s="37">
        <v>6151.8046874999827</v>
      </c>
      <c r="AK110" s="37">
        <v>0</v>
      </c>
      <c r="AL110" s="37">
        <v>15032.886574074084</v>
      </c>
      <c r="AM110" s="37">
        <v>0</v>
      </c>
      <c r="AN110" s="37">
        <v>5762.6466346153893</v>
      </c>
      <c r="AO110" s="37">
        <v>0</v>
      </c>
      <c r="AP110" s="37">
        <v>4639.3300000000118</v>
      </c>
      <c r="AQ110" s="37">
        <v>0</v>
      </c>
      <c r="AR110" s="37">
        <v>21397.271634615379</v>
      </c>
      <c r="AS110" s="37">
        <v>0</v>
      </c>
      <c r="AT110" s="37">
        <v>14416.68750000002</v>
      </c>
      <c r="AU110" s="37">
        <v>0</v>
      </c>
      <c r="AV110" s="37">
        <v>23659.872596153848</v>
      </c>
      <c r="AW110" s="37">
        <v>0</v>
      </c>
      <c r="AX110" s="37">
        <v>17516.549999999988</v>
      </c>
      <c r="AY110" s="37">
        <v>0</v>
      </c>
      <c r="AZ110" s="37">
        <v>0</v>
      </c>
      <c r="BA110" s="37">
        <v>0</v>
      </c>
      <c r="BB110" s="37">
        <v>15806.247500000001</v>
      </c>
      <c r="BC110" s="37">
        <v>0</v>
      </c>
      <c r="BD110" s="37">
        <v>10141.161057692298</v>
      </c>
      <c r="BE110" s="37">
        <v>0</v>
      </c>
      <c r="BF110" s="37">
        <v>15176.852500000006</v>
      </c>
      <c r="BG110" s="37">
        <v>0</v>
      </c>
      <c r="BH110" s="37">
        <v>6056.3175000000128</v>
      </c>
      <c r="BI110" s="37">
        <v>0</v>
      </c>
      <c r="BJ110" s="37">
        <v>15256.439814814812</v>
      </c>
      <c r="BK110" s="37">
        <v>0</v>
      </c>
      <c r="BL110" s="37">
        <v>6062.739999999987</v>
      </c>
      <c r="BM110" s="37">
        <v>0</v>
      </c>
      <c r="BN110" s="37">
        <v>4723.2860576923022</v>
      </c>
      <c r="BO110" s="37">
        <v>0</v>
      </c>
      <c r="BP110" s="37">
        <v>21549.65625</v>
      </c>
      <c r="BQ110" s="37">
        <v>0</v>
      </c>
      <c r="BR110" s="37">
        <v>14509.612499999985</v>
      </c>
      <c r="BS110" s="37">
        <v>0</v>
      </c>
      <c r="BT110" s="37">
        <v>23806.270833333314</v>
      </c>
      <c r="BU110" s="37">
        <v>0</v>
      </c>
      <c r="BV110" s="37">
        <v>17646.044999999995</v>
      </c>
      <c r="BW110" s="37">
        <v>0</v>
      </c>
    </row>
    <row r="111" spans="2:75">
      <c r="B111">
        <v>10369</v>
      </c>
      <c r="C111" t="s">
        <v>115</v>
      </c>
      <c r="D111" s="37">
        <v>2311.3425925925944</v>
      </c>
      <c r="E111" s="37">
        <v>0</v>
      </c>
      <c r="F111" s="37">
        <v>288.38541666666464</v>
      </c>
      <c r="G111" s="37">
        <v>0</v>
      </c>
      <c r="H111" s="37">
        <v>1105.8173076923081</v>
      </c>
      <c r="I111" s="37">
        <v>0</v>
      </c>
      <c r="J111" s="37">
        <v>1824.447115384618</v>
      </c>
      <c r="K111" s="37">
        <v>0</v>
      </c>
      <c r="L111" s="37">
        <v>1626.7057291666652</v>
      </c>
      <c r="M111" s="37">
        <v>0</v>
      </c>
      <c r="N111" s="37">
        <v>1667.6442307692309</v>
      </c>
      <c r="O111" s="37">
        <v>0</v>
      </c>
      <c r="P111" s="37">
        <v>2016.3822115384623</v>
      </c>
      <c r="Q111" s="37">
        <v>0</v>
      </c>
      <c r="R111" s="37">
        <v>3863.210000000005</v>
      </c>
      <c r="S111" s="37">
        <v>0</v>
      </c>
      <c r="T111" s="37">
        <v>3970.9903846153879</v>
      </c>
      <c r="U111" s="37">
        <v>0</v>
      </c>
      <c r="V111" s="37">
        <v>3007.8774038461484</v>
      </c>
      <c r="W111" s="37">
        <v>0</v>
      </c>
      <c r="X111" s="37">
        <v>4355.4711538461515</v>
      </c>
      <c r="Y111" s="37">
        <v>0</v>
      </c>
      <c r="Z111" s="37">
        <v>5727.0400000000018</v>
      </c>
      <c r="AA111" s="37">
        <v>0</v>
      </c>
      <c r="AB111" s="37">
        <v>2311.3425925925944</v>
      </c>
      <c r="AC111" s="37">
        <v>0</v>
      </c>
      <c r="AD111" s="37">
        <v>288.38541666666464</v>
      </c>
      <c r="AE111" s="37">
        <v>0</v>
      </c>
      <c r="AF111" s="37">
        <v>1105.8173076923081</v>
      </c>
      <c r="AG111" s="37">
        <v>0</v>
      </c>
      <c r="AH111" s="37">
        <v>1848.2850000000001</v>
      </c>
      <c r="AI111" s="37">
        <v>0</v>
      </c>
      <c r="AJ111" s="37">
        <v>1626.7057291666652</v>
      </c>
      <c r="AK111" s="37">
        <v>0</v>
      </c>
      <c r="AL111" s="37">
        <v>1648.1689814814815</v>
      </c>
      <c r="AM111" s="37">
        <v>0</v>
      </c>
      <c r="AN111" s="37">
        <v>2016.3822115384623</v>
      </c>
      <c r="AO111" s="37">
        <v>0</v>
      </c>
      <c r="AP111" s="37">
        <v>3863.210000000005</v>
      </c>
      <c r="AQ111" s="37">
        <v>0</v>
      </c>
      <c r="AR111" s="37">
        <v>3970.9903846153879</v>
      </c>
      <c r="AS111" s="37">
        <v>0</v>
      </c>
      <c r="AT111" s="37">
        <v>3007.8774038461484</v>
      </c>
      <c r="AU111" s="37">
        <v>0</v>
      </c>
      <c r="AV111" s="37">
        <v>4355.4711538461515</v>
      </c>
      <c r="AW111" s="37">
        <v>0</v>
      </c>
      <c r="AX111" s="37">
        <v>5727.0400000000018</v>
      </c>
      <c r="AY111" s="37">
        <v>0</v>
      </c>
      <c r="AZ111" s="37">
        <v>2331.3629807692287</v>
      </c>
      <c r="BA111" s="37">
        <v>0</v>
      </c>
      <c r="BB111" s="37">
        <v>281.87249999999955</v>
      </c>
      <c r="BC111" s="37">
        <v>0</v>
      </c>
      <c r="BD111" s="37">
        <v>1115.3028846153861</v>
      </c>
      <c r="BE111" s="37">
        <v>0</v>
      </c>
      <c r="BF111" s="37">
        <v>1858.8274999999999</v>
      </c>
      <c r="BG111" s="37">
        <v>0</v>
      </c>
      <c r="BH111" s="37">
        <v>1590.537499999999</v>
      </c>
      <c r="BI111" s="37">
        <v>0</v>
      </c>
      <c r="BJ111" s="37">
        <v>1658.6898148148123</v>
      </c>
      <c r="BK111" s="37">
        <v>0</v>
      </c>
      <c r="BL111" s="37">
        <v>2039.7700000000016</v>
      </c>
      <c r="BM111" s="37">
        <v>0</v>
      </c>
      <c r="BN111" s="37">
        <v>3853.1490384615372</v>
      </c>
      <c r="BO111" s="37">
        <v>0</v>
      </c>
      <c r="BP111" s="37">
        <v>3980.9807692307731</v>
      </c>
      <c r="BQ111" s="37">
        <v>0</v>
      </c>
      <c r="BR111" s="37">
        <v>3057.9624999999987</v>
      </c>
      <c r="BS111" s="37">
        <v>0</v>
      </c>
      <c r="BT111" s="37">
        <v>4314.1550925925912</v>
      </c>
      <c r="BU111" s="37">
        <v>0</v>
      </c>
      <c r="BV111" s="37">
        <v>5739.4250000000029</v>
      </c>
      <c r="BW111" s="37">
        <v>0</v>
      </c>
    </row>
    <row r="112" spans="2:75">
      <c r="B112">
        <v>10370</v>
      </c>
      <c r="C112" t="s">
        <v>116</v>
      </c>
      <c r="D112" s="37">
        <v>0</v>
      </c>
      <c r="E112" s="37">
        <v>0</v>
      </c>
      <c r="F112" s="37">
        <v>0</v>
      </c>
      <c r="G112" s="37">
        <v>0</v>
      </c>
      <c r="H112" s="37">
        <v>0</v>
      </c>
      <c r="I112" s="37">
        <v>0</v>
      </c>
      <c r="J112" s="37">
        <v>0</v>
      </c>
      <c r="K112" s="37">
        <v>0</v>
      </c>
      <c r="L112" s="37">
        <v>0</v>
      </c>
      <c r="M112" s="37">
        <v>0</v>
      </c>
      <c r="N112" s="37">
        <v>0</v>
      </c>
      <c r="O112" s="37">
        <v>0</v>
      </c>
      <c r="P112" s="37">
        <v>0</v>
      </c>
      <c r="Q112" s="37">
        <v>0</v>
      </c>
      <c r="R112" s="37">
        <v>0</v>
      </c>
      <c r="S112" s="37">
        <v>0</v>
      </c>
      <c r="T112" s="37">
        <v>0</v>
      </c>
      <c r="U112" s="37">
        <v>0</v>
      </c>
      <c r="V112" s="37">
        <v>0</v>
      </c>
      <c r="W112" s="37">
        <v>0</v>
      </c>
      <c r="X112" s="37">
        <v>0</v>
      </c>
      <c r="Y112" s="37">
        <v>0</v>
      </c>
      <c r="Z112" s="37">
        <v>0</v>
      </c>
      <c r="AA112" s="37">
        <v>0</v>
      </c>
      <c r="AB112" s="37">
        <v>0</v>
      </c>
      <c r="AC112" s="37">
        <v>0</v>
      </c>
      <c r="AD112" s="37">
        <v>0</v>
      </c>
      <c r="AE112" s="37">
        <v>0</v>
      </c>
      <c r="AF112" s="37">
        <v>0</v>
      </c>
      <c r="AG112" s="37">
        <v>0</v>
      </c>
      <c r="AH112" s="37">
        <v>0</v>
      </c>
      <c r="AI112" s="37">
        <v>0</v>
      </c>
      <c r="AJ112" s="37">
        <v>0</v>
      </c>
      <c r="AK112" s="37">
        <v>0</v>
      </c>
      <c r="AL112" s="37">
        <v>0</v>
      </c>
      <c r="AM112" s="37">
        <v>0</v>
      </c>
      <c r="AN112" s="37">
        <v>0</v>
      </c>
      <c r="AO112" s="37">
        <v>0</v>
      </c>
      <c r="AP112" s="37">
        <v>0</v>
      </c>
      <c r="AQ112" s="37">
        <v>0</v>
      </c>
      <c r="AR112" s="37">
        <v>0</v>
      </c>
      <c r="AS112" s="37">
        <v>0</v>
      </c>
      <c r="AT112" s="37">
        <v>0</v>
      </c>
      <c r="AU112" s="37">
        <v>0</v>
      </c>
      <c r="AV112" s="37">
        <v>0</v>
      </c>
      <c r="AW112" s="37">
        <v>0</v>
      </c>
      <c r="AX112" s="37">
        <v>0</v>
      </c>
      <c r="AY112" s="37">
        <v>0</v>
      </c>
      <c r="AZ112" s="37">
        <v>0</v>
      </c>
      <c r="BA112" s="37">
        <v>0</v>
      </c>
      <c r="BB112" s="37">
        <v>0</v>
      </c>
      <c r="BC112" s="37">
        <v>0</v>
      </c>
      <c r="BD112" s="37">
        <v>0</v>
      </c>
      <c r="BE112" s="37">
        <v>0</v>
      </c>
      <c r="BF112" s="37">
        <v>0</v>
      </c>
      <c r="BG112" s="37">
        <v>0</v>
      </c>
      <c r="BH112" s="37">
        <v>0</v>
      </c>
      <c r="BI112" s="37">
        <v>0</v>
      </c>
      <c r="BJ112" s="37">
        <v>0</v>
      </c>
      <c r="BK112" s="37">
        <v>0</v>
      </c>
      <c r="BL112" s="37">
        <v>0</v>
      </c>
      <c r="BM112" s="37">
        <v>0</v>
      </c>
      <c r="BN112" s="37">
        <v>0</v>
      </c>
      <c r="BO112" s="37">
        <v>0</v>
      </c>
      <c r="BP112" s="37">
        <v>0</v>
      </c>
      <c r="BQ112" s="37">
        <v>0</v>
      </c>
      <c r="BR112" s="37">
        <v>0</v>
      </c>
      <c r="BS112" s="37">
        <v>0</v>
      </c>
      <c r="BT112" s="37">
        <v>0</v>
      </c>
      <c r="BU112" s="37">
        <v>0</v>
      </c>
      <c r="BV112" s="37">
        <v>0</v>
      </c>
      <c r="BW112" s="37">
        <v>0</v>
      </c>
    </row>
    <row r="113" spans="2:75">
      <c r="B113">
        <v>10371</v>
      </c>
      <c r="C113" t="s">
        <v>117</v>
      </c>
      <c r="D113" s="37">
        <v>484.95833333333496</v>
      </c>
      <c r="E113" s="37">
        <v>0</v>
      </c>
      <c r="F113" s="37">
        <v>333.01562499999847</v>
      </c>
      <c r="G113" s="37">
        <v>0</v>
      </c>
      <c r="H113" s="37">
        <v>2441.8653846153857</v>
      </c>
      <c r="I113" s="37">
        <v>0</v>
      </c>
      <c r="J113" s="37">
        <v>2399.5408653846166</v>
      </c>
      <c r="K113" s="37">
        <v>0</v>
      </c>
      <c r="L113" s="37">
        <v>1137.9010416666642</v>
      </c>
      <c r="M113" s="37">
        <v>0</v>
      </c>
      <c r="N113" s="37">
        <v>0</v>
      </c>
      <c r="O113" s="37">
        <v>0</v>
      </c>
      <c r="P113" s="37">
        <v>1075.4110576923067</v>
      </c>
      <c r="Q113" s="37">
        <v>0</v>
      </c>
      <c r="R113" s="37">
        <v>761.24249999999847</v>
      </c>
      <c r="S113" s="37">
        <v>0</v>
      </c>
      <c r="T113" s="37">
        <v>2866.6899038461524</v>
      </c>
      <c r="U113" s="37">
        <v>0</v>
      </c>
      <c r="V113" s="37">
        <v>3144.3509615384623</v>
      </c>
      <c r="W113" s="37">
        <v>0</v>
      </c>
      <c r="X113" s="37">
        <v>2489.9302884615395</v>
      </c>
      <c r="Y113" s="37">
        <v>0</v>
      </c>
      <c r="Z113" s="37">
        <v>1219.6824999999994</v>
      </c>
      <c r="AA113" s="37">
        <v>0</v>
      </c>
      <c r="AB113" s="37">
        <v>542.67361111110904</v>
      </c>
      <c r="AC113" s="37">
        <v>0</v>
      </c>
      <c r="AD113" s="37">
        <v>379.21354166666578</v>
      </c>
      <c r="AE113" s="37">
        <v>0</v>
      </c>
      <c r="AF113" s="37">
        <v>2498.670673076922</v>
      </c>
      <c r="AG113" s="37">
        <v>0</v>
      </c>
      <c r="AH113" s="37">
        <v>1700.4874999999986</v>
      </c>
      <c r="AI113" s="37">
        <v>0</v>
      </c>
      <c r="AJ113" s="37">
        <v>1172.8541666666654</v>
      </c>
      <c r="AK113" s="37">
        <v>0</v>
      </c>
      <c r="AL113" s="37">
        <v>336.03935185185475</v>
      </c>
      <c r="AM113" s="37">
        <v>0</v>
      </c>
      <c r="AN113" s="37">
        <v>1115.8774038461522</v>
      </c>
      <c r="AO113" s="37">
        <v>0</v>
      </c>
      <c r="AP113" s="37">
        <v>799.19250000000068</v>
      </c>
      <c r="AQ113" s="37">
        <v>0</v>
      </c>
      <c r="AR113" s="37">
        <v>2918.0769230769224</v>
      </c>
      <c r="AS113" s="37">
        <v>0</v>
      </c>
      <c r="AT113" s="37">
        <v>3194.9855769230771</v>
      </c>
      <c r="AU113" s="37">
        <v>0</v>
      </c>
      <c r="AV113" s="37">
        <v>2538.3341346153834</v>
      </c>
      <c r="AW113" s="37">
        <v>0</v>
      </c>
      <c r="AX113" s="37">
        <v>1259.6125000000011</v>
      </c>
      <c r="AY113" s="37">
        <v>0</v>
      </c>
      <c r="AZ113" s="37">
        <v>39.52163461538305</v>
      </c>
      <c r="BA113" s="37">
        <v>0</v>
      </c>
      <c r="BB113" s="37">
        <v>1090.027500000002</v>
      </c>
      <c r="BC113" s="37">
        <v>0</v>
      </c>
      <c r="BD113" s="37">
        <v>2535.4374999999995</v>
      </c>
      <c r="BE113" s="37">
        <v>0</v>
      </c>
      <c r="BF113" s="37">
        <v>1732.187500000003</v>
      </c>
      <c r="BG113" s="37">
        <v>0</v>
      </c>
      <c r="BH113" s="37">
        <v>1149.3125000000025</v>
      </c>
      <c r="BI113" s="37">
        <v>0</v>
      </c>
      <c r="BJ113" s="37">
        <v>368.60648148148113</v>
      </c>
      <c r="BK113" s="37">
        <v>0</v>
      </c>
      <c r="BL113" s="37">
        <v>564.82749999999805</v>
      </c>
      <c r="BM113" s="37">
        <v>0</v>
      </c>
      <c r="BN113" s="37">
        <v>1347.0673076923085</v>
      </c>
      <c r="BO113" s="37">
        <v>0</v>
      </c>
      <c r="BP113" s="37">
        <v>2958.2163461538453</v>
      </c>
      <c r="BQ113" s="37">
        <v>0</v>
      </c>
      <c r="BR113" s="37">
        <v>2690.5725000000002</v>
      </c>
      <c r="BS113" s="37">
        <v>0</v>
      </c>
      <c r="BT113" s="37">
        <v>3104.465277777776</v>
      </c>
      <c r="BU113" s="37">
        <v>0</v>
      </c>
      <c r="BV113" s="37">
        <v>1288.750000000002</v>
      </c>
      <c r="BW113" s="37">
        <v>0</v>
      </c>
    </row>
    <row r="114" spans="2:75">
      <c r="B114">
        <v>10376</v>
      </c>
      <c r="C114" t="s">
        <v>118</v>
      </c>
      <c r="D114" s="37">
        <v>7588.0787037037007</v>
      </c>
      <c r="E114" s="37">
        <v>0</v>
      </c>
      <c r="F114" s="37">
        <v>16222.109375000005</v>
      </c>
      <c r="G114" s="37">
        <v>0</v>
      </c>
      <c r="H114" s="37">
        <v>8225.1442307692414</v>
      </c>
      <c r="I114" s="37">
        <v>0</v>
      </c>
      <c r="J114" s="37">
        <v>7316.8221153846107</v>
      </c>
      <c r="K114" s="37">
        <v>0</v>
      </c>
      <c r="L114" s="37">
        <v>18067.229166666679</v>
      </c>
      <c r="M114" s="37">
        <v>0</v>
      </c>
      <c r="N114" s="37">
        <v>25015.399038461543</v>
      </c>
      <c r="O114" s="37">
        <v>0</v>
      </c>
      <c r="P114" s="37">
        <v>12236.461538461526</v>
      </c>
      <c r="Q114" s="37">
        <v>0</v>
      </c>
      <c r="R114" s="37">
        <v>4059.5750000000094</v>
      </c>
      <c r="S114" s="37">
        <v>0</v>
      </c>
      <c r="T114" s="37">
        <v>4925.5624999999955</v>
      </c>
      <c r="U114" s="37">
        <v>0</v>
      </c>
      <c r="V114" s="37">
        <v>0</v>
      </c>
      <c r="W114" s="37">
        <v>0</v>
      </c>
      <c r="X114" s="37">
        <v>1177.5240384615374</v>
      </c>
      <c r="Y114" s="37">
        <v>0</v>
      </c>
      <c r="Z114" s="37">
        <v>1549.1750000000052</v>
      </c>
      <c r="AA114" s="37">
        <v>0</v>
      </c>
      <c r="AB114" s="37">
        <v>7729.0462962962965</v>
      </c>
      <c r="AC114" s="37">
        <v>0</v>
      </c>
      <c r="AD114" s="37">
        <v>16427.442708333328</v>
      </c>
      <c r="AE114" s="37">
        <v>0</v>
      </c>
      <c r="AF114" s="37">
        <v>8377.0961538461634</v>
      </c>
      <c r="AG114" s="37">
        <v>0</v>
      </c>
      <c r="AH114" s="37">
        <v>7797.5249999999933</v>
      </c>
      <c r="AI114" s="37">
        <v>0</v>
      </c>
      <c r="AJ114" s="37">
        <v>18289.390624999996</v>
      </c>
      <c r="AK114" s="37">
        <v>0</v>
      </c>
      <c r="AL114" s="37">
        <v>24998.152777777785</v>
      </c>
      <c r="AM114" s="37">
        <v>0</v>
      </c>
      <c r="AN114" s="37">
        <v>12409.264423076913</v>
      </c>
      <c r="AO114" s="37">
        <v>0</v>
      </c>
      <c r="AP114" s="37">
        <v>4163.6250000000036</v>
      </c>
      <c r="AQ114" s="37">
        <v>0</v>
      </c>
      <c r="AR114" s="37">
        <v>4984.1394230769229</v>
      </c>
      <c r="AS114" s="37">
        <v>0</v>
      </c>
      <c r="AT114" s="37">
        <v>0</v>
      </c>
      <c r="AU114" s="37">
        <v>0</v>
      </c>
      <c r="AV114" s="37">
        <v>1195.6490384615352</v>
      </c>
      <c r="AW114" s="37">
        <v>0</v>
      </c>
      <c r="AX114" s="37">
        <v>1611.4749999999985</v>
      </c>
      <c r="AY114" s="37">
        <v>0</v>
      </c>
      <c r="AZ114" s="37">
        <v>8043.6874999999973</v>
      </c>
      <c r="BA114" s="37">
        <v>0</v>
      </c>
      <c r="BB114" s="37">
        <v>16398.824999999997</v>
      </c>
      <c r="BC114" s="37">
        <v>0</v>
      </c>
      <c r="BD114" s="37">
        <v>8530.2211538461524</v>
      </c>
      <c r="BE114" s="37">
        <v>0</v>
      </c>
      <c r="BF114" s="37">
        <v>7945.1750000000065</v>
      </c>
      <c r="BG114" s="37">
        <v>0</v>
      </c>
      <c r="BH114" s="37">
        <v>18750.275000000001</v>
      </c>
      <c r="BI114" s="37">
        <v>0</v>
      </c>
      <c r="BJ114" s="37">
        <v>25224.018518518515</v>
      </c>
      <c r="BK114" s="37">
        <v>0</v>
      </c>
      <c r="BL114" s="37">
        <v>12828.074999999999</v>
      </c>
      <c r="BM114" s="37">
        <v>0</v>
      </c>
      <c r="BN114" s="37">
        <v>4078.1057692307668</v>
      </c>
      <c r="BO114" s="37">
        <v>0</v>
      </c>
      <c r="BP114" s="37">
        <v>5043.057692307696</v>
      </c>
      <c r="BQ114" s="37">
        <v>0</v>
      </c>
      <c r="BR114" s="37">
        <v>0</v>
      </c>
      <c r="BS114" s="37">
        <v>0</v>
      </c>
      <c r="BT114" s="37">
        <v>1054.1944444444441</v>
      </c>
      <c r="BU114" s="37">
        <v>0</v>
      </c>
      <c r="BV114" s="37">
        <v>1674.6499999999996</v>
      </c>
      <c r="BW114" s="37">
        <v>0</v>
      </c>
    </row>
    <row r="115" spans="2:75">
      <c r="B115">
        <v>10378</v>
      </c>
      <c r="C115" t="s">
        <v>119</v>
      </c>
      <c r="D115" s="37">
        <v>64.548611111110986</v>
      </c>
      <c r="E115" s="37">
        <v>0</v>
      </c>
      <c r="F115" s="37">
        <v>82.29166666666643</v>
      </c>
      <c r="G115" s="37">
        <v>0</v>
      </c>
      <c r="H115" s="37">
        <v>806.01682692307668</v>
      </c>
      <c r="I115" s="37">
        <v>0</v>
      </c>
      <c r="J115" s="37">
        <v>971.25480769230717</v>
      </c>
      <c r="K115" s="37">
        <v>0</v>
      </c>
      <c r="L115" s="37">
        <v>625.75781250000034</v>
      </c>
      <c r="M115" s="37">
        <v>0</v>
      </c>
      <c r="N115" s="37">
        <v>507.44711538461553</v>
      </c>
      <c r="O115" s="37">
        <v>0</v>
      </c>
      <c r="P115" s="37">
        <v>592.02163461538487</v>
      </c>
      <c r="Q115" s="37">
        <v>0</v>
      </c>
      <c r="R115" s="37">
        <v>201.82499999999999</v>
      </c>
      <c r="S115" s="37">
        <v>0</v>
      </c>
      <c r="T115" s="37">
        <v>384.76201923076923</v>
      </c>
      <c r="U115" s="37">
        <v>0</v>
      </c>
      <c r="V115" s="37">
        <v>408.38461538461507</v>
      </c>
      <c r="W115" s="37">
        <v>0</v>
      </c>
      <c r="X115" s="37">
        <v>342.47596153846172</v>
      </c>
      <c r="Y115" s="37">
        <v>0</v>
      </c>
      <c r="Z115" s="37">
        <v>552.81999999999982</v>
      </c>
      <c r="AA115" s="37">
        <v>0</v>
      </c>
      <c r="AB115" s="37">
        <v>54.219907407407341</v>
      </c>
      <c r="AC115" s="37">
        <v>0</v>
      </c>
      <c r="AD115" s="37">
        <v>71.791666666666472</v>
      </c>
      <c r="AE115" s="37">
        <v>0</v>
      </c>
      <c r="AF115" s="37">
        <v>797.04326923076906</v>
      </c>
      <c r="AG115" s="37">
        <v>0</v>
      </c>
      <c r="AH115" s="37">
        <v>828.33499999999992</v>
      </c>
      <c r="AI115" s="37">
        <v>0</v>
      </c>
      <c r="AJ115" s="37">
        <v>615.80468749999989</v>
      </c>
      <c r="AK115" s="37">
        <v>0</v>
      </c>
      <c r="AL115" s="37">
        <v>588.131944444444</v>
      </c>
      <c r="AM115" s="37">
        <v>0</v>
      </c>
      <c r="AN115" s="37">
        <v>581.91586538461547</v>
      </c>
      <c r="AO115" s="37">
        <v>0</v>
      </c>
      <c r="AP115" s="37">
        <v>190.89750000000001</v>
      </c>
      <c r="AQ115" s="37">
        <v>0</v>
      </c>
      <c r="AR115" s="37">
        <v>374.14903846153868</v>
      </c>
      <c r="AS115" s="37">
        <v>0</v>
      </c>
      <c r="AT115" s="37">
        <v>397.75480769230757</v>
      </c>
      <c r="AU115" s="37">
        <v>0</v>
      </c>
      <c r="AV115" s="37">
        <v>331.46153846153857</v>
      </c>
      <c r="AW115" s="37">
        <v>0</v>
      </c>
      <c r="AX115" s="37">
        <v>542.23999999999978</v>
      </c>
      <c r="AY115" s="37">
        <v>0</v>
      </c>
      <c r="AZ115" s="37">
        <v>0</v>
      </c>
      <c r="BA115" s="37">
        <v>0</v>
      </c>
      <c r="BB115" s="37">
        <v>165.52249999999981</v>
      </c>
      <c r="BC115" s="37">
        <v>0</v>
      </c>
      <c r="BD115" s="37">
        <v>787.06971153846166</v>
      </c>
      <c r="BE115" s="37">
        <v>0</v>
      </c>
      <c r="BF115" s="37">
        <v>817.96499999999946</v>
      </c>
      <c r="BG115" s="37">
        <v>0</v>
      </c>
      <c r="BH115" s="37">
        <v>673.8874999999997</v>
      </c>
      <c r="BI115" s="37">
        <v>0</v>
      </c>
      <c r="BJ115" s="37">
        <v>578.2777777777776</v>
      </c>
      <c r="BK115" s="37">
        <v>0</v>
      </c>
      <c r="BL115" s="37">
        <v>495.08500000000021</v>
      </c>
      <c r="BM115" s="37">
        <v>0</v>
      </c>
      <c r="BN115" s="37">
        <v>238.39423076923066</v>
      </c>
      <c r="BO115" s="37">
        <v>0</v>
      </c>
      <c r="BP115" s="37">
        <v>363.53605769230768</v>
      </c>
      <c r="BQ115" s="37">
        <v>0</v>
      </c>
      <c r="BR115" s="37">
        <v>315.68999999999977</v>
      </c>
      <c r="BS115" s="37">
        <v>0</v>
      </c>
      <c r="BT115" s="37">
        <v>385.91203703703712</v>
      </c>
      <c r="BU115" s="37">
        <v>0</v>
      </c>
      <c r="BV115" s="37">
        <v>531.66249999999991</v>
      </c>
      <c r="BW115" s="37">
        <v>0</v>
      </c>
    </row>
    <row r="116" spans="2:75">
      <c r="B116">
        <v>10379</v>
      </c>
      <c r="C116" t="s">
        <v>120</v>
      </c>
      <c r="D116" s="37">
        <v>522.50925925925969</v>
      </c>
      <c r="E116" s="37">
        <v>0</v>
      </c>
      <c r="F116" s="37">
        <v>0</v>
      </c>
      <c r="G116" s="37">
        <v>0</v>
      </c>
      <c r="H116" s="37">
        <v>1286.846153846154</v>
      </c>
      <c r="I116" s="37">
        <v>0</v>
      </c>
      <c r="J116" s="37">
        <v>1158.9086538461543</v>
      </c>
      <c r="K116" s="37">
        <v>0</v>
      </c>
      <c r="L116" s="37">
        <v>850.1302083333328</v>
      </c>
      <c r="M116" s="37">
        <v>0</v>
      </c>
      <c r="N116" s="37">
        <v>755.6057692307694</v>
      </c>
      <c r="O116" s="37">
        <v>0</v>
      </c>
      <c r="P116" s="37">
        <v>434.70673076923117</v>
      </c>
      <c r="Q116" s="37">
        <v>0</v>
      </c>
      <c r="R116" s="37">
        <v>479.09750000000042</v>
      </c>
      <c r="S116" s="37">
        <v>0</v>
      </c>
      <c r="T116" s="37">
        <v>1264.3293269230767</v>
      </c>
      <c r="U116" s="37">
        <v>0</v>
      </c>
      <c r="V116" s="37">
        <v>1610.7956730769235</v>
      </c>
      <c r="W116" s="37">
        <v>0</v>
      </c>
      <c r="X116" s="37">
        <v>1613.8581730769231</v>
      </c>
      <c r="Y116" s="37">
        <v>0</v>
      </c>
      <c r="Z116" s="37">
        <v>1013.2174999999996</v>
      </c>
      <c r="AA116" s="37">
        <v>0</v>
      </c>
      <c r="AB116" s="37">
        <v>529.03703703703718</v>
      </c>
      <c r="AC116" s="37">
        <v>0</v>
      </c>
      <c r="AD116" s="37">
        <v>0</v>
      </c>
      <c r="AE116" s="37">
        <v>0</v>
      </c>
      <c r="AF116" s="37">
        <v>1295.4230769230769</v>
      </c>
      <c r="AG116" s="37">
        <v>0</v>
      </c>
      <c r="AH116" s="37">
        <v>910.36500000000035</v>
      </c>
      <c r="AI116" s="37">
        <v>0</v>
      </c>
      <c r="AJ116" s="37">
        <v>865.66666666666686</v>
      </c>
      <c r="AK116" s="37">
        <v>0</v>
      </c>
      <c r="AL116" s="37">
        <v>977.24537037037123</v>
      </c>
      <c r="AM116" s="37">
        <v>0</v>
      </c>
      <c r="AN116" s="37">
        <v>451.79086538461542</v>
      </c>
      <c r="AO116" s="37">
        <v>0</v>
      </c>
      <c r="AP116" s="37">
        <v>496.90750000000025</v>
      </c>
      <c r="AQ116" s="37">
        <v>0</v>
      </c>
      <c r="AR116" s="37">
        <v>1285.9735576923076</v>
      </c>
      <c r="AS116" s="37">
        <v>0</v>
      </c>
      <c r="AT116" s="37">
        <v>1638.5528846153848</v>
      </c>
      <c r="AU116" s="37">
        <v>0</v>
      </c>
      <c r="AV116" s="37">
        <v>1642.5048076923083</v>
      </c>
      <c r="AW116" s="37">
        <v>0</v>
      </c>
      <c r="AX116" s="37">
        <v>1037.3574999999996</v>
      </c>
      <c r="AY116" s="37">
        <v>0</v>
      </c>
      <c r="AZ116" s="37">
        <v>372.13701923076934</v>
      </c>
      <c r="BA116" s="37">
        <v>0</v>
      </c>
      <c r="BB116" s="37">
        <v>20.139999999999603</v>
      </c>
      <c r="BC116" s="37">
        <v>0</v>
      </c>
      <c r="BD116" s="37">
        <v>1321.51201923077</v>
      </c>
      <c r="BE116" s="37">
        <v>0</v>
      </c>
      <c r="BF116" s="37">
        <v>932.20750000000032</v>
      </c>
      <c r="BG116" s="37">
        <v>0</v>
      </c>
      <c r="BH116" s="37">
        <v>920.75</v>
      </c>
      <c r="BI116" s="37">
        <v>0</v>
      </c>
      <c r="BJ116" s="37">
        <v>1002.6967592592597</v>
      </c>
      <c r="BK116" s="37">
        <v>0</v>
      </c>
      <c r="BL116" s="37">
        <v>288.25750000000028</v>
      </c>
      <c r="BM116" s="37">
        <v>0</v>
      </c>
      <c r="BN116" s="37">
        <v>678.3173076923083</v>
      </c>
      <c r="BO116" s="37">
        <v>0</v>
      </c>
      <c r="BP116" s="37">
        <v>1316.0408653846152</v>
      </c>
      <c r="BQ116" s="37">
        <v>0</v>
      </c>
      <c r="BR116" s="37">
        <v>1515.5249999999999</v>
      </c>
      <c r="BS116" s="37">
        <v>0</v>
      </c>
      <c r="BT116" s="37">
        <v>1830.7685185185187</v>
      </c>
      <c r="BU116" s="37">
        <v>0</v>
      </c>
      <c r="BV116" s="37">
        <v>1067.6974999999995</v>
      </c>
      <c r="BW116" s="37">
        <v>0</v>
      </c>
    </row>
    <row r="117" spans="2:75">
      <c r="B117">
        <v>10388</v>
      </c>
      <c r="C117" t="s">
        <v>121</v>
      </c>
      <c r="D117" s="37">
        <v>0</v>
      </c>
      <c r="E117" s="37">
        <v>0</v>
      </c>
      <c r="F117" s="37">
        <v>106748.59635416663</v>
      </c>
      <c r="G117" s="37">
        <v>0</v>
      </c>
      <c r="H117" s="37">
        <v>0</v>
      </c>
      <c r="I117" s="37">
        <v>0</v>
      </c>
      <c r="J117" s="37">
        <v>42640.860576923224</v>
      </c>
      <c r="K117" s="37">
        <v>0</v>
      </c>
      <c r="L117" s="37">
        <v>0</v>
      </c>
      <c r="M117" s="37">
        <v>0</v>
      </c>
      <c r="N117" s="37">
        <v>144372.0408653848</v>
      </c>
      <c r="O117" s="37">
        <v>0</v>
      </c>
      <c r="P117" s="37">
        <v>124047.22596153858</v>
      </c>
      <c r="Q117" s="37">
        <v>0</v>
      </c>
      <c r="R117" s="37">
        <v>33358.687500000022</v>
      </c>
      <c r="S117" s="37">
        <v>0</v>
      </c>
      <c r="T117" s="37">
        <v>0</v>
      </c>
      <c r="U117" s="37">
        <v>0</v>
      </c>
      <c r="V117" s="37">
        <v>0</v>
      </c>
      <c r="W117" s="37">
        <v>0</v>
      </c>
      <c r="X117" s="37">
        <v>117954.18028846175</v>
      </c>
      <c r="Y117" s="37">
        <v>0</v>
      </c>
      <c r="Z117" s="37">
        <v>24725.062500000015</v>
      </c>
      <c r="AA117" s="37">
        <v>0</v>
      </c>
      <c r="AB117" s="37">
        <v>0</v>
      </c>
      <c r="AC117" s="37">
        <v>0</v>
      </c>
      <c r="AD117" s="37">
        <v>145600.44531249997</v>
      </c>
      <c r="AE117" s="37">
        <v>0</v>
      </c>
      <c r="AF117" s="37">
        <v>0</v>
      </c>
      <c r="AG117" s="37">
        <v>0</v>
      </c>
      <c r="AH117" s="37">
        <v>163584.90500000009</v>
      </c>
      <c r="AI117" s="37">
        <v>0</v>
      </c>
      <c r="AJ117" s="37">
        <v>16916.489583333278</v>
      </c>
      <c r="AK117" s="37">
        <v>0</v>
      </c>
      <c r="AL117" s="37">
        <v>109363.78703703698</v>
      </c>
      <c r="AM117" s="37">
        <v>0</v>
      </c>
      <c r="AN117" s="37">
        <v>156440.22596153864</v>
      </c>
      <c r="AO117" s="37">
        <v>0</v>
      </c>
      <c r="AP117" s="37">
        <v>69303.375000000015</v>
      </c>
      <c r="AQ117" s="37">
        <v>0</v>
      </c>
      <c r="AR117" s="37">
        <v>8193.4423076924413</v>
      </c>
      <c r="AS117" s="37">
        <v>0</v>
      </c>
      <c r="AT117" s="37">
        <v>0</v>
      </c>
      <c r="AU117" s="37">
        <v>0</v>
      </c>
      <c r="AV117" s="37">
        <v>171280.4326923078</v>
      </c>
      <c r="AW117" s="37">
        <v>0</v>
      </c>
      <c r="AX117" s="37">
        <v>52893.374999999971</v>
      </c>
      <c r="AY117" s="37">
        <v>0</v>
      </c>
      <c r="AZ117" s="37">
        <v>133328.90625000012</v>
      </c>
      <c r="BA117" s="37">
        <v>0</v>
      </c>
      <c r="BB117" s="37">
        <v>64763.842499999941</v>
      </c>
      <c r="BC117" s="37">
        <v>0</v>
      </c>
      <c r="BD117" s="37">
        <v>0</v>
      </c>
      <c r="BE117" s="37">
        <v>0</v>
      </c>
      <c r="BF117" s="37">
        <v>240412.46749999991</v>
      </c>
      <c r="BG117" s="37">
        <v>0</v>
      </c>
      <c r="BH117" s="37">
        <v>36197.342499999919</v>
      </c>
      <c r="BI117" s="37">
        <v>0</v>
      </c>
      <c r="BJ117" s="37">
        <v>172624.43750000006</v>
      </c>
      <c r="BK117" s="37">
        <v>0</v>
      </c>
      <c r="BL117" s="37">
        <v>350556.21749999997</v>
      </c>
      <c r="BM117" s="37">
        <v>0</v>
      </c>
      <c r="BN117" s="37">
        <v>0</v>
      </c>
      <c r="BO117" s="37">
        <v>0</v>
      </c>
      <c r="BP117" s="37">
        <v>29210.447115384773</v>
      </c>
      <c r="BQ117" s="37">
        <v>0</v>
      </c>
      <c r="BR117" s="37">
        <v>83339.904999999897</v>
      </c>
      <c r="BS117" s="37">
        <v>0</v>
      </c>
      <c r="BT117" s="37">
        <v>123098.34722222216</v>
      </c>
      <c r="BU117" s="37">
        <v>0</v>
      </c>
      <c r="BV117" s="37">
        <v>99554.154999999897</v>
      </c>
      <c r="BW117" s="37">
        <v>0</v>
      </c>
    </row>
    <row r="118" spans="2:75">
      <c r="B118">
        <v>10391</v>
      </c>
      <c r="C118" t="s">
        <v>122</v>
      </c>
      <c r="D118" s="37">
        <v>4202.5462962962984</v>
      </c>
      <c r="E118" s="37">
        <v>0</v>
      </c>
      <c r="F118" s="37">
        <v>0</v>
      </c>
      <c r="G118" s="37">
        <v>0</v>
      </c>
      <c r="H118" s="37">
        <v>4933.4495192307713</v>
      </c>
      <c r="I118" s="37">
        <v>0</v>
      </c>
      <c r="J118" s="37">
        <v>5467.7091346153811</v>
      </c>
      <c r="K118" s="37">
        <v>0</v>
      </c>
      <c r="L118" s="37">
        <v>804.0468749999992</v>
      </c>
      <c r="M118" s="37">
        <v>0</v>
      </c>
      <c r="N118" s="37">
        <v>1141.2379807692296</v>
      </c>
      <c r="O118" s="37">
        <v>0</v>
      </c>
      <c r="P118" s="37">
        <v>1626.6730769230744</v>
      </c>
      <c r="Q118" s="37">
        <v>0</v>
      </c>
      <c r="R118" s="37">
        <v>2662.1249999999968</v>
      </c>
      <c r="S118" s="37">
        <v>0</v>
      </c>
      <c r="T118" s="37">
        <v>3750.9759615384723</v>
      </c>
      <c r="U118" s="37">
        <v>0</v>
      </c>
      <c r="V118" s="37">
        <v>7471.3942307692241</v>
      </c>
      <c r="W118" s="37">
        <v>0</v>
      </c>
      <c r="X118" s="37">
        <v>3727.548076923073</v>
      </c>
      <c r="Y118" s="37">
        <v>0</v>
      </c>
      <c r="Z118" s="37">
        <v>2885.2549999999974</v>
      </c>
      <c r="AA118" s="37">
        <v>0</v>
      </c>
      <c r="AB118" s="37">
        <v>4463.8888888888896</v>
      </c>
      <c r="AC118" s="37">
        <v>0</v>
      </c>
      <c r="AD118" s="37">
        <v>0</v>
      </c>
      <c r="AE118" s="37">
        <v>0</v>
      </c>
      <c r="AF118" s="37">
        <v>5203.6971153846225</v>
      </c>
      <c r="AG118" s="37">
        <v>0</v>
      </c>
      <c r="AH118" s="37">
        <v>3924.7500000000014</v>
      </c>
      <c r="AI118" s="37">
        <v>0</v>
      </c>
      <c r="AJ118" s="37">
        <v>1073.1276041666665</v>
      </c>
      <c r="AK118" s="37">
        <v>0</v>
      </c>
      <c r="AL118" s="37">
        <v>2838.6527777777778</v>
      </c>
      <c r="AM118" s="37">
        <v>0</v>
      </c>
      <c r="AN118" s="37">
        <v>1885.656249999995</v>
      </c>
      <c r="AO118" s="37">
        <v>0</v>
      </c>
      <c r="AP118" s="37">
        <v>2901.1000000000004</v>
      </c>
      <c r="AQ118" s="37">
        <v>0</v>
      </c>
      <c r="AR118" s="37">
        <v>4009.2307692307754</v>
      </c>
      <c r="AS118" s="37">
        <v>0</v>
      </c>
      <c r="AT118" s="37">
        <v>7735.074519230775</v>
      </c>
      <c r="AU118" s="37">
        <v>0</v>
      </c>
      <c r="AV118" s="37">
        <v>3963.1225961538466</v>
      </c>
      <c r="AW118" s="37">
        <v>0</v>
      </c>
      <c r="AX118" s="37">
        <v>3139.2425000000053</v>
      </c>
      <c r="AY118" s="37">
        <v>0</v>
      </c>
      <c r="AZ118" s="37">
        <v>3230.7331730769215</v>
      </c>
      <c r="BA118" s="37">
        <v>0</v>
      </c>
      <c r="BB118" s="37">
        <v>1288.6600000000055</v>
      </c>
      <c r="BC118" s="37">
        <v>0</v>
      </c>
      <c r="BD118" s="37">
        <v>5473.9399038461534</v>
      </c>
      <c r="BE118" s="37">
        <v>0</v>
      </c>
      <c r="BF118" s="37">
        <v>4176.0750000000025</v>
      </c>
      <c r="BG118" s="37">
        <v>0</v>
      </c>
      <c r="BH118" s="37">
        <v>1387.0700000000031</v>
      </c>
      <c r="BI118" s="37">
        <v>0</v>
      </c>
      <c r="BJ118" s="37">
        <v>3110.0763888888887</v>
      </c>
      <c r="BK118" s="37">
        <v>0</v>
      </c>
      <c r="BL118" s="37">
        <v>494.42249999999711</v>
      </c>
      <c r="BM118" s="37">
        <v>0</v>
      </c>
      <c r="BN118" s="37">
        <v>4965.1923076923131</v>
      </c>
      <c r="BO118" s="37">
        <v>0</v>
      </c>
      <c r="BP118" s="37">
        <v>4267.4831730769256</v>
      </c>
      <c r="BQ118" s="37">
        <v>0</v>
      </c>
      <c r="BR118" s="37">
        <v>5695.3424999999916</v>
      </c>
      <c r="BS118" s="37">
        <v>0</v>
      </c>
      <c r="BT118" s="37">
        <v>6352.3726851851752</v>
      </c>
      <c r="BU118" s="37">
        <v>0</v>
      </c>
      <c r="BV118" s="37">
        <v>3393.2274999999981</v>
      </c>
      <c r="BW118" s="37">
        <v>0</v>
      </c>
    </row>
    <row r="119" spans="2:75">
      <c r="B119">
        <v>10406</v>
      </c>
      <c r="C119" t="s">
        <v>123</v>
      </c>
      <c r="D119" s="37">
        <v>100.54166666666661</v>
      </c>
      <c r="E119" s="37">
        <v>0</v>
      </c>
      <c r="F119" s="37">
        <v>135.3359375</v>
      </c>
      <c r="G119" s="37">
        <v>0</v>
      </c>
      <c r="H119" s="37">
        <v>0</v>
      </c>
      <c r="I119" s="37">
        <v>0</v>
      </c>
      <c r="J119" s="37">
        <v>117.93269230769241</v>
      </c>
      <c r="K119" s="37">
        <v>0</v>
      </c>
      <c r="L119" s="37">
        <v>71.145833333333456</v>
      </c>
      <c r="M119" s="37">
        <v>0</v>
      </c>
      <c r="N119" s="37">
        <v>164.36778846153848</v>
      </c>
      <c r="O119" s="37">
        <v>0</v>
      </c>
      <c r="P119" s="37">
        <v>84.499999999999957</v>
      </c>
      <c r="Q119" s="37">
        <v>0</v>
      </c>
      <c r="R119" s="37">
        <v>47.802499999999966</v>
      </c>
      <c r="S119" s="37">
        <v>0</v>
      </c>
      <c r="T119" s="37">
        <v>64.112980769230774</v>
      </c>
      <c r="U119" s="37">
        <v>0</v>
      </c>
      <c r="V119" s="37">
        <v>0</v>
      </c>
      <c r="W119" s="37">
        <v>0</v>
      </c>
      <c r="X119" s="37">
        <v>0</v>
      </c>
      <c r="Y119" s="37">
        <v>0</v>
      </c>
      <c r="Z119" s="37">
        <v>0</v>
      </c>
      <c r="AA119" s="37">
        <v>0</v>
      </c>
      <c r="AB119" s="37">
        <v>113.12499999999989</v>
      </c>
      <c r="AC119" s="37">
        <v>0</v>
      </c>
      <c r="AD119" s="37">
        <v>144.27343750000006</v>
      </c>
      <c r="AE119" s="37">
        <v>0</v>
      </c>
      <c r="AF119" s="37">
        <v>0</v>
      </c>
      <c r="AG119" s="37">
        <v>0</v>
      </c>
      <c r="AH119" s="37">
        <v>125.84499999999996</v>
      </c>
      <c r="AI119" s="37">
        <v>0</v>
      </c>
      <c r="AJ119" s="37">
        <v>77.984374999999886</v>
      </c>
      <c r="AK119" s="37">
        <v>0</v>
      </c>
      <c r="AL119" s="37">
        <v>172.62731481481492</v>
      </c>
      <c r="AM119" s="37">
        <v>0</v>
      </c>
      <c r="AN119" s="37">
        <v>91.10336538461533</v>
      </c>
      <c r="AO119" s="37">
        <v>0</v>
      </c>
      <c r="AP119" s="37">
        <v>53.437499999999915</v>
      </c>
      <c r="AQ119" s="37">
        <v>0</v>
      </c>
      <c r="AR119" s="37">
        <v>67.951923076923109</v>
      </c>
      <c r="AS119" s="37">
        <v>0</v>
      </c>
      <c r="AT119" s="37">
        <v>0</v>
      </c>
      <c r="AU119" s="37">
        <v>0</v>
      </c>
      <c r="AV119" s="37">
        <v>0</v>
      </c>
      <c r="AW119" s="37">
        <v>0</v>
      </c>
      <c r="AX119" s="37">
        <v>0</v>
      </c>
      <c r="AY119" s="37">
        <v>0</v>
      </c>
      <c r="AZ119" s="37">
        <v>114.1322115384615</v>
      </c>
      <c r="BA119" s="37">
        <v>0</v>
      </c>
      <c r="BB119" s="37">
        <v>148.6975000000001</v>
      </c>
      <c r="BC119" s="37">
        <v>0</v>
      </c>
      <c r="BD119" s="37">
        <v>0</v>
      </c>
      <c r="BE119" s="37">
        <v>0</v>
      </c>
      <c r="BF119" s="37">
        <v>128.05749999999992</v>
      </c>
      <c r="BG119" s="37">
        <v>0</v>
      </c>
      <c r="BH119" s="37">
        <v>84.67499999999994</v>
      </c>
      <c r="BI119" s="37">
        <v>0</v>
      </c>
      <c r="BJ119" s="37">
        <v>174.90509259259264</v>
      </c>
      <c r="BK119" s="37">
        <v>0</v>
      </c>
      <c r="BL119" s="37">
        <v>92.930000000000121</v>
      </c>
      <c r="BM119" s="37">
        <v>0</v>
      </c>
      <c r="BN119" s="37">
        <v>57.473557692307551</v>
      </c>
      <c r="BO119" s="37">
        <v>0</v>
      </c>
      <c r="BP119" s="37">
        <v>70.01442307692318</v>
      </c>
      <c r="BQ119" s="37">
        <v>0</v>
      </c>
      <c r="BR119" s="37">
        <v>0</v>
      </c>
      <c r="BS119" s="37">
        <v>0</v>
      </c>
      <c r="BT119" s="37">
        <v>0</v>
      </c>
      <c r="BU119" s="37">
        <v>0</v>
      </c>
      <c r="BV119" s="37">
        <v>1.5000000000042757E-2</v>
      </c>
      <c r="BW119" s="37">
        <v>0</v>
      </c>
    </row>
    <row r="120" spans="2:75">
      <c r="B120">
        <v>10408</v>
      </c>
      <c r="C120" t="s">
        <v>124</v>
      </c>
      <c r="D120" s="37">
        <v>194.15740740740713</v>
      </c>
      <c r="E120" s="37">
        <v>0</v>
      </c>
      <c r="F120" s="37">
        <v>276.30468749999972</v>
      </c>
      <c r="G120" s="37">
        <v>0</v>
      </c>
      <c r="H120" s="37">
        <v>263.56250000000017</v>
      </c>
      <c r="I120" s="37">
        <v>0</v>
      </c>
      <c r="J120" s="37">
        <v>262.68749999999994</v>
      </c>
      <c r="K120" s="37">
        <v>0</v>
      </c>
      <c r="L120" s="37">
        <v>356.40364583333303</v>
      </c>
      <c r="M120" s="37">
        <v>0</v>
      </c>
      <c r="N120" s="37">
        <v>371.28365384615381</v>
      </c>
      <c r="O120" s="37">
        <v>0</v>
      </c>
      <c r="P120" s="37">
        <v>236.6418269230771</v>
      </c>
      <c r="Q120" s="37">
        <v>0</v>
      </c>
      <c r="R120" s="37">
        <v>292.57749999999982</v>
      </c>
      <c r="S120" s="37">
        <v>0</v>
      </c>
      <c r="T120" s="37">
        <v>315.23798076923055</v>
      </c>
      <c r="U120" s="37">
        <v>0</v>
      </c>
      <c r="V120" s="37">
        <v>230.7091346153845</v>
      </c>
      <c r="W120" s="37">
        <v>0</v>
      </c>
      <c r="X120" s="37">
        <v>395.82451923076928</v>
      </c>
      <c r="Y120" s="37">
        <v>0</v>
      </c>
      <c r="Z120" s="37">
        <v>252.90000000000012</v>
      </c>
      <c r="AA120" s="37">
        <v>0</v>
      </c>
      <c r="AB120" s="37">
        <v>194.15740740740713</v>
      </c>
      <c r="AC120" s="37">
        <v>0</v>
      </c>
      <c r="AD120" s="37">
        <v>276.30468749999972</v>
      </c>
      <c r="AE120" s="37">
        <v>0</v>
      </c>
      <c r="AF120" s="37">
        <v>263.56250000000017</v>
      </c>
      <c r="AG120" s="37">
        <v>0</v>
      </c>
      <c r="AH120" s="37">
        <v>281.0975000000002</v>
      </c>
      <c r="AI120" s="37">
        <v>0</v>
      </c>
      <c r="AJ120" s="37">
        <v>356.40364583333303</v>
      </c>
      <c r="AK120" s="37">
        <v>0</v>
      </c>
      <c r="AL120" s="37">
        <v>356.85648148148152</v>
      </c>
      <c r="AM120" s="37">
        <v>0</v>
      </c>
      <c r="AN120" s="37">
        <v>236.6418269230771</v>
      </c>
      <c r="AO120" s="37">
        <v>0</v>
      </c>
      <c r="AP120" s="37">
        <v>292.57749999999982</v>
      </c>
      <c r="AQ120" s="37">
        <v>0</v>
      </c>
      <c r="AR120" s="37">
        <v>315.23798076923055</v>
      </c>
      <c r="AS120" s="37">
        <v>0</v>
      </c>
      <c r="AT120" s="37">
        <v>230.7091346153845</v>
      </c>
      <c r="AU120" s="37">
        <v>0</v>
      </c>
      <c r="AV120" s="37">
        <v>395.82451923076928</v>
      </c>
      <c r="AW120" s="37">
        <v>0</v>
      </c>
      <c r="AX120" s="37">
        <v>252.90000000000012</v>
      </c>
      <c r="AY120" s="37">
        <v>0</v>
      </c>
      <c r="AZ120" s="37">
        <v>210.19711538461524</v>
      </c>
      <c r="BA120" s="37">
        <v>0</v>
      </c>
      <c r="BB120" s="37">
        <v>261.29999999999967</v>
      </c>
      <c r="BC120" s="37">
        <v>0</v>
      </c>
      <c r="BD120" s="37">
        <v>263.56250000000017</v>
      </c>
      <c r="BE120" s="37">
        <v>0</v>
      </c>
      <c r="BF120" s="37">
        <v>281.0975000000002</v>
      </c>
      <c r="BG120" s="37">
        <v>0</v>
      </c>
      <c r="BH120" s="37">
        <v>354.11249999999978</v>
      </c>
      <c r="BI120" s="37">
        <v>0</v>
      </c>
      <c r="BJ120" s="37">
        <v>356.85648148148152</v>
      </c>
      <c r="BK120" s="37">
        <v>0</v>
      </c>
      <c r="BL120" s="37">
        <v>251.63000000000014</v>
      </c>
      <c r="BM120" s="37">
        <v>0</v>
      </c>
      <c r="BN120" s="37">
        <v>279.26682692307679</v>
      </c>
      <c r="BO120" s="37">
        <v>0</v>
      </c>
      <c r="BP120" s="37">
        <v>315.23798076923055</v>
      </c>
      <c r="BQ120" s="37">
        <v>0</v>
      </c>
      <c r="BR120" s="37">
        <v>242.88249999999994</v>
      </c>
      <c r="BS120" s="37">
        <v>0</v>
      </c>
      <c r="BT120" s="37">
        <v>381.86805555555543</v>
      </c>
      <c r="BU120" s="37">
        <v>0</v>
      </c>
      <c r="BV120" s="37">
        <v>252.90000000000012</v>
      </c>
      <c r="BW120" s="37">
        <v>0</v>
      </c>
    </row>
    <row r="121" spans="2:75">
      <c r="B121">
        <v>10409</v>
      </c>
      <c r="C121" t="s">
        <v>125</v>
      </c>
      <c r="D121" s="37">
        <v>6301.82175925926</v>
      </c>
      <c r="E121" s="37">
        <v>0</v>
      </c>
      <c r="F121" s="37">
        <v>4524.1354166666661</v>
      </c>
      <c r="G121" s="37">
        <v>0</v>
      </c>
      <c r="H121" s="37">
        <v>6712.8725961538503</v>
      </c>
      <c r="I121" s="37">
        <v>0</v>
      </c>
      <c r="J121" s="37">
        <v>6995.3677884615427</v>
      </c>
      <c r="K121" s="37">
        <v>0</v>
      </c>
      <c r="L121" s="37">
        <v>7414.1536458333267</v>
      </c>
      <c r="M121" s="37">
        <v>0</v>
      </c>
      <c r="N121" s="37">
        <v>6295.5769230769238</v>
      </c>
      <c r="O121" s="37">
        <v>0</v>
      </c>
      <c r="P121" s="37">
        <v>5659.6586538461543</v>
      </c>
      <c r="Q121" s="37">
        <v>0</v>
      </c>
      <c r="R121" s="37">
        <v>5237.3850000000029</v>
      </c>
      <c r="S121" s="37">
        <v>0</v>
      </c>
      <c r="T121" s="37">
        <v>6831.9591346153866</v>
      </c>
      <c r="U121" s="37">
        <v>0</v>
      </c>
      <c r="V121" s="37">
        <v>6148.4951923076887</v>
      </c>
      <c r="W121" s="37">
        <v>0</v>
      </c>
      <c r="X121" s="37">
        <v>6291.5697115384564</v>
      </c>
      <c r="Y121" s="37">
        <v>0</v>
      </c>
      <c r="Z121" s="37">
        <v>5589.1075000000028</v>
      </c>
      <c r="AA121" s="37">
        <v>0</v>
      </c>
      <c r="AB121" s="37">
        <v>6301.82175925926</v>
      </c>
      <c r="AC121" s="37">
        <v>0</v>
      </c>
      <c r="AD121" s="37">
        <v>4524.1354166666661</v>
      </c>
      <c r="AE121" s="37">
        <v>0</v>
      </c>
      <c r="AF121" s="37">
        <v>6712.8725961538503</v>
      </c>
      <c r="AG121" s="37">
        <v>0</v>
      </c>
      <c r="AH121" s="37">
        <v>6640.3974999999991</v>
      </c>
      <c r="AI121" s="37">
        <v>0</v>
      </c>
      <c r="AJ121" s="37">
        <v>7414.1536458333267</v>
      </c>
      <c r="AK121" s="37">
        <v>0</v>
      </c>
      <c r="AL121" s="37">
        <v>6636.4097222222199</v>
      </c>
      <c r="AM121" s="37">
        <v>0</v>
      </c>
      <c r="AN121" s="37">
        <v>5659.6586538461543</v>
      </c>
      <c r="AO121" s="37">
        <v>0</v>
      </c>
      <c r="AP121" s="37">
        <v>5237.3850000000029</v>
      </c>
      <c r="AQ121" s="37">
        <v>0</v>
      </c>
      <c r="AR121" s="37">
        <v>6831.9591346153866</v>
      </c>
      <c r="AS121" s="37">
        <v>0</v>
      </c>
      <c r="AT121" s="37">
        <v>6148.4951923076887</v>
      </c>
      <c r="AU121" s="37">
        <v>0</v>
      </c>
      <c r="AV121" s="37">
        <v>6291.5697115384564</v>
      </c>
      <c r="AW121" s="37">
        <v>0</v>
      </c>
      <c r="AX121" s="37">
        <v>5589.1075000000028</v>
      </c>
      <c r="AY121" s="37">
        <v>0</v>
      </c>
      <c r="AZ121" s="37">
        <v>5962.9447115384637</v>
      </c>
      <c r="BA121" s="37">
        <v>0</v>
      </c>
      <c r="BB121" s="37">
        <v>4920.9275000000043</v>
      </c>
      <c r="BC121" s="37">
        <v>0</v>
      </c>
      <c r="BD121" s="37">
        <v>6712.8725961538503</v>
      </c>
      <c r="BE121" s="37">
        <v>0</v>
      </c>
      <c r="BF121" s="37">
        <v>6640.3975000000064</v>
      </c>
      <c r="BG121" s="37">
        <v>0</v>
      </c>
      <c r="BH121" s="37">
        <v>6567.7300000000041</v>
      </c>
      <c r="BI121" s="37">
        <v>0</v>
      </c>
      <c r="BJ121" s="37">
        <v>6636.4097222222199</v>
      </c>
      <c r="BK121" s="37">
        <v>0</v>
      </c>
      <c r="BL121" s="37">
        <v>5306.2950000000019</v>
      </c>
      <c r="BM121" s="37">
        <v>0</v>
      </c>
      <c r="BN121" s="37">
        <v>5581.6274038461561</v>
      </c>
      <c r="BO121" s="37">
        <v>0</v>
      </c>
      <c r="BP121" s="37">
        <v>6831.9591346153866</v>
      </c>
      <c r="BQ121" s="37">
        <v>0</v>
      </c>
      <c r="BR121" s="37">
        <v>5780.619999999999</v>
      </c>
      <c r="BS121" s="37">
        <v>0</v>
      </c>
      <c r="BT121" s="37">
        <v>6633.1134259259225</v>
      </c>
      <c r="BU121" s="37">
        <v>0</v>
      </c>
      <c r="BV121" s="37">
        <v>5589.1075000000028</v>
      </c>
      <c r="BW121" s="37">
        <v>0</v>
      </c>
    </row>
    <row r="122" spans="2:75">
      <c r="B122">
        <v>10426</v>
      </c>
      <c r="C122" t="s">
        <v>126</v>
      </c>
      <c r="D122" s="37">
        <v>3492.3449074074078</v>
      </c>
      <c r="E122" s="37">
        <v>0</v>
      </c>
      <c r="F122" s="37">
        <v>0</v>
      </c>
      <c r="G122" s="37">
        <v>0</v>
      </c>
      <c r="H122" s="37">
        <v>2741.329326923079</v>
      </c>
      <c r="I122" s="37">
        <v>0</v>
      </c>
      <c r="J122" s="37">
        <v>5925.8004807692378</v>
      </c>
      <c r="K122" s="37">
        <v>0</v>
      </c>
      <c r="L122" s="37">
        <v>357.86458333332939</v>
      </c>
      <c r="M122" s="37">
        <v>0</v>
      </c>
      <c r="N122" s="37">
        <v>3533.6009615384664</v>
      </c>
      <c r="O122" s="37">
        <v>0</v>
      </c>
      <c r="P122" s="37">
        <v>5683.026442307696</v>
      </c>
      <c r="Q122" s="37">
        <v>0</v>
      </c>
      <c r="R122" s="37">
        <v>0</v>
      </c>
      <c r="S122" s="37">
        <v>0</v>
      </c>
      <c r="T122" s="37">
        <v>387.70913461538782</v>
      </c>
      <c r="U122" s="37">
        <v>0</v>
      </c>
      <c r="V122" s="37">
        <v>0</v>
      </c>
      <c r="W122" s="37">
        <v>0</v>
      </c>
      <c r="X122" s="37">
        <v>0</v>
      </c>
      <c r="Y122" s="37">
        <v>0</v>
      </c>
      <c r="Z122" s="37">
        <v>3088.8975000000028</v>
      </c>
      <c r="AA122" s="37">
        <v>0</v>
      </c>
      <c r="AB122" s="37">
        <v>3049.6365740740721</v>
      </c>
      <c r="AC122" s="37">
        <v>0</v>
      </c>
      <c r="AD122" s="37">
        <v>0</v>
      </c>
      <c r="AE122" s="37">
        <v>0</v>
      </c>
      <c r="AF122" s="37">
        <v>1830.8125000000005</v>
      </c>
      <c r="AG122" s="37">
        <v>0</v>
      </c>
      <c r="AH122" s="37">
        <v>2945.0674999999906</v>
      </c>
      <c r="AI122" s="37">
        <v>0</v>
      </c>
      <c r="AJ122" s="37">
        <v>0</v>
      </c>
      <c r="AK122" s="37">
        <v>0</v>
      </c>
      <c r="AL122" s="37">
        <v>4469.7129629629635</v>
      </c>
      <c r="AM122" s="37">
        <v>0</v>
      </c>
      <c r="AN122" s="37">
        <v>5291.8293269230753</v>
      </c>
      <c r="AO122" s="37">
        <v>0</v>
      </c>
      <c r="AP122" s="37">
        <v>0</v>
      </c>
      <c r="AQ122" s="37">
        <v>0</v>
      </c>
      <c r="AR122" s="37">
        <v>0</v>
      </c>
      <c r="AS122" s="37">
        <v>0</v>
      </c>
      <c r="AT122" s="37">
        <v>0</v>
      </c>
      <c r="AU122" s="37">
        <v>0</v>
      </c>
      <c r="AV122" s="37">
        <v>0</v>
      </c>
      <c r="AW122" s="37">
        <v>0</v>
      </c>
      <c r="AX122" s="37">
        <v>2619.0600000000022</v>
      </c>
      <c r="AY122" s="37">
        <v>0</v>
      </c>
      <c r="AZ122" s="37">
        <v>2348.5697115384605</v>
      </c>
      <c r="BA122" s="37">
        <v>0</v>
      </c>
      <c r="BB122" s="37">
        <v>0</v>
      </c>
      <c r="BC122" s="37">
        <v>0</v>
      </c>
      <c r="BD122" s="37">
        <v>2584.694711538461</v>
      </c>
      <c r="BE122" s="37">
        <v>0</v>
      </c>
      <c r="BF122" s="37">
        <v>3810.4099999999949</v>
      </c>
      <c r="BG122" s="37">
        <v>0</v>
      </c>
      <c r="BH122" s="37">
        <v>2407.9649999999956</v>
      </c>
      <c r="BI122" s="37">
        <v>0</v>
      </c>
      <c r="BJ122" s="37">
        <v>5224.2569444444471</v>
      </c>
      <c r="BK122" s="37">
        <v>0</v>
      </c>
      <c r="BL122" s="37">
        <v>4593</v>
      </c>
      <c r="BM122" s="37">
        <v>0</v>
      </c>
      <c r="BN122" s="37">
        <v>0</v>
      </c>
      <c r="BO122" s="37">
        <v>0</v>
      </c>
      <c r="BP122" s="37">
        <v>297.81249999999869</v>
      </c>
      <c r="BQ122" s="37">
        <v>0</v>
      </c>
      <c r="BR122" s="37">
        <v>0</v>
      </c>
      <c r="BS122" s="37">
        <v>0</v>
      </c>
      <c r="BT122" s="37">
        <v>130.47685185185242</v>
      </c>
      <c r="BU122" s="37">
        <v>0</v>
      </c>
      <c r="BV122" s="37">
        <v>3194.0050000000019</v>
      </c>
      <c r="BW122" s="37">
        <v>0</v>
      </c>
    </row>
    <row r="123" spans="2:75">
      <c r="B123">
        <v>10434</v>
      </c>
      <c r="C123" t="s">
        <v>127</v>
      </c>
      <c r="D123" s="37">
        <v>3082.2615740740771</v>
      </c>
      <c r="E123" s="37">
        <v>0</v>
      </c>
      <c r="F123" s="37">
        <v>1946.1015625000027</v>
      </c>
      <c r="G123" s="37">
        <v>0</v>
      </c>
      <c r="H123" s="37">
        <v>6012.8100961538476</v>
      </c>
      <c r="I123" s="37">
        <v>0</v>
      </c>
      <c r="J123" s="37">
        <v>11678.281249999998</v>
      </c>
      <c r="K123" s="37">
        <v>0</v>
      </c>
      <c r="L123" s="37">
        <v>4188.3072916666661</v>
      </c>
      <c r="M123" s="37">
        <v>0</v>
      </c>
      <c r="N123" s="37">
        <v>3570.8437500000059</v>
      </c>
      <c r="O123" s="37">
        <v>0</v>
      </c>
      <c r="P123" s="37">
        <v>6323.4615384615345</v>
      </c>
      <c r="Q123" s="37">
        <v>0</v>
      </c>
      <c r="R123" s="37">
        <v>7527.159999999998</v>
      </c>
      <c r="S123" s="37">
        <v>0</v>
      </c>
      <c r="T123" s="37">
        <v>11943.588942307691</v>
      </c>
      <c r="U123" s="37">
        <v>0</v>
      </c>
      <c r="V123" s="37">
        <v>13318.853365384619</v>
      </c>
      <c r="W123" s="37">
        <v>0</v>
      </c>
      <c r="X123" s="37">
        <v>16789.749999999996</v>
      </c>
      <c r="Y123" s="37">
        <v>0</v>
      </c>
      <c r="Z123" s="37">
        <v>12133.522500000005</v>
      </c>
      <c r="AA123" s="37">
        <v>0</v>
      </c>
      <c r="AB123" s="37">
        <v>3600.3287037037016</v>
      </c>
      <c r="AC123" s="37">
        <v>0</v>
      </c>
      <c r="AD123" s="37">
        <v>2473.9843749999986</v>
      </c>
      <c r="AE123" s="37">
        <v>0</v>
      </c>
      <c r="AF123" s="37">
        <v>6549.2812499999982</v>
      </c>
      <c r="AG123" s="37">
        <v>0</v>
      </c>
      <c r="AH123" s="37">
        <v>10687.149999999996</v>
      </c>
      <c r="AI123" s="37">
        <v>0</v>
      </c>
      <c r="AJ123" s="37">
        <v>4728.7526041666633</v>
      </c>
      <c r="AK123" s="37">
        <v>0</v>
      </c>
      <c r="AL123" s="37">
        <v>5333.0324074074133</v>
      </c>
      <c r="AM123" s="37">
        <v>0</v>
      </c>
      <c r="AN123" s="37">
        <v>6763.8894230769238</v>
      </c>
      <c r="AO123" s="37">
        <v>0</v>
      </c>
      <c r="AP123" s="37">
        <v>7964.4375000000018</v>
      </c>
      <c r="AQ123" s="37">
        <v>0</v>
      </c>
      <c r="AR123" s="37">
        <v>12382.151442307695</v>
      </c>
      <c r="AS123" s="37">
        <v>0</v>
      </c>
      <c r="AT123" s="37">
        <v>13757.447115384615</v>
      </c>
      <c r="AU123" s="37">
        <v>0</v>
      </c>
      <c r="AV123" s="37">
        <v>17225.432692307691</v>
      </c>
      <c r="AW123" s="37">
        <v>0</v>
      </c>
      <c r="AX123" s="37">
        <v>12572.677500000002</v>
      </c>
      <c r="AY123" s="37">
        <v>0</v>
      </c>
      <c r="AZ123" s="37">
        <v>2959.302884615382</v>
      </c>
      <c r="BA123" s="37">
        <v>0</v>
      </c>
      <c r="BB123" s="37">
        <v>4292.18</v>
      </c>
      <c r="BC123" s="37">
        <v>0</v>
      </c>
      <c r="BD123" s="37">
        <v>6990.110576923078</v>
      </c>
      <c r="BE123" s="37">
        <v>0</v>
      </c>
      <c r="BF123" s="37">
        <v>11126.550000000001</v>
      </c>
      <c r="BG123" s="37">
        <v>0</v>
      </c>
      <c r="BH123" s="37">
        <v>5638.6475000000028</v>
      </c>
      <c r="BI123" s="37">
        <v>0</v>
      </c>
      <c r="BJ123" s="37">
        <v>5879.2083333333285</v>
      </c>
      <c r="BK123" s="37">
        <v>0</v>
      </c>
      <c r="BL123" s="37">
        <v>6146.6099999999969</v>
      </c>
      <c r="BM123" s="37">
        <v>0</v>
      </c>
      <c r="BN123" s="37">
        <v>9589.3990384615427</v>
      </c>
      <c r="BO123" s="37">
        <v>0</v>
      </c>
      <c r="BP123" s="37">
        <v>13020.533653846154</v>
      </c>
      <c r="BQ123" s="37">
        <v>0</v>
      </c>
      <c r="BR123" s="37">
        <v>13042.037499999999</v>
      </c>
      <c r="BS123" s="37">
        <v>0</v>
      </c>
      <c r="BT123" s="37">
        <v>19143.331018518522</v>
      </c>
      <c r="BU123" s="37">
        <v>0</v>
      </c>
      <c r="BV123" s="37">
        <v>13182.44</v>
      </c>
      <c r="BW123" s="37">
        <v>0</v>
      </c>
    </row>
    <row r="124" spans="2:75">
      <c r="B124">
        <v>10436</v>
      </c>
      <c r="C124" t="s">
        <v>128</v>
      </c>
      <c r="D124" s="37">
        <v>6060.2870370370365</v>
      </c>
      <c r="E124" s="37">
        <v>0</v>
      </c>
      <c r="F124" s="37">
        <v>4315.4218750000009</v>
      </c>
      <c r="G124" s="37">
        <v>0</v>
      </c>
      <c r="H124" s="37">
        <v>4723.7403846153829</v>
      </c>
      <c r="I124" s="37">
        <v>0</v>
      </c>
      <c r="J124" s="37">
        <v>5870.2908653846162</v>
      </c>
      <c r="K124" s="37">
        <v>0</v>
      </c>
      <c r="L124" s="37">
        <v>5137.4401041666679</v>
      </c>
      <c r="M124" s="37">
        <v>0</v>
      </c>
      <c r="N124" s="37">
        <v>5020.3653846153802</v>
      </c>
      <c r="O124" s="37">
        <v>0</v>
      </c>
      <c r="P124" s="37">
        <v>7560.4687500000009</v>
      </c>
      <c r="Q124" s="37">
        <v>0</v>
      </c>
      <c r="R124" s="37">
        <v>3147.3374999999992</v>
      </c>
      <c r="S124" s="37">
        <v>0</v>
      </c>
      <c r="T124" s="37">
        <v>5943.7908653846107</v>
      </c>
      <c r="U124" s="37">
        <v>0</v>
      </c>
      <c r="V124" s="37">
        <v>7657.6009615384583</v>
      </c>
      <c r="W124" s="37">
        <v>0</v>
      </c>
      <c r="X124" s="37">
        <v>5008.911057692314</v>
      </c>
      <c r="Y124" s="37">
        <v>0</v>
      </c>
      <c r="Z124" s="37">
        <v>6313.872500000004</v>
      </c>
      <c r="AA124" s="37">
        <v>0</v>
      </c>
      <c r="AB124" s="37">
        <v>6751.7083333333303</v>
      </c>
      <c r="AC124" s="37">
        <v>0</v>
      </c>
      <c r="AD124" s="37">
        <v>4995.455729166667</v>
      </c>
      <c r="AE124" s="37">
        <v>0</v>
      </c>
      <c r="AF124" s="37">
        <v>5422.0192307692314</v>
      </c>
      <c r="AG124" s="37">
        <v>0</v>
      </c>
      <c r="AH124" s="37">
        <v>5465.7299999999987</v>
      </c>
      <c r="AI124" s="37">
        <v>0</v>
      </c>
      <c r="AJ124" s="37">
        <v>5830.2447916666688</v>
      </c>
      <c r="AK124" s="37">
        <v>0</v>
      </c>
      <c r="AL124" s="37">
        <v>6105.7083333333348</v>
      </c>
      <c r="AM124" s="37">
        <v>0</v>
      </c>
      <c r="AN124" s="37">
        <v>7651.9783653846134</v>
      </c>
      <c r="AO124" s="37">
        <v>0</v>
      </c>
      <c r="AP124" s="37">
        <v>2962.2299999999982</v>
      </c>
      <c r="AQ124" s="37">
        <v>0</v>
      </c>
      <c r="AR124" s="37">
        <v>6091.7548076923085</v>
      </c>
      <c r="AS124" s="37">
        <v>0</v>
      </c>
      <c r="AT124" s="37">
        <v>7805.6874999999991</v>
      </c>
      <c r="AU124" s="37">
        <v>0</v>
      </c>
      <c r="AV124" s="37">
        <v>5140.7716346153811</v>
      </c>
      <c r="AW124" s="37">
        <v>0</v>
      </c>
      <c r="AX124" s="37">
        <v>6142.6450000000032</v>
      </c>
      <c r="AY124" s="37">
        <v>0</v>
      </c>
      <c r="AZ124" s="37">
        <v>6038.8798076923049</v>
      </c>
      <c r="BA124" s="37">
        <v>0</v>
      </c>
      <c r="BB124" s="37">
        <v>6146.239999999998</v>
      </c>
      <c r="BC124" s="37">
        <v>0</v>
      </c>
      <c r="BD124" s="37">
        <v>6101.0480769230753</v>
      </c>
      <c r="BE124" s="37">
        <v>0</v>
      </c>
      <c r="BF124" s="37">
        <v>6128.412499999994</v>
      </c>
      <c r="BG124" s="37">
        <v>0</v>
      </c>
      <c r="BH124" s="37">
        <v>6908.7275000000009</v>
      </c>
      <c r="BI124" s="37">
        <v>0</v>
      </c>
      <c r="BJ124" s="37">
        <v>6341.5648148148121</v>
      </c>
      <c r="BK124" s="37">
        <v>0</v>
      </c>
      <c r="BL124" s="37">
        <v>6888.0850000000028</v>
      </c>
      <c r="BM124" s="37">
        <v>0</v>
      </c>
      <c r="BN124" s="37">
        <v>3815.4639423076978</v>
      </c>
      <c r="BO124" s="37">
        <v>0</v>
      </c>
      <c r="BP124" s="37">
        <v>6236.3149038461543</v>
      </c>
      <c r="BQ124" s="37">
        <v>0</v>
      </c>
      <c r="BR124" s="37">
        <v>6423.0425000000032</v>
      </c>
      <c r="BS124" s="37">
        <v>0</v>
      </c>
      <c r="BT124" s="37">
        <v>6517.9537037037016</v>
      </c>
      <c r="BU124" s="37">
        <v>0</v>
      </c>
      <c r="BV124" s="37">
        <v>5972.8125000000018</v>
      </c>
      <c r="BW124" s="37">
        <v>0</v>
      </c>
    </row>
    <row r="125" spans="2:75">
      <c r="B125">
        <v>10440</v>
      </c>
      <c r="C125" t="s">
        <v>129</v>
      </c>
      <c r="D125" s="37">
        <v>772.24537037037021</v>
      </c>
      <c r="E125" s="37">
        <v>0</v>
      </c>
      <c r="F125" s="37">
        <v>975.97135416666663</v>
      </c>
      <c r="G125" s="37">
        <v>0</v>
      </c>
      <c r="H125" s="37">
        <v>1427.350961538461</v>
      </c>
      <c r="I125" s="37">
        <v>0</v>
      </c>
      <c r="J125" s="37">
        <v>2489.0841346153848</v>
      </c>
      <c r="K125" s="37">
        <v>0</v>
      </c>
      <c r="L125" s="37">
        <v>2418.3072916666661</v>
      </c>
      <c r="M125" s="37">
        <v>0</v>
      </c>
      <c r="N125" s="37">
        <v>1296.276442307691</v>
      </c>
      <c r="O125" s="37">
        <v>0</v>
      </c>
      <c r="P125" s="37">
        <v>1520.322115384615</v>
      </c>
      <c r="Q125" s="37">
        <v>0</v>
      </c>
      <c r="R125" s="37">
        <v>1045.9875</v>
      </c>
      <c r="S125" s="37">
        <v>0</v>
      </c>
      <c r="T125" s="37">
        <v>579.81009615384642</v>
      </c>
      <c r="U125" s="37">
        <v>0</v>
      </c>
      <c r="V125" s="37">
        <v>1317.7692307692305</v>
      </c>
      <c r="W125" s="37">
        <v>0</v>
      </c>
      <c r="X125" s="37">
        <v>1927.4927884615386</v>
      </c>
      <c r="Y125" s="37">
        <v>0</v>
      </c>
      <c r="Z125" s="37">
        <v>149.2125000000002</v>
      </c>
      <c r="AA125" s="37">
        <v>0</v>
      </c>
      <c r="AB125" s="37">
        <v>757.2152777777776</v>
      </c>
      <c r="AC125" s="37">
        <v>0</v>
      </c>
      <c r="AD125" s="37">
        <v>955.69270833333292</v>
      </c>
      <c r="AE125" s="37">
        <v>0</v>
      </c>
      <c r="AF125" s="37">
        <v>1427.350961538461</v>
      </c>
      <c r="AG125" s="37">
        <v>0</v>
      </c>
      <c r="AH125" s="37">
        <v>2151.4724999999999</v>
      </c>
      <c r="AI125" s="37">
        <v>0</v>
      </c>
      <c r="AJ125" s="37">
        <v>2418.3072916666661</v>
      </c>
      <c r="AK125" s="37">
        <v>0</v>
      </c>
      <c r="AL125" s="37">
        <v>1585.006944444443</v>
      </c>
      <c r="AM125" s="37">
        <v>0</v>
      </c>
      <c r="AN125" s="37">
        <v>1503.1586538461522</v>
      </c>
      <c r="AO125" s="37">
        <v>0</v>
      </c>
      <c r="AP125" s="37">
        <v>1032.5375000000001</v>
      </c>
      <c r="AQ125" s="37">
        <v>0</v>
      </c>
      <c r="AR125" s="37">
        <v>567.57211538461536</v>
      </c>
      <c r="AS125" s="37">
        <v>0</v>
      </c>
      <c r="AT125" s="37">
        <v>1306.1322115384617</v>
      </c>
      <c r="AU125" s="37">
        <v>0</v>
      </c>
      <c r="AV125" s="37">
        <v>1914.8653846153845</v>
      </c>
      <c r="AW125" s="37">
        <v>0</v>
      </c>
      <c r="AX125" s="37">
        <v>136.97249999999994</v>
      </c>
      <c r="AY125" s="37">
        <v>0</v>
      </c>
      <c r="AZ125" s="37">
        <v>557.0408653846157</v>
      </c>
      <c r="BA125" s="37">
        <v>0</v>
      </c>
      <c r="BB125" s="37">
        <v>1209.7825000000007</v>
      </c>
      <c r="BC125" s="37">
        <v>0</v>
      </c>
      <c r="BD125" s="37">
        <v>1427.350961538461</v>
      </c>
      <c r="BE125" s="37">
        <v>0</v>
      </c>
      <c r="BF125" s="37">
        <v>2135.4075000000003</v>
      </c>
      <c r="BG125" s="37">
        <v>0</v>
      </c>
      <c r="BH125" s="37">
        <v>2756.7399999999984</v>
      </c>
      <c r="BI125" s="37">
        <v>0</v>
      </c>
      <c r="BJ125" s="37">
        <v>1585.006944444443</v>
      </c>
      <c r="BK125" s="37">
        <v>0</v>
      </c>
      <c r="BL125" s="37">
        <v>1265.8474999999996</v>
      </c>
      <c r="BM125" s="37">
        <v>0</v>
      </c>
      <c r="BN125" s="37">
        <v>1194.1850961538466</v>
      </c>
      <c r="BO125" s="37">
        <v>0</v>
      </c>
      <c r="BP125" s="37">
        <v>559.64423076923038</v>
      </c>
      <c r="BQ125" s="37">
        <v>0</v>
      </c>
      <c r="BR125" s="37">
        <v>1145.3074999999999</v>
      </c>
      <c r="BS125" s="37">
        <v>0</v>
      </c>
      <c r="BT125" s="37">
        <v>2060.7407407407409</v>
      </c>
      <c r="BU125" s="37">
        <v>0</v>
      </c>
      <c r="BV125" s="37">
        <v>129.04749999999976</v>
      </c>
      <c r="BW125" s="37">
        <v>0</v>
      </c>
    </row>
    <row r="126" spans="2:75">
      <c r="B126">
        <v>10442</v>
      </c>
      <c r="C126" t="s">
        <v>130</v>
      </c>
      <c r="D126" s="37">
        <v>7433.2546296296296</v>
      </c>
      <c r="E126" s="37">
        <v>0</v>
      </c>
      <c r="F126" s="37">
        <v>3553.6067708333353</v>
      </c>
      <c r="G126" s="37">
        <v>0</v>
      </c>
      <c r="H126" s="37">
        <v>3724.1778846153838</v>
      </c>
      <c r="I126" s="37">
        <v>0</v>
      </c>
      <c r="J126" s="37">
        <v>2831.8100961538457</v>
      </c>
      <c r="K126" s="37">
        <v>0</v>
      </c>
      <c r="L126" s="37">
        <v>5637.8880208333339</v>
      </c>
      <c r="M126" s="37">
        <v>0</v>
      </c>
      <c r="N126" s="37">
        <v>3118.9543269230739</v>
      </c>
      <c r="O126" s="37">
        <v>0</v>
      </c>
      <c r="P126" s="37">
        <v>2643.2740384615363</v>
      </c>
      <c r="Q126" s="37">
        <v>0</v>
      </c>
      <c r="R126" s="37">
        <v>3021.2675000000008</v>
      </c>
      <c r="S126" s="37">
        <v>0</v>
      </c>
      <c r="T126" s="37">
        <v>3228.6322115384623</v>
      </c>
      <c r="U126" s="37">
        <v>0</v>
      </c>
      <c r="V126" s="37">
        <v>2690.4350961538471</v>
      </c>
      <c r="W126" s="37">
        <v>0</v>
      </c>
      <c r="X126" s="37">
        <v>2704.1322115384605</v>
      </c>
      <c r="Y126" s="37">
        <v>0</v>
      </c>
      <c r="Z126" s="37">
        <v>6226.0275000000029</v>
      </c>
      <c r="AA126" s="37">
        <v>0</v>
      </c>
      <c r="AB126" s="37">
        <v>7445.238425925927</v>
      </c>
      <c r="AC126" s="37">
        <v>0</v>
      </c>
      <c r="AD126" s="37">
        <v>3562.8932291666688</v>
      </c>
      <c r="AE126" s="37">
        <v>0</v>
      </c>
      <c r="AF126" s="37">
        <v>3731.3725961538476</v>
      </c>
      <c r="AG126" s="37">
        <v>0</v>
      </c>
      <c r="AH126" s="37">
        <v>2921.29</v>
      </c>
      <c r="AI126" s="37">
        <v>0</v>
      </c>
      <c r="AJ126" s="37">
        <v>5651.4661458333321</v>
      </c>
      <c r="AK126" s="37">
        <v>0</v>
      </c>
      <c r="AL126" s="37">
        <v>3063.4328703703682</v>
      </c>
      <c r="AM126" s="37">
        <v>0</v>
      </c>
      <c r="AN126" s="37">
        <v>2650.4206730769242</v>
      </c>
      <c r="AO126" s="37">
        <v>0</v>
      </c>
      <c r="AP126" s="37">
        <v>3026.9325000000013</v>
      </c>
      <c r="AQ126" s="37">
        <v>0</v>
      </c>
      <c r="AR126" s="37">
        <v>3234.7668269230762</v>
      </c>
      <c r="AS126" s="37">
        <v>0</v>
      </c>
      <c r="AT126" s="37">
        <v>2696.4495192307704</v>
      </c>
      <c r="AU126" s="37">
        <v>0</v>
      </c>
      <c r="AV126" s="37">
        <v>2710.4927884615377</v>
      </c>
      <c r="AW126" s="37">
        <v>0</v>
      </c>
      <c r="AX126" s="37">
        <v>6236.2449999999999</v>
      </c>
      <c r="AY126" s="37">
        <v>0</v>
      </c>
      <c r="AZ126" s="37">
        <v>7500.9230769230762</v>
      </c>
      <c r="BA126" s="37">
        <v>0</v>
      </c>
      <c r="BB126" s="37">
        <v>3502.1775000000002</v>
      </c>
      <c r="BC126" s="37">
        <v>0</v>
      </c>
      <c r="BD126" s="37">
        <v>3739.8052884615404</v>
      </c>
      <c r="BE126" s="37">
        <v>0</v>
      </c>
      <c r="BF126" s="37">
        <v>2930.2624999999985</v>
      </c>
      <c r="BG126" s="37">
        <v>0</v>
      </c>
      <c r="BH126" s="37">
        <v>5693.085</v>
      </c>
      <c r="BI126" s="37">
        <v>0</v>
      </c>
      <c r="BJ126" s="37">
        <v>3071.7754629629608</v>
      </c>
      <c r="BK126" s="37">
        <v>0</v>
      </c>
      <c r="BL126" s="37">
        <v>2713.5399999999981</v>
      </c>
      <c r="BM126" s="37">
        <v>0</v>
      </c>
      <c r="BN126" s="37">
        <v>2988.3774038461552</v>
      </c>
      <c r="BO126" s="37">
        <v>0</v>
      </c>
      <c r="BP126" s="37">
        <v>3241.5096153846166</v>
      </c>
      <c r="BQ126" s="37">
        <v>0</v>
      </c>
      <c r="BR126" s="37">
        <v>2742.7425000000007</v>
      </c>
      <c r="BS126" s="37">
        <v>0</v>
      </c>
      <c r="BT126" s="37">
        <v>2679.0578703703713</v>
      </c>
      <c r="BU126" s="37">
        <v>0</v>
      </c>
      <c r="BV126" s="37">
        <v>6245.7074999999986</v>
      </c>
      <c r="BW126" s="37">
        <v>0</v>
      </c>
    </row>
    <row r="127" spans="2:75">
      <c r="B127">
        <v>10446</v>
      </c>
      <c r="C127" t="s">
        <v>131</v>
      </c>
      <c r="D127" s="37">
        <v>9930.5023148148339</v>
      </c>
      <c r="E127" s="37">
        <v>0</v>
      </c>
      <c r="F127" s="37">
        <v>10918.125000000011</v>
      </c>
      <c r="G127" s="37">
        <v>0</v>
      </c>
      <c r="H127" s="37">
        <v>14438.593749999987</v>
      </c>
      <c r="I127" s="37">
        <v>0</v>
      </c>
      <c r="J127" s="37">
        <v>14050.411057692301</v>
      </c>
      <c r="K127" s="37">
        <v>0</v>
      </c>
      <c r="L127" s="37">
        <v>15388.187500000004</v>
      </c>
      <c r="M127" s="37">
        <v>0</v>
      </c>
      <c r="N127" s="37">
        <v>16191.853365384617</v>
      </c>
      <c r="O127" s="37">
        <v>0</v>
      </c>
      <c r="P127" s="37">
        <v>8950.5793269230817</v>
      </c>
      <c r="Q127" s="37">
        <v>0</v>
      </c>
      <c r="R127" s="37">
        <v>0</v>
      </c>
      <c r="S127" s="37">
        <v>0</v>
      </c>
      <c r="T127" s="37">
        <v>7046.9591346153893</v>
      </c>
      <c r="U127" s="37">
        <v>0</v>
      </c>
      <c r="V127" s="37">
        <v>18086.925480769223</v>
      </c>
      <c r="W127" s="37">
        <v>0</v>
      </c>
      <c r="X127" s="37">
        <v>13441.372596153855</v>
      </c>
      <c r="Y127" s="37">
        <v>0</v>
      </c>
      <c r="Z127" s="37">
        <v>8553.5200000000041</v>
      </c>
      <c r="AA127" s="37">
        <v>0</v>
      </c>
      <c r="AB127" s="37">
        <v>10235.91898148148</v>
      </c>
      <c r="AC127" s="37">
        <v>0</v>
      </c>
      <c r="AD127" s="37">
        <v>10796.601562500009</v>
      </c>
      <c r="AE127" s="37">
        <v>0</v>
      </c>
      <c r="AF127" s="37">
        <v>14659.358173076929</v>
      </c>
      <c r="AG127" s="37">
        <v>0</v>
      </c>
      <c r="AH127" s="37">
        <v>14623.049999999992</v>
      </c>
      <c r="AI127" s="37">
        <v>0</v>
      </c>
      <c r="AJ127" s="37">
        <v>15520.036458333327</v>
      </c>
      <c r="AK127" s="37">
        <v>0</v>
      </c>
      <c r="AL127" s="37">
        <v>16725.057870370365</v>
      </c>
      <c r="AM127" s="37">
        <v>0</v>
      </c>
      <c r="AN127" s="37">
        <v>12077.858173076924</v>
      </c>
      <c r="AO127" s="37">
        <v>0</v>
      </c>
      <c r="AP127" s="37">
        <v>0</v>
      </c>
      <c r="AQ127" s="37">
        <v>0</v>
      </c>
      <c r="AR127" s="37">
        <v>7320.9903846153966</v>
      </c>
      <c r="AS127" s="37">
        <v>0</v>
      </c>
      <c r="AT127" s="37">
        <v>18754.53125</v>
      </c>
      <c r="AU127" s="37">
        <v>0</v>
      </c>
      <c r="AV127" s="37">
        <v>13547.939903846156</v>
      </c>
      <c r="AW127" s="37">
        <v>0</v>
      </c>
      <c r="AX127" s="37">
        <v>8854.3525000000172</v>
      </c>
      <c r="AY127" s="37">
        <v>0</v>
      </c>
      <c r="AZ127" s="37">
        <v>10705.704326923087</v>
      </c>
      <c r="BA127" s="37">
        <v>0</v>
      </c>
      <c r="BB127" s="37">
        <v>10737.715000000002</v>
      </c>
      <c r="BC127" s="37">
        <v>0</v>
      </c>
      <c r="BD127" s="37">
        <v>14968.71634615386</v>
      </c>
      <c r="BE127" s="37">
        <v>0</v>
      </c>
      <c r="BF127" s="37">
        <v>15065.022499999997</v>
      </c>
      <c r="BG127" s="37">
        <v>0</v>
      </c>
      <c r="BH127" s="37">
        <v>15571.209999999983</v>
      </c>
      <c r="BI127" s="37">
        <v>0</v>
      </c>
      <c r="BJ127" s="37">
        <v>17386.134259259252</v>
      </c>
      <c r="BK127" s="37">
        <v>0</v>
      </c>
      <c r="BL127" s="37">
        <v>14519.152500000009</v>
      </c>
      <c r="BM127" s="37">
        <v>0</v>
      </c>
      <c r="BN127" s="37">
        <v>0</v>
      </c>
      <c r="BO127" s="37">
        <v>0</v>
      </c>
      <c r="BP127" s="37">
        <v>7478.4254807692296</v>
      </c>
      <c r="BQ127" s="37">
        <v>0</v>
      </c>
      <c r="BR127" s="37">
        <v>18866.977500000005</v>
      </c>
      <c r="BS127" s="37">
        <v>0</v>
      </c>
      <c r="BT127" s="37">
        <v>13807.249999999996</v>
      </c>
      <c r="BU127" s="37">
        <v>0</v>
      </c>
      <c r="BV127" s="37">
        <v>8952.5849999999973</v>
      </c>
      <c r="BW127" s="37">
        <v>0</v>
      </c>
    </row>
    <row r="128" spans="2:75">
      <c r="B128">
        <v>10448</v>
      </c>
      <c r="C128" t="s">
        <v>132</v>
      </c>
      <c r="D128" s="37">
        <v>0</v>
      </c>
      <c r="E128" s="37">
        <v>0</v>
      </c>
      <c r="F128" s="37">
        <v>0</v>
      </c>
      <c r="G128" s="37">
        <v>0</v>
      </c>
      <c r="H128" s="37">
        <v>0</v>
      </c>
      <c r="I128" s="37">
        <v>0</v>
      </c>
      <c r="J128" s="37">
        <v>0</v>
      </c>
      <c r="K128" s="37">
        <v>0</v>
      </c>
      <c r="L128" s="37">
        <v>0</v>
      </c>
      <c r="M128" s="37">
        <v>0</v>
      </c>
      <c r="N128" s="37">
        <v>0</v>
      </c>
      <c r="O128" s="37">
        <v>0</v>
      </c>
      <c r="P128" s="37">
        <v>0</v>
      </c>
      <c r="Q128" s="37">
        <v>0</v>
      </c>
      <c r="R128" s="37">
        <v>0</v>
      </c>
      <c r="S128" s="37">
        <v>0</v>
      </c>
      <c r="T128" s="37">
        <v>0</v>
      </c>
      <c r="U128" s="37">
        <v>0</v>
      </c>
      <c r="V128" s="37">
        <v>0</v>
      </c>
      <c r="W128" s="37">
        <v>0</v>
      </c>
      <c r="X128" s="37">
        <v>0</v>
      </c>
      <c r="Y128" s="37">
        <v>0</v>
      </c>
      <c r="Z128" s="37">
        <v>0</v>
      </c>
      <c r="AA128" s="37">
        <v>0</v>
      </c>
      <c r="AB128" s="37">
        <v>0</v>
      </c>
      <c r="AC128" s="37">
        <v>0</v>
      </c>
      <c r="AD128" s="37">
        <v>0</v>
      </c>
      <c r="AE128" s="37">
        <v>0</v>
      </c>
      <c r="AF128" s="37">
        <v>0</v>
      </c>
      <c r="AG128" s="37">
        <v>0</v>
      </c>
      <c r="AH128" s="37">
        <v>0</v>
      </c>
      <c r="AI128" s="37">
        <v>0</v>
      </c>
      <c r="AJ128" s="37">
        <v>0</v>
      </c>
      <c r="AK128" s="37">
        <v>0</v>
      </c>
      <c r="AL128" s="37">
        <v>0</v>
      </c>
      <c r="AM128" s="37">
        <v>0</v>
      </c>
      <c r="AN128" s="37">
        <v>0</v>
      </c>
      <c r="AO128" s="37">
        <v>0</v>
      </c>
      <c r="AP128" s="37">
        <v>0</v>
      </c>
      <c r="AQ128" s="37">
        <v>0</v>
      </c>
      <c r="AR128" s="37">
        <v>0</v>
      </c>
      <c r="AS128" s="37">
        <v>0</v>
      </c>
      <c r="AT128" s="37">
        <v>0</v>
      </c>
      <c r="AU128" s="37">
        <v>0</v>
      </c>
      <c r="AV128" s="37">
        <v>0</v>
      </c>
      <c r="AW128" s="37">
        <v>0</v>
      </c>
      <c r="AX128" s="37">
        <v>0</v>
      </c>
      <c r="AY128" s="37">
        <v>0</v>
      </c>
      <c r="AZ128" s="37">
        <v>0</v>
      </c>
      <c r="BA128" s="37">
        <v>0</v>
      </c>
      <c r="BB128" s="37">
        <v>0</v>
      </c>
      <c r="BC128" s="37">
        <v>0</v>
      </c>
      <c r="BD128" s="37">
        <v>0</v>
      </c>
      <c r="BE128" s="37">
        <v>0</v>
      </c>
      <c r="BF128" s="37">
        <v>0</v>
      </c>
      <c r="BG128" s="37">
        <v>0</v>
      </c>
      <c r="BH128" s="37">
        <v>0</v>
      </c>
      <c r="BI128" s="37">
        <v>0</v>
      </c>
      <c r="BJ128" s="37">
        <v>0</v>
      </c>
      <c r="BK128" s="37">
        <v>0</v>
      </c>
      <c r="BL128" s="37">
        <v>0</v>
      </c>
      <c r="BM128" s="37">
        <v>0</v>
      </c>
      <c r="BN128" s="37">
        <v>0</v>
      </c>
      <c r="BO128" s="37">
        <v>0</v>
      </c>
      <c r="BP128" s="37">
        <v>0</v>
      </c>
      <c r="BQ128" s="37">
        <v>0</v>
      </c>
      <c r="BR128" s="37">
        <v>0</v>
      </c>
      <c r="BS128" s="37">
        <v>0</v>
      </c>
      <c r="BT128" s="37">
        <v>0</v>
      </c>
      <c r="BU128" s="37">
        <v>0</v>
      </c>
      <c r="BV128" s="37">
        <v>0</v>
      </c>
      <c r="BW128" s="37">
        <v>0</v>
      </c>
    </row>
    <row r="129" spans="2:75">
      <c r="B129">
        <v>10451</v>
      </c>
      <c r="C129" t="s">
        <v>133</v>
      </c>
      <c r="D129" s="37">
        <v>2673.0277777777792</v>
      </c>
      <c r="E129" s="37">
        <v>0</v>
      </c>
      <c r="F129" s="37">
        <v>2143.8515625000036</v>
      </c>
      <c r="G129" s="37">
        <v>0</v>
      </c>
      <c r="H129" s="37">
        <v>2285.6754807692282</v>
      </c>
      <c r="I129" s="37">
        <v>0</v>
      </c>
      <c r="J129" s="37">
        <v>2535.3317307692223</v>
      </c>
      <c r="K129" s="37">
        <v>0</v>
      </c>
      <c r="L129" s="37">
        <v>0</v>
      </c>
      <c r="M129" s="37">
        <v>0</v>
      </c>
      <c r="N129" s="37">
        <v>0</v>
      </c>
      <c r="O129" s="37">
        <v>0</v>
      </c>
      <c r="P129" s="37">
        <v>2345.5312499999968</v>
      </c>
      <c r="Q129" s="37">
        <v>0</v>
      </c>
      <c r="R129" s="37">
        <v>1702.2249999999985</v>
      </c>
      <c r="S129" s="37">
        <v>0</v>
      </c>
      <c r="T129" s="37">
        <v>2720.6658653846107</v>
      </c>
      <c r="U129" s="37">
        <v>0</v>
      </c>
      <c r="V129" s="37">
        <v>2737.9999999999959</v>
      </c>
      <c r="W129" s="37">
        <v>0</v>
      </c>
      <c r="X129" s="37">
        <v>1546.4399038461565</v>
      </c>
      <c r="Y129" s="37">
        <v>0</v>
      </c>
      <c r="Z129" s="37">
        <v>2410.1375000000012</v>
      </c>
      <c r="AA129" s="37">
        <v>0</v>
      </c>
      <c r="AB129" s="37">
        <v>2673.0277777777792</v>
      </c>
      <c r="AC129" s="37">
        <v>0</v>
      </c>
      <c r="AD129" s="37">
        <v>2143.8515625000036</v>
      </c>
      <c r="AE129" s="37">
        <v>0</v>
      </c>
      <c r="AF129" s="37">
        <v>2285.6754807692282</v>
      </c>
      <c r="AG129" s="37">
        <v>0</v>
      </c>
      <c r="AH129" s="37">
        <v>2363.7299999999968</v>
      </c>
      <c r="AI129" s="37">
        <v>0</v>
      </c>
      <c r="AJ129" s="37">
        <v>0</v>
      </c>
      <c r="AK129" s="37">
        <v>0</v>
      </c>
      <c r="AL129" s="37">
        <v>0</v>
      </c>
      <c r="AM129" s="37">
        <v>0</v>
      </c>
      <c r="AN129" s="37">
        <v>2345.5312499999968</v>
      </c>
      <c r="AO129" s="37">
        <v>0</v>
      </c>
      <c r="AP129" s="37">
        <v>2851.442500000001</v>
      </c>
      <c r="AQ129" s="37">
        <v>0</v>
      </c>
      <c r="AR129" s="37">
        <v>2720.6658653846139</v>
      </c>
      <c r="AS129" s="37">
        <v>0</v>
      </c>
      <c r="AT129" s="37">
        <v>2737.9999999999995</v>
      </c>
      <c r="AU129" s="37">
        <v>0</v>
      </c>
      <c r="AV129" s="37">
        <v>1546.4399038461565</v>
      </c>
      <c r="AW129" s="37">
        <v>0</v>
      </c>
      <c r="AX129" s="37">
        <v>2410.1375000000012</v>
      </c>
      <c r="AY129" s="37">
        <v>0</v>
      </c>
      <c r="AZ129" s="37">
        <v>2517.4927884615386</v>
      </c>
      <c r="BA129" s="37">
        <v>0</v>
      </c>
      <c r="BB129" s="37">
        <v>2334.9224999999974</v>
      </c>
      <c r="BC129" s="37">
        <v>0</v>
      </c>
      <c r="BD129" s="37">
        <v>2285.6754807692282</v>
      </c>
      <c r="BE129" s="37">
        <v>0</v>
      </c>
      <c r="BF129" s="37">
        <v>2363.7299999999968</v>
      </c>
      <c r="BG129" s="37">
        <v>0</v>
      </c>
      <c r="BH129" s="37">
        <v>0</v>
      </c>
      <c r="BI129" s="37">
        <v>0</v>
      </c>
      <c r="BJ129" s="37">
        <v>0</v>
      </c>
      <c r="BK129" s="37">
        <v>0</v>
      </c>
      <c r="BL129" s="37">
        <v>2181.3849999999952</v>
      </c>
      <c r="BM129" s="37">
        <v>0</v>
      </c>
      <c r="BN129" s="37">
        <v>1880.213942307691</v>
      </c>
      <c r="BO129" s="37">
        <v>0</v>
      </c>
      <c r="BP129" s="37">
        <v>2720.6658653846139</v>
      </c>
      <c r="BQ129" s="37">
        <v>0</v>
      </c>
      <c r="BR129" s="37">
        <v>2568.3424999999997</v>
      </c>
      <c r="BS129" s="37">
        <v>0</v>
      </c>
      <c r="BT129" s="37">
        <v>1736.9421296296323</v>
      </c>
      <c r="BU129" s="37">
        <v>0</v>
      </c>
      <c r="BV129" s="37">
        <v>2448.385000000002</v>
      </c>
      <c r="BW129" s="37">
        <v>0</v>
      </c>
    </row>
    <row r="130" spans="2:75">
      <c r="B130">
        <v>10482</v>
      </c>
      <c r="C130" t="s">
        <v>134</v>
      </c>
      <c r="D130" s="37">
        <v>180.01851851851836</v>
      </c>
      <c r="E130" s="37">
        <v>0</v>
      </c>
      <c r="F130" s="37">
        <v>298.98958333333348</v>
      </c>
      <c r="G130" s="37">
        <v>0</v>
      </c>
      <c r="H130" s="37">
        <v>191.89182692307639</v>
      </c>
      <c r="I130" s="37">
        <v>0</v>
      </c>
      <c r="J130" s="37">
        <v>228.37740384615381</v>
      </c>
      <c r="K130" s="37">
        <v>0</v>
      </c>
      <c r="L130" s="37">
        <v>201.02083333333343</v>
      </c>
      <c r="M130" s="37">
        <v>0</v>
      </c>
      <c r="N130" s="37">
        <v>260.918269230769</v>
      </c>
      <c r="O130" s="37">
        <v>0</v>
      </c>
      <c r="P130" s="37">
        <v>100.08413461538457</v>
      </c>
      <c r="Q130" s="37">
        <v>0</v>
      </c>
      <c r="R130" s="37">
        <v>208.92749999999981</v>
      </c>
      <c r="S130" s="37">
        <v>0</v>
      </c>
      <c r="T130" s="37">
        <v>653.41826923076928</v>
      </c>
      <c r="U130" s="37">
        <v>0</v>
      </c>
      <c r="V130" s="37">
        <v>540.83653846153857</v>
      </c>
      <c r="W130" s="37">
        <v>0</v>
      </c>
      <c r="X130" s="37">
        <v>795.38701923076985</v>
      </c>
      <c r="Y130" s="37">
        <v>0</v>
      </c>
      <c r="Z130" s="37">
        <v>577.36000000000013</v>
      </c>
      <c r="AA130" s="37">
        <v>0</v>
      </c>
      <c r="AB130" s="37">
        <v>180.01851851851836</v>
      </c>
      <c r="AC130" s="37">
        <v>0</v>
      </c>
      <c r="AD130" s="37">
        <v>298.98958333333348</v>
      </c>
      <c r="AE130" s="37">
        <v>0</v>
      </c>
      <c r="AF130" s="37">
        <v>191.89182692307639</v>
      </c>
      <c r="AG130" s="37">
        <v>0</v>
      </c>
      <c r="AH130" s="37">
        <v>235.31499999999986</v>
      </c>
      <c r="AI130" s="37">
        <v>0</v>
      </c>
      <c r="AJ130" s="37">
        <v>201.02083333333343</v>
      </c>
      <c r="AK130" s="37">
        <v>0</v>
      </c>
      <c r="AL130" s="37">
        <v>253.57407407407396</v>
      </c>
      <c r="AM130" s="37">
        <v>0</v>
      </c>
      <c r="AN130" s="37">
        <v>100.08413461538457</v>
      </c>
      <c r="AO130" s="37">
        <v>0</v>
      </c>
      <c r="AP130" s="37">
        <v>208.92749999999981</v>
      </c>
      <c r="AQ130" s="37">
        <v>0</v>
      </c>
      <c r="AR130" s="37">
        <v>653.41826923076928</v>
      </c>
      <c r="AS130" s="37">
        <v>0</v>
      </c>
      <c r="AT130" s="37">
        <v>540.83653846153857</v>
      </c>
      <c r="AU130" s="37">
        <v>0</v>
      </c>
      <c r="AV130" s="37">
        <v>795.38701923076985</v>
      </c>
      <c r="AW130" s="37">
        <v>0</v>
      </c>
      <c r="AX130" s="37">
        <v>577.36000000000013</v>
      </c>
      <c r="AY130" s="37">
        <v>0</v>
      </c>
      <c r="AZ130" s="37">
        <v>185.34134615384625</v>
      </c>
      <c r="BA130" s="37">
        <v>0</v>
      </c>
      <c r="BB130" s="37">
        <v>292.13499999999971</v>
      </c>
      <c r="BC130" s="37">
        <v>0</v>
      </c>
      <c r="BD130" s="37">
        <v>191.89182692307639</v>
      </c>
      <c r="BE130" s="37">
        <v>0</v>
      </c>
      <c r="BF130" s="37">
        <v>235.31499999999986</v>
      </c>
      <c r="BG130" s="37">
        <v>0</v>
      </c>
      <c r="BH130" s="37">
        <v>193.85750000000024</v>
      </c>
      <c r="BI130" s="37">
        <v>0</v>
      </c>
      <c r="BJ130" s="37">
        <v>253.57407407407396</v>
      </c>
      <c r="BK130" s="37">
        <v>0</v>
      </c>
      <c r="BL130" s="37">
        <v>106.5600000000001</v>
      </c>
      <c r="BM130" s="37">
        <v>0</v>
      </c>
      <c r="BN130" s="37">
        <v>203.62740384615395</v>
      </c>
      <c r="BO130" s="37">
        <v>0</v>
      </c>
      <c r="BP130" s="37">
        <v>653.41826923076928</v>
      </c>
      <c r="BQ130" s="37">
        <v>0</v>
      </c>
      <c r="BR130" s="37">
        <v>542.39499999999998</v>
      </c>
      <c r="BS130" s="37">
        <v>0</v>
      </c>
      <c r="BT130" s="37">
        <v>793.85648148148175</v>
      </c>
      <c r="BU130" s="37">
        <v>0</v>
      </c>
      <c r="BV130" s="37">
        <v>577.36000000000013</v>
      </c>
      <c r="BW130" s="37">
        <v>0</v>
      </c>
    </row>
    <row r="131" spans="2:75">
      <c r="B131">
        <v>10502</v>
      </c>
      <c r="C131" t="s">
        <v>135</v>
      </c>
      <c r="D131" s="37">
        <v>3651.1064814814827</v>
      </c>
      <c r="E131" s="37">
        <v>0</v>
      </c>
      <c r="F131" s="37">
        <v>2791.7838541666665</v>
      </c>
      <c r="G131" s="37">
        <v>0</v>
      </c>
      <c r="H131" s="37">
        <v>1481.271634615382</v>
      </c>
      <c r="I131" s="37">
        <v>0</v>
      </c>
      <c r="J131" s="37">
        <v>2342.5937500000018</v>
      </c>
      <c r="K131" s="37">
        <v>0</v>
      </c>
      <c r="L131" s="37">
        <v>1589.690104166667</v>
      </c>
      <c r="M131" s="37">
        <v>0</v>
      </c>
      <c r="N131" s="37">
        <v>1485.6129807692323</v>
      </c>
      <c r="O131" s="37">
        <v>0</v>
      </c>
      <c r="P131" s="37">
        <v>3895.3293269230762</v>
      </c>
      <c r="Q131" s="37">
        <v>0</v>
      </c>
      <c r="R131" s="37">
        <v>2664.5674999999987</v>
      </c>
      <c r="S131" s="37">
        <v>0</v>
      </c>
      <c r="T131" s="37">
        <v>4048.1658653846166</v>
      </c>
      <c r="U131" s="37">
        <v>0</v>
      </c>
      <c r="V131" s="37">
        <v>2712.6586538461543</v>
      </c>
      <c r="W131" s="37">
        <v>0</v>
      </c>
      <c r="X131" s="37">
        <v>0</v>
      </c>
      <c r="Y131" s="37">
        <v>0</v>
      </c>
      <c r="Z131" s="37">
        <v>5320.6450000000004</v>
      </c>
      <c r="AA131" s="37">
        <v>0</v>
      </c>
      <c r="AB131" s="37">
        <v>3679.2662037037048</v>
      </c>
      <c r="AC131" s="37">
        <v>0</v>
      </c>
      <c r="AD131" s="37">
        <v>2797.096354166667</v>
      </c>
      <c r="AE131" s="37">
        <v>0</v>
      </c>
      <c r="AF131" s="37">
        <v>1483.7644230769217</v>
      </c>
      <c r="AG131" s="37">
        <v>0</v>
      </c>
      <c r="AH131" s="37">
        <v>1770.0900000000011</v>
      </c>
      <c r="AI131" s="37">
        <v>0</v>
      </c>
      <c r="AJ131" s="37">
        <v>1613.1875</v>
      </c>
      <c r="AK131" s="37">
        <v>0</v>
      </c>
      <c r="AL131" s="37">
        <v>1986.8912037037042</v>
      </c>
      <c r="AM131" s="37">
        <v>0</v>
      </c>
      <c r="AN131" s="37">
        <v>3902.1490384615367</v>
      </c>
      <c r="AO131" s="37">
        <v>0</v>
      </c>
      <c r="AP131" s="37">
        <v>2666.1625000000004</v>
      </c>
      <c r="AQ131" s="37">
        <v>0</v>
      </c>
      <c r="AR131" s="37">
        <v>4081.7716346153838</v>
      </c>
      <c r="AS131" s="37">
        <v>0</v>
      </c>
      <c r="AT131" s="37">
        <v>2741.3677884615372</v>
      </c>
      <c r="AU131" s="37">
        <v>0</v>
      </c>
      <c r="AV131" s="37">
        <v>0</v>
      </c>
      <c r="AW131" s="37">
        <v>0</v>
      </c>
      <c r="AX131" s="37">
        <v>5325.6799999999967</v>
      </c>
      <c r="AY131" s="37">
        <v>0</v>
      </c>
      <c r="AZ131" s="37">
        <v>3097.3485576923085</v>
      </c>
      <c r="BA131" s="37">
        <v>0</v>
      </c>
      <c r="BB131" s="37">
        <v>3369.3975000000009</v>
      </c>
      <c r="BC131" s="37">
        <v>0</v>
      </c>
      <c r="BD131" s="37">
        <v>1505.17548076923</v>
      </c>
      <c r="BE131" s="37">
        <v>0</v>
      </c>
      <c r="BF131" s="37">
        <v>1793.675</v>
      </c>
      <c r="BG131" s="37">
        <v>0</v>
      </c>
      <c r="BH131" s="37">
        <v>1722.754999999999</v>
      </c>
      <c r="BI131" s="37">
        <v>0</v>
      </c>
      <c r="BJ131" s="37">
        <v>1992.7893518518504</v>
      </c>
      <c r="BK131" s="37">
        <v>0</v>
      </c>
      <c r="BL131" s="37">
        <v>3290.5199999999982</v>
      </c>
      <c r="BM131" s="37">
        <v>0</v>
      </c>
      <c r="BN131" s="37">
        <v>3556.8317307692273</v>
      </c>
      <c r="BO131" s="37">
        <v>0</v>
      </c>
      <c r="BP131" s="37">
        <v>4083.211538461539</v>
      </c>
      <c r="BQ131" s="37">
        <v>0</v>
      </c>
      <c r="BR131" s="37">
        <v>1435.8424999999988</v>
      </c>
      <c r="BS131" s="37">
        <v>0</v>
      </c>
      <c r="BT131" s="37">
        <v>712.99074074073678</v>
      </c>
      <c r="BU131" s="37">
        <v>0</v>
      </c>
      <c r="BV131" s="37">
        <v>5360.5849999999982</v>
      </c>
      <c r="BW131" s="37">
        <v>0</v>
      </c>
    </row>
    <row r="132" spans="2:75">
      <c r="B132">
        <v>13927</v>
      </c>
      <c r="C132" t="s">
        <v>238</v>
      </c>
      <c r="D132" s="37">
        <v>0</v>
      </c>
      <c r="E132" s="37">
        <v>0</v>
      </c>
      <c r="F132" s="37">
        <v>0</v>
      </c>
      <c r="G132" s="37">
        <v>0</v>
      </c>
      <c r="H132" s="37">
        <v>240.50961538461624</v>
      </c>
      <c r="I132" s="37">
        <v>0</v>
      </c>
      <c r="J132" s="37">
        <v>153.71634615384565</v>
      </c>
      <c r="K132" s="37">
        <v>0</v>
      </c>
      <c r="L132" s="37">
        <v>32.450520833332774</v>
      </c>
      <c r="M132" s="37">
        <v>0</v>
      </c>
      <c r="N132" s="37">
        <v>0</v>
      </c>
      <c r="O132" s="37">
        <v>0</v>
      </c>
      <c r="P132" s="37">
        <v>108.20432692307713</v>
      </c>
      <c r="Q132" s="37">
        <v>0</v>
      </c>
      <c r="R132" s="37">
        <v>186.28000000000034</v>
      </c>
      <c r="S132" s="37">
        <v>0</v>
      </c>
      <c r="T132" s="37">
        <v>280.89903846153817</v>
      </c>
      <c r="U132" s="37">
        <v>0</v>
      </c>
      <c r="V132" s="37">
        <v>683.36538461538521</v>
      </c>
      <c r="W132" s="37">
        <v>0</v>
      </c>
      <c r="X132" s="37">
        <v>1020.4999999999998</v>
      </c>
      <c r="Y132" s="37">
        <v>0</v>
      </c>
      <c r="Z132" s="37">
        <v>469.87250000000046</v>
      </c>
      <c r="AA132" s="37">
        <v>0</v>
      </c>
      <c r="AB132" s="37">
        <v>0</v>
      </c>
      <c r="AC132" s="37">
        <v>0</v>
      </c>
      <c r="AD132" s="37">
        <v>0</v>
      </c>
      <c r="AE132" s="37">
        <v>0</v>
      </c>
      <c r="AF132" s="37">
        <v>247.73076923076931</v>
      </c>
      <c r="AG132" s="37">
        <v>0</v>
      </c>
      <c r="AH132" s="37">
        <v>0</v>
      </c>
      <c r="AI132" s="37">
        <v>0</v>
      </c>
      <c r="AJ132" s="37">
        <v>39.736979166667297</v>
      </c>
      <c r="AK132" s="37">
        <v>0</v>
      </c>
      <c r="AL132" s="37">
        <v>98.879629629629093</v>
      </c>
      <c r="AM132" s="37">
        <v>0</v>
      </c>
      <c r="AN132" s="37">
        <v>117.06730769230711</v>
      </c>
      <c r="AO132" s="37">
        <v>0</v>
      </c>
      <c r="AP132" s="37">
        <v>196.85999999999947</v>
      </c>
      <c r="AQ132" s="37">
        <v>0</v>
      </c>
      <c r="AR132" s="37">
        <v>295.32692307692309</v>
      </c>
      <c r="AS132" s="37">
        <v>0</v>
      </c>
      <c r="AT132" s="37">
        <v>701.66346153846087</v>
      </c>
      <c r="AU132" s="37">
        <v>0</v>
      </c>
      <c r="AV132" s="37">
        <v>1039.9254807692305</v>
      </c>
      <c r="AW132" s="37">
        <v>0</v>
      </c>
      <c r="AX132" s="37">
        <v>484.71000000000009</v>
      </c>
      <c r="AY132" s="37">
        <v>0</v>
      </c>
      <c r="AZ132" s="37">
        <v>0</v>
      </c>
      <c r="BA132" s="37">
        <v>0</v>
      </c>
      <c r="BB132" s="37">
        <v>0</v>
      </c>
      <c r="BC132" s="37">
        <v>0</v>
      </c>
      <c r="BD132" s="37">
        <v>256.30769230769147</v>
      </c>
      <c r="BE132" s="37">
        <v>0</v>
      </c>
      <c r="BF132" s="37">
        <v>0</v>
      </c>
      <c r="BG132" s="37">
        <v>0</v>
      </c>
      <c r="BH132" s="37">
        <v>195.38000000000011</v>
      </c>
      <c r="BI132" s="37">
        <v>0</v>
      </c>
      <c r="BJ132" s="37">
        <v>104.56018518518523</v>
      </c>
      <c r="BK132" s="37">
        <v>0</v>
      </c>
      <c r="BL132" s="37">
        <v>0</v>
      </c>
      <c r="BM132" s="37">
        <v>0</v>
      </c>
      <c r="BN132" s="37">
        <v>383.29326923076877</v>
      </c>
      <c r="BO132" s="37">
        <v>0</v>
      </c>
      <c r="BP132" s="37">
        <v>312.11057692307651</v>
      </c>
      <c r="BQ132" s="37">
        <v>0</v>
      </c>
      <c r="BR132" s="37">
        <v>519.48499999999967</v>
      </c>
      <c r="BS132" s="37">
        <v>0</v>
      </c>
      <c r="BT132" s="37">
        <v>1251.5300925925926</v>
      </c>
      <c r="BU132" s="37">
        <v>0</v>
      </c>
      <c r="BV132" s="37">
        <v>497.92999999999967</v>
      </c>
      <c r="BW132" s="37">
        <v>0</v>
      </c>
    </row>
    <row r="133" spans="2:75">
      <c r="B133">
        <v>10597</v>
      </c>
      <c r="C133" t="s">
        <v>136</v>
      </c>
      <c r="D133" s="37">
        <v>2359.708333333333</v>
      </c>
      <c r="E133" s="37">
        <v>0</v>
      </c>
      <c r="F133" s="37">
        <v>7.0130208333343269</v>
      </c>
      <c r="G133" s="37">
        <v>0</v>
      </c>
      <c r="H133" s="37">
        <v>3620.9591346153857</v>
      </c>
      <c r="I133" s="37">
        <v>0</v>
      </c>
      <c r="J133" s="37">
        <v>2665.1899038461547</v>
      </c>
      <c r="K133" s="37">
        <v>0</v>
      </c>
      <c r="L133" s="37">
        <v>2100.21875</v>
      </c>
      <c r="M133" s="37">
        <v>0</v>
      </c>
      <c r="N133" s="37">
        <v>2419.3557692307691</v>
      </c>
      <c r="O133" s="37">
        <v>0</v>
      </c>
      <c r="P133" s="37">
        <v>2371.6826923076919</v>
      </c>
      <c r="Q133" s="37">
        <v>0</v>
      </c>
      <c r="R133" s="37">
        <v>1659.8350000000019</v>
      </c>
      <c r="S133" s="37">
        <v>0</v>
      </c>
      <c r="T133" s="37">
        <v>3222.5384615384619</v>
      </c>
      <c r="U133" s="37">
        <v>0</v>
      </c>
      <c r="V133" s="37">
        <v>4741.052884615382</v>
      </c>
      <c r="W133" s="37">
        <v>0</v>
      </c>
      <c r="X133" s="37">
        <v>3162.0697115384619</v>
      </c>
      <c r="Y133" s="37">
        <v>0</v>
      </c>
      <c r="Z133" s="37">
        <v>3010.5774999999976</v>
      </c>
      <c r="AA133" s="37">
        <v>0</v>
      </c>
      <c r="AB133" s="37">
        <v>2317.8217592592578</v>
      </c>
      <c r="AC133" s="37">
        <v>0</v>
      </c>
      <c r="AD133" s="37">
        <v>22.559895833332622</v>
      </c>
      <c r="AE133" s="37">
        <v>0</v>
      </c>
      <c r="AF133" s="37">
        <v>3642.6153846153852</v>
      </c>
      <c r="AG133" s="37">
        <v>0</v>
      </c>
      <c r="AH133" s="37">
        <v>2091.7725000000005</v>
      </c>
      <c r="AI133" s="37">
        <v>0</v>
      </c>
      <c r="AJ133" s="37">
        <v>2120.2942708333358</v>
      </c>
      <c r="AK133" s="37">
        <v>0</v>
      </c>
      <c r="AL133" s="37">
        <v>2924.0324074074078</v>
      </c>
      <c r="AM133" s="37">
        <v>0</v>
      </c>
      <c r="AN133" s="37">
        <v>2386.8966346153843</v>
      </c>
      <c r="AO133" s="37">
        <v>0</v>
      </c>
      <c r="AP133" s="37">
        <v>1687.29</v>
      </c>
      <c r="AQ133" s="37">
        <v>0</v>
      </c>
      <c r="AR133" s="37">
        <v>3259.6418269230785</v>
      </c>
      <c r="AS133" s="37">
        <v>0</v>
      </c>
      <c r="AT133" s="37">
        <v>4779.8100961538448</v>
      </c>
      <c r="AU133" s="37">
        <v>0</v>
      </c>
      <c r="AV133" s="37">
        <v>3197.8846153846139</v>
      </c>
      <c r="AW133" s="37">
        <v>0</v>
      </c>
      <c r="AX133" s="37">
        <v>3042.8675000000007</v>
      </c>
      <c r="AY133" s="37">
        <v>0</v>
      </c>
      <c r="AZ133" s="37">
        <v>1855.1153846153854</v>
      </c>
      <c r="BA133" s="37">
        <v>0</v>
      </c>
      <c r="BB133" s="37">
        <v>609.3049999999995</v>
      </c>
      <c r="BC133" s="37">
        <v>0</v>
      </c>
      <c r="BD133" s="37">
        <v>3666.1225961538466</v>
      </c>
      <c r="BE133" s="37">
        <v>0</v>
      </c>
      <c r="BF133" s="37">
        <v>2109.7274999999977</v>
      </c>
      <c r="BG133" s="37">
        <v>0</v>
      </c>
      <c r="BH133" s="37">
        <v>2273.1475000000023</v>
      </c>
      <c r="BI133" s="37">
        <v>0</v>
      </c>
      <c r="BJ133" s="37">
        <v>2943.3611111111127</v>
      </c>
      <c r="BK133" s="37">
        <v>0</v>
      </c>
      <c r="BL133" s="37">
        <v>1959.2100000000003</v>
      </c>
      <c r="BM133" s="37">
        <v>0</v>
      </c>
      <c r="BN133" s="37">
        <v>2186.9326923076951</v>
      </c>
      <c r="BO133" s="37">
        <v>0</v>
      </c>
      <c r="BP133" s="37">
        <v>3298.5745192307681</v>
      </c>
      <c r="BQ133" s="37">
        <v>0</v>
      </c>
      <c r="BR133" s="37">
        <v>4140.8324999999986</v>
      </c>
      <c r="BS133" s="37">
        <v>0</v>
      </c>
      <c r="BT133" s="37">
        <v>3871.9421296296277</v>
      </c>
      <c r="BU133" s="37">
        <v>0</v>
      </c>
      <c r="BV133" s="37">
        <v>3076.3975000000014</v>
      </c>
      <c r="BW133" s="37">
        <v>0</v>
      </c>
    </row>
    <row r="134" spans="2:75">
      <c r="B134">
        <v>10706</v>
      </c>
      <c r="C134" t="s">
        <v>137</v>
      </c>
      <c r="D134" s="37">
        <v>1264.909722222221</v>
      </c>
      <c r="E134" s="37">
        <v>0</v>
      </c>
      <c r="F134" s="37">
        <v>435.10416666666526</v>
      </c>
      <c r="G134" s="37">
        <v>0</v>
      </c>
      <c r="H134" s="37">
        <v>1777.3749999999993</v>
      </c>
      <c r="I134" s="37">
        <v>0</v>
      </c>
      <c r="J134" s="37">
        <v>1812.5889423076912</v>
      </c>
      <c r="K134" s="37">
        <v>0</v>
      </c>
      <c r="L134" s="37">
        <v>1438.338541666667</v>
      </c>
      <c r="M134" s="37">
        <v>0</v>
      </c>
      <c r="N134" s="37">
        <v>839.85817307692298</v>
      </c>
      <c r="O134" s="37">
        <v>0</v>
      </c>
      <c r="P134" s="37">
        <v>1125.4759615384637</v>
      </c>
      <c r="Q134" s="37">
        <v>0</v>
      </c>
      <c r="R134" s="37">
        <v>419.47750000000104</v>
      </c>
      <c r="S134" s="37">
        <v>0</v>
      </c>
      <c r="T134" s="37">
        <v>2826.0192307692309</v>
      </c>
      <c r="U134" s="37">
        <v>0</v>
      </c>
      <c r="V134" s="37">
        <v>3237.7091346153861</v>
      </c>
      <c r="W134" s="37">
        <v>0</v>
      </c>
      <c r="X134" s="37">
        <v>3275.9447115384596</v>
      </c>
      <c r="Y134" s="37">
        <v>0</v>
      </c>
      <c r="Z134" s="37">
        <v>2667.152500000002</v>
      </c>
      <c r="AA134" s="37">
        <v>0</v>
      </c>
      <c r="AB134" s="37">
        <v>1264.909722222221</v>
      </c>
      <c r="AC134" s="37">
        <v>0</v>
      </c>
      <c r="AD134" s="37">
        <v>435.10416666666526</v>
      </c>
      <c r="AE134" s="37">
        <v>0</v>
      </c>
      <c r="AF134" s="37">
        <v>1777.3749999999993</v>
      </c>
      <c r="AG134" s="37">
        <v>0</v>
      </c>
      <c r="AH134" s="37">
        <v>1169.0524999999993</v>
      </c>
      <c r="AI134" s="37">
        <v>0</v>
      </c>
      <c r="AJ134" s="37">
        <v>1438.338541666667</v>
      </c>
      <c r="AK134" s="37">
        <v>0</v>
      </c>
      <c r="AL134" s="37">
        <v>1464.0486111111138</v>
      </c>
      <c r="AM134" s="37">
        <v>0</v>
      </c>
      <c r="AN134" s="37">
        <v>1125.4759615384637</v>
      </c>
      <c r="AO134" s="37">
        <v>0</v>
      </c>
      <c r="AP134" s="37">
        <v>419.47750000000104</v>
      </c>
      <c r="AQ134" s="37">
        <v>0</v>
      </c>
      <c r="AR134" s="37">
        <v>2826.0192307692309</v>
      </c>
      <c r="AS134" s="37">
        <v>0</v>
      </c>
      <c r="AT134" s="37">
        <v>3237.7091346153861</v>
      </c>
      <c r="AU134" s="37">
        <v>0</v>
      </c>
      <c r="AV134" s="37">
        <v>3275.9447115384596</v>
      </c>
      <c r="AW134" s="37">
        <v>0</v>
      </c>
      <c r="AX134" s="37">
        <v>2667.152500000002</v>
      </c>
      <c r="AY134" s="37">
        <v>0</v>
      </c>
      <c r="AZ134" s="37">
        <v>636.21394230769113</v>
      </c>
      <c r="BA134" s="37">
        <v>0</v>
      </c>
      <c r="BB134" s="37">
        <v>1117.5399999999981</v>
      </c>
      <c r="BC134" s="37">
        <v>0</v>
      </c>
      <c r="BD134" s="37">
        <v>1777.3749999999993</v>
      </c>
      <c r="BE134" s="37">
        <v>0</v>
      </c>
      <c r="BF134" s="37">
        <v>1169.0524999999993</v>
      </c>
      <c r="BG134" s="37">
        <v>0</v>
      </c>
      <c r="BH134" s="37">
        <v>1530.4</v>
      </c>
      <c r="BI134" s="37">
        <v>0</v>
      </c>
      <c r="BJ134" s="37">
        <v>1464.0486111111138</v>
      </c>
      <c r="BK134" s="37">
        <v>0</v>
      </c>
      <c r="BL134" s="37">
        <v>471.53500000000025</v>
      </c>
      <c r="BM134" s="37">
        <v>0</v>
      </c>
      <c r="BN134" s="37">
        <v>1075.4591346153841</v>
      </c>
      <c r="BO134" s="37">
        <v>0</v>
      </c>
      <c r="BP134" s="37">
        <v>2826.0192307692309</v>
      </c>
      <c r="BQ134" s="37">
        <v>0</v>
      </c>
      <c r="BR134" s="37">
        <v>2495.3375000000015</v>
      </c>
      <c r="BS134" s="37">
        <v>0</v>
      </c>
      <c r="BT134" s="37">
        <v>4004.7615740740721</v>
      </c>
      <c r="BU134" s="37">
        <v>0</v>
      </c>
      <c r="BV134" s="37">
        <v>2667.152500000002</v>
      </c>
      <c r="BW134" s="37">
        <v>0</v>
      </c>
    </row>
    <row r="135" spans="2:75">
      <c r="B135">
        <v>11680</v>
      </c>
      <c r="C135" t="s">
        <v>138</v>
      </c>
      <c r="D135" s="37">
        <v>826.84490740740841</v>
      </c>
      <c r="E135" s="37">
        <v>0</v>
      </c>
      <c r="F135" s="37">
        <v>636.54947916666595</v>
      </c>
      <c r="G135" s="37">
        <v>0</v>
      </c>
      <c r="H135" s="37">
        <v>721.82451923076928</v>
      </c>
      <c r="I135" s="37">
        <v>0</v>
      </c>
      <c r="J135" s="37">
        <v>753.00480769230842</v>
      </c>
      <c r="K135" s="37">
        <v>0</v>
      </c>
      <c r="L135" s="37">
        <v>750.63541666666731</v>
      </c>
      <c r="M135" s="37">
        <v>0</v>
      </c>
      <c r="N135" s="37">
        <v>910.59615384615313</v>
      </c>
      <c r="O135" s="37">
        <v>0</v>
      </c>
      <c r="P135" s="37">
        <v>839.33173076923072</v>
      </c>
      <c r="Q135" s="37">
        <v>0</v>
      </c>
      <c r="R135" s="37">
        <v>1146.8800000000001</v>
      </c>
      <c r="S135" s="37">
        <v>0</v>
      </c>
      <c r="T135" s="37">
        <v>1423.1682692307693</v>
      </c>
      <c r="U135" s="37">
        <v>0</v>
      </c>
      <c r="V135" s="37">
        <v>1654.5817307692298</v>
      </c>
      <c r="W135" s="37">
        <v>0</v>
      </c>
      <c r="X135" s="37">
        <v>1437.3918269230774</v>
      </c>
      <c r="Y135" s="37">
        <v>0</v>
      </c>
      <c r="Z135" s="37">
        <v>1136.4224999999992</v>
      </c>
      <c r="AA135" s="37">
        <v>0</v>
      </c>
      <c r="AB135" s="37">
        <v>867.98148148148107</v>
      </c>
      <c r="AC135" s="37">
        <v>0</v>
      </c>
      <c r="AD135" s="37">
        <v>684.71354166666742</v>
      </c>
      <c r="AE135" s="37">
        <v>0</v>
      </c>
      <c r="AF135" s="37">
        <v>772.30528846153754</v>
      </c>
      <c r="AG135" s="37">
        <v>0</v>
      </c>
      <c r="AH135" s="37">
        <v>792.17999999999836</v>
      </c>
      <c r="AI135" s="37">
        <v>0</v>
      </c>
      <c r="AJ135" s="37">
        <v>802.34114583333405</v>
      </c>
      <c r="AK135" s="37">
        <v>0</v>
      </c>
      <c r="AL135" s="37">
        <v>971.30555555555497</v>
      </c>
      <c r="AM135" s="37">
        <v>0</v>
      </c>
      <c r="AN135" s="37">
        <v>882.77884615384505</v>
      </c>
      <c r="AO135" s="37">
        <v>0</v>
      </c>
      <c r="AP135" s="37">
        <v>1192.9174999999989</v>
      </c>
      <c r="AQ135" s="37">
        <v>0</v>
      </c>
      <c r="AR135" s="37">
        <v>1484.4302884615383</v>
      </c>
      <c r="AS135" s="37">
        <v>0</v>
      </c>
      <c r="AT135" s="37">
        <v>1719.1538461538473</v>
      </c>
      <c r="AU135" s="37">
        <v>0</v>
      </c>
      <c r="AV135" s="37">
        <v>1507.5072115384601</v>
      </c>
      <c r="AW135" s="37">
        <v>0</v>
      </c>
      <c r="AX135" s="37">
        <v>1189.7974999999992</v>
      </c>
      <c r="AY135" s="37">
        <v>0</v>
      </c>
      <c r="AZ135" s="37">
        <v>896.4350961538463</v>
      </c>
      <c r="BA135" s="37">
        <v>0</v>
      </c>
      <c r="BB135" s="37">
        <v>747.72500000000082</v>
      </c>
      <c r="BC135" s="37">
        <v>0</v>
      </c>
      <c r="BD135" s="37">
        <v>822.56490384615427</v>
      </c>
      <c r="BE135" s="37">
        <v>0</v>
      </c>
      <c r="BF135" s="37">
        <v>846.1199999999991</v>
      </c>
      <c r="BG135" s="37">
        <v>0</v>
      </c>
      <c r="BH135" s="37">
        <v>888.6975000000001</v>
      </c>
      <c r="BI135" s="37">
        <v>0</v>
      </c>
      <c r="BJ135" s="37">
        <v>1019.6805555555559</v>
      </c>
      <c r="BK135" s="37">
        <v>0</v>
      </c>
      <c r="BL135" s="37">
        <v>911.33249999999964</v>
      </c>
      <c r="BM135" s="37">
        <v>0</v>
      </c>
      <c r="BN135" s="37">
        <v>1256.0649038461545</v>
      </c>
      <c r="BO135" s="37">
        <v>0</v>
      </c>
      <c r="BP135" s="37">
        <v>1548.4519230769229</v>
      </c>
      <c r="BQ135" s="37">
        <v>0</v>
      </c>
      <c r="BR135" s="37">
        <v>1751.2824999999998</v>
      </c>
      <c r="BS135" s="37">
        <v>0</v>
      </c>
      <c r="BT135" s="37">
        <v>1603.5162037037053</v>
      </c>
      <c r="BU135" s="37">
        <v>0</v>
      </c>
      <c r="BV135" s="37">
        <v>1246.1300000000008</v>
      </c>
      <c r="BW135" s="37">
        <v>0</v>
      </c>
    </row>
    <row r="136" spans="2:75">
      <c r="B136">
        <v>12026</v>
      </c>
      <c r="C136" t="s">
        <v>139</v>
      </c>
      <c r="D136" s="37">
        <v>0</v>
      </c>
      <c r="E136" s="37">
        <v>0</v>
      </c>
      <c r="F136" s="37">
        <v>8356.7499999999982</v>
      </c>
      <c r="G136" s="37">
        <v>0</v>
      </c>
      <c r="H136" s="37">
        <v>9973.1610576922976</v>
      </c>
      <c r="I136" s="37">
        <v>0</v>
      </c>
      <c r="J136" s="37">
        <v>16647.32451923078</v>
      </c>
      <c r="K136" s="37">
        <v>0</v>
      </c>
      <c r="L136" s="37">
        <v>8724.9166666666624</v>
      </c>
      <c r="M136" s="37">
        <v>0</v>
      </c>
      <c r="N136" s="37">
        <v>7036.9158653846143</v>
      </c>
      <c r="O136" s="37">
        <v>0</v>
      </c>
      <c r="P136" s="37">
        <v>6710.9903846153929</v>
      </c>
      <c r="Q136" s="37">
        <v>0</v>
      </c>
      <c r="R136" s="37">
        <v>4232.4425000000047</v>
      </c>
      <c r="S136" s="37">
        <v>0</v>
      </c>
      <c r="T136" s="37">
        <v>4787.3942307692314</v>
      </c>
      <c r="U136" s="37">
        <v>0</v>
      </c>
      <c r="V136" s="37">
        <v>3181.2283653846125</v>
      </c>
      <c r="W136" s="37">
        <v>0</v>
      </c>
      <c r="X136" s="37">
        <v>3654.1610576923053</v>
      </c>
      <c r="Y136" s="37">
        <v>0</v>
      </c>
      <c r="Z136" s="37">
        <v>6454.8500000000058</v>
      </c>
      <c r="AA136" s="37">
        <v>0</v>
      </c>
      <c r="AB136" s="37">
        <v>0</v>
      </c>
      <c r="AC136" s="37">
        <v>0</v>
      </c>
      <c r="AD136" s="37">
        <v>8512.9427083333339</v>
      </c>
      <c r="AE136" s="37">
        <v>0</v>
      </c>
      <c r="AF136" s="37">
        <v>10346.822115384615</v>
      </c>
      <c r="AG136" s="37">
        <v>0</v>
      </c>
      <c r="AH136" s="37">
        <v>16711.722499999993</v>
      </c>
      <c r="AI136" s="37">
        <v>0</v>
      </c>
      <c r="AJ136" s="37">
        <v>9007.0286458333339</v>
      </c>
      <c r="AK136" s="37">
        <v>0</v>
      </c>
      <c r="AL136" s="37">
        <v>7427.5601851851789</v>
      </c>
      <c r="AM136" s="37">
        <v>0</v>
      </c>
      <c r="AN136" s="37">
        <v>6855.8870192307704</v>
      </c>
      <c r="AO136" s="37">
        <v>0</v>
      </c>
      <c r="AP136" s="37">
        <v>4307.8299999999954</v>
      </c>
      <c r="AQ136" s="37">
        <v>0</v>
      </c>
      <c r="AR136" s="37">
        <v>4865.180288461539</v>
      </c>
      <c r="AS136" s="37">
        <v>0</v>
      </c>
      <c r="AT136" s="37">
        <v>3221.122596153848</v>
      </c>
      <c r="AU136" s="37">
        <v>0</v>
      </c>
      <c r="AV136" s="37">
        <v>3711.2740384615386</v>
      </c>
      <c r="AW136" s="37">
        <v>0</v>
      </c>
      <c r="AX136" s="37">
        <v>6527.34</v>
      </c>
      <c r="AY136" s="37">
        <v>0</v>
      </c>
      <c r="AZ136" s="37">
        <v>0</v>
      </c>
      <c r="BA136" s="37">
        <v>0</v>
      </c>
      <c r="BB136" s="37">
        <v>8935.5500000000065</v>
      </c>
      <c r="BC136" s="37">
        <v>0</v>
      </c>
      <c r="BD136" s="37">
        <v>10678.124999999998</v>
      </c>
      <c r="BE136" s="37">
        <v>0</v>
      </c>
      <c r="BF136" s="37">
        <v>16968.677499999998</v>
      </c>
      <c r="BG136" s="37">
        <v>0</v>
      </c>
      <c r="BH136" s="37">
        <v>9788.8674999999985</v>
      </c>
      <c r="BI136" s="37">
        <v>0</v>
      </c>
      <c r="BJ136" s="37">
        <v>7470.3333333333358</v>
      </c>
      <c r="BK136" s="37">
        <v>0</v>
      </c>
      <c r="BL136" s="37">
        <v>6666.4424999999956</v>
      </c>
      <c r="BM136" s="37">
        <v>0</v>
      </c>
      <c r="BN136" s="37">
        <v>4430.9759615384646</v>
      </c>
      <c r="BO136" s="37">
        <v>0</v>
      </c>
      <c r="BP136" s="37">
        <v>4787.1033653846252</v>
      </c>
      <c r="BQ136" s="37">
        <v>0</v>
      </c>
      <c r="BR136" s="37">
        <v>2906.0175000000049</v>
      </c>
      <c r="BS136" s="37">
        <v>0</v>
      </c>
      <c r="BT136" s="37">
        <v>3849.7800925925949</v>
      </c>
      <c r="BU136" s="37">
        <v>0</v>
      </c>
      <c r="BV136" s="37">
        <v>6499.0250000000015</v>
      </c>
      <c r="BW136" s="37">
        <v>0</v>
      </c>
    </row>
    <row r="137" spans="2:75">
      <c r="B137">
        <v>10298</v>
      </c>
      <c r="C137" t="s">
        <v>140</v>
      </c>
      <c r="D137" s="37">
        <v>157133.68287037022</v>
      </c>
      <c r="E137" s="37">
        <v>0</v>
      </c>
      <c r="F137" s="37">
        <v>113108.29166666696</v>
      </c>
      <c r="G137" s="37">
        <v>0</v>
      </c>
      <c r="H137" s="37">
        <v>280879.1634615385</v>
      </c>
      <c r="I137" s="37">
        <v>0</v>
      </c>
      <c r="J137" s="37">
        <v>339503.12259615387</v>
      </c>
      <c r="K137" s="37">
        <v>0</v>
      </c>
      <c r="L137" s="37">
        <v>236944.69010416674</v>
      </c>
      <c r="M137" s="37">
        <v>0</v>
      </c>
      <c r="N137" s="37">
        <v>199622.24278846162</v>
      </c>
      <c r="O137" s="37">
        <v>0</v>
      </c>
      <c r="P137" s="37">
        <v>207879.20913461529</v>
      </c>
      <c r="Q137" s="37">
        <v>0</v>
      </c>
      <c r="R137" s="37">
        <v>110388.23500000003</v>
      </c>
      <c r="S137" s="37">
        <v>0</v>
      </c>
      <c r="T137" s="37">
        <v>200153.84615384604</v>
      </c>
      <c r="U137" s="37">
        <v>0</v>
      </c>
      <c r="V137" s="37">
        <v>229997.74759615381</v>
      </c>
      <c r="W137" s="37">
        <v>0</v>
      </c>
      <c r="X137" s="37">
        <v>237350.41105769231</v>
      </c>
      <c r="Y137" s="37">
        <v>0</v>
      </c>
      <c r="Z137" s="37">
        <v>142615.75000000006</v>
      </c>
      <c r="AA137" s="37">
        <v>0</v>
      </c>
      <c r="AB137" s="37">
        <v>168100.17129629629</v>
      </c>
      <c r="AC137" s="37">
        <v>0</v>
      </c>
      <c r="AD137" s="37">
        <v>122942.48697916663</v>
      </c>
      <c r="AE137" s="37">
        <v>0</v>
      </c>
      <c r="AF137" s="37">
        <v>290883.62740384619</v>
      </c>
      <c r="AG137" s="37">
        <v>0</v>
      </c>
      <c r="AH137" s="37">
        <v>335649.43750000006</v>
      </c>
      <c r="AI137" s="37">
        <v>0</v>
      </c>
      <c r="AJ137" s="37">
        <v>245630.10677083343</v>
      </c>
      <c r="AK137" s="37">
        <v>0</v>
      </c>
      <c r="AL137" s="37">
        <v>218341.93518518494</v>
      </c>
      <c r="AM137" s="37">
        <v>0</v>
      </c>
      <c r="AN137" s="37">
        <v>218079.30528846144</v>
      </c>
      <c r="AO137" s="37">
        <v>0</v>
      </c>
      <c r="AP137" s="37">
        <v>115094.12499999997</v>
      </c>
      <c r="AQ137" s="37">
        <v>0</v>
      </c>
      <c r="AR137" s="37">
        <v>206537.07932692312</v>
      </c>
      <c r="AS137" s="37">
        <v>0</v>
      </c>
      <c r="AT137" s="37">
        <v>235894.38942307688</v>
      </c>
      <c r="AU137" s="37">
        <v>0</v>
      </c>
      <c r="AV137" s="37">
        <v>243032.48317307702</v>
      </c>
      <c r="AW137" s="37">
        <v>0</v>
      </c>
      <c r="AX137" s="37">
        <v>147997.18749999988</v>
      </c>
      <c r="AY137" s="37">
        <v>0</v>
      </c>
      <c r="AZ137" s="37">
        <v>167444.06009615379</v>
      </c>
      <c r="BA137" s="37">
        <v>0</v>
      </c>
      <c r="BB137" s="37">
        <v>144544.25000000009</v>
      </c>
      <c r="BC137" s="37">
        <v>0</v>
      </c>
      <c r="BD137" s="37">
        <v>300584.36057692335</v>
      </c>
      <c r="BE137" s="37">
        <v>0</v>
      </c>
      <c r="BF137" s="37">
        <v>345386.76500000001</v>
      </c>
      <c r="BG137" s="37">
        <v>0</v>
      </c>
      <c r="BH137" s="37">
        <v>264801.81250000012</v>
      </c>
      <c r="BI137" s="37">
        <v>0</v>
      </c>
      <c r="BJ137" s="37">
        <v>227022.60416666654</v>
      </c>
      <c r="BK137" s="37">
        <v>0</v>
      </c>
      <c r="BL137" s="37">
        <v>216409.18749999991</v>
      </c>
      <c r="BM137" s="37">
        <v>0</v>
      </c>
      <c r="BN137" s="37">
        <v>131466.7283653846</v>
      </c>
      <c r="BO137" s="37">
        <v>0</v>
      </c>
      <c r="BP137" s="37">
        <v>211280.00961538451</v>
      </c>
      <c r="BQ137" s="37">
        <v>0</v>
      </c>
      <c r="BR137" s="37">
        <v>226549.99999999988</v>
      </c>
      <c r="BS137" s="37">
        <v>0</v>
      </c>
      <c r="BT137" s="37">
        <v>261237.20370370371</v>
      </c>
      <c r="BU137" s="37">
        <v>0</v>
      </c>
      <c r="BV137" s="37">
        <v>151840.71750000009</v>
      </c>
      <c r="BW137" s="37">
        <v>0</v>
      </c>
    </row>
    <row r="139" spans="2:75">
      <c r="B139" s="2"/>
      <c r="C139" s="3"/>
      <c r="D139" s="20"/>
      <c r="E139" s="21"/>
      <c r="F139" s="20"/>
      <c r="G139" s="21"/>
      <c r="H139" s="20"/>
      <c r="I139" s="21"/>
      <c r="J139" s="20"/>
      <c r="K139" s="21"/>
      <c r="L139" s="20"/>
      <c r="M139" s="21"/>
      <c r="N139" s="20"/>
      <c r="O139" s="21"/>
      <c r="P139" s="20"/>
      <c r="Q139" s="21"/>
      <c r="R139" s="20"/>
      <c r="S139" s="21"/>
      <c r="T139" s="20"/>
      <c r="U139" s="21"/>
      <c r="V139" s="20"/>
      <c r="W139" s="21"/>
      <c r="X139" s="20"/>
      <c r="Y139" s="21"/>
      <c r="Z139" s="20"/>
      <c r="AA139" s="21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  <c r="AX139" s="20"/>
      <c r="AY139" s="20"/>
      <c r="AZ139" s="20"/>
      <c r="BA139" s="21"/>
      <c r="BB139" s="20"/>
      <c r="BC139" s="21"/>
      <c r="BD139" s="20"/>
      <c r="BE139" s="21"/>
      <c r="BF139" s="20"/>
      <c r="BG139" s="21"/>
      <c r="BH139" s="20"/>
      <c r="BI139" s="21"/>
      <c r="BJ139" s="20"/>
      <c r="BK139" s="21"/>
      <c r="BL139" s="20"/>
      <c r="BM139" s="21"/>
      <c r="BN139" s="20"/>
      <c r="BO139" s="21"/>
      <c r="BP139" s="20"/>
      <c r="BQ139" s="21"/>
      <c r="BR139" s="20"/>
      <c r="BS139" s="21"/>
      <c r="BT139" s="20"/>
      <c r="BU139" s="21"/>
      <c r="BV139" s="20"/>
      <c r="BW139" s="21"/>
    </row>
    <row r="140" spans="2:75">
      <c r="B140" s="2"/>
      <c r="C140" s="3"/>
      <c r="D140" s="20"/>
      <c r="E140" s="21"/>
      <c r="F140" s="20"/>
      <c r="G140" s="21"/>
      <c r="H140" s="20"/>
      <c r="I140" s="21"/>
      <c r="J140" s="20"/>
      <c r="K140" s="21"/>
      <c r="L140" s="20"/>
      <c r="M140" s="21"/>
      <c r="N140" s="20"/>
      <c r="O140" s="21"/>
      <c r="P140" s="20"/>
      <c r="Q140" s="21"/>
      <c r="R140" s="20"/>
      <c r="S140" s="21"/>
      <c r="T140" s="20"/>
      <c r="U140" s="21"/>
      <c r="V140" s="20"/>
      <c r="W140" s="21"/>
      <c r="X140" s="20"/>
      <c r="Y140" s="21"/>
      <c r="Z140" s="20"/>
      <c r="AA140" s="21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1"/>
      <c r="BB140" s="20"/>
      <c r="BC140" s="21"/>
      <c r="BD140" s="20"/>
      <c r="BE140" s="21"/>
      <c r="BF140" s="20"/>
      <c r="BG140" s="21"/>
      <c r="BH140" s="20"/>
      <c r="BI140" s="21"/>
      <c r="BJ140" s="20"/>
      <c r="BK140" s="21"/>
      <c r="BL140" s="20"/>
      <c r="BM140" s="21"/>
      <c r="BN140" s="20"/>
      <c r="BO140" s="21"/>
      <c r="BP140" s="20"/>
      <c r="BQ140" s="21"/>
      <c r="BR140" s="20"/>
      <c r="BS140" s="21"/>
      <c r="BT140" s="20"/>
      <c r="BU140" s="21"/>
      <c r="BV140" s="20"/>
      <c r="BW140" s="21"/>
    </row>
    <row r="141" spans="2:75">
      <c r="B141" s="2"/>
      <c r="C141" s="3"/>
      <c r="D141" s="20"/>
      <c r="E141" s="21"/>
      <c r="F141" s="20"/>
      <c r="G141" s="21"/>
      <c r="H141" s="20"/>
      <c r="I141" s="21"/>
      <c r="J141" s="20"/>
      <c r="K141" s="21"/>
      <c r="L141" s="20"/>
      <c r="M141" s="21"/>
      <c r="N141" s="20"/>
      <c r="O141" s="21"/>
      <c r="P141" s="20"/>
      <c r="Q141" s="21"/>
      <c r="R141" s="20"/>
      <c r="S141" s="21"/>
      <c r="T141" s="20"/>
      <c r="U141" s="21"/>
      <c r="V141" s="20"/>
      <c r="W141" s="21"/>
      <c r="X141" s="20"/>
      <c r="Y141" s="21"/>
      <c r="Z141" s="20"/>
      <c r="AA141" s="21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  <c r="AX141" s="20"/>
      <c r="AY141" s="20"/>
      <c r="AZ141" s="20"/>
      <c r="BA141" s="21"/>
      <c r="BB141" s="20"/>
      <c r="BC141" s="21"/>
      <c r="BD141" s="20"/>
      <c r="BE141" s="21"/>
      <c r="BF141" s="20"/>
      <c r="BG141" s="21"/>
      <c r="BH141" s="20"/>
      <c r="BI141" s="21"/>
      <c r="BJ141" s="20"/>
      <c r="BK141" s="21"/>
      <c r="BL141" s="20"/>
      <c r="BM141" s="21"/>
      <c r="BN141" s="20"/>
      <c r="BO141" s="21"/>
      <c r="BP141" s="20"/>
      <c r="BQ141" s="21"/>
      <c r="BR141" s="20"/>
      <c r="BS141" s="21"/>
      <c r="BT141" s="20"/>
      <c r="BU141" s="21"/>
      <c r="BV141" s="20"/>
      <c r="BW141" s="21"/>
    </row>
    <row r="142" spans="2:75">
      <c r="B142" s="2"/>
      <c r="C142" s="3"/>
      <c r="D142" s="20"/>
      <c r="E142" s="21"/>
      <c r="F142" s="20"/>
      <c r="G142" s="21"/>
      <c r="H142" s="20"/>
      <c r="I142" s="21"/>
      <c r="J142" s="20"/>
      <c r="K142" s="21"/>
      <c r="L142" s="20"/>
      <c r="M142" s="21"/>
      <c r="N142" s="20"/>
      <c r="O142" s="21"/>
      <c r="P142" s="20"/>
      <c r="Q142" s="21"/>
      <c r="R142" s="20"/>
      <c r="S142" s="21"/>
      <c r="T142" s="20"/>
      <c r="U142" s="21"/>
      <c r="V142" s="20"/>
      <c r="W142" s="21"/>
      <c r="X142" s="20"/>
      <c r="Y142" s="21"/>
      <c r="Z142" s="20"/>
      <c r="AA142" s="21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1"/>
      <c r="BB142" s="20"/>
      <c r="BC142" s="21"/>
      <c r="BD142" s="20"/>
      <c r="BE142" s="21"/>
      <c r="BF142" s="20"/>
      <c r="BG142" s="21"/>
      <c r="BH142" s="20"/>
      <c r="BI142" s="21"/>
      <c r="BJ142" s="20"/>
      <c r="BK142" s="21"/>
      <c r="BL142" s="20"/>
      <c r="BM142" s="21"/>
      <c r="BN142" s="20"/>
      <c r="BO142" s="21"/>
      <c r="BP142" s="20"/>
      <c r="BQ142" s="21"/>
      <c r="BR142" s="20"/>
      <c r="BS142" s="21"/>
      <c r="BT142" s="20"/>
      <c r="BU142" s="21"/>
      <c r="BV142" s="20"/>
      <c r="BW142" s="21"/>
    </row>
    <row r="143" spans="2:75">
      <c r="B143" s="2"/>
      <c r="C143" s="3"/>
      <c r="D143" s="20"/>
      <c r="E143" s="21"/>
      <c r="F143" s="20"/>
      <c r="G143" s="21"/>
      <c r="H143" s="20"/>
      <c r="I143" s="21"/>
      <c r="J143" s="20"/>
      <c r="K143" s="21"/>
      <c r="L143" s="20"/>
      <c r="M143" s="21"/>
      <c r="N143" s="20"/>
      <c r="O143" s="21"/>
      <c r="P143" s="20"/>
      <c r="Q143" s="21"/>
      <c r="R143" s="20"/>
      <c r="S143" s="21"/>
      <c r="T143" s="20"/>
      <c r="U143" s="21"/>
      <c r="V143" s="20"/>
      <c r="W143" s="21"/>
      <c r="X143" s="20"/>
      <c r="Y143" s="21"/>
      <c r="Z143" s="20"/>
      <c r="AA143" s="21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1"/>
      <c r="BB143" s="20"/>
      <c r="BC143" s="21"/>
      <c r="BD143" s="20"/>
      <c r="BE143" s="21"/>
      <c r="BF143" s="20"/>
      <c r="BG143" s="21"/>
      <c r="BH143" s="20"/>
      <c r="BI143" s="21"/>
      <c r="BJ143" s="20"/>
      <c r="BK143" s="21"/>
      <c r="BL143" s="20"/>
      <c r="BM143" s="21"/>
      <c r="BN143" s="20"/>
      <c r="BO143" s="21"/>
      <c r="BP143" s="20"/>
      <c r="BQ143" s="21"/>
      <c r="BR143" s="20"/>
      <c r="BS143" s="21"/>
      <c r="BT143" s="20"/>
      <c r="BU143" s="21"/>
      <c r="BV143" s="20"/>
      <c r="BW143" s="21"/>
    </row>
    <row r="144" spans="2:75">
      <c r="B144" s="2"/>
      <c r="C144" s="3"/>
      <c r="D144" s="20"/>
      <c r="E144" s="21"/>
      <c r="F144" s="20"/>
      <c r="G144" s="21"/>
      <c r="H144" s="20"/>
      <c r="I144" s="21"/>
      <c r="J144" s="20"/>
      <c r="K144" s="21"/>
      <c r="L144" s="20"/>
      <c r="M144" s="21"/>
      <c r="N144" s="20"/>
      <c r="O144" s="21"/>
      <c r="P144" s="20"/>
      <c r="Q144" s="21"/>
      <c r="R144" s="20"/>
      <c r="S144" s="21"/>
      <c r="T144" s="20"/>
      <c r="U144" s="21"/>
      <c r="V144" s="20"/>
      <c r="W144" s="21"/>
      <c r="X144" s="20"/>
      <c r="Y144" s="21"/>
      <c r="Z144" s="20"/>
      <c r="AA144" s="21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0"/>
      <c r="AX144" s="20"/>
      <c r="AY144" s="20"/>
      <c r="AZ144" s="20"/>
      <c r="BA144" s="21"/>
      <c r="BB144" s="20"/>
      <c r="BC144" s="21"/>
      <c r="BD144" s="20"/>
      <c r="BE144" s="21"/>
      <c r="BF144" s="20"/>
      <c r="BG144" s="21"/>
      <c r="BH144" s="20"/>
      <c r="BI144" s="21"/>
      <c r="BJ144" s="20"/>
      <c r="BK144" s="21"/>
      <c r="BL144" s="20"/>
      <c r="BM144" s="21"/>
      <c r="BN144" s="20"/>
      <c r="BO144" s="21"/>
      <c r="BP144" s="20"/>
      <c r="BQ144" s="21"/>
      <c r="BR144" s="20"/>
      <c r="BS144" s="21"/>
      <c r="BT144" s="20"/>
      <c r="BU144" s="21"/>
      <c r="BV144" s="20"/>
      <c r="BW144" s="21"/>
    </row>
    <row r="145" spans="2:75">
      <c r="B145" s="2"/>
      <c r="C145" s="3"/>
      <c r="D145" s="20"/>
      <c r="E145" s="21"/>
      <c r="F145" s="20"/>
      <c r="G145" s="21"/>
      <c r="H145" s="20"/>
      <c r="I145" s="21"/>
      <c r="J145" s="20"/>
      <c r="K145" s="21"/>
      <c r="L145" s="20"/>
      <c r="M145" s="21"/>
      <c r="N145" s="20"/>
      <c r="O145" s="21"/>
      <c r="P145" s="20"/>
      <c r="Q145" s="21"/>
      <c r="R145" s="20"/>
      <c r="S145" s="21"/>
      <c r="T145" s="20"/>
      <c r="U145" s="21"/>
      <c r="V145" s="20"/>
      <c r="W145" s="21"/>
      <c r="X145" s="20"/>
      <c r="Y145" s="21"/>
      <c r="Z145" s="20"/>
      <c r="AA145" s="21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  <c r="AX145" s="20"/>
      <c r="AY145" s="20"/>
      <c r="AZ145" s="20"/>
      <c r="BA145" s="21"/>
      <c r="BB145" s="20"/>
      <c r="BC145" s="21"/>
      <c r="BD145" s="20"/>
      <c r="BE145" s="21"/>
      <c r="BF145" s="20"/>
      <c r="BG145" s="21"/>
      <c r="BH145" s="20"/>
      <c r="BI145" s="21"/>
      <c r="BJ145" s="20"/>
      <c r="BK145" s="21"/>
      <c r="BL145" s="20"/>
      <c r="BM145" s="21"/>
      <c r="BN145" s="20"/>
      <c r="BO145" s="21"/>
      <c r="BP145" s="20"/>
      <c r="BQ145" s="21"/>
      <c r="BR145" s="20"/>
      <c r="BS145" s="21"/>
      <c r="BT145" s="20"/>
      <c r="BU145" s="21"/>
      <c r="BV145" s="20"/>
      <c r="BW145" s="21"/>
    </row>
    <row r="146" spans="2:75">
      <c r="B146" s="2"/>
      <c r="C146" s="3"/>
      <c r="D146" s="20"/>
      <c r="E146" s="21"/>
      <c r="F146" s="20"/>
      <c r="G146" s="21"/>
      <c r="H146" s="20"/>
      <c r="I146" s="21"/>
      <c r="J146" s="20"/>
      <c r="K146" s="21"/>
      <c r="L146" s="20"/>
      <c r="M146" s="21"/>
      <c r="N146" s="20"/>
      <c r="O146" s="21"/>
      <c r="P146" s="20"/>
      <c r="Q146" s="21"/>
      <c r="R146" s="20"/>
      <c r="S146" s="21"/>
      <c r="T146" s="20"/>
      <c r="U146" s="21"/>
      <c r="V146" s="20"/>
      <c r="W146" s="21"/>
      <c r="X146" s="20"/>
      <c r="Y146" s="21"/>
      <c r="Z146" s="20"/>
      <c r="AA146" s="21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  <c r="AX146" s="20"/>
      <c r="AY146" s="20"/>
      <c r="AZ146" s="20"/>
      <c r="BA146" s="21"/>
      <c r="BB146" s="20"/>
      <c r="BC146" s="21"/>
      <c r="BD146" s="20"/>
      <c r="BE146" s="21"/>
      <c r="BF146" s="20"/>
      <c r="BG146" s="21"/>
      <c r="BH146" s="20"/>
      <c r="BI146" s="21"/>
      <c r="BJ146" s="20"/>
      <c r="BK146" s="21"/>
      <c r="BL146" s="20"/>
      <c r="BM146" s="21"/>
      <c r="BN146" s="20"/>
      <c r="BO146" s="21"/>
      <c r="BP146" s="20"/>
      <c r="BQ146" s="21"/>
      <c r="BR146" s="20"/>
      <c r="BS146" s="21"/>
      <c r="BT146" s="20"/>
      <c r="BU146" s="21"/>
      <c r="BV146" s="20"/>
      <c r="BW146" s="21"/>
    </row>
    <row r="147" spans="2:75">
      <c r="B147" s="2">
        <v>1</v>
      </c>
      <c r="C147" s="3">
        <v>2</v>
      </c>
      <c r="D147" s="20">
        <v>3</v>
      </c>
      <c r="E147" s="21">
        <v>4</v>
      </c>
      <c r="F147" s="20">
        <v>5</v>
      </c>
      <c r="G147" s="21">
        <v>6</v>
      </c>
      <c r="H147" s="20">
        <v>7</v>
      </c>
      <c r="I147" s="21">
        <v>8</v>
      </c>
      <c r="J147" s="20">
        <v>9</v>
      </c>
      <c r="K147" s="21">
        <v>10</v>
      </c>
      <c r="L147" s="20">
        <v>11</v>
      </c>
      <c r="M147" s="21">
        <v>12</v>
      </c>
      <c r="N147" s="20">
        <v>13</v>
      </c>
      <c r="O147" s="21">
        <v>14</v>
      </c>
      <c r="P147" s="20">
        <v>15</v>
      </c>
      <c r="Q147" s="21">
        <v>16</v>
      </c>
      <c r="R147" s="20">
        <v>17</v>
      </c>
      <c r="S147" s="21">
        <v>18</v>
      </c>
      <c r="T147" s="20">
        <v>19</v>
      </c>
      <c r="U147" s="21">
        <v>20</v>
      </c>
      <c r="V147" s="20">
        <v>21</v>
      </c>
      <c r="W147" s="21">
        <v>22</v>
      </c>
      <c r="X147" s="20">
        <v>23</v>
      </c>
      <c r="Y147" s="21">
        <v>24</v>
      </c>
      <c r="Z147" s="20">
        <v>25</v>
      </c>
      <c r="AA147" s="21">
        <v>26</v>
      </c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>
        <v>27</v>
      </c>
      <c r="BA147" s="21">
        <v>28</v>
      </c>
      <c r="BB147" s="20">
        <v>29</v>
      </c>
      <c r="BC147" s="21">
        <v>30</v>
      </c>
      <c r="BD147" s="20">
        <v>31</v>
      </c>
      <c r="BE147" s="21">
        <v>32</v>
      </c>
      <c r="BF147" s="20">
        <v>33</v>
      </c>
      <c r="BG147" s="21">
        <v>34</v>
      </c>
      <c r="BH147" s="20">
        <v>35</v>
      </c>
      <c r="BI147" s="21">
        <v>36</v>
      </c>
      <c r="BJ147" s="20">
        <v>37</v>
      </c>
      <c r="BK147" s="21">
        <v>38</v>
      </c>
      <c r="BL147" s="20">
        <v>39</v>
      </c>
      <c r="BM147" s="21">
        <v>40</v>
      </c>
      <c r="BN147" s="20">
        <v>41</v>
      </c>
      <c r="BO147" s="21">
        <v>42</v>
      </c>
      <c r="BP147" s="20">
        <v>43</v>
      </c>
      <c r="BQ147" s="21">
        <v>44</v>
      </c>
      <c r="BR147" s="20">
        <v>45</v>
      </c>
      <c r="BS147" s="21">
        <v>46</v>
      </c>
      <c r="BT147" s="20">
        <v>47</v>
      </c>
      <c r="BU147" s="21">
        <v>48</v>
      </c>
      <c r="BV147" s="20">
        <v>49</v>
      </c>
      <c r="BW147" s="21">
        <v>50</v>
      </c>
    </row>
    <row r="148" spans="2:75">
      <c r="B148" s="2"/>
      <c r="C148" s="3"/>
      <c r="D148" s="20"/>
      <c r="E148" s="21"/>
      <c r="F148" s="20"/>
      <c r="G148" s="21"/>
      <c r="H148" s="20"/>
      <c r="I148" s="21"/>
      <c r="J148" s="20"/>
      <c r="K148" s="21"/>
      <c r="L148" s="20"/>
      <c r="M148" s="21"/>
      <c r="N148" s="20"/>
      <c r="O148" s="21"/>
      <c r="P148" s="20"/>
      <c r="Q148" s="21"/>
      <c r="R148" s="20"/>
      <c r="S148" s="21"/>
      <c r="T148" s="20"/>
      <c r="U148" s="21"/>
      <c r="V148" s="20"/>
      <c r="W148" s="21"/>
      <c r="X148" s="20"/>
      <c r="Y148" s="21"/>
      <c r="Z148" s="20"/>
      <c r="AA148" s="21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1"/>
      <c r="BB148" s="20"/>
      <c r="BC148" s="21"/>
      <c r="BD148" s="20"/>
      <c r="BE148" s="21"/>
      <c r="BF148" s="20"/>
      <c r="BG148" s="21"/>
      <c r="BH148" s="20"/>
      <c r="BI148" s="21"/>
      <c r="BJ148" s="20"/>
      <c r="BK148" s="21"/>
      <c r="BL148" s="20"/>
      <c r="BM148" s="21"/>
      <c r="BN148" s="20"/>
      <c r="BO148" s="21"/>
      <c r="BP148" s="20"/>
      <c r="BQ148" s="21"/>
      <c r="BR148" s="20"/>
      <c r="BS148" s="21"/>
      <c r="BT148" s="20"/>
      <c r="BU148" s="21"/>
      <c r="BV148" s="20"/>
      <c r="BW148" s="21"/>
    </row>
    <row r="149" spans="2:75">
      <c r="B149" s="2"/>
      <c r="C149" s="3"/>
      <c r="D149" s="20"/>
      <c r="E149" s="21"/>
      <c r="F149" s="20"/>
      <c r="G149" s="21"/>
      <c r="H149" s="20"/>
      <c r="I149" s="21"/>
      <c r="J149" s="20"/>
      <c r="K149" s="21"/>
      <c r="L149" s="20"/>
      <c r="M149" s="21"/>
      <c r="N149" s="20"/>
      <c r="O149" s="21"/>
      <c r="P149" s="20"/>
      <c r="Q149" s="21"/>
      <c r="R149" s="20"/>
      <c r="S149" s="21"/>
      <c r="T149" s="20"/>
      <c r="U149" s="21"/>
      <c r="V149" s="20"/>
      <c r="W149" s="21"/>
      <c r="X149" s="20"/>
      <c r="Y149" s="21"/>
      <c r="Z149" s="20"/>
      <c r="AA149" s="21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0"/>
      <c r="AX149" s="20"/>
      <c r="AY149" s="20"/>
      <c r="AZ149" s="20"/>
      <c r="BA149" s="21"/>
      <c r="BB149" s="20"/>
      <c r="BC149" s="21"/>
      <c r="BD149" s="20"/>
      <c r="BE149" s="21"/>
      <c r="BF149" s="20"/>
      <c r="BG149" s="21"/>
      <c r="BH149" s="20"/>
      <c r="BI149" s="21"/>
      <c r="BJ149" s="20"/>
      <c r="BK149" s="21"/>
      <c r="BL149" s="20"/>
      <c r="BM149" s="21"/>
      <c r="BN149" s="20"/>
      <c r="BO149" s="21"/>
      <c r="BP149" s="20"/>
      <c r="BQ149" s="21"/>
      <c r="BR149" s="20"/>
      <c r="BS149" s="21"/>
      <c r="BT149" s="20"/>
      <c r="BU149" s="21"/>
      <c r="BV149" s="20"/>
      <c r="BW149" s="21"/>
    </row>
    <row r="150" spans="2:75">
      <c r="B150" s="2"/>
      <c r="C150" s="3"/>
      <c r="D150" s="20"/>
      <c r="E150" s="21"/>
      <c r="F150" s="20"/>
      <c r="G150" s="21"/>
      <c r="H150" s="20"/>
      <c r="I150" s="21"/>
      <c r="J150" s="20"/>
      <c r="K150" s="21"/>
      <c r="L150" s="20"/>
      <c r="M150" s="21"/>
      <c r="N150" s="20"/>
      <c r="O150" s="21"/>
      <c r="P150" s="20"/>
      <c r="Q150" s="21"/>
      <c r="R150" s="20"/>
      <c r="S150" s="21"/>
      <c r="T150" s="20"/>
      <c r="U150" s="21"/>
      <c r="V150" s="20"/>
      <c r="W150" s="21"/>
      <c r="X150" s="20"/>
      <c r="Y150" s="21"/>
      <c r="Z150" s="20"/>
      <c r="AA150" s="21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1"/>
      <c r="BB150" s="20"/>
      <c r="BC150" s="21"/>
      <c r="BD150" s="20"/>
      <c r="BE150" s="21"/>
      <c r="BF150" s="20"/>
      <c r="BG150" s="21"/>
      <c r="BH150" s="20"/>
      <c r="BI150" s="21"/>
      <c r="BJ150" s="20"/>
      <c r="BK150" s="21"/>
      <c r="BL150" s="20"/>
      <c r="BM150" s="21"/>
      <c r="BN150" s="20"/>
      <c r="BO150" s="21"/>
      <c r="BP150" s="20"/>
      <c r="BQ150" s="21"/>
      <c r="BR150" s="20"/>
      <c r="BS150" s="21"/>
      <c r="BT150" s="20"/>
      <c r="BU150" s="21"/>
      <c r="BV150" s="20"/>
      <c r="BW150" s="21"/>
    </row>
    <row r="151" spans="2:75">
      <c r="B151" s="2"/>
      <c r="C151" s="3"/>
      <c r="D151" s="20"/>
      <c r="E151" s="21"/>
      <c r="F151" s="20"/>
      <c r="G151" s="21"/>
      <c r="H151" s="20"/>
      <c r="I151" s="21"/>
      <c r="J151" s="20"/>
      <c r="K151" s="21"/>
      <c r="L151" s="20"/>
      <c r="M151" s="21"/>
      <c r="N151" s="20"/>
      <c r="O151" s="21"/>
      <c r="P151" s="20"/>
      <c r="Q151" s="21"/>
      <c r="R151" s="20"/>
      <c r="S151" s="21"/>
      <c r="T151" s="20"/>
      <c r="U151" s="21"/>
      <c r="V151" s="20"/>
      <c r="W151" s="21"/>
      <c r="X151" s="20"/>
      <c r="Y151" s="21"/>
      <c r="Z151" s="20"/>
      <c r="AA151" s="21"/>
      <c r="AB151" s="20"/>
      <c r="AC151" s="20"/>
      <c r="AD151" s="20"/>
      <c r="AE151" s="20"/>
      <c r="AF151" s="20"/>
      <c r="AG151" s="20"/>
      <c r="AH151" s="20"/>
      <c r="AI151" s="20"/>
      <c r="AJ151" s="20"/>
      <c r="AK151" s="20"/>
      <c r="AL151" s="20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0"/>
      <c r="AX151" s="20"/>
      <c r="AY151" s="20"/>
      <c r="AZ151" s="20"/>
      <c r="BA151" s="21"/>
      <c r="BB151" s="20"/>
      <c r="BC151" s="21"/>
      <c r="BD151" s="20"/>
      <c r="BE151" s="21"/>
      <c r="BF151" s="20"/>
      <c r="BG151" s="21"/>
      <c r="BH151" s="20"/>
      <c r="BI151" s="21"/>
      <c r="BJ151" s="20"/>
      <c r="BK151" s="21"/>
      <c r="BL151" s="20"/>
      <c r="BM151" s="21"/>
      <c r="BN151" s="20"/>
      <c r="BO151" s="21"/>
      <c r="BP151" s="20"/>
      <c r="BQ151" s="21"/>
      <c r="BR151" s="20"/>
      <c r="BS151" s="21"/>
      <c r="BT151" s="20"/>
      <c r="BU151" s="21"/>
      <c r="BV151" s="20"/>
      <c r="BW151" s="21"/>
    </row>
    <row r="152" spans="2:75">
      <c r="B152" s="2"/>
      <c r="C152" s="3"/>
      <c r="D152" s="20"/>
      <c r="E152" s="21"/>
      <c r="F152" s="20"/>
      <c r="G152" s="21"/>
      <c r="H152" s="20"/>
      <c r="I152" s="21"/>
      <c r="J152" s="20"/>
      <c r="K152" s="21"/>
      <c r="L152" s="20"/>
      <c r="M152" s="21"/>
      <c r="N152" s="20"/>
      <c r="O152" s="21"/>
      <c r="P152" s="20"/>
      <c r="Q152" s="21"/>
      <c r="R152" s="20"/>
      <c r="S152" s="21"/>
      <c r="T152" s="20"/>
      <c r="U152" s="21"/>
      <c r="V152" s="20"/>
      <c r="W152" s="21"/>
      <c r="X152" s="20"/>
      <c r="Y152" s="21"/>
      <c r="Z152" s="20"/>
      <c r="AA152" s="21"/>
      <c r="AB152" s="20"/>
      <c r="AC152" s="20"/>
      <c r="AD152" s="20"/>
      <c r="AE152" s="20"/>
      <c r="AF152" s="20"/>
      <c r="AG152" s="20"/>
      <c r="AH152" s="20"/>
      <c r="AI152" s="20"/>
      <c r="AJ152" s="20"/>
      <c r="AK152" s="20"/>
      <c r="AL152" s="20"/>
      <c r="AM152" s="20"/>
      <c r="AN152" s="20"/>
      <c r="AO152" s="20"/>
      <c r="AP152" s="20"/>
      <c r="AQ152" s="20"/>
      <c r="AR152" s="20"/>
      <c r="AS152" s="20"/>
      <c r="AT152" s="20"/>
      <c r="AU152" s="20"/>
      <c r="AV152" s="20"/>
      <c r="AW152" s="20"/>
      <c r="AX152" s="20"/>
      <c r="AY152" s="20"/>
      <c r="AZ152" s="20"/>
      <c r="BA152" s="21"/>
      <c r="BB152" s="20"/>
      <c r="BC152" s="21"/>
      <c r="BD152" s="20"/>
      <c r="BE152" s="21"/>
      <c r="BF152" s="20"/>
      <c r="BG152" s="21"/>
      <c r="BH152" s="20"/>
      <c r="BI152" s="21"/>
      <c r="BJ152" s="20"/>
      <c r="BK152" s="21"/>
      <c r="BL152" s="20"/>
      <c r="BM152" s="21"/>
      <c r="BN152" s="20"/>
      <c r="BO152" s="21"/>
      <c r="BP152" s="20"/>
      <c r="BQ152" s="21"/>
      <c r="BR152" s="20"/>
      <c r="BS152" s="21"/>
      <c r="BT152" s="20"/>
      <c r="BU152" s="21"/>
      <c r="BV152" s="20"/>
      <c r="BW152" s="21"/>
    </row>
    <row r="153" spans="2:75">
      <c r="B153" s="2"/>
      <c r="C153" s="3"/>
      <c r="D153" s="20"/>
      <c r="E153" s="21"/>
      <c r="F153" s="20"/>
      <c r="G153" s="21"/>
      <c r="H153" s="20"/>
      <c r="I153" s="21"/>
      <c r="J153" s="20"/>
      <c r="K153" s="21"/>
      <c r="L153" s="20"/>
      <c r="M153" s="21"/>
      <c r="N153" s="20"/>
      <c r="O153" s="21"/>
      <c r="P153" s="20"/>
      <c r="Q153" s="21"/>
      <c r="R153" s="20"/>
      <c r="S153" s="21"/>
      <c r="T153" s="20"/>
      <c r="U153" s="21"/>
      <c r="V153" s="20"/>
      <c r="W153" s="21"/>
      <c r="X153" s="20"/>
      <c r="Y153" s="21"/>
      <c r="Z153" s="20"/>
      <c r="AA153" s="21"/>
      <c r="AB153" s="20"/>
      <c r="AC153" s="20"/>
      <c r="AD153" s="20"/>
      <c r="AE153" s="20"/>
      <c r="AF153" s="20"/>
      <c r="AG153" s="20"/>
      <c r="AH153" s="20"/>
      <c r="AI153" s="20"/>
      <c r="AJ153" s="20"/>
      <c r="AK153" s="20"/>
      <c r="AL153" s="20"/>
      <c r="AM153" s="20"/>
      <c r="AN153" s="20"/>
      <c r="AO153" s="20"/>
      <c r="AP153" s="20"/>
      <c r="AQ153" s="20"/>
      <c r="AR153" s="20"/>
      <c r="AS153" s="20"/>
      <c r="AT153" s="20"/>
      <c r="AU153" s="20"/>
      <c r="AV153" s="20"/>
      <c r="AW153" s="20"/>
      <c r="AX153" s="20"/>
      <c r="AY153" s="20"/>
      <c r="AZ153" s="20"/>
      <c r="BA153" s="21"/>
      <c r="BB153" s="20"/>
      <c r="BC153" s="21"/>
      <c r="BD153" s="20"/>
      <c r="BE153" s="21"/>
      <c r="BF153" s="20"/>
      <c r="BG153" s="21"/>
      <c r="BH153" s="20"/>
      <c r="BI153" s="21"/>
      <c r="BJ153" s="20"/>
      <c r="BK153" s="21"/>
      <c r="BL153" s="20"/>
      <c r="BM153" s="21"/>
      <c r="BN153" s="20"/>
      <c r="BO153" s="21"/>
      <c r="BP153" s="20"/>
      <c r="BQ153" s="21"/>
      <c r="BR153" s="20"/>
      <c r="BS153" s="21"/>
      <c r="BT153" s="20"/>
      <c r="BU153" s="21"/>
      <c r="BV153" s="20"/>
      <c r="BW153" s="21"/>
    </row>
    <row r="154" spans="2:75">
      <c r="B154" s="2"/>
      <c r="C154" s="3"/>
      <c r="D154" s="20"/>
      <c r="E154" s="21"/>
      <c r="F154" s="20"/>
      <c r="G154" s="21"/>
      <c r="H154" s="20"/>
      <c r="I154" s="21"/>
      <c r="J154" s="20"/>
      <c r="K154" s="21"/>
      <c r="L154" s="20"/>
      <c r="M154" s="21"/>
      <c r="N154" s="20"/>
      <c r="O154" s="21"/>
      <c r="P154" s="20"/>
      <c r="Q154" s="21"/>
      <c r="R154" s="20"/>
      <c r="S154" s="21"/>
      <c r="T154" s="20"/>
      <c r="U154" s="21"/>
      <c r="V154" s="20"/>
      <c r="W154" s="21"/>
      <c r="X154" s="20"/>
      <c r="Y154" s="21"/>
      <c r="Z154" s="20"/>
      <c r="AA154" s="21"/>
      <c r="AB154" s="20"/>
      <c r="AC154" s="20"/>
      <c r="AD154" s="20"/>
      <c r="AE154" s="20"/>
      <c r="AF154" s="20"/>
      <c r="AG154" s="20"/>
      <c r="AH154" s="20"/>
      <c r="AI154" s="20"/>
      <c r="AJ154" s="20"/>
      <c r="AK154" s="20"/>
      <c r="AL154" s="20"/>
      <c r="AM154" s="20"/>
      <c r="AN154" s="20"/>
      <c r="AO154" s="20"/>
      <c r="AP154" s="20"/>
      <c r="AQ154" s="20"/>
      <c r="AR154" s="20"/>
      <c r="AS154" s="20"/>
      <c r="AT154" s="20"/>
      <c r="AU154" s="20"/>
      <c r="AV154" s="20"/>
      <c r="AW154" s="20"/>
      <c r="AX154" s="20"/>
      <c r="AY154" s="20"/>
      <c r="AZ154" s="20"/>
      <c r="BA154" s="21"/>
      <c r="BB154" s="20"/>
      <c r="BC154" s="21"/>
      <c r="BD154" s="20"/>
      <c r="BE154" s="21"/>
      <c r="BF154" s="20"/>
      <c r="BG154" s="21"/>
      <c r="BH154" s="20"/>
      <c r="BI154" s="21"/>
      <c r="BJ154" s="20"/>
      <c r="BK154" s="21"/>
      <c r="BL154" s="20"/>
      <c r="BM154" s="21"/>
      <c r="BN154" s="20"/>
      <c r="BO154" s="21"/>
      <c r="BP154" s="20"/>
      <c r="BQ154" s="21"/>
      <c r="BR154" s="20"/>
      <c r="BS154" s="21"/>
      <c r="BT154" s="20"/>
      <c r="BU154" s="21"/>
      <c r="BV154" s="20"/>
      <c r="BW154" s="21"/>
    </row>
    <row r="155" spans="2:75">
      <c r="B155" s="2"/>
      <c r="C155" s="3"/>
      <c r="D155" s="20"/>
      <c r="E155" s="21"/>
      <c r="F155" s="20"/>
      <c r="G155" s="21"/>
      <c r="H155" s="20"/>
      <c r="I155" s="21"/>
      <c r="J155" s="20"/>
      <c r="K155" s="21"/>
      <c r="L155" s="20"/>
      <c r="M155" s="21"/>
      <c r="N155" s="20"/>
      <c r="O155" s="21"/>
      <c r="P155" s="20"/>
      <c r="Q155" s="21"/>
      <c r="R155" s="20"/>
      <c r="S155" s="21"/>
      <c r="T155" s="20"/>
      <c r="U155" s="21"/>
      <c r="V155" s="20"/>
      <c r="W155" s="21"/>
      <c r="X155" s="20"/>
      <c r="Y155" s="21"/>
      <c r="Z155" s="20"/>
      <c r="AA155" s="21"/>
      <c r="AB155" s="20"/>
      <c r="AC155" s="20"/>
      <c r="AD155" s="20"/>
      <c r="AE155" s="20"/>
      <c r="AF155" s="20"/>
      <c r="AG155" s="20"/>
      <c r="AH155" s="20"/>
      <c r="AI155" s="20"/>
      <c r="AJ155" s="20"/>
      <c r="AK155" s="20"/>
      <c r="AL155" s="20"/>
      <c r="AM155" s="20"/>
      <c r="AN155" s="20"/>
      <c r="AO155" s="20"/>
      <c r="AP155" s="20"/>
      <c r="AQ155" s="20"/>
      <c r="AR155" s="20"/>
      <c r="AS155" s="20"/>
      <c r="AT155" s="20"/>
      <c r="AU155" s="20"/>
      <c r="AV155" s="20"/>
      <c r="AW155" s="20"/>
      <c r="AX155" s="20"/>
      <c r="AY155" s="20"/>
      <c r="AZ155" s="20"/>
      <c r="BA155" s="21"/>
      <c r="BB155" s="20"/>
      <c r="BC155" s="21"/>
      <c r="BD155" s="20"/>
      <c r="BE155" s="21"/>
      <c r="BF155" s="20"/>
      <c r="BG155" s="21"/>
      <c r="BH155" s="20"/>
      <c r="BI155" s="21"/>
      <c r="BJ155" s="20"/>
      <c r="BK155" s="21"/>
      <c r="BL155" s="20"/>
      <c r="BM155" s="21"/>
      <c r="BN155" s="20"/>
      <c r="BO155" s="21"/>
      <c r="BP155" s="20"/>
      <c r="BQ155" s="21"/>
      <c r="BR155" s="20"/>
      <c r="BS155" s="21"/>
      <c r="BT155" s="20"/>
      <c r="BU155" s="21"/>
      <c r="BV155" s="20"/>
      <c r="BW155" s="21"/>
    </row>
    <row r="156" spans="2:75">
      <c r="B156" s="2"/>
      <c r="C156" s="3"/>
      <c r="D156" s="20"/>
      <c r="E156" s="21"/>
      <c r="F156" s="20"/>
      <c r="G156" s="21"/>
      <c r="H156" s="20"/>
      <c r="I156" s="21"/>
      <c r="J156" s="20"/>
      <c r="K156" s="21"/>
      <c r="L156" s="20"/>
      <c r="M156" s="21"/>
      <c r="N156" s="20"/>
      <c r="O156" s="21"/>
      <c r="P156" s="20"/>
      <c r="Q156" s="21"/>
      <c r="R156" s="20"/>
      <c r="S156" s="21"/>
      <c r="T156" s="20"/>
      <c r="U156" s="21"/>
      <c r="V156" s="20"/>
      <c r="W156" s="21"/>
      <c r="X156" s="20"/>
      <c r="Y156" s="21"/>
      <c r="Z156" s="20"/>
      <c r="AA156" s="21"/>
      <c r="AB156" s="20"/>
      <c r="AC156" s="20"/>
      <c r="AD156" s="20"/>
      <c r="AE156" s="20"/>
      <c r="AF156" s="20"/>
      <c r="AG156" s="20"/>
      <c r="AH156" s="20"/>
      <c r="AI156" s="20"/>
      <c r="AJ156" s="20"/>
      <c r="AK156" s="20"/>
      <c r="AL156" s="20"/>
      <c r="AM156" s="20"/>
      <c r="AN156" s="20"/>
      <c r="AO156" s="20"/>
      <c r="AP156" s="20"/>
      <c r="AQ156" s="20"/>
      <c r="AR156" s="20"/>
      <c r="AS156" s="20"/>
      <c r="AT156" s="20"/>
      <c r="AU156" s="20"/>
      <c r="AV156" s="20"/>
      <c r="AW156" s="20"/>
      <c r="AX156" s="20"/>
      <c r="AY156" s="20"/>
      <c r="AZ156" s="20"/>
      <c r="BA156" s="21"/>
      <c r="BB156" s="20"/>
      <c r="BC156" s="21"/>
      <c r="BD156" s="20"/>
      <c r="BE156" s="21"/>
      <c r="BF156" s="20"/>
      <c r="BG156" s="21"/>
      <c r="BH156" s="20"/>
      <c r="BI156" s="21"/>
      <c r="BJ156" s="20"/>
      <c r="BK156" s="21"/>
      <c r="BL156" s="20"/>
      <c r="BM156" s="21"/>
      <c r="BN156" s="20"/>
      <c r="BO156" s="21"/>
      <c r="BP156" s="20"/>
      <c r="BQ156" s="21"/>
      <c r="BR156" s="20"/>
      <c r="BS156" s="21"/>
      <c r="BT156" s="20"/>
      <c r="BU156" s="21"/>
      <c r="BV156" s="20"/>
      <c r="BW156" s="21"/>
    </row>
    <row r="157" spans="2:75">
      <c r="B157" s="2"/>
      <c r="C157" s="3"/>
      <c r="D157" s="20"/>
      <c r="E157" s="21"/>
      <c r="F157" s="20"/>
      <c r="G157" s="21"/>
      <c r="H157" s="20"/>
      <c r="I157" s="21"/>
      <c r="J157" s="20"/>
      <c r="K157" s="21"/>
      <c r="L157" s="20"/>
      <c r="M157" s="21"/>
      <c r="N157" s="20"/>
      <c r="O157" s="21"/>
      <c r="P157" s="20"/>
      <c r="Q157" s="21"/>
      <c r="R157" s="20"/>
      <c r="S157" s="21"/>
      <c r="T157" s="20"/>
      <c r="U157" s="21"/>
      <c r="V157" s="20"/>
      <c r="W157" s="21"/>
      <c r="X157" s="20"/>
      <c r="Y157" s="21"/>
      <c r="Z157" s="20"/>
      <c r="AA157" s="21"/>
      <c r="AB157" s="20"/>
      <c r="AC157" s="20"/>
      <c r="AD157" s="20"/>
      <c r="AE157" s="20"/>
      <c r="AF157" s="20"/>
      <c r="AG157" s="20"/>
      <c r="AH157" s="20"/>
      <c r="AI157" s="20"/>
      <c r="AJ157" s="20"/>
      <c r="AK157" s="20"/>
      <c r="AL157" s="20"/>
      <c r="AM157" s="20"/>
      <c r="AN157" s="20"/>
      <c r="AO157" s="20"/>
      <c r="AP157" s="20"/>
      <c r="AQ157" s="20"/>
      <c r="AR157" s="20"/>
      <c r="AS157" s="20"/>
      <c r="AT157" s="20"/>
      <c r="AU157" s="20"/>
      <c r="AV157" s="20"/>
      <c r="AW157" s="20"/>
      <c r="AX157" s="20"/>
      <c r="AY157" s="20"/>
      <c r="AZ157" s="20"/>
      <c r="BA157" s="21"/>
      <c r="BB157" s="20"/>
      <c r="BC157" s="21"/>
      <c r="BD157" s="20"/>
      <c r="BE157" s="21"/>
      <c r="BF157" s="20"/>
      <c r="BG157" s="21"/>
      <c r="BH157" s="20"/>
      <c r="BI157" s="21"/>
      <c r="BJ157" s="20"/>
      <c r="BK157" s="21"/>
      <c r="BL157" s="20"/>
      <c r="BM157" s="21"/>
      <c r="BN157" s="20"/>
      <c r="BO157" s="21"/>
      <c r="BP157" s="20"/>
      <c r="BQ157" s="21"/>
      <c r="BR157" s="20"/>
      <c r="BS157" s="21"/>
      <c r="BT157" s="20"/>
      <c r="BU157" s="21"/>
      <c r="BV157" s="20"/>
      <c r="BW157" s="21"/>
    </row>
    <row r="158" spans="2:75">
      <c r="B158" s="2"/>
      <c r="C158" s="3"/>
      <c r="D158" s="20"/>
      <c r="E158" s="21"/>
      <c r="F158" s="20"/>
      <c r="G158" s="21"/>
      <c r="H158" s="20"/>
      <c r="I158" s="21"/>
      <c r="J158" s="20"/>
      <c r="K158" s="21"/>
      <c r="L158" s="20"/>
      <c r="M158" s="21"/>
      <c r="N158" s="20"/>
      <c r="O158" s="21"/>
      <c r="P158" s="20"/>
      <c r="Q158" s="21"/>
      <c r="R158" s="20"/>
      <c r="S158" s="21"/>
      <c r="T158" s="20"/>
      <c r="U158" s="21"/>
      <c r="V158" s="20"/>
      <c r="W158" s="21"/>
      <c r="X158" s="20"/>
      <c r="Y158" s="21"/>
      <c r="Z158" s="20"/>
      <c r="AA158" s="21"/>
      <c r="AB158" s="20"/>
      <c r="AC158" s="20"/>
      <c r="AD158" s="20"/>
      <c r="AE158" s="20"/>
      <c r="AF158" s="20"/>
      <c r="AG158" s="20"/>
      <c r="AH158" s="20"/>
      <c r="AI158" s="20"/>
      <c r="AJ158" s="20"/>
      <c r="AK158" s="20"/>
      <c r="AL158" s="20"/>
      <c r="AM158" s="20"/>
      <c r="AN158" s="20"/>
      <c r="AO158" s="20"/>
      <c r="AP158" s="20"/>
      <c r="AQ158" s="20"/>
      <c r="AR158" s="20"/>
      <c r="AS158" s="20"/>
      <c r="AT158" s="20"/>
      <c r="AU158" s="20"/>
      <c r="AV158" s="20"/>
      <c r="AW158" s="20"/>
      <c r="AX158" s="20"/>
      <c r="AY158" s="20"/>
      <c r="AZ158" s="20"/>
      <c r="BA158" s="21"/>
      <c r="BB158" s="20"/>
      <c r="BC158" s="21"/>
      <c r="BD158" s="20"/>
      <c r="BE158" s="21"/>
      <c r="BF158" s="20"/>
      <c r="BG158" s="21"/>
      <c r="BH158" s="20"/>
      <c r="BI158" s="21"/>
      <c r="BJ158" s="20"/>
      <c r="BK158" s="21"/>
      <c r="BL158" s="20"/>
      <c r="BM158" s="21"/>
      <c r="BN158" s="20"/>
      <c r="BO158" s="21"/>
      <c r="BP158" s="20"/>
      <c r="BQ158" s="21"/>
      <c r="BR158" s="20"/>
      <c r="BS158" s="21"/>
      <c r="BT158" s="20"/>
      <c r="BU158" s="21"/>
      <c r="BV158" s="20"/>
      <c r="BW158" s="21"/>
    </row>
    <row r="159" spans="2:75">
      <c r="B159" s="2"/>
      <c r="C159" s="3"/>
      <c r="D159" s="20"/>
      <c r="E159" s="21"/>
      <c r="F159" s="20"/>
      <c r="G159" s="21"/>
      <c r="H159" s="20"/>
      <c r="I159" s="21"/>
      <c r="J159" s="20"/>
      <c r="K159" s="21"/>
      <c r="L159" s="20"/>
      <c r="M159" s="21"/>
      <c r="N159" s="20"/>
      <c r="O159" s="21"/>
      <c r="P159" s="20"/>
      <c r="Q159" s="21"/>
      <c r="R159" s="20"/>
      <c r="S159" s="21"/>
      <c r="T159" s="20"/>
      <c r="U159" s="21"/>
      <c r="V159" s="20"/>
      <c r="W159" s="21"/>
      <c r="X159" s="20"/>
      <c r="Y159" s="21"/>
      <c r="Z159" s="20"/>
      <c r="AA159" s="21"/>
      <c r="AB159" s="20"/>
      <c r="AC159" s="20"/>
      <c r="AD159" s="20"/>
      <c r="AE159" s="20"/>
      <c r="AF159" s="20"/>
      <c r="AG159" s="20"/>
      <c r="AH159" s="20"/>
      <c r="AI159" s="20"/>
      <c r="AJ159" s="20"/>
      <c r="AK159" s="20"/>
      <c r="AL159" s="20"/>
      <c r="AM159" s="20"/>
      <c r="AN159" s="20"/>
      <c r="AO159" s="20"/>
      <c r="AP159" s="20"/>
      <c r="AQ159" s="20"/>
      <c r="AR159" s="20"/>
      <c r="AS159" s="20"/>
      <c r="AT159" s="20"/>
      <c r="AU159" s="20"/>
      <c r="AV159" s="20"/>
      <c r="AW159" s="20"/>
      <c r="AX159" s="20"/>
      <c r="AY159" s="20"/>
      <c r="AZ159" s="20"/>
      <c r="BA159" s="21"/>
      <c r="BB159" s="20"/>
      <c r="BC159" s="21"/>
      <c r="BD159" s="20"/>
      <c r="BE159" s="21"/>
      <c r="BF159" s="20"/>
      <c r="BG159" s="21"/>
      <c r="BH159" s="20"/>
      <c r="BI159" s="21"/>
      <c r="BJ159" s="20"/>
      <c r="BK159" s="21"/>
      <c r="BL159" s="20"/>
      <c r="BM159" s="21"/>
      <c r="BN159" s="20"/>
      <c r="BO159" s="21"/>
      <c r="BP159" s="20"/>
      <c r="BQ159" s="21"/>
      <c r="BR159" s="20"/>
      <c r="BS159" s="21"/>
      <c r="BT159" s="20"/>
      <c r="BU159" s="21"/>
      <c r="BV159" s="20"/>
      <c r="BW159" s="21"/>
    </row>
    <row r="160" spans="2:75">
      <c r="B160" s="2"/>
      <c r="C160" s="3"/>
      <c r="D160" s="20"/>
      <c r="E160" s="21"/>
      <c r="F160" s="20"/>
      <c r="G160" s="21"/>
      <c r="H160" s="20"/>
      <c r="I160" s="21"/>
      <c r="J160" s="20"/>
      <c r="K160" s="21"/>
      <c r="L160" s="20"/>
      <c r="M160" s="21"/>
      <c r="N160" s="20"/>
      <c r="O160" s="21"/>
      <c r="P160" s="20"/>
      <c r="Q160" s="21"/>
      <c r="R160" s="20"/>
      <c r="S160" s="21"/>
      <c r="T160" s="20"/>
      <c r="U160" s="21"/>
      <c r="V160" s="20"/>
      <c r="W160" s="21"/>
      <c r="X160" s="20"/>
      <c r="Y160" s="21"/>
      <c r="Z160" s="20"/>
      <c r="AA160" s="21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0"/>
      <c r="AR160" s="20"/>
      <c r="AS160" s="20"/>
      <c r="AT160" s="20"/>
      <c r="AU160" s="20"/>
      <c r="AV160" s="20"/>
      <c r="AW160" s="20"/>
      <c r="AX160" s="20"/>
      <c r="AY160" s="20"/>
      <c r="AZ160" s="20"/>
      <c r="BA160" s="21"/>
      <c r="BB160" s="20"/>
      <c r="BC160" s="21"/>
      <c r="BD160" s="20"/>
      <c r="BE160" s="21"/>
      <c r="BF160" s="20"/>
      <c r="BG160" s="21"/>
      <c r="BH160" s="20"/>
      <c r="BI160" s="21"/>
      <c r="BJ160" s="20"/>
      <c r="BK160" s="21"/>
      <c r="BL160" s="20"/>
      <c r="BM160" s="21"/>
      <c r="BN160" s="20"/>
      <c r="BO160" s="21"/>
      <c r="BP160" s="20"/>
      <c r="BQ160" s="21"/>
      <c r="BR160" s="20"/>
      <c r="BS160" s="21"/>
      <c r="BT160" s="20"/>
      <c r="BU160" s="21"/>
      <c r="BV160" s="20"/>
      <c r="BW160" s="21"/>
    </row>
    <row r="161" spans="2:75">
      <c r="B161" s="2"/>
      <c r="C161" s="3"/>
      <c r="D161" s="20"/>
      <c r="E161" s="21"/>
      <c r="F161" s="20"/>
      <c r="G161" s="21"/>
      <c r="H161" s="20"/>
      <c r="I161" s="21"/>
      <c r="J161" s="20"/>
      <c r="K161" s="21"/>
      <c r="L161" s="20"/>
      <c r="M161" s="21"/>
      <c r="N161" s="20"/>
      <c r="O161" s="21"/>
      <c r="P161" s="20"/>
      <c r="Q161" s="21"/>
      <c r="R161" s="20"/>
      <c r="S161" s="21"/>
      <c r="T161" s="20"/>
      <c r="U161" s="21"/>
      <c r="V161" s="20"/>
      <c r="W161" s="21"/>
      <c r="X161" s="20"/>
      <c r="Y161" s="21"/>
      <c r="Z161" s="20"/>
      <c r="AA161" s="21"/>
      <c r="AB161" s="20"/>
      <c r="AC161" s="20"/>
      <c r="AD161" s="20"/>
      <c r="AE161" s="20"/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0"/>
      <c r="AR161" s="20"/>
      <c r="AS161" s="20"/>
      <c r="AT161" s="20"/>
      <c r="AU161" s="20"/>
      <c r="AV161" s="20"/>
      <c r="AW161" s="20"/>
      <c r="AX161" s="20"/>
      <c r="AY161" s="20"/>
      <c r="AZ161" s="20"/>
      <c r="BA161" s="21"/>
      <c r="BB161" s="20"/>
      <c r="BC161" s="21"/>
      <c r="BD161" s="20"/>
      <c r="BE161" s="21"/>
      <c r="BF161" s="20"/>
      <c r="BG161" s="21"/>
      <c r="BH161" s="20"/>
      <c r="BI161" s="21"/>
      <c r="BJ161" s="20"/>
      <c r="BK161" s="21"/>
      <c r="BL161" s="20"/>
      <c r="BM161" s="21"/>
      <c r="BN161" s="20"/>
      <c r="BO161" s="21"/>
      <c r="BP161" s="20"/>
      <c r="BQ161" s="21"/>
      <c r="BR161" s="20"/>
      <c r="BS161" s="21"/>
      <c r="BT161" s="20"/>
      <c r="BU161" s="21"/>
      <c r="BV161" s="20"/>
      <c r="BW161" s="21"/>
    </row>
    <row r="162" spans="2:75">
      <c r="B162" s="2"/>
      <c r="C162" s="3"/>
      <c r="D162" s="20"/>
      <c r="E162" s="21"/>
      <c r="F162" s="20"/>
      <c r="G162" s="21"/>
      <c r="H162" s="20"/>
      <c r="I162" s="21"/>
      <c r="J162" s="20"/>
      <c r="K162" s="21"/>
      <c r="L162" s="20"/>
      <c r="M162" s="21"/>
      <c r="N162" s="20"/>
      <c r="O162" s="21"/>
      <c r="P162" s="20"/>
      <c r="Q162" s="21"/>
      <c r="R162" s="20"/>
      <c r="S162" s="21"/>
      <c r="T162" s="20"/>
      <c r="U162" s="21"/>
      <c r="V162" s="20"/>
      <c r="W162" s="21"/>
      <c r="X162" s="20"/>
      <c r="Y162" s="21"/>
      <c r="Z162" s="20"/>
      <c r="AA162" s="21"/>
      <c r="AB162" s="20"/>
      <c r="AC162" s="20"/>
      <c r="AD162" s="20"/>
      <c r="AE162" s="20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0"/>
      <c r="AR162" s="20"/>
      <c r="AS162" s="20"/>
      <c r="AT162" s="20"/>
      <c r="AU162" s="20"/>
      <c r="AV162" s="20"/>
      <c r="AW162" s="20"/>
      <c r="AX162" s="20"/>
      <c r="AY162" s="20"/>
      <c r="AZ162" s="20"/>
      <c r="BA162" s="21"/>
      <c r="BB162" s="20"/>
      <c r="BC162" s="21"/>
      <c r="BD162" s="20"/>
      <c r="BE162" s="21"/>
      <c r="BF162" s="20"/>
      <c r="BG162" s="21"/>
      <c r="BH162" s="20"/>
      <c r="BI162" s="21"/>
      <c r="BJ162" s="20"/>
      <c r="BK162" s="21"/>
      <c r="BL162" s="20"/>
      <c r="BM162" s="21"/>
      <c r="BN162" s="20"/>
      <c r="BO162" s="21"/>
      <c r="BP162" s="20"/>
      <c r="BQ162" s="21"/>
      <c r="BR162" s="20"/>
      <c r="BS162" s="21"/>
      <c r="BT162" s="20"/>
      <c r="BU162" s="21"/>
      <c r="BV162" s="20"/>
      <c r="BW162" s="21"/>
    </row>
    <row r="163" spans="2:75">
      <c r="B163" s="2"/>
      <c r="C163" s="3"/>
      <c r="D163" s="20"/>
      <c r="E163" s="21"/>
      <c r="F163" s="20"/>
      <c r="G163" s="21"/>
      <c r="H163" s="20"/>
      <c r="I163" s="21"/>
      <c r="J163" s="20"/>
      <c r="K163" s="21"/>
      <c r="L163" s="20"/>
      <c r="M163" s="21"/>
      <c r="N163" s="20"/>
      <c r="O163" s="21"/>
      <c r="P163" s="20"/>
      <c r="Q163" s="21"/>
      <c r="R163" s="20"/>
      <c r="S163" s="21"/>
      <c r="T163" s="20"/>
      <c r="U163" s="21"/>
      <c r="V163" s="20"/>
      <c r="W163" s="21"/>
      <c r="X163" s="20"/>
      <c r="Y163" s="21"/>
      <c r="Z163" s="20"/>
      <c r="AA163" s="21"/>
      <c r="AB163" s="20"/>
      <c r="AC163" s="20"/>
      <c r="AD163" s="20"/>
      <c r="AE163" s="20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0"/>
      <c r="AR163" s="20"/>
      <c r="AS163" s="20"/>
      <c r="AT163" s="20"/>
      <c r="AU163" s="20"/>
      <c r="AV163" s="20"/>
      <c r="AW163" s="20"/>
      <c r="AX163" s="20"/>
      <c r="AY163" s="20"/>
      <c r="AZ163" s="20"/>
      <c r="BA163" s="21"/>
      <c r="BB163" s="20"/>
      <c r="BC163" s="21"/>
      <c r="BD163" s="20"/>
      <c r="BE163" s="21"/>
      <c r="BF163" s="20"/>
      <c r="BG163" s="21"/>
      <c r="BH163" s="20"/>
      <c r="BI163" s="21"/>
      <c r="BJ163" s="20"/>
      <c r="BK163" s="21"/>
      <c r="BL163" s="20"/>
      <c r="BM163" s="21"/>
      <c r="BN163" s="20"/>
      <c r="BO163" s="21"/>
      <c r="BP163" s="20"/>
      <c r="BQ163" s="21"/>
      <c r="BR163" s="20"/>
      <c r="BS163" s="21"/>
      <c r="BT163" s="20"/>
      <c r="BU163" s="21"/>
      <c r="BV163" s="20"/>
      <c r="BW163" s="21"/>
    </row>
    <row r="164" spans="2:75">
      <c r="B164" s="2"/>
      <c r="C164" s="3"/>
      <c r="D164" s="20"/>
      <c r="E164" s="21"/>
      <c r="F164" s="20"/>
      <c r="G164" s="21"/>
      <c r="H164" s="20"/>
      <c r="I164" s="21"/>
      <c r="J164" s="20"/>
      <c r="K164" s="21"/>
      <c r="L164" s="20"/>
      <c r="M164" s="21"/>
      <c r="N164" s="20"/>
      <c r="O164" s="21"/>
      <c r="P164" s="20"/>
      <c r="Q164" s="21"/>
      <c r="R164" s="20"/>
      <c r="S164" s="21"/>
      <c r="T164" s="20"/>
      <c r="U164" s="21"/>
      <c r="V164" s="20"/>
      <c r="W164" s="21"/>
      <c r="X164" s="20"/>
      <c r="Y164" s="21"/>
      <c r="Z164" s="20"/>
      <c r="AA164" s="21"/>
      <c r="AB164" s="20"/>
      <c r="AC164" s="20"/>
      <c r="AD164" s="20"/>
      <c r="AE164" s="20"/>
      <c r="AF164" s="20"/>
      <c r="AG164" s="20"/>
      <c r="AH164" s="20"/>
      <c r="AI164" s="20"/>
      <c r="AJ164" s="20"/>
      <c r="AK164" s="20"/>
      <c r="AL164" s="20"/>
      <c r="AM164" s="20"/>
      <c r="AN164" s="20"/>
      <c r="AO164" s="20"/>
      <c r="AP164" s="20"/>
      <c r="AQ164" s="20"/>
      <c r="AR164" s="20"/>
      <c r="AS164" s="20"/>
      <c r="AT164" s="20"/>
      <c r="AU164" s="20"/>
      <c r="AV164" s="20"/>
      <c r="AW164" s="20"/>
      <c r="AX164" s="20"/>
      <c r="AY164" s="20"/>
      <c r="AZ164" s="20"/>
      <c r="BA164" s="21"/>
      <c r="BB164" s="20"/>
      <c r="BC164" s="21"/>
      <c r="BD164" s="20"/>
      <c r="BE164" s="21"/>
      <c r="BF164" s="20"/>
      <c r="BG164" s="21"/>
      <c r="BH164" s="20"/>
      <c r="BI164" s="21"/>
      <c r="BJ164" s="20"/>
      <c r="BK164" s="21"/>
      <c r="BL164" s="20"/>
      <c r="BM164" s="21"/>
      <c r="BN164" s="20"/>
      <c r="BO164" s="21"/>
      <c r="BP164" s="20"/>
      <c r="BQ164" s="21"/>
      <c r="BR164" s="20"/>
      <c r="BS164" s="21"/>
      <c r="BT164" s="20"/>
      <c r="BU164" s="21"/>
      <c r="BV164" s="20"/>
      <c r="BW164" s="21"/>
    </row>
    <row r="165" spans="2:75">
      <c r="B165" s="2"/>
      <c r="C165" s="3"/>
      <c r="D165" s="20"/>
      <c r="E165" s="21"/>
      <c r="F165" s="20"/>
      <c r="G165" s="21"/>
      <c r="H165" s="20"/>
      <c r="I165" s="21"/>
      <c r="J165" s="20"/>
      <c r="K165" s="21"/>
      <c r="L165" s="20"/>
      <c r="M165" s="21"/>
      <c r="N165" s="20"/>
      <c r="O165" s="21"/>
      <c r="P165" s="20"/>
      <c r="Q165" s="21"/>
      <c r="R165" s="20"/>
      <c r="S165" s="21"/>
      <c r="T165" s="20"/>
      <c r="U165" s="21"/>
      <c r="V165" s="20"/>
      <c r="W165" s="21"/>
      <c r="X165" s="20"/>
      <c r="Y165" s="21"/>
      <c r="Z165" s="20"/>
      <c r="AA165" s="21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0"/>
      <c r="AR165" s="20"/>
      <c r="AS165" s="20"/>
      <c r="AT165" s="20"/>
      <c r="AU165" s="20"/>
      <c r="AV165" s="20"/>
      <c r="AW165" s="20"/>
      <c r="AX165" s="20"/>
      <c r="AY165" s="20"/>
      <c r="AZ165" s="20"/>
      <c r="BA165" s="21"/>
      <c r="BB165" s="20"/>
      <c r="BC165" s="21"/>
      <c r="BD165" s="20"/>
      <c r="BE165" s="21"/>
      <c r="BF165" s="20"/>
      <c r="BG165" s="21"/>
      <c r="BH165" s="20"/>
      <c r="BI165" s="21"/>
      <c r="BJ165" s="20"/>
      <c r="BK165" s="21"/>
      <c r="BL165" s="20"/>
      <c r="BM165" s="21"/>
      <c r="BN165" s="20"/>
      <c r="BO165" s="21"/>
      <c r="BP165" s="20"/>
      <c r="BQ165" s="21"/>
      <c r="BR165" s="20"/>
      <c r="BS165" s="21"/>
      <c r="BT165" s="20"/>
      <c r="BU165" s="21"/>
      <c r="BV165" s="20"/>
      <c r="BW165" s="21"/>
    </row>
    <row r="166" spans="2:75">
      <c r="B166" s="2"/>
      <c r="C166" s="3"/>
      <c r="D166" s="20"/>
      <c r="E166" s="21"/>
      <c r="F166" s="20"/>
      <c r="G166" s="21"/>
      <c r="H166" s="20"/>
      <c r="I166" s="21"/>
      <c r="J166" s="20"/>
      <c r="K166" s="21"/>
      <c r="L166" s="20"/>
      <c r="M166" s="21"/>
      <c r="N166" s="20"/>
      <c r="O166" s="21"/>
      <c r="P166" s="20"/>
      <c r="Q166" s="21"/>
      <c r="R166" s="20"/>
      <c r="S166" s="21"/>
      <c r="T166" s="20"/>
      <c r="U166" s="21"/>
      <c r="V166" s="20"/>
      <c r="W166" s="21"/>
      <c r="X166" s="20"/>
      <c r="Y166" s="21"/>
      <c r="Z166" s="20"/>
      <c r="AA166" s="21"/>
      <c r="AB166" s="20"/>
      <c r="AC166" s="20"/>
      <c r="AD166" s="20"/>
      <c r="AE166" s="20"/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0"/>
      <c r="AR166" s="20"/>
      <c r="AS166" s="20"/>
      <c r="AT166" s="20"/>
      <c r="AU166" s="20"/>
      <c r="AV166" s="20"/>
      <c r="AW166" s="20"/>
      <c r="AX166" s="20"/>
      <c r="AY166" s="20"/>
      <c r="AZ166" s="20"/>
      <c r="BA166" s="21"/>
      <c r="BB166" s="20"/>
      <c r="BC166" s="21"/>
      <c r="BD166" s="20"/>
      <c r="BE166" s="21"/>
      <c r="BF166" s="20"/>
      <c r="BG166" s="21"/>
      <c r="BH166" s="20"/>
      <c r="BI166" s="21"/>
      <c r="BJ166" s="20"/>
      <c r="BK166" s="21"/>
      <c r="BL166" s="20"/>
      <c r="BM166" s="21"/>
      <c r="BN166" s="20"/>
      <c r="BO166" s="21"/>
      <c r="BP166" s="20"/>
      <c r="BQ166" s="21"/>
      <c r="BR166" s="20"/>
      <c r="BS166" s="21"/>
      <c r="BT166" s="20"/>
      <c r="BU166" s="21"/>
      <c r="BV166" s="20"/>
      <c r="BW166" s="21"/>
    </row>
  </sheetData>
  <conditionalFormatting sqref="B2">
    <cfRule type="expression" dxfId="7" priority="2" stopIfTrue="1">
      <formula>A1 &gt; 30</formula>
    </cfRule>
  </conditionalFormatting>
  <conditionalFormatting sqref="C2:M2">
    <cfRule type="expression" dxfId="6" priority="1" stopIfTrue="1">
      <formula>#REF! &gt; 30</formula>
    </cfRule>
  </conditionalFormatting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rgb="FF00B0F0"/>
  </sheetPr>
  <dimension ref="A1:S86"/>
  <sheetViews>
    <sheetView topLeftCell="A59" zoomScale="80" zoomScaleNormal="80" workbookViewId="0">
      <selection activeCell="H79" sqref="H79"/>
    </sheetView>
  </sheetViews>
  <sheetFormatPr defaultColWidth="9.140625" defaultRowHeight="15"/>
  <cols>
    <col min="1" max="1" width="9.140625" style="1"/>
    <col min="2" max="2" width="58.5703125" customWidth="1"/>
    <col min="3" max="3" width="17.7109375" bestFit="1" customWidth="1"/>
    <col min="4" max="5" width="18.28515625" bestFit="1" customWidth="1"/>
    <col min="7" max="7" width="17.28515625" bestFit="1" customWidth="1"/>
    <col min="8" max="8" width="15.85546875" customWidth="1"/>
    <col min="9" max="9" width="19.28515625" customWidth="1"/>
    <col min="10" max="11" width="13.85546875" customWidth="1"/>
    <col min="12" max="12" width="30.85546875" bestFit="1" customWidth="1"/>
    <col min="13" max="13" width="37.42578125" bestFit="1" customWidth="1"/>
    <col min="14" max="16" width="13.85546875" customWidth="1"/>
    <col min="17" max="17" width="12.5703125" customWidth="1"/>
  </cols>
  <sheetData>
    <row r="1" spans="1:19">
      <c r="B1" s="137" t="s">
        <v>156</v>
      </c>
      <c r="C1" s="1"/>
      <c r="D1" s="1"/>
      <c r="E1" s="1"/>
    </row>
    <row r="2" spans="1:19">
      <c r="A2" s="138"/>
      <c r="B2" s="184" t="s">
        <v>602</v>
      </c>
      <c r="C2" s="1"/>
      <c r="D2" s="1"/>
      <c r="E2" s="1"/>
    </row>
    <row r="3" spans="1:19">
      <c r="A3" s="139"/>
      <c r="B3" s="1"/>
      <c r="C3" s="1"/>
      <c r="D3" s="1"/>
      <c r="E3" s="1"/>
      <c r="I3" s="279" t="s">
        <v>606</v>
      </c>
      <c r="J3" s="276">
        <f>AVERAGE(SUM(J6:J17),SUM(J18:J29))</f>
        <v>61441530.094489157</v>
      </c>
      <c r="N3" s="279" t="s">
        <v>606</v>
      </c>
      <c r="O3" s="276">
        <f>AVERAGE(SUM(O6:O17),SUM(O18:O29))</f>
        <v>60952864.62552923</v>
      </c>
    </row>
    <row r="4" spans="1:19" ht="7.5" customHeight="1"/>
    <row r="5" spans="1:19" ht="45.75" thickBot="1">
      <c r="B5" s="217" t="s">
        <v>157</v>
      </c>
      <c r="C5" s="218">
        <v>2024</v>
      </c>
      <c r="D5" s="218">
        <v>2025</v>
      </c>
      <c r="E5" s="219" t="s">
        <v>158</v>
      </c>
      <c r="G5" s="140"/>
      <c r="H5" s="141" t="s">
        <v>201</v>
      </c>
      <c r="I5" s="141" t="s">
        <v>202</v>
      </c>
      <c r="J5" s="141" t="s">
        <v>203</v>
      </c>
      <c r="K5" s="141" t="s">
        <v>204</v>
      </c>
      <c r="L5" s="141" t="s">
        <v>205</v>
      </c>
      <c r="M5" s="141" t="s">
        <v>206</v>
      </c>
      <c r="N5" s="141" t="s">
        <v>207</v>
      </c>
      <c r="O5" s="141" t="s">
        <v>208</v>
      </c>
      <c r="P5" s="141" t="s">
        <v>265</v>
      </c>
      <c r="Q5" s="141" t="s">
        <v>266</v>
      </c>
      <c r="R5" s="141" t="s">
        <v>143</v>
      </c>
      <c r="S5" s="141" t="s">
        <v>144</v>
      </c>
    </row>
    <row r="6" spans="1:19" ht="15.75" thickTop="1">
      <c r="B6" s="216" t="s">
        <v>159</v>
      </c>
      <c r="C6" s="220">
        <v>2696652.3956625951</v>
      </c>
      <c r="D6" s="220">
        <v>2750890.8080367078</v>
      </c>
      <c r="E6" s="220">
        <v>5447543.2036993029</v>
      </c>
      <c r="G6" s="164">
        <v>45200</v>
      </c>
      <c r="H6" s="204">
        <v>273472.96105769213</v>
      </c>
      <c r="I6" s="205">
        <v>10.37</v>
      </c>
      <c r="J6" s="206">
        <v>2835914.6061682673</v>
      </c>
      <c r="K6" s="204">
        <v>195370.04689857623</v>
      </c>
      <c r="L6" s="204">
        <v>146771.73678752771</v>
      </c>
      <c r="M6" s="205">
        <v>47.71</v>
      </c>
      <c r="N6" s="205">
        <v>32.909999999999997</v>
      </c>
      <c r="O6" s="207">
        <v>14151362.795208609</v>
      </c>
      <c r="P6" s="208">
        <v>2552444.0360000003</v>
      </c>
      <c r="Q6" s="208">
        <v>1666359.7254999999</v>
      </c>
      <c r="R6" s="184">
        <v>416</v>
      </c>
      <c r="S6" s="184">
        <v>328</v>
      </c>
    </row>
    <row r="7" spans="1:19">
      <c r="B7" s="216" t="s">
        <v>160</v>
      </c>
      <c r="C7" s="220">
        <v>273682.28036175208</v>
      </c>
      <c r="D7" s="220">
        <v>261470.94395638982</v>
      </c>
      <c r="E7" s="220">
        <v>535153.22431814193</v>
      </c>
      <c r="G7" s="164">
        <v>45231</v>
      </c>
      <c r="H7" s="204">
        <v>339133.43999999959</v>
      </c>
      <c r="I7" s="205">
        <v>8.75</v>
      </c>
      <c r="J7" s="206">
        <v>2967417.5999999964</v>
      </c>
      <c r="K7" s="204">
        <v>-64109.15323564424</v>
      </c>
      <c r="L7" s="204">
        <v>102091.17924406216</v>
      </c>
      <c r="M7" s="205">
        <v>40.299999999999997</v>
      </c>
      <c r="N7" s="205">
        <v>31.39</v>
      </c>
      <c r="O7" s="207">
        <v>621043.24107464869</v>
      </c>
      <c r="P7" s="208">
        <v>3264487.3280000002</v>
      </c>
      <c r="Q7" s="208">
        <v>2115878.6310000001</v>
      </c>
      <c r="R7" s="184">
        <v>400</v>
      </c>
      <c r="S7" s="184">
        <v>321</v>
      </c>
    </row>
    <row r="8" spans="1:19">
      <c r="B8" s="216" t="s">
        <v>161</v>
      </c>
      <c r="C8" s="220">
        <v>0</v>
      </c>
      <c r="D8" s="220">
        <v>0</v>
      </c>
      <c r="E8" s="220">
        <v>0</v>
      </c>
      <c r="G8" s="164">
        <v>45261</v>
      </c>
      <c r="H8" s="204">
        <v>610434.96499999985</v>
      </c>
      <c r="I8" s="205">
        <v>13.39</v>
      </c>
      <c r="J8" s="206">
        <v>8173724.1813499983</v>
      </c>
      <c r="K8" s="204">
        <v>165559.67490049181</v>
      </c>
      <c r="L8" s="204">
        <v>376171.41360737744</v>
      </c>
      <c r="M8" s="205">
        <v>61.63</v>
      </c>
      <c r="N8" s="205">
        <v>52.69</v>
      </c>
      <c r="O8" s="207">
        <v>30023914.547090024</v>
      </c>
      <c r="P8" s="208">
        <v>3520485.7390000001</v>
      </c>
      <c r="Q8" s="208">
        <v>2285993.696</v>
      </c>
      <c r="R8" s="184">
        <v>400</v>
      </c>
      <c r="S8" s="184">
        <v>344</v>
      </c>
    </row>
    <row r="9" spans="1:19">
      <c r="B9" s="221" t="s">
        <v>162</v>
      </c>
      <c r="C9" s="222">
        <v>114786.93521434406</v>
      </c>
      <c r="D9" s="222">
        <v>205792.00636250814</v>
      </c>
      <c r="E9" s="222">
        <v>320578.94157685223</v>
      </c>
      <c r="G9" s="164">
        <v>45292</v>
      </c>
      <c r="H9" s="204">
        <v>590110.05384615366</v>
      </c>
      <c r="I9" s="205">
        <v>10.84</v>
      </c>
      <c r="J9" s="206">
        <v>6396792.9836923052</v>
      </c>
      <c r="K9" s="204">
        <v>111159.87257807786</v>
      </c>
      <c r="L9" s="204">
        <v>332597.545075292</v>
      </c>
      <c r="M9" s="205">
        <v>49.88</v>
      </c>
      <c r="N9" s="205">
        <v>36.729999999999997</v>
      </c>
      <c r="O9" s="207">
        <v>17760962.274809998</v>
      </c>
      <c r="P9" s="208">
        <v>3735691.7149999999</v>
      </c>
      <c r="Q9" s="208">
        <v>2298138.0290000001</v>
      </c>
      <c r="R9" s="184">
        <v>416</v>
      </c>
      <c r="S9" s="184">
        <v>328</v>
      </c>
    </row>
    <row r="10" spans="1:19">
      <c r="B10" s="223" t="s">
        <v>163</v>
      </c>
      <c r="C10" s="224">
        <v>3085121.611238691</v>
      </c>
      <c r="D10" s="224">
        <v>3218153.7583556059</v>
      </c>
      <c r="E10" s="224">
        <v>6303275.3695942964</v>
      </c>
      <c r="G10" s="164">
        <v>45323</v>
      </c>
      <c r="H10" s="204">
        <v>399433.72750000021</v>
      </c>
      <c r="I10" s="205">
        <v>10.93</v>
      </c>
      <c r="J10" s="206">
        <v>4365810.6415750021</v>
      </c>
      <c r="K10" s="204">
        <v>36539.966681057907</v>
      </c>
      <c r="L10" s="204">
        <v>271724.09202330082</v>
      </c>
      <c r="M10" s="205">
        <v>50.32</v>
      </c>
      <c r="N10" s="205">
        <v>42.01</v>
      </c>
      <c r="O10" s="207">
        <v>13253820.229289699</v>
      </c>
      <c r="P10" s="208">
        <v>3299995.8789999997</v>
      </c>
      <c r="Q10" s="208">
        <v>1889901.959</v>
      </c>
      <c r="R10" s="184">
        <v>400</v>
      </c>
      <c r="S10" s="184">
        <v>296</v>
      </c>
    </row>
    <row r="11" spans="1:19">
      <c r="B11" s="225"/>
      <c r="C11" s="226"/>
      <c r="D11" s="226"/>
      <c r="E11" s="226"/>
      <c r="G11" s="164">
        <v>45352</v>
      </c>
      <c r="H11" s="204">
        <v>533489.99807692284</v>
      </c>
      <c r="I11" s="205">
        <v>7.62</v>
      </c>
      <c r="J11" s="206">
        <v>4065193.7853461523</v>
      </c>
      <c r="K11" s="204">
        <v>-122838.85971213591</v>
      </c>
      <c r="L11" s="204">
        <v>26448.751531956848</v>
      </c>
      <c r="M11" s="205">
        <v>35.07</v>
      </c>
      <c r="N11" s="205">
        <v>35.840000000000003</v>
      </c>
      <c r="O11" s="207">
        <v>-3360035.5551992729</v>
      </c>
      <c r="P11" s="208">
        <v>3449919.1129999999</v>
      </c>
      <c r="Q11" s="208">
        <v>2216421.7779999999</v>
      </c>
      <c r="R11" s="184">
        <v>416</v>
      </c>
      <c r="S11" s="184">
        <v>327</v>
      </c>
    </row>
    <row r="12" spans="1:19" ht="15.75" thickBot="1">
      <c r="B12" s="217" t="s">
        <v>164</v>
      </c>
      <c r="C12" s="227"/>
      <c r="D12" s="228"/>
      <c r="E12" s="227"/>
      <c r="G12" s="164">
        <v>45383</v>
      </c>
      <c r="H12" s="204">
        <v>598648.80048076948</v>
      </c>
      <c r="I12" s="205">
        <v>4.43</v>
      </c>
      <c r="J12" s="206">
        <v>2652014.1861298084</v>
      </c>
      <c r="K12" s="204">
        <v>44514.395931232473</v>
      </c>
      <c r="L12" s="204">
        <v>69047.560205755522</v>
      </c>
      <c r="M12" s="205">
        <v>20.420000000000002</v>
      </c>
      <c r="N12" s="205">
        <v>21.67</v>
      </c>
      <c r="O12" s="207">
        <v>2405244.5945744896</v>
      </c>
      <c r="P12" s="208">
        <v>2722407.7774999999</v>
      </c>
      <c r="Q12" s="208">
        <v>1750213.4617499998</v>
      </c>
      <c r="R12" s="184">
        <v>416</v>
      </c>
      <c r="S12" s="184">
        <v>304</v>
      </c>
    </row>
    <row r="13" spans="1:19" ht="15.75" thickTop="1">
      <c r="B13" s="225"/>
      <c r="C13" s="225"/>
      <c r="D13" s="225"/>
      <c r="E13" s="225"/>
      <c r="G13" s="164">
        <v>45413</v>
      </c>
      <c r="H13" s="204">
        <v>431526.31538461527</v>
      </c>
      <c r="I13" s="205">
        <v>3.95</v>
      </c>
      <c r="J13" s="206">
        <v>1704528.9457692304</v>
      </c>
      <c r="K13" s="204">
        <v>-586407.48820815352</v>
      </c>
      <c r="L13" s="204">
        <v>-295896.70003131928</v>
      </c>
      <c r="M13" s="205">
        <v>18.21</v>
      </c>
      <c r="N13" s="205">
        <v>16.34</v>
      </c>
      <c r="O13" s="207">
        <v>-15513432.438782234</v>
      </c>
      <c r="P13" s="208">
        <v>3371816.8480000002</v>
      </c>
      <c r="Q13" s="208">
        <v>2177069.1584999999</v>
      </c>
      <c r="R13" s="184">
        <v>416</v>
      </c>
      <c r="S13" s="184">
        <v>328</v>
      </c>
    </row>
    <row r="14" spans="1:19" ht="15.75" thickBot="1">
      <c r="B14" s="229" t="s">
        <v>165</v>
      </c>
      <c r="C14" s="230">
        <v>2024</v>
      </c>
      <c r="D14" s="230">
        <v>2025</v>
      </c>
      <c r="E14" s="231" t="s">
        <v>158</v>
      </c>
      <c r="G14" s="164">
        <v>45444</v>
      </c>
      <c r="H14" s="204">
        <v>573243.16999999969</v>
      </c>
      <c r="I14" s="205">
        <v>3.88</v>
      </c>
      <c r="J14" s="206">
        <v>2224183.4995999988</v>
      </c>
      <c r="K14" s="204">
        <v>-726747.48090725928</v>
      </c>
      <c r="L14" s="204">
        <v>-321859.3575098546</v>
      </c>
      <c r="M14" s="205">
        <v>17.87</v>
      </c>
      <c r="N14" s="205">
        <v>10.33</v>
      </c>
      <c r="O14" s="207">
        <v>-16311784.646889521</v>
      </c>
      <c r="P14" s="208">
        <v>3560007.926</v>
      </c>
      <c r="Q14" s="208">
        <v>2109275.0545000001</v>
      </c>
      <c r="R14" s="184">
        <v>400</v>
      </c>
      <c r="S14" s="184">
        <v>320</v>
      </c>
    </row>
    <row r="15" spans="1:19" ht="15.75" thickTop="1">
      <c r="B15" s="214" t="s">
        <v>166</v>
      </c>
      <c r="C15" s="130">
        <v>-3998.3011200000001</v>
      </c>
      <c r="D15" s="130">
        <v>-3987.3767999999995</v>
      </c>
      <c r="E15" s="130">
        <v>-7985.6779200000001</v>
      </c>
      <c r="G15" s="164">
        <v>45474</v>
      </c>
      <c r="H15" s="204">
        <v>674854.16201923077</v>
      </c>
      <c r="I15" s="205">
        <v>12.08</v>
      </c>
      <c r="J15" s="206">
        <v>8152238.2771923076</v>
      </c>
      <c r="K15" s="204">
        <v>-82673.528895733034</v>
      </c>
      <c r="L15" s="204">
        <v>132443.97326043568</v>
      </c>
      <c r="M15" s="205">
        <v>55.6</v>
      </c>
      <c r="N15" s="205">
        <v>36.92</v>
      </c>
      <c r="O15" s="207">
        <v>293183.28617252875</v>
      </c>
      <c r="P15" s="208">
        <v>3067031.764</v>
      </c>
      <c r="Q15" s="208">
        <v>1854722.6274999999</v>
      </c>
      <c r="R15" s="184">
        <v>416</v>
      </c>
      <c r="S15" s="184">
        <v>328</v>
      </c>
    </row>
    <row r="16" spans="1:19">
      <c r="B16" s="214" t="s">
        <v>167</v>
      </c>
      <c r="C16" s="130">
        <v>0</v>
      </c>
      <c r="D16" s="130">
        <v>0</v>
      </c>
      <c r="E16" s="130">
        <v>0</v>
      </c>
      <c r="G16" s="164">
        <v>45505</v>
      </c>
      <c r="H16" s="204">
        <v>735139.19074074051</v>
      </c>
      <c r="I16" s="205">
        <v>15.54</v>
      </c>
      <c r="J16" s="206">
        <v>11424063.024111107</v>
      </c>
      <c r="K16" s="204">
        <v>31699.056150356919</v>
      </c>
      <c r="L16" s="204">
        <v>94970.367887695174</v>
      </c>
      <c r="M16" s="205">
        <v>71.52</v>
      </c>
      <c r="N16" s="205">
        <v>48.93</v>
      </c>
      <c r="O16" s="207">
        <v>6914016.5966184512</v>
      </c>
      <c r="P16" s="208">
        <v>3018290.1715000002</v>
      </c>
      <c r="Q16" s="208">
        <v>1739738.0798499999</v>
      </c>
      <c r="R16" s="184">
        <v>432</v>
      </c>
      <c r="S16" s="184">
        <v>312</v>
      </c>
    </row>
    <row r="17" spans="1:19">
      <c r="A17"/>
      <c r="B17" s="214" t="s">
        <v>168</v>
      </c>
      <c r="C17" s="258">
        <v>-0.83895508310304767</v>
      </c>
      <c r="D17" s="258">
        <v>-0.84078149147612335</v>
      </c>
      <c r="E17" s="130">
        <v>-1.679736574579171</v>
      </c>
      <c r="G17" s="165">
        <v>45536</v>
      </c>
      <c r="H17" s="209">
        <v>414503.70989583316</v>
      </c>
      <c r="I17" s="210">
        <v>12.75</v>
      </c>
      <c r="J17" s="211">
        <v>5284922.3011718728</v>
      </c>
      <c r="K17" s="209">
        <v>50115.643948243989</v>
      </c>
      <c r="L17" s="209">
        <v>107529.44944070841</v>
      </c>
      <c r="M17" s="210">
        <v>58.7</v>
      </c>
      <c r="N17" s="210">
        <v>44.18</v>
      </c>
      <c r="O17" s="212">
        <v>7692439.3760524197</v>
      </c>
      <c r="P17" s="208">
        <v>2614938.2740000002</v>
      </c>
      <c r="Q17" s="208">
        <v>1763369.1040000001</v>
      </c>
      <c r="R17" s="184">
        <v>384</v>
      </c>
      <c r="S17" s="184">
        <v>336</v>
      </c>
    </row>
    <row r="18" spans="1:19">
      <c r="A18"/>
      <c r="B18" s="214" t="s">
        <v>169</v>
      </c>
      <c r="C18" s="130">
        <v>0</v>
      </c>
      <c r="D18" s="130">
        <v>0</v>
      </c>
      <c r="E18" s="130">
        <v>0</v>
      </c>
      <c r="G18" s="164">
        <v>45566</v>
      </c>
      <c r="H18" s="204">
        <v>381479.18749999988</v>
      </c>
      <c r="I18" s="205">
        <v>10.37</v>
      </c>
      <c r="J18" s="206">
        <v>3955939.1743749985</v>
      </c>
      <c r="K18" s="204">
        <v>229530.03563902905</v>
      </c>
      <c r="L18" s="204">
        <v>114326.03979572782</v>
      </c>
      <c r="M18" s="205">
        <v>47.71</v>
      </c>
      <c r="N18" s="205">
        <v>32.909999999999997</v>
      </c>
      <c r="O18" s="207">
        <v>14713347.970015477</v>
      </c>
      <c r="P18" s="208">
        <v>2552444.0360000003</v>
      </c>
      <c r="Q18" s="213">
        <v>1666359.7254999999</v>
      </c>
      <c r="R18" s="184">
        <v>432</v>
      </c>
      <c r="S18" s="184">
        <v>312</v>
      </c>
    </row>
    <row r="19" spans="1:19">
      <c r="A19"/>
      <c r="B19" s="214" t="s">
        <v>170</v>
      </c>
      <c r="C19" s="130">
        <v>-964</v>
      </c>
      <c r="D19" s="130">
        <v>-944</v>
      </c>
      <c r="E19" s="130">
        <v>-1908</v>
      </c>
      <c r="G19" s="164">
        <v>45597</v>
      </c>
      <c r="H19" s="204">
        <v>350685.32249999983</v>
      </c>
      <c r="I19" s="205">
        <v>8.75</v>
      </c>
      <c r="J19" s="206">
        <v>3068496.5718749985</v>
      </c>
      <c r="K19" s="204">
        <v>-64990.23317559938</v>
      </c>
      <c r="L19" s="204">
        <v>101587.44014330758</v>
      </c>
      <c r="M19" s="205">
        <v>40.299999999999997</v>
      </c>
      <c r="N19" s="205">
        <v>31.39</v>
      </c>
      <c r="O19" s="207">
        <v>569723.34912177036</v>
      </c>
      <c r="P19" s="208">
        <v>3264487.3280000002</v>
      </c>
      <c r="Q19" s="208">
        <v>2115878.6310000001</v>
      </c>
      <c r="R19" s="184">
        <v>400</v>
      </c>
      <c r="S19" s="184">
        <v>321</v>
      </c>
    </row>
    <row r="20" spans="1:19">
      <c r="A20"/>
      <c r="B20" s="214" t="s">
        <v>171</v>
      </c>
      <c r="C20" s="130">
        <v>-261207.39084739791</v>
      </c>
      <c r="D20" s="130">
        <v>-261564.50985066523</v>
      </c>
      <c r="E20" s="130">
        <v>-522771.90069806314</v>
      </c>
      <c r="G20" s="164">
        <v>45627</v>
      </c>
      <c r="H20" s="204">
        <v>617149.73999999976</v>
      </c>
      <c r="I20" s="205">
        <v>13.39</v>
      </c>
      <c r="J20" s="206">
        <v>8263635.0185999973</v>
      </c>
      <c r="K20" s="204">
        <v>163529.60748896596</v>
      </c>
      <c r="L20" s="204">
        <v>377608.6903595411</v>
      </c>
      <c r="M20" s="205">
        <v>61.63</v>
      </c>
      <c r="N20" s="205">
        <v>52.69</v>
      </c>
      <c r="O20" s="207">
        <v>29974531.604589194</v>
      </c>
      <c r="P20" s="208">
        <v>3520485.7390000001</v>
      </c>
      <c r="Q20" s="208">
        <v>2285993.696</v>
      </c>
      <c r="R20" s="184">
        <v>400</v>
      </c>
      <c r="S20" s="184">
        <v>344</v>
      </c>
    </row>
    <row r="21" spans="1:19">
      <c r="A21"/>
      <c r="B21" s="214" t="s">
        <v>172</v>
      </c>
      <c r="C21" s="130"/>
      <c r="D21" s="130"/>
      <c r="E21" s="130">
        <v>0</v>
      </c>
      <c r="G21" s="164">
        <v>45658</v>
      </c>
      <c r="H21" s="204">
        <v>601845.09326923115</v>
      </c>
      <c r="I21" s="205">
        <v>10.84</v>
      </c>
      <c r="J21" s="206">
        <v>6524000.8110384652</v>
      </c>
      <c r="K21" s="204">
        <v>112974.21488370805</v>
      </c>
      <c r="L21" s="204">
        <v>334980.9525717051</v>
      </c>
      <c r="M21" s="205">
        <v>49.88</v>
      </c>
      <c r="N21" s="205">
        <v>36.729999999999997</v>
      </c>
      <c r="O21" s="207">
        <v>17939004.226358086</v>
      </c>
      <c r="P21" s="208">
        <v>3735691.7149999999</v>
      </c>
      <c r="Q21" s="208">
        <v>2298138.0290000001</v>
      </c>
      <c r="R21" s="184">
        <v>416</v>
      </c>
      <c r="S21" s="184">
        <v>328</v>
      </c>
    </row>
    <row r="22" spans="1:19">
      <c r="A22"/>
      <c r="B22" s="232" t="s">
        <v>173</v>
      </c>
      <c r="C22" s="130">
        <v>-98789.345122210943</v>
      </c>
      <c r="D22" s="130">
        <v>-86643.867162749826</v>
      </c>
      <c r="E22" s="130">
        <v>-185433.21228496078</v>
      </c>
      <c r="G22" s="164">
        <v>45689</v>
      </c>
      <c r="H22" s="204">
        <v>381422.51145833312</v>
      </c>
      <c r="I22" s="205">
        <v>10.93</v>
      </c>
      <c r="J22" s="206">
        <v>4168948.0502395807</v>
      </c>
      <c r="K22" s="204">
        <v>83554.896917509119</v>
      </c>
      <c r="L22" s="204">
        <v>300296.85519329895</v>
      </c>
      <c r="M22" s="205">
        <v>50.32</v>
      </c>
      <c r="N22" s="205">
        <v>42.01</v>
      </c>
      <c r="O22" s="207">
        <v>16819953.299559548</v>
      </c>
      <c r="P22" s="208">
        <v>3186982.0389999999</v>
      </c>
      <c r="Q22" s="208">
        <v>1833395.0390000001</v>
      </c>
      <c r="R22" s="184">
        <v>384</v>
      </c>
      <c r="S22" s="184">
        <v>288</v>
      </c>
    </row>
    <row r="23" spans="1:19">
      <c r="A23"/>
      <c r="B23" s="232" t="s">
        <v>174</v>
      </c>
      <c r="C23" s="130">
        <v>-2358.4355119474822</v>
      </c>
      <c r="D23" s="130">
        <v>-5791.9217670342941</v>
      </c>
      <c r="E23" s="130">
        <v>-8150.3572789817763</v>
      </c>
      <c r="G23" s="164">
        <v>45717</v>
      </c>
      <c r="H23" s="204">
        <v>539555.68028846174</v>
      </c>
      <c r="I23" s="205">
        <v>7.62</v>
      </c>
      <c r="J23" s="206">
        <v>4111414.2837980785</v>
      </c>
      <c r="K23" s="204">
        <v>-120687.62047542343</v>
      </c>
      <c r="L23" s="204">
        <v>28042.894345849374</v>
      </c>
      <c r="M23" s="205">
        <v>35.07</v>
      </c>
      <c r="N23" s="205">
        <v>35.840000000000003</v>
      </c>
      <c r="O23" s="207">
        <v>-3227457.5167178586</v>
      </c>
      <c r="P23" s="208">
        <v>3449919.1129999999</v>
      </c>
      <c r="Q23" s="208">
        <v>2216421.7779999999</v>
      </c>
      <c r="R23" s="184">
        <v>416</v>
      </c>
      <c r="S23" s="184">
        <v>327</v>
      </c>
    </row>
    <row r="24" spans="1:19">
      <c r="A24"/>
      <c r="B24" s="232" t="s">
        <v>175</v>
      </c>
      <c r="C24" s="130">
        <v>-1947</v>
      </c>
      <c r="D24" s="130">
        <v>-1947</v>
      </c>
      <c r="E24" s="130">
        <v>-3894</v>
      </c>
      <c r="G24" s="164">
        <v>45748</v>
      </c>
      <c r="H24" s="204">
        <v>639950.94951923052</v>
      </c>
      <c r="I24" s="205">
        <v>4.43</v>
      </c>
      <c r="J24" s="206">
        <v>2834982.7063701912</v>
      </c>
      <c r="K24" s="204">
        <v>50663.708279040395</v>
      </c>
      <c r="L24" s="204">
        <v>73608.480152670192</v>
      </c>
      <c r="M24" s="205">
        <v>20.420000000000002</v>
      </c>
      <c r="N24" s="205">
        <v>21.67</v>
      </c>
      <c r="O24" s="207">
        <v>2629648.6879663682</v>
      </c>
      <c r="P24" s="208">
        <v>2722407.7774999999</v>
      </c>
      <c r="Q24" s="208">
        <v>1750213.4617499998</v>
      </c>
      <c r="R24" s="184">
        <v>416</v>
      </c>
      <c r="S24" s="184">
        <v>304</v>
      </c>
    </row>
    <row r="25" spans="1:19">
      <c r="A25"/>
      <c r="B25" s="232" t="s">
        <v>176</v>
      </c>
      <c r="C25" s="130">
        <v>-202.8234384000001</v>
      </c>
      <c r="D25" s="130">
        <v>-380.03420399999987</v>
      </c>
      <c r="E25" s="130">
        <v>-582.85764240000003</v>
      </c>
      <c r="G25" s="164">
        <v>45778</v>
      </c>
      <c r="H25" s="204">
        <v>454232.12259615381</v>
      </c>
      <c r="I25" s="205">
        <v>3.95</v>
      </c>
      <c r="J25" s="206">
        <v>1794216.8842548076</v>
      </c>
      <c r="K25" s="204">
        <v>-583431.16010144167</v>
      </c>
      <c r="L25" s="204">
        <v>-294847.35404638434</v>
      </c>
      <c r="M25" s="205">
        <v>18.21</v>
      </c>
      <c r="N25" s="205">
        <v>16.34</v>
      </c>
      <c r="O25" s="207">
        <v>-15442087.190565173</v>
      </c>
      <c r="P25" s="208">
        <v>3371816.8480000002</v>
      </c>
      <c r="Q25" s="208">
        <v>2177069.1584999999</v>
      </c>
      <c r="R25" s="184">
        <v>416</v>
      </c>
      <c r="S25" s="184">
        <v>328</v>
      </c>
    </row>
    <row r="26" spans="1:19">
      <c r="A26"/>
      <c r="B26" s="232" t="s">
        <v>177</v>
      </c>
      <c r="C26" s="130">
        <v>-2713.1262539923732</v>
      </c>
      <c r="D26" s="130">
        <v>-4998.2294531307843</v>
      </c>
      <c r="E26" s="130">
        <v>-7711.3557071231571</v>
      </c>
      <c r="G26" s="164">
        <v>45809</v>
      </c>
      <c r="H26" s="204">
        <v>579886.95750000002</v>
      </c>
      <c r="I26" s="205">
        <v>3.88</v>
      </c>
      <c r="J26" s="206">
        <v>2249961.3950999998</v>
      </c>
      <c r="K26" s="204">
        <v>-721567.75628862856</v>
      </c>
      <c r="L26" s="204">
        <v>-320694.89233501302</v>
      </c>
      <c r="M26" s="205">
        <v>17.87</v>
      </c>
      <c r="N26" s="205">
        <v>10.33</v>
      </c>
      <c r="O26" s="207">
        <v>-16207194.042698478</v>
      </c>
      <c r="P26" s="208">
        <v>3560007.926</v>
      </c>
      <c r="Q26" s="208">
        <v>2109275.0545000001</v>
      </c>
      <c r="R26" s="184">
        <v>400</v>
      </c>
      <c r="S26" s="184">
        <v>320</v>
      </c>
    </row>
    <row r="27" spans="1:19">
      <c r="A27"/>
      <c r="B27" s="233" t="s">
        <v>178</v>
      </c>
      <c r="C27" s="234">
        <v>-33464.084521789133</v>
      </c>
      <c r="D27" s="234">
        <v>-33638.997742444182</v>
      </c>
      <c r="E27" s="234">
        <v>-67103.082264233322</v>
      </c>
      <c r="G27" s="164">
        <v>45839</v>
      </c>
      <c r="H27" s="204">
        <v>750446.90000000037</v>
      </c>
      <c r="I27" s="205">
        <v>12.08</v>
      </c>
      <c r="J27" s="206">
        <v>9065398.5520000048</v>
      </c>
      <c r="K27" s="204">
        <v>-75783.569294949819</v>
      </c>
      <c r="L27" s="204">
        <v>138259.49860693095</v>
      </c>
      <c r="M27" s="205">
        <v>55.6</v>
      </c>
      <c r="N27" s="205">
        <v>36.92</v>
      </c>
      <c r="O27" s="207">
        <v>890974.23576868046</v>
      </c>
      <c r="P27" s="208">
        <v>3067031.764</v>
      </c>
      <c r="Q27" s="208">
        <v>1854722.6274999999</v>
      </c>
      <c r="R27" s="184">
        <v>416</v>
      </c>
      <c r="S27" s="184">
        <v>328</v>
      </c>
    </row>
    <row r="28" spans="1:19">
      <c r="A28"/>
      <c r="B28" s="214" t="s">
        <v>179</v>
      </c>
      <c r="C28" s="130">
        <v>-405645.34577082098</v>
      </c>
      <c r="D28" s="130">
        <v>-399896.77776151575</v>
      </c>
      <c r="E28" s="130">
        <v>-805542.12353233667</v>
      </c>
      <c r="G28" s="164">
        <v>45870</v>
      </c>
      <c r="H28" s="204">
        <v>670799.91923076904</v>
      </c>
      <c r="I28" s="205">
        <v>15.54</v>
      </c>
      <c r="J28" s="206">
        <v>10424230.74484615</v>
      </c>
      <c r="K28" s="204">
        <v>13747.471222459346</v>
      </c>
      <c r="L28" s="204">
        <v>121447.40284208738</v>
      </c>
      <c r="M28" s="205">
        <v>71.52</v>
      </c>
      <c r="N28" s="205">
        <v>48.93</v>
      </c>
      <c r="O28" s="207">
        <v>6925640.5628936281</v>
      </c>
      <c r="P28" s="208">
        <v>3018290.1715000002</v>
      </c>
      <c r="Q28" s="208">
        <v>1739738.0798499999</v>
      </c>
      <c r="R28" s="184">
        <v>416</v>
      </c>
      <c r="S28" s="184">
        <v>328</v>
      </c>
    </row>
    <row r="29" spans="1:19">
      <c r="A29"/>
      <c r="B29" s="225"/>
      <c r="C29" s="226"/>
      <c r="D29" s="225"/>
      <c r="E29" s="225"/>
      <c r="G29" s="165">
        <v>45901</v>
      </c>
      <c r="H29" s="209">
        <v>484316.23250000004</v>
      </c>
      <c r="I29" s="210">
        <v>12.75</v>
      </c>
      <c r="J29" s="211">
        <v>6175031.9643750004</v>
      </c>
      <c r="K29" s="209">
        <v>77552.126506216649</v>
      </c>
      <c r="L29" s="209">
        <v>86840.197800644208</v>
      </c>
      <c r="M29" s="210">
        <v>58.7</v>
      </c>
      <c r="N29" s="210">
        <v>44.18</v>
      </c>
      <c r="O29" s="212">
        <v>8388909.7647473775</v>
      </c>
      <c r="P29" s="208">
        <v>2614938.2740000002</v>
      </c>
      <c r="Q29" s="208">
        <v>1763369.1040000001</v>
      </c>
      <c r="R29" s="184">
        <v>400</v>
      </c>
      <c r="S29" s="184">
        <v>320</v>
      </c>
    </row>
    <row r="30" spans="1:19" ht="15.75" thickBot="1">
      <c r="A30"/>
      <c r="B30" s="229" t="s">
        <v>180</v>
      </c>
      <c r="C30" s="235">
        <v>2024</v>
      </c>
      <c r="D30" s="235">
        <v>2025</v>
      </c>
      <c r="E30" s="236" t="s">
        <v>158</v>
      </c>
    </row>
    <row r="31" spans="1:19" ht="15.75" thickTop="1">
      <c r="A31"/>
      <c r="B31" s="214" t="s">
        <v>181</v>
      </c>
      <c r="C31" s="132">
        <v>21770.164574080001</v>
      </c>
      <c r="D31" s="132">
        <v>21770.164574080001</v>
      </c>
      <c r="E31" s="132">
        <v>43540.329148160003</v>
      </c>
      <c r="H31" s="126" t="s">
        <v>507</v>
      </c>
    </row>
    <row r="32" spans="1:19">
      <c r="A32"/>
      <c r="B32" s="215" t="s">
        <v>182</v>
      </c>
      <c r="C32" s="134">
        <v>37700.685942201839</v>
      </c>
      <c r="D32" s="134">
        <v>38531.674433254069</v>
      </c>
      <c r="E32" s="134">
        <v>76232.360375455901</v>
      </c>
      <c r="G32" s="126" t="s">
        <v>215</v>
      </c>
      <c r="H32" s="128">
        <v>11.57</v>
      </c>
      <c r="M32" s="163"/>
    </row>
    <row r="33" spans="1:15">
      <c r="A33"/>
      <c r="B33" s="214" t="s">
        <v>179</v>
      </c>
      <c r="C33" s="132">
        <v>59470.85051628184</v>
      </c>
      <c r="D33" s="132">
        <v>60301.839007334071</v>
      </c>
      <c r="E33" s="132">
        <v>119772.6895236159</v>
      </c>
      <c r="G33" s="126" t="s">
        <v>223</v>
      </c>
      <c r="H33" s="129">
        <v>6.73</v>
      </c>
      <c r="I33" s="126"/>
      <c r="M33" s="163"/>
      <c r="N33" s="163"/>
    </row>
    <row r="34" spans="1:15">
      <c r="A34"/>
      <c r="B34" s="225"/>
      <c r="C34" s="226"/>
      <c r="D34" s="225"/>
      <c r="E34" s="225"/>
      <c r="G34" s="126" t="s">
        <v>240</v>
      </c>
      <c r="H34" s="126">
        <v>39.674672822617424</v>
      </c>
    </row>
    <row r="35" spans="1:15" ht="15.75" thickBot="1">
      <c r="A35"/>
      <c r="B35" s="217"/>
      <c r="C35" s="237">
        <v>2024</v>
      </c>
      <c r="D35" s="237">
        <v>2025</v>
      </c>
      <c r="E35" s="238" t="s">
        <v>158</v>
      </c>
      <c r="G35" s="126" t="s">
        <v>608</v>
      </c>
      <c r="H35">
        <v>7063.3649999999998</v>
      </c>
    </row>
    <row r="36" spans="1:15" ht="15.75" thickTop="1">
      <c r="A36"/>
      <c r="B36" s="216" t="s">
        <v>159</v>
      </c>
      <c r="C36" s="239">
        <v>2350477.9004080561</v>
      </c>
      <c r="D36" s="239">
        <v>2411295.869282526</v>
      </c>
      <c r="E36" s="239">
        <v>4761773.7696905816</v>
      </c>
      <c r="G36" s="126" t="s">
        <v>609</v>
      </c>
      <c r="H36" s="37">
        <f>+H35*AVERAGE(8760,8784)</f>
        <v>61959837.780000001</v>
      </c>
    </row>
    <row r="37" spans="1:15">
      <c r="A37"/>
      <c r="B37" s="225"/>
      <c r="C37" s="226"/>
      <c r="D37" s="225"/>
      <c r="E37" s="225"/>
      <c r="G37" t="s">
        <v>539</v>
      </c>
      <c r="H37">
        <v>1.1200000000000001</v>
      </c>
    </row>
    <row r="38" spans="1:15" ht="15.75" thickBot="1">
      <c r="A38"/>
      <c r="B38" s="229" t="s">
        <v>183</v>
      </c>
      <c r="C38" s="240">
        <v>2024</v>
      </c>
      <c r="D38" s="240">
        <v>2025</v>
      </c>
      <c r="E38" s="241" t="s">
        <v>158</v>
      </c>
      <c r="G38" t="s">
        <v>540</v>
      </c>
      <c r="H38">
        <v>0.05</v>
      </c>
    </row>
    <row r="39" spans="1:15" ht="15.75" thickTop="1">
      <c r="A39"/>
      <c r="B39" s="214" t="s">
        <v>184</v>
      </c>
      <c r="C39" s="135">
        <v>-638012.82385864481</v>
      </c>
      <c r="D39" s="135">
        <v>-575151.80315591989</v>
      </c>
      <c r="E39" s="135">
        <v>-1213164.6270145648</v>
      </c>
      <c r="J39" s="160"/>
      <c r="K39" s="155"/>
      <c r="L39" s="155"/>
      <c r="M39" s="156"/>
      <c r="N39" s="156"/>
      <c r="O39" s="157"/>
    </row>
    <row r="40" spans="1:15">
      <c r="A40"/>
      <c r="B40" s="232" t="s">
        <v>173</v>
      </c>
      <c r="C40" s="135">
        <v>98789.345122210943</v>
      </c>
      <c r="D40" s="135">
        <v>86643.867162749826</v>
      </c>
      <c r="E40" s="135">
        <v>185433.21228496078</v>
      </c>
      <c r="J40" s="160"/>
      <c r="K40" s="155"/>
      <c r="L40" s="155"/>
      <c r="M40" s="156"/>
      <c r="N40" s="156"/>
      <c r="O40" s="157"/>
    </row>
    <row r="41" spans="1:15">
      <c r="A41"/>
      <c r="B41" s="214" t="s">
        <v>242</v>
      </c>
      <c r="C41" s="135">
        <v>0</v>
      </c>
      <c r="D41" s="135">
        <v>0</v>
      </c>
      <c r="E41" s="135">
        <v>0</v>
      </c>
      <c r="G41" s="158"/>
      <c r="H41" s="155"/>
      <c r="I41" s="159"/>
      <c r="J41" s="160"/>
      <c r="K41" s="155"/>
      <c r="L41" s="155"/>
      <c r="M41" s="156"/>
      <c r="N41" s="156"/>
      <c r="O41" s="157"/>
    </row>
    <row r="42" spans="1:15">
      <c r="A42"/>
      <c r="B42" s="214" t="s">
        <v>185</v>
      </c>
      <c r="C42" s="135">
        <v>-92</v>
      </c>
      <c r="D42" s="135">
        <v>-92</v>
      </c>
      <c r="E42" s="135">
        <v>-184</v>
      </c>
      <c r="G42" s="158"/>
      <c r="H42" s="155"/>
      <c r="I42" s="159"/>
      <c r="J42" s="160"/>
      <c r="K42" s="155"/>
      <c r="L42" s="155"/>
      <c r="M42" s="156"/>
      <c r="N42" s="156"/>
      <c r="O42" s="157"/>
    </row>
    <row r="43" spans="1:15">
      <c r="A43"/>
      <c r="B43" s="214" t="s">
        <v>236</v>
      </c>
      <c r="C43" s="135">
        <v>0</v>
      </c>
      <c r="D43" s="135">
        <v>0</v>
      </c>
      <c r="E43" s="135">
        <v>0</v>
      </c>
      <c r="G43" s="158"/>
      <c r="H43" s="155"/>
      <c r="I43" s="159"/>
      <c r="J43" s="160"/>
      <c r="K43" s="155"/>
      <c r="L43" s="155"/>
      <c r="M43" s="156"/>
      <c r="N43" s="156"/>
      <c r="O43" s="157"/>
    </row>
    <row r="44" spans="1:15">
      <c r="A44"/>
      <c r="B44" s="214" t="s">
        <v>186</v>
      </c>
      <c r="C44" s="135">
        <v>-57930.734300019853</v>
      </c>
      <c r="D44" s="135">
        <v>-63974.994951038614</v>
      </c>
      <c r="E44" s="135">
        <v>-121905.72925105847</v>
      </c>
      <c r="G44" s="158"/>
      <c r="H44" s="155"/>
      <c r="I44" s="159"/>
      <c r="J44" s="160"/>
      <c r="K44" s="155"/>
      <c r="L44" s="155"/>
      <c r="M44" s="156"/>
      <c r="N44" s="156"/>
      <c r="O44" s="157"/>
    </row>
    <row r="45" spans="1:15">
      <c r="A45"/>
      <c r="B45" s="214" t="s">
        <v>174</v>
      </c>
      <c r="C45" s="135">
        <v>2358.4355119474822</v>
      </c>
      <c r="D45" s="135">
        <v>5791.9217670342941</v>
      </c>
      <c r="E45" s="135">
        <v>8150.3572789817763</v>
      </c>
      <c r="G45" s="158"/>
      <c r="H45" s="155"/>
      <c r="I45" s="159"/>
      <c r="J45" s="160"/>
      <c r="K45" s="155"/>
      <c r="L45" s="155"/>
      <c r="M45" s="156"/>
      <c r="N45" s="156"/>
      <c r="O45" s="157"/>
    </row>
    <row r="46" spans="1:15">
      <c r="A46"/>
      <c r="B46" s="232" t="s">
        <v>187</v>
      </c>
      <c r="C46" s="135">
        <v>-60246.80403210604</v>
      </c>
      <c r="D46" s="135">
        <v>-62636.256156872274</v>
      </c>
      <c r="E46" s="135">
        <v>-122883.06018897831</v>
      </c>
      <c r="G46" s="158"/>
      <c r="H46" s="155"/>
      <c r="I46" s="159"/>
      <c r="J46" s="160"/>
      <c r="K46" s="155"/>
      <c r="L46" s="155"/>
      <c r="M46" s="156"/>
      <c r="N46" s="156"/>
      <c r="O46" s="157"/>
    </row>
    <row r="47" spans="1:15">
      <c r="A47"/>
      <c r="B47" s="242" t="s">
        <v>188</v>
      </c>
      <c r="C47" s="135">
        <v>-842</v>
      </c>
      <c r="D47" s="135">
        <v>-842</v>
      </c>
      <c r="E47" s="135">
        <v>-1684</v>
      </c>
      <c r="G47" s="158"/>
      <c r="H47" s="155"/>
      <c r="I47" s="159"/>
      <c r="J47" s="160"/>
      <c r="K47" s="155"/>
      <c r="L47" s="155"/>
      <c r="M47" s="156"/>
      <c r="N47" s="156"/>
      <c r="O47" s="157"/>
    </row>
    <row r="48" spans="1:15">
      <c r="A48"/>
      <c r="B48" s="242" t="s">
        <v>189</v>
      </c>
      <c r="C48" s="135">
        <v>0</v>
      </c>
      <c r="D48" s="135">
        <v>0</v>
      </c>
      <c r="E48" s="135">
        <v>0</v>
      </c>
      <c r="G48" s="158"/>
      <c r="H48" s="155"/>
      <c r="I48" s="159"/>
      <c r="J48" s="160"/>
      <c r="K48" s="155"/>
      <c r="L48" s="155"/>
      <c r="M48" s="156"/>
      <c r="N48" s="156"/>
      <c r="O48" s="157"/>
    </row>
    <row r="49" spans="1:15">
      <c r="A49"/>
      <c r="B49" s="242" t="s">
        <v>190</v>
      </c>
      <c r="C49" s="135">
        <v>0</v>
      </c>
      <c r="D49" s="135">
        <v>0</v>
      </c>
      <c r="E49" s="135">
        <v>0</v>
      </c>
      <c r="G49" s="158"/>
      <c r="H49" s="155"/>
      <c r="I49" s="159"/>
      <c r="J49" s="160"/>
      <c r="K49" s="155"/>
      <c r="L49" s="155"/>
      <c r="M49" s="156"/>
      <c r="N49" s="156"/>
      <c r="O49" s="157"/>
    </row>
    <row r="50" spans="1:15">
      <c r="A50"/>
      <c r="B50" s="242" t="s">
        <v>505</v>
      </c>
      <c r="C50" s="135">
        <v>0</v>
      </c>
      <c r="D50" s="135">
        <v>0</v>
      </c>
      <c r="E50" s="135">
        <v>0</v>
      </c>
      <c r="G50" s="158"/>
      <c r="H50" s="155"/>
      <c r="I50" s="159"/>
      <c r="J50" s="160"/>
      <c r="K50" s="155"/>
      <c r="L50" s="155"/>
      <c r="M50" s="156"/>
      <c r="N50" s="156"/>
      <c r="O50" s="157"/>
    </row>
    <row r="51" spans="1:15">
      <c r="A51"/>
      <c r="B51" s="242" t="s">
        <v>506</v>
      </c>
      <c r="C51" s="135">
        <v>0</v>
      </c>
      <c r="D51" s="135">
        <v>0</v>
      </c>
      <c r="E51" s="135">
        <v>0</v>
      </c>
      <c r="G51" s="161"/>
      <c r="H51" s="155"/>
      <c r="I51" s="159"/>
      <c r="J51" s="160"/>
      <c r="K51" s="155"/>
      <c r="L51" s="155"/>
      <c r="M51" s="159"/>
      <c r="N51" s="159"/>
      <c r="O51" s="162"/>
    </row>
    <row r="52" spans="1:15">
      <c r="A52"/>
      <c r="B52" s="215" t="s">
        <v>178</v>
      </c>
      <c r="C52" s="243">
        <v>33464.084521789133</v>
      </c>
      <c r="D52" s="243">
        <v>33638.997742444182</v>
      </c>
      <c r="E52" s="243">
        <v>67103.082264233322</v>
      </c>
    </row>
    <row r="53" spans="1:15">
      <c r="A53"/>
      <c r="B53" s="214" t="s">
        <v>179</v>
      </c>
      <c r="C53" s="135">
        <v>-622512.49703482317</v>
      </c>
      <c r="D53" s="135">
        <v>-576622.2675916024</v>
      </c>
      <c r="E53" s="135">
        <v>-1199134.7646264257</v>
      </c>
    </row>
    <row r="54" spans="1:15">
      <c r="A54"/>
      <c r="B54" s="244"/>
      <c r="C54" s="244"/>
      <c r="D54" s="244"/>
      <c r="E54" s="244"/>
    </row>
    <row r="55" spans="1:15" ht="15.75" thickBot="1">
      <c r="A55"/>
      <c r="B55" s="217"/>
      <c r="C55" s="240">
        <v>2024</v>
      </c>
      <c r="D55" s="240">
        <v>2025</v>
      </c>
      <c r="E55" s="241" t="s">
        <v>158</v>
      </c>
    </row>
    <row r="56" spans="1:15" ht="15.75" thickTop="1">
      <c r="A56"/>
      <c r="B56" s="216" t="s">
        <v>160</v>
      </c>
      <c r="C56" s="135">
        <v>-348830.21667307109</v>
      </c>
      <c r="D56" s="135">
        <v>-315151.32363521261</v>
      </c>
      <c r="E56" s="135">
        <v>-663981.54030828376</v>
      </c>
    </row>
    <row r="57" spans="1:15">
      <c r="A57"/>
      <c r="B57" s="244"/>
      <c r="C57" s="135"/>
      <c r="D57" s="244"/>
      <c r="E57" s="244"/>
    </row>
    <row r="58" spans="1:15" ht="15.75" thickBot="1">
      <c r="A58"/>
      <c r="B58" s="217" t="s">
        <v>191</v>
      </c>
      <c r="C58" s="240">
        <v>2024</v>
      </c>
      <c r="D58" s="240">
        <v>2025</v>
      </c>
      <c r="E58" s="241" t="s">
        <v>158</v>
      </c>
    </row>
    <row r="59" spans="1:15" ht="15.75" thickTop="1">
      <c r="A59"/>
      <c r="B59" s="216" t="s">
        <v>159</v>
      </c>
      <c r="C59" s="135">
        <v>2350477.9004080561</v>
      </c>
      <c r="D59" s="135">
        <v>2411295.869282526</v>
      </c>
      <c r="E59" s="135">
        <v>4761773.7696905816</v>
      </c>
    </row>
    <row r="60" spans="1:15">
      <c r="A60"/>
      <c r="B60" s="216" t="s">
        <v>160</v>
      </c>
      <c r="C60" s="135">
        <v>-348830.21667307109</v>
      </c>
      <c r="D60" s="135">
        <v>-315151.32363521261</v>
      </c>
      <c r="E60" s="135">
        <v>-663981.54030828376</v>
      </c>
    </row>
    <row r="61" spans="1:15">
      <c r="A61"/>
      <c r="B61" s="216" t="s">
        <v>161</v>
      </c>
      <c r="C61" s="135">
        <v>0</v>
      </c>
      <c r="D61" s="135">
        <v>0</v>
      </c>
      <c r="E61" s="135">
        <v>0</v>
      </c>
    </row>
    <row r="62" spans="1:15">
      <c r="A62"/>
      <c r="B62" s="221" t="s">
        <v>162</v>
      </c>
      <c r="C62" s="243">
        <v>114786.93521434406</v>
      </c>
      <c r="D62" s="243">
        <v>205792.00636250814</v>
      </c>
      <c r="E62" s="243">
        <v>320578.94157685223</v>
      </c>
    </row>
    <row r="63" spans="1:15">
      <c r="A63"/>
      <c r="B63" s="245" t="s">
        <v>163</v>
      </c>
      <c r="C63" s="135">
        <v>2116434.618949329</v>
      </c>
      <c r="D63" s="135">
        <v>2301936.5520098214</v>
      </c>
      <c r="E63" s="135">
        <v>4418371.1709591504</v>
      </c>
    </row>
    <row r="64" spans="1:15">
      <c r="A64"/>
      <c r="B64" s="244"/>
      <c r="C64" s="244"/>
      <c r="D64" s="244"/>
      <c r="E64" s="244"/>
    </row>
    <row r="65" spans="1:13" ht="15.75" thickBot="1">
      <c r="A65"/>
      <c r="B65" s="217" t="s">
        <v>192</v>
      </c>
      <c r="C65" s="240">
        <v>2024</v>
      </c>
      <c r="D65" s="240">
        <v>2025</v>
      </c>
      <c r="E65" s="241" t="s">
        <v>158</v>
      </c>
    </row>
    <row r="66" spans="1:13" ht="15.75" thickTop="1">
      <c r="A66"/>
      <c r="B66" s="216" t="s">
        <v>193</v>
      </c>
      <c r="C66" s="246">
        <v>95.379680000000022</v>
      </c>
      <c r="D66" s="246">
        <v>95.769050000000007</v>
      </c>
      <c r="E66" s="246">
        <v>95.574365000000014</v>
      </c>
      <c r="G66" s="38" t="s">
        <v>610</v>
      </c>
    </row>
    <row r="67" spans="1:13">
      <c r="A67"/>
      <c r="B67" s="216" t="s">
        <v>194</v>
      </c>
      <c r="C67" s="246">
        <v>75.638969999999986</v>
      </c>
      <c r="D67" s="246">
        <v>76.028339999999957</v>
      </c>
      <c r="E67" s="246">
        <v>75.833654999999965</v>
      </c>
      <c r="G67" t="s">
        <v>187</v>
      </c>
      <c r="H67" s="276">
        <f>J3</f>
        <v>61441530.094489157</v>
      </c>
    </row>
    <row r="68" spans="1:13" ht="15.75" thickBot="1">
      <c r="A68"/>
      <c r="B68" s="216" t="s">
        <v>195</v>
      </c>
      <c r="C68" s="246">
        <v>19.74071</v>
      </c>
      <c r="D68" s="246">
        <v>19.74071</v>
      </c>
      <c r="E68" s="246">
        <v>19.74071</v>
      </c>
      <c r="G68" s="282" t="s">
        <v>186</v>
      </c>
      <c r="H68" s="283">
        <f>O3</f>
        <v>60952864.62552923</v>
      </c>
    </row>
    <row r="69" spans="1:13" ht="15.75" thickTop="1">
      <c r="A69"/>
      <c r="B69" s="216"/>
      <c r="C69" s="135"/>
      <c r="D69" s="135"/>
      <c r="E69" s="135"/>
      <c r="H69" s="276">
        <f>H67+H68</f>
        <v>122394394.72001839</v>
      </c>
    </row>
    <row r="70" spans="1:13" ht="15.75" thickBot="1">
      <c r="A70"/>
      <c r="B70" s="217" t="s">
        <v>196</v>
      </c>
      <c r="C70" s="240">
        <v>2024</v>
      </c>
      <c r="D70" s="240">
        <v>2025</v>
      </c>
      <c r="E70" s="241" t="s">
        <v>158</v>
      </c>
      <c r="G70" s="38" t="s">
        <v>610</v>
      </c>
    </row>
    <row r="71" spans="1:13" ht="15.75" thickTop="1">
      <c r="A71"/>
      <c r="B71" s="216" t="s">
        <v>159</v>
      </c>
      <c r="C71" s="135">
        <v>24643.382116694622</v>
      </c>
      <c r="D71" s="135">
        <v>25178.237324924135</v>
      </c>
      <c r="E71" s="135">
        <v>24911.354470890707</v>
      </c>
      <c r="G71" t="s">
        <v>187</v>
      </c>
      <c r="H71" s="276">
        <f>Charges_NonSlice!G1</f>
        <v>134064019.64614016</v>
      </c>
    </row>
    <row r="72" spans="1:13" ht="15.75" thickBot="1">
      <c r="B72" s="216" t="s">
        <v>160</v>
      </c>
      <c r="C72" s="135">
        <v>-4611.7790429069983</v>
      </c>
      <c r="D72" s="135">
        <v>-4145.1822259332876</v>
      </c>
      <c r="E72" s="135">
        <v>-4377.8816958531415</v>
      </c>
      <c r="G72" s="282" t="s">
        <v>186</v>
      </c>
      <c r="H72" s="283">
        <f>Charges_NonSlice!F1</f>
        <v>-25436317.551629879</v>
      </c>
      <c r="I72" t="s">
        <v>612</v>
      </c>
      <c r="J72" t="s">
        <v>611</v>
      </c>
      <c r="K72" t="s">
        <v>613</v>
      </c>
      <c r="L72" t="s">
        <v>614</v>
      </c>
      <c r="M72" t="s">
        <v>618</v>
      </c>
    </row>
    <row r="73" spans="1:13" ht="15.75" thickTop="1">
      <c r="A73"/>
      <c r="B73" s="216" t="s">
        <v>161</v>
      </c>
      <c r="C73" s="135">
        <v>0</v>
      </c>
      <c r="D73" s="135">
        <v>0</v>
      </c>
      <c r="E73" s="135">
        <v>0</v>
      </c>
      <c r="H73" s="276">
        <f>H71+H72</f>
        <v>108627702.09451029</v>
      </c>
      <c r="I73" s="276">
        <f>H73-H69</f>
        <v>-13766692.6255081</v>
      </c>
      <c r="J73" s="119">
        <f>Charges_NonSlice!F41+Charges_NonSlice!G41+Charges_NonSlice!F56+Charges_NonSlice!G56+Charges_NonSlice!F108+Charges_NonSlice!G108</f>
        <v>61928244.468646564</v>
      </c>
      <c r="K73" s="276">
        <f>I73-J73</f>
        <v>-75694937.094154656</v>
      </c>
      <c r="L73" s="276">
        <f>G76*E67*12</f>
        <v>53690227.739999972</v>
      </c>
      <c r="M73" s="276">
        <f>L73-K73</f>
        <v>129385164.83415464</v>
      </c>
    </row>
    <row r="74" spans="1:13">
      <c r="A74"/>
      <c r="B74" s="244"/>
      <c r="C74" s="244"/>
      <c r="D74" s="244"/>
      <c r="E74" s="244"/>
      <c r="G74" s="36">
        <v>59000000</v>
      </c>
    </row>
    <row r="75" spans="1:13" ht="15.75" thickBot="1">
      <c r="A75"/>
      <c r="B75" s="217" t="s">
        <v>197</v>
      </c>
      <c r="C75" s="240">
        <v>2024</v>
      </c>
      <c r="D75" s="240">
        <v>2025</v>
      </c>
      <c r="E75" s="241" t="s">
        <v>158</v>
      </c>
      <c r="G75" s="38" t="s">
        <v>610</v>
      </c>
    </row>
    <row r="76" spans="1:13" ht="15.75" thickTop="1">
      <c r="A76"/>
      <c r="B76" s="216" t="s">
        <v>159</v>
      </c>
      <c r="C76" s="247">
        <v>2053615.1763912186</v>
      </c>
      <c r="D76" s="247">
        <v>2098186.4437436778</v>
      </c>
      <c r="E76" s="247">
        <v>2075946</v>
      </c>
      <c r="G76" s="281">
        <f>+G74/1000</f>
        <v>59000</v>
      </c>
      <c r="H76" t="s">
        <v>603</v>
      </c>
    </row>
    <row r="77" spans="1:13">
      <c r="B77" s="216" t="s">
        <v>160</v>
      </c>
      <c r="C77" s="247">
        <v>-384314.92024224991</v>
      </c>
      <c r="D77" s="247">
        <v>-345431.85216110729</v>
      </c>
      <c r="E77" s="280">
        <f>-364823-G76</f>
        <v>-423823</v>
      </c>
      <c r="G77" s="277">
        <f>Charges_NonSlice!Y1</f>
        <v>38.081250534164816</v>
      </c>
      <c r="H77" t="s">
        <v>605</v>
      </c>
    </row>
    <row r="78" spans="1:13">
      <c r="A78"/>
      <c r="B78" s="216" t="s">
        <v>161</v>
      </c>
      <c r="C78" s="247">
        <v>0</v>
      </c>
      <c r="D78" s="247">
        <v>0</v>
      </c>
      <c r="E78" s="247">
        <v>0</v>
      </c>
      <c r="G78" s="264">
        <f>Charges_NonSlice!AD6</f>
        <v>9.7670502385629909E-2</v>
      </c>
      <c r="H78" t="s">
        <v>604</v>
      </c>
    </row>
    <row r="79" spans="1:13">
      <c r="A79"/>
      <c r="B79" s="244"/>
      <c r="C79" s="244"/>
      <c r="D79" s="244"/>
      <c r="E79" s="244"/>
      <c r="G79" s="264">
        <f>+Charges_NonSlice!Z1</f>
        <v>9.7631240220022342E-2</v>
      </c>
    </row>
    <row r="80" spans="1:13" ht="15.75" thickBot="1">
      <c r="A80"/>
      <c r="B80" s="217" t="s">
        <v>198</v>
      </c>
      <c r="C80" s="240">
        <v>2024</v>
      </c>
      <c r="D80" s="240">
        <v>2025</v>
      </c>
      <c r="E80" s="241" t="s">
        <v>158</v>
      </c>
      <c r="G80" s="266"/>
    </row>
    <row r="81" spans="1:7" ht="15.75" thickTop="1">
      <c r="A81"/>
      <c r="B81" s="216" t="s">
        <v>199</v>
      </c>
      <c r="C81" s="248">
        <v>63.83</v>
      </c>
      <c r="D81" s="248">
        <v>60.25</v>
      </c>
      <c r="E81" s="248">
        <v>61.495772306393967</v>
      </c>
    </row>
    <row r="82" spans="1:7">
      <c r="A82"/>
      <c r="B82" s="216" t="s">
        <v>200</v>
      </c>
      <c r="C82" s="248">
        <v>63.83</v>
      </c>
      <c r="D82" s="248">
        <v>60.25</v>
      </c>
      <c r="E82" s="248">
        <v>62.04</v>
      </c>
    </row>
    <row r="83" spans="1:7">
      <c r="A83"/>
      <c r="B83" s="216" t="s">
        <v>243</v>
      </c>
      <c r="C83" s="248">
        <v>0</v>
      </c>
      <c r="D83" s="248">
        <v>0</v>
      </c>
      <c r="E83" s="248">
        <v>0</v>
      </c>
      <c r="G83" s="276"/>
    </row>
    <row r="84" spans="1:7">
      <c r="G84" s="119"/>
    </row>
    <row r="85" spans="1:7">
      <c r="G85" s="276"/>
    </row>
    <row r="86" spans="1:7">
      <c r="G86" s="276"/>
    </row>
  </sheetData>
  <conditionalFormatting sqref="B2">
    <cfRule type="expression" dxfId="5" priority="1" stopIfTrue="1">
      <formula>A1 &gt; 30</formula>
    </cfRule>
  </conditionalFormatting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tabColor rgb="FF00B0F0"/>
    <pageSetUpPr fitToPage="1"/>
  </sheetPr>
  <dimension ref="A1:T95"/>
  <sheetViews>
    <sheetView topLeftCell="A66" zoomScale="80" zoomScaleNormal="80" workbookViewId="0">
      <selection activeCell="J79" sqref="J79"/>
    </sheetView>
  </sheetViews>
  <sheetFormatPr defaultColWidth="9.140625" defaultRowHeight="15"/>
  <cols>
    <col min="1" max="1" width="9.140625" style="1"/>
    <col min="2" max="2" width="61.140625" customWidth="1"/>
    <col min="3" max="3" width="17.7109375" bestFit="1" customWidth="1"/>
    <col min="4" max="4" width="18.28515625" bestFit="1" customWidth="1"/>
    <col min="5" max="5" width="18.28515625" customWidth="1"/>
    <col min="6" max="6" width="18.28515625" bestFit="1" customWidth="1"/>
    <col min="8" max="8" width="16.42578125" customWidth="1"/>
    <col min="9" max="9" width="12.140625" customWidth="1"/>
    <col min="10" max="10" width="13.85546875" customWidth="1"/>
    <col min="11" max="11" width="15.42578125" customWidth="1"/>
    <col min="12" max="15" width="13.85546875" customWidth="1"/>
    <col min="16" max="16" width="15.42578125" customWidth="1"/>
    <col min="17" max="17" width="13.85546875" customWidth="1"/>
    <col min="18" max="18" width="14.28515625" bestFit="1" customWidth="1"/>
    <col min="19" max="19" width="6.28515625" customWidth="1"/>
    <col min="20" max="20" width="5.28515625" bestFit="1" customWidth="1"/>
  </cols>
  <sheetData>
    <row r="1" spans="1:20">
      <c r="B1" s="249" t="s">
        <v>156</v>
      </c>
    </row>
    <row r="2" spans="1:20">
      <c r="A2" s="138"/>
      <c r="B2" s="184" t="s">
        <v>620</v>
      </c>
      <c r="J2" s="279" t="s">
        <v>607</v>
      </c>
      <c r="K2" s="276">
        <f>SUM(K18:K29)</f>
        <v>148211928.95702821</v>
      </c>
      <c r="O2" s="279" t="s">
        <v>607</v>
      </c>
      <c r="P2" s="276">
        <f>SUM(P18:P29)</f>
        <v>76823689.872071147</v>
      </c>
    </row>
    <row r="3" spans="1:20">
      <c r="A3" s="139"/>
      <c r="J3" s="279" t="s">
        <v>606</v>
      </c>
      <c r="K3" s="276">
        <f>AVERAGE(SUM(K6:K17),SUM(K18:K29),SUM(K30:K41))</f>
        <v>148772333.23649141</v>
      </c>
      <c r="O3" s="279" t="s">
        <v>606</v>
      </c>
      <c r="P3" s="276">
        <f>AVERAGE(SUM(P6:P17),SUM(P18:P29),SUM(P30:P41))</f>
        <v>73880201.1729763</v>
      </c>
    </row>
    <row r="5" spans="1:20" ht="45.75" thickBot="1">
      <c r="B5" s="250" t="s">
        <v>157</v>
      </c>
      <c r="C5" s="218">
        <v>2026</v>
      </c>
      <c r="D5" s="218">
        <v>2027</v>
      </c>
      <c r="E5" s="218">
        <v>2028</v>
      </c>
      <c r="F5" s="219" t="s">
        <v>541</v>
      </c>
      <c r="H5" s="140"/>
      <c r="I5" s="141" t="s">
        <v>201</v>
      </c>
      <c r="J5" s="141" t="s">
        <v>202</v>
      </c>
      <c r="K5" s="141" t="s">
        <v>203</v>
      </c>
      <c r="L5" s="141" t="s">
        <v>204</v>
      </c>
      <c r="M5" s="141" t="s">
        <v>205</v>
      </c>
      <c r="N5" s="141" t="s">
        <v>206</v>
      </c>
      <c r="O5" s="141" t="s">
        <v>207</v>
      </c>
      <c r="P5" s="141" t="s">
        <v>208</v>
      </c>
      <c r="Q5" s="141" t="s">
        <v>265</v>
      </c>
      <c r="R5" s="141" t="s">
        <v>266</v>
      </c>
      <c r="S5" s="141" t="s">
        <v>143</v>
      </c>
      <c r="T5" s="141" t="s">
        <v>144</v>
      </c>
    </row>
    <row r="6" spans="1:20" ht="15.75" thickTop="1">
      <c r="B6" s="136" t="s">
        <v>159</v>
      </c>
      <c r="C6" s="220">
        <v>2948888.8185452898</v>
      </c>
      <c r="D6" s="220">
        <v>3075945.6427132185</v>
      </c>
      <c r="E6" s="220">
        <v>3256103.6376311909</v>
      </c>
      <c r="F6" s="220">
        <v>9280938.0988896992</v>
      </c>
      <c r="H6" s="142">
        <v>45931</v>
      </c>
      <c r="I6" s="143">
        <v>753867.43287037022</v>
      </c>
      <c r="J6" s="144">
        <v>13.81</v>
      </c>
      <c r="K6" s="145">
        <v>10410909.247939814</v>
      </c>
      <c r="L6" s="143">
        <v>301810.89518598438</v>
      </c>
      <c r="M6" s="143">
        <v>158182.9335109086</v>
      </c>
      <c r="N6" s="144">
        <v>50.63</v>
      </c>
      <c r="O6" s="144">
        <v>48.85</v>
      </c>
      <c r="P6" s="146">
        <v>23007921.925274275</v>
      </c>
      <c r="Q6" s="143">
        <v>2586042.7327974467</v>
      </c>
      <c r="R6" s="143">
        <v>1564244.8758799599</v>
      </c>
      <c r="S6" s="184">
        <f>VLOOKUP($H6,Init!$C$5:$H$232, 2,FALSE)</f>
        <v>432</v>
      </c>
      <c r="T6" s="184">
        <f>VLOOKUP($H6,Init!$C$5:$H$232, 3,FALSE)</f>
        <v>312</v>
      </c>
    </row>
    <row r="7" spans="1:20">
      <c r="B7" s="136" t="s">
        <v>160</v>
      </c>
      <c r="C7" s="220">
        <v>183836.46568886537</v>
      </c>
      <c r="D7" s="220">
        <v>163104.31448507376</v>
      </c>
      <c r="E7" s="220">
        <v>179191.44235820282</v>
      </c>
      <c r="F7" s="220">
        <v>526132.22253214195</v>
      </c>
      <c r="H7" s="142">
        <v>45962</v>
      </c>
      <c r="I7" s="143">
        <v>706916.26822916674</v>
      </c>
      <c r="J7" s="144">
        <v>10.78</v>
      </c>
      <c r="K7" s="145">
        <v>7620557.3715104172</v>
      </c>
      <c r="L7" s="143">
        <v>-51491.010767532527</v>
      </c>
      <c r="M7" s="143">
        <v>156660.24085994111</v>
      </c>
      <c r="N7" s="144">
        <v>39.53</v>
      </c>
      <c r="O7" s="144">
        <v>41.64</v>
      </c>
      <c r="P7" s="146">
        <v>4487892.7737673866</v>
      </c>
      <c r="Q7" s="143">
        <v>3205599.2049867674</v>
      </c>
      <c r="R7" s="143">
        <v>2100406.9081095234</v>
      </c>
      <c r="S7" s="184">
        <f>VLOOKUP($H7,Init!$C$5:$H$232, 2,FALSE)</f>
        <v>384</v>
      </c>
      <c r="T7" s="184">
        <f>VLOOKUP($H7,Init!$C$5:$H$232, 3,FALSE)</f>
        <v>337</v>
      </c>
    </row>
    <row r="8" spans="1:20">
      <c r="B8" s="136" t="s">
        <v>161</v>
      </c>
      <c r="C8" s="220">
        <v>0</v>
      </c>
      <c r="D8" s="220">
        <v>0</v>
      </c>
      <c r="E8" s="220">
        <v>0</v>
      </c>
      <c r="F8" s="220">
        <v>0</v>
      </c>
      <c r="H8" s="142">
        <v>45992</v>
      </c>
      <c r="I8" s="143">
        <v>1322782.2379807695</v>
      </c>
      <c r="J8" s="144">
        <v>12.99</v>
      </c>
      <c r="K8" s="145">
        <v>17182941.271370195</v>
      </c>
      <c r="L8" s="143">
        <v>55249.524036993913</v>
      </c>
      <c r="M8" s="143">
        <v>389854.37936788489</v>
      </c>
      <c r="N8" s="144">
        <v>47.63</v>
      </c>
      <c r="O8" s="144">
        <v>48.79</v>
      </c>
      <c r="P8" s="146">
        <v>21652529.999241121</v>
      </c>
      <c r="Q8" s="143">
        <v>3866898.5267605167</v>
      </c>
      <c r="R8" s="143">
        <v>2165586.6456434899</v>
      </c>
      <c r="S8" s="184">
        <f>VLOOKUP($H8,Init!$C$5:$H$232, 2,FALSE)</f>
        <v>416</v>
      </c>
      <c r="T8" s="184">
        <f>VLOOKUP($H8,Init!$C$5:$H$232, 3,FALSE)</f>
        <v>328</v>
      </c>
    </row>
    <row r="9" spans="1:20">
      <c r="B9" s="251" t="s">
        <v>162</v>
      </c>
      <c r="C9" s="222">
        <v>330253.99529654172</v>
      </c>
      <c r="D9" s="222">
        <v>341848.73068574234</v>
      </c>
      <c r="E9" s="222">
        <v>367495.1978215804</v>
      </c>
      <c r="F9" s="222">
        <v>1039597.9238038645</v>
      </c>
      <c r="H9" s="142">
        <v>46023</v>
      </c>
      <c r="I9" s="143">
        <v>1370293.4134615385</v>
      </c>
      <c r="J9" s="144">
        <v>11.88</v>
      </c>
      <c r="K9" s="145">
        <v>16279085.751923079</v>
      </c>
      <c r="L9" s="143">
        <v>-25454.05707582401</v>
      </c>
      <c r="M9" s="143">
        <v>257586.94288635848</v>
      </c>
      <c r="N9" s="144">
        <v>43.56</v>
      </c>
      <c r="O9" s="144">
        <v>43.8</v>
      </c>
      <c r="P9" s="146">
        <v>10173529.372199608</v>
      </c>
      <c r="Q9" s="143">
        <v>4011749.2888920135</v>
      </c>
      <c r="R9" s="143">
        <v>2352993.4570625699</v>
      </c>
      <c r="S9" s="184">
        <f>VLOOKUP($H9,Init!$C$5:$H$232, 2,FALSE)</f>
        <v>416</v>
      </c>
      <c r="T9" s="184">
        <f>VLOOKUP($H9,Init!$C$5:$H$232, 3,FALSE)</f>
        <v>328</v>
      </c>
    </row>
    <row r="10" spans="1:20">
      <c r="B10" s="223" t="s">
        <v>163</v>
      </c>
      <c r="C10" s="224">
        <v>3462979.279530697</v>
      </c>
      <c r="D10" s="224">
        <v>3580898.6878840346</v>
      </c>
      <c r="E10" s="224">
        <v>3802790.277810974</v>
      </c>
      <c r="F10" s="224">
        <v>10846668.245225705</v>
      </c>
      <c r="H10" s="142">
        <v>46054</v>
      </c>
      <c r="I10" s="143">
        <v>1094310.4374999998</v>
      </c>
      <c r="J10" s="144">
        <v>12.39</v>
      </c>
      <c r="K10" s="145">
        <v>13558506.320624998</v>
      </c>
      <c r="L10" s="143">
        <v>149330.01447183415</v>
      </c>
      <c r="M10" s="143">
        <v>313746.96531131363</v>
      </c>
      <c r="N10" s="144">
        <v>45.43</v>
      </c>
      <c r="O10" s="144">
        <v>49.18</v>
      </c>
      <c r="P10" s="146">
        <v>22214138.31146583</v>
      </c>
      <c r="Q10" s="143">
        <v>3227640.8603203166</v>
      </c>
      <c r="R10" s="143">
        <v>1844484.6682159002</v>
      </c>
      <c r="S10" s="184">
        <f>VLOOKUP($H10,Init!$C$5:$H$232, 2,FALSE)</f>
        <v>384</v>
      </c>
      <c r="T10" s="184">
        <f>VLOOKUP($H10,Init!$C$5:$H$232, 3,FALSE)</f>
        <v>288</v>
      </c>
    </row>
    <row r="11" spans="1:20">
      <c r="B11" s="225"/>
      <c r="C11" s="226"/>
      <c r="D11" s="226"/>
      <c r="E11" s="226"/>
      <c r="F11" s="226"/>
      <c r="H11" s="142">
        <v>46082</v>
      </c>
      <c r="I11" s="143">
        <v>1242029.637019231</v>
      </c>
      <c r="J11" s="144">
        <v>7.97</v>
      </c>
      <c r="K11" s="145">
        <v>9898976.2070432715</v>
      </c>
      <c r="L11" s="143">
        <v>-171562.33145531846</v>
      </c>
      <c r="M11" s="143">
        <v>278770.42413275427</v>
      </c>
      <c r="N11" s="144">
        <v>29.19</v>
      </c>
      <c r="O11" s="144">
        <v>34.54</v>
      </c>
      <c r="P11" s="146">
        <v>4620825.9943645867</v>
      </c>
      <c r="Q11" s="143">
        <v>3606210.2935311631</v>
      </c>
      <c r="R11" s="143">
        <v>1938664.4992852733</v>
      </c>
      <c r="S11" s="184">
        <f>VLOOKUP($H11,Init!$C$5:$H$232, 2,FALSE)</f>
        <v>416</v>
      </c>
      <c r="T11" s="184">
        <f>VLOOKUP($H11,Init!$C$5:$H$232, 3,FALSE)</f>
        <v>327</v>
      </c>
    </row>
    <row r="12" spans="1:20" ht="15.75" thickBot="1">
      <c r="B12" s="250" t="s">
        <v>164</v>
      </c>
      <c r="C12" s="227"/>
      <c r="D12" s="228"/>
      <c r="E12" s="228"/>
      <c r="F12" s="227"/>
      <c r="H12" s="142">
        <v>46113</v>
      </c>
      <c r="I12" s="143">
        <v>1123925.0937500005</v>
      </c>
      <c r="J12" s="144">
        <v>6.09</v>
      </c>
      <c r="K12" s="145">
        <v>6844703.8209375031</v>
      </c>
      <c r="L12" s="143">
        <v>210072.98828927116</v>
      </c>
      <c r="M12" s="143">
        <v>100189.03505855985</v>
      </c>
      <c r="N12" s="144">
        <v>22.33</v>
      </c>
      <c r="O12" s="144">
        <v>27.09</v>
      </c>
      <c r="P12" s="146">
        <v>7405050.7882358106</v>
      </c>
      <c r="Q12" s="143">
        <v>2645914.0483332737</v>
      </c>
      <c r="R12" s="143">
        <v>1651419.6923944803</v>
      </c>
      <c r="S12" s="184">
        <f>VLOOKUP($H12,Init!$C$5:$H$232, 2,FALSE)</f>
        <v>416</v>
      </c>
      <c r="T12" s="184">
        <f>VLOOKUP($H12,Init!$C$5:$H$232, 3,FALSE)</f>
        <v>304</v>
      </c>
    </row>
    <row r="13" spans="1:20" ht="15.75" thickTop="1">
      <c r="B13" s="225"/>
      <c r="C13" s="225"/>
      <c r="D13" s="225"/>
      <c r="E13" s="225"/>
      <c r="F13" s="225"/>
      <c r="H13" s="142">
        <v>46143</v>
      </c>
      <c r="I13" s="143">
        <v>652754.55500000005</v>
      </c>
      <c r="J13" s="144">
        <v>2.35</v>
      </c>
      <c r="K13" s="145">
        <v>1533973.2042500002</v>
      </c>
      <c r="L13" s="143">
        <v>-669781.90907868324</v>
      </c>
      <c r="M13" s="143">
        <v>-319842.18691169505</v>
      </c>
      <c r="N13" s="144">
        <v>8.6</v>
      </c>
      <c r="O13" s="144">
        <v>12.73</v>
      </c>
      <c r="P13" s="146">
        <v>-9831715.4574625529</v>
      </c>
      <c r="Q13" s="143">
        <v>3367621.4369863905</v>
      </c>
      <c r="R13" s="143">
        <v>2193835.9896132168</v>
      </c>
      <c r="S13" s="184">
        <f>VLOOKUP($H13,Init!$C$5:$H$232, 2,FALSE)</f>
        <v>400</v>
      </c>
      <c r="T13" s="184">
        <f>VLOOKUP($H13,Init!$C$5:$H$232, 3,FALSE)</f>
        <v>344</v>
      </c>
    </row>
    <row r="14" spans="1:20" ht="15.75" thickBot="1">
      <c r="B14" s="252" t="s">
        <v>165</v>
      </c>
      <c r="C14" s="230">
        <v>2026</v>
      </c>
      <c r="D14" s="230">
        <v>2027</v>
      </c>
      <c r="E14" s="230">
        <v>2028</v>
      </c>
      <c r="F14" s="231" t="s">
        <v>541</v>
      </c>
      <c r="H14" s="142">
        <v>46174</v>
      </c>
      <c r="I14" s="143">
        <v>1157403.9591346155</v>
      </c>
      <c r="J14" s="144">
        <v>4.12</v>
      </c>
      <c r="K14" s="145">
        <v>4768504.311634616</v>
      </c>
      <c r="L14" s="143">
        <v>-860979.50123290368</v>
      </c>
      <c r="M14" s="143">
        <v>-333984.53151432908</v>
      </c>
      <c r="N14" s="144">
        <v>15.1</v>
      </c>
      <c r="O14" s="144">
        <v>16.079999999999998</v>
      </c>
      <c r="P14" s="146">
        <v>-18371261.735367257</v>
      </c>
      <c r="Q14" s="143">
        <v>3702040.9558570273</v>
      </c>
      <c r="R14" s="143">
        <v>1978169.776198697</v>
      </c>
      <c r="S14" s="184">
        <f>VLOOKUP($H14,Init!$C$5:$H$232, 2,FALSE)</f>
        <v>416</v>
      </c>
      <c r="T14" s="184">
        <f>VLOOKUP($H14,Init!$C$5:$H$232, 3,FALSE)</f>
        <v>304</v>
      </c>
    </row>
    <row r="15" spans="1:20" ht="15.75" thickTop="1">
      <c r="B15" s="131" t="s">
        <v>166</v>
      </c>
      <c r="C15" s="256">
        <v>-4469.1767999999993</v>
      </c>
      <c r="D15" s="256">
        <v>-4469.1767999999993</v>
      </c>
      <c r="E15" s="256">
        <v>-4481.42112</v>
      </c>
      <c r="F15" s="256">
        <v>-13419.774719999998</v>
      </c>
      <c r="H15" s="142">
        <v>46204</v>
      </c>
      <c r="I15" s="143">
        <v>1221946.7932692308</v>
      </c>
      <c r="J15" s="144">
        <v>13.91</v>
      </c>
      <c r="K15" s="145">
        <v>16997279.894375</v>
      </c>
      <c r="L15" s="143">
        <v>-117807.24019720069</v>
      </c>
      <c r="M15" s="143">
        <v>66863.001832250578</v>
      </c>
      <c r="N15" s="144">
        <v>50.98</v>
      </c>
      <c r="O15" s="144">
        <v>48.06</v>
      </c>
      <c r="P15" s="146">
        <v>-2792377.2371953283</v>
      </c>
      <c r="Q15" s="143">
        <v>3203673.8964135773</v>
      </c>
      <c r="R15" s="143">
        <v>1852204.9066216133</v>
      </c>
      <c r="S15" s="184">
        <f>VLOOKUP($H15,Init!$C$5:$H$232, 2,FALSE)</f>
        <v>416</v>
      </c>
      <c r="T15" s="184">
        <f>VLOOKUP($H15,Init!$C$5:$H$232, 3,FALSE)</f>
        <v>328</v>
      </c>
    </row>
    <row r="16" spans="1:20">
      <c r="B16" s="131" t="s">
        <v>167</v>
      </c>
      <c r="C16" s="256">
        <v>0</v>
      </c>
      <c r="D16" s="256">
        <v>0</v>
      </c>
      <c r="E16" s="256">
        <v>0</v>
      </c>
      <c r="F16" s="256">
        <v>0</v>
      </c>
      <c r="H16" s="142">
        <v>46235</v>
      </c>
      <c r="I16" s="143">
        <v>1447093.7187500002</v>
      </c>
      <c r="J16" s="144">
        <v>14.67</v>
      </c>
      <c r="K16" s="145">
        <v>21228864.854062505</v>
      </c>
      <c r="L16" s="143">
        <v>-348485.58977749717</v>
      </c>
      <c r="M16" s="143">
        <v>132517.84937000702</v>
      </c>
      <c r="N16" s="144">
        <v>53.8</v>
      </c>
      <c r="O16" s="144">
        <v>50.32</v>
      </c>
      <c r="P16" s="146">
        <v>-12080226.549730595</v>
      </c>
      <c r="Q16" s="143">
        <v>3447466.6903892402</v>
      </c>
      <c r="R16" s="143">
        <v>1738937.7437041651</v>
      </c>
      <c r="S16" s="184">
        <f>VLOOKUP($H16,Init!$C$5:$H$232, 2,FALSE)</f>
        <v>416</v>
      </c>
      <c r="T16" s="184">
        <f>VLOOKUP($H16,Init!$C$5:$H$232, 3,FALSE)</f>
        <v>328</v>
      </c>
    </row>
    <row r="17" spans="1:20">
      <c r="A17"/>
      <c r="B17" s="131" t="s">
        <v>168</v>
      </c>
      <c r="C17" s="256">
        <v>-7433.2916046700611</v>
      </c>
      <c r="D17" s="256">
        <v>-19855.259571351686</v>
      </c>
      <c r="E17" s="256">
        <v>-27984.871640787434</v>
      </c>
      <c r="F17" s="256">
        <v>-55273.422816809179</v>
      </c>
      <c r="H17" s="142">
        <v>46266</v>
      </c>
      <c r="I17" s="155">
        <v>927509.43250000034</v>
      </c>
      <c r="J17" s="271">
        <v>16.510000000000002</v>
      </c>
      <c r="K17" s="160">
        <v>15313180.730575006</v>
      </c>
      <c r="L17" s="155">
        <v>171839.60891481521</v>
      </c>
      <c r="M17" s="155">
        <v>189784.53011421539</v>
      </c>
      <c r="N17" s="271">
        <v>60.51</v>
      </c>
      <c r="O17" s="271">
        <v>59.06</v>
      </c>
      <c r="P17" s="146">
        <v>21606689.08398103</v>
      </c>
      <c r="Q17" s="155">
        <v>2507044.4916808102</v>
      </c>
      <c r="R17" s="155">
        <v>1520820.2539675634</v>
      </c>
      <c r="S17" s="184">
        <f>VLOOKUP($H17,Init!$C$5:$H$232, 2,FALSE)</f>
        <v>400</v>
      </c>
      <c r="T17" s="184">
        <f>VLOOKUP($H17,Init!$C$5:$H$232, 3,FALSE)</f>
        <v>320</v>
      </c>
    </row>
    <row r="18" spans="1:20">
      <c r="A18"/>
      <c r="B18" s="131" t="s">
        <v>169</v>
      </c>
      <c r="C18" s="256">
        <v>0</v>
      </c>
      <c r="D18" s="256">
        <v>0</v>
      </c>
      <c r="E18" s="256">
        <v>0</v>
      </c>
      <c r="F18" s="256">
        <v>0</v>
      </c>
      <c r="H18" s="142">
        <v>46296</v>
      </c>
      <c r="I18" s="155">
        <v>785365.50231481495</v>
      </c>
      <c r="J18" s="271">
        <v>13.81</v>
      </c>
      <c r="K18" s="160">
        <v>10845897.586967595</v>
      </c>
      <c r="L18" s="155">
        <v>311575.85490548448</v>
      </c>
      <c r="M18" s="155">
        <v>153036.07538159873</v>
      </c>
      <c r="N18" s="271">
        <v>50.63</v>
      </c>
      <c r="O18" s="271">
        <v>48.85</v>
      </c>
      <c r="P18" s="146">
        <v>23250897.816255778</v>
      </c>
      <c r="Q18" s="155">
        <v>2586042.7327974467</v>
      </c>
      <c r="R18" s="155">
        <v>1564244.8758799599</v>
      </c>
      <c r="S18" s="184">
        <f>VLOOKUP($H18,Init!$C$5:$H$232, 2,FALSE)</f>
        <v>432</v>
      </c>
      <c r="T18" s="184">
        <f>VLOOKUP($H18,Init!$C$5:$H$232, 3,FALSE)</f>
        <v>312</v>
      </c>
    </row>
    <row r="19" spans="1:20">
      <c r="A19"/>
      <c r="B19" s="131" t="s">
        <v>170</v>
      </c>
      <c r="C19" s="256">
        <v>-900</v>
      </c>
      <c r="D19" s="256">
        <v>-898</v>
      </c>
      <c r="E19" s="256">
        <v>-898</v>
      </c>
      <c r="F19" s="256">
        <v>-2696</v>
      </c>
      <c r="H19" s="142">
        <v>46327</v>
      </c>
      <c r="I19" s="155">
        <v>777265.05989583337</v>
      </c>
      <c r="J19" s="271">
        <v>10.78</v>
      </c>
      <c r="K19" s="160">
        <v>8378917.3456770834</v>
      </c>
      <c r="L19" s="155">
        <v>-44689.63783447069</v>
      </c>
      <c r="M19" s="155">
        <v>172041.39950190324</v>
      </c>
      <c r="N19" s="271">
        <v>39.53</v>
      </c>
      <c r="O19" s="271">
        <v>41.64</v>
      </c>
      <c r="P19" s="146">
        <v>5397222.4916626252</v>
      </c>
      <c r="Q19" s="155">
        <v>3205599.2049867674</v>
      </c>
      <c r="R19" s="155">
        <v>2100406.9081095234</v>
      </c>
      <c r="S19" s="184">
        <f>VLOOKUP($H19,Init!$C$5:$H$232, 2,FALSE)</f>
        <v>384</v>
      </c>
      <c r="T19" s="184">
        <f>VLOOKUP($H19,Init!$C$5:$H$232, 3,FALSE)</f>
        <v>337</v>
      </c>
    </row>
    <row r="20" spans="1:20">
      <c r="A20"/>
      <c r="B20" s="131" t="s">
        <v>171</v>
      </c>
      <c r="C20" s="256">
        <v>-532473.70854071795</v>
      </c>
      <c r="D20" s="256">
        <v>-444156.82089541643</v>
      </c>
      <c r="E20" s="256">
        <v>-491124.72750868741</v>
      </c>
      <c r="F20" s="256">
        <v>-1467755.2569448217</v>
      </c>
      <c r="H20" s="142">
        <v>46357</v>
      </c>
      <c r="I20" s="155">
        <v>1361648.834134615</v>
      </c>
      <c r="J20" s="271">
        <v>12.99</v>
      </c>
      <c r="K20" s="160">
        <v>17687818.35540865</v>
      </c>
      <c r="L20" s="155">
        <v>74690.330842699739</v>
      </c>
      <c r="M20" s="155">
        <v>392573.41464041721</v>
      </c>
      <c r="N20" s="271">
        <v>47.63</v>
      </c>
      <c r="O20" s="271">
        <v>48.79</v>
      </c>
      <c r="P20" s="146">
        <v>22711157.358343747</v>
      </c>
      <c r="Q20" s="155">
        <v>3866898.5267605167</v>
      </c>
      <c r="R20" s="155">
        <v>2165586.6456434899</v>
      </c>
      <c r="S20" s="184">
        <f>VLOOKUP($H20,Init!$C$5:$H$232, 2,FALSE)</f>
        <v>416</v>
      </c>
      <c r="T20" s="184">
        <f>VLOOKUP($H20,Init!$C$5:$H$232, 3,FALSE)</f>
        <v>328</v>
      </c>
    </row>
    <row r="21" spans="1:20">
      <c r="A21"/>
      <c r="B21" s="131" t="s">
        <v>236</v>
      </c>
      <c r="C21" s="256">
        <v>-3850.2465219999999</v>
      </c>
      <c r="D21" s="256">
        <v>-4658.0032000000001</v>
      </c>
      <c r="E21" s="256">
        <v>-5668.2410499999996</v>
      </c>
      <c r="F21" s="256">
        <v>-14176.490772000001</v>
      </c>
      <c r="H21" s="142">
        <v>46388</v>
      </c>
      <c r="I21" s="155">
        <v>1407518.1074999999</v>
      </c>
      <c r="J21" s="271">
        <v>11.88</v>
      </c>
      <c r="K21" s="160">
        <v>16721315.1171</v>
      </c>
      <c r="L21" s="155">
        <v>-105543.28700973876</v>
      </c>
      <c r="M21" s="155">
        <v>356225.54422860278</v>
      </c>
      <c r="N21" s="271">
        <v>43.56</v>
      </c>
      <c r="O21" s="271">
        <v>43.8</v>
      </c>
      <c r="P21" s="146">
        <v>11005213.255068582</v>
      </c>
      <c r="Q21" s="155">
        <v>4011749.2888920135</v>
      </c>
      <c r="R21" s="155">
        <v>2352993.4570625699</v>
      </c>
      <c r="S21" s="184">
        <f>VLOOKUP($H21,Init!$C$5:$H$232, 2,FALSE)</f>
        <v>400</v>
      </c>
      <c r="T21" s="184">
        <f>VLOOKUP($H21,Init!$C$5:$H$232, 3,FALSE)</f>
        <v>344</v>
      </c>
    </row>
    <row r="22" spans="1:20">
      <c r="A22"/>
      <c r="B22" s="131" t="s">
        <v>172</v>
      </c>
      <c r="C22" s="256"/>
      <c r="D22" s="256"/>
      <c r="E22" s="256"/>
      <c r="F22" s="256"/>
      <c r="H22" s="142">
        <v>46419</v>
      </c>
      <c r="I22" s="155">
        <v>1152968.955729167</v>
      </c>
      <c r="J22" s="271">
        <v>12.39</v>
      </c>
      <c r="K22" s="160">
        <v>14285285.361484379</v>
      </c>
      <c r="L22" s="155">
        <v>160159.85898822622</v>
      </c>
      <c r="M22" s="155">
        <v>322028.37127990153</v>
      </c>
      <c r="N22" s="271">
        <v>45.43</v>
      </c>
      <c r="O22" s="271">
        <v>49.18</v>
      </c>
      <c r="P22" s="146">
        <v>23113417.693380676</v>
      </c>
      <c r="Q22" s="155">
        <v>3227640.8603203166</v>
      </c>
      <c r="R22" s="155">
        <v>1844484.6682159002</v>
      </c>
      <c r="S22" s="184">
        <f>VLOOKUP($H22,Init!$C$5:$H$232, 2,FALSE)</f>
        <v>384</v>
      </c>
      <c r="T22" s="184">
        <f>VLOOKUP($H22,Init!$C$5:$H$232, 3,FALSE)</f>
        <v>288</v>
      </c>
    </row>
    <row r="23" spans="1:20">
      <c r="A23"/>
      <c r="B23" s="131" t="s">
        <v>542</v>
      </c>
      <c r="C23" s="256">
        <v>-44920.951972602699</v>
      </c>
      <c r="D23" s="256">
        <v>-44920.951972602699</v>
      </c>
      <c r="E23" s="256">
        <v>-44920.951972602699</v>
      </c>
      <c r="F23" s="256">
        <v>-134762.85591780811</v>
      </c>
      <c r="H23" s="142">
        <v>46447</v>
      </c>
      <c r="I23" s="155">
        <v>1337722.3217592586</v>
      </c>
      <c r="J23" s="271">
        <v>7.97</v>
      </c>
      <c r="K23" s="160">
        <v>10661646.90442129</v>
      </c>
      <c r="L23" s="155">
        <v>-76076.625267985859</v>
      </c>
      <c r="M23" s="155">
        <v>198223.82306296023</v>
      </c>
      <c r="N23" s="271">
        <v>29.19</v>
      </c>
      <c r="O23" s="271">
        <v>34.54</v>
      </c>
      <c r="P23" s="146">
        <v>4625974.1570221391</v>
      </c>
      <c r="Q23" s="155">
        <v>3606210.2935311631</v>
      </c>
      <c r="R23" s="155">
        <v>1938664.4992852733</v>
      </c>
      <c r="S23" s="184">
        <f>VLOOKUP($H23,Init!$C$5:$H$232, 2,FALSE)</f>
        <v>432</v>
      </c>
      <c r="T23" s="184">
        <f>VLOOKUP($H23,Init!$C$5:$H$232, 3,FALSE)</f>
        <v>311</v>
      </c>
    </row>
    <row r="24" spans="1:20">
      <c r="A24"/>
      <c r="B24" s="253" t="s">
        <v>173</v>
      </c>
      <c r="C24" s="256">
        <v>-90763.557292496247</v>
      </c>
      <c r="D24" s="256">
        <v>-73915.396105175998</v>
      </c>
      <c r="E24" s="256">
        <v>-59710.337666461528</v>
      </c>
      <c r="F24" s="256">
        <v>-224389.29106413378</v>
      </c>
      <c r="H24" s="142">
        <v>46478</v>
      </c>
      <c r="I24" s="155">
        <v>1189464.341346154</v>
      </c>
      <c r="J24" s="271">
        <v>6.09</v>
      </c>
      <c r="K24" s="160">
        <v>7243837.8387980778</v>
      </c>
      <c r="L24" s="155">
        <v>217531.46346976561</v>
      </c>
      <c r="M24" s="155">
        <v>98622.142996941227</v>
      </c>
      <c r="N24" s="271">
        <v>22.33</v>
      </c>
      <c r="O24" s="271">
        <v>27.09</v>
      </c>
      <c r="P24" s="146">
        <v>7529151.4330670033</v>
      </c>
      <c r="Q24" s="155">
        <v>2645914.0483332737</v>
      </c>
      <c r="R24" s="155">
        <v>1651419.6923944803</v>
      </c>
      <c r="S24" s="184">
        <f>VLOOKUP($H24,Init!$C$5:$H$232, 2,FALSE)</f>
        <v>416</v>
      </c>
      <c r="T24" s="184">
        <f>VLOOKUP($H24,Init!$C$5:$H$232, 3,FALSE)</f>
        <v>304</v>
      </c>
    </row>
    <row r="25" spans="1:20">
      <c r="A25"/>
      <c r="B25" s="253" t="s">
        <v>174</v>
      </c>
      <c r="C25" s="256">
        <v>-834.04999787577572</v>
      </c>
      <c r="D25" s="256">
        <v>-3377.6704164059465</v>
      </c>
      <c r="E25" s="256">
        <v>-685.32040715376536</v>
      </c>
      <c r="F25" s="256">
        <v>-4897.0408214354884</v>
      </c>
      <c r="H25" s="142">
        <v>46508</v>
      </c>
      <c r="I25" s="155">
        <v>707390.35249999957</v>
      </c>
      <c r="J25" s="271">
        <v>2.35</v>
      </c>
      <c r="K25" s="160">
        <v>1662367.3283749991</v>
      </c>
      <c r="L25" s="155">
        <v>-675756.84587675892</v>
      </c>
      <c r="M25" s="155">
        <v>-319146.62891738769</v>
      </c>
      <c r="N25" s="271">
        <v>8.6</v>
      </c>
      <c r="O25" s="271">
        <v>12.73</v>
      </c>
      <c r="P25" s="146">
        <v>-9874245.460658472</v>
      </c>
      <c r="Q25" s="155">
        <v>3367621.4369863905</v>
      </c>
      <c r="R25" s="155">
        <v>2193835.9896132168</v>
      </c>
      <c r="S25" s="184">
        <f>VLOOKUP($H25,Init!$C$5:$H$232, 2,FALSE)</f>
        <v>400</v>
      </c>
      <c r="T25" s="184">
        <f>VLOOKUP($H25,Init!$C$5:$H$232, 3,FALSE)</f>
        <v>344</v>
      </c>
    </row>
    <row r="26" spans="1:20">
      <c r="A26"/>
      <c r="B26" s="253" t="s">
        <v>175</v>
      </c>
      <c r="C26" s="256">
        <v>-1678</v>
      </c>
      <c r="D26" s="256">
        <v>-1678</v>
      </c>
      <c r="E26" s="256">
        <v>-1678</v>
      </c>
      <c r="F26" s="256">
        <v>-5034</v>
      </c>
      <c r="H26" s="142">
        <v>46539</v>
      </c>
      <c r="I26" s="155">
        <v>1188706.3870192305</v>
      </c>
      <c r="J26" s="271">
        <v>4.12</v>
      </c>
      <c r="K26" s="160">
        <v>4897470.3145192303</v>
      </c>
      <c r="L26" s="155">
        <v>-862558.01239009527</v>
      </c>
      <c r="M26" s="155">
        <v>-340883.59110640036</v>
      </c>
      <c r="N26" s="271">
        <v>15.1</v>
      </c>
      <c r="O26" s="271">
        <v>16.079999999999998</v>
      </c>
      <c r="P26" s="146">
        <v>-18506034.132081356</v>
      </c>
      <c r="Q26" s="155">
        <v>3702040.9558570273</v>
      </c>
      <c r="R26" s="155">
        <v>1978169.776198697</v>
      </c>
      <c r="S26" s="184">
        <f>VLOOKUP($H26,Init!$C$5:$H$232, 2,FALSE)</f>
        <v>416</v>
      </c>
      <c r="T26" s="184">
        <f>VLOOKUP($H26,Init!$C$5:$H$232, 3,FALSE)</f>
        <v>304</v>
      </c>
    </row>
    <row r="27" spans="1:20">
      <c r="A27"/>
      <c r="B27" s="253" t="s">
        <v>176</v>
      </c>
      <c r="C27" s="256">
        <v>-563.24966293727994</v>
      </c>
      <c r="D27" s="256">
        <v>-609.75556372511983</v>
      </c>
      <c r="E27" s="256">
        <v>-651.28298026752009</v>
      </c>
      <c r="F27" s="256">
        <v>-1824.2882069299199</v>
      </c>
      <c r="H27" s="142">
        <v>46569</v>
      </c>
      <c r="I27" s="155">
        <v>1246354.129807692</v>
      </c>
      <c r="J27" s="271">
        <v>13.91</v>
      </c>
      <c r="K27" s="160">
        <v>17336785.945624996</v>
      </c>
      <c r="L27" s="155">
        <v>-108820.53326190112</v>
      </c>
      <c r="M27" s="155">
        <v>60586.34532405599</v>
      </c>
      <c r="N27" s="271">
        <v>50.98</v>
      </c>
      <c r="O27" s="271">
        <v>48.06</v>
      </c>
      <c r="P27" s="146">
        <v>-2635891.0294175874</v>
      </c>
      <c r="Q27" s="155">
        <v>3203673.8964135773</v>
      </c>
      <c r="R27" s="155">
        <v>1852204.9066216133</v>
      </c>
      <c r="S27" s="184">
        <f>VLOOKUP($H27,Init!$C$5:$H$232, 2,FALSE)</f>
        <v>416</v>
      </c>
      <c r="T27" s="184">
        <f>VLOOKUP($H27,Init!$C$5:$H$232, 3,FALSE)</f>
        <v>328</v>
      </c>
    </row>
    <row r="28" spans="1:20">
      <c r="A28"/>
      <c r="B28" s="253" t="s">
        <v>177</v>
      </c>
      <c r="C28" s="256">
        <v>-8242.845377383881</v>
      </c>
      <c r="D28" s="256">
        <v>-9666.6719913963752</v>
      </c>
      <c r="E28" s="256">
        <v>-10487.915723710596</v>
      </c>
      <c r="F28" s="256">
        <v>-28397.43309249085</v>
      </c>
      <c r="H28" s="142">
        <v>46600</v>
      </c>
      <c r="I28" s="155">
        <v>1525150.5336538462</v>
      </c>
      <c r="J28" s="271">
        <v>14.67</v>
      </c>
      <c r="K28" s="160">
        <v>22373958.328701925</v>
      </c>
      <c r="L28" s="155">
        <v>-351457.51050671679</v>
      </c>
      <c r="M28" s="155">
        <v>138556.99109578031</v>
      </c>
      <c r="N28" s="271">
        <v>53.8</v>
      </c>
      <c r="O28" s="271">
        <v>50.32</v>
      </c>
      <c r="P28" s="146">
        <v>-11936226.273321699</v>
      </c>
      <c r="Q28" s="155">
        <v>3447466.6903892402</v>
      </c>
      <c r="R28" s="155">
        <v>1738937.7437041651</v>
      </c>
      <c r="S28" s="184">
        <f>VLOOKUP($H28,Init!$C$5:$H$232, 2,FALSE)</f>
        <v>416</v>
      </c>
      <c r="T28" s="184">
        <f>VLOOKUP($H28,Init!$C$5:$H$232, 3,FALSE)</f>
        <v>328</v>
      </c>
    </row>
    <row r="29" spans="1:20">
      <c r="A29"/>
      <c r="B29" s="254" t="s">
        <v>178</v>
      </c>
      <c r="C29" s="257">
        <v>-41096.643681842324</v>
      </c>
      <c r="D29" s="257">
        <v>-41395.817384881724</v>
      </c>
      <c r="E29" s="257">
        <v>-41574.150122996201</v>
      </c>
      <c r="F29" s="257">
        <v>-124066.61118972025</v>
      </c>
      <c r="H29" s="142">
        <v>46631</v>
      </c>
      <c r="I29" s="155">
        <v>976173.74500000034</v>
      </c>
      <c r="J29" s="271">
        <v>16.510000000000002</v>
      </c>
      <c r="K29" s="160">
        <v>16116628.529950008</v>
      </c>
      <c r="L29" s="155">
        <v>181634.39510402098</v>
      </c>
      <c r="M29" s="155">
        <v>188830.93997638708</v>
      </c>
      <c r="N29" s="271">
        <v>60.51</v>
      </c>
      <c r="O29" s="271">
        <v>59.06</v>
      </c>
      <c r="P29" s="146">
        <v>22143052.562749729</v>
      </c>
      <c r="Q29" s="155">
        <v>2507044.4916808102</v>
      </c>
      <c r="R29" s="155">
        <v>1520820.2539675634</v>
      </c>
      <c r="S29" s="184">
        <f>VLOOKUP($H29,Init!$C$5:$H$232, 2,FALSE)</f>
        <v>400</v>
      </c>
      <c r="T29" s="184">
        <f>VLOOKUP($H29,Init!$C$5:$H$232, 3,FALSE)</f>
        <v>320</v>
      </c>
    </row>
    <row r="30" spans="1:20">
      <c r="A30"/>
      <c r="B30" s="131" t="s">
        <v>179</v>
      </c>
      <c r="C30" s="256">
        <v>-737225.72145252617</v>
      </c>
      <c r="D30" s="256">
        <v>-649601.52390095592</v>
      </c>
      <c r="E30" s="256">
        <v>-689865.2201926671</v>
      </c>
      <c r="F30" s="256">
        <v>-2076692.4655461493</v>
      </c>
      <c r="H30" s="142">
        <v>46661</v>
      </c>
      <c r="I30" s="143">
        <v>861790.30769230786</v>
      </c>
      <c r="J30" s="144">
        <v>13.81</v>
      </c>
      <c r="K30" s="145">
        <v>11901324.149230773</v>
      </c>
      <c r="L30" s="143">
        <v>231085.02658356004</v>
      </c>
      <c r="M30" s="143">
        <v>249006.05836788763</v>
      </c>
      <c r="N30" s="144">
        <v>50.63</v>
      </c>
      <c r="O30" s="144">
        <v>48.85</v>
      </c>
      <c r="P30" s="150">
        <v>23863780.847196955</v>
      </c>
      <c r="Q30" s="143">
        <v>2586042.7327974467</v>
      </c>
      <c r="R30" s="143">
        <v>1564244.8758799599</v>
      </c>
      <c r="S30" s="184">
        <f>VLOOKUP($H30,Init!$C$5:$H$232, 2,FALSE)</f>
        <v>416</v>
      </c>
      <c r="T30" s="184">
        <f>VLOOKUP($H30,Init!$C$5:$H$232, 3,FALSE)</f>
        <v>328</v>
      </c>
    </row>
    <row r="31" spans="1:20">
      <c r="A31"/>
      <c r="B31" s="225"/>
      <c r="C31" s="226"/>
      <c r="D31" s="225"/>
      <c r="E31" s="225"/>
      <c r="F31" s="225"/>
      <c r="H31" s="142">
        <v>46692</v>
      </c>
      <c r="I31" s="143">
        <v>829623.44750000001</v>
      </c>
      <c r="J31" s="144">
        <v>10.78</v>
      </c>
      <c r="K31" s="145">
        <v>8943340.7640499994</v>
      </c>
      <c r="L31" s="143">
        <v>54023.385261092626</v>
      </c>
      <c r="M31" s="143">
        <v>78355.515496577893</v>
      </c>
      <c r="N31" s="144">
        <v>39.53</v>
      </c>
      <c r="O31" s="144">
        <v>41.64</v>
      </c>
      <c r="P31" s="150">
        <v>5398268.0846484955</v>
      </c>
      <c r="Q31" s="143">
        <v>3205599.2049867674</v>
      </c>
      <c r="R31" s="143">
        <v>2100406.9081095234</v>
      </c>
      <c r="S31" s="184">
        <f>VLOOKUP($H31,Init!$C$5:$H$232, 2,FALSE)</f>
        <v>400</v>
      </c>
      <c r="T31" s="184">
        <f>VLOOKUP($H31,Init!$C$5:$H$232, 3,FALSE)</f>
        <v>321</v>
      </c>
    </row>
    <row r="32" spans="1:20" ht="15.75" thickBot="1">
      <c r="A32"/>
      <c r="B32" s="252" t="s">
        <v>180</v>
      </c>
      <c r="C32" s="235">
        <v>2026</v>
      </c>
      <c r="D32" s="235">
        <v>2027</v>
      </c>
      <c r="E32" s="235">
        <v>2028</v>
      </c>
      <c r="F32" s="236" t="s">
        <v>541</v>
      </c>
      <c r="H32" s="142">
        <v>46722</v>
      </c>
      <c r="I32" s="143">
        <v>1398109.120192308</v>
      </c>
      <c r="J32" s="144">
        <v>12.99</v>
      </c>
      <c r="K32" s="145">
        <v>18161437.47129808</v>
      </c>
      <c r="L32" s="143">
        <v>85683.670668940962</v>
      </c>
      <c r="M32" s="143">
        <v>384143.80161418486</v>
      </c>
      <c r="N32" s="144">
        <v>47.63</v>
      </c>
      <c r="O32" s="144">
        <v>48.79</v>
      </c>
      <c r="P32" s="150">
        <v>22823489.314717736</v>
      </c>
      <c r="Q32" s="143">
        <v>3866898.5267605167</v>
      </c>
      <c r="R32" s="143">
        <v>2165586.6456434899</v>
      </c>
      <c r="S32" s="184">
        <f>VLOOKUP($H32,Init!$C$5:$H$232, 2,FALSE)</f>
        <v>416</v>
      </c>
      <c r="T32" s="184">
        <f>VLOOKUP($H32,Init!$C$5:$H$232, 3,FALSE)</f>
        <v>328</v>
      </c>
    </row>
    <row r="33" spans="1:20" ht="15.75" thickTop="1">
      <c r="A33"/>
      <c r="B33" s="131" t="s">
        <v>181</v>
      </c>
      <c r="C33" s="132">
        <v>22503.990346240003</v>
      </c>
      <c r="D33" s="132">
        <v>22503.990346240003</v>
      </c>
      <c r="E33" s="132">
        <v>22503.990346240003</v>
      </c>
      <c r="F33" s="132">
        <v>67511.971038720018</v>
      </c>
      <c r="H33" s="142">
        <v>46753</v>
      </c>
      <c r="I33" s="143">
        <v>1520317.9299999997</v>
      </c>
      <c r="J33" s="144">
        <v>11.88</v>
      </c>
      <c r="K33" s="145">
        <v>18061377.008399997</v>
      </c>
      <c r="L33" s="143">
        <v>-102604.42646970518</v>
      </c>
      <c r="M33" s="143">
        <v>355662.15385221958</v>
      </c>
      <c r="N33" s="144">
        <v>43.56</v>
      </c>
      <c r="O33" s="144">
        <v>43.8</v>
      </c>
      <c r="P33" s="150">
        <v>11108553.521706861</v>
      </c>
      <c r="Q33" s="143">
        <v>4011749.2888920135</v>
      </c>
      <c r="R33" s="143">
        <v>2352993.4570625699</v>
      </c>
      <c r="S33" s="184">
        <f>VLOOKUP($H33,Init!$C$5:$H$232, 2,FALSE)</f>
        <v>400</v>
      </c>
      <c r="T33" s="184">
        <f>VLOOKUP($H33,Init!$C$5:$H$232, 3,FALSE)</f>
        <v>344</v>
      </c>
    </row>
    <row r="34" spans="1:20">
      <c r="A34"/>
      <c r="B34" s="133" t="s">
        <v>182</v>
      </c>
      <c r="C34" s="134">
        <v>42805.17022592578</v>
      </c>
      <c r="D34" s="134">
        <v>43959.347395065633</v>
      </c>
      <c r="E34" s="134">
        <v>44496.22463448788</v>
      </c>
      <c r="F34" s="134">
        <v>131260.7422554793</v>
      </c>
      <c r="H34" s="142">
        <v>46784</v>
      </c>
      <c r="I34" s="143">
        <v>1227185.5349999997</v>
      </c>
      <c r="J34" s="144">
        <v>12.39</v>
      </c>
      <c r="K34" s="145">
        <v>15204828.778649997</v>
      </c>
      <c r="L34" s="143">
        <v>132893.45752647219</v>
      </c>
      <c r="M34" s="143">
        <v>289974.12844882696</v>
      </c>
      <c r="N34" s="144">
        <v>45.43</v>
      </c>
      <c r="O34" s="144">
        <v>49.18</v>
      </c>
      <c r="P34" s="150">
        <v>20298277.412540942</v>
      </c>
      <c r="Q34" s="143">
        <v>3341393.6923203166</v>
      </c>
      <c r="R34" s="143">
        <v>1901361.0842159002</v>
      </c>
      <c r="S34" s="184">
        <f>VLOOKUP($H34,Init!$C$5:$H$232, 2,FALSE)</f>
        <v>400</v>
      </c>
      <c r="T34" s="184">
        <f>VLOOKUP($H34,Init!$C$5:$H$232, 3,FALSE)</f>
        <v>296</v>
      </c>
    </row>
    <row r="35" spans="1:20">
      <c r="A35"/>
      <c r="B35" s="131" t="s">
        <v>179</v>
      </c>
      <c r="C35" s="132">
        <v>65309.160572165783</v>
      </c>
      <c r="D35" s="132">
        <v>66463.337741305644</v>
      </c>
      <c r="E35" s="132">
        <v>67000.214980727877</v>
      </c>
      <c r="F35" s="132">
        <v>198772.71329419932</v>
      </c>
      <c r="H35" s="142">
        <v>46813</v>
      </c>
      <c r="I35" s="143">
        <v>1434378.6435185187</v>
      </c>
      <c r="J35" s="144">
        <v>7.97</v>
      </c>
      <c r="K35" s="145">
        <v>11431997.788842594</v>
      </c>
      <c r="L35" s="143">
        <v>-72175.907075075986</v>
      </c>
      <c r="M35" s="143">
        <v>194121.81396914599</v>
      </c>
      <c r="N35" s="144">
        <v>29.19</v>
      </c>
      <c r="O35" s="144">
        <v>34.54</v>
      </c>
      <c r="P35" s="150">
        <v>4598152.7269728342</v>
      </c>
      <c r="Q35" s="143">
        <v>3606210.2935311631</v>
      </c>
      <c r="R35" s="143">
        <v>1938664.4992852733</v>
      </c>
      <c r="S35" s="184">
        <f>VLOOKUP($H35,Init!$C$5:$H$232, 2,FALSE)</f>
        <v>432</v>
      </c>
      <c r="T35" s="184">
        <f>VLOOKUP($H35,Init!$C$5:$H$232, 3,FALSE)</f>
        <v>311</v>
      </c>
    </row>
    <row r="36" spans="1:20">
      <c r="A36"/>
      <c r="B36" s="225"/>
      <c r="C36" s="226"/>
      <c r="D36" s="225"/>
      <c r="E36" s="225"/>
      <c r="F36" s="225"/>
      <c r="H36" s="142">
        <v>46844</v>
      </c>
      <c r="I36" s="143">
        <v>1316168.9924999999</v>
      </c>
      <c r="J36" s="144">
        <v>6.09</v>
      </c>
      <c r="K36" s="145">
        <v>8015469.1643249998</v>
      </c>
      <c r="L36" s="143">
        <v>115862.15248247894</v>
      </c>
      <c r="M36" s="143">
        <v>193099.30479439211</v>
      </c>
      <c r="N36" s="144">
        <v>22.33</v>
      </c>
      <c r="O36" s="144">
        <v>27.09</v>
      </c>
      <c r="P36" s="150">
        <v>7818262.0318138367</v>
      </c>
      <c r="Q36" s="143">
        <v>2645914.0483332737</v>
      </c>
      <c r="R36" s="143">
        <v>1651419.6923944803</v>
      </c>
      <c r="S36" s="184">
        <f>VLOOKUP($H36,Init!$C$5:$H$232, 2,FALSE)</f>
        <v>400</v>
      </c>
      <c r="T36" s="184">
        <f>VLOOKUP($H36,Init!$C$5:$H$232, 3,FALSE)</f>
        <v>320</v>
      </c>
    </row>
    <row r="37" spans="1:20" ht="15.75" thickBot="1">
      <c r="A37"/>
      <c r="B37" s="250"/>
      <c r="C37" s="237">
        <v>2024</v>
      </c>
      <c r="D37" s="237">
        <v>2025</v>
      </c>
      <c r="E37" s="237"/>
      <c r="F37" s="238" t="s">
        <v>158</v>
      </c>
      <c r="H37" s="142">
        <v>46874</v>
      </c>
      <c r="I37" s="143">
        <v>732563.41826923087</v>
      </c>
      <c r="J37" s="144">
        <v>2.35</v>
      </c>
      <c r="K37" s="145">
        <v>1721524.0329326927</v>
      </c>
      <c r="L37" s="143">
        <v>-592124.58420265524</v>
      </c>
      <c r="M37" s="143">
        <v>-422764.54890401626</v>
      </c>
      <c r="N37" s="144">
        <v>8.6</v>
      </c>
      <c r="O37" s="144">
        <v>12.73</v>
      </c>
      <c r="P37" s="150">
        <v>-10474064.131690962</v>
      </c>
      <c r="Q37" s="143">
        <v>3367621.4369863905</v>
      </c>
      <c r="R37" s="143">
        <v>2193835.9896132168</v>
      </c>
      <c r="S37" s="184">
        <f>VLOOKUP($H37,Init!$C$5:$H$232, 2,FALSE)</f>
        <v>416</v>
      </c>
      <c r="T37" s="184">
        <f>VLOOKUP($H37,Init!$C$5:$H$232, 3,FALSE)</f>
        <v>328</v>
      </c>
    </row>
    <row r="38" spans="1:20" ht="15.75" thickTop="1">
      <c r="A38"/>
      <c r="B38" s="136" t="s">
        <v>159</v>
      </c>
      <c r="C38" s="239">
        <v>2276972.2576649291</v>
      </c>
      <c r="D38" s="239">
        <v>2492807.4565535681</v>
      </c>
      <c r="E38" s="239">
        <v>2633238.6324192518</v>
      </c>
      <c r="F38" s="239">
        <v>7403018.3466377491</v>
      </c>
      <c r="H38" s="142">
        <v>46905</v>
      </c>
      <c r="I38" s="143">
        <v>1230683.502403846</v>
      </c>
      <c r="J38" s="144">
        <v>4.12</v>
      </c>
      <c r="K38" s="145">
        <v>5070416.0299038459</v>
      </c>
      <c r="L38" s="143">
        <v>-869719.36283543345</v>
      </c>
      <c r="M38" s="143">
        <v>-355013.05352276296</v>
      </c>
      <c r="N38" s="144">
        <v>15.1</v>
      </c>
      <c r="O38" s="144">
        <v>16.079999999999998</v>
      </c>
      <c r="P38" s="150">
        <v>-18841372.279461075</v>
      </c>
      <c r="Q38" s="143">
        <v>3702040.9558570273</v>
      </c>
      <c r="R38" s="143">
        <v>1978169.776198697</v>
      </c>
      <c r="S38" s="184">
        <f>VLOOKUP($H38,Init!$C$5:$H$232, 2,FALSE)</f>
        <v>416</v>
      </c>
      <c r="T38" s="184">
        <f>VLOOKUP($H38,Init!$C$5:$H$232, 3,FALSE)</f>
        <v>304</v>
      </c>
    </row>
    <row r="39" spans="1:20">
      <c r="A39"/>
      <c r="B39" s="225"/>
      <c r="C39" s="226"/>
      <c r="D39" s="225"/>
      <c r="E39" s="225"/>
      <c r="F39" s="225"/>
      <c r="H39" s="142">
        <v>46935</v>
      </c>
      <c r="I39" s="143">
        <v>1245489.8599999999</v>
      </c>
      <c r="J39" s="144">
        <v>13.91</v>
      </c>
      <c r="K39" s="145">
        <v>17324763.952599999</v>
      </c>
      <c r="L39" s="143">
        <v>-209220.83905528247</v>
      </c>
      <c r="M39" s="143">
        <v>148676.50293421891</v>
      </c>
      <c r="N39" s="144">
        <v>50.98</v>
      </c>
      <c r="O39" s="144">
        <v>48.06</v>
      </c>
      <c r="P39" s="150">
        <v>-3520685.6440197388</v>
      </c>
      <c r="Q39" s="143">
        <v>3203673.8964135773</v>
      </c>
      <c r="R39" s="143">
        <v>1852204.9066216133</v>
      </c>
      <c r="S39" s="184">
        <f>VLOOKUP($H39,Init!$C$5:$H$232, 2,FALSE)</f>
        <v>400</v>
      </c>
      <c r="T39" s="184">
        <f>VLOOKUP($H39,Init!$C$5:$H$232, 3,FALSE)</f>
        <v>344</v>
      </c>
    </row>
    <row r="40" spans="1:20" ht="15.75" thickBot="1">
      <c r="A40"/>
      <c r="B40" s="252" t="s">
        <v>183</v>
      </c>
      <c r="C40" s="240">
        <v>2026</v>
      </c>
      <c r="D40" s="240">
        <v>2027</v>
      </c>
      <c r="E40" s="240">
        <v>2028</v>
      </c>
      <c r="F40" s="241" t="s">
        <v>541</v>
      </c>
      <c r="H40" s="142">
        <v>46966</v>
      </c>
      <c r="I40" s="143">
        <v>1597272.4976851852</v>
      </c>
      <c r="J40" s="144">
        <v>14.67</v>
      </c>
      <c r="K40" s="145">
        <v>23431987.541041665</v>
      </c>
      <c r="L40" s="143">
        <v>-262391.7175577539</v>
      </c>
      <c r="M40" s="143">
        <v>37679.863372688604</v>
      </c>
      <c r="N40" s="144">
        <v>53.8</v>
      </c>
      <c r="O40" s="144">
        <v>50.32</v>
      </c>
      <c r="P40" s="150">
        <v>-12220623.67969347</v>
      </c>
      <c r="Q40" s="143">
        <v>3447466.6903892402</v>
      </c>
      <c r="R40" s="143">
        <v>1738937.7437041651</v>
      </c>
      <c r="S40" s="184">
        <f>VLOOKUP($H40,Init!$C$5:$H$232, 2,FALSE)</f>
        <v>432</v>
      </c>
      <c r="T40" s="184">
        <f>VLOOKUP($H40,Init!$C$5:$H$232, 3,FALSE)</f>
        <v>312</v>
      </c>
    </row>
    <row r="41" spans="1:20" ht="15.75" thickTop="1">
      <c r="A41"/>
      <c r="B41" s="131" t="s">
        <v>184</v>
      </c>
      <c r="C41" s="135">
        <v>-443587.06059999997</v>
      </c>
      <c r="D41" s="135">
        <v>-412005.73135000002</v>
      </c>
      <c r="E41" s="135">
        <v>-392611.29854000005</v>
      </c>
      <c r="F41" s="135">
        <v>-1248204.0904900001</v>
      </c>
      <c r="H41" s="142">
        <v>46997</v>
      </c>
      <c r="I41" s="147">
        <v>1041739.6175000004</v>
      </c>
      <c r="J41" s="148">
        <v>16.510000000000002</v>
      </c>
      <c r="K41" s="149">
        <v>17199121.084925007</v>
      </c>
      <c r="L41" s="147">
        <v>185489.78934168292</v>
      </c>
      <c r="M41" s="147">
        <v>180289.3840211003</v>
      </c>
      <c r="N41" s="148">
        <v>60.51</v>
      </c>
      <c r="O41" s="148">
        <v>59.06</v>
      </c>
      <c r="P41" s="151">
        <v>21871878.173351415</v>
      </c>
      <c r="Q41" s="147">
        <v>2507044.4916808102</v>
      </c>
      <c r="R41" s="147">
        <v>1520820.2539675634</v>
      </c>
      <c r="S41" s="184">
        <f>VLOOKUP($H41,Init!$C$5:$H$232, 2,FALSE)</f>
        <v>400</v>
      </c>
      <c r="T41" s="184">
        <f>VLOOKUP($H41,Init!$C$5:$H$232, 3,FALSE)</f>
        <v>320</v>
      </c>
    </row>
    <row r="42" spans="1:20">
      <c r="A42"/>
      <c r="B42" s="253" t="s">
        <v>173</v>
      </c>
      <c r="C42" s="135">
        <v>90763.557292496247</v>
      </c>
      <c r="D42" s="135">
        <v>73915.396105175998</v>
      </c>
      <c r="E42" s="135">
        <v>59710.337666461528</v>
      </c>
      <c r="F42" s="135">
        <v>224389.29106413378</v>
      </c>
    </row>
    <row r="43" spans="1:20">
      <c r="A43"/>
      <c r="B43" s="131" t="s">
        <v>242</v>
      </c>
      <c r="C43" s="135">
        <v>0</v>
      </c>
      <c r="D43" s="135">
        <v>0</v>
      </c>
      <c r="E43" s="135">
        <v>0</v>
      </c>
      <c r="F43" s="135">
        <v>0</v>
      </c>
      <c r="H43" s="126"/>
      <c r="I43" s="126" t="s">
        <v>507</v>
      </c>
      <c r="J43" s="126"/>
    </row>
    <row r="44" spans="1:20">
      <c r="A44"/>
      <c r="B44" s="131" t="s">
        <v>185</v>
      </c>
      <c r="C44" s="135">
        <v>-190</v>
      </c>
      <c r="D44" s="135">
        <v>-190</v>
      </c>
      <c r="E44" s="135">
        <v>-190</v>
      </c>
      <c r="F44" s="135">
        <v>-570</v>
      </c>
      <c r="H44" s="126" t="s">
        <v>215</v>
      </c>
      <c r="I44" s="259">
        <v>11.96</v>
      </c>
      <c r="J44" s="126"/>
    </row>
    <row r="45" spans="1:20">
      <c r="A45"/>
      <c r="B45" s="131"/>
      <c r="C45" s="135"/>
      <c r="D45" s="135"/>
      <c r="E45" s="135"/>
      <c r="F45" s="135"/>
      <c r="H45" s="126" t="s">
        <v>223</v>
      </c>
      <c r="I45" s="129">
        <v>3.88</v>
      </c>
      <c r="J45" s="126"/>
    </row>
    <row r="46" spans="1:20">
      <c r="A46"/>
      <c r="B46" s="131" t="s">
        <v>186</v>
      </c>
      <c r="C46" s="135">
        <v>-72092.997268773906</v>
      </c>
      <c r="D46" s="135">
        <v>-76823.689872071147</v>
      </c>
      <c r="E46" s="135">
        <v>-72723.916378083828</v>
      </c>
      <c r="F46" s="135">
        <v>-221640.60351892887</v>
      </c>
      <c r="H46" s="126" t="s">
        <v>240</v>
      </c>
      <c r="I46" s="126">
        <f>(SUMPRODUCT(N6:N41,S6:S41)+SUMPRODUCT(O6:O41,T6:T41))/SUM(S6:T41)</f>
        <v>39.399547597323604</v>
      </c>
      <c r="J46" s="126"/>
    </row>
    <row r="47" spans="1:20">
      <c r="A47"/>
      <c r="B47" s="253" t="s">
        <v>174</v>
      </c>
      <c r="C47" s="135">
        <v>834.04999787577572</v>
      </c>
      <c r="D47" s="135">
        <v>3377.6704164059465</v>
      </c>
      <c r="E47" s="135">
        <v>685.32040715376536</v>
      </c>
      <c r="F47" s="135">
        <v>4897.0408214354884</v>
      </c>
      <c r="H47" s="126" t="s">
        <v>608</v>
      </c>
      <c r="I47">
        <v>7109.5520000000006</v>
      </c>
      <c r="J47" s="126"/>
      <c r="M47" s="126"/>
    </row>
    <row r="48" spans="1:20">
      <c r="A48"/>
      <c r="B48" s="255" t="s">
        <v>187</v>
      </c>
      <c r="C48" s="135">
        <v>-141637.48298624638</v>
      </c>
      <c r="D48" s="135">
        <v>-148211.9289570282</v>
      </c>
      <c r="E48" s="135">
        <v>-156467.58776619963</v>
      </c>
      <c r="F48" s="135">
        <v>-446316.99970947416</v>
      </c>
      <c r="H48" s="126" t="s">
        <v>609</v>
      </c>
      <c r="I48" s="37">
        <f>+I47*AVERAGE(8760,8760,8784)</f>
        <v>62336551.936000004</v>
      </c>
    </row>
    <row r="49" spans="1:16">
      <c r="A49"/>
      <c r="B49" s="255" t="s">
        <v>188</v>
      </c>
      <c r="C49" s="135">
        <v>-785</v>
      </c>
      <c r="D49" s="135">
        <v>-785</v>
      </c>
      <c r="E49" s="135">
        <v>-785</v>
      </c>
      <c r="F49" s="135">
        <v>-2355</v>
      </c>
      <c r="H49" s="126" t="s">
        <v>539</v>
      </c>
      <c r="I49" s="126">
        <v>0</v>
      </c>
    </row>
    <row r="50" spans="1:16">
      <c r="A50"/>
      <c r="B50" s="255" t="s">
        <v>189</v>
      </c>
      <c r="C50" s="135">
        <v>0</v>
      </c>
      <c r="D50" s="135">
        <v>0</v>
      </c>
      <c r="E50" s="135">
        <v>0</v>
      </c>
      <c r="F50" s="135">
        <v>0</v>
      </c>
      <c r="H50" s="126" t="s">
        <v>540</v>
      </c>
      <c r="I50" s="126">
        <v>0.05</v>
      </c>
    </row>
    <row r="51" spans="1:16">
      <c r="A51"/>
      <c r="B51" s="255" t="s">
        <v>190</v>
      </c>
      <c r="C51" s="135">
        <v>0</v>
      </c>
      <c r="D51" s="135">
        <v>0</v>
      </c>
      <c r="E51" s="135">
        <v>0</v>
      </c>
      <c r="F51" s="135">
        <v>0</v>
      </c>
      <c r="H51" s="152"/>
      <c r="I51" s="129"/>
      <c r="J51" s="153"/>
      <c r="K51" s="154"/>
    </row>
    <row r="52" spans="1:16">
      <c r="A52"/>
      <c r="B52" s="131" t="s">
        <v>506</v>
      </c>
      <c r="C52" s="135">
        <v>0</v>
      </c>
      <c r="D52" s="135">
        <v>0</v>
      </c>
      <c r="E52" s="135">
        <v>0</v>
      </c>
      <c r="F52" s="135">
        <v>0</v>
      </c>
      <c r="H52" s="152"/>
      <c r="I52" s="129"/>
      <c r="J52" s="153"/>
      <c r="K52" s="154"/>
    </row>
    <row r="53" spans="1:16">
      <c r="A53"/>
      <c r="B53" s="133" t="s">
        <v>178</v>
      </c>
      <c r="C53" s="243">
        <v>41096.643681842324</v>
      </c>
      <c r="D53" s="243">
        <v>41395.817384881724</v>
      </c>
      <c r="E53" s="243">
        <v>41574.150122996201</v>
      </c>
      <c r="F53" s="243">
        <v>124066.61118972025</v>
      </c>
      <c r="H53" s="158"/>
      <c r="I53" s="155"/>
      <c r="J53" s="159"/>
      <c r="K53" s="160"/>
    </row>
    <row r="54" spans="1:16">
      <c r="A54"/>
      <c r="B54" s="131" t="s">
        <v>179</v>
      </c>
      <c r="C54" s="135">
        <v>-525598.2898828059</v>
      </c>
      <c r="D54" s="135">
        <v>-519327.46627263568</v>
      </c>
      <c r="E54" s="135">
        <v>-520807.994487672</v>
      </c>
      <c r="F54" s="135">
        <v>-1565733.7506431136</v>
      </c>
      <c r="H54" s="158"/>
      <c r="I54" s="155"/>
      <c r="J54" s="159"/>
      <c r="K54" s="160"/>
    </row>
    <row r="55" spans="1:16">
      <c r="A55"/>
      <c r="B55" s="244"/>
      <c r="C55" s="244"/>
      <c r="D55" s="244"/>
      <c r="E55" s="244"/>
      <c r="F55" s="244"/>
      <c r="H55" s="158"/>
      <c r="I55" s="155"/>
      <c r="J55" s="159"/>
      <c r="K55" s="160"/>
    </row>
    <row r="56" spans="1:16" ht="15.75" thickBot="1">
      <c r="A56"/>
      <c r="B56" s="250"/>
      <c r="C56" s="240">
        <v>2026</v>
      </c>
      <c r="D56" s="240">
        <v>2027</v>
      </c>
      <c r="E56" s="240">
        <v>2028</v>
      </c>
      <c r="F56" s="241" t="s">
        <v>541</v>
      </c>
      <c r="H56" s="158"/>
      <c r="I56" s="155"/>
      <c r="J56" s="159"/>
      <c r="K56" s="160"/>
    </row>
    <row r="57" spans="1:16" ht="15.75" thickTop="1">
      <c r="A57"/>
      <c r="B57" s="136" t="s">
        <v>160</v>
      </c>
      <c r="C57" s="135">
        <v>-341761.8241939405</v>
      </c>
      <c r="D57" s="135">
        <v>-356223.15178756195</v>
      </c>
      <c r="E57" s="135">
        <v>-341616.55212946917</v>
      </c>
      <c r="F57" s="135">
        <v>-1039601.5281109717</v>
      </c>
      <c r="H57" s="158"/>
      <c r="I57" s="155"/>
      <c r="J57" s="159"/>
      <c r="K57" s="160"/>
    </row>
    <row r="58" spans="1:16">
      <c r="A58"/>
      <c r="B58" s="244"/>
      <c r="C58" s="135"/>
      <c r="D58" s="244"/>
      <c r="E58" s="244"/>
      <c r="F58" s="244"/>
      <c r="H58" s="158"/>
      <c r="I58" s="155"/>
      <c r="J58" s="159"/>
      <c r="K58" s="160"/>
      <c r="L58" s="155"/>
      <c r="M58" s="155"/>
      <c r="N58" s="156"/>
      <c r="O58" s="156"/>
      <c r="P58" s="157"/>
    </row>
    <row r="59" spans="1:16" ht="15.75" thickBot="1">
      <c r="A59"/>
      <c r="B59" s="250" t="s">
        <v>191</v>
      </c>
      <c r="C59" s="240">
        <v>2026</v>
      </c>
      <c r="D59" s="240">
        <v>2027</v>
      </c>
      <c r="E59" s="240">
        <v>2028</v>
      </c>
      <c r="F59" s="241" t="s">
        <v>541</v>
      </c>
      <c r="H59" s="158"/>
      <c r="I59" s="155"/>
      <c r="J59" s="159"/>
      <c r="K59" s="160"/>
      <c r="L59" s="155"/>
      <c r="M59" s="155"/>
      <c r="N59" s="156"/>
      <c r="O59" s="156"/>
      <c r="P59" s="157"/>
    </row>
    <row r="60" spans="1:16" ht="15.75" thickTop="1">
      <c r="A60"/>
      <c r="B60" s="136" t="s">
        <v>159</v>
      </c>
      <c r="C60" s="135">
        <v>2276972.2576649291</v>
      </c>
      <c r="D60" s="135">
        <v>2492807.4565535681</v>
      </c>
      <c r="E60" s="135">
        <v>2633238.6324192518</v>
      </c>
      <c r="F60" s="135">
        <v>7403018.3466377491</v>
      </c>
      <c r="H60" s="158"/>
      <c r="I60" s="155"/>
      <c r="J60" s="159"/>
      <c r="K60" s="160"/>
      <c r="L60" s="155"/>
      <c r="M60" s="155"/>
      <c r="N60" s="156"/>
      <c r="O60" s="156"/>
      <c r="P60" s="157"/>
    </row>
    <row r="61" spans="1:16">
      <c r="A61"/>
      <c r="B61" s="136" t="s">
        <v>160</v>
      </c>
      <c r="C61" s="135">
        <v>-341761.8241939405</v>
      </c>
      <c r="D61" s="135">
        <v>-356223.15178756195</v>
      </c>
      <c r="E61" s="135">
        <v>-341616.55212946917</v>
      </c>
      <c r="F61" s="135">
        <v>-1039601.5281109717</v>
      </c>
      <c r="H61" s="158"/>
      <c r="I61" s="155"/>
      <c r="J61" s="159"/>
      <c r="K61" s="160"/>
      <c r="L61" s="155"/>
      <c r="M61" s="155"/>
      <c r="N61" s="156"/>
      <c r="O61" s="156"/>
      <c r="P61" s="157"/>
    </row>
    <row r="62" spans="1:16">
      <c r="A62"/>
      <c r="B62" s="136" t="s">
        <v>161</v>
      </c>
      <c r="C62" s="135">
        <v>0</v>
      </c>
      <c r="D62" s="135">
        <v>0</v>
      </c>
      <c r="E62" s="135">
        <v>0</v>
      </c>
      <c r="F62" s="135">
        <v>0</v>
      </c>
      <c r="H62" s="161"/>
      <c r="I62" s="155"/>
      <c r="J62" s="159"/>
      <c r="K62" s="160"/>
      <c r="L62" s="155"/>
      <c r="M62" s="155"/>
      <c r="N62" s="159"/>
      <c r="O62" s="159"/>
      <c r="P62" s="162"/>
    </row>
    <row r="63" spans="1:16">
      <c r="A63"/>
      <c r="B63" s="251" t="s">
        <v>162</v>
      </c>
      <c r="C63" s="243">
        <v>330253.99529654172</v>
      </c>
      <c r="D63" s="243">
        <v>341848.73068574234</v>
      </c>
      <c r="E63" s="243">
        <v>367495.1978215804</v>
      </c>
      <c r="F63" s="243">
        <v>1039597.9238038645</v>
      </c>
    </row>
    <row r="64" spans="1:16">
      <c r="A64"/>
      <c r="B64" s="245" t="s">
        <v>163</v>
      </c>
      <c r="C64" s="135">
        <v>2265464.4287675302</v>
      </c>
      <c r="D64" s="135">
        <v>2478433.0354517484</v>
      </c>
      <c r="E64" s="135">
        <v>2659117.2781113628</v>
      </c>
      <c r="F64" s="135">
        <v>7403014.7423306424</v>
      </c>
    </row>
    <row r="65" spans="1:6">
      <c r="A65"/>
      <c r="B65" s="244"/>
      <c r="C65" s="244"/>
      <c r="D65" s="244"/>
      <c r="E65" s="244"/>
      <c r="F65" s="244"/>
    </row>
    <row r="66" spans="1:6" ht="15.75" thickBot="1">
      <c r="A66"/>
      <c r="B66" s="250" t="s">
        <v>192</v>
      </c>
      <c r="C66" s="240">
        <v>2026</v>
      </c>
      <c r="D66" s="240">
        <v>2027</v>
      </c>
      <c r="E66" s="240">
        <v>2028</v>
      </c>
      <c r="F66" s="241" t="s">
        <v>543</v>
      </c>
    </row>
    <row r="67" spans="1:6" ht="15.75" thickTop="1">
      <c r="A67"/>
      <c r="B67" s="136" t="s">
        <v>193</v>
      </c>
      <c r="C67" s="246">
        <v>94.898089999999996</v>
      </c>
      <c r="D67" s="246">
        <v>95.308549999999997</v>
      </c>
      <c r="E67" s="246">
        <v>95.642510000000001</v>
      </c>
      <c r="F67" s="246">
        <v>95.283050000000003</v>
      </c>
    </row>
    <row r="68" spans="1:6">
      <c r="A68"/>
      <c r="B68" s="136" t="s">
        <v>194</v>
      </c>
      <c r="C68" s="246">
        <v>83.153040000000018</v>
      </c>
      <c r="D68" s="246">
        <v>83.563500000000019</v>
      </c>
      <c r="E68" s="246">
        <v>83.897460000000009</v>
      </c>
      <c r="F68" s="246">
        <v>83.538000000000011</v>
      </c>
    </row>
    <row r="69" spans="1:6">
      <c r="A69"/>
      <c r="B69" s="136" t="s">
        <v>195</v>
      </c>
      <c r="C69" s="246">
        <v>11.745049999999999</v>
      </c>
      <c r="D69" s="246">
        <v>11.745049999999999</v>
      </c>
      <c r="E69" s="246">
        <v>11.745049999999999</v>
      </c>
      <c r="F69" s="246">
        <v>11.745049999999999</v>
      </c>
    </row>
    <row r="70" spans="1:6">
      <c r="A70"/>
      <c r="B70" s="136"/>
      <c r="C70" s="135"/>
      <c r="D70" s="135"/>
      <c r="E70" s="135"/>
      <c r="F70" s="135"/>
    </row>
    <row r="71" spans="1:6" ht="15.75" thickBot="1">
      <c r="B71" s="250" t="s">
        <v>196</v>
      </c>
      <c r="C71" s="240">
        <v>2026</v>
      </c>
      <c r="D71" s="240">
        <v>2027</v>
      </c>
      <c r="E71" s="240">
        <v>2028</v>
      </c>
      <c r="F71" s="241" t="s">
        <v>543</v>
      </c>
    </row>
    <row r="72" spans="1:6" ht="15.75" thickTop="1">
      <c r="A72"/>
      <c r="B72" s="136" t="s">
        <v>159</v>
      </c>
      <c r="C72" s="135">
        <v>23993.868134384255</v>
      </c>
      <c r="D72" s="135">
        <v>26155.129382973177</v>
      </c>
      <c r="E72" s="135">
        <v>27532.094592867248</v>
      </c>
      <c r="F72" s="135">
        <v>25898.339549506269</v>
      </c>
    </row>
    <row r="73" spans="1:6">
      <c r="A73"/>
      <c r="B73" s="136" t="s">
        <v>160</v>
      </c>
      <c r="C73" s="135">
        <v>-4110.0340311543678</v>
      </c>
      <c r="D73" s="135">
        <v>-4262.9036814824876</v>
      </c>
      <c r="E73" s="135">
        <v>-4071.8342620797953</v>
      </c>
      <c r="F73" s="135">
        <v>-4148.21808881775</v>
      </c>
    </row>
    <row r="74" spans="1:6">
      <c r="A74"/>
      <c r="B74" s="136" t="s">
        <v>161</v>
      </c>
      <c r="C74" s="135">
        <v>0</v>
      </c>
      <c r="D74" s="135">
        <v>0</v>
      </c>
      <c r="E74" s="135">
        <v>0</v>
      </c>
      <c r="F74" s="135">
        <v>0</v>
      </c>
    </row>
    <row r="75" spans="1:6">
      <c r="A75"/>
      <c r="B75" s="244"/>
      <c r="C75" s="244"/>
      <c r="D75" s="244"/>
      <c r="E75" s="244"/>
      <c r="F75" s="244"/>
    </row>
    <row r="76" spans="1:6" ht="15.75" thickBot="1">
      <c r="B76" s="250" t="s">
        <v>197</v>
      </c>
      <c r="C76" s="240">
        <v>2026</v>
      </c>
      <c r="D76" s="240">
        <v>2027</v>
      </c>
      <c r="E76" s="240">
        <v>2028</v>
      </c>
      <c r="F76" s="241" t="s">
        <v>543</v>
      </c>
    </row>
    <row r="77" spans="1:6" ht="15.75" thickTop="1">
      <c r="A77"/>
      <c r="B77" s="136" t="s">
        <v>159</v>
      </c>
      <c r="C77" s="247">
        <v>1999489.0111986881</v>
      </c>
      <c r="D77" s="247">
        <v>2179594.1152477646</v>
      </c>
      <c r="E77" s="247">
        <v>2294341.2160722706</v>
      </c>
      <c r="F77" s="247">
        <v>2158195</v>
      </c>
    </row>
    <row r="78" spans="1:6">
      <c r="A78"/>
      <c r="B78" s="136" t="s">
        <v>160</v>
      </c>
      <c r="C78" s="247">
        <v>-342502.83592953061</v>
      </c>
      <c r="D78" s="247">
        <v>-355241.97345687397</v>
      </c>
      <c r="E78" s="247">
        <v>-339319.52183998295</v>
      </c>
      <c r="F78" s="247">
        <v>-345685</v>
      </c>
    </row>
    <row r="79" spans="1:6">
      <c r="A79"/>
      <c r="B79" s="136" t="s">
        <v>161</v>
      </c>
      <c r="C79" s="247">
        <v>0</v>
      </c>
      <c r="D79" s="247">
        <v>0</v>
      </c>
      <c r="E79" s="247">
        <v>0</v>
      </c>
      <c r="F79" s="247">
        <v>0</v>
      </c>
    </row>
    <row r="80" spans="1:6">
      <c r="A80"/>
      <c r="B80" s="244"/>
      <c r="C80" s="244"/>
      <c r="D80" s="244"/>
      <c r="E80" s="244"/>
      <c r="F80" s="244"/>
    </row>
    <row r="81" spans="2:8" ht="15.75" thickBot="1">
      <c r="B81" s="250" t="s">
        <v>198</v>
      </c>
      <c r="C81" s="240">
        <v>2026</v>
      </c>
      <c r="D81" s="240">
        <v>2027</v>
      </c>
      <c r="E81" s="240">
        <v>2028</v>
      </c>
      <c r="F81" s="241" t="s">
        <v>543</v>
      </c>
    </row>
    <row r="82" spans="2:8" ht="15.75" thickTop="1">
      <c r="B82" s="136" t="s">
        <v>199</v>
      </c>
      <c r="C82" s="167">
        <v>70.66</v>
      </c>
      <c r="D82" s="167">
        <v>67.400000000000006</v>
      </c>
      <c r="E82" s="167">
        <v>67.7</v>
      </c>
      <c r="F82" s="167">
        <f>+AVERAGE(C82:E82)</f>
        <v>68.586666666666659</v>
      </c>
    </row>
    <row r="83" spans="2:8">
      <c r="B83" s="136" t="s">
        <v>200</v>
      </c>
      <c r="C83" s="167">
        <v>70.66</v>
      </c>
      <c r="D83" s="167">
        <v>67.400000000000006</v>
      </c>
      <c r="E83" s="167">
        <v>67.7</v>
      </c>
      <c r="F83" s="167">
        <f>+AVERAGE(C83:E83)</f>
        <v>68.586666666666659</v>
      </c>
    </row>
    <row r="84" spans="2:8">
      <c r="B84" s="136" t="s">
        <v>243</v>
      </c>
      <c r="C84" s="248">
        <v>0</v>
      </c>
      <c r="D84" s="248">
        <v>0</v>
      </c>
      <c r="E84" s="248">
        <v>0</v>
      </c>
      <c r="F84" s="248">
        <v>0</v>
      </c>
    </row>
    <row r="85" spans="2:8">
      <c r="H85" s="36"/>
    </row>
    <row r="86" spans="2:8">
      <c r="B86" s="270"/>
      <c r="C86" s="270"/>
      <c r="D86" s="270"/>
      <c r="E86" s="270"/>
      <c r="H86" s="36"/>
    </row>
    <row r="87" spans="2:8">
      <c r="B87" s="127"/>
      <c r="C87" s="127"/>
      <c r="D87" s="127"/>
      <c r="E87" s="127"/>
    </row>
    <row r="88" spans="2:8">
      <c r="B88" s="127"/>
      <c r="C88" s="127"/>
      <c r="D88" s="127"/>
      <c r="E88" s="127"/>
    </row>
    <row r="89" spans="2:8">
      <c r="B89" s="126"/>
      <c r="C89" s="126"/>
      <c r="D89" s="126"/>
      <c r="E89" s="126"/>
    </row>
    <row r="92" spans="2:8">
      <c r="B92" s="265"/>
      <c r="C92" s="265"/>
      <c r="D92" s="265"/>
      <c r="E92" s="265"/>
    </row>
    <row r="93" spans="2:8">
      <c r="B93" s="265"/>
      <c r="C93" s="265"/>
      <c r="D93" s="265"/>
      <c r="E93" s="265"/>
    </row>
    <row r="94" spans="2:8">
      <c r="B94" s="265"/>
      <c r="C94" s="265"/>
      <c r="D94" s="265"/>
      <c r="E94" s="265"/>
    </row>
    <row r="95" spans="2:8">
      <c r="B95" s="265"/>
      <c r="C95" s="265"/>
      <c r="D95" s="265"/>
      <c r="E95" s="265"/>
    </row>
  </sheetData>
  <conditionalFormatting sqref="B2">
    <cfRule type="expression" dxfId="4" priority="1" stopIfTrue="1">
      <formula>A1 &gt; 30</formula>
    </cfRule>
  </conditionalFormatting>
  <pageMargins left="0.25" right="0.25" top="0.75" bottom="0.75" header="0.3" footer="0.3"/>
  <pageSetup scale="39" orientation="portrait" r:id="rId1"/>
  <colBreaks count="1" manualBreakCount="1">
    <brk id="16" max="80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rgb="FF00B0F0"/>
  </sheetPr>
  <dimension ref="A1:O400"/>
  <sheetViews>
    <sheetView workbookViewId="0">
      <selection activeCell="G6" sqref="G6"/>
    </sheetView>
  </sheetViews>
  <sheetFormatPr defaultRowHeight="15"/>
  <cols>
    <col min="1" max="1" width="32.28515625" style="19" customWidth="1"/>
    <col min="2" max="2" width="30.5703125" style="19" bestFit="1" customWidth="1"/>
    <col min="3" max="3" width="8" style="26" customWidth="1"/>
    <col min="4" max="4" width="2.28515625" customWidth="1"/>
    <col min="5" max="5" width="32.28515625" style="19" customWidth="1"/>
    <col min="6" max="6" width="30.5703125" style="19" bestFit="1" customWidth="1"/>
    <col min="7" max="7" width="8" style="26" customWidth="1"/>
    <col min="15" max="15" width="10.140625" bestFit="1" customWidth="1"/>
  </cols>
  <sheetData>
    <row r="1" spans="1:15">
      <c r="A1" s="29"/>
      <c r="B1" s="29"/>
      <c r="C1" s="30"/>
      <c r="E1" s="29"/>
      <c r="F1" s="29"/>
      <c r="G1" s="30"/>
    </row>
    <row r="2" spans="1:15">
      <c r="A2" s="31" t="s">
        <v>149</v>
      </c>
      <c r="B2" s="29"/>
      <c r="C2" s="30"/>
      <c r="E2" s="31" t="s">
        <v>150</v>
      </c>
      <c r="F2" s="29"/>
      <c r="G2" s="30"/>
    </row>
    <row r="3" spans="1:15" ht="15.75">
      <c r="A3" s="32" t="s">
        <v>146</v>
      </c>
      <c r="B3" s="33"/>
      <c r="C3" s="34"/>
      <c r="E3" s="32" t="s">
        <v>146</v>
      </c>
      <c r="F3" s="33"/>
      <c r="G3" s="34"/>
    </row>
    <row r="4" spans="1:15" ht="26.25">
      <c r="A4" s="22" t="s">
        <v>2</v>
      </c>
      <c r="B4" s="23" t="s">
        <v>147</v>
      </c>
      <c r="C4" s="28" t="s">
        <v>148</v>
      </c>
      <c r="E4" s="22" t="s">
        <v>2</v>
      </c>
      <c r="F4" s="23" t="s">
        <v>147</v>
      </c>
      <c r="G4" s="28" t="s">
        <v>148</v>
      </c>
      <c r="J4" t="s">
        <v>503</v>
      </c>
      <c r="K4" t="s">
        <v>504</v>
      </c>
    </row>
    <row r="5" spans="1:15">
      <c r="A5" s="24">
        <v>10015</v>
      </c>
      <c r="B5" s="19" t="s">
        <v>8</v>
      </c>
      <c r="C5" s="27">
        <v>0</v>
      </c>
      <c r="E5" s="24">
        <v>10015</v>
      </c>
      <c r="F5" s="19" t="s">
        <v>8</v>
      </c>
      <c r="G5" s="27">
        <v>0</v>
      </c>
      <c r="J5">
        <f>VLOOKUP(A5, TOCA_previous!$A$3:$D$136, 4, FALSE)</f>
        <v>0</v>
      </c>
      <c r="K5">
        <f>VLOOKUP(E5, TOCA_current!A3:D136, 4, FALSE)</f>
        <v>0</v>
      </c>
      <c r="O5" s="52"/>
    </row>
    <row r="6" spans="1:15">
      <c r="A6" s="24">
        <v>10024</v>
      </c>
      <c r="B6" s="19" t="s">
        <v>9</v>
      </c>
      <c r="C6" s="27">
        <v>312239.2</v>
      </c>
      <c r="E6" s="24">
        <v>10024</v>
      </c>
      <c r="F6" s="19" t="s">
        <v>9</v>
      </c>
      <c r="G6" s="27">
        <v>312239.2</v>
      </c>
      <c r="J6">
        <f>VLOOKUP(A6, TOCA_previous!$A$3:$D$136, 4, FALSE)</f>
        <v>0</v>
      </c>
      <c r="K6">
        <f>VLOOKUP(E6, TOCA_current!A3:D137, 4, FALSE)</f>
        <v>0</v>
      </c>
      <c r="O6" s="52"/>
    </row>
    <row r="7" spans="1:15">
      <c r="A7" s="24">
        <v>10025</v>
      </c>
      <c r="B7" s="19" t="s">
        <v>10</v>
      </c>
      <c r="C7" s="27">
        <v>82900.857000000004</v>
      </c>
      <c r="E7" s="24">
        <v>10025</v>
      </c>
      <c r="F7" s="19" t="s">
        <v>10</v>
      </c>
      <c r="G7" s="27">
        <v>82900.857000000004</v>
      </c>
      <c r="J7">
        <f>VLOOKUP(A7, TOCA_previous!$A$3:$D$136, 4, FALSE)</f>
        <v>0</v>
      </c>
      <c r="K7">
        <f>VLOOKUP(E7, TOCA_current!A4:D138, 4, FALSE)</f>
        <v>0</v>
      </c>
      <c r="O7" s="52"/>
    </row>
    <row r="8" spans="1:15">
      <c r="A8" s="24">
        <v>10027</v>
      </c>
      <c r="B8" s="19" t="s">
        <v>11</v>
      </c>
      <c r="C8" s="27">
        <v>209669.54</v>
      </c>
      <c r="E8" s="24">
        <v>10027</v>
      </c>
      <c r="F8" s="19" t="s">
        <v>11</v>
      </c>
      <c r="G8" s="27">
        <v>209669.54</v>
      </c>
      <c r="J8">
        <f>VLOOKUP(A8, TOCA_previous!$A$3:$D$136, 4, FALSE)</f>
        <v>0</v>
      </c>
      <c r="K8">
        <f>VLOOKUP(E8, TOCA_current!A5:D139, 4, FALSE)</f>
        <v>0</v>
      </c>
      <c r="O8" s="52"/>
    </row>
    <row r="9" spans="1:15">
      <c r="A9" s="24">
        <v>10029</v>
      </c>
      <c r="B9" s="19" t="s">
        <v>12</v>
      </c>
      <c r="C9" s="27">
        <v>0</v>
      </c>
      <c r="E9" s="24">
        <v>10029</v>
      </c>
      <c r="F9" s="19" t="s">
        <v>12</v>
      </c>
      <c r="G9" s="27">
        <v>0</v>
      </c>
      <c r="J9">
        <f>VLOOKUP(A9, TOCA_previous!$A$3:$D$136, 4, FALSE)</f>
        <v>1</v>
      </c>
      <c r="K9">
        <f>VLOOKUP(E9, TOCA_current!A6:D140, 4, FALSE)</f>
        <v>1</v>
      </c>
      <c r="O9" s="52"/>
    </row>
    <row r="10" spans="1:15">
      <c r="A10" s="24">
        <v>10044</v>
      </c>
      <c r="B10" s="19" t="s">
        <v>13</v>
      </c>
      <c r="C10" s="27">
        <v>0</v>
      </c>
      <c r="E10" s="24">
        <v>10044</v>
      </c>
      <c r="F10" s="19" t="s">
        <v>13</v>
      </c>
      <c r="G10" s="27">
        <v>0</v>
      </c>
      <c r="J10">
        <f>VLOOKUP(A10, TOCA_previous!$A$3:$D$136, 4, FALSE)</f>
        <v>0</v>
      </c>
      <c r="K10">
        <f>VLOOKUP(E10, TOCA_current!A7:D141, 4, FALSE)</f>
        <v>0</v>
      </c>
      <c r="O10" s="52"/>
    </row>
    <row r="11" spans="1:15">
      <c r="A11" s="24">
        <v>10046</v>
      </c>
      <c r="B11" s="19" t="s">
        <v>14</v>
      </c>
      <c r="C11" s="27">
        <v>41085.457000000002</v>
      </c>
      <c r="E11" s="24">
        <v>10046</v>
      </c>
      <c r="F11" s="19" t="s">
        <v>14</v>
      </c>
      <c r="G11" s="27">
        <v>41085.457000000002</v>
      </c>
      <c r="J11">
        <f>VLOOKUP(A11, TOCA_previous!$A$3:$D$136, 4, FALSE)</f>
        <v>1</v>
      </c>
      <c r="K11">
        <f>VLOOKUP(E11, TOCA_current!A8:D142, 4, FALSE)</f>
        <v>1</v>
      </c>
      <c r="O11" s="52"/>
    </row>
    <row r="12" spans="1:15">
      <c r="A12" s="24">
        <v>10047</v>
      </c>
      <c r="B12" s="19" t="s">
        <v>15</v>
      </c>
      <c r="C12" s="27">
        <v>0</v>
      </c>
      <c r="E12" s="24">
        <v>10047</v>
      </c>
      <c r="F12" s="19" t="s">
        <v>15</v>
      </c>
      <c r="G12" s="27">
        <v>0</v>
      </c>
      <c r="J12">
        <f>VLOOKUP(A12, TOCA_previous!$A$3:$D$136, 4, FALSE)</f>
        <v>0</v>
      </c>
      <c r="K12">
        <f>VLOOKUP(E12, TOCA_current!A9:D143, 4, FALSE)</f>
        <v>0</v>
      </c>
      <c r="O12" s="52"/>
    </row>
    <row r="13" spans="1:15">
      <c r="A13" s="24">
        <v>10055</v>
      </c>
      <c r="B13" s="19" t="s">
        <v>16</v>
      </c>
      <c r="C13" s="27">
        <v>0</v>
      </c>
      <c r="E13" s="24">
        <v>10055</v>
      </c>
      <c r="F13" s="19" t="s">
        <v>16</v>
      </c>
      <c r="G13" s="27">
        <v>0</v>
      </c>
      <c r="J13">
        <f>VLOOKUP(A13, TOCA_previous!$A$3:$D$136, 4, FALSE)</f>
        <v>0</v>
      </c>
      <c r="K13">
        <f>VLOOKUP(E13, TOCA_current!A10:D144, 4, FALSE)</f>
        <v>0</v>
      </c>
      <c r="O13" s="52"/>
    </row>
    <row r="14" spans="1:15">
      <c r="A14" s="24">
        <v>10057</v>
      </c>
      <c r="B14" s="19" t="s">
        <v>17</v>
      </c>
      <c r="C14" s="27">
        <v>0</v>
      </c>
      <c r="E14" s="24">
        <v>10057</v>
      </c>
      <c r="F14" s="19" t="s">
        <v>17</v>
      </c>
      <c r="G14" s="27">
        <v>0</v>
      </c>
      <c r="J14">
        <f>VLOOKUP(A14, TOCA_previous!$A$3:$D$136, 4, FALSE)</f>
        <v>0</v>
      </c>
      <c r="K14">
        <f>VLOOKUP(E14, TOCA_current!A11:D145, 4, FALSE)</f>
        <v>0</v>
      </c>
      <c r="O14" s="52"/>
    </row>
    <row r="15" spans="1:15">
      <c r="A15" s="24">
        <v>10059</v>
      </c>
      <c r="B15" s="19" t="s">
        <v>18</v>
      </c>
      <c r="C15" s="27">
        <v>0</v>
      </c>
      <c r="E15" s="24">
        <v>10059</v>
      </c>
      <c r="F15" s="19" t="s">
        <v>18</v>
      </c>
      <c r="G15" s="27">
        <v>0</v>
      </c>
      <c r="J15">
        <f>VLOOKUP(A15, TOCA_previous!$A$3:$D$136, 4, FALSE)</f>
        <v>0</v>
      </c>
      <c r="K15">
        <f>VLOOKUP(E15, TOCA_current!A12:D146, 4, FALSE)</f>
        <v>0</v>
      </c>
      <c r="O15" s="52"/>
    </row>
    <row r="16" spans="1:15">
      <c r="A16" s="24">
        <v>10061</v>
      </c>
      <c r="B16" s="19" t="s">
        <v>19</v>
      </c>
      <c r="C16" s="27">
        <v>0</v>
      </c>
      <c r="E16" s="24">
        <v>10061</v>
      </c>
      <c r="F16" s="19" t="s">
        <v>19</v>
      </c>
      <c r="G16" s="27">
        <v>0</v>
      </c>
      <c r="J16">
        <f>VLOOKUP(A16, TOCA_previous!$A$3:$D$136, 4, FALSE)</f>
        <v>0</v>
      </c>
      <c r="K16">
        <f>VLOOKUP(E16, TOCA_current!A13:D147, 4, FALSE)</f>
        <v>0</v>
      </c>
      <c r="O16" s="52"/>
    </row>
    <row r="17" spans="1:15">
      <c r="A17" s="24">
        <v>10062</v>
      </c>
      <c r="B17" s="19" t="s">
        <v>20</v>
      </c>
      <c r="C17" s="27">
        <v>0</v>
      </c>
      <c r="E17" s="24">
        <v>10062</v>
      </c>
      <c r="F17" s="19" t="s">
        <v>20</v>
      </c>
      <c r="G17" s="27">
        <v>0</v>
      </c>
      <c r="J17">
        <f>VLOOKUP(A17, TOCA_previous!$A$3:$D$136, 4, FALSE)</f>
        <v>0</v>
      </c>
      <c r="K17">
        <f>VLOOKUP(E17, TOCA_current!A14:D148, 4, FALSE)</f>
        <v>0</v>
      </c>
      <c r="O17" s="52"/>
    </row>
    <row r="18" spans="1:15">
      <c r="A18" s="24">
        <v>10064</v>
      </c>
      <c r="B18" s="19" t="s">
        <v>21</v>
      </c>
      <c r="C18" s="27">
        <v>0</v>
      </c>
      <c r="E18" s="24">
        <v>10064</v>
      </c>
      <c r="F18" s="19" t="s">
        <v>21</v>
      </c>
      <c r="G18" s="27">
        <v>0</v>
      </c>
      <c r="J18">
        <f>VLOOKUP(A18, TOCA_previous!$A$3:$D$136, 4, FALSE)</f>
        <v>0</v>
      </c>
      <c r="K18">
        <f>VLOOKUP(E18, TOCA_current!A15:D149, 4, FALSE)</f>
        <v>0</v>
      </c>
      <c r="O18" s="52"/>
    </row>
    <row r="19" spans="1:15">
      <c r="A19" s="24">
        <v>10065</v>
      </c>
      <c r="B19" s="19" t="s">
        <v>22</v>
      </c>
      <c r="C19" s="27">
        <v>0</v>
      </c>
      <c r="E19" s="24">
        <v>10065</v>
      </c>
      <c r="F19" s="19" t="s">
        <v>22</v>
      </c>
      <c r="G19" s="27">
        <v>0</v>
      </c>
      <c r="J19">
        <f>VLOOKUP(A19, TOCA_previous!$A$3:$D$136, 4, FALSE)</f>
        <v>0</v>
      </c>
      <c r="K19">
        <f>VLOOKUP(E19, TOCA_current!A16:D150, 4, FALSE)</f>
        <v>0</v>
      </c>
      <c r="O19" s="52"/>
    </row>
    <row r="20" spans="1:15">
      <c r="A20" s="24">
        <v>10066</v>
      </c>
      <c r="B20" s="19" t="s">
        <v>23</v>
      </c>
      <c r="C20" s="27">
        <v>0</v>
      </c>
      <c r="E20" s="24">
        <v>10066</v>
      </c>
      <c r="F20" s="19" t="s">
        <v>23</v>
      </c>
      <c r="G20" s="27">
        <v>0</v>
      </c>
      <c r="J20">
        <f>VLOOKUP(A20, TOCA_previous!$A$3:$D$136, 4, FALSE)</f>
        <v>0</v>
      </c>
      <c r="K20">
        <f>VLOOKUP(E20, TOCA_current!A17:D151, 4, FALSE)</f>
        <v>0</v>
      </c>
      <c r="O20" s="52"/>
    </row>
    <row r="21" spans="1:15">
      <c r="A21" s="24">
        <v>10067</v>
      </c>
      <c r="B21" s="19" t="s">
        <v>24</v>
      </c>
      <c r="C21" s="27">
        <v>0</v>
      </c>
      <c r="E21" s="24">
        <v>10067</v>
      </c>
      <c r="F21" s="19" t="s">
        <v>24</v>
      </c>
      <c r="G21" s="27">
        <v>0</v>
      </c>
      <c r="J21">
        <f>VLOOKUP(A21, TOCA_previous!$A$3:$D$136, 4, FALSE)</f>
        <v>0</v>
      </c>
      <c r="K21">
        <f>VLOOKUP(E21, TOCA_current!A18:D152, 4, FALSE)</f>
        <v>0</v>
      </c>
      <c r="O21" s="52"/>
    </row>
    <row r="22" spans="1:15">
      <c r="A22" s="24">
        <v>10068</v>
      </c>
      <c r="B22" s="19" t="s">
        <v>25</v>
      </c>
      <c r="C22" s="27">
        <v>0</v>
      </c>
      <c r="E22" s="24">
        <v>10068</v>
      </c>
      <c r="F22" s="19" t="s">
        <v>25</v>
      </c>
      <c r="G22" s="27">
        <v>0</v>
      </c>
      <c r="J22">
        <f>VLOOKUP(A22, TOCA_previous!$A$3:$D$136, 4, FALSE)</f>
        <v>0</v>
      </c>
      <c r="K22">
        <f>VLOOKUP(E22, TOCA_current!A19:D153, 4, FALSE)</f>
        <v>0</v>
      </c>
      <c r="O22" s="52"/>
    </row>
    <row r="23" spans="1:15">
      <c r="A23" s="24">
        <v>10070</v>
      </c>
      <c r="B23" s="19" t="s">
        <v>26</v>
      </c>
      <c r="C23" s="27">
        <v>0</v>
      </c>
      <c r="E23" s="24">
        <v>10070</v>
      </c>
      <c r="F23" s="19" t="s">
        <v>26</v>
      </c>
      <c r="G23" s="27">
        <v>0</v>
      </c>
      <c r="J23">
        <f>VLOOKUP(A23, TOCA_previous!$A$3:$D$136, 4, FALSE)</f>
        <v>0</v>
      </c>
      <c r="K23">
        <f>VLOOKUP(E23, TOCA_current!A20:D154, 4, FALSE)</f>
        <v>0</v>
      </c>
      <c r="O23" s="52"/>
    </row>
    <row r="24" spans="1:15">
      <c r="A24" s="24">
        <v>10071</v>
      </c>
      <c r="B24" s="19" t="s">
        <v>27</v>
      </c>
      <c r="C24" s="27">
        <v>0</v>
      </c>
      <c r="E24" s="24">
        <v>10071</v>
      </c>
      <c r="F24" s="19" t="s">
        <v>27</v>
      </c>
      <c r="G24" s="27">
        <v>0</v>
      </c>
      <c r="J24">
        <f>VLOOKUP(A24, TOCA_previous!$A$3:$D$136, 4, FALSE)</f>
        <v>0</v>
      </c>
      <c r="K24">
        <f>VLOOKUP(E24, TOCA_current!A21:D155, 4, FALSE)</f>
        <v>0</v>
      </c>
      <c r="O24" s="52"/>
    </row>
    <row r="25" spans="1:15">
      <c r="A25" s="24">
        <v>10072</v>
      </c>
      <c r="B25" s="19" t="s">
        <v>28</v>
      </c>
      <c r="C25" s="27">
        <v>0</v>
      </c>
      <c r="E25" s="24">
        <v>10072</v>
      </c>
      <c r="F25" s="19" t="s">
        <v>28</v>
      </c>
      <c r="G25" s="27">
        <v>0</v>
      </c>
      <c r="J25">
        <f>VLOOKUP(A25, TOCA_previous!$A$3:$D$136, 4, FALSE)</f>
        <v>0</v>
      </c>
      <c r="K25">
        <f>VLOOKUP(E25, TOCA_current!A22:D156, 4, FALSE)</f>
        <v>0</v>
      </c>
      <c r="O25" s="52"/>
    </row>
    <row r="26" spans="1:15">
      <c r="A26" s="24">
        <v>10074</v>
      </c>
      <c r="B26" s="19" t="s">
        <v>29</v>
      </c>
      <c r="C26" s="27">
        <v>0</v>
      </c>
      <c r="E26" s="24">
        <v>10074</v>
      </c>
      <c r="F26" s="19" t="s">
        <v>29</v>
      </c>
      <c r="G26" s="27">
        <v>0</v>
      </c>
      <c r="J26">
        <f>VLOOKUP(A26, TOCA_previous!$A$3:$D$136, 4, FALSE)</f>
        <v>0</v>
      </c>
      <c r="K26">
        <f>VLOOKUP(E26, TOCA_current!A23:D157, 4, FALSE)</f>
        <v>0</v>
      </c>
      <c r="O26" s="52"/>
    </row>
    <row r="27" spans="1:15">
      <c r="A27" s="24">
        <v>10076</v>
      </c>
      <c r="B27" s="19" t="s">
        <v>30</v>
      </c>
      <c r="C27" s="27">
        <v>0</v>
      </c>
      <c r="E27" s="24">
        <v>10076</v>
      </c>
      <c r="F27" s="19" t="s">
        <v>30</v>
      </c>
      <c r="G27" s="27">
        <v>0</v>
      </c>
      <c r="J27">
        <f>VLOOKUP(A27, TOCA_previous!$A$3:$D$136, 4, FALSE)</f>
        <v>0</v>
      </c>
      <c r="K27">
        <f>VLOOKUP(E27, TOCA_current!A24:D158, 4, FALSE)</f>
        <v>0</v>
      </c>
      <c r="O27" s="52"/>
    </row>
    <row r="28" spans="1:15">
      <c r="A28" s="24">
        <v>10078</v>
      </c>
      <c r="B28" s="19" t="s">
        <v>31</v>
      </c>
      <c r="C28" s="27">
        <v>0</v>
      </c>
      <c r="E28" s="24">
        <v>10078</v>
      </c>
      <c r="F28" s="19" t="s">
        <v>31</v>
      </c>
      <c r="G28" s="27">
        <v>0</v>
      </c>
      <c r="J28">
        <f>VLOOKUP(A28, TOCA_previous!$A$3:$D$136, 4, FALSE)</f>
        <v>0</v>
      </c>
      <c r="K28">
        <f>VLOOKUP(E28, TOCA_current!A25:D159, 4, FALSE)</f>
        <v>0</v>
      </c>
      <c r="O28" s="52"/>
    </row>
    <row r="29" spans="1:15">
      <c r="A29" s="24">
        <v>10079</v>
      </c>
      <c r="B29" s="19" t="s">
        <v>32</v>
      </c>
      <c r="C29" s="27">
        <v>0</v>
      </c>
      <c r="E29" s="24">
        <v>10079</v>
      </c>
      <c r="F29" s="19" t="s">
        <v>32</v>
      </c>
      <c r="G29" s="27">
        <v>0</v>
      </c>
      <c r="J29">
        <f>VLOOKUP(A29, TOCA_previous!$A$3:$D$136, 4, FALSE)</f>
        <v>0</v>
      </c>
      <c r="K29">
        <f>VLOOKUP(E29, TOCA_current!A26:D160, 4, FALSE)</f>
        <v>0</v>
      </c>
      <c r="O29" s="52"/>
    </row>
    <row r="30" spans="1:15">
      <c r="A30" s="24">
        <v>10080</v>
      </c>
      <c r="B30" s="19" t="s">
        <v>33</v>
      </c>
      <c r="C30" s="27">
        <v>0</v>
      </c>
      <c r="E30" s="24">
        <v>10080</v>
      </c>
      <c r="F30" s="19" t="s">
        <v>33</v>
      </c>
      <c r="G30" s="27">
        <v>0</v>
      </c>
      <c r="J30">
        <f>VLOOKUP(A30, TOCA_previous!$A$3:$D$136, 4, FALSE)</f>
        <v>0</v>
      </c>
      <c r="K30">
        <f>VLOOKUP(E30, TOCA_current!A27:D161, 4, FALSE)</f>
        <v>0</v>
      </c>
      <c r="O30" s="52"/>
    </row>
    <row r="31" spans="1:15">
      <c r="A31" s="24">
        <v>10081</v>
      </c>
      <c r="B31" s="19" t="s">
        <v>34</v>
      </c>
      <c r="C31" s="27">
        <v>0</v>
      </c>
      <c r="E31" s="24">
        <v>10081</v>
      </c>
      <c r="F31" s="19" t="s">
        <v>34</v>
      </c>
      <c r="G31" s="27">
        <v>0</v>
      </c>
      <c r="J31">
        <f>VLOOKUP(A31, TOCA_previous!$A$3:$D$136, 4, FALSE)</f>
        <v>0</v>
      </c>
      <c r="K31">
        <f>VLOOKUP(E31, TOCA_current!A28:D162, 4, FALSE)</f>
        <v>0</v>
      </c>
      <c r="O31" s="52"/>
    </row>
    <row r="32" spans="1:15">
      <c r="A32" s="24">
        <v>10082</v>
      </c>
      <c r="B32" s="19" t="s">
        <v>35</v>
      </c>
      <c r="C32" s="27">
        <v>0</v>
      </c>
      <c r="E32" s="24">
        <v>10082</v>
      </c>
      <c r="F32" s="19" t="s">
        <v>35</v>
      </c>
      <c r="G32" s="27">
        <v>0</v>
      </c>
      <c r="J32">
        <f>VLOOKUP(A32, TOCA_previous!$A$3:$D$136, 4, FALSE)</f>
        <v>0</v>
      </c>
      <c r="K32">
        <f>VLOOKUP(E32, TOCA_current!A29:D163, 4, FALSE)</f>
        <v>0</v>
      </c>
      <c r="O32" s="52"/>
    </row>
    <row r="33" spans="1:15">
      <c r="A33" s="24">
        <v>10083</v>
      </c>
      <c r="B33" s="19" t="s">
        <v>36</v>
      </c>
      <c r="C33" s="27">
        <v>0</v>
      </c>
      <c r="E33" s="24">
        <v>10083</v>
      </c>
      <c r="F33" s="19" t="s">
        <v>36</v>
      </c>
      <c r="G33" s="27">
        <v>0</v>
      </c>
      <c r="J33">
        <f>VLOOKUP(A33, TOCA_previous!$A$3:$D$136, 4, FALSE)</f>
        <v>0</v>
      </c>
      <c r="K33">
        <f>VLOOKUP(E33, TOCA_current!A30:D164, 4, FALSE)</f>
        <v>0</v>
      </c>
      <c r="O33" s="52"/>
    </row>
    <row r="34" spans="1:15">
      <c r="A34" s="24">
        <v>10086</v>
      </c>
      <c r="B34" s="19" t="s">
        <v>37</v>
      </c>
      <c r="C34" s="27">
        <v>0</v>
      </c>
      <c r="E34" s="24">
        <v>10086</v>
      </c>
      <c r="F34" s="19" t="s">
        <v>37</v>
      </c>
      <c r="G34" s="27">
        <v>0</v>
      </c>
      <c r="J34">
        <f>VLOOKUP(A34, TOCA_previous!$A$3:$D$136, 4, FALSE)</f>
        <v>0</v>
      </c>
      <c r="K34">
        <f>VLOOKUP(E34, TOCA_current!A31:D165, 4, FALSE)</f>
        <v>0</v>
      </c>
      <c r="O34" s="52"/>
    </row>
    <row r="35" spans="1:15">
      <c r="A35" s="24">
        <v>10087</v>
      </c>
      <c r="B35" s="19" t="s">
        <v>38</v>
      </c>
      <c r="C35" s="27">
        <v>0</v>
      </c>
      <c r="E35" s="24">
        <v>10087</v>
      </c>
      <c r="F35" s="19" t="s">
        <v>38</v>
      </c>
      <c r="G35" s="27">
        <v>0</v>
      </c>
      <c r="J35">
        <f>VLOOKUP(A35, TOCA_previous!$A$3:$D$136, 4, FALSE)</f>
        <v>0</v>
      </c>
      <c r="K35">
        <f>VLOOKUP(E35, TOCA_current!A32:D166, 4, FALSE)</f>
        <v>0</v>
      </c>
      <c r="O35" s="52"/>
    </row>
    <row r="36" spans="1:15">
      <c r="A36" s="24">
        <v>10089</v>
      </c>
      <c r="B36" s="19" t="s">
        <v>39</v>
      </c>
      <c r="C36" s="27">
        <v>0</v>
      </c>
      <c r="E36" s="24">
        <v>10089</v>
      </c>
      <c r="F36" s="19" t="s">
        <v>39</v>
      </c>
      <c r="G36" s="27">
        <v>0</v>
      </c>
      <c r="J36">
        <f>VLOOKUP(A36, TOCA_previous!$A$3:$D$136, 4, FALSE)</f>
        <v>0</v>
      </c>
      <c r="K36">
        <f>VLOOKUP(E36, TOCA_current!A33:D167, 4, FALSE)</f>
        <v>0</v>
      </c>
      <c r="O36" s="52"/>
    </row>
    <row r="37" spans="1:15">
      <c r="A37" s="24">
        <v>10091</v>
      </c>
      <c r="B37" s="19" t="s">
        <v>40</v>
      </c>
      <c r="C37" s="27">
        <v>0</v>
      </c>
      <c r="E37" s="24">
        <v>10091</v>
      </c>
      <c r="F37" s="19" t="s">
        <v>40</v>
      </c>
      <c r="G37" s="27">
        <v>0</v>
      </c>
      <c r="J37">
        <f>VLOOKUP(A37, TOCA_previous!$A$3:$D$136, 4, FALSE)</f>
        <v>0</v>
      </c>
      <c r="K37">
        <f>VLOOKUP(E37, TOCA_current!A34:D168, 4, FALSE)</f>
        <v>0</v>
      </c>
      <c r="O37" s="52"/>
    </row>
    <row r="38" spans="1:15">
      <c r="A38" s="24">
        <v>10094</v>
      </c>
      <c r="B38" s="19" t="s">
        <v>41</v>
      </c>
      <c r="C38" s="27">
        <v>0</v>
      </c>
      <c r="E38" s="24">
        <v>10094</v>
      </c>
      <c r="F38" s="19" t="s">
        <v>41</v>
      </c>
      <c r="G38" s="27">
        <v>0</v>
      </c>
      <c r="J38">
        <f>VLOOKUP(A38, TOCA_previous!$A$3:$D$136, 4, FALSE)</f>
        <v>0</v>
      </c>
      <c r="K38">
        <f>VLOOKUP(E38, TOCA_current!A35:D169, 4, FALSE)</f>
        <v>0</v>
      </c>
      <c r="O38" s="52"/>
    </row>
    <row r="39" spans="1:15">
      <c r="A39" s="24">
        <v>10095</v>
      </c>
      <c r="B39" s="19" t="s">
        <v>42</v>
      </c>
      <c r="C39" s="27">
        <v>0</v>
      </c>
      <c r="E39" s="24">
        <v>10095</v>
      </c>
      <c r="F39" s="19" t="s">
        <v>42</v>
      </c>
      <c r="G39" s="27">
        <v>0</v>
      </c>
      <c r="J39">
        <f>VLOOKUP(A39, TOCA_previous!$A$3:$D$136, 4, FALSE)</f>
        <v>0</v>
      </c>
      <c r="K39">
        <f>VLOOKUP(E39, TOCA_current!A36:D170, 4, FALSE)</f>
        <v>0</v>
      </c>
      <c r="O39" s="52"/>
    </row>
    <row r="40" spans="1:15">
      <c r="A40" s="24">
        <v>10097</v>
      </c>
      <c r="B40" s="19" t="s">
        <v>43</v>
      </c>
      <c r="C40" s="27">
        <v>0</v>
      </c>
      <c r="E40" s="24">
        <v>10097</v>
      </c>
      <c r="F40" s="19" t="s">
        <v>43</v>
      </c>
      <c r="G40" s="27">
        <v>0</v>
      </c>
      <c r="J40">
        <f>VLOOKUP(A40, TOCA_previous!$A$3:$D$136, 4, FALSE)</f>
        <v>0</v>
      </c>
      <c r="K40">
        <f>VLOOKUP(E40, TOCA_current!A37:D171, 4, FALSE)</f>
        <v>0</v>
      </c>
      <c r="O40" s="52"/>
    </row>
    <row r="41" spans="1:15">
      <c r="A41" s="24">
        <v>10101</v>
      </c>
      <c r="B41" s="19" t="s">
        <v>44</v>
      </c>
      <c r="C41" s="27">
        <v>0</v>
      </c>
      <c r="E41" s="24">
        <v>10101</v>
      </c>
      <c r="F41" s="19" t="s">
        <v>44</v>
      </c>
      <c r="G41" s="27">
        <v>0</v>
      </c>
      <c r="J41">
        <f>VLOOKUP(A41, TOCA_previous!$A$3:$D$136, 4, FALSE)</f>
        <v>0</v>
      </c>
      <c r="K41">
        <f>VLOOKUP(E41, TOCA_current!A38:D172, 4, FALSE)</f>
        <v>0</v>
      </c>
      <c r="O41" s="52"/>
    </row>
    <row r="42" spans="1:15">
      <c r="A42" s="24">
        <v>10103</v>
      </c>
      <c r="B42" s="19" t="s">
        <v>45</v>
      </c>
      <c r="C42" s="27">
        <v>0</v>
      </c>
      <c r="E42" s="24">
        <v>10103</v>
      </c>
      <c r="F42" s="19" t="s">
        <v>45</v>
      </c>
      <c r="G42" s="27">
        <v>0</v>
      </c>
      <c r="J42">
        <f>VLOOKUP(A42, TOCA_previous!$A$3:$D$136, 4, FALSE)</f>
        <v>0</v>
      </c>
      <c r="K42">
        <f>VLOOKUP(E42, TOCA_current!A39:D173, 4, FALSE)</f>
        <v>0</v>
      </c>
      <c r="O42" s="52"/>
    </row>
    <row r="43" spans="1:15">
      <c r="A43" s="24">
        <v>10105</v>
      </c>
      <c r="B43" s="19" t="s">
        <v>46</v>
      </c>
      <c r="C43" s="27">
        <v>0</v>
      </c>
      <c r="E43" s="24">
        <v>10105</v>
      </c>
      <c r="F43" s="19" t="s">
        <v>46</v>
      </c>
      <c r="G43" s="27">
        <v>0</v>
      </c>
      <c r="J43">
        <f>VLOOKUP(A43, TOCA_previous!$A$3:$D$136, 4, FALSE)</f>
        <v>0</v>
      </c>
      <c r="K43">
        <f>VLOOKUP(E43, TOCA_current!A40:D174, 4, FALSE)</f>
        <v>0</v>
      </c>
      <c r="O43" s="52"/>
    </row>
    <row r="44" spans="1:15">
      <c r="A44" s="24">
        <v>10106</v>
      </c>
      <c r="B44" s="19" t="s">
        <v>47</v>
      </c>
      <c r="C44" s="27">
        <v>0</v>
      </c>
      <c r="E44" s="24">
        <v>10106</v>
      </c>
      <c r="F44" s="19" t="s">
        <v>47</v>
      </c>
      <c r="G44" s="27">
        <v>0</v>
      </c>
      <c r="J44">
        <f>VLOOKUP(A44, TOCA_previous!$A$3:$D$136, 4, FALSE)</f>
        <v>1</v>
      </c>
      <c r="K44">
        <f>VLOOKUP(E44, TOCA_current!A41:D175, 4, FALSE)</f>
        <v>1</v>
      </c>
      <c r="O44" s="52"/>
    </row>
    <row r="45" spans="1:15">
      <c r="A45" s="24">
        <v>10109</v>
      </c>
      <c r="B45" s="19" t="s">
        <v>48</v>
      </c>
      <c r="C45" s="27">
        <v>21100.335000000003</v>
      </c>
      <c r="E45" s="24">
        <v>10109</v>
      </c>
      <c r="F45" s="19" t="s">
        <v>48</v>
      </c>
      <c r="G45" s="27">
        <v>21100.335000000003</v>
      </c>
      <c r="J45">
        <f>VLOOKUP(A45, TOCA_previous!$A$3:$D$136, 4, FALSE)</f>
        <v>0</v>
      </c>
      <c r="K45">
        <f>VLOOKUP(E45, TOCA_current!A42:D176, 4, FALSE)</f>
        <v>0</v>
      </c>
      <c r="O45" s="52"/>
    </row>
    <row r="46" spans="1:15">
      <c r="A46" s="24">
        <v>10111</v>
      </c>
      <c r="B46" s="19" t="s">
        <v>49</v>
      </c>
      <c r="C46" s="27">
        <v>5227.6489999999994</v>
      </c>
      <c r="E46" s="24">
        <v>10111</v>
      </c>
      <c r="F46" s="19" t="s">
        <v>49</v>
      </c>
      <c r="G46" s="27">
        <v>5227.6489999999994</v>
      </c>
      <c r="J46">
        <f>VLOOKUP(A46, TOCA_previous!$A$3:$D$136, 4, FALSE)</f>
        <v>0</v>
      </c>
      <c r="K46">
        <f>VLOOKUP(E46, TOCA_current!A43:D177, 4, FALSE)</f>
        <v>0</v>
      </c>
      <c r="O46" s="52"/>
    </row>
    <row r="47" spans="1:15">
      <c r="A47" s="24">
        <v>10112</v>
      </c>
      <c r="B47" s="19" t="s">
        <v>50</v>
      </c>
      <c r="C47" s="27">
        <v>0</v>
      </c>
      <c r="E47" s="24">
        <v>10112</v>
      </c>
      <c r="F47" s="19" t="s">
        <v>50</v>
      </c>
      <c r="G47" s="27">
        <v>0</v>
      </c>
      <c r="J47">
        <f>VLOOKUP(A47, TOCA_previous!$A$3:$D$136, 4, FALSE)</f>
        <v>0</v>
      </c>
      <c r="K47">
        <f>VLOOKUP(E47, TOCA_current!A44:D178, 4, FALSE)</f>
        <v>0</v>
      </c>
      <c r="O47" s="52"/>
    </row>
    <row r="48" spans="1:15">
      <c r="A48" s="24">
        <v>10113</v>
      </c>
      <c r="B48" s="19" t="s">
        <v>51</v>
      </c>
      <c r="C48" s="27">
        <v>134655.962</v>
      </c>
      <c r="E48" s="24">
        <v>10113</v>
      </c>
      <c r="F48" s="19" t="s">
        <v>51</v>
      </c>
      <c r="G48" s="27">
        <v>134655.962</v>
      </c>
      <c r="J48">
        <f>VLOOKUP(A48, TOCA_previous!$A$3:$D$136, 4, FALSE)</f>
        <v>0</v>
      </c>
      <c r="K48">
        <f>VLOOKUP(E48, TOCA_current!A45:D179, 4, FALSE)</f>
        <v>0</v>
      </c>
      <c r="O48" s="52"/>
    </row>
    <row r="49" spans="1:15">
      <c r="A49" s="24">
        <v>10116</v>
      </c>
      <c r="B49" s="19" t="s">
        <v>52</v>
      </c>
      <c r="C49" s="27">
        <v>0</v>
      </c>
      <c r="E49" s="24">
        <v>10116</v>
      </c>
      <c r="F49" s="19" t="s">
        <v>52</v>
      </c>
      <c r="G49" s="27">
        <v>0</v>
      </c>
      <c r="J49">
        <f>VLOOKUP(A49, TOCA_previous!$A$3:$D$136, 4, FALSE)</f>
        <v>0</v>
      </c>
      <c r="K49">
        <f>VLOOKUP(E49, TOCA_current!A46:D180, 4, FALSE)</f>
        <v>0</v>
      </c>
      <c r="O49" s="52"/>
    </row>
    <row r="50" spans="1:15">
      <c r="A50" s="24">
        <v>10118</v>
      </c>
      <c r="B50" s="19" t="s">
        <v>53</v>
      </c>
      <c r="C50" s="27">
        <v>0</v>
      </c>
      <c r="E50" s="24">
        <v>10118</v>
      </c>
      <c r="F50" s="19" t="s">
        <v>53</v>
      </c>
      <c r="G50" s="27">
        <v>0</v>
      </c>
      <c r="J50">
        <f>VLOOKUP(A50, TOCA_previous!$A$3:$D$136, 4, FALSE)</f>
        <v>1</v>
      </c>
      <c r="K50">
        <f>VLOOKUP(E50, TOCA_current!A47:D181, 4, FALSE)</f>
        <v>1</v>
      </c>
      <c r="O50" s="52"/>
    </row>
    <row r="51" spans="1:15">
      <c r="A51" s="24">
        <v>10121</v>
      </c>
      <c r="B51" s="19" t="s">
        <v>54</v>
      </c>
      <c r="C51" s="27">
        <v>0</v>
      </c>
      <c r="E51" s="24">
        <v>10121</v>
      </c>
      <c r="F51" s="19" t="s">
        <v>54</v>
      </c>
      <c r="G51" s="27">
        <v>0</v>
      </c>
      <c r="J51">
        <f>VLOOKUP(A51, TOCA_previous!$A$3:$D$136, 4, FALSE)</f>
        <v>1</v>
      </c>
      <c r="K51">
        <f>VLOOKUP(E51, TOCA_current!A48:D182, 4, FALSE)</f>
        <v>1</v>
      </c>
      <c r="O51" s="52"/>
    </row>
    <row r="52" spans="1:15">
      <c r="A52" s="24">
        <v>10123</v>
      </c>
      <c r="B52" s="19" t="s">
        <v>55</v>
      </c>
      <c r="C52" s="27">
        <v>0</v>
      </c>
      <c r="E52" s="24">
        <v>10123</v>
      </c>
      <c r="F52" s="19" t="s">
        <v>55</v>
      </c>
      <c r="G52" s="27">
        <v>0</v>
      </c>
      <c r="J52">
        <f>VLOOKUP(A52, TOCA_previous!$A$3:$D$136, 4, FALSE)</f>
        <v>0</v>
      </c>
      <c r="K52">
        <f>VLOOKUP(E52, TOCA_current!A49:D183, 4, FALSE)</f>
        <v>0</v>
      </c>
      <c r="O52" s="52"/>
    </row>
    <row r="53" spans="1:15">
      <c r="A53" s="24">
        <v>10136</v>
      </c>
      <c r="B53" s="19" t="s">
        <v>56</v>
      </c>
      <c r="C53" s="27">
        <v>0</v>
      </c>
      <c r="E53" s="24">
        <v>10136</v>
      </c>
      <c r="F53" s="19" t="s">
        <v>56</v>
      </c>
      <c r="G53" s="27">
        <v>0</v>
      </c>
      <c r="J53">
        <f>VLOOKUP(A53, TOCA_previous!$A$3:$D$136, 4, FALSE)</f>
        <v>1</v>
      </c>
      <c r="K53">
        <f>VLOOKUP(E53, TOCA_current!A50:D184, 4, FALSE)</f>
        <v>1</v>
      </c>
      <c r="O53" s="52"/>
    </row>
    <row r="54" spans="1:15">
      <c r="A54" s="24">
        <v>10142</v>
      </c>
      <c r="B54" s="19" t="s">
        <v>57</v>
      </c>
      <c r="C54" s="27">
        <v>5769.4840000000004</v>
      </c>
      <c r="E54" s="24">
        <v>10142</v>
      </c>
      <c r="F54" s="19" t="s">
        <v>57</v>
      </c>
      <c r="G54" s="27">
        <v>5769.4840000000004</v>
      </c>
      <c r="J54">
        <f>VLOOKUP(A54, TOCA_previous!$A$3:$D$136, 4, FALSE)</f>
        <v>0</v>
      </c>
      <c r="K54">
        <f>VLOOKUP(E54, TOCA_current!A51:D185, 4, FALSE)</f>
        <v>0</v>
      </c>
      <c r="O54" s="52"/>
    </row>
    <row r="55" spans="1:15">
      <c r="A55" s="24">
        <v>10144</v>
      </c>
      <c r="B55" s="19" t="s">
        <v>58</v>
      </c>
      <c r="C55" s="27">
        <v>0</v>
      </c>
      <c r="E55" s="24">
        <v>10144</v>
      </c>
      <c r="F55" s="19" t="s">
        <v>58</v>
      </c>
      <c r="G55" s="27">
        <v>0</v>
      </c>
      <c r="J55">
        <f>VLOOKUP(A55, TOCA_previous!$A$3:$D$136, 4, FALSE)</f>
        <v>0</v>
      </c>
      <c r="K55">
        <f>VLOOKUP(E55, TOCA_current!A52:D186, 4, FALSE)</f>
        <v>0</v>
      </c>
      <c r="O55" s="52"/>
    </row>
    <row r="56" spans="1:15">
      <c r="A56" s="24">
        <v>10156</v>
      </c>
      <c r="B56" s="19" t="s">
        <v>59</v>
      </c>
      <c r="C56" s="27">
        <v>0</v>
      </c>
      <c r="E56" s="24">
        <v>10156</v>
      </c>
      <c r="F56" s="19" t="s">
        <v>59</v>
      </c>
      <c r="G56" s="27">
        <v>0</v>
      </c>
      <c r="J56">
        <f>VLOOKUP(A56, TOCA_previous!$A$3:$D$136, 4, FALSE)</f>
        <v>0</v>
      </c>
      <c r="K56">
        <f>VLOOKUP(E56, TOCA_current!A53:D187, 4, FALSE)</f>
        <v>0</v>
      </c>
      <c r="O56" s="52"/>
    </row>
    <row r="57" spans="1:15">
      <c r="A57" s="24">
        <v>10157</v>
      </c>
      <c r="B57" s="19" t="s">
        <v>60</v>
      </c>
      <c r="C57" s="27">
        <v>0</v>
      </c>
      <c r="E57" s="24">
        <v>10157</v>
      </c>
      <c r="F57" s="19" t="s">
        <v>60</v>
      </c>
      <c r="G57" s="27">
        <v>0</v>
      </c>
      <c r="J57">
        <f>VLOOKUP(A57, TOCA_previous!$A$3:$D$136, 4, FALSE)</f>
        <v>0</v>
      </c>
      <c r="K57">
        <f>VLOOKUP(E57, TOCA_current!A54:D188, 4, FALSE)</f>
        <v>0</v>
      </c>
      <c r="O57" s="52"/>
    </row>
    <row r="58" spans="1:15">
      <c r="A58" s="24">
        <v>10158</v>
      </c>
      <c r="B58" s="19" t="s">
        <v>61</v>
      </c>
      <c r="C58" s="27">
        <v>0</v>
      </c>
      <c r="E58" s="24">
        <v>10158</v>
      </c>
      <c r="F58" s="19" t="s">
        <v>61</v>
      </c>
      <c r="G58" s="27">
        <v>0</v>
      </c>
      <c r="J58">
        <f>VLOOKUP(A58, TOCA_previous!$A$3:$D$136, 4, FALSE)</f>
        <v>0</v>
      </c>
      <c r="K58">
        <f>VLOOKUP(E58, TOCA_current!A55:D189, 4, FALSE)</f>
        <v>0</v>
      </c>
      <c r="O58" s="52"/>
    </row>
    <row r="59" spans="1:15">
      <c r="A59" s="24">
        <v>10170</v>
      </c>
      <c r="B59" s="19" t="s">
        <v>62</v>
      </c>
      <c r="C59" s="27">
        <v>0</v>
      </c>
      <c r="E59" s="24">
        <v>10170</v>
      </c>
      <c r="F59" s="19" t="s">
        <v>62</v>
      </c>
      <c r="G59" s="27">
        <v>0</v>
      </c>
      <c r="J59">
        <f>VLOOKUP(A59, TOCA_previous!$A$3:$D$136, 4, FALSE)</f>
        <v>0</v>
      </c>
      <c r="K59">
        <f>VLOOKUP(E59, TOCA_current!A56:D190, 4, FALSE)</f>
        <v>0</v>
      </c>
      <c r="O59" s="52"/>
    </row>
    <row r="60" spans="1:15">
      <c r="A60" s="24">
        <v>10172</v>
      </c>
      <c r="B60" s="19" t="s">
        <v>63</v>
      </c>
      <c r="C60" s="27">
        <v>0</v>
      </c>
      <c r="E60" s="24">
        <v>10172</v>
      </c>
      <c r="F60" s="19" t="s">
        <v>63</v>
      </c>
      <c r="G60" s="27">
        <v>0</v>
      </c>
      <c r="J60">
        <f>VLOOKUP(A60, TOCA_previous!$A$3:$D$136, 4, FALSE)</f>
        <v>0</v>
      </c>
      <c r="K60">
        <f>VLOOKUP(E60, TOCA_current!A57:D191, 4, FALSE)</f>
        <v>0</v>
      </c>
      <c r="O60" s="52"/>
    </row>
    <row r="61" spans="1:15">
      <c r="A61" s="24">
        <v>10173</v>
      </c>
      <c r="B61" s="19" t="s">
        <v>64</v>
      </c>
      <c r="C61" s="27">
        <v>44309.995999999999</v>
      </c>
      <c r="E61" s="24">
        <v>10173</v>
      </c>
      <c r="F61" s="19" t="s">
        <v>64</v>
      </c>
      <c r="G61" s="27">
        <v>44309.995999999999</v>
      </c>
      <c r="J61">
        <f>VLOOKUP(A61, TOCA_previous!$A$3:$D$136, 4, FALSE)</f>
        <v>1</v>
      </c>
      <c r="K61">
        <f>VLOOKUP(E61, TOCA_current!A58:D192, 4, FALSE)</f>
        <v>1</v>
      </c>
      <c r="O61" s="52"/>
    </row>
    <row r="62" spans="1:15">
      <c r="A62" s="24">
        <v>10174</v>
      </c>
      <c r="B62" s="19" t="s">
        <v>65</v>
      </c>
      <c r="C62" s="27">
        <v>0</v>
      </c>
      <c r="E62" s="24">
        <v>10174</v>
      </c>
      <c r="F62" s="19" t="s">
        <v>65</v>
      </c>
      <c r="G62" s="27">
        <v>0</v>
      </c>
      <c r="J62">
        <f>VLOOKUP(A62, TOCA_previous!$A$3:$D$136, 4, FALSE)</f>
        <v>0</v>
      </c>
      <c r="K62">
        <f>VLOOKUP(E62, TOCA_current!A59:D193, 4, FALSE)</f>
        <v>0</v>
      </c>
      <c r="O62" s="52"/>
    </row>
    <row r="63" spans="1:15">
      <c r="A63" s="24">
        <v>10177</v>
      </c>
      <c r="B63" s="19" t="s">
        <v>66</v>
      </c>
      <c r="C63" s="27">
        <v>0</v>
      </c>
      <c r="E63" s="24">
        <v>10177</v>
      </c>
      <c r="F63" s="19" t="s">
        <v>66</v>
      </c>
      <c r="G63" s="27">
        <v>0</v>
      </c>
      <c r="J63">
        <f>VLOOKUP(A63, TOCA_previous!$A$3:$D$136, 4, FALSE)</f>
        <v>0</v>
      </c>
      <c r="K63">
        <f>VLOOKUP(E63, TOCA_current!A60:D194, 4, FALSE)</f>
        <v>0</v>
      </c>
      <c r="O63" s="52"/>
    </row>
    <row r="64" spans="1:15">
      <c r="A64" s="24">
        <v>10179</v>
      </c>
      <c r="B64" s="19" t="s">
        <v>67</v>
      </c>
      <c r="C64" s="27">
        <v>0</v>
      </c>
      <c r="E64" s="24">
        <v>10179</v>
      </c>
      <c r="F64" s="19" t="s">
        <v>67</v>
      </c>
      <c r="G64" s="27">
        <v>0</v>
      </c>
      <c r="J64">
        <f>VLOOKUP(A64, TOCA_previous!$A$3:$D$136, 4, FALSE)</f>
        <v>1</v>
      </c>
      <c r="K64">
        <f>VLOOKUP(E64, TOCA_current!A61:D195, 4, FALSE)</f>
        <v>1</v>
      </c>
      <c r="O64" s="52"/>
    </row>
    <row r="65" spans="1:15">
      <c r="A65" s="24">
        <v>10183</v>
      </c>
      <c r="B65" s="19" t="s">
        <v>68</v>
      </c>
      <c r="C65" s="27">
        <v>94407.247000000003</v>
      </c>
      <c r="E65" s="24">
        <v>10183</v>
      </c>
      <c r="F65" s="19" t="s">
        <v>68</v>
      </c>
      <c r="G65" s="27">
        <v>94407.247000000003</v>
      </c>
      <c r="J65">
        <f>VLOOKUP(A65, TOCA_previous!$A$3:$D$136, 4, FALSE)</f>
        <v>0</v>
      </c>
      <c r="K65">
        <f>VLOOKUP(E65, TOCA_current!A62:D196, 4, FALSE)</f>
        <v>0</v>
      </c>
      <c r="O65" s="52"/>
    </row>
    <row r="66" spans="1:15">
      <c r="A66" s="24">
        <v>10186</v>
      </c>
      <c r="B66" s="19" t="s">
        <v>69</v>
      </c>
      <c r="C66" s="27">
        <v>0</v>
      </c>
      <c r="E66" s="24">
        <v>10186</v>
      </c>
      <c r="F66" s="19" t="s">
        <v>69</v>
      </c>
      <c r="G66" s="27">
        <v>0</v>
      </c>
      <c r="J66">
        <f>VLOOKUP(A66, TOCA_previous!$A$3:$D$136, 4, FALSE)</f>
        <v>0</v>
      </c>
      <c r="K66">
        <f>VLOOKUP(E66, TOCA_current!A63:D197, 4, FALSE)</f>
        <v>0</v>
      </c>
      <c r="O66" s="52"/>
    </row>
    <row r="67" spans="1:15">
      <c r="A67" s="24">
        <v>10190</v>
      </c>
      <c r="B67" s="19" t="s">
        <v>70</v>
      </c>
      <c r="C67" s="27">
        <v>0</v>
      </c>
      <c r="E67" s="24">
        <v>10190</v>
      </c>
      <c r="F67" s="19" t="s">
        <v>70</v>
      </c>
      <c r="G67" s="27">
        <v>0</v>
      </c>
      <c r="J67">
        <f>VLOOKUP(A67, TOCA_previous!$A$3:$D$136, 4, FALSE)</f>
        <v>0</v>
      </c>
      <c r="K67">
        <f>VLOOKUP(E67, TOCA_current!A64:D198, 4, FALSE)</f>
        <v>0</v>
      </c>
      <c r="O67" s="52"/>
    </row>
    <row r="68" spans="1:15">
      <c r="A68" s="24">
        <v>10191</v>
      </c>
      <c r="B68" s="19" t="s">
        <v>71</v>
      </c>
      <c r="C68" s="27">
        <v>0</v>
      </c>
      <c r="E68" s="24">
        <v>10191</v>
      </c>
      <c r="F68" s="19" t="s">
        <v>71</v>
      </c>
      <c r="G68" s="27">
        <v>0</v>
      </c>
      <c r="J68">
        <f>VLOOKUP(A68, TOCA_previous!$A$3:$D$136, 4, FALSE)</f>
        <v>0</v>
      </c>
      <c r="K68">
        <f>VLOOKUP(E68, TOCA_current!A65:D199, 4, FALSE)</f>
        <v>0</v>
      </c>
      <c r="O68" s="52"/>
    </row>
    <row r="69" spans="1:15">
      <c r="A69" s="24">
        <v>10197</v>
      </c>
      <c r="B69" s="19" t="s">
        <v>72</v>
      </c>
      <c r="C69" s="27">
        <v>99899.204999999987</v>
      </c>
      <c r="E69" s="24">
        <v>10197</v>
      </c>
      <c r="F69" s="19" t="s">
        <v>72</v>
      </c>
      <c r="G69" s="27">
        <v>99899.204999999987</v>
      </c>
      <c r="J69">
        <f>VLOOKUP(A69, TOCA_previous!$A$3:$D$136, 4, FALSE)</f>
        <v>0</v>
      </c>
      <c r="K69">
        <f>VLOOKUP(E69, TOCA_current!A66:D200, 4, FALSE)</f>
        <v>0</v>
      </c>
      <c r="O69" s="52"/>
    </row>
    <row r="70" spans="1:15">
      <c r="A70" s="24">
        <v>10202</v>
      </c>
      <c r="B70" s="19" t="s">
        <v>73</v>
      </c>
      <c r="C70" s="27">
        <v>0</v>
      </c>
      <c r="E70" s="24">
        <v>10202</v>
      </c>
      <c r="F70" s="19" t="s">
        <v>73</v>
      </c>
      <c r="G70" s="27">
        <v>0</v>
      </c>
      <c r="J70">
        <f>VLOOKUP(A70, TOCA_previous!$A$3:$D$136, 4, FALSE)</f>
        <v>0</v>
      </c>
      <c r="K70">
        <f>VLOOKUP(E70, TOCA_current!A67:D201, 4, FALSE)</f>
        <v>0</v>
      </c>
      <c r="O70" s="52"/>
    </row>
    <row r="71" spans="1:15">
      <c r="A71" s="24">
        <v>10203</v>
      </c>
      <c r="B71" s="19" t="s">
        <v>74</v>
      </c>
      <c r="C71" s="27">
        <v>0</v>
      </c>
      <c r="E71" s="24">
        <v>10203</v>
      </c>
      <c r="F71" s="19" t="s">
        <v>74</v>
      </c>
      <c r="G71" s="27">
        <v>0</v>
      </c>
      <c r="J71">
        <f>VLOOKUP(A71, TOCA_previous!$A$3:$D$136, 4, FALSE)</f>
        <v>0</v>
      </c>
      <c r="K71">
        <f>VLOOKUP(E71, TOCA_current!A68:D202, 4, FALSE)</f>
        <v>0</v>
      </c>
      <c r="O71" s="52"/>
    </row>
    <row r="72" spans="1:15">
      <c r="A72" s="24">
        <v>10204</v>
      </c>
      <c r="B72" s="19" t="s">
        <v>75</v>
      </c>
      <c r="C72" s="27">
        <v>0</v>
      </c>
      <c r="E72" s="24">
        <v>10204</v>
      </c>
      <c r="F72" s="19" t="s">
        <v>75</v>
      </c>
      <c r="G72" s="27">
        <v>0</v>
      </c>
      <c r="J72">
        <f>VLOOKUP(A72, TOCA_previous!$A$3:$D$136, 4, FALSE)</f>
        <v>0</v>
      </c>
      <c r="K72">
        <f>VLOOKUP(E72, TOCA_current!A69:D203, 4, FALSE)</f>
        <v>0</v>
      </c>
      <c r="O72" s="52"/>
    </row>
    <row r="73" spans="1:15">
      <c r="A73" s="24">
        <v>10209</v>
      </c>
      <c r="B73" s="19" t="s">
        <v>76</v>
      </c>
      <c r="C73" s="27">
        <v>60112.701000000001</v>
      </c>
      <c r="E73" s="24">
        <v>10209</v>
      </c>
      <c r="F73" s="19" t="s">
        <v>76</v>
      </c>
      <c r="G73" s="27">
        <v>60112.701000000001</v>
      </c>
      <c r="J73">
        <f>VLOOKUP(A73, TOCA_previous!$A$3:$D$136, 4, FALSE)</f>
        <v>1</v>
      </c>
      <c r="K73">
        <f>VLOOKUP(E73, TOCA_current!A70:D204, 4, FALSE)</f>
        <v>1</v>
      </c>
      <c r="O73" s="52"/>
    </row>
    <row r="74" spans="1:15">
      <c r="A74" s="24">
        <v>10230</v>
      </c>
      <c r="B74" s="19" t="s">
        <v>77</v>
      </c>
      <c r="C74" s="27">
        <v>0</v>
      </c>
      <c r="E74" s="24">
        <v>10230</v>
      </c>
      <c r="F74" s="19" t="s">
        <v>77</v>
      </c>
      <c r="G74" s="27">
        <v>0</v>
      </c>
      <c r="J74">
        <f>VLOOKUP(A74, TOCA_previous!$A$3:$D$136, 4, FALSE)</f>
        <v>0</v>
      </c>
      <c r="K74">
        <f>VLOOKUP(E74, TOCA_current!A71:D205, 4, FALSE)</f>
        <v>0</v>
      </c>
      <c r="O74" s="52"/>
    </row>
    <row r="75" spans="1:15">
      <c r="A75" s="24">
        <v>10231</v>
      </c>
      <c r="B75" s="19" t="s">
        <v>78</v>
      </c>
      <c r="C75" s="27">
        <v>21632.728999999999</v>
      </c>
      <c r="E75" s="24">
        <v>10231</v>
      </c>
      <c r="F75" s="19" t="s">
        <v>78</v>
      </c>
      <c r="G75" s="27">
        <v>21632.728999999999</v>
      </c>
      <c r="J75">
        <f>VLOOKUP(A75, TOCA_previous!$A$3:$D$136, 4, FALSE)</f>
        <v>0</v>
      </c>
      <c r="K75">
        <f>VLOOKUP(E75, TOCA_current!A72:D206, 4, FALSE)</f>
        <v>0</v>
      </c>
      <c r="O75" s="52"/>
    </row>
    <row r="76" spans="1:15">
      <c r="A76" s="24">
        <v>10234</v>
      </c>
      <c r="B76" s="19" t="s">
        <v>79</v>
      </c>
      <c r="C76" s="27">
        <v>0</v>
      </c>
      <c r="E76" s="24">
        <v>10234</v>
      </c>
      <c r="F76" s="19" t="s">
        <v>79</v>
      </c>
      <c r="G76" s="27">
        <v>0</v>
      </c>
      <c r="J76">
        <f>VLOOKUP(A76, TOCA_previous!$A$3:$D$136, 4, FALSE)</f>
        <v>1</v>
      </c>
      <c r="K76">
        <f>VLOOKUP(E76, TOCA_current!A73:D207, 4, FALSE)</f>
        <v>1</v>
      </c>
      <c r="O76" s="52"/>
    </row>
    <row r="77" spans="1:15">
      <c r="A77" s="24">
        <v>10235</v>
      </c>
      <c r="B77" s="19" t="s">
        <v>80</v>
      </c>
      <c r="C77" s="27">
        <v>0</v>
      </c>
      <c r="E77" s="24">
        <v>10235</v>
      </c>
      <c r="F77" s="19" t="s">
        <v>80</v>
      </c>
      <c r="G77" s="27">
        <v>0</v>
      </c>
      <c r="J77">
        <f>VLOOKUP(A77, TOCA_previous!$A$3:$D$136, 4, FALSE)</f>
        <v>0</v>
      </c>
      <c r="K77">
        <f>VLOOKUP(E77, TOCA_current!A74:D208, 4, FALSE)</f>
        <v>0</v>
      </c>
      <c r="O77" s="52"/>
    </row>
    <row r="78" spans="1:15">
      <c r="A78" s="24">
        <v>10236</v>
      </c>
      <c r="B78" s="19" t="s">
        <v>81</v>
      </c>
      <c r="C78" s="27">
        <v>0</v>
      </c>
      <c r="E78" s="24">
        <v>10236</v>
      </c>
      <c r="F78" s="19" t="s">
        <v>81</v>
      </c>
      <c r="G78" s="27">
        <v>0</v>
      </c>
      <c r="J78">
        <f>VLOOKUP(A78, TOCA_previous!$A$3:$D$136, 4, FALSE)</f>
        <v>1</v>
      </c>
      <c r="K78">
        <f>VLOOKUP(E78, TOCA_current!A75:D209, 4, FALSE)</f>
        <v>1</v>
      </c>
      <c r="O78" s="52"/>
    </row>
    <row r="79" spans="1:15">
      <c r="A79" s="24">
        <v>10237</v>
      </c>
      <c r="B79" s="19" t="s">
        <v>82</v>
      </c>
      <c r="C79" s="27">
        <v>0</v>
      </c>
      <c r="E79" s="24">
        <v>10237</v>
      </c>
      <c r="F79" s="19" t="s">
        <v>82</v>
      </c>
      <c r="G79" s="27">
        <v>0</v>
      </c>
      <c r="J79">
        <f>VLOOKUP(A79, TOCA_previous!$A$3:$D$136, 4, FALSE)</f>
        <v>0</v>
      </c>
      <c r="K79">
        <f>VLOOKUP(E79, TOCA_current!A76:D210, 4, FALSE)</f>
        <v>0</v>
      </c>
      <c r="O79" s="52"/>
    </row>
    <row r="80" spans="1:15">
      <c r="A80" s="24">
        <v>10239</v>
      </c>
      <c r="B80" s="19" t="s">
        <v>83</v>
      </c>
      <c r="C80" s="27">
        <v>0</v>
      </c>
      <c r="E80" s="24">
        <v>10239</v>
      </c>
      <c r="F80" s="19" t="s">
        <v>83</v>
      </c>
      <c r="G80" s="27">
        <v>0</v>
      </c>
      <c r="J80">
        <f>VLOOKUP(A80, TOCA_previous!$A$3:$D$136, 4, FALSE)</f>
        <v>1</v>
      </c>
      <c r="K80">
        <f>VLOOKUP(E80, TOCA_current!A77:D211, 4, FALSE)</f>
        <v>1</v>
      </c>
      <c r="O80" s="52"/>
    </row>
    <row r="81" spans="1:15">
      <c r="A81" s="24">
        <v>10242</v>
      </c>
      <c r="B81" s="19" t="s">
        <v>84</v>
      </c>
      <c r="C81" s="27">
        <v>37558.894</v>
      </c>
      <c r="E81" s="24">
        <v>10242</v>
      </c>
      <c r="F81" s="19" t="s">
        <v>84</v>
      </c>
      <c r="G81" s="27">
        <v>37558.894</v>
      </c>
      <c r="J81">
        <f>VLOOKUP(A81, TOCA_previous!$A$3:$D$136, 4, FALSE)</f>
        <v>0</v>
      </c>
      <c r="K81">
        <f>VLOOKUP(E81, TOCA_current!A78:D212, 4, FALSE)</f>
        <v>0</v>
      </c>
      <c r="O81" s="52"/>
    </row>
    <row r="82" spans="1:15">
      <c r="A82" s="24">
        <v>10244</v>
      </c>
      <c r="B82" s="19" t="s">
        <v>85</v>
      </c>
      <c r="C82" s="27">
        <v>0</v>
      </c>
      <c r="E82" s="24">
        <v>10244</v>
      </c>
      <c r="F82" s="19" t="s">
        <v>85</v>
      </c>
      <c r="G82" s="27">
        <v>0</v>
      </c>
      <c r="J82">
        <f>VLOOKUP(A82, TOCA_previous!$A$3:$D$136, 4, FALSE)</f>
        <v>0</v>
      </c>
      <c r="K82">
        <f>VLOOKUP(E82, TOCA_current!A79:D213, 4, FALSE)</f>
        <v>0</v>
      </c>
      <c r="O82" s="52"/>
    </row>
    <row r="83" spans="1:15">
      <c r="A83" s="24">
        <v>10246</v>
      </c>
      <c r="B83" s="19" t="s">
        <v>86</v>
      </c>
      <c r="C83" s="27">
        <v>0</v>
      </c>
      <c r="E83" s="24">
        <v>10246</v>
      </c>
      <c r="F83" s="19" t="s">
        <v>86</v>
      </c>
      <c r="G83" s="27">
        <v>0</v>
      </c>
      <c r="J83">
        <f>VLOOKUP(A83, TOCA_previous!$A$3:$D$136, 4, FALSE)</f>
        <v>0</v>
      </c>
      <c r="K83">
        <f>VLOOKUP(E83, TOCA_current!A80:D214, 4, FALSE)</f>
        <v>0</v>
      </c>
      <c r="O83" s="52"/>
    </row>
    <row r="84" spans="1:15">
      <c r="A84" s="24">
        <v>10247</v>
      </c>
      <c r="B84" s="19" t="s">
        <v>87</v>
      </c>
      <c r="C84" s="27">
        <v>0</v>
      </c>
      <c r="E84" s="24">
        <v>10247</v>
      </c>
      <c r="F84" s="19" t="s">
        <v>87</v>
      </c>
      <c r="G84" s="27">
        <v>0</v>
      </c>
      <c r="J84">
        <f>VLOOKUP(A84, TOCA_previous!$A$3:$D$136, 4, FALSE)</f>
        <v>0</v>
      </c>
      <c r="K84">
        <f>VLOOKUP(E84, TOCA_current!A81:D215, 4, FALSE)</f>
        <v>0</v>
      </c>
      <c r="O84" s="52"/>
    </row>
    <row r="85" spans="1:15">
      <c r="A85" s="24">
        <v>10256</v>
      </c>
      <c r="B85" s="19" t="s">
        <v>88</v>
      </c>
      <c r="C85" s="27">
        <v>41489.314000000006</v>
      </c>
      <c r="E85" s="24">
        <v>10256</v>
      </c>
      <c r="F85" s="19" t="s">
        <v>88</v>
      </c>
      <c r="G85" s="27">
        <v>41489.314000000006</v>
      </c>
      <c r="J85">
        <f>VLOOKUP(A85, TOCA_previous!$A$3:$D$136, 4, FALSE)</f>
        <v>0</v>
      </c>
      <c r="K85">
        <f>VLOOKUP(E85, TOCA_current!A82:D216, 4, FALSE)</f>
        <v>0</v>
      </c>
      <c r="O85" s="52"/>
    </row>
    <row r="86" spans="1:15">
      <c r="A86" s="24">
        <v>10258</v>
      </c>
      <c r="B86" s="19" t="s">
        <v>89</v>
      </c>
      <c r="C86" s="27">
        <v>18387.022000000001</v>
      </c>
      <c r="E86" s="24">
        <v>10258</v>
      </c>
      <c r="F86" s="19" t="s">
        <v>89</v>
      </c>
      <c r="G86" s="27">
        <v>18387.022000000001</v>
      </c>
      <c r="J86">
        <f>VLOOKUP(A86, TOCA_previous!$A$3:$D$136, 4, FALSE)</f>
        <v>0</v>
      </c>
      <c r="K86">
        <f>VLOOKUP(E86, TOCA_current!A83:D217, 4, FALSE)</f>
        <v>0</v>
      </c>
      <c r="O86" s="52"/>
    </row>
    <row r="87" spans="1:15">
      <c r="A87" s="24">
        <v>10259</v>
      </c>
      <c r="B87" s="19" t="s">
        <v>90</v>
      </c>
      <c r="C87" s="27">
        <v>0</v>
      </c>
      <c r="E87" s="24">
        <v>10259</v>
      </c>
      <c r="F87" s="19" t="s">
        <v>90</v>
      </c>
      <c r="G87" s="27">
        <v>0</v>
      </c>
      <c r="J87">
        <f>VLOOKUP(A87, TOCA_previous!$A$3:$D$136, 4, FALSE)</f>
        <v>0</v>
      </c>
      <c r="K87">
        <f>VLOOKUP(E87, TOCA_current!A84:D218, 4, FALSE)</f>
        <v>0</v>
      </c>
      <c r="O87" s="52"/>
    </row>
    <row r="88" spans="1:15">
      <c r="A88" s="24">
        <v>10260</v>
      </c>
      <c r="B88" s="19" t="s">
        <v>91</v>
      </c>
      <c r="C88" s="27">
        <v>0</v>
      </c>
      <c r="E88" s="24">
        <v>10260</v>
      </c>
      <c r="F88" s="19" t="s">
        <v>91</v>
      </c>
      <c r="G88" s="27">
        <v>0</v>
      </c>
      <c r="J88">
        <f>VLOOKUP(A88, TOCA_previous!$A$3:$D$136, 4, FALSE)</f>
        <v>0</v>
      </c>
      <c r="K88">
        <f>VLOOKUP(E88, TOCA_current!A85:D219, 4, FALSE)</f>
        <v>0</v>
      </c>
      <c r="O88" s="52"/>
    </row>
    <row r="89" spans="1:15">
      <c r="A89" s="24">
        <v>10273</v>
      </c>
      <c r="B89" s="19" t="s">
        <v>92</v>
      </c>
      <c r="C89" s="27">
        <v>9522.0249999999996</v>
      </c>
      <c r="E89" s="24">
        <v>10273</v>
      </c>
      <c r="F89" s="19" t="s">
        <v>92</v>
      </c>
      <c r="G89" s="27">
        <v>9522.0249999999996</v>
      </c>
      <c r="J89">
        <f>VLOOKUP(A89, TOCA_previous!$A$3:$D$136, 4, FALSE)</f>
        <v>0</v>
      </c>
      <c r="K89">
        <f>VLOOKUP(E89, TOCA_current!A86:D220, 4, FALSE)</f>
        <v>0</v>
      </c>
      <c r="O89" s="52"/>
    </row>
    <row r="90" spans="1:15">
      <c r="A90" s="24">
        <v>10278</v>
      </c>
      <c r="B90" s="19" t="s">
        <v>93</v>
      </c>
      <c r="C90" s="27">
        <v>0</v>
      </c>
      <c r="E90" s="24">
        <v>10278</v>
      </c>
      <c r="F90" s="19" t="s">
        <v>93</v>
      </c>
      <c r="G90" s="27">
        <v>0</v>
      </c>
      <c r="J90">
        <f>VLOOKUP(A90, TOCA_previous!$A$3:$D$136, 4, FALSE)</f>
        <v>1</v>
      </c>
      <c r="K90">
        <f>VLOOKUP(E90, TOCA_current!A87:D221, 4, FALSE)</f>
        <v>1</v>
      </c>
      <c r="O90" s="52"/>
    </row>
    <row r="91" spans="1:15">
      <c r="A91" s="24">
        <v>10279</v>
      </c>
      <c r="B91" s="19" t="s">
        <v>94</v>
      </c>
      <c r="C91" s="27">
        <v>0</v>
      </c>
      <c r="E91" s="24">
        <v>10279</v>
      </c>
      <c r="F91" s="19" t="s">
        <v>94</v>
      </c>
      <c r="G91" s="27">
        <v>0</v>
      </c>
      <c r="J91">
        <f>VLOOKUP(A91, TOCA_previous!$A$3:$D$136, 4, FALSE)</f>
        <v>0</v>
      </c>
      <c r="K91">
        <f>VLOOKUP(E91, TOCA_current!A88:D222, 4, FALSE)</f>
        <v>0</v>
      </c>
      <c r="O91" s="52"/>
    </row>
    <row r="92" spans="1:15">
      <c r="A92" s="24">
        <v>10284</v>
      </c>
      <c r="B92" s="19" t="s">
        <v>95</v>
      </c>
      <c r="C92" s="27">
        <v>0</v>
      </c>
      <c r="E92" s="24">
        <v>10284</v>
      </c>
      <c r="F92" s="19" t="s">
        <v>95</v>
      </c>
      <c r="G92" s="27">
        <v>0</v>
      </c>
      <c r="J92">
        <f>VLOOKUP(A92, TOCA_previous!$A$3:$D$136, 4, FALSE)</f>
        <v>0</v>
      </c>
      <c r="K92">
        <f>VLOOKUP(E92, TOCA_current!A89:D223, 4, FALSE)</f>
        <v>0</v>
      </c>
      <c r="O92" s="52"/>
    </row>
    <row r="93" spans="1:15">
      <c r="A93" s="24">
        <v>10285</v>
      </c>
      <c r="B93" s="19" t="s">
        <v>96</v>
      </c>
      <c r="C93" s="27">
        <v>0</v>
      </c>
      <c r="E93" s="24">
        <v>10285</v>
      </c>
      <c r="F93" s="19" t="s">
        <v>96</v>
      </c>
      <c r="G93" s="27">
        <v>0</v>
      </c>
      <c r="J93">
        <f>VLOOKUP(A93, TOCA_previous!$A$3:$D$136, 4, FALSE)</f>
        <v>1</v>
      </c>
      <c r="K93">
        <f>VLOOKUP(E93, TOCA_current!A90:D224, 4, FALSE)</f>
        <v>1</v>
      </c>
      <c r="O93" s="52"/>
    </row>
    <row r="94" spans="1:15">
      <c r="A94" s="24">
        <v>10286</v>
      </c>
      <c r="B94" s="19" t="s">
        <v>97</v>
      </c>
      <c r="C94" s="27">
        <v>55408.151000000005</v>
      </c>
      <c r="E94" s="24">
        <v>10286</v>
      </c>
      <c r="F94" s="19" t="s">
        <v>97</v>
      </c>
      <c r="G94" s="27">
        <v>55408.151000000005</v>
      </c>
      <c r="J94">
        <f>VLOOKUP(A94, TOCA_previous!$A$3:$D$136, 4, FALSE)</f>
        <v>0</v>
      </c>
      <c r="K94">
        <f>VLOOKUP(E94, TOCA_current!A91:D225, 4, FALSE)</f>
        <v>0</v>
      </c>
      <c r="O94" s="52"/>
    </row>
    <row r="95" spans="1:15">
      <c r="A95" s="24">
        <v>10288</v>
      </c>
      <c r="B95" s="19" t="s">
        <v>98</v>
      </c>
      <c r="C95" s="27">
        <v>0</v>
      </c>
      <c r="E95" s="24">
        <v>10288</v>
      </c>
      <c r="F95" s="19" t="s">
        <v>98</v>
      </c>
      <c r="G95" s="27">
        <v>0</v>
      </c>
      <c r="J95">
        <f>VLOOKUP(A95, TOCA_previous!$A$3:$D$136, 4, FALSE)</f>
        <v>1</v>
      </c>
      <c r="K95">
        <f>VLOOKUP(E95, TOCA_current!A92:D226, 4, FALSE)</f>
        <v>1</v>
      </c>
      <c r="O95" s="52"/>
    </row>
    <row r="96" spans="1:15">
      <c r="A96" s="24">
        <v>10291</v>
      </c>
      <c r="B96" s="19" t="s">
        <v>99</v>
      </c>
      <c r="C96" s="27">
        <v>36260.600999999995</v>
      </c>
      <c r="E96" s="24">
        <v>10291</v>
      </c>
      <c r="F96" s="19" t="s">
        <v>99</v>
      </c>
      <c r="G96" s="27">
        <v>36260.600999999995</v>
      </c>
      <c r="J96">
        <f>VLOOKUP(A96, TOCA_previous!$A$3:$D$136, 4, FALSE)</f>
        <v>0</v>
      </c>
      <c r="K96">
        <f>VLOOKUP(E96, TOCA_current!A93:D227, 4, FALSE)</f>
        <v>0</v>
      </c>
      <c r="O96" s="52"/>
    </row>
    <row r="97" spans="1:15">
      <c r="A97" s="24">
        <v>10294</v>
      </c>
      <c r="B97" s="19" t="s">
        <v>100</v>
      </c>
      <c r="C97" s="27">
        <v>0</v>
      </c>
      <c r="E97" s="24">
        <v>10294</v>
      </c>
      <c r="F97" s="19" t="s">
        <v>100</v>
      </c>
      <c r="G97" s="27">
        <v>0</v>
      </c>
      <c r="J97">
        <f>VLOOKUP(A97, TOCA_previous!$A$3:$D$136, 4, FALSE)</f>
        <v>0</v>
      </c>
      <c r="K97">
        <f>VLOOKUP(E97, TOCA_current!A94:D228, 4, FALSE)</f>
        <v>0</v>
      </c>
      <c r="O97" s="52"/>
    </row>
    <row r="98" spans="1:15">
      <c r="A98" s="24">
        <v>10304</v>
      </c>
      <c r="B98" s="19" t="s">
        <v>101</v>
      </c>
      <c r="C98" s="27">
        <v>0</v>
      </c>
      <c r="E98" s="24">
        <v>10304</v>
      </c>
      <c r="F98" s="19" t="s">
        <v>101</v>
      </c>
      <c r="G98" s="27">
        <v>0</v>
      </c>
      <c r="J98">
        <f>VLOOKUP(A98, TOCA_previous!$A$3:$D$136, 4, FALSE)</f>
        <v>0</v>
      </c>
      <c r="K98">
        <f>VLOOKUP(E98, TOCA_current!A95:D229, 4, FALSE)</f>
        <v>0</v>
      </c>
      <c r="O98" s="52"/>
    </row>
    <row r="99" spans="1:15">
      <c r="A99" s="24">
        <v>10306</v>
      </c>
      <c r="B99" s="19" t="s">
        <v>102</v>
      </c>
      <c r="C99" s="27">
        <v>0</v>
      </c>
      <c r="E99" s="24">
        <v>10306</v>
      </c>
      <c r="F99" s="19" t="s">
        <v>102</v>
      </c>
      <c r="G99" s="27">
        <v>0</v>
      </c>
      <c r="J99">
        <f>VLOOKUP(A99, TOCA_previous!$A$3:$D$136, 4, FALSE)</f>
        <v>0</v>
      </c>
      <c r="K99">
        <f>VLOOKUP(E99, TOCA_current!A96:D230, 4, FALSE)</f>
        <v>0</v>
      </c>
      <c r="O99" s="52"/>
    </row>
    <row r="100" spans="1:15">
      <c r="A100" s="24">
        <v>10307</v>
      </c>
      <c r="B100" s="19" t="s">
        <v>103</v>
      </c>
      <c r="C100" s="27">
        <v>0</v>
      </c>
      <c r="E100" s="24">
        <v>10307</v>
      </c>
      <c r="F100" s="19" t="s">
        <v>103</v>
      </c>
      <c r="G100" s="27">
        <v>0</v>
      </c>
      <c r="J100">
        <f>VLOOKUP(A100, TOCA_previous!$A$3:$D$136, 4, FALSE)</f>
        <v>0</v>
      </c>
      <c r="K100">
        <f>VLOOKUP(E100, TOCA_current!A97:D231, 4, FALSE)</f>
        <v>0</v>
      </c>
      <c r="O100" s="52"/>
    </row>
    <row r="101" spans="1:15">
      <c r="A101" s="24">
        <v>10326</v>
      </c>
      <c r="B101" s="19" t="s">
        <v>104</v>
      </c>
      <c r="C101" s="27">
        <v>0</v>
      </c>
      <c r="E101" s="24">
        <v>10326</v>
      </c>
      <c r="F101" s="19" t="s">
        <v>104</v>
      </c>
      <c r="G101" s="27">
        <v>0</v>
      </c>
      <c r="J101">
        <f>VLOOKUP(A101, TOCA_previous!$A$3:$D$136, 4, FALSE)</f>
        <v>0</v>
      </c>
      <c r="K101">
        <f>VLOOKUP(E101, TOCA_current!A98:D232, 4, FALSE)</f>
        <v>0</v>
      </c>
      <c r="O101" s="52"/>
    </row>
    <row r="102" spans="1:15">
      <c r="A102" s="24">
        <v>10331</v>
      </c>
      <c r="B102" s="19" t="s">
        <v>105</v>
      </c>
      <c r="C102" s="27">
        <v>133086.85800000001</v>
      </c>
      <c r="E102" s="24">
        <v>10331</v>
      </c>
      <c r="F102" s="19" t="s">
        <v>105</v>
      </c>
      <c r="G102" s="27">
        <v>133086.85800000001</v>
      </c>
      <c r="J102">
        <f>VLOOKUP(A102, TOCA_previous!$A$3:$D$136, 4, FALSE)</f>
        <v>1</v>
      </c>
      <c r="K102">
        <f>VLOOKUP(E102, TOCA_current!A99:D233, 4, FALSE)</f>
        <v>1</v>
      </c>
      <c r="O102" s="52"/>
    </row>
    <row r="103" spans="1:15">
      <c r="A103" s="24">
        <v>10333</v>
      </c>
      <c r="B103" s="19" t="s">
        <v>106</v>
      </c>
      <c r="C103" s="27">
        <v>0</v>
      </c>
      <c r="E103" s="24">
        <v>10333</v>
      </c>
      <c r="F103" s="19" t="s">
        <v>106</v>
      </c>
      <c r="G103" s="27">
        <v>0</v>
      </c>
      <c r="J103">
        <v>1</v>
      </c>
      <c r="K103">
        <v>1</v>
      </c>
      <c r="O103" s="52"/>
    </row>
    <row r="104" spans="1:15">
      <c r="A104" s="24">
        <v>10338</v>
      </c>
      <c r="B104" s="19" t="s">
        <v>107</v>
      </c>
      <c r="C104" s="27">
        <v>4155.21</v>
      </c>
      <c r="E104" s="24">
        <v>10338</v>
      </c>
      <c r="F104" s="19" t="s">
        <v>107</v>
      </c>
      <c r="G104" s="27">
        <v>4155.21</v>
      </c>
      <c r="J104">
        <f>VLOOKUP(A104, TOCA_previous!$A$3:$D$136, 4, FALSE)</f>
        <v>0</v>
      </c>
      <c r="K104">
        <f>VLOOKUP(E104, TOCA_current!A101:D235, 4, FALSE)</f>
        <v>0</v>
      </c>
      <c r="O104" s="52"/>
    </row>
    <row r="105" spans="1:15">
      <c r="A105" s="24">
        <v>10342</v>
      </c>
      <c r="B105" s="19" t="s">
        <v>108</v>
      </c>
      <c r="C105" s="27">
        <v>0</v>
      </c>
      <c r="E105" s="24">
        <v>10342</v>
      </c>
      <c r="F105" s="19" t="s">
        <v>108</v>
      </c>
      <c r="G105" s="27">
        <v>0</v>
      </c>
      <c r="J105">
        <f>VLOOKUP(A105, TOCA_previous!$A$3:$D$136, 4, FALSE)</f>
        <v>0</v>
      </c>
      <c r="K105">
        <f>VLOOKUP(E105, TOCA_current!A102:D236, 4, FALSE)</f>
        <v>0</v>
      </c>
      <c r="O105" s="52"/>
    </row>
    <row r="106" spans="1:15">
      <c r="A106" s="24">
        <v>10343</v>
      </c>
      <c r="B106" s="19" t="s">
        <v>109</v>
      </c>
      <c r="C106" s="27">
        <v>10505.661</v>
      </c>
      <c r="E106" s="24">
        <v>10343</v>
      </c>
      <c r="F106" s="19" t="s">
        <v>109</v>
      </c>
      <c r="G106" s="27">
        <v>10505.661</v>
      </c>
      <c r="J106">
        <f>VLOOKUP(A106, TOCA_previous!$A$3:$D$136, 4, FALSE)</f>
        <v>0</v>
      </c>
      <c r="K106">
        <f>VLOOKUP(E106, TOCA_current!A103:D237, 4, FALSE)</f>
        <v>0</v>
      </c>
      <c r="O106" s="52"/>
    </row>
    <row r="107" spans="1:15">
      <c r="A107" s="24">
        <v>10349</v>
      </c>
      <c r="B107" s="19" t="s">
        <v>110</v>
      </c>
      <c r="C107" s="27">
        <v>0</v>
      </c>
      <c r="E107" s="24">
        <v>10349</v>
      </c>
      <c r="F107" s="19" t="s">
        <v>110</v>
      </c>
      <c r="G107" s="27">
        <v>0</v>
      </c>
      <c r="J107">
        <f>VLOOKUP(A107, TOCA_previous!$A$3:$D$136, 4, FALSE)</f>
        <v>0</v>
      </c>
      <c r="K107">
        <f>VLOOKUP(E107, TOCA_current!A104:D238, 4, FALSE)</f>
        <v>0</v>
      </c>
      <c r="O107" s="52"/>
    </row>
    <row r="108" spans="1:15">
      <c r="A108" s="24">
        <v>10352</v>
      </c>
      <c r="B108" s="19" t="s">
        <v>111</v>
      </c>
      <c r="C108" s="27">
        <v>0</v>
      </c>
      <c r="E108" s="24">
        <v>10352</v>
      </c>
      <c r="F108" s="19" t="s">
        <v>111</v>
      </c>
      <c r="G108" s="27">
        <v>0</v>
      </c>
      <c r="J108">
        <f>VLOOKUP(A108, TOCA_previous!$A$3:$D$136, 4, FALSE)</f>
        <v>0</v>
      </c>
      <c r="K108">
        <f>VLOOKUP(E108, TOCA_current!A105:D239, 4, FALSE)</f>
        <v>0</v>
      </c>
      <c r="O108" s="52"/>
    </row>
    <row r="109" spans="1:15">
      <c r="A109" s="24">
        <v>10354</v>
      </c>
      <c r="B109" s="19" t="s">
        <v>112</v>
      </c>
      <c r="C109" s="27">
        <v>0</v>
      </c>
      <c r="E109" s="24">
        <v>10354</v>
      </c>
      <c r="F109" s="19" t="s">
        <v>112</v>
      </c>
      <c r="G109" s="27">
        <v>0</v>
      </c>
      <c r="J109">
        <f>VLOOKUP(A109, TOCA_previous!$A$3:$D$136, 4, FALSE)</f>
        <v>0</v>
      </c>
      <c r="K109">
        <f>VLOOKUP(E109, TOCA_current!A106:D240, 4, FALSE)</f>
        <v>0</v>
      </c>
      <c r="O109" s="52"/>
    </row>
    <row r="110" spans="1:15">
      <c r="A110" s="24">
        <v>10360</v>
      </c>
      <c r="B110" s="19" t="s">
        <v>113</v>
      </c>
      <c r="C110" s="27">
        <v>20009.34</v>
      </c>
      <c r="E110" s="24">
        <v>10360</v>
      </c>
      <c r="F110" s="19" t="s">
        <v>113</v>
      </c>
      <c r="G110" s="27">
        <v>20009.34</v>
      </c>
      <c r="J110">
        <f>VLOOKUP(A110, TOCA_previous!$A$3:$D$136, 4, FALSE)</f>
        <v>0</v>
      </c>
      <c r="K110">
        <f>VLOOKUP(E110, TOCA_current!A107:D241, 4, FALSE)</f>
        <v>0</v>
      </c>
      <c r="O110" s="52"/>
    </row>
    <row r="111" spans="1:15">
      <c r="A111" s="24">
        <v>10363</v>
      </c>
      <c r="B111" s="19" t="s">
        <v>114</v>
      </c>
      <c r="C111" s="27">
        <v>0</v>
      </c>
      <c r="E111" s="24">
        <v>10363</v>
      </c>
      <c r="F111" s="19" t="s">
        <v>114</v>
      </c>
      <c r="G111" s="27">
        <v>0</v>
      </c>
      <c r="J111">
        <f>VLOOKUP(A111, TOCA_previous!$A$3:$D$136, 4, FALSE)</f>
        <v>0</v>
      </c>
      <c r="K111">
        <f>VLOOKUP(E111, TOCA_current!A108:D242, 4, FALSE)</f>
        <v>0</v>
      </c>
      <c r="O111" s="52"/>
    </row>
    <row r="112" spans="1:15">
      <c r="A112" s="24">
        <v>10369</v>
      </c>
      <c r="B112" s="19" t="s">
        <v>115</v>
      </c>
      <c r="C112" s="27">
        <v>46210.901000000005</v>
      </c>
      <c r="E112" s="24">
        <v>10369</v>
      </c>
      <c r="F112" s="19" t="s">
        <v>115</v>
      </c>
      <c r="G112" s="27">
        <v>46210.901000000005</v>
      </c>
      <c r="J112">
        <f>VLOOKUP(A112, TOCA_previous!$A$3:$D$136, 4, FALSE)</f>
        <v>0</v>
      </c>
      <c r="K112">
        <f>VLOOKUP(E112, TOCA_current!A109:D243, 4, FALSE)</f>
        <v>0</v>
      </c>
      <c r="O112" s="52"/>
    </row>
    <row r="113" spans="1:15">
      <c r="A113" s="24">
        <v>10370</v>
      </c>
      <c r="B113" s="19" t="s">
        <v>116</v>
      </c>
      <c r="C113" s="27">
        <v>0</v>
      </c>
      <c r="E113" s="24">
        <v>10370</v>
      </c>
      <c r="F113" s="19" t="s">
        <v>116</v>
      </c>
      <c r="G113" s="27">
        <v>0</v>
      </c>
      <c r="J113">
        <f>VLOOKUP(A113, TOCA_previous!$A$3:$D$136, 4, FALSE)</f>
        <v>0</v>
      </c>
      <c r="K113">
        <f>VLOOKUP(E113, TOCA_current!A110:D244, 4, FALSE)</f>
        <v>0</v>
      </c>
      <c r="O113" s="52"/>
    </row>
    <row r="114" spans="1:15">
      <c r="A114" s="24">
        <v>10371</v>
      </c>
      <c r="B114" s="19" t="s">
        <v>117</v>
      </c>
      <c r="C114" s="27">
        <v>0</v>
      </c>
      <c r="E114" s="24">
        <v>10371</v>
      </c>
      <c r="F114" s="19" t="s">
        <v>117</v>
      </c>
      <c r="G114" s="27">
        <v>0</v>
      </c>
      <c r="J114">
        <f>VLOOKUP(A114, TOCA_previous!$A$3:$D$136, 4, FALSE)</f>
        <v>0</v>
      </c>
      <c r="K114">
        <f>VLOOKUP(E114, TOCA_current!A111:D245, 4, FALSE)</f>
        <v>0</v>
      </c>
      <c r="O114" s="52"/>
    </row>
    <row r="115" spans="1:15">
      <c r="A115" s="24">
        <v>10376</v>
      </c>
      <c r="B115" s="19" t="s">
        <v>118</v>
      </c>
      <c r="C115" s="27">
        <v>0</v>
      </c>
      <c r="E115" s="24">
        <v>10376</v>
      </c>
      <c r="F115" s="19" t="s">
        <v>118</v>
      </c>
      <c r="G115" s="27">
        <v>0</v>
      </c>
      <c r="J115">
        <f>VLOOKUP(A115, TOCA_previous!$A$3:$D$136, 4, FALSE)</f>
        <v>0</v>
      </c>
      <c r="K115">
        <f>VLOOKUP(E115, TOCA_current!A112:D246, 4, FALSE)</f>
        <v>0</v>
      </c>
      <c r="O115" s="52"/>
    </row>
    <row r="116" spans="1:15">
      <c r="A116" s="24">
        <v>10378</v>
      </c>
      <c r="B116" s="19" t="s">
        <v>119</v>
      </c>
      <c r="C116" s="27">
        <v>0</v>
      </c>
      <c r="E116" s="24">
        <v>10378</v>
      </c>
      <c r="F116" s="19" t="s">
        <v>119</v>
      </c>
      <c r="G116" s="27">
        <v>0</v>
      </c>
      <c r="J116">
        <f>VLOOKUP(A116, TOCA_previous!$A$3:$D$136, 4, FALSE)</f>
        <v>0</v>
      </c>
      <c r="K116">
        <f>VLOOKUP(E116, TOCA_current!A113:D247, 4, FALSE)</f>
        <v>0</v>
      </c>
      <c r="O116" s="52"/>
    </row>
    <row r="117" spans="1:15">
      <c r="A117" s="24">
        <v>10379</v>
      </c>
      <c r="B117" s="19" t="s">
        <v>120</v>
      </c>
      <c r="C117" s="27">
        <v>0</v>
      </c>
      <c r="E117" s="24">
        <v>10379</v>
      </c>
      <c r="F117" s="19" t="s">
        <v>120</v>
      </c>
      <c r="G117" s="27">
        <v>0</v>
      </c>
      <c r="J117">
        <f>VLOOKUP(A117, TOCA_previous!$A$3:$D$136, 4, FALSE)</f>
        <v>0</v>
      </c>
      <c r="K117">
        <f>VLOOKUP(E117, TOCA_current!A114:D248, 4, FALSE)</f>
        <v>0</v>
      </c>
      <c r="O117" s="52"/>
    </row>
    <row r="118" spans="1:15">
      <c r="A118" s="24">
        <v>10388</v>
      </c>
      <c r="B118" s="19" t="s">
        <v>121</v>
      </c>
      <c r="C118" s="27">
        <v>228772.42700000003</v>
      </c>
      <c r="E118" s="24">
        <v>10388</v>
      </c>
      <c r="F118" s="19" t="s">
        <v>121</v>
      </c>
      <c r="G118" s="27">
        <v>228772.42700000003</v>
      </c>
      <c r="J118">
        <f>VLOOKUP(A118, TOCA_previous!$A$3:$D$136, 4, FALSE)</f>
        <v>0</v>
      </c>
      <c r="K118">
        <f>VLOOKUP(E118, TOCA_current!A115:D249, 4, FALSE)</f>
        <v>0</v>
      </c>
      <c r="O118" s="52"/>
    </row>
    <row r="119" spans="1:15">
      <c r="A119" s="24">
        <v>10391</v>
      </c>
      <c r="B119" s="19" t="s">
        <v>122</v>
      </c>
      <c r="C119" s="27">
        <v>44270.152999999998</v>
      </c>
      <c r="E119" s="24">
        <v>10391</v>
      </c>
      <c r="F119" s="19" t="s">
        <v>122</v>
      </c>
      <c r="G119" s="27">
        <v>44270.152999999998</v>
      </c>
      <c r="J119">
        <f>VLOOKUP(A119, TOCA_previous!$A$3:$D$136, 4, FALSE)</f>
        <v>0</v>
      </c>
      <c r="K119">
        <f>VLOOKUP(E119, TOCA_current!A116:D250, 4, FALSE)</f>
        <v>0</v>
      </c>
      <c r="O119" s="52"/>
    </row>
    <row r="120" spans="1:15">
      <c r="A120" s="24">
        <v>10406</v>
      </c>
      <c r="B120" s="19" t="s">
        <v>123</v>
      </c>
      <c r="C120" s="27">
        <v>0</v>
      </c>
      <c r="E120" s="24">
        <v>10406</v>
      </c>
      <c r="F120" s="19" t="s">
        <v>123</v>
      </c>
      <c r="G120" s="27">
        <v>0</v>
      </c>
      <c r="J120">
        <f>VLOOKUP(A120, TOCA_previous!$A$3:$D$136, 4, FALSE)</f>
        <v>0</v>
      </c>
      <c r="K120">
        <f>VLOOKUP(E120, TOCA_current!A117:D251, 4, FALSE)</f>
        <v>0</v>
      </c>
      <c r="O120" s="52"/>
    </row>
    <row r="121" spans="1:15">
      <c r="A121" s="24">
        <v>10408</v>
      </c>
      <c r="B121" s="19" t="s">
        <v>124</v>
      </c>
      <c r="C121" s="27">
        <v>0</v>
      </c>
      <c r="E121" s="24">
        <v>10408</v>
      </c>
      <c r="F121" s="19" t="s">
        <v>124</v>
      </c>
      <c r="G121" s="27">
        <v>0</v>
      </c>
      <c r="J121">
        <f>VLOOKUP(A121, TOCA_previous!$A$3:$D$136, 4, FALSE)</f>
        <v>0</v>
      </c>
      <c r="K121">
        <f>VLOOKUP(E121, TOCA_current!A118:D252, 4, FALSE)</f>
        <v>0</v>
      </c>
      <c r="O121" s="52"/>
    </row>
    <row r="122" spans="1:15">
      <c r="A122" s="24">
        <v>10409</v>
      </c>
      <c r="B122" s="19" t="s">
        <v>125</v>
      </c>
      <c r="C122" s="27">
        <v>0</v>
      </c>
      <c r="E122" s="24">
        <v>10409</v>
      </c>
      <c r="F122" s="19" t="s">
        <v>125</v>
      </c>
      <c r="G122" s="27">
        <v>0</v>
      </c>
      <c r="J122">
        <f>VLOOKUP(A122, TOCA_previous!$A$3:$D$136, 4, FALSE)</f>
        <v>0</v>
      </c>
      <c r="K122">
        <f>VLOOKUP(E122, TOCA_current!A119:D253, 4, FALSE)</f>
        <v>0</v>
      </c>
      <c r="O122" s="52"/>
    </row>
    <row r="123" spans="1:15">
      <c r="A123" s="24">
        <v>10426</v>
      </c>
      <c r="B123" s="19" t="s">
        <v>126</v>
      </c>
      <c r="C123" s="27">
        <v>0</v>
      </c>
      <c r="E123" s="24">
        <v>10426</v>
      </c>
      <c r="F123" s="19" t="s">
        <v>126</v>
      </c>
      <c r="G123" s="27">
        <v>0</v>
      </c>
      <c r="J123">
        <f>VLOOKUP(A123, TOCA_previous!$A$3:$D$136, 4, FALSE)</f>
        <v>0</v>
      </c>
      <c r="K123">
        <f>VLOOKUP(E123, TOCA_current!A120:D254, 4, FALSE)</f>
        <v>0</v>
      </c>
      <c r="O123" s="52"/>
    </row>
    <row r="124" spans="1:15">
      <c r="A124" s="24">
        <v>10434</v>
      </c>
      <c r="B124" s="19" t="s">
        <v>127</v>
      </c>
      <c r="C124" s="27">
        <v>0</v>
      </c>
      <c r="E124" s="24">
        <v>10434</v>
      </c>
      <c r="F124" s="19" t="s">
        <v>127</v>
      </c>
      <c r="G124" s="27">
        <v>0</v>
      </c>
      <c r="J124">
        <f>VLOOKUP(A124, TOCA_previous!$A$3:$D$136, 4, FALSE)</f>
        <v>0</v>
      </c>
      <c r="K124">
        <f>VLOOKUP(E124, TOCA_current!A121:D255, 4, FALSE)</f>
        <v>0</v>
      </c>
      <c r="O124" s="52"/>
    </row>
    <row r="125" spans="1:15">
      <c r="A125" s="24">
        <v>10436</v>
      </c>
      <c r="B125" s="19" t="s">
        <v>128</v>
      </c>
      <c r="C125" s="27">
        <v>38863.257999999994</v>
      </c>
      <c r="E125" s="24">
        <v>10436</v>
      </c>
      <c r="F125" s="19" t="s">
        <v>128</v>
      </c>
      <c r="G125" s="27">
        <v>38863.257999999994</v>
      </c>
      <c r="J125">
        <f>VLOOKUP(A125, TOCA_previous!$A$3:$D$136, 4, FALSE)</f>
        <v>0</v>
      </c>
      <c r="K125">
        <f>VLOOKUP(E125, TOCA_current!A122:D256, 4, FALSE)</f>
        <v>0</v>
      </c>
      <c r="O125" s="52"/>
    </row>
    <row r="126" spans="1:15">
      <c r="A126" s="24">
        <v>10440</v>
      </c>
      <c r="B126" s="19" t="s">
        <v>129</v>
      </c>
      <c r="C126" s="27">
        <v>0</v>
      </c>
      <c r="E126" s="24">
        <v>10440</v>
      </c>
      <c r="F126" s="19" t="s">
        <v>129</v>
      </c>
      <c r="G126" s="27">
        <v>0</v>
      </c>
      <c r="J126">
        <f>VLOOKUP(A126, TOCA_previous!$A$3:$D$136, 4, FALSE)</f>
        <v>0</v>
      </c>
      <c r="K126">
        <f>VLOOKUP(E126, TOCA_current!A123:D257, 4, FALSE)</f>
        <v>0</v>
      </c>
      <c r="O126" s="52"/>
    </row>
    <row r="127" spans="1:15">
      <c r="A127" s="24">
        <v>10442</v>
      </c>
      <c r="B127" s="19" t="s">
        <v>130</v>
      </c>
      <c r="C127" s="27">
        <v>9733.33</v>
      </c>
      <c r="E127" s="24">
        <v>10442</v>
      </c>
      <c r="F127" s="19" t="s">
        <v>130</v>
      </c>
      <c r="G127" s="27">
        <v>9733.33</v>
      </c>
      <c r="J127">
        <f>VLOOKUP(A127, TOCA_previous!$A$3:$D$136, 4, FALSE)</f>
        <v>0</v>
      </c>
      <c r="K127">
        <f>VLOOKUP(E127, TOCA_current!A124:D258, 4, FALSE)</f>
        <v>0</v>
      </c>
      <c r="O127" s="52"/>
    </row>
    <row r="128" spans="1:15">
      <c r="A128" s="24">
        <v>10446</v>
      </c>
      <c r="B128" s="19" t="s">
        <v>131</v>
      </c>
      <c r="C128" s="27">
        <v>7171.34</v>
      </c>
      <c r="E128" s="24">
        <v>10446</v>
      </c>
      <c r="F128" s="19" t="s">
        <v>131</v>
      </c>
      <c r="G128" s="27">
        <v>7171.34</v>
      </c>
      <c r="J128">
        <f>VLOOKUP(A128, TOCA_previous!$A$3:$D$136, 4, FALSE)</f>
        <v>0</v>
      </c>
      <c r="K128">
        <f>VLOOKUP(E128, TOCA_current!A125:D259, 4, FALSE)</f>
        <v>0</v>
      </c>
      <c r="O128" s="52"/>
    </row>
    <row r="129" spans="1:15">
      <c r="A129" s="24">
        <v>10448</v>
      </c>
      <c r="B129" s="19" t="s">
        <v>132</v>
      </c>
      <c r="C129" s="27">
        <v>0</v>
      </c>
      <c r="E129" s="24">
        <v>10448</v>
      </c>
      <c r="F129" s="19" t="s">
        <v>132</v>
      </c>
      <c r="G129" s="27">
        <v>0</v>
      </c>
      <c r="J129">
        <f>VLOOKUP(A129, TOCA_previous!$A$3:$D$136, 4, FALSE)</f>
        <v>1</v>
      </c>
      <c r="K129">
        <f>VLOOKUP(E129, TOCA_current!A126:D260, 4, FALSE)</f>
        <v>1</v>
      </c>
      <c r="O129" s="52"/>
    </row>
    <row r="130" spans="1:15">
      <c r="A130" s="24">
        <v>10451</v>
      </c>
      <c r="B130" s="19" t="s">
        <v>133</v>
      </c>
      <c r="C130" s="27">
        <v>0</v>
      </c>
      <c r="E130" s="24">
        <v>10451</v>
      </c>
      <c r="F130" s="19" t="s">
        <v>133</v>
      </c>
      <c r="G130" s="27">
        <v>0</v>
      </c>
      <c r="J130">
        <f>VLOOKUP(A130, TOCA_previous!$A$3:$D$136, 4, FALSE)</f>
        <v>0</v>
      </c>
      <c r="K130">
        <f>VLOOKUP(E130, TOCA_current!A127:D261, 4, FALSE)</f>
        <v>0</v>
      </c>
      <c r="O130" s="52"/>
    </row>
    <row r="131" spans="1:15">
      <c r="A131" s="24">
        <v>10482</v>
      </c>
      <c r="B131" s="19" t="s">
        <v>134</v>
      </c>
      <c r="C131" s="27">
        <v>0</v>
      </c>
      <c r="E131" s="24">
        <v>10482</v>
      </c>
      <c r="F131" s="19" t="s">
        <v>134</v>
      </c>
      <c r="G131" s="27">
        <v>0</v>
      </c>
      <c r="J131">
        <f>VLOOKUP(A131, TOCA_previous!$A$3:$D$136, 4, FALSE)</f>
        <v>0</v>
      </c>
      <c r="K131">
        <f>VLOOKUP(E131, TOCA_current!A128:D262, 4, FALSE)</f>
        <v>0</v>
      </c>
      <c r="O131" s="52"/>
    </row>
    <row r="132" spans="1:15">
      <c r="A132" s="24">
        <v>10502</v>
      </c>
      <c r="B132" s="19" t="s">
        <v>135</v>
      </c>
      <c r="C132" s="27">
        <v>7189.6969999999992</v>
      </c>
      <c r="E132" s="24">
        <v>10502</v>
      </c>
      <c r="F132" s="19" t="s">
        <v>135</v>
      </c>
      <c r="G132" s="27">
        <v>7189.6969999999992</v>
      </c>
      <c r="J132">
        <f>VLOOKUP(A132, TOCA_previous!$A$3:$D$136, 4, FALSE)</f>
        <v>0</v>
      </c>
      <c r="K132">
        <f>VLOOKUP(E132, TOCA_current!A129:D263, 4, FALSE)</f>
        <v>0</v>
      </c>
      <c r="O132" s="52"/>
    </row>
    <row r="133" spans="1:15">
      <c r="A133" s="24">
        <v>13927</v>
      </c>
      <c r="B133" s="19" t="s">
        <v>238</v>
      </c>
      <c r="C133" s="27">
        <v>0</v>
      </c>
      <c r="E133" s="24">
        <v>13927</v>
      </c>
      <c r="F133" s="19" t="s">
        <v>238</v>
      </c>
      <c r="G133" s="27">
        <v>0</v>
      </c>
      <c r="J133">
        <v>0</v>
      </c>
      <c r="K133">
        <v>0</v>
      </c>
      <c r="O133" s="52"/>
    </row>
    <row r="134" spans="1:15">
      <c r="A134" s="24">
        <v>10597</v>
      </c>
      <c r="B134" s="19" t="s">
        <v>136</v>
      </c>
      <c r="C134" s="27">
        <v>0</v>
      </c>
      <c r="E134" s="24">
        <v>10597</v>
      </c>
      <c r="F134" s="19" t="s">
        <v>136</v>
      </c>
      <c r="G134" s="27">
        <v>0</v>
      </c>
      <c r="J134">
        <f>VLOOKUP(A134, TOCA_previous!$A$3:$D$136, 4, FALSE)</f>
        <v>0</v>
      </c>
      <c r="K134">
        <f>VLOOKUP(E134, TOCA_current!A130:D264, 4, FALSE)</f>
        <v>0</v>
      </c>
      <c r="O134" s="52"/>
    </row>
    <row r="135" spans="1:15">
      <c r="A135" s="24">
        <v>10706</v>
      </c>
      <c r="B135" s="19" t="s">
        <v>137</v>
      </c>
      <c r="C135" s="27">
        <v>0</v>
      </c>
      <c r="E135" s="24">
        <v>10706</v>
      </c>
      <c r="F135" s="19" t="s">
        <v>137</v>
      </c>
      <c r="G135" s="27">
        <v>0</v>
      </c>
      <c r="J135">
        <f>VLOOKUP(A135, TOCA_previous!$A$3:$D$136, 4, FALSE)</f>
        <v>0</v>
      </c>
      <c r="K135">
        <f>VLOOKUP(E135, TOCA_current!A131:D265, 4, FALSE)</f>
        <v>0</v>
      </c>
      <c r="O135" s="52"/>
    </row>
    <row r="136" spans="1:15">
      <c r="A136" s="24">
        <v>11680</v>
      </c>
      <c r="B136" s="19" t="s">
        <v>138</v>
      </c>
      <c r="C136" s="27">
        <v>0</v>
      </c>
      <c r="E136" s="24">
        <v>11680</v>
      </c>
      <c r="F136" s="19" t="s">
        <v>138</v>
      </c>
      <c r="G136" s="27">
        <v>0</v>
      </c>
      <c r="J136">
        <f>VLOOKUP(A136, TOCA_previous!$A$3:$D$136, 4, FALSE)</f>
        <v>0</v>
      </c>
      <c r="K136">
        <f>VLOOKUP(E136, TOCA_current!A132:D266, 4, FALSE)</f>
        <v>0</v>
      </c>
      <c r="O136" s="52"/>
    </row>
    <row r="137" spans="1:15">
      <c r="A137" s="24">
        <v>12026</v>
      </c>
      <c r="B137" s="19" t="s">
        <v>139</v>
      </c>
      <c r="C137" s="27">
        <v>0</v>
      </c>
      <c r="E137" s="24">
        <v>12026</v>
      </c>
      <c r="F137" s="19" t="s">
        <v>139</v>
      </c>
      <c r="G137" s="27">
        <v>0</v>
      </c>
      <c r="J137">
        <f>VLOOKUP(A137, TOCA_previous!$A$3:$D$136, 4, FALSE)</f>
        <v>0</v>
      </c>
      <c r="K137">
        <f>VLOOKUP(E137, TOCA_current!A133:D267, 4, FALSE)</f>
        <v>0</v>
      </c>
      <c r="O137" s="52"/>
    </row>
    <row r="138" spans="1:15">
      <c r="A138" s="200">
        <f>+E138</f>
        <v>10298</v>
      </c>
      <c r="B138" s="201" t="s">
        <v>140</v>
      </c>
      <c r="C138" s="202">
        <f>SUMPRODUCT(C5:C137, J5:J137)</f>
        <v>278595.01199999999</v>
      </c>
      <c r="E138" s="203">
        <v>10298</v>
      </c>
      <c r="F138" s="201" t="s">
        <v>140</v>
      </c>
      <c r="G138" s="202">
        <f>SUMPRODUCT(G5:G137, K5:K137)</f>
        <v>278595.01199999999</v>
      </c>
      <c r="J138">
        <f>VLOOKUP(A138, TOCA_previous!$A$3:$D$136, 4, FALSE)</f>
        <v>0</v>
      </c>
      <c r="K138">
        <f>VLOOKUP(E138, TOCA_current!A134:D268, 4, FALSE)</f>
        <v>0</v>
      </c>
      <c r="O138" s="52"/>
    </row>
    <row r="139" spans="1:15">
      <c r="A139" s="35" t="s">
        <v>141</v>
      </c>
      <c r="B139" s="19" t="s">
        <v>141</v>
      </c>
      <c r="C139" s="26" t="s">
        <v>141</v>
      </c>
      <c r="E139" s="24" t="s">
        <v>141</v>
      </c>
      <c r="F139" s="19" t="s">
        <v>141</v>
      </c>
      <c r="G139" s="26" t="s">
        <v>141</v>
      </c>
    </row>
    <row r="140" spans="1:15">
      <c r="A140" s="24" t="s">
        <v>141</v>
      </c>
      <c r="B140" s="19" t="s">
        <v>141</v>
      </c>
      <c r="E140" s="24" t="s">
        <v>141</v>
      </c>
      <c r="F140" s="19" t="s">
        <v>141</v>
      </c>
    </row>
    <row r="141" spans="1:15">
      <c r="A141" s="24" t="s">
        <v>141</v>
      </c>
      <c r="B141" s="19" t="s">
        <v>141</v>
      </c>
      <c r="C141" s="26" t="s">
        <v>141</v>
      </c>
      <c r="E141" s="24" t="s">
        <v>141</v>
      </c>
      <c r="F141" s="19" t="s">
        <v>141</v>
      </c>
      <c r="G141" s="26" t="s">
        <v>141</v>
      </c>
    </row>
    <row r="142" spans="1:15">
      <c r="A142" s="24" t="s">
        <v>141</v>
      </c>
      <c r="B142" s="19" t="s">
        <v>141</v>
      </c>
      <c r="C142" s="26" t="s">
        <v>141</v>
      </c>
      <c r="E142" s="24" t="s">
        <v>141</v>
      </c>
      <c r="F142" s="19" t="s">
        <v>141</v>
      </c>
      <c r="G142" s="26" t="s">
        <v>141</v>
      </c>
    </row>
    <row r="143" spans="1:15">
      <c r="A143" s="24" t="s">
        <v>141</v>
      </c>
      <c r="B143" s="19" t="s">
        <v>141</v>
      </c>
      <c r="C143" s="26" t="s">
        <v>141</v>
      </c>
      <c r="E143" s="24" t="s">
        <v>141</v>
      </c>
      <c r="F143" s="19" t="s">
        <v>141</v>
      </c>
      <c r="G143" s="26" t="s">
        <v>141</v>
      </c>
    </row>
    <row r="144" spans="1:15">
      <c r="A144" s="24" t="s">
        <v>141</v>
      </c>
      <c r="B144" s="19" t="s">
        <v>141</v>
      </c>
      <c r="C144" s="26" t="s">
        <v>141</v>
      </c>
      <c r="E144" s="24" t="s">
        <v>141</v>
      </c>
      <c r="F144" s="19" t="s">
        <v>141</v>
      </c>
      <c r="G144" s="26" t="s">
        <v>141</v>
      </c>
    </row>
    <row r="145" spans="1:7">
      <c r="A145" s="24" t="s">
        <v>141</v>
      </c>
      <c r="B145" s="19" t="s">
        <v>141</v>
      </c>
      <c r="C145" s="26" t="s">
        <v>141</v>
      </c>
      <c r="E145" s="24" t="s">
        <v>141</v>
      </c>
      <c r="F145" s="19" t="s">
        <v>141</v>
      </c>
      <c r="G145" s="26" t="s">
        <v>141</v>
      </c>
    </row>
    <row r="146" spans="1:7">
      <c r="A146" s="24" t="s">
        <v>141</v>
      </c>
      <c r="B146" s="19" t="s">
        <v>141</v>
      </c>
      <c r="C146" s="26" t="s">
        <v>141</v>
      </c>
      <c r="E146" s="24" t="s">
        <v>141</v>
      </c>
      <c r="F146" s="19" t="s">
        <v>141</v>
      </c>
      <c r="G146" s="26" t="s">
        <v>141</v>
      </c>
    </row>
    <row r="147" spans="1:7">
      <c r="A147" s="24" t="s">
        <v>141</v>
      </c>
      <c r="B147" s="19" t="s">
        <v>141</v>
      </c>
      <c r="C147" s="26" t="s">
        <v>141</v>
      </c>
      <c r="E147" s="24" t="s">
        <v>141</v>
      </c>
      <c r="F147" s="19" t="s">
        <v>141</v>
      </c>
      <c r="G147" s="26" t="s">
        <v>141</v>
      </c>
    </row>
    <row r="148" spans="1:7">
      <c r="A148" s="24" t="s">
        <v>141</v>
      </c>
      <c r="B148" s="19" t="s">
        <v>141</v>
      </c>
      <c r="C148" s="26" t="s">
        <v>141</v>
      </c>
      <c r="E148" s="24" t="s">
        <v>141</v>
      </c>
      <c r="F148" s="19" t="s">
        <v>141</v>
      </c>
      <c r="G148" s="26" t="s">
        <v>141</v>
      </c>
    </row>
    <row r="149" spans="1:7">
      <c r="A149" s="24" t="s">
        <v>141</v>
      </c>
      <c r="B149" s="19" t="s">
        <v>141</v>
      </c>
      <c r="C149" s="26" t="s">
        <v>141</v>
      </c>
      <c r="E149" s="24" t="s">
        <v>141</v>
      </c>
      <c r="F149" s="19" t="s">
        <v>141</v>
      </c>
      <c r="G149" s="26" t="s">
        <v>141</v>
      </c>
    </row>
    <row r="150" spans="1:7">
      <c r="A150" s="24" t="s">
        <v>141</v>
      </c>
      <c r="B150" s="19" t="s">
        <v>141</v>
      </c>
      <c r="C150" s="26" t="s">
        <v>141</v>
      </c>
      <c r="E150" s="24" t="s">
        <v>141</v>
      </c>
      <c r="F150" s="19" t="s">
        <v>141</v>
      </c>
      <c r="G150" s="26" t="s">
        <v>141</v>
      </c>
    </row>
    <row r="151" spans="1:7">
      <c r="A151" s="24" t="s">
        <v>141</v>
      </c>
      <c r="B151" s="19" t="s">
        <v>141</v>
      </c>
      <c r="C151" s="26" t="s">
        <v>141</v>
      </c>
      <c r="E151" s="24" t="s">
        <v>141</v>
      </c>
      <c r="F151" s="19" t="s">
        <v>141</v>
      </c>
      <c r="G151" s="26" t="s">
        <v>141</v>
      </c>
    </row>
    <row r="152" spans="1:7">
      <c r="A152" s="24" t="s">
        <v>141</v>
      </c>
      <c r="B152" s="19" t="s">
        <v>141</v>
      </c>
      <c r="C152" s="26" t="s">
        <v>141</v>
      </c>
      <c r="E152" s="24" t="s">
        <v>141</v>
      </c>
      <c r="F152" s="19" t="s">
        <v>141</v>
      </c>
      <c r="G152" s="26" t="s">
        <v>141</v>
      </c>
    </row>
    <row r="153" spans="1:7">
      <c r="A153" s="24" t="s">
        <v>141</v>
      </c>
      <c r="B153" s="19" t="s">
        <v>141</v>
      </c>
      <c r="C153" s="26" t="s">
        <v>141</v>
      </c>
      <c r="E153" s="24" t="s">
        <v>141</v>
      </c>
      <c r="F153" s="19" t="s">
        <v>141</v>
      </c>
      <c r="G153" s="26" t="s">
        <v>141</v>
      </c>
    </row>
    <row r="154" spans="1:7">
      <c r="A154" s="24" t="s">
        <v>141</v>
      </c>
      <c r="B154" s="19" t="s">
        <v>141</v>
      </c>
      <c r="C154" s="26" t="s">
        <v>141</v>
      </c>
      <c r="E154" s="24" t="s">
        <v>141</v>
      </c>
      <c r="F154" s="19" t="s">
        <v>141</v>
      </c>
      <c r="G154" s="26" t="s">
        <v>141</v>
      </c>
    </row>
    <row r="155" spans="1:7">
      <c r="A155" s="24" t="s">
        <v>141</v>
      </c>
      <c r="B155" s="19" t="s">
        <v>141</v>
      </c>
      <c r="C155" s="26" t="s">
        <v>141</v>
      </c>
      <c r="E155" s="24" t="s">
        <v>141</v>
      </c>
      <c r="F155" s="19" t="s">
        <v>141</v>
      </c>
      <c r="G155" s="26" t="s">
        <v>141</v>
      </c>
    </row>
    <row r="156" spans="1:7">
      <c r="A156" s="24" t="s">
        <v>141</v>
      </c>
      <c r="B156" s="19" t="s">
        <v>141</v>
      </c>
      <c r="C156" s="26" t="s">
        <v>141</v>
      </c>
      <c r="E156" s="24" t="s">
        <v>141</v>
      </c>
      <c r="F156" s="19" t="s">
        <v>141</v>
      </c>
      <c r="G156" s="26" t="s">
        <v>141</v>
      </c>
    </row>
    <row r="157" spans="1:7">
      <c r="A157" s="24" t="s">
        <v>141</v>
      </c>
      <c r="B157" s="19" t="s">
        <v>141</v>
      </c>
      <c r="C157" s="26" t="s">
        <v>141</v>
      </c>
      <c r="E157" s="24" t="s">
        <v>141</v>
      </c>
      <c r="F157" s="19" t="s">
        <v>141</v>
      </c>
      <c r="G157" s="26" t="s">
        <v>141</v>
      </c>
    </row>
    <row r="158" spans="1:7">
      <c r="A158" s="24" t="s">
        <v>141</v>
      </c>
      <c r="B158" s="19" t="s">
        <v>141</v>
      </c>
      <c r="C158" s="26" t="s">
        <v>141</v>
      </c>
      <c r="E158" s="24" t="s">
        <v>141</v>
      </c>
      <c r="F158" s="19" t="s">
        <v>141</v>
      </c>
      <c r="G158" s="26" t="s">
        <v>141</v>
      </c>
    </row>
    <row r="159" spans="1:7">
      <c r="A159" s="24" t="s">
        <v>141</v>
      </c>
      <c r="B159" s="19" t="s">
        <v>141</v>
      </c>
      <c r="C159" s="26" t="s">
        <v>141</v>
      </c>
      <c r="E159" s="24" t="s">
        <v>141</v>
      </c>
      <c r="F159" s="19" t="s">
        <v>141</v>
      </c>
      <c r="G159" s="26" t="s">
        <v>141</v>
      </c>
    </row>
    <row r="160" spans="1:7">
      <c r="A160" s="24" t="s">
        <v>141</v>
      </c>
      <c r="B160" s="19" t="s">
        <v>141</v>
      </c>
      <c r="C160" s="26" t="s">
        <v>141</v>
      </c>
      <c r="E160" s="24" t="s">
        <v>141</v>
      </c>
      <c r="F160" s="19" t="s">
        <v>141</v>
      </c>
      <c r="G160" s="26" t="s">
        <v>141</v>
      </c>
    </row>
    <row r="161" spans="1:7">
      <c r="A161" s="24" t="s">
        <v>141</v>
      </c>
      <c r="B161" s="19" t="s">
        <v>141</v>
      </c>
      <c r="C161" s="26" t="s">
        <v>141</v>
      </c>
      <c r="E161" s="24" t="s">
        <v>141</v>
      </c>
      <c r="F161" s="19" t="s">
        <v>141</v>
      </c>
      <c r="G161" s="26" t="s">
        <v>141</v>
      </c>
    </row>
    <row r="162" spans="1:7">
      <c r="A162" s="24" t="s">
        <v>141</v>
      </c>
      <c r="B162" s="19" t="s">
        <v>141</v>
      </c>
      <c r="C162" s="26" t="s">
        <v>141</v>
      </c>
      <c r="E162" s="24" t="s">
        <v>141</v>
      </c>
      <c r="F162" s="19" t="s">
        <v>141</v>
      </c>
      <c r="G162" s="26" t="s">
        <v>141</v>
      </c>
    </row>
    <row r="163" spans="1:7">
      <c r="A163" s="24" t="s">
        <v>141</v>
      </c>
      <c r="B163" s="19" t="s">
        <v>141</v>
      </c>
      <c r="C163" s="26" t="s">
        <v>141</v>
      </c>
      <c r="E163" s="24" t="s">
        <v>141</v>
      </c>
      <c r="F163" s="19" t="s">
        <v>141</v>
      </c>
      <c r="G163" s="26" t="s">
        <v>141</v>
      </c>
    </row>
    <row r="164" spans="1:7">
      <c r="A164" s="24" t="s">
        <v>141</v>
      </c>
      <c r="B164" s="19" t="s">
        <v>141</v>
      </c>
      <c r="C164" s="26" t="s">
        <v>141</v>
      </c>
      <c r="E164" s="24" t="s">
        <v>141</v>
      </c>
      <c r="F164" s="19" t="s">
        <v>141</v>
      </c>
      <c r="G164" s="26" t="s">
        <v>141</v>
      </c>
    </row>
    <row r="165" spans="1:7">
      <c r="A165" s="24" t="s">
        <v>141</v>
      </c>
      <c r="B165" s="19" t="s">
        <v>141</v>
      </c>
      <c r="C165" s="26" t="s">
        <v>141</v>
      </c>
      <c r="E165" s="24" t="s">
        <v>141</v>
      </c>
      <c r="F165" s="19" t="s">
        <v>141</v>
      </c>
      <c r="G165" s="26" t="s">
        <v>141</v>
      </c>
    </row>
    <row r="166" spans="1:7">
      <c r="A166" s="24" t="s">
        <v>141</v>
      </c>
      <c r="B166" s="19" t="s">
        <v>141</v>
      </c>
      <c r="C166" s="26" t="s">
        <v>141</v>
      </c>
      <c r="E166" s="24" t="s">
        <v>141</v>
      </c>
      <c r="F166" s="19" t="s">
        <v>141</v>
      </c>
      <c r="G166" s="26" t="s">
        <v>141</v>
      </c>
    </row>
    <row r="167" spans="1:7">
      <c r="A167" s="24" t="s">
        <v>141</v>
      </c>
      <c r="B167" s="19" t="s">
        <v>141</v>
      </c>
      <c r="C167" s="26" t="s">
        <v>141</v>
      </c>
      <c r="E167" s="24" t="s">
        <v>141</v>
      </c>
      <c r="F167" s="19" t="s">
        <v>141</v>
      </c>
      <c r="G167" s="26" t="s">
        <v>141</v>
      </c>
    </row>
    <row r="168" spans="1:7">
      <c r="A168" s="24" t="s">
        <v>141</v>
      </c>
      <c r="B168" s="19" t="s">
        <v>141</v>
      </c>
      <c r="C168" s="26" t="s">
        <v>141</v>
      </c>
      <c r="E168" s="24" t="s">
        <v>141</v>
      </c>
      <c r="F168" s="19" t="s">
        <v>141</v>
      </c>
      <c r="G168" s="26" t="s">
        <v>141</v>
      </c>
    </row>
    <row r="169" spans="1:7">
      <c r="A169" s="24" t="s">
        <v>141</v>
      </c>
      <c r="B169" s="19" t="s">
        <v>141</v>
      </c>
      <c r="C169" s="26" t="s">
        <v>141</v>
      </c>
      <c r="E169" s="24" t="s">
        <v>141</v>
      </c>
      <c r="F169" s="19" t="s">
        <v>141</v>
      </c>
      <c r="G169" s="26" t="s">
        <v>141</v>
      </c>
    </row>
    <row r="170" spans="1:7">
      <c r="A170" s="24" t="s">
        <v>141</v>
      </c>
      <c r="B170" s="19" t="s">
        <v>141</v>
      </c>
      <c r="C170" s="26" t="s">
        <v>141</v>
      </c>
      <c r="E170" s="24" t="s">
        <v>141</v>
      </c>
      <c r="F170" s="19" t="s">
        <v>141</v>
      </c>
      <c r="G170" s="26" t="s">
        <v>141</v>
      </c>
    </row>
    <row r="171" spans="1:7">
      <c r="A171" s="24" t="s">
        <v>141</v>
      </c>
      <c r="B171" s="19" t="s">
        <v>141</v>
      </c>
      <c r="C171" s="26" t="s">
        <v>141</v>
      </c>
      <c r="E171" s="24" t="s">
        <v>141</v>
      </c>
      <c r="F171" s="19" t="s">
        <v>141</v>
      </c>
      <c r="G171" s="26" t="s">
        <v>141</v>
      </c>
    </row>
    <row r="172" spans="1:7">
      <c r="A172" s="24" t="s">
        <v>141</v>
      </c>
      <c r="B172" s="19" t="s">
        <v>141</v>
      </c>
      <c r="C172" s="26" t="s">
        <v>141</v>
      </c>
      <c r="E172" s="24" t="s">
        <v>141</v>
      </c>
      <c r="F172" s="19" t="s">
        <v>141</v>
      </c>
      <c r="G172" s="26" t="s">
        <v>141</v>
      </c>
    </row>
    <row r="173" spans="1:7">
      <c r="A173" s="24" t="s">
        <v>141</v>
      </c>
      <c r="B173" s="19" t="s">
        <v>141</v>
      </c>
      <c r="C173" s="26" t="s">
        <v>141</v>
      </c>
      <c r="E173" s="24" t="s">
        <v>141</v>
      </c>
      <c r="F173" s="19" t="s">
        <v>141</v>
      </c>
      <c r="G173" s="26" t="s">
        <v>141</v>
      </c>
    </row>
    <row r="174" spans="1:7">
      <c r="A174" s="24" t="s">
        <v>141</v>
      </c>
      <c r="B174" s="19" t="s">
        <v>141</v>
      </c>
      <c r="C174" s="26" t="s">
        <v>141</v>
      </c>
      <c r="E174" s="24" t="s">
        <v>141</v>
      </c>
      <c r="F174" s="19" t="s">
        <v>141</v>
      </c>
      <c r="G174" s="26" t="s">
        <v>141</v>
      </c>
    </row>
    <row r="175" spans="1:7">
      <c r="A175" s="24" t="s">
        <v>141</v>
      </c>
      <c r="B175" s="19" t="s">
        <v>141</v>
      </c>
      <c r="C175" s="26" t="s">
        <v>141</v>
      </c>
      <c r="E175" s="24" t="s">
        <v>141</v>
      </c>
      <c r="F175" s="19" t="s">
        <v>141</v>
      </c>
      <c r="G175" s="26" t="s">
        <v>141</v>
      </c>
    </row>
    <row r="176" spans="1:7">
      <c r="A176" s="24" t="s">
        <v>141</v>
      </c>
      <c r="B176" s="19" t="s">
        <v>141</v>
      </c>
      <c r="C176" s="26" t="s">
        <v>141</v>
      </c>
      <c r="E176" s="24" t="s">
        <v>141</v>
      </c>
      <c r="F176" s="19" t="s">
        <v>141</v>
      </c>
      <c r="G176" s="26" t="s">
        <v>141</v>
      </c>
    </row>
    <row r="177" spans="1:7">
      <c r="A177" s="24" t="s">
        <v>141</v>
      </c>
      <c r="B177" s="19" t="s">
        <v>141</v>
      </c>
      <c r="C177" s="26" t="s">
        <v>141</v>
      </c>
      <c r="E177" s="24" t="s">
        <v>141</v>
      </c>
      <c r="F177" s="19" t="s">
        <v>141</v>
      </c>
      <c r="G177" s="26" t="s">
        <v>141</v>
      </c>
    </row>
    <row r="178" spans="1:7">
      <c r="A178" s="24" t="s">
        <v>141</v>
      </c>
      <c r="B178" s="19" t="s">
        <v>141</v>
      </c>
      <c r="C178" s="26" t="s">
        <v>141</v>
      </c>
      <c r="E178" s="24" t="s">
        <v>141</v>
      </c>
      <c r="F178" s="19" t="s">
        <v>141</v>
      </c>
      <c r="G178" s="26" t="s">
        <v>141</v>
      </c>
    </row>
    <row r="179" spans="1:7">
      <c r="A179" s="24" t="s">
        <v>141</v>
      </c>
      <c r="B179" s="19" t="s">
        <v>141</v>
      </c>
      <c r="C179" s="26" t="s">
        <v>141</v>
      </c>
      <c r="E179" s="24" t="s">
        <v>141</v>
      </c>
      <c r="F179" s="19" t="s">
        <v>141</v>
      </c>
      <c r="G179" s="26" t="s">
        <v>141</v>
      </c>
    </row>
    <row r="180" spans="1:7">
      <c r="A180" s="24" t="s">
        <v>141</v>
      </c>
      <c r="B180" s="19" t="s">
        <v>141</v>
      </c>
      <c r="C180" s="26" t="s">
        <v>141</v>
      </c>
      <c r="E180" s="24" t="s">
        <v>141</v>
      </c>
      <c r="F180" s="19" t="s">
        <v>141</v>
      </c>
      <c r="G180" s="26" t="s">
        <v>141</v>
      </c>
    </row>
    <row r="181" spans="1:7">
      <c r="A181" s="24" t="s">
        <v>141</v>
      </c>
      <c r="B181" s="19" t="s">
        <v>141</v>
      </c>
      <c r="C181" s="26" t="s">
        <v>141</v>
      </c>
      <c r="E181" s="24" t="s">
        <v>141</v>
      </c>
      <c r="F181" s="19" t="s">
        <v>141</v>
      </c>
      <c r="G181" s="26" t="s">
        <v>141</v>
      </c>
    </row>
    <row r="182" spans="1:7">
      <c r="A182" s="24" t="s">
        <v>141</v>
      </c>
      <c r="B182" s="19" t="s">
        <v>141</v>
      </c>
      <c r="C182" s="26" t="s">
        <v>141</v>
      </c>
      <c r="E182" s="24" t="s">
        <v>141</v>
      </c>
      <c r="F182" s="19" t="s">
        <v>141</v>
      </c>
      <c r="G182" s="26" t="s">
        <v>141</v>
      </c>
    </row>
    <row r="183" spans="1:7">
      <c r="A183" s="24" t="s">
        <v>141</v>
      </c>
      <c r="B183" s="19" t="s">
        <v>141</v>
      </c>
      <c r="C183" s="26" t="s">
        <v>141</v>
      </c>
      <c r="E183" s="24" t="s">
        <v>141</v>
      </c>
      <c r="F183" s="19" t="s">
        <v>141</v>
      </c>
      <c r="G183" s="26" t="s">
        <v>141</v>
      </c>
    </row>
    <row r="184" spans="1:7">
      <c r="A184" s="24" t="s">
        <v>141</v>
      </c>
      <c r="B184" s="19" t="s">
        <v>141</v>
      </c>
      <c r="C184" s="26" t="s">
        <v>141</v>
      </c>
      <c r="E184" s="24" t="s">
        <v>141</v>
      </c>
      <c r="F184" s="19" t="s">
        <v>141</v>
      </c>
      <c r="G184" s="26" t="s">
        <v>141</v>
      </c>
    </row>
    <row r="185" spans="1:7">
      <c r="A185" s="24" t="s">
        <v>141</v>
      </c>
      <c r="B185" s="19" t="s">
        <v>141</v>
      </c>
      <c r="C185" s="26" t="s">
        <v>141</v>
      </c>
      <c r="E185" s="24" t="s">
        <v>141</v>
      </c>
      <c r="F185" s="19" t="s">
        <v>141</v>
      </c>
      <c r="G185" s="26" t="s">
        <v>141</v>
      </c>
    </row>
    <row r="186" spans="1:7">
      <c r="A186" s="24" t="s">
        <v>141</v>
      </c>
      <c r="B186" s="19" t="s">
        <v>141</v>
      </c>
      <c r="C186" s="26" t="s">
        <v>141</v>
      </c>
      <c r="E186" s="24" t="s">
        <v>141</v>
      </c>
      <c r="F186" s="19" t="s">
        <v>141</v>
      </c>
      <c r="G186" s="26" t="s">
        <v>141</v>
      </c>
    </row>
    <row r="187" spans="1:7">
      <c r="A187" s="24" t="s">
        <v>141</v>
      </c>
      <c r="B187" s="19" t="s">
        <v>141</v>
      </c>
      <c r="C187" s="26" t="s">
        <v>141</v>
      </c>
      <c r="E187" s="24" t="s">
        <v>141</v>
      </c>
      <c r="F187" s="19" t="s">
        <v>141</v>
      </c>
      <c r="G187" s="26" t="s">
        <v>141</v>
      </c>
    </row>
    <row r="188" spans="1:7">
      <c r="A188" s="24" t="s">
        <v>141</v>
      </c>
      <c r="B188" s="19" t="s">
        <v>141</v>
      </c>
      <c r="C188" s="26" t="s">
        <v>141</v>
      </c>
      <c r="E188" s="24" t="s">
        <v>141</v>
      </c>
      <c r="F188" s="19" t="s">
        <v>141</v>
      </c>
      <c r="G188" s="26" t="s">
        <v>141</v>
      </c>
    </row>
    <row r="189" spans="1:7">
      <c r="A189" s="24" t="s">
        <v>141</v>
      </c>
      <c r="B189" s="19" t="s">
        <v>141</v>
      </c>
      <c r="C189" s="26" t="s">
        <v>141</v>
      </c>
      <c r="E189" s="24" t="s">
        <v>141</v>
      </c>
      <c r="F189" s="19" t="s">
        <v>141</v>
      </c>
      <c r="G189" s="26" t="s">
        <v>141</v>
      </c>
    </row>
    <row r="190" spans="1:7">
      <c r="A190" s="24" t="s">
        <v>141</v>
      </c>
      <c r="B190" s="19" t="s">
        <v>141</v>
      </c>
      <c r="C190" s="26" t="s">
        <v>141</v>
      </c>
      <c r="E190" s="24" t="s">
        <v>141</v>
      </c>
      <c r="F190" s="19" t="s">
        <v>141</v>
      </c>
      <c r="G190" s="26" t="s">
        <v>141</v>
      </c>
    </row>
    <row r="191" spans="1:7">
      <c r="A191" s="24" t="s">
        <v>141</v>
      </c>
      <c r="B191" s="19" t="s">
        <v>141</v>
      </c>
      <c r="C191" s="26" t="s">
        <v>141</v>
      </c>
      <c r="E191" s="24" t="s">
        <v>141</v>
      </c>
      <c r="F191" s="19" t="s">
        <v>141</v>
      </c>
      <c r="G191" s="26" t="s">
        <v>141</v>
      </c>
    </row>
    <row r="192" spans="1:7">
      <c r="A192" s="24" t="s">
        <v>141</v>
      </c>
      <c r="B192" s="19" t="s">
        <v>141</v>
      </c>
      <c r="C192" s="26" t="s">
        <v>141</v>
      </c>
      <c r="E192" s="24" t="s">
        <v>141</v>
      </c>
      <c r="F192" s="19" t="s">
        <v>141</v>
      </c>
      <c r="G192" s="26" t="s">
        <v>141</v>
      </c>
    </row>
    <row r="193" spans="1:7">
      <c r="A193" s="24" t="s">
        <v>141</v>
      </c>
      <c r="B193" s="19" t="s">
        <v>141</v>
      </c>
      <c r="C193" s="26" t="s">
        <v>141</v>
      </c>
      <c r="E193" s="24" t="s">
        <v>141</v>
      </c>
      <c r="F193" s="19" t="s">
        <v>141</v>
      </c>
      <c r="G193" s="26" t="s">
        <v>141</v>
      </c>
    </row>
    <row r="194" spans="1:7">
      <c r="A194" s="24" t="s">
        <v>141</v>
      </c>
      <c r="B194" s="19" t="s">
        <v>141</v>
      </c>
      <c r="C194" s="26" t="s">
        <v>141</v>
      </c>
      <c r="E194" s="24" t="s">
        <v>141</v>
      </c>
      <c r="F194" s="19" t="s">
        <v>141</v>
      </c>
      <c r="G194" s="26" t="s">
        <v>141</v>
      </c>
    </row>
    <row r="195" spans="1:7">
      <c r="A195" s="24" t="s">
        <v>141</v>
      </c>
      <c r="B195" s="19" t="s">
        <v>141</v>
      </c>
      <c r="C195" s="26" t="s">
        <v>141</v>
      </c>
      <c r="E195" s="24" t="s">
        <v>141</v>
      </c>
      <c r="F195" s="19" t="s">
        <v>141</v>
      </c>
      <c r="G195" s="26" t="s">
        <v>141</v>
      </c>
    </row>
    <row r="196" spans="1:7">
      <c r="A196" s="24" t="s">
        <v>141</v>
      </c>
      <c r="B196" s="19" t="s">
        <v>141</v>
      </c>
      <c r="C196" s="26" t="s">
        <v>141</v>
      </c>
      <c r="E196" s="24" t="s">
        <v>141</v>
      </c>
      <c r="F196" s="19" t="s">
        <v>141</v>
      </c>
      <c r="G196" s="26" t="s">
        <v>141</v>
      </c>
    </row>
    <row r="197" spans="1:7">
      <c r="A197" s="24" t="s">
        <v>141</v>
      </c>
      <c r="B197" s="19" t="s">
        <v>141</v>
      </c>
      <c r="C197" s="26" t="s">
        <v>141</v>
      </c>
      <c r="E197" s="24" t="s">
        <v>141</v>
      </c>
      <c r="F197" s="19" t="s">
        <v>141</v>
      </c>
      <c r="G197" s="26" t="s">
        <v>141</v>
      </c>
    </row>
    <row r="198" spans="1:7">
      <c r="A198" s="24" t="s">
        <v>141</v>
      </c>
      <c r="B198" s="19" t="s">
        <v>141</v>
      </c>
      <c r="C198" s="26" t="s">
        <v>141</v>
      </c>
      <c r="E198" s="24" t="s">
        <v>141</v>
      </c>
      <c r="F198" s="19" t="s">
        <v>141</v>
      </c>
      <c r="G198" s="26" t="s">
        <v>141</v>
      </c>
    </row>
    <row r="199" spans="1:7">
      <c r="A199" s="24" t="s">
        <v>141</v>
      </c>
      <c r="B199" s="19" t="s">
        <v>141</v>
      </c>
      <c r="C199" s="26" t="s">
        <v>141</v>
      </c>
      <c r="E199" s="24" t="s">
        <v>141</v>
      </c>
      <c r="F199" s="19" t="s">
        <v>141</v>
      </c>
      <c r="G199" s="26" t="s">
        <v>141</v>
      </c>
    </row>
    <row r="200" spans="1:7">
      <c r="A200" s="24" t="s">
        <v>141</v>
      </c>
      <c r="B200" s="19" t="s">
        <v>141</v>
      </c>
      <c r="C200" s="26" t="s">
        <v>141</v>
      </c>
      <c r="E200" s="24" t="s">
        <v>141</v>
      </c>
      <c r="F200" s="19" t="s">
        <v>141</v>
      </c>
      <c r="G200" s="26" t="s">
        <v>141</v>
      </c>
    </row>
    <row r="201" spans="1:7">
      <c r="A201" s="24" t="s">
        <v>141</v>
      </c>
      <c r="B201" s="19" t="s">
        <v>141</v>
      </c>
      <c r="C201" s="26" t="s">
        <v>141</v>
      </c>
      <c r="E201" s="24" t="s">
        <v>141</v>
      </c>
      <c r="F201" s="19" t="s">
        <v>141</v>
      </c>
      <c r="G201" s="26" t="s">
        <v>141</v>
      </c>
    </row>
    <row r="202" spans="1:7">
      <c r="A202" s="24" t="s">
        <v>141</v>
      </c>
      <c r="B202" s="19" t="s">
        <v>141</v>
      </c>
      <c r="C202" s="26" t="s">
        <v>141</v>
      </c>
      <c r="E202" s="24" t="s">
        <v>141</v>
      </c>
      <c r="F202" s="19" t="s">
        <v>141</v>
      </c>
      <c r="G202" s="26" t="s">
        <v>141</v>
      </c>
    </row>
    <row r="203" spans="1:7">
      <c r="A203" s="24" t="s">
        <v>141</v>
      </c>
      <c r="B203" s="19" t="s">
        <v>141</v>
      </c>
      <c r="C203" s="26" t="s">
        <v>141</v>
      </c>
      <c r="E203" s="24" t="s">
        <v>141</v>
      </c>
      <c r="F203" s="19" t="s">
        <v>141</v>
      </c>
      <c r="G203" s="26" t="s">
        <v>141</v>
      </c>
    </row>
    <row r="204" spans="1:7">
      <c r="A204" s="24" t="s">
        <v>141</v>
      </c>
      <c r="B204" s="19" t="s">
        <v>141</v>
      </c>
      <c r="C204" s="26" t="s">
        <v>141</v>
      </c>
      <c r="E204" s="24" t="s">
        <v>141</v>
      </c>
      <c r="F204" s="19" t="s">
        <v>141</v>
      </c>
      <c r="G204" s="26" t="s">
        <v>141</v>
      </c>
    </row>
    <row r="205" spans="1:7">
      <c r="A205" s="24" t="s">
        <v>141</v>
      </c>
      <c r="B205" s="19" t="s">
        <v>141</v>
      </c>
      <c r="C205" s="26" t="s">
        <v>141</v>
      </c>
      <c r="E205" s="24" t="s">
        <v>141</v>
      </c>
      <c r="F205" s="19" t="s">
        <v>141</v>
      </c>
      <c r="G205" s="26" t="s">
        <v>141</v>
      </c>
    </row>
    <row r="206" spans="1:7">
      <c r="A206" s="24" t="s">
        <v>141</v>
      </c>
      <c r="B206" s="19" t="s">
        <v>141</v>
      </c>
      <c r="C206" s="26" t="s">
        <v>141</v>
      </c>
      <c r="E206" s="24" t="s">
        <v>141</v>
      </c>
      <c r="F206" s="19" t="s">
        <v>141</v>
      </c>
      <c r="G206" s="26" t="s">
        <v>141</v>
      </c>
    </row>
    <row r="207" spans="1:7">
      <c r="A207" s="24" t="s">
        <v>141</v>
      </c>
      <c r="B207" s="19" t="s">
        <v>141</v>
      </c>
      <c r="C207" s="26" t="s">
        <v>141</v>
      </c>
      <c r="E207" s="24" t="s">
        <v>141</v>
      </c>
      <c r="F207" s="19" t="s">
        <v>141</v>
      </c>
      <c r="G207" s="26" t="s">
        <v>141</v>
      </c>
    </row>
    <row r="208" spans="1:7">
      <c r="A208" s="24" t="s">
        <v>141</v>
      </c>
      <c r="B208" s="19" t="s">
        <v>141</v>
      </c>
      <c r="C208" s="26" t="s">
        <v>141</v>
      </c>
      <c r="E208" s="24" t="s">
        <v>141</v>
      </c>
      <c r="F208" s="19" t="s">
        <v>141</v>
      </c>
      <c r="G208" s="26" t="s">
        <v>141</v>
      </c>
    </row>
    <row r="209" spans="1:7">
      <c r="A209" s="24" t="s">
        <v>141</v>
      </c>
      <c r="B209" s="19" t="s">
        <v>141</v>
      </c>
      <c r="C209" s="26" t="s">
        <v>141</v>
      </c>
      <c r="E209" s="24" t="s">
        <v>141</v>
      </c>
      <c r="F209" s="19" t="s">
        <v>141</v>
      </c>
      <c r="G209" s="26" t="s">
        <v>141</v>
      </c>
    </row>
    <row r="210" spans="1:7">
      <c r="A210" s="24" t="s">
        <v>141</v>
      </c>
      <c r="B210" s="19" t="s">
        <v>141</v>
      </c>
      <c r="C210" s="26" t="s">
        <v>141</v>
      </c>
      <c r="E210" s="24" t="s">
        <v>141</v>
      </c>
      <c r="F210" s="19" t="s">
        <v>141</v>
      </c>
      <c r="G210" s="26" t="s">
        <v>141</v>
      </c>
    </row>
    <row r="211" spans="1:7">
      <c r="A211" s="24" t="s">
        <v>141</v>
      </c>
      <c r="B211" s="19" t="s">
        <v>141</v>
      </c>
      <c r="C211" s="26" t="s">
        <v>141</v>
      </c>
      <c r="E211" s="24" t="s">
        <v>141</v>
      </c>
      <c r="F211" s="19" t="s">
        <v>141</v>
      </c>
      <c r="G211" s="26" t="s">
        <v>141</v>
      </c>
    </row>
    <row r="212" spans="1:7">
      <c r="A212" s="24" t="s">
        <v>141</v>
      </c>
      <c r="B212" s="19" t="s">
        <v>141</v>
      </c>
      <c r="C212" s="26" t="s">
        <v>141</v>
      </c>
      <c r="E212" s="24" t="s">
        <v>141</v>
      </c>
      <c r="F212" s="19" t="s">
        <v>141</v>
      </c>
      <c r="G212" s="26" t="s">
        <v>141</v>
      </c>
    </row>
    <row r="213" spans="1:7">
      <c r="A213" s="24" t="s">
        <v>141</v>
      </c>
      <c r="B213" s="19" t="s">
        <v>141</v>
      </c>
      <c r="C213" s="26" t="s">
        <v>141</v>
      </c>
      <c r="E213" s="24" t="s">
        <v>141</v>
      </c>
      <c r="F213" s="19" t="s">
        <v>141</v>
      </c>
      <c r="G213" s="26" t="s">
        <v>141</v>
      </c>
    </row>
    <row r="214" spans="1:7">
      <c r="A214" s="24" t="s">
        <v>141</v>
      </c>
      <c r="B214" s="19" t="s">
        <v>141</v>
      </c>
      <c r="C214" s="26" t="s">
        <v>141</v>
      </c>
      <c r="E214" s="24" t="s">
        <v>141</v>
      </c>
      <c r="F214" s="19" t="s">
        <v>141</v>
      </c>
      <c r="G214" s="26" t="s">
        <v>141</v>
      </c>
    </row>
    <row r="215" spans="1:7">
      <c r="A215" s="24" t="s">
        <v>141</v>
      </c>
      <c r="B215" s="19" t="s">
        <v>141</v>
      </c>
      <c r="C215" s="26" t="s">
        <v>141</v>
      </c>
      <c r="E215" s="24" t="s">
        <v>141</v>
      </c>
      <c r="F215" s="19" t="s">
        <v>141</v>
      </c>
      <c r="G215" s="26" t="s">
        <v>141</v>
      </c>
    </row>
    <row r="216" spans="1:7">
      <c r="A216" s="24" t="s">
        <v>141</v>
      </c>
      <c r="B216" s="19" t="s">
        <v>141</v>
      </c>
      <c r="C216" s="26" t="s">
        <v>141</v>
      </c>
      <c r="E216" s="24" t="s">
        <v>141</v>
      </c>
      <c r="F216" s="19" t="s">
        <v>141</v>
      </c>
      <c r="G216" s="26" t="s">
        <v>141</v>
      </c>
    </row>
    <row r="217" spans="1:7">
      <c r="A217" s="24" t="s">
        <v>141</v>
      </c>
      <c r="B217" s="19" t="s">
        <v>141</v>
      </c>
      <c r="C217" s="26" t="s">
        <v>141</v>
      </c>
      <c r="E217" s="24" t="s">
        <v>141</v>
      </c>
      <c r="F217" s="19" t="s">
        <v>141</v>
      </c>
      <c r="G217" s="26" t="s">
        <v>141</v>
      </c>
    </row>
    <row r="218" spans="1:7">
      <c r="A218" s="24" t="s">
        <v>141</v>
      </c>
      <c r="B218" s="19" t="s">
        <v>141</v>
      </c>
      <c r="C218" s="26" t="s">
        <v>141</v>
      </c>
      <c r="E218" s="24" t="s">
        <v>141</v>
      </c>
      <c r="F218" s="19" t="s">
        <v>141</v>
      </c>
      <c r="G218" s="26" t="s">
        <v>141</v>
      </c>
    </row>
    <row r="219" spans="1:7">
      <c r="A219" s="24" t="s">
        <v>141</v>
      </c>
      <c r="B219" s="19" t="s">
        <v>141</v>
      </c>
      <c r="C219" s="26" t="s">
        <v>141</v>
      </c>
      <c r="E219" s="24" t="s">
        <v>141</v>
      </c>
      <c r="F219" s="19" t="s">
        <v>141</v>
      </c>
      <c r="G219" s="26" t="s">
        <v>141</v>
      </c>
    </row>
    <row r="220" spans="1:7">
      <c r="A220" s="24" t="s">
        <v>141</v>
      </c>
      <c r="B220" s="19" t="s">
        <v>141</v>
      </c>
      <c r="C220" s="26" t="s">
        <v>141</v>
      </c>
      <c r="E220" s="24" t="s">
        <v>141</v>
      </c>
      <c r="F220" s="19" t="s">
        <v>141</v>
      </c>
      <c r="G220" s="26" t="s">
        <v>141</v>
      </c>
    </row>
    <row r="221" spans="1:7">
      <c r="A221" s="24" t="s">
        <v>141</v>
      </c>
      <c r="B221" s="19" t="s">
        <v>141</v>
      </c>
      <c r="C221" s="26" t="s">
        <v>141</v>
      </c>
      <c r="E221" s="24" t="s">
        <v>141</v>
      </c>
      <c r="F221" s="19" t="s">
        <v>141</v>
      </c>
      <c r="G221" s="26" t="s">
        <v>141</v>
      </c>
    </row>
    <row r="222" spans="1:7">
      <c r="A222" s="24" t="s">
        <v>141</v>
      </c>
      <c r="B222" s="19" t="s">
        <v>141</v>
      </c>
      <c r="C222" s="26" t="s">
        <v>141</v>
      </c>
      <c r="E222" s="24" t="s">
        <v>141</v>
      </c>
      <c r="F222" s="19" t="s">
        <v>141</v>
      </c>
      <c r="G222" s="26" t="s">
        <v>141</v>
      </c>
    </row>
    <row r="223" spans="1:7">
      <c r="A223" s="24" t="s">
        <v>141</v>
      </c>
      <c r="B223" s="19" t="s">
        <v>141</v>
      </c>
      <c r="C223" s="26" t="s">
        <v>141</v>
      </c>
      <c r="E223" s="24" t="s">
        <v>141</v>
      </c>
      <c r="F223" s="19" t="s">
        <v>141</v>
      </c>
      <c r="G223" s="26" t="s">
        <v>141</v>
      </c>
    </row>
    <row r="224" spans="1:7">
      <c r="A224" s="24" t="s">
        <v>141</v>
      </c>
      <c r="B224" s="19" t="s">
        <v>141</v>
      </c>
      <c r="C224" s="26" t="s">
        <v>141</v>
      </c>
      <c r="E224" s="24" t="s">
        <v>141</v>
      </c>
      <c r="F224" s="19" t="s">
        <v>141</v>
      </c>
      <c r="G224" s="26" t="s">
        <v>141</v>
      </c>
    </row>
    <row r="225" spans="1:7">
      <c r="A225" s="24" t="s">
        <v>141</v>
      </c>
      <c r="B225" s="19" t="s">
        <v>141</v>
      </c>
      <c r="C225" s="26" t="s">
        <v>141</v>
      </c>
      <c r="E225" s="24" t="s">
        <v>141</v>
      </c>
      <c r="F225" s="19" t="s">
        <v>141</v>
      </c>
      <c r="G225" s="26" t="s">
        <v>141</v>
      </c>
    </row>
    <row r="226" spans="1:7">
      <c r="A226" s="24" t="s">
        <v>141</v>
      </c>
      <c r="B226" s="19" t="s">
        <v>141</v>
      </c>
      <c r="C226" s="26" t="s">
        <v>141</v>
      </c>
      <c r="E226" s="24" t="s">
        <v>141</v>
      </c>
      <c r="F226" s="19" t="s">
        <v>141</v>
      </c>
      <c r="G226" s="26" t="s">
        <v>141</v>
      </c>
    </row>
    <row r="227" spans="1:7">
      <c r="A227" s="24" t="s">
        <v>141</v>
      </c>
      <c r="B227" s="19" t="s">
        <v>141</v>
      </c>
      <c r="C227" s="26" t="s">
        <v>141</v>
      </c>
      <c r="E227" s="24" t="s">
        <v>141</v>
      </c>
      <c r="F227" s="19" t="s">
        <v>141</v>
      </c>
      <c r="G227" s="26" t="s">
        <v>141</v>
      </c>
    </row>
    <row r="228" spans="1:7">
      <c r="A228" s="24" t="s">
        <v>141</v>
      </c>
      <c r="B228" s="19" t="s">
        <v>141</v>
      </c>
      <c r="C228" s="26" t="s">
        <v>141</v>
      </c>
      <c r="E228" s="24" t="s">
        <v>141</v>
      </c>
      <c r="F228" s="19" t="s">
        <v>141</v>
      </c>
      <c r="G228" s="26" t="s">
        <v>141</v>
      </c>
    </row>
    <row r="229" spans="1:7">
      <c r="A229" s="24" t="s">
        <v>141</v>
      </c>
      <c r="B229" s="19" t="s">
        <v>141</v>
      </c>
      <c r="C229" s="26" t="s">
        <v>141</v>
      </c>
      <c r="E229" s="24" t="s">
        <v>141</v>
      </c>
      <c r="F229" s="19" t="s">
        <v>141</v>
      </c>
      <c r="G229" s="26" t="s">
        <v>141</v>
      </c>
    </row>
    <row r="230" spans="1:7">
      <c r="A230" s="24" t="s">
        <v>141</v>
      </c>
      <c r="B230" s="19" t="s">
        <v>141</v>
      </c>
      <c r="C230" s="26" t="s">
        <v>141</v>
      </c>
      <c r="E230" s="24" t="s">
        <v>141</v>
      </c>
      <c r="F230" s="19" t="s">
        <v>141</v>
      </c>
      <c r="G230" s="26" t="s">
        <v>141</v>
      </c>
    </row>
    <row r="231" spans="1:7">
      <c r="A231" s="24" t="s">
        <v>141</v>
      </c>
      <c r="B231" s="19" t="s">
        <v>141</v>
      </c>
      <c r="C231" s="26" t="s">
        <v>141</v>
      </c>
      <c r="E231" s="24" t="s">
        <v>141</v>
      </c>
      <c r="F231" s="19" t="s">
        <v>141</v>
      </c>
      <c r="G231" s="26" t="s">
        <v>141</v>
      </c>
    </row>
    <row r="232" spans="1:7">
      <c r="A232" s="24" t="s">
        <v>141</v>
      </c>
      <c r="B232" s="19" t="s">
        <v>141</v>
      </c>
      <c r="C232" s="26" t="s">
        <v>141</v>
      </c>
      <c r="E232" s="24" t="s">
        <v>141</v>
      </c>
      <c r="F232" s="19" t="s">
        <v>141</v>
      </c>
      <c r="G232" s="26" t="s">
        <v>141</v>
      </c>
    </row>
    <row r="233" spans="1:7">
      <c r="A233" s="24" t="s">
        <v>141</v>
      </c>
      <c r="B233" s="19" t="s">
        <v>141</v>
      </c>
      <c r="C233" s="26" t="s">
        <v>141</v>
      </c>
      <c r="E233" s="24" t="s">
        <v>141</v>
      </c>
      <c r="F233" s="19" t="s">
        <v>141</v>
      </c>
      <c r="G233" s="26" t="s">
        <v>141</v>
      </c>
    </row>
    <row r="234" spans="1:7">
      <c r="A234" s="24" t="s">
        <v>141</v>
      </c>
      <c r="B234" s="19" t="s">
        <v>141</v>
      </c>
      <c r="C234" s="26" t="s">
        <v>141</v>
      </c>
      <c r="E234" s="24" t="s">
        <v>141</v>
      </c>
      <c r="F234" s="19" t="s">
        <v>141</v>
      </c>
      <c r="G234" s="26" t="s">
        <v>141</v>
      </c>
    </row>
    <row r="235" spans="1:7">
      <c r="A235" s="24" t="s">
        <v>141</v>
      </c>
      <c r="B235" s="19" t="s">
        <v>141</v>
      </c>
      <c r="C235" s="26" t="s">
        <v>141</v>
      </c>
      <c r="E235" s="24" t="s">
        <v>141</v>
      </c>
      <c r="F235" s="19" t="s">
        <v>141</v>
      </c>
      <c r="G235" s="26" t="s">
        <v>141</v>
      </c>
    </row>
    <row r="236" spans="1:7">
      <c r="A236" s="24" t="s">
        <v>141</v>
      </c>
      <c r="B236" s="19" t="s">
        <v>141</v>
      </c>
      <c r="C236" s="26" t="s">
        <v>141</v>
      </c>
      <c r="E236" s="24" t="s">
        <v>141</v>
      </c>
      <c r="F236" s="19" t="s">
        <v>141</v>
      </c>
      <c r="G236" s="26" t="s">
        <v>141</v>
      </c>
    </row>
    <row r="237" spans="1:7">
      <c r="A237" s="24" t="s">
        <v>141</v>
      </c>
      <c r="B237" s="19" t="s">
        <v>141</v>
      </c>
      <c r="C237" s="26" t="s">
        <v>141</v>
      </c>
      <c r="E237" s="24" t="s">
        <v>141</v>
      </c>
      <c r="F237" s="19" t="s">
        <v>141</v>
      </c>
      <c r="G237" s="26" t="s">
        <v>141</v>
      </c>
    </row>
    <row r="238" spans="1:7">
      <c r="A238" s="24" t="s">
        <v>141</v>
      </c>
      <c r="B238" s="19" t="s">
        <v>141</v>
      </c>
      <c r="C238" s="26" t="s">
        <v>141</v>
      </c>
      <c r="E238" s="24" t="s">
        <v>141</v>
      </c>
      <c r="F238" s="19" t="s">
        <v>141</v>
      </c>
      <c r="G238" s="26" t="s">
        <v>141</v>
      </c>
    </row>
    <row r="239" spans="1:7">
      <c r="A239" s="24" t="s">
        <v>141</v>
      </c>
      <c r="B239" s="19" t="s">
        <v>141</v>
      </c>
      <c r="C239" s="26" t="s">
        <v>141</v>
      </c>
      <c r="E239" s="24" t="s">
        <v>141</v>
      </c>
      <c r="F239" s="19" t="s">
        <v>141</v>
      </c>
      <c r="G239" s="26" t="s">
        <v>141</v>
      </c>
    </row>
    <row r="240" spans="1:7">
      <c r="A240" s="24" t="s">
        <v>141</v>
      </c>
      <c r="B240" s="19" t="s">
        <v>141</v>
      </c>
      <c r="C240" s="26" t="s">
        <v>141</v>
      </c>
      <c r="E240" s="24" t="s">
        <v>141</v>
      </c>
      <c r="F240" s="19" t="s">
        <v>141</v>
      </c>
      <c r="G240" s="26" t="s">
        <v>141</v>
      </c>
    </row>
    <row r="241" spans="1:7">
      <c r="A241" s="24" t="s">
        <v>141</v>
      </c>
      <c r="B241" s="19" t="s">
        <v>141</v>
      </c>
      <c r="C241" s="26" t="s">
        <v>141</v>
      </c>
      <c r="E241" s="24" t="s">
        <v>141</v>
      </c>
      <c r="F241" s="19" t="s">
        <v>141</v>
      </c>
      <c r="G241" s="26" t="s">
        <v>141</v>
      </c>
    </row>
    <row r="242" spans="1:7">
      <c r="A242" s="24" t="s">
        <v>141</v>
      </c>
      <c r="B242" s="19" t="s">
        <v>141</v>
      </c>
      <c r="C242" s="26" t="s">
        <v>141</v>
      </c>
      <c r="E242" s="24" t="s">
        <v>141</v>
      </c>
      <c r="F242" s="19" t="s">
        <v>141</v>
      </c>
      <c r="G242" s="26" t="s">
        <v>141</v>
      </c>
    </row>
    <row r="243" spans="1:7">
      <c r="A243" s="24" t="s">
        <v>141</v>
      </c>
      <c r="B243" s="19" t="s">
        <v>141</v>
      </c>
      <c r="C243" s="26" t="s">
        <v>141</v>
      </c>
      <c r="E243" s="24" t="s">
        <v>141</v>
      </c>
      <c r="F243" s="19" t="s">
        <v>141</v>
      </c>
      <c r="G243" s="26" t="s">
        <v>141</v>
      </c>
    </row>
    <row r="244" spans="1:7">
      <c r="A244" s="24" t="s">
        <v>141</v>
      </c>
      <c r="B244" s="19" t="s">
        <v>141</v>
      </c>
      <c r="C244" s="26" t="s">
        <v>141</v>
      </c>
      <c r="E244" s="24" t="s">
        <v>141</v>
      </c>
      <c r="F244" s="19" t="s">
        <v>141</v>
      </c>
      <c r="G244" s="26" t="s">
        <v>141</v>
      </c>
    </row>
    <row r="245" spans="1:7">
      <c r="A245" s="24" t="s">
        <v>141</v>
      </c>
      <c r="B245" s="19" t="s">
        <v>141</v>
      </c>
      <c r="C245" s="26" t="s">
        <v>141</v>
      </c>
      <c r="E245" s="24" t="s">
        <v>141</v>
      </c>
      <c r="F245" s="19" t="s">
        <v>141</v>
      </c>
      <c r="G245" s="26" t="s">
        <v>141</v>
      </c>
    </row>
    <row r="246" spans="1:7">
      <c r="A246" s="24" t="s">
        <v>141</v>
      </c>
      <c r="B246" s="19" t="s">
        <v>141</v>
      </c>
      <c r="C246" s="26" t="s">
        <v>141</v>
      </c>
      <c r="E246" s="24" t="s">
        <v>141</v>
      </c>
      <c r="F246" s="19" t="s">
        <v>141</v>
      </c>
      <c r="G246" s="26" t="s">
        <v>141</v>
      </c>
    </row>
    <row r="247" spans="1:7">
      <c r="A247" s="24" t="s">
        <v>141</v>
      </c>
      <c r="B247" s="19" t="s">
        <v>141</v>
      </c>
      <c r="C247" s="26" t="s">
        <v>141</v>
      </c>
      <c r="E247" s="24" t="s">
        <v>141</v>
      </c>
      <c r="F247" s="19" t="s">
        <v>141</v>
      </c>
      <c r="G247" s="26" t="s">
        <v>141</v>
      </c>
    </row>
    <row r="248" spans="1:7">
      <c r="A248" s="24" t="s">
        <v>141</v>
      </c>
      <c r="B248" s="19" t="s">
        <v>141</v>
      </c>
      <c r="C248" s="26" t="s">
        <v>141</v>
      </c>
      <c r="E248" s="24" t="s">
        <v>141</v>
      </c>
      <c r="F248" s="19" t="s">
        <v>141</v>
      </c>
      <c r="G248" s="26" t="s">
        <v>141</v>
      </c>
    </row>
    <row r="249" spans="1:7">
      <c r="A249" s="24" t="s">
        <v>141</v>
      </c>
      <c r="B249" s="19" t="s">
        <v>141</v>
      </c>
      <c r="C249" s="26" t="s">
        <v>141</v>
      </c>
      <c r="E249" s="24" t="s">
        <v>141</v>
      </c>
      <c r="F249" s="19" t="s">
        <v>141</v>
      </c>
      <c r="G249" s="26" t="s">
        <v>141</v>
      </c>
    </row>
    <row r="250" spans="1:7">
      <c r="A250" s="24" t="s">
        <v>141</v>
      </c>
      <c r="B250" s="19" t="s">
        <v>141</v>
      </c>
      <c r="C250" s="26" t="s">
        <v>141</v>
      </c>
      <c r="E250" s="24" t="s">
        <v>141</v>
      </c>
      <c r="F250" s="19" t="s">
        <v>141</v>
      </c>
      <c r="G250" s="26" t="s">
        <v>141</v>
      </c>
    </row>
    <row r="251" spans="1:7">
      <c r="A251" s="24" t="s">
        <v>141</v>
      </c>
      <c r="B251" s="19" t="s">
        <v>141</v>
      </c>
      <c r="C251" s="26" t="s">
        <v>141</v>
      </c>
      <c r="E251" s="24" t="s">
        <v>141</v>
      </c>
      <c r="F251" s="19" t="s">
        <v>141</v>
      </c>
      <c r="G251" s="26" t="s">
        <v>141</v>
      </c>
    </row>
    <row r="252" spans="1:7">
      <c r="A252" s="24" t="s">
        <v>141</v>
      </c>
      <c r="B252" s="19" t="s">
        <v>141</v>
      </c>
      <c r="C252" s="26" t="s">
        <v>141</v>
      </c>
      <c r="E252" s="24" t="s">
        <v>141</v>
      </c>
      <c r="F252" s="19" t="s">
        <v>141</v>
      </c>
      <c r="G252" s="26" t="s">
        <v>141</v>
      </c>
    </row>
    <row r="253" spans="1:7">
      <c r="A253" s="24" t="s">
        <v>141</v>
      </c>
      <c r="B253" s="19" t="s">
        <v>141</v>
      </c>
      <c r="C253" s="26" t="s">
        <v>141</v>
      </c>
      <c r="E253" s="24" t="s">
        <v>141</v>
      </c>
      <c r="F253" s="19" t="s">
        <v>141</v>
      </c>
      <c r="G253" s="26" t="s">
        <v>141</v>
      </c>
    </row>
    <row r="254" spans="1:7">
      <c r="A254" s="24" t="s">
        <v>141</v>
      </c>
      <c r="B254" s="19" t="s">
        <v>141</v>
      </c>
      <c r="C254" s="26" t="s">
        <v>141</v>
      </c>
      <c r="E254" s="24" t="s">
        <v>141</v>
      </c>
      <c r="F254" s="19" t="s">
        <v>141</v>
      </c>
      <c r="G254" s="26" t="s">
        <v>141</v>
      </c>
    </row>
    <row r="255" spans="1:7">
      <c r="A255" s="24" t="s">
        <v>141</v>
      </c>
      <c r="B255" s="19" t="s">
        <v>141</v>
      </c>
      <c r="C255" s="26" t="s">
        <v>141</v>
      </c>
      <c r="E255" s="24" t="s">
        <v>141</v>
      </c>
      <c r="F255" s="19" t="s">
        <v>141</v>
      </c>
      <c r="G255" s="26" t="s">
        <v>141</v>
      </c>
    </row>
    <row r="256" spans="1:7">
      <c r="A256" s="24" t="s">
        <v>141</v>
      </c>
      <c r="B256" s="19" t="s">
        <v>141</v>
      </c>
      <c r="C256" s="26" t="s">
        <v>141</v>
      </c>
      <c r="E256" s="24" t="s">
        <v>141</v>
      </c>
      <c r="F256" s="19" t="s">
        <v>141</v>
      </c>
      <c r="G256" s="26" t="s">
        <v>141</v>
      </c>
    </row>
    <row r="257" spans="1:7">
      <c r="A257" s="24" t="s">
        <v>141</v>
      </c>
      <c r="B257" s="19" t="s">
        <v>141</v>
      </c>
      <c r="C257" s="26" t="s">
        <v>141</v>
      </c>
      <c r="E257" s="24" t="s">
        <v>141</v>
      </c>
      <c r="F257" s="19" t="s">
        <v>141</v>
      </c>
      <c r="G257" s="26" t="s">
        <v>141</v>
      </c>
    </row>
    <row r="258" spans="1:7">
      <c r="A258" s="24" t="s">
        <v>141</v>
      </c>
      <c r="B258" s="19" t="s">
        <v>141</v>
      </c>
      <c r="C258" s="26" t="s">
        <v>141</v>
      </c>
      <c r="E258" s="24" t="s">
        <v>141</v>
      </c>
      <c r="F258" s="19" t="s">
        <v>141</v>
      </c>
      <c r="G258" s="26" t="s">
        <v>141</v>
      </c>
    </row>
    <row r="259" spans="1:7">
      <c r="A259" s="24" t="s">
        <v>141</v>
      </c>
      <c r="B259" s="19" t="s">
        <v>141</v>
      </c>
      <c r="C259" s="26" t="s">
        <v>141</v>
      </c>
      <c r="E259" s="24" t="s">
        <v>141</v>
      </c>
      <c r="F259" s="19" t="s">
        <v>141</v>
      </c>
      <c r="G259" s="26" t="s">
        <v>141</v>
      </c>
    </row>
    <row r="260" spans="1:7">
      <c r="A260" s="24" t="s">
        <v>141</v>
      </c>
      <c r="B260" s="19" t="s">
        <v>141</v>
      </c>
      <c r="C260" s="26" t="s">
        <v>141</v>
      </c>
      <c r="E260" s="24" t="s">
        <v>141</v>
      </c>
      <c r="F260" s="19" t="s">
        <v>141</v>
      </c>
      <c r="G260" s="26" t="s">
        <v>141</v>
      </c>
    </row>
    <row r="261" spans="1:7">
      <c r="A261" s="24" t="s">
        <v>141</v>
      </c>
      <c r="B261" s="19" t="s">
        <v>141</v>
      </c>
      <c r="C261" s="26" t="s">
        <v>141</v>
      </c>
      <c r="E261" s="24" t="s">
        <v>141</v>
      </c>
      <c r="F261" s="19" t="s">
        <v>141</v>
      </c>
      <c r="G261" s="26" t="s">
        <v>141</v>
      </c>
    </row>
    <row r="262" spans="1:7">
      <c r="A262" s="24" t="s">
        <v>141</v>
      </c>
      <c r="B262" s="19" t="s">
        <v>141</v>
      </c>
      <c r="C262" s="26" t="s">
        <v>141</v>
      </c>
      <c r="E262" s="24" t="s">
        <v>141</v>
      </c>
      <c r="F262" s="19" t="s">
        <v>141</v>
      </c>
      <c r="G262" s="26" t="s">
        <v>141</v>
      </c>
    </row>
    <row r="263" spans="1:7">
      <c r="A263" s="24" t="s">
        <v>141</v>
      </c>
      <c r="B263" s="19" t="s">
        <v>141</v>
      </c>
      <c r="C263" s="26" t="s">
        <v>141</v>
      </c>
      <c r="E263" s="24" t="s">
        <v>141</v>
      </c>
      <c r="F263" s="19" t="s">
        <v>141</v>
      </c>
      <c r="G263" s="26" t="s">
        <v>141</v>
      </c>
    </row>
    <row r="264" spans="1:7">
      <c r="A264" s="24" t="s">
        <v>141</v>
      </c>
      <c r="B264" s="19" t="s">
        <v>141</v>
      </c>
      <c r="C264" s="26" t="s">
        <v>141</v>
      </c>
      <c r="E264" s="24" t="s">
        <v>141</v>
      </c>
      <c r="F264" s="19" t="s">
        <v>141</v>
      </c>
      <c r="G264" s="26" t="s">
        <v>141</v>
      </c>
    </row>
    <row r="265" spans="1:7">
      <c r="A265" s="24" t="s">
        <v>141</v>
      </c>
      <c r="B265" s="19" t="s">
        <v>141</v>
      </c>
      <c r="C265" s="26" t="s">
        <v>141</v>
      </c>
      <c r="E265" s="24" t="s">
        <v>141</v>
      </c>
      <c r="F265" s="19" t="s">
        <v>141</v>
      </c>
      <c r="G265" s="26" t="s">
        <v>141</v>
      </c>
    </row>
    <row r="266" spans="1:7">
      <c r="A266" s="24" t="s">
        <v>141</v>
      </c>
      <c r="B266" s="19" t="s">
        <v>141</v>
      </c>
      <c r="C266" s="26" t="s">
        <v>141</v>
      </c>
      <c r="E266" s="24" t="s">
        <v>141</v>
      </c>
      <c r="F266" s="19" t="s">
        <v>141</v>
      </c>
      <c r="G266" s="26" t="s">
        <v>141</v>
      </c>
    </row>
    <row r="267" spans="1:7">
      <c r="A267" s="24" t="s">
        <v>141</v>
      </c>
      <c r="B267" s="19" t="s">
        <v>141</v>
      </c>
      <c r="C267" s="26" t="s">
        <v>141</v>
      </c>
      <c r="E267" s="24" t="s">
        <v>141</v>
      </c>
      <c r="F267" s="19" t="s">
        <v>141</v>
      </c>
      <c r="G267" s="26" t="s">
        <v>141</v>
      </c>
    </row>
    <row r="268" spans="1:7">
      <c r="A268" s="24" t="s">
        <v>141</v>
      </c>
      <c r="B268" s="19" t="s">
        <v>141</v>
      </c>
      <c r="C268" s="26" t="s">
        <v>141</v>
      </c>
      <c r="E268" s="24" t="s">
        <v>141</v>
      </c>
      <c r="F268" s="19" t="s">
        <v>141</v>
      </c>
      <c r="G268" s="26" t="s">
        <v>141</v>
      </c>
    </row>
    <row r="269" spans="1:7">
      <c r="A269" s="24" t="s">
        <v>141</v>
      </c>
      <c r="B269" s="19" t="s">
        <v>141</v>
      </c>
      <c r="C269" s="26" t="s">
        <v>141</v>
      </c>
      <c r="E269" s="24" t="s">
        <v>141</v>
      </c>
      <c r="F269" s="19" t="s">
        <v>141</v>
      </c>
      <c r="G269" s="26" t="s">
        <v>141</v>
      </c>
    </row>
    <row r="270" spans="1:7">
      <c r="A270" s="24" t="s">
        <v>141</v>
      </c>
      <c r="B270" s="19" t="s">
        <v>141</v>
      </c>
      <c r="C270" s="26" t="s">
        <v>141</v>
      </c>
      <c r="E270" s="24" t="s">
        <v>141</v>
      </c>
      <c r="F270" s="19" t="s">
        <v>141</v>
      </c>
      <c r="G270" s="26" t="s">
        <v>141</v>
      </c>
    </row>
    <row r="271" spans="1:7">
      <c r="A271" s="24" t="s">
        <v>141</v>
      </c>
      <c r="B271" s="19" t="s">
        <v>141</v>
      </c>
      <c r="C271" s="26" t="s">
        <v>141</v>
      </c>
      <c r="E271" s="24" t="s">
        <v>141</v>
      </c>
      <c r="F271" s="19" t="s">
        <v>141</v>
      </c>
      <c r="G271" s="26" t="s">
        <v>141</v>
      </c>
    </row>
    <row r="272" spans="1:7">
      <c r="A272" s="24" t="s">
        <v>141</v>
      </c>
      <c r="B272" s="19" t="s">
        <v>141</v>
      </c>
      <c r="C272" s="26" t="s">
        <v>141</v>
      </c>
      <c r="E272" s="24" t="s">
        <v>141</v>
      </c>
      <c r="F272" s="19" t="s">
        <v>141</v>
      </c>
      <c r="G272" s="26" t="s">
        <v>141</v>
      </c>
    </row>
    <row r="273" spans="1:7">
      <c r="A273" s="24" t="s">
        <v>141</v>
      </c>
      <c r="B273" s="19" t="s">
        <v>141</v>
      </c>
      <c r="C273" s="26" t="s">
        <v>141</v>
      </c>
      <c r="E273" s="24" t="s">
        <v>141</v>
      </c>
      <c r="F273" s="19" t="s">
        <v>141</v>
      </c>
      <c r="G273" s="26" t="s">
        <v>141</v>
      </c>
    </row>
    <row r="274" spans="1:7">
      <c r="A274" s="24" t="s">
        <v>141</v>
      </c>
      <c r="B274" s="19" t="s">
        <v>141</v>
      </c>
      <c r="C274" s="26" t="s">
        <v>141</v>
      </c>
      <c r="E274" s="24" t="s">
        <v>141</v>
      </c>
      <c r="F274" s="19" t="s">
        <v>141</v>
      </c>
      <c r="G274" s="26" t="s">
        <v>141</v>
      </c>
    </row>
    <row r="275" spans="1:7">
      <c r="A275" s="24" t="s">
        <v>141</v>
      </c>
      <c r="B275" s="19" t="s">
        <v>141</v>
      </c>
      <c r="C275" s="26" t="s">
        <v>141</v>
      </c>
      <c r="E275" s="24" t="s">
        <v>141</v>
      </c>
      <c r="F275" s="19" t="s">
        <v>141</v>
      </c>
      <c r="G275" s="26" t="s">
        <v>141</v>
      </c>
    </row>
    <row r="276" spans="1:7">
      <c r="A276" s="24" t="s">
        <v>141</v>
      </c>
      <c r="B276" s="19" t="s">
        <v>141</v>
      </c>
      <c r="C276" s="26" t="s">
        <v>141</v>
      </c>
      <c r="E276" s="24" t="s">
        <v>141</v>
      </c>
      <c r="F276" s="19" t="s">
        <v>141</v>
      </c>
      <c r="G276" s="26" t="s">
        <v>141</v>
      </c>
    </row>
    <row r="277" spans="1:7">
      <c r="A277" s="24" t="s">
        <v>141</v>
      </c>
      <c r="B277" s="19" t="s">
        <v>141</v>
      </c>
      <c r="C277" s="26" t="s">
        <v>141</v>
      </c>
      <c r="E277" s="24" t="s">
        <v>141</v>
      </c>
      <c r="F277" s="19" t="s">
        <v>141</v>
      </c>
      <c r="G277" s="26" t="s">
        <v>141</v>
      </c>
    </row>
    <row r="278" spans="1:7">
      <c r="A278" s="24" t="s">
        <v>141</v>
      </c>
      <c r="B278" s="19" t="s">
        <v>141</v>
      </c>
      <c r="C278" s="26" t="s">
        <v>141</v>
      </c>
      <c r="E278" s="24" t="s">
        <v>141</v>
      </c>
      <c r="F278" s="19" t="s">
        <v>141</v>
      </c>
      <c r="G278" s="26" t="s">
        <v>141</v>
      </c>
    </row>
    <row r="279" spans="1:7">
      <c r="A279" s="24" t="s">
        <v>141</v>
      </c>
      <c r="B279" s="19" t="s">
        <v>141</v>
      </c>
      <c r="C279" s="26" t="s">
        <v>141</v>
      </c>
      <c r="E279" s="24" t="s">
        <v>141</v>
      </c>
      <c r="F279" s="19" t="s">
        <v>141</v>
      </c>
      <c r="G279" s="26" t="s">
        <v>141</v>
      </c>
    </row>
    <row r="280" spans="1:7">
      <c r="A280" s="24" t="s">
        <v>141</v>
      </c>
      <c r="B280" s="19" t="s">
        <v>141</v>
      </c>
      <c r="C280" s="26" t="s">
        <v>141</v>
      </c>
      <c r="E280" s="24" t="s">
        <v>141</v>
      </c>
      <c r="F280" s="19" t="s">
        <v>141</v>
      </c>
      <c r="G280" s="26" t="s">
        <v>141</v>
      </c>
    </row>
    <row r="281" spans="1:7">
      <c r="A281" s="24" t="s">
        <v>141</v>
      </c>
      <c r="B281" s="19" t="s">
        <v>141</v>
      </c>
      <c r="C281" s="26" t="s">
        <v>141</v>
      </c>
      <c r="E281" s="24" t="s">
        <v>141</v>
      </c>
      <c r="F281" s="19" t="s">
        <v>141</v>
      </c>
      <c r="G281" s="26" t="s">
        <v>141</v>
      </c>
    </row>
    <row r="282" spans="1:7">
      <c r="A282" s="24" t="s">
        <v>141</v>
      </c>
      <c r="B282" s="19" t="s">
        <v>141</v>
      </c>
      <c r="C282" s="26" t="s">
        <v>141</v>
      </c>
      <c r="E282" s="24" t="s">
        <v>141</v>
      </c>
      <c r="F282" s="19" t="s">
        <v>141</v>
      </c>
      <c r="G282" s="26" t="s">
        <v>141</v>
      </c>
    </row>
    <row r="283" spans="1:7">
      <c r="A283" s="24" t="s">
        <v>141</v>
      </c>
      <c r="B283" s="19" t="s">
        <v>141</v>
      </c>
      <c r="C283" s="26" t="s">
        <v>141</v>
      </c>
      <c r="E283" s="24" t="s">
        <v>141</v>
      </c>
      <c r="F283" s="19" t="s">
        <v>141</v>
      </c>
      <c r="G283" s="26" t="s">
        <v>141</v>
      </c>
    </row>
    <row r="284" spans="1:7">
      <c r="A284" s="24" t="s">
        <v>141</v>
      </c>
      <c r="B284" s="19" t="s">
        <v>141</v>
      </c>
      <c r="C284" s="26" t="s">
        <v>141</v>
      </c>
      <c r="E284" s="24" t="s">
        <v>141</v>
      </c>
      <c r="F284" s="19" t="s">
        <v>141</v>
      </c>
      <c r="G284" s="26" t="s">
        <v>141</v>
      </c>
    </row>
    <row r="285" spans="1:7">
      <c r="A285" s="24" t="s">
        <v>141</v>
      </c>
      <c r="B285" s="19" t="s">
        <v>141</v>
      </c>
      <c r="C285" s="26" t="s">
        <v>141</v>
      </c>
      <c r="E285" s="24" t="s">
        <v>141</v>
      </c>
      <c r="F285" s="19" t="s">
        <v>141</v>
      </c>
      <c r="G285" s="26" t="s">
        <v>141</v>
      </c>
    </row>
    <row r="286" spans="1:7">
      <c r="A286" s="24" t="s">
        <v>141</v>
      </c>
      <c r="B286" s="19" t="s">
        <v>141</v>
      </c>
      <c r="C286" s="26" t="s">
        <v>141</v>
      </c>
      <c r="E286" s="24" t="s">
        <v>141</v>
      </c>
      <c r="F286" s="19" t="s">
        <v>141</v>
      </c>
      <c r="G286" s="26" t="s">
        <v>141</v>
      </c>
    </row>
    <row r="287" spans="1:7">
      <c r="A287" s="24" t="s">
        <v>141</v>
      </c>
      <c r="B287" s="19" t="s">
        <v>141</v>
      </c>
      <c r="C287" s="26" t="s">
        <v>141</v>
      </c>
      <c r="E287" s="24" t="s">
        <v>141</v>
      </c>
      <c r="F287" s="19" t="s">
        <v>141</v>
      </c>
      <c r="G287" s="26" t="s">
        <v>141</v>
      </c>
    </row>
    <row r="288" spans="1:7">
      <c r="A288" s="24" t="s">
        <v>141</v>
      </c>
      <c r="B288" s="19" t="s">
        <v>141</v>
      </c>
      <c r="C288" s="26" t="s">
        <v>141</v>
      </c>
      <c r="E288" s="24" t="s">
        <v>141</v>
      </c>
      <c r="F288" s="19" t="s">
        <v>141</v>
      </c>
      <c r="G288" s="26" t="s">
        <v>141</v>
      </c>
    </row>
    <row r="289" spans="1:7">
      <c r="A289" s="24" t="s">
        <v>141</v>
      </c>
      <c r="B289" s="19" t="s">
        <v>141</v>
      </c>
      <c r="C289" s="26" t="s">
        <v>141</v>
      </c>
      <c r="E289" s="24" t="s">
        <v>141</v>
      </c>
      <c r="F289" s="19" t="s">
        <v>141</v>
      </c>
      <c r="G289" s="26" t="s">
        <v>141</v>
      </c>
    </row>
    <row r="290" spans="1:7">
      <c r="A290" s="24" t="s">
        <v>141</v>
      </c>
      <c r="B290" s="19" t="s">
        <v>141</v>
      </c>
      <c r="C290" s="26" t="s">
        <v>141</v>
      </c>
      <c r="E290" s="24" t="s">
        <v>141</v>
      </c>
      <c r="F290" s="19" t="s">
        <v>141</v>
      </c>
      <c r="G290" s="26" t="s">
        <v>141</v>
      </c>
    </row>
    <row r="291" spans="1:7">
      <c r="A291" s="24" t="s">
        <v>141</v>
      </c>
      <c r="B291" s="19" t="s">
        <v>141</v>
      </c>
      <c r="C291" s="26" t="s">
        <v>141</v>
      </c>
      <c r="E291" s="24" t="s">
        <v>141</v>
      </c>
      <c r="F291" s="19" t="s">
        <v>141</v>
      </c>
      <c r="G291" s="26" t="s">
        <v>141</v>
      </c>
    </row>
    <row r="292" spans="1:7">
      <c r="A292" s="24" t="s">
        <v>141</v>
      </c>
      <c r="B292" s="19" t="s">
        <v>141</v>
      </c>
      <c r="C292" s="26" t="s">
        <v>141</v>
      </c>
      <c r="E292" s="24" t="s">
        <v>141</v>
      </c>
      <c r="F292" s="19" t="s">
        <v>141</v>
      </c>
      <c r="G292" s="26" t="s">
        <v>141</v>
      </c>
    </row>
    <row r="293" spans="1:7">
      <c r="A293" s="24" t="s">
        <v>141</v>
      </c>
      <c r="B293" s="19" t="s">
        <v>141</v>
      </c>
      <c r="C293" s="26" t="s">
        <v>141</v>
      </c>
      <c r="E293" s="24" t="s">
        <v>141</v>
      </c>
      <c r="F293" s="19" t="s">
        <v>141</v>
      </c>
      <c r="G293" s="26" t="s">
        <v>141</v>
      </c>
    </row>
    <row r="294" spans="1:7">
      <c r="A294" s="24" t="s">
        <v>141</v>
      </c>
      <c r="B294" s="19" t="s">
        <v>141</v>
      </c>
      <c r="C294" s="26" t="s">
        <v>141</v>
      </c>
      <c r="E294" s="24" t="s">
        <v>141</v>
      </c>
      <c r="F294" s="19" t="s">
        <v>141</v>
      </c>
      <c r="G294" s="26" t="s">
        <v>141</v>
      </c>
    </row>
    <row r="295" spans="1:7">
      <c r="A295" s="24" t="s">
        <v>141</v>
      </c>
      <c r="B295" s="19" t="s">
        <v>141</v>
      </c>
      <c r="C295" s="26" t="s">
        <v>141</v>
      </c>
      <c r="E295" s="24" t="s">
        <v>141</v>
      </c>
      <c r="F295" s="19" t="s">
        <v>141</v>
      </c>
      <c r="G295" s="26" t="s">
        <v>141</v>
      </c>
    </row>
    <row r="296" spans="1:7">
      <c r="A296" s="24" t="s">
        <v>141</v>
      </c>
      <c r="B296" s="19" t="s">
        <v>141</v>
      </c>
      <c r="C296" s="26" t="s">
        <v>141</v>
      </c>
      <c r="E296" s="24" t="s">
        <v>141</v>
      </c>
      <c r="F296" s="19" t="s">
        <v>141</v>
      </c>
      <c r="G296" s="26" t="s">
        <v>141</v>
      </c>
    </row>
    <row r="297" spans="1:7">
      <c r="A297" s="24" t="s">
        <v>141</v>
      </c>
      <c r="B297" s="19" t="s">
        <v>141</v>
      </c>
      <c r="C297" s="26" t="s">
        <v>141</v>
      </c>
      <c r="E297" s="24" t="s">
        <v>141</v>
      </c>
      <c r="F297" s="19" t="s">
        <v>141</v>
      </c>
      <c r="G297" s="26" t="s">
        <v>141</v>
      </c>
    </row>
    <row r="298" spans="1:7">
      <c r="A298" s="24" t="s">
        <v>141</v>
      </c>
      <c r="B298" s="19" t="s">
        <v>141</v>
      </c>
      <c r="C298" s="26" t="s">
        <v>141</v>
      </c>
      <c r="E298" s="24" t="s">
        <v>141</v>
      </c>
      <c r="F298" s="19" t="s">
        <v>141</v>
      </c>
      <c r="G298" s="26" t="s">
        <v>141</v>
      </c>
    </row>
    <row r="299" spans="1:7">
      <c r="A299" s="24" t="s">
        <v>141</v>
      </c>
      <c r="B299" s="19" t="s">
        <v>141</v>
      </c>
      <c r="C299" s="26" t="s">
        <v>141</v>
      </c>
      <c r="E299" s="24" t="s">
        <v>141</v>
      </c>
      <c r="F299" s="19" t="s">
        <v>141</v>
      </c>
      <c r="G299" s="26" t="s">
        <v>141</v>
      </c>
    </row>
    <row r="300" spans="1:7">
      <c r="A300" s="24" t="s">
        <v>141</v>
      </c>
      <c r="B300" s="19" t="s">
        <v>141</v>
      </c>
      <c r="C300" s="26" t="s">
        <v>141</v>
      </c>
      <c r="E300" s="24" t="s">
        <v>141</v>
      </c>
      <c r="F300" s="19" t="s">
        <v>141</v>
      </c>
      <c r="G300" s="26" t="s">
        <v>141</v>
      </c>
    </row>
    <row r="301" spans="1:7">
      <c r="A301" s="24" t="s">
        <v>141</v>
      </c>
      <c r="B301" s="19" t="s">
        <v>141</v>
      </c>
      <c r="C301" s="26" t="s">
        <v>141</v>
      </c>
      <c r="E301" s="24" t="s">
        <v>141</v>
      </c>
      <c r="F301" s="19" t="s">
        <v>141</v>
      </c>
      <c r="G301" s="26" t="s">
        <v>141</v>
      </c>
    </row>
    <row r="302" spans="1:7">
      <c r="A302" s="24" t="s">
        <v>141</v>
      </c>
      <c r="B302" s="19" t="s">
        <v>141</v>
      </c>
      <c r="C302" s="26" t="s">
        <v>141</v>
      </c>
      <c r="E302" s="24" t="s">
        <v>141</v>
      </c>
      <c r="F302" s="19" t="s">
        <v>141</v>
      </c>
      <c r="G302" s="26" t="s">
        <v>141</v>
      </c>
    </row>
    <row r="303" spans="1:7">
      <c r="A303" s="24" t="s">
        <v>141</v>
      </c>
      <c r="B303" s="19" t="s">
        <v>141</v>
      </c>
      <c r="C303" s="26" t="s">
        <v>141</v>
      </c>
      <c r="E303" s="24" t="s">
        <v>141</v>
      </c>
      <c r="F303" s="19" t="s">
        <v>141</v>
      </c>
      <c r="G303" s="26" t="s">
        <v>141</v>
      </c>
    </row>
    <row r="304" spans="1:7">
      <c r="A304" s="25"/>
      <c r="E304" s="25"/>
    </row>
    <row r="305" spans="1:5">
      <c r="A305" s="25"/>
      <c r="E305" s="25"/>
    </row>
    <row r="306" spans="1:5">
      <c r="A306" s="25"/>
      <c r="E306" s="25"/>
    </row>
    <row r="307" spans="1:5">
      <c r="A307" s="25"/>
      <c r="E307" s="25"/>
    </row>
    <row r="308" spans="1:5">
      <c r="A308" s="25"/>
      <c r="E308" s="25"/>
    </row>
    <row r="309" spans="1:5">
      <c r="A309" s="25"/>
      <c r="E309" s="25"/>
    </row>
    <row r="310" spans="1:5">
      <c r="A310" s="25"/>
      <c r="E310" s="25"/>
    </row>
    <row r="311" spans="1:5">
      <c r="A311" s="25"/>
      <c r="E311" s="25"/>
    </row>
    <row r="312" spans="1:5">
      <c r="A312" s="25"/>
      <c r="E312" s="25"/>
    </row>
    <row r="313" spans="1:5">
      <c r="A313" s="25"/>
      <c r="E313" s="25"/>
    </row>
    <row r="314" spans="1:5">
      <c r="A314" s="25"/>
      <c r="E314" s="25"/>
    </row>
    <row r="315" spans="1:5">
      <c r="A315" s="25"/>
      <c r="E315" s="25"/>
    </row>
    <row r="316" spans="1:5">
      <c r="A316" s="25"/>
      <c r="E316" s="25"/>
    </row>
    <row r="317" spans="1:5">
      <c r="A317" s="25"/>
      <c r="E317" s="25"/>
    </row>
    <row r="318" spans="1:5">
      <c r="A318" s="25"/>
      <c r="E318" s="25"/>
    </row>
    <row r="319" spans="1:5">
      <c r="A319" s="25"/>
      <c r="E319" s="25"/>
    </row>
    <row r="320" spans="1:5">
      <c r="A320" s="25"/>
      <c r="E320" s="25"/>
    </row>
    <row r="321" spans="1:5">
      <c r="A321" s="25"/>
      <c r="E321" s="25"/>
    </row>
    <row r="322" spans="1:5">
      <c r="A322" s="25"/>
      <c r="E322" s="25"/>
    </row>
    <row r="323" spans="1:5">
      <c r="A323" s="25"/>
      <c r="E323" s="25"/>
    </row>
    <row r="324" spans="1:5">
      <c r="A324" s="25"/>
      <c r="E324" s="25"/>
    </row>
    <row r="325" spans="1:5">
      <c r="A325" s="25"/>
      <c r="E325" s="25"/>
    </row>
    <row r="326" spans="1:5">
      <c r="A326" s="25"/>
      <c r="E326" s="25"/>
    </row>
    <row r="327" spans="1:5">
      <c r="A327" s="25"/>
      <c r="E327" s="25"/>
    </row>
    <row r="328" spans="1:5">
      <c r="A328" s="25"/>
      <c r="E328" s="25"/>
    </row>
    <row r="329" spans="1:5">
      <c r="A329" s="25"/>
      <c r="E329" s="25"/>
    </row>
    <row r="330" spans="1:5">
      <c r="A330" s="25"/>
      <c r="E330" s="25"/>
    </row>
    <row r="331" spans="1:5">
      <c r="A331" s="25"/>
      <c r="E331" s="25"/>
    </row>
    <row r="332" spans="1:5">
      <c r="A332" s="25"/>
      <c r="E332" s="25"/>
    </row>
    <row r="333" spans="1:5">
      <c r="A333" s="25"/>
      <c r="E333" s="25"/>
    </row>
    <row r="334" spans="1:5">
      <c r="A334" s="25"/>
      <c r="E334" s="25"/>
    </row>
    <row r="335" spans="1:5">
      <c r="A335" s="25"/>
      <c r="E335" s="25"/>
    </row>
    <row r="336" spans="1:5">
      <c r="A336" s="25"/>
      <c r="E336" s="25"/>
    </row>
    <row r="337" spans="1:5">
      <c r="A337" s="25"/>
      <c r="E337" s="25"/>
    </row>
    <row r="338" spans="1:5">
      <c r="A338" s="25"/>
      <c r="E338" s="25"/>
    </row>
    <row r="339" spans="1:5">
      <c r="A339" s="25"/>
      <c r="E339" s="25"/>
    </row>
    <row r="340" spans="1:5">
      <c r="A340" s="25"/>
      <c r="E340" s="25"/>
    </row>
    <row r="341" spans="1:5">
      <c r="A341" s="25"/>
      <c r="E341" s="25"/>
    </row>
    <row r="342" spans="1:5">
      <c r="A342" s="25"/>
      <c r="E342" s="25"/>
    </row>
    <row r="343" spans="1:5">
      <c r="A343" s="25"/>
      <c r="E343" s="25"/>
    </row>
    <row r="344" spans="1:5">
      <c r="A344" s="25"/>
      <c r="E344" s="25"/>
    </row>
    <row r="345" spans="1:5">
      <c r="A345" s="25"/>
      <c r="E345" s="25"/>
    </row>
    <row r="346" spans="1:5">
      <c r="A346" s="25"/>
      <c r="E346" s="25"/>
    </row>
    <row r="347" spans="1:5">
      <c r="A347" s="25"/>
      <c r="E347" s="25"/>
    </row>
    <row r="348" spans="1:5">
      <c r="A348" s="25"/>
      <c r="E348" s="25"/>
    </row>
    <row r="349" spans="1:5">
      <c r="A349" s="25"/>
      <c r="E349" s="25"/>
    </row>
    <row r="350" spans="1:5">
      <c r="A350" s="25"/>
      <c r="E350" s="25"/>
    </row>
    <row r="351" spans="1:5">
      <c r="A351" s="25"/>
      <c r="E351" s="25"/>
    </row>
    <row r="352" spans="1:5">
      <c r="A352" s="25"/>
      <c r="E352" s="25"/>
    </row>
    <row r="353" spans="1:5">
      <c r="A353" s="25"/>
      <c r="E353" s="25"/>
    </row>
    <row r="354" spans="1:5">
      <c r="A354" s="25"/>
      <c r="E354" s="25"/>
    </row>
    <row r="355" spans="1:5">
      <c r="A355" s="25"/>
      <c r="E355" s="25"/>
    </row>
    <row r="356" spans="1:5">
      <c r="A356" s="25"/>
      <c r="E356" s="25"/>
    </row>
    <row r="357" spans="1:5">
      <c r="A357" s="25"/>
      <c r="E357" s="25"/>
    </row>
    <row r="358" spans="1:5">
      <c r="A358" s="25"/>
      <c r="E358" s="25"/>
    </row>
    <row r="359" spans="1:5">
      <c r="A359" s="25"/>
      <c r="E359" s="25"/>
    </row>
    <row r="360" spans="1:5">
      <c r="A360" s="25"/>
      <c r="E360" s="25"/>
    </row>
    <row r="361" spans="1:5">
      <c r="A361" s="25"/>
      <c r="E361" s="25"/>
    </row>
    <row r="362" spans="1:5">
      <c r="A362" s="25"/>
      <c r="E362" s="25"/>
    </row>
    <row r="363" spans="1:5">
      <c r="A363" s="25"/>
      <c r="E363" s="25"/>
    </row>
    <row r="364" spans="1:5">
      <c r="A364" s="25"/>
      <c r="E364" s="25"/>
    </row>
    <row r="365" spans="1:5">
      <c r="A365" s="25"/>
      <c r="E365" s="25"/>
    </row>
    <row r="366" spans="1:5">
      <c r="A366" s="25"/>
      <c r="E366" s="25"/>
    </row>
    <row r="367" spans="1:5">
      <c r="A367" s="25"/>
      <c r="E367" s="25"/>
    </row>
    <row r="368" spans="1:5">
      <c r="A368" s="25"/>
      <c r="E368" s="25"/>
    </row>
    <row r="369" spans="1:5">
      <c r="A369" s="25"/>
      <c r="E369" s="25"/>
    </row>
    <row r="370" spans="1:5">
      <c r="A370" s="25"/>
      <c r="E370" s="25"/>
    </row>
    <row r="371" spans="1:5">
      <c r="A371" s="25"/>
      <c r="E371" s="25"/>
    </row>
    <row r="372" spans="1:5">
      <c r="A372" s="25"/>
      <c r="E372" s="25"/>
    </row>
    <row r="373" spans="1:5">
      <c r="A373" s="25"/>
      <c r="E373" s="25"/>
    </row>
    <row r="374" spans="1:5">
      <c r="A374" s="25"/>
      <c r="E374" s="25"/>
    </row>
    <row r="375" spans="1:5">
      <c r="A375" s="25"/>
      <c r="E375" s="25"/>
    </row>
    <row r="376" spans="1:5">
      <c r="A376" s="25"/>
      <c r="E376" s="25"/>
    </row>
    <row r="377" spans="1:5">
      <c r="A377" s="25"/>
      <c r="E377" s="25"/>
    </row>
    <row r="378" spans="1:5">
      <c r="A378" s="25"/>
      <c r="E378" s="25"/>
    </row>
    <row r="379" spans="1:5">
      <c r="A379" s="25"/>
      <c r="E379" s="25"/>
    </row>
    <row r="380" spans="1:5">
      <c r="A380" s="25"/>
      <c r="E380" s="25"/>
    </row>
    <row r="381" spans="1:5">
      <c r="A381" s="25"/>
      <c r="E381" s="25"/>
    </row>
    <row r="382" spans="1:5">
      <c r="A382" s="25"/>
      <c r="E382" s="25"/>
    </row>
    <row r="383" spans="1:5">
      <c r="A383" s="25"/>
      <c r="E383" s="25"/>
    </row>
    <row r="384" spans="1:5">
      <c r="A384" s="25"/>
      <c r="E384" s="25"/>
    </row>
    <row r="385" spans="1:5">
      <c r="A385" s="25"/>
      <c r="E385" s="25"/>
    </row>
    <row r="386" spans="1:5">
      <c r="A386" s="25"/>
      <c r="E386" s="25"/>
    </row>
    <row r="387" spans="1:5">
      <c r="A387" s="25"/>
      <c r="E387" s="25"/>
    </row>
    <row r="388" spans="1:5">
      <c r="A388" s="25"/>
      <c r="E388" s="25"/>
    </row>
    <row r="389" spans="1:5">
      <c r="A389" s="25"/>
      <c r="E389" s="25"/>
    </row>
    <row r="390" spans="1:5">
      <c r="A390" s="25"/>
      <c r="E390" s="25"/>
    </row>
    <row r="391" spans="1:5">
      <c r="A391" s="25"/>
      <c r="E391" s="25"/>
    </row>
    <row r="392" spans="1:5">
      <c r="A392" s="25"/>
      <c r="E392" s="25"/>
    </row>
    <row r="393" spans="1:5">
      <c r="A393" s="25"/>
      <c r="E393" s="25"/>
    </row>
    <row r="394" spans="1:5">
      <c r="A394" s="25"/>
      <c r="E394" s="25"/>
    </row>
    <row r="395" spans="1:5">
      <c r="A395" s="25"/>
      <c r="E395" s="25"/>
    </row>
    <row r="396" spans="1:5">
      <c r="A396" s="25"/>
      <c r="E396" s="25"/>
    </row>
    <row r="397" spans="1:5">
      <c r="A397" s="25"/>
      <c r="E397" s="25"/>
    </row>
    <row r="398" spans="1:5">
      <c r="A398" s="25"/>
      <c r="E398" s="25"/>
    </row>
    <row r="399" spans="1:5">
      <c r="A399" s="25"/>
      <c r="E399" s="25"/>
    </row>
    <row r="400" spans="1:5">
      <c r="A400" s="25"/>
      <c r="E400" s="25"/>
    </row>
  </sheetData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3">
    <tabColor rgb="FF00B0F0"/>
  </sheetPr>
  <dimension ref="B2:G11"/>
  <sheetViews>
    <sheetView workbookViewId="0">
      <selection activeCell="C7" sqref="C7"/>
    </sheetView>
  </sheetViews>
  <sheetFormatPr defaultRowHeight="15"/>
  <cols>
    <col min="3" max="3" width="13.85546875" bestFit="1" customWidth="1"/>
    <col min="5" max="5" width="12" bestFit="1" customWidth="1"/>
  </cols>
  <sheetData>
    <row r="2" spans="2:7">
      <c r="B2" s="38" t="s">
        <v>217</v>
      </c>
    </row>
    <row r="3" spans="2:7">
      <c r="B3" t="s">
        <v>218</v>
      </c>
      <c r="C3" s="121">
        <v>7063.3649999999998</v>
      </c>
      <c r="E3" s="73"/>
    </row>
    <row r="4" spans="2:7">
      <c r="B4" t="s">
        <v>219</v>
      </c>
      <c r="C4" s="121">
        <v>7109.5520000000006</v>
      </c>
    </row>
    <row r="6" spans="2:7">
      <c r="B6" s="38" t="s">
        <v>252</v>
      </c>
    </row>
    <row r="7" spans="2:7">
      <c r="B7" t="s">
        <v>218</v>
      </c>
      <c r="C7" s="60">
        <v>61959837.780000001</v>
      </c>
    </row>
    <row r="8" spans="2:7">
      <c r="B8" t="s">
        <v>219</v>
      </c>
      <c r="C8" s="60">
        <v>62336548.259645008</v>
      </c>
    </row>
    <row r="11" spans="2:7">
      <c r="G11" s="73"/>
    </row>
  </sheetData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4">
    <tabColor rgb="FF00B0F0"/>
  </sheetPr>
  <dimension ref="B1:BV12"/>
  <sheetViews>
    <sheetView topLeftCell="B1" workbookViewId="0">
      <selection activeCell="C5" sqref="C5"/>
    </sheetView>
  </sheetViews>
  <sheetFormatPr defaultRowHeight="15"/>
  <cols>
    <col min="2" max="2" width="16.7109375" bestFit="1" customWidth="1"/>
    <col min="3" max="3" width="9.7109375" bestFit="1" customWidth="1"/>
  </cols>
  <sheetData>
    <row r="1" spans="2:74">
      <c r="B1" s="38" t="s">
        <v>237</v>
      </c>
    </row>
    <row r="2" spans="2:74">
      <c r="C2" s="86">
        <v>45931</v>
      </c>
      <c r="D2" s="122">
        <f>+IF(D3="LLH",C2,EOMONTH(C2,0)+1)</f>
        <v>45931</v>
      </c>
      <c r="E2" s="86">
        <f t="shared" ref="E2:Z2" si="0">+IF(E3="LLH",D2,EOMONTH(D2,0)+1)</f>
        <v>45962</v>
      </c>
      <c r="F2" s="122">
        <f t="shared" si="0"/>
        <v>45962</v>
      </c>
      <c r="G2" s="86">
        <f t="shared" si="0"/>
        <v>45992</v>
      </c>
      <c r="H2" s="122">
        <f t="shared" si="0"/>
        <v>45992</v>
      </c>
      <c r="I2" s="86">
        <f t="shared" si="0"/>
        <v>46023</v>
      </c>
      <c r="J2" s="122">
        <f t="shared" si="0"/>
        <v>46023</v>
      </c>
      <c r="K2" s="86">
        <f t="shared" si="0"/>
        <v>46054</v>
      </c>
      <c r="L2" s="122">
        <f t="shared" si="0"/>
        <v>46054</v>
      </c>
      <c r="M2" s="86">
        <f t="shared" si="0"/>
        <v>46082</v>
      </c>
      <c r="N2" s="122">
        <f t="shared" si="0"/>
        <v>46082</v>
      </c>
      <c r="O2" s="86">
        <f t="shared" si="0"/>
        <v>46113</v>
      </c>
      <c r="P2" s="122">
        <f t="shared" si="0"/>
        <v>46113</v>
      </c>
      <c r="Q2" s="86">
        <f t="shared" si="0"/>
        <v>46143</v>
      </c>
      <c r="R2" s="122">
        <f t="shared" si="0"/>
        <v>46143</v>
      </c>
      <c r="S2" s="86">
        <f t="shared" si="0"/>
        <v>46174</v>
      </c>
      <c r="T2" s="122">
        <f t="shared" si="0"/>
        <v>46174</v>
      </c>
      <c r="U2" s="86">
        <f t="shared" si="0"/>
        <v>46204</v>
      </c>
      <c r="V2" s="122">
        <f t="shared" si="0"/>
        <v>46204</v>
      </c>
      <c r="W2" s="86">
        <f t="shared" si="0"/>
        <v>46235</v>
      </c>
      <c r="X2" s="122">
        <f t="shared" si="0"/>
        <v>46235</v>
      </c>
      <c r="Y2" s="86">
        <f t="shared" si="0"/>
        <v>46266</v>
      </c>
      <c r="Z2" s="122">
        <f t="shared" si="0"/>
        <v>46266</v>
      </c>
      <c r="AA2" s="86">
        <f t="shared" ref="AA2" si="1">+IF(AA3="LLH",Z2,EOMONTH(Z2,0)+1)</f>
        <v>46296</v>
      </c>
      <c r="AB2" s="122">
        <f t="shared" ref="AB2" si="2">+IF(AB3="LLH",AA2,EOMONTH(AA2,0)+1)</f>
        <v>46296</v>
      </c>
      <c r="AC2" s="86">
        <f t="shared" ref="AC2" si="3">+IF(AC3="LLH",AB2,EOMONTH(AB2,0)+1)</f>
        <v>46327</v>
      </c>
      <c r="AD2" s="122">
        <f t="shared" ref="AD2" si="4">+IF(AD3="LLH",AC2,EOMONTH(AC2,0)+1)</f>
        <v>46327</v>
      </c>
      <c r="AE2" s="86">
        <f t="shared" ref="AE2" si="5">+IF(AE3="LLH",AD2,EOMONTH(AD2,0)+1)</f>
        <v>46357</v>
      </c>
      <c r="AF2" s="122">
        <f t="shared" ref="AF2" si="6">+IF(AF3="LLH",AE2,EOMONTH(AE2,0)+1)</f>
        <v>46357</v>
      </c>
      <c r="AG2" s="86">
        <f t="shared" ref="AG2" si="7">+IF(AG3="LLH",AF2,EOMONTH(AF2,0)+1)</f>
        <v>46388</v>
      </c>
      <c r="AH2" s="122">
        <f t="shared" ref="AH2" si="8">+IF(AH3="LLH",AG2,EOMONTH(AG2,0)+1)</f>
        <v>46388</v>
      </c>
      <c r="AI2" s="86">
        <f t="shared" ref="AI2" si="9">+IF(AI3="LLH",AH2,EOMONTH(AH2,0)+1)</f>
        <v>46419</v>
      </c>
      <c r="AJ2" s="122">
        <f t="shared" ref="AJ2" si="10">+IF(AJ3="LLH",AI2,EOMONTH(AI2,0)+1)</f>
        <v>46419</v>
      </c>
      <c r="AK2" s="86">
        <f t="shared" ref="AK2" si="11">+IF(AK3="LLH",AJ2,EOMONTH(AJ2,0)+1)</f>
        <v>46447</v>
      </c>
      <c r="AL2" s="122">
        <f t="shared" ref="AL2" si="12">+IF(AL3="LLH",AK2,EOMONTH(AK2,0)+1)</f>
        <v>46447</v>
      </c>
      <c r="AM2" s="86">
        <f t="shared" ref="AM2" si="13">+IF(AM3="LLH",AL2,EOMONTH(AL2,0)+1)</f>
        <v>46478</v>
      </c>
      <c r="AN2" s="122">
        <f t="shared" ref="AN2" si="14">+IF(AN3="LLH",AM2,EOMONTH(AM2,0)+1)</f>
        <v>46478</v>
      </c>
      <c r="AO2" s="86">
        <f t="shared" ref="AO2" si="15">+IF(AO3="LLH",AN2,EOMONTH(AN2,0)+1)</f>
        <v>46508</v>
      </c>
      <c r="AP2" s="122">
        <f t="shared" ref="AP2" si="16">+IF(AP3="LLH",AO2,EOMONTH(AO2,0)+1)</f>
        <v>46508</v>
      </c>
      <c r="AQ2" s="86">
        <f t="shared" ref="AQ2" si="17">+IF(AQ3="LLH",AP2,EOMONTH(AP2,0)+1)</f>
        <v>46539</v>
      </c>
      <c r="AR2" s="122">
        <f t="shared" ref="AR2" si="18">+IF(AR3="LLH",AQ2,EOMONTH(AQ2,0)+1)</f>
        <v>46539</v>
      </c>
      <c r="AS2" s="86">
        <f t="shared" ref="AS2" si="19">+IF(AS3="LLH",AR2,EOMONTH(AR2,0)+1)</f>
        <v>46569</v>
      </c>
      <c r="AT2" s="122">
        <f t="shared" ref="AT2" si="20">+IF(AT3="LLH",AS2,EOMONTH(AS2,0)+1)</f>
        <v>46569</v>
      </c>
      <c r="AU2" s="86">
        <f t="shared" ref="AU2" si="21">+IF(AU3="LLH",AT2,EOMONTH(AT2,0)+1)</f>
        <v>46600</v>
      </c>
      <c r="AV2" s="122">
        <f t="shared" ref="AV2" si="22">+IF(AV3="LLH",AU2,EOMONTH(AU2,0)+1)</f>
        <v>46600</v>
      </c>
      <c r="AW2" s="86">
        <f t="shared" ref="AW2" si="23">+IF(AW3="LLH",AV2,EOMONTH(AV2,0)+1)</f>
        <v>46631</v>
      </c>
      <c r="AX2" s="122">
        <f t="shared" ref="AX2" si="24">+IF(AX3="LLH",AW2,EOMONTH(AW2,0)+1)</f>
        <v>46631</v>
      </c>
      <c r="AY2" s="86">
        <f t="shared" ref="AY2" si="25">+IF(AY3="LLH",AX2,EOMONTH(AX2,0)+1)</f>
        <v>46661</v>
      </c>
      <c r="AZ2" s="122">
        <f t="shared" ref="AZ2" si="26">+IF(AZ3="LLH",AY2,EOMONTH(AY2,0)+1)</f>
        <v>46661</v>
      </c>
      <c r="BA2" s="86">
        <f t="shared" ref="BA2" si="27">+IF(BA3="LLH",AZ2,EOMONTH(AZ2,0)+1)</f>
        <v>46692</v>
      </c>
      <c r="BB2" s="122">
        <f t="shared" ref="BB2" si="28">+IF(BB3="LLH",BA2,EOMONTH(BA2,0)+1)</f>
        <v>46692</v>
      </c>
      <c r="BC2" s="86">
        <f t="shared" ref="BC2" si="29">+IF(BC3="LLH",BB2,EOMONTH(BB2,0)+1)</f>
        <v>46722</v>
      </c>
      <c r="BD2" s="122">
        <f t="shared" ref="BD2" si="30">+IF(BD3="LLH",BC2,EOMONTH(BC2,0)+1)</f>
        <v>46722</v>
      </c>
      <c r="BE2" s="86">
        <f t="shared" ref="BE2" si="31">+IF(BE3="LLH",BD2,EOMONTH(BD2,0)+1)</f>
        <v>46753</v>
      </c>
      <c r="BF2" s="122">
        <f t="shared" ref="BF2" si="32">+IF(BF3="LLH",BE2,EOMONTH(BE2,0)+1)</f>
        <v>46753</v>
      </c>
      <c r="BG2" s="86">
        <f t="shared" ref="BG2" si="33">+IF(BG3="LLH",BF2,EOMONTH(BF2,0)+1)</f>
        <v>46784</v>
      </c>
      <c r="BH2" s="122">
        <f t="shared" ref="BH2" si="34">+IF(BH3="LLH",BG2,EOMONTH(BG2,0)+1)</f>
        <v>46784</v>
      </c>
      <c r="BI2" s="86">
        <f t="shared" ref="BI2" si="35">+IF(BI3="LLH",BH2,EOMONTH(BH2,0)+1)</f>
        <v>46813</v>
      </c>
      <c r="BJ2" s="122">
        <f t="shared" ref="BJ2" si="36">+IF(BJ3="LLH",BI2,EOMONTH(BI2,0)+1)</f>
        <v>46813</v>
      </c>
      <c r="BK2" s="86">
        <f t="shared" ref="BK2" si="37">+IF(BK3="LLH",BJ2,EOMONTH(BJ2,0)+1)</f>
        <v>46844</v>
      </c>
      <c r="BL2" s="122">
        <f t="shared" ref="BL2" si="38">+IF(BL3="LLH",BK2,EOMONTH(BK2,0)+1)</f>
        <v>46844</v>
      </c>
      <c r="BM2" s="86">
        <f t="shared" ref="BM2" si="39">+IF(BM3="LLH",BL2,EOMONTH(BL2,0)+1)</f>
        <v>46874</v>
      </c>
      <c r="BN2" s="122">
        <f t="shared" ref="BN2" si="40">+IF(BN3="LLH",BM2,EOMONTH(BM2,0)+1)</f>
        <v>46874</v>
      </c>
      <c r="BO2" s="86">
        <f t="shared" ref="BO2" si="41">+IF(BO3="LLH",BN2,EOMONTH(BN2,0)+1)</f>
        <v>46905</v>
      </c>
      <c r="BP2" s="122">
        <f t="shared" ref="BP2" si="42">+IF(BP3="LLH",BO2,EOMONTH(BO2,0)+1)</f>
        <v>46905</v>
      </c>
      <c r="BQ2" s="86">
        <f t="shared" ref="BQ2" si="43">+IF(BQ3="LLH",BP2,EOMONTH(BP2,0)+1)</f>
        <v>46935</v>
      </c>
      <c r="BR2" s="122">
        <f t="shared" ref="BR2" si="44">+IF(BR3="LLH",BQ2,EOMONTH(BQ2,0)+1)</f>
        <v>46935</v>
      </c>
      <c r="BS2" s="86">
        <f t="shared" ref="BS2" si="45">+IF(BS3="LLH",BR2,EOMONTH(BR2,0)+1)</f>
        <v>46966</v>
      </c>
      <c r="BT2" s="122">
        <f t="shared" ref="BT2" si="46">+IF(BT3="LLH",BS2,EOMONTH(BS2,0)+1)</f>
        <v>46966</v>
      </c>
      <c r="BU2" s="86">
        <f t="shared" ref="BU2" si="47">+IF(BU3="LLH",BT2,EOMONTH(BT2,0)+1)</f>
        <v>46997</v>
      </c>
      <c r="BV2" s="122">
        <f t="shared" ref="BV2" si="48">+IF(BV3="LLH",BU2,EOMONTH(BU2,0)+1)</f>
        <v>46997</v>
      </c>
    </row>
    <row r="3" spans="2:74">
      <c r="B3" t="s">
        <v>213</v>
      </c>
      <c r="C3" s="123" t="s">
        <v>143</v>
      </c>
      <c r="D3" s="124" t="s">
        <v>144</v>
      </c>
      <c r="E3" s="123" t="s">
        <v>143</v>
      </c>
      <c r="F3" s="124" t="s">
        <v>144</v>
      </c>
      <c r="G3" s="123" t="s">
        <v>143</v>
      </c>
      <c r="H3" s="124" t="s">
        <v>144</v>
      </c>
      <c r="I3" s="123" t="s">
        <v>143</v>
      </c>
      <c r="J3" s="124" t="s">
        <v>144</v>
      </c>
      <c r="K3" s="123" t="s">
        <v>143</v>
      </c>
      <c r="L3" s="124" t="s">
        <v>144</v>
      </c>
      <c r="M3" s="123" t="s">
        <v>143</v>
      </c>
      <c r="N3" s="124" t="s">
        <v>144</v>
      </c>
      <c r="O3" s="123" t="s">
        <v>143</v>
      </c>
      <c r="P3" s="124" t="s">
        <v>144</v>
      </c>
      <c r="Q3" s="123" t="s">
        <v>143</v>
      </c>
      <c r="R3" s="124" t="s">
        <v>144</v>
      </c>
      <c r="S3" s="123" t="s">
        <v>143</v>
      </c>
      <c r="T3" s="124" t="s">
        <v>144</v>
      </c>
      <c r="U3" s="123" t="s">
        <v>143</v>
      </c>
      <c r="V3" s="124" t="s">
        <v>144</v>
      </c>
      <c r="W3" s="123" t="s">
        <v>143</v>
      </c>
      <c r="X3" s="124" t="s">
        <v>144</v>
      </c>
      <c r="Y3" s="123" t="s">
        <v>143</v>
      </c>
      <c r="Z3" s="124" t="s">
        <v>144</v>
      </c>
      <c r="AA3" s="123" t="s">
        <v>143</v>
      </c>
      <c r="AB3" s="124" t="s">
        <v>144</v>
      </c>
      <c r="AC3" s="123" t="s">
        <v>143</v>
      </c>
      <c r="AD3" s="124" t="s">
        <v>144</v>
      </c>
      <c r="AE3" s="123" t="s">
        <v>143</v>
      </c>
      <c r="AF3" s="124" t="s">
        <v>144</v>
      </c>
      <c r="AG3" s="123" t="s">
        <v>143</v>
      </c>
      <c r="AH3" s="124" t="s">
        <v>144</v>
      </c>
      <c r="AI3" s="123" t="s">
        <v>143</v>
      </c>
      <c r="AJ3" s="124" t="s">
        <v>144</v>
      </c>
      <c r="AK3" s="123" t="s">
        <v>143</v>
      </c>
      <c r="AL3" s="124" t="s">
        <v>144</v>
      </c>
      <c r="AM3" s="123" t="s">
        <v>143</v>
      </c>
      <c r="AN3" s="124" t="s">
        <v>144</v>
      </c>
      <c r="AO3" s="123" t="s">
        <v>143</v>
      </c>
      <c r="AP3" s="124" t="s">
        <v>144</v>
      </c>
      <c r="AQ3" s="123" t="s">
        <v>143</v>
      </c>
      <c r="AR3" s="124" t="s">
        <v>144</v>
      </c>
      <c r="AS3" s="123" t="s">
        <v>143</v>
      </c>
      <c r="AT3" s="124" t="s">
        <v>144</v>
      </c>
      <c r="AU3" s="123" t="s">
        <v>143</v>
      </c>
      <c r="AV3" s="124" t="s">
        <v>144</v>
      </c>
      <c r="AW3" s="123" t="s">
        <v>143</v>
      </c>
      <c r="AX3" s="124" t="s">
        <v>144</v>
      </c>
      <c r="AY3" s="123" t="s">
        <v>143</v>
      </c>
      <c r="AZ3" s="124" t="s">
        <v>144</v>
      </c>
      <c r="BA3" s="123" t="s">
        <v>143</v>
      </c>
      <c r="BB3" s="124" t="s">
        <v>144</v>
      </c>
      <c r="BC3" s="123" t="s">
        <v>143</v>
      </c>
      <c r="BD3" s="124" t="s">
        <v>144</v>
      </c>
      <c r="BE3" s="123" t="s">
        <v>143</v>
      </c>
      <c r="BF3" s="124" t="s">
        <v>144</v>
      </c>
      <c r="BG3" s="123" t="s">
        <v>143</v>
      </c>
      <c r="BH3" s="124" t="s">
        <v>144</v>
      </c>
      <c r="BI3" s="123" t="s">
        <v>143</v>
      </c>
      <c r="BJ3" s="124" t="s">
        <v>144</v>
      </c>
      <c r="BK3" s="123" t="s">
        <v>143</v>
      </c>
      <c r="BL3" s="124" t="s">
        <v>144</v>
      </c>
      <c r="BM3" s="123" t="s">
        <v>143</v>
      </c>
      <c r="BN3" s="124" t="s">
        <v>144</v>
      </c>
      <c r="BO3" s="123" t="s">
        <v>143</v>
      </c>
      <c r="BP3" s="124" t="s">
        <v>144</v>
      </c>
      <c r="BQ3" s="123" t="s">
        <v>143</v>
      </c>
      <c r="BR3" s="124" t="s">
        <v>144</v>
      </c>
      <c r="BS3" s="123" t="s">
        <v>143</v>
      </c>
      <c r="BT3" s="124" t="s">
        <v>144</v>
      </c>
      <c r="BU3" s="123" t="s">
        <v>143</v>
      </c>
      <c r="BV3" s="124" t="s">
        <v>144</v>
      </c>
    </row>
    <row r="4" spans="2:74">
      <c r="B4" t="s">
        <v>209</v>
      </c>
      <c r="C4">
        <f>IF(C$3="HLH",VLOOKUP(DATE(YEAR(C$2)-2,MONTH(C$2),1),Rates_previous!$G$6:$O$29,7,FALSE),VLOOKUP(DATE(YEAR(C$2)-2,MONTH(C$2),1),Rates_previous!$G$6:$O$29,8,FALSE))</f>
        <v>47.71</v>
      </c>
      <c r="D4">
        <f>IF(D$3="HLH",VLOOKUP(DATE(YEAR(D$2)-2,MONTH(D$2),1),Rates_previous!$G$6:$O$29,7,FALSE),VLOOKUP(DATE(YEAR(D$2)-2,MONTH(D$2),1),Rates_previous!$G$6:$O$29,8,FALSE))</f>
        <v>32.909999999999997</v>
      </c>
      <c r="E4">
        <f>IF(E$3="HLH",VLOOKUP(DATE(YEAR(E$2)-2,MONTH(E$2),1),Rates_previous!$G$6:$O$29,7,FALSE),VLOOKUP(DATE(YEAR(E$2)-2,MONTH(E$2),1),Rates_previous!$G$6:$O$29,8,FALSE))</f>
        <v>40.299999999999997</v>
      </c>
      <c r="F4">
        <f>IF(F$3="HLH",VLOOKUP(DATE(YEAR(F$2)-2,MONTH(F$2),1),Rates_previous!$G$6:$O$29,7,FALSE),VLOOKUP(DATE(YEAR(F$2)-2,MONTH(F$2),1),Rates_previous!$G$6:$O$29,8,FALSE))</f>
        <v>31.39</v>
      </c>
      <c r="G4">
        <f>IF(G$3="HLH",VLOOKUP(DATE(YEAR(G$2)-2,MONTH(G$2),1),Rates_previous!$G$6:$O$29,7,FALSE),VLOOKUP(DATE(YEAR(G$2)-2,MONTH(G$2),1),Rates_previous!$G$6:$O$29,8,FALSE))</f>
        <v>61.63</v>
      </c>
      <c r="H4">
        <f>IF(H$3="HLH",VLOOKUP(DATE(YEAR(H$2)-2,MONTH(H$2),1),Rates_previous!$G$6:$O$29,7,FALSE),VLOOKUP(DATE(YEAR(H$2)-2,MONTH(H$2),1),Rates_previous!$G$6:$O$29,8,FALSE))</f>
        <v>52.69</v>
      </c>
      <c r="I4">
        <f>IF(I$3="HLH",VLOOKUP(DATE(YEAR(I$2)-2,MONTH(I$2),1),Rates_previous!$G$6:$O$29,7,FALSE),VLOOKUP(DATE(YEAR(I$2)-2,MONTH(I$2),1),Rates_previous!$G$6:$O$29,8,FALSE))</f>
        <v>49.88</v>
      </c>
      <c r="J4">
        <f>IF(J$3="HLH",VLOOKUP(DATE(YEAR(J$2)-2,MONTH(J$2),1),Rates_previous!$G$6:$O$29,7,FALSE),VLOOKUP(DATE(YEAR(J$2)-2,MONTH(J$2),1),Rates_previous!$G$6:$O$29,8,FALSE))</f>
        <v>36.729999999999997</v>
      </c>
      <c r="K4">
        <f>IF(K$3="HLH",VLOOKUP(DATE(YEAR(K$2)-2,MONTH(K$2),1),Rates_previous!$G$6:$O$29,7,FALSE),VLOOKUP(DATE(YEAR(K$2)-2,MONTH(K$2),1),Rates_previous!$G$6:$O$29,8,FALSE))</f>
        <v>50.32</v>
      </c>
      <c r="L4">
        <f>IF(L$3="HLH",VLOOKUP(DATE(YEAR(L$2)-2,MONTH(L$2),1),Rates_previous!$G$6:$O$29,7,FALSE),VLOOKUP(DATE(YEAR(L$2)-2,MONTH(L$2),1),Rates_previous!$G$6:$O$29,8,FALSE))</f>
        <v>42.01</v>
      </c>
      <c r="M4">
        <f>IF(M$3="HLH",VLOOKUP(DATE(YEAR(M$2)-2,MONTH(M$2),1),Rates_previous!$G$6:$O$29,7,FALSE),VLOOKUP(DATE(YEAR(M$2)-2,MONTH(M$2),1),Rates_previous!$G$6:$O$29,8,FALSE))</f>
        <v>35.07</v>
      </c>
      <c r="N4">
        <f>IF(N$3="HLH",VLOOKUP(DATE(YEAR(N$2)-2,MONTH(N$2),1),Rates_previous!$G$6:$O$29,7,FALSE),VLOOKUP(DATE(YEAR(N$2)-2,MONTH(N$2),1),Rates_previous!$G$6:$O$29,8,FALSE))</f>
        <v>35.840000000000003</v>
      </c>
      <c r="O4">
        <f>IF(O$3="HLH",VLOOKUP(DATE(YEAR(O$2)-2,MONTH(O$2),1),Rates_previous!$G$6:$O$29,7,FALSE),VLOOKUP(DATE(YEAR(O$2)-2,MONTH(O$2),1),Rates_previous!$G$6:$O$29,8,FALSE))</f>
        <v>20.420000000000002</v>
      </c>
      <c r="P4">
        <f>IF(P$3="HLH",VLOOKUP(DATE(YEAR(P$2)-2,MONTH(P$2),1),Rates_previous!$G$6:$O$29,7,FALSE),VLOOKUP(DATE(YEAR(P$2)-2,MONTH(P$2),1),Rates_previous!$G$6:$O$29,8,FALSE))</f>
        <v>21.67</v>
      </c>
      <c r="Q4">
        <f>IF(Q$3="HLH",VLOOKUP(DATE(YEAR(Q$2)-2,MONTH(Q$2),1),Rates_previous!$G$6:$O$29,7,FALSE),VLOOKUP(DATE(YEAR(Q$2)-2,MONTH(Q$2),1),Rates_previous!$G$6:$O$29,8,FALSE))</f>
        <v>18.21</v>
      </c>
      <c r="R4">
        <f>IF(R$3="HLH",VLOOKUP(DATE(YEAR(R$2)-2,MONTH(R$2),1),Rates_previous!$G$6:$O$29,7,FALSE),VLOOKUP(DATE(YEAR(R$2)-2,MONTH(R$2),1),Rates_previous!$G$6:$O$29,8,FALSE))</f>
        <v>16.34</v>
      </c>
      <c r="S4">
        <f>IF(S$3="HLH",VLOOKUP(DATE(YEAR(S$2)-2,MONTH(S$2),1),Rates_previous!$G$6:$O$29,7,FALSE),VLOOKUP(DATE(YEAR(S$2)-2,MONTH(S$2),1),Rates_previous!$G$6:$O$29,8,FALSE))</f>
        <v>17.87</v>
      </c>
      <c r="T4">
        <f>IF(T$3="HLH",VLOOKUP(DATE(YEAR(T$2)-2,MONTH(T$2),1),Rates_previous!$G$6:$O$29,7,FALSE),VLOOKUP(DATE(YEAR(T$2)-2,MONTH(T$2),1),Rates_previous!$G$6:$O$29,8,FALSE))</f>
        <v>10.33</v>
      </c>
      <c r="U4">
        <f>IF(U$3="HLH",VLOOKUP(DATE(YEAR(U$2)-2,MONTH(U$2),1),Rates_previous!$G$6:$O$29,7,FALSE),VLOOKUP(DATE(YEAR(U$2)-2,MONTH(U$2),1),Rates_previous!$G$6:$O$29,8,FALSE))</f>
        <v>55.6</v>
      </c>
      <c r="V4">
        <f>IF(V$3="HLH",VLOOKUP(DATE(YEAR(V$2)-2,MONTH(V$2),1),Rates_previous!$G$6:$O$29,7,FALSE),VLOOKUP(DATE(YEAR(V$2)-2,MONTH(V$2),1),Rates_previous!$G$6:$O$29,8,FALSE))</f>
        <v>36.92</v>
      </c>
      <c r="W4">
        <f>IF(W$3="HLH",VLOOKUP(DATE(YEAR(W$2)-2,MONTH(W$2),1),Rates_previous!$G$6:$O$29,7,FALSE),VLOOKUP(DATE(YEAR(W$2)-2,MONTH(W$2),1),Rates_previous!$G$6:$O$29,8,FALSE))</f>
        <v>71.52</v>
      </c>
      <c r="X4">
        <f>IF(X$3="HLH",VLOOKUP(DATE(YEAR(X$2)-2,MONTH(X$2),1),Rates_previous!$G$6:$O$29,7,FALSE),VLOOKUP(DATE(YEAR(X$2)-2,MONTH(X$2),1),Rates_previous!$G$6:$O$29,8,FALSE))</f>
        <v>48.93</v>
      </c>
      <c r="Y4">
        <f>IF(Y$3="HLH",VLOOKUP(DATE(YEAR(Y$2)-2,MONTH(Y$2),1),Rates_previous!$G$6:$O$29,7,FALSE),VLOOKUP(DATE(YEAR(Y$2)-2,MONTH(Y$2),1),Rates_previous!$G$6:$O$29,8,FALSE))</f>
        <v>58.7</v>
      </c>
      <c r="Z4">
        <f>IF(Z$3="HLH",VLOOKUP(DATE(YEAR(Z$2)-2,MONTH(Z$2),1),Rates_previous!$G$6:$O$29,7,FALSE),VLOOKUP(DATE(YEAR(Z$2)-2,MONTH(Z$2),1),Rates_previous!$G$6:$O$29,8,FALSE))</f>
        <v>44.18</v>
      </c>
      <c r="AA4">
        <f>IF(AA$3="HLH",VLOOKUP(DATE(YEAR(AA$2)-2,MONTH(AA$2),1),Rates_previous!$G$6:$O$29,7,FALSE),VLOOKUP(DATE(YEAR(AA$2)-2,MONTH(AA$2),1),Rates_previous!$G$6:$O$29,8,FALSE))</f>
        <v>47.71</v>
      </c>
      <c r="AB4">
        <f>IF(AB$3="HLH",VLOOKUP(DATE(YEAR(AB$2)-2,MONTH(AB$2),1),Rates_previous!$G$6:$O$29,7,FALSE),VLOOKUP(DATE(YEAR(AB$2)-2,MONTH(AB$2),1),Rates_previous!$G$6:$O$29,8,FALSE))</f>
        <v>32.909999999999997</v>
      </c>
      <c r="AC4">
        <f>IF(AC$3="HLH",VLOOKUP(DATE(YEAR(AC$2)-2,MONTH(AC$2),1),Rates_previous!$G$6:$O$29,7,FALSE),VLOOKUP(DATE(YEAR(AC$2)-2,MONTH(AC$2),1),Rates_previous!$G$6:$O$29,8,FALSE))</f>
        <v>40.299999999999997</v>
      </c>
      <c r="AD4">
        <f>IF(AD$3="HLH",VLOOKUP(DATE(YEAR(AD$2)-2,MONTH(AD$2),1),Rates_previous!$G$6:$O$29,7,FALSE),VLOOKUP(DATE(YEAR(AD$2)-2,MONTH(AD$2),1),Rates_previous!$G$6:$O$29,8,FALSE))</f>
        <v>31.39</v>
      </c>
      <c r="AE4">
        <f>IF(AE$3="HLH",VLOOKUP(DATE(YEAR(AE$2)-2,MONTH(AE$2),1),Rates_previous!$G$6:$O$29,7,FALSE),VLOOKUP(DATE(YEAR(AE$2)-2,MONTH(AE$2),1),Rates_previous!$G$6:$O$29,8,FALSE))</f>
        <v>61.63</v>
      </c>
      <c r="AF4">
        <f>IF(AF$3="HLH",VLOOKUP(DATE(YEAR(AF$2)-2,MONTH(AF$2),1),Rates_previous!$G$6:$O$29,7,FALSE),VLOOKUP(DATE(YEAR(AF$2)-2,MONTH(AF$2),1),Rates_previous!$G$6:$O$29,8,FALSE))</f>
        <v>52.69</v>
      </c>
      <c r="AG4">
        <f>IF(AG$3="HLH",VLOOKUP(DATE(YEAR(AG$2)-2,MONTH(AG$2),1),Rates_previous!$G$6:$O$29,7,FALSE),VLOOKUP(DATE(YEAR(AG$2)-2,MONTH(AG$2),1),Rates_previous!$G$6:$O$29,8,FALSE))</f>
        <v>49.88</v>
      </c>
      <c r="AH4">
        <f>IF(AH$3="HLH",VLOOKUP(DATE(YEAR(AH$2)-2,MONTH(AH$2),1),Rates_previous!$G$6:$O$29,7,FALSE),VLOOKUP(DATE(YEAR(AH$2)-2,MONTH(AH$2),1),Rates_previous!$G$6:$O$29,8,FALSE))</f>
        <v>36.729999999999997</v>
      </c>
      <c r="AI4">
        <f>IF(AI$3="HLH",VLOOKUP(DATE(YEAR(AI$2)-2,MONTH(AI$2),1),Rates_previous!$G$6:$O$29,7,FALSE),VLOOKUP(DATE(YEAR(AI$2)-2,MONTH(AI$2),1),Rates_previous!$G$6:$O$29,8,FALSE))</f>
        <v>50.32</v>
      </c>
      <c r="AJ4">
        <f>IF(AJ$3="HLH",VLOOKUP(DATE(YEAR(AJ$2)-2,MONTH(AJ$2),1),Rates_previous!$G$6:$O$29,7,FALSE),VLOOKUP(DATE(YEAR(AJ$2)-2,MONTH(AJ$2),1),Rates_previous!$G$6:$O$29,8,FALSE))</f>
        <v>42.01</v>
      </c>
      <c r="AK4">
        <f>IF(AK$3="HLH",VLOOKUP(DATE(YEAR(AK$2)-2,MONTH(AK$2),1),Rates_previous!$G$6:$O$29,7,FALSE),VLOOKUP(DATE(YEAR(AK$2)-2,MONTH(AK$2),1),Rates_previous!$G$6:$O$29,8,FALSE))</f>
        <v>35.07</v>
      </c>
      <c r="AL4">
        <f>IF(AL$3="HLH",VLOOKUP(DATE(YEAR(AL$2)-2,MONTH(AL$2),1),Rates_previous!$G$6:$O$29,7,FALSE),VLOOKUP(DATE(YEAR(AL$2)-2,MONTH(AL$2),1),Rates_previous!$G$6:$O$29,8,FALSE))</f>
        <v>35.840000000000003</v>
      </c>
      <c r="AM4">
        <f>IF(AM$3="HLH",VLOOKUP(DATE(YEAR(AM$2)-2,MONTH(AM$2),1),Rates_previous!$G$6:$O$29,7,FALSE),VLOOKUP(DATE(YEAR(AM$2)-2,MONTH(AM$2),1),Rates_previous!$G$6:$O$29,8,FALSE))</f>
        <v>20.420000000000002</v>
      </c>
      <c r="AN4">
        <f>IF(AN$3="HLH",VLOOKUP(DATE(YEAR(AN$2)-2,MONTH(AN$2),1),Rates_previous!$G$6:$O$29,7,FALSE),VLOOKUP(DATE(YEAR(AN$2)-2,MONTH(AN$2),1),Rates_previous!$G$6:$O$29,8,FALSE))</f>
        <v>21.67</v>
      </c>
      <c r="AO4">
        <f>IF(AO$3="HLH",VLOOKUP(DATE(YEAR(AO$2)-2,MONTH(AO$2),1),Rates_previous!$G$6:$O$29,7,FALSE),VLOOKUP(DATE(YEAR(AO$2)-2,MONTH(AO$2),1),Rates_previous!$G$6:$O$29,8,FALSE))</f>
        <v>18.21</v>
      </c>
      <c r="AP4">
        <f>IF(AP$3="HLH",VLOOKUP(DATE(YEAR(AP$2)-2,MONTH(AP$2),1),Rates_previous!$G$6:$O$29,7,FALSE),VLOOKUP(DATE(YEAR(AP$2)-2,MONTH(AP$2),1),Rates_previous!$G$6:$O$29,8,FALSE))</f>
        <v>16.34</v>
      </c>
      <c r="AQ4">
        <f>IF(AQ$3="HLH",VLOOKUP(DATE(YEAR(AQ$2)-2,MONTH(AQ$2),1),Rates_previous!$G$6:$O$29,7,FALSE),VLOOKUP(DATE(YEAR(AQ$2)-2,MONTH(AQ$2),1),Rates_previous!$G$6:$O$29,8,FALSE))</f>
        <v>17.87</v>
      </c>
      <c r="AR4">
        <f>IF(AR$3="HLH",VLOOKUP(DATE(YEAR(AR$2)-2,MONTH(AR$2),1),Rates_previous!$G$6:$O$29,7,FALSE),VLOOKUP(DATE(YEAR(AR$2)-2,MONTH(AR$2),1),Rates_previous!$G$6:$O$29,8,FALSE))</f>
        <v>10.33</v>
      </c>
      <c r="AS4">
        <f>IF(AS$3="HLH",VLOOKUP(DATE(YEAR(AS$2)-2,MONTH(AS$2),1),Rates_previous!$G$6:$O$29,7,FALSE),VLOOKUP(DATE(YEAR(AS$2)-2,MONTH(AS$2),1),Rates_previous!$G$6:$O$29,8,FALSE))</f>
        <v>55.6</v>
      </c>
      <c r="AT4">
        <f>IF(AT$3="HLH",VLOOKUP(DATE(YEAR(AT$2)-2,MONTH(AT$2),1),Rates_previous!$G$6:$O$29,7,FALSE),VLOOKUP(DATE(YEAR(AT$2)-2,MONTH(AT$2),1),Rates_previous!$G$6:$O$29,8,FALSE))</f>
        <v>36.92</v>
      </c>
      <c r="AU4">
        <f>IF(AU$3="HLH",VLOOKUP(DATE(YEAR(AU$2)-2,MONTH(AU$2),1),Rates_previous!$G$6:$O$29,7,FALSE),VLOOKUP(DATE(YEAR(AU$2)-2,MONTH(AU$2),1),Rates_previous!$G$6:$O$29,8,FALSE))</f>
        <v>71.52</v>
      </c>
      <c r="AV4">
        <f>IF(AV$3="HLH",VLOOKUP(DATE(YEAR(AV$2)-2,MONTH(AV$2),1),Rates_previous!$G$6:$O$29,7,FALSE),VLOOKUP(DATE(YEAR(AV$2)-2,MONTH(AV$2),1),Rates_previous!$G$6:$O$29,8,FALSE))</f>
        <v>48.93</v>
      </c>
      <c r="AW4">
        <f>IF(AW$3="HLH",VLOOKUP(DATE(YEAR(AW$2)-2,MONTH(AW$2),1),Rates_previous!$G$6:$O$29,7,FALSE),VLOOKUP(DATE(YEAR(AW$2)-2,MONTH(AW$2),1),Rates_previous!$G$6:$O$29,8,FALSE))</f>
        <v>58.7</v>
      </c>
      <c r="AX4">
        <f>IF(AX$3="HLH",VLOOKUP(DATE(YEAR(AX$2)-2,MONTH(AX$2),1),Rates_previous!$G$6:$O$29,7,FALSE),VLOOKUP(DATE(YEAR(AX$2)-2,MONTH(AX$2),1),Rates_previous!$G$6:$O$29,8,FALSE))</f>
        <v>44.18</v>
      </c>
      <c r="AY4" s="272">
        <f>+AVERAGE(AA4,C4)</f>
        <v>47.71</v>
      </c>
      <c r="AZ4" s="272">
        <f t="shared" ref="AZ4:BV4" si="49">+AVERAGE(AB4,D4)</f>
        <v>32.909999999999997</v>
      </c>
      <c r="BA4" s="272">
        <f t="shared" si="49"/>
        <v>40.299999999999997</v>
      </c>
      <c r="BB4" s="272">
        <f t="shared" si="49"/>
        <v>31.39</v>
      </c>
      <c r="BC4" s="272">
        <f t="shared" si="49"/>
        <v>61.63</v>
      </c>
      <c r="BD4" s="272">
        <f t="shared" si="49"/>
        <v>52.69</v>
      </c>
      <c r="BE4" s="272">
        <f t="shared" si="49"/>
        <v>49.88</v>
      </c>
      <c r="BF4" s="272">
        <f t="shared" si="49"/>
        <v>36.729999999999997</v>
      </c>
      <c r="BG4" s="272">
        <f t="shared" si="49"/>
        <v>50.32</v>
      </c>
      <c r="BH4" s="272">
        <f t="shared" si="49"/>
        <v>42.01</v>
      </c>
      <c r="BI4" s="272">
        <f t="shared" si="49"/>
        <v>35.07</v>
      </c>
      <c r="BJ4" s="272">
        <f t="shared" si="49"/>
        <v>35.840000000000003</v>
      </c>
      <c r="BK4" s="272">
        <f t="shared" si="49"/>
        <v>20.420000000000002</v>
      </c>
      <c r="BL4" s="272">
        <f t="shared" si="49"/>
        <v>21.67</v>
      </c>
      <c r="BM4" s="272">
        <f t="shared" si="49"/>
        <v>18.21</v>
      </c>
      <c r="BN4" s="272">
        <f t="shared" si="49"/>
        <v>16.34</v>
      </c>
      <c r="BO4" s="272">
        <f t="shared" si="49"/>
        <v>17.87</v>
      </c>
      <c r="BP4" s="272">
        <f t="shared" si="49"/>
        <v>10.33</v>
      </c>
      <c r="BQ4" s="272">
        <f t="shared" si="49"/>
        <v>55.6</v>
      </c>
      <c r="BR4" s="272">
        <f t="shared" si="49"/>
        <v>36.92</v>
      </c>
      <c r="BS4" s="272">
        <f t="shared" si="49"/>
        <v>71.52</v>
      </c>
      <c r="BT4" s="272">
        <f t="shared" si="49"/>
        <v>48.93</v>
      </c>
      <c r="BU4" s="272">
        <f t="shared" si="49"/>
        <v>58.7</v>
      </c>
      <c r="BV4" s="272">
        <f t="shared" si="49"/>
        <v>44.18</v>
      </c>
    </row>
    <row r="5" spans="2:74">
      <c r="B5" t="s">
        <v>210</v>
      </c>
      <c r="C5">
        <f>IF(C$3="HLH",VLOOKUP(DATE(YEAR(C$2),MONTH(C$2),1),Rates_current!$H$6:$P$41,7,FALSE),VLOOKUP(DATE(YEAR(C$2),MONTH(C$2),1),Rates_current!$H$6:$P$41,8,FALSE))</f>
        <v>50.63</v>
      </c>
      <c r="D5">
        <f>IF(D$3="HLH",VLOOKUP(DATE(YEAR(D$2),MONTH(D$2),1),Rates_current!$H$6:$P$41,7,FALSE),VLOOKUP(DATE(YEAR(D$2),MONTH(D$2),1),Rates_current!$H$6:$P$41,8,FALSE))</f>
        <v>48.85</v>
      </c>
      <c r="E5">
        <f>IF(E$3="HLH",VLOOKUP(DATE(YEAR(E$2),MONTH(E$2),1),Rates_current!$H$6:$P$41,7,FALSE),VLOOKUP(DATE(YEAR(E$2),MONTH(E$2),1),Rates_current!$H$6:$P$41,8,FALSE))</f>
        <v>39.53</v>
      </c>
      <c r="F5">
        <f>IF(F$3="HLH",VLOOKUP(DATE(YEAR(F$2),MONTH(F$2),1),Rates_current!$H$6:$P$41,7,FALSE),VLOOKUP(DATE(YEAR(F$2),MONTH(F$2),1),Rates_current!$H$6:$P$41,8,FALSE))</f>
        <v>41.64</v>
      </c>
      <c r="G5">
        <f>IF(G$3="HLH",VLOOKUP(DATE(YEAR(G$2),MONTH(G$2),1),Rates_current!$H$6:$P$41,7,FALSE),VLOOKUP(DATE(YEAR(G$2),MONTH(G$2),1),Rates_current!$H$6:$P$41,8,FALSE))</f>
        <v>47.63</v>
      </c>
      <c r="H5">
        <f>IF(H$3="HLH",VLOOKUP(DATE(YEAR(H$2),MONTH(H$2),1),Rates_current!$H$6:$P$41,7,FALSE),VLOOKUP(DATE(YEAR(H$2),MONTH(H$2),1),Rates_current!$H$6:$P$41,8,FALSE))</f>
        <v>48.79</v>
      </c>
      <c r="I5">
        <f>IF(I$3="HLH",VLOOKUP(DATE(YEAR(I$2),MONTH(I$2),1),Rates_current!$H$6:$P$41,7,FALSE),VLOOKUP(DATE(YEAR(I$2),MONTH(I$2),1),Rates_current!$H$6:$P$41,8,FALSE))</f>
        <v>43.56</v>
      </c>
      <c r="J5">
        <f>IF(J$3="HLH",VLOOKUP(DATE(YEAR(J$2),MONTH(J$2),1),Rates_current!$H$6:$P$41,7,FALSE),VLOOKUP(DATE(YEAR(J$2),MONTH(J$2),1),Rates_current!$H$6:$P$41,8,FALSE))</f>
        <v>43.8</v>
      </c>
      <c r="K5">
        <f>IF(K$3="HLH",VLOOKUP(DATE(YEAR(K$2),MONTH(K$2),1),Rates_current!$H$6:$P$41,7,FALSE),VLOOKUP(DATE(YEAR(K$2),MONTH(K$2),1),Rates_current!$H$6:$P$41,8,FALSE))</f>
        <v>45.43</v>
      </c>
      <c r="L5">
        <f>IF(L$3="HLH",VLOOKUP(DATE(YEAR(L$2),MONTH(L$2),1),Rates_current!$H$6:$P$41,7,FALSE),VLOOKUP(DATE(YEAR(L$2),MONTH(L$2),1),Rates_current!$H$6:$P$41,8,FALSE))</f>
        <v>49.18</v>
      </c>
      <c r="M5">
        <f>IF(M$3="HLH",VLOOKUP(DATE(YEAR(M$2),MONTH(M$2),1),Rates_current!$H$6:$P$41,7,FALSE),VLOOKUP(DATE(YEAR(M$2),MONTH(M$2),1),Rates_current!$H$6:$P$41,8,FALSE))</f>
        <v>29.19</v>
      </c>
      <c r="N5">
        <f>IF(N$3="HLH",VLOOKUP(DATE(YEAR(N$2),MONTH(N$2),1),Rates_current!$H$6:$P$41,7,FALSE),VLOOKUP(DATE(YEAR(N$2),MONTH(N$2),1),Rates_current!$H$6:$P$41,8,FALSE))</f>
        <v>34.54</v>
      </c>
      <c r="O5">
        <f>IF(O$3="HLH",VLOOKUP(DATE(YEAR(O$2),MONTH(O$2),1),Rates_current!$H$6:$P$41,7,FALSE),VLOOKUP(DATE(YEAR(O$2),MONTH(O$2),1),Rates_current!$H$6:$P$41,8,FALSE))</f>
        <v>22.33</v>
      </c>
      <c r="P5">
        <f>IF(P$3="HLH",VLOOKUP(DATE(YEAR(P$2),MONTH(P$2),1),Rates_current!$H$6:$P$41,7,FALSE),VLOOKUP(DATE(YEAR(P$2),MONTH(P$2),1),Rates_current!$H$6:$P$41,8,FALSE))</f>
        <v>27.09</v>
      </c>
      <c r="Q5">
        <f>IF(Q$3="HLH",VLOOKUP(DATE(YEAR(Q$2),MONTH(Q$2),1),Rates_current!$H$6:$P$41,7,FALSE),VLOOKUP(DATE(YEAR(Q$2),MONTH(Q$2),1),Rates_current!$H$6:$P$41,8,FALSE))</f>
        <v>8.6</v>
      </c>
      <c r="R5">
        <f>IF(R$3="HLH",VLOOKUP(DATE(YEAR(R$2),MONTH(R$2),1),Rates_current!$H$6:$P$41,7,FALSE),VLOOKUP(DATE(YEAR(R$2),MONTH(R$2),1),Rates_current!$H$6:$P$41,8,FALSE))</f>
        <v>12.73</v>
      </c>
      <c r="S5">
        <f>IF(S$3="HLH",VLOOKUP(DATE(YEAR(S$2),MONTH(S$2),1),Rates_current!$H$6:$P$41,7,FALSE),VLOOKUP(DATE(YEAR(S$2),MONTH(S$2),1),Rates_current!$H$6:$P$41,8,FALSE))</f>
        <v>15.1</v>
      </c>
      <c r="T5">
        <f>IF(T$3="HLH",VLOOKUP(DATE(YEAR(T$2),MONTH(T$2),1),Rates_current!$H$6:$P$41,7,FALSE),VLOOKUP(DATE(YEAR(T$2),MONTH(T$2),1),Rates_current!$H$6:$P$41,8,FALSE))</f>
        <v>16.079999999999998</v>
      </c>
      <c r="U5">
        <f>IF(U$3="HLH",VLOOKUP(DATE(YEAR(U$2),MONTH(U$2),1),Rates_current!$H$6:$P$41,7,FALSE),VLOOKUP(DATE(YEAR(U$2),MONTH(U$2),1),Rates_current!$H$6:$P$41,8,FALSE))</f>
        <v>50.98</v>
      </c>
      <c r="V5">
        <f>IF(V$3="HLH",VLOOKUP(DATE(YEAR(V$2),MONTH(V$2),1),Rates_current!$H$6:$P$41,7,FALSE),VLOOKUP(DATE(YEAR(V$2),MONTH(V$2),1),Rates_current!$H$6:$P$41,8,FALSE))</f>
        <v>48.06</v>
      </c>
      <c r="W5">
        <f>IF(W$3="HLH",VLOOKUP(DATE(YEAR(W$2),MONTH(W$2),1),Rates_current!$H$6:$P$41,7,FALSE),VLOOKUP(DATE(YEAR(W$2),MONTH(W$2),1),Rates_current!$H$6:$P$41,8,FALSE))</f>
        <v>53.8</v>
      </c>
      <c r="X5">
        <f>IF(X$3="HLH",VLOOKUP(DATE(YEAR(X$2),MONTH(X$2),1),Rates_current!$H$6:$P$41,7,FALSE),VLOOKUP(DATE(YEAR(X$2),MONTH(X$2),1),Rates_current!$H$6:$P$41,8,FALSE))</f>
        <v>50.32</v>
      </c>
      <c r="Y5">
        <f>IF(Y$3="HLH",VLOOKUP(DATE(YEAR(Y$2),MONTH(Y$2),1),Rates_current!$H$6:$P$41,7,FALSE),VLOOKUP(DATE(YEAR(Y$2),MONTH(Y$2),1),Rates_current!$H$6:$P$41,8,FALSE))</f>
        <v>60.51</v>
      </c>
      <c r="Z5">
        <f>IF(Z$3="HLH",VLOOKUP(DATE(YEAR(Z$2),MONTH(Z$2),1),Rates_current!$H$6:$P$41,7,FALSE),VLOOKUP(DATE(YEAR(Z$2),MONTH(Z$2),1),Rates_current!$H$6:$P$41,8,FALSE))</f>
        <v>59.06</v>
      </c>
      <c r="AA5">
        <f>IF(AA$3="HLH",VLOOKUP(DATE(YEAR(AA$2),MONTH(AA$2),1),Rates_current!$H$6:$P$41,7,FALSE),VLOOKUP(DATE(YEAR(AA$2),MONTH(AA$2),1),Rates_current!$H$6:$P$41,8,FALSE))</f>
        <v>50.63</v>
      </c>
      <c r="AB5">
        <f>IF(AB$3="HLH",VLOOKUP(DATE(YEAR(AB$2),MONTH(AB$2),1),Rates_current!$H$6:$P$41,7,FALSE),VLOOKUP(DATE(YEAR(AB$2),MONTH(AB$2),1),Rates_current!$H$6:$P$41,8,FALSE))</f>
        <v>48.85</v>
      </c>
      <c r="AC5">
        <f>IF(AC$3="HLH",VLOOKUP(DATE(YEAR(AC$2),MONTH(AC$2),1),Rates_current!$H$6:$P$41,7,FALSE),VLOOKUP(DATE(YEAR(AC$2),MONTH(AC$2),1),Rates_current!$H$6:$P$41,8,FALSE))</f>
        <v>39.53</v>
      </c>
      <c r="AD5">
        <f>IF(AD$3="HLH",VLOOKUP(DATE(YEAR(AD$2),MONTH(AD$2),1),Rates_current!$H$6:$P$41,7,FALSE),VLOOKUP(DATE(YEAR(AD$2),MONTH(AD$2),1),Rates_current!$H$6:$P$41,8,FALSE))</f>
        <v>41.64</v>
      </c>
      <c r="AE5">
        <f>IF(AE$3="HLH",VLOOKUP(DATE(YEAR(AE$2),MONTH(AE$2),1),Rates_current!$H$6:$P$41,7,FALSE),VLOOKUP(DATE(YEAR(AE$2),MONTH(AE$2),1),Rates_current!$H$6:$P$41,8,FALSE))</f>
        <v>47.63</v>
      </c>
      <c r="AF5">
        <f>IF(AF$3="HLH",VLOOKUP(DATE(YEAR(AF$2),MONTH(AF$2),1),Rates_current!$H$6:$P$41,7,FALSE),VLOOKUP(DATE(YEAR(AF$2),MONTH(AF$2),1),Rates_current!$H$6:$P$41,8,FALSE))</f>
        <v>48.79</v>
      </c>
      <c r="AG5">
        <f>IF(AG$3="HLH",VLOOKUP(DATE(YEAR(AG$2),MONTH(AG$2),1),Rates_current!$H$6:$P$41,7,FALSE),VLOOKUP(DATE(YEAR(AG$2),MONTH(AG$2),1),Rates_current!$H$6:$P$41,8,FALSE))</f>
        <v>43.56</v>
      </c>
      <c r="AH5">
        <f>IF(AH$3="HLH",VLOOKUP(DATE(YEAR(AH$2),MONTH(AH$2),1),Rates_current!$H$6:$P$41,7,FALSE),VLOOKUP(DATE(YEAR(AH$2),MONTH(AH$2),1),Rates_current!$H$6:$P$41,8,FALSE))</f>
        <v>43.8</v>
      </c>
      <c r="AI5">
        <f>IF(AI$3="HLH",VLOOKUP(DATE(YEAR(AI$2),MONTH(AI$2),1),Rates_current!$H$6:$P$41,7,FALSE),VLOOKUP(DATE(YEAR(AI$2),MONTH(AI$2),1),Rates_current!$H$6:$P$41,8,FALSE))</f>
        <v>45.43</v>
      </c>
      <c r="AJ5">
        <f>IF(AJ$3="HLH",VLOOKUP(DATE(YEAR(AJ$2),MONTH(AJ$2),1),Rates_current!$H$6:$P$41,7,FALSE),VLOOKUP(DATE(YEAR(AJ$2),MONTH(AJ$2),1),Rates_current!$H$6:$P$41,8,FALSE))</f>
        <v>49.18</v>
      </c>
      <c r="AK5">
        <f>IF(AK$3="HLH",VLOOKUP(DATE(YEAR(AK$2),MONTH(AK$2),1),Rates_current!$H$6:$P$41,7,FALSE),VLOOKUP(DATE(YEAR(AK$2),MONTH(AK$2),1),Rates_current!$H$6:$P$41,8,FALSE))</f>
        <v>29.19</v>
      </c>
      <c r="AL5">
        <f>IF(AL$3="HLH",VLOOKUP(DATE(YEAR(AL$2),MONTH(AL$2),1),Rates_current!$H$6:$P$41,7,FALSE),VLOOKUP(DATE(YEAR(AL$2),MONTH(AL$2),1),Rates_current!$H$6:$P$41,8,FALSE))</f>
        <v>34.54</v>
      </c>
      <c r="AM5">
        <f>IF(AM$3="HLH",VLOOKUP(DATE(YEAR(AM$2),MONTH(AM$2),1),Rates_current!$H$6:$P$41,7,FALSE),VLOOKUP(DATE(YEAR(AM$2),MONTH(AM$2),1),Rates_current!$H$6:$P$41,8,FALSE))</f>
        <v>22.33</v>
      </c>
      <c r="AN5">
        <f>IF(AN$3="HLH",VLOOKUP(DATE(YEAR(AN$2),MONTH(AN$2),1),Rates_current!$H$6:$P$41,7,FALSE),VLOOKUP(DATE(YEAR(AN$2),MONTH(AN$2),1),Rates_current!$H$6:$P$41,8,FALSE))</f>
        <v>27.09</v>
      </c>
      <c r="AO5">
        <f>IF(AO$3="HLH",VLOOKUP(DATE(YEAR(AO$2),MONTH(AO$2),1),Rates_current!$H$6:$P$41,7,FALSE),VLOOKUP(DATE(YEAR(AO$2),MONTH(AO$2),1),Rates_current!$H$6:$P$41,8,FALSE))</f>
        <v>8.6</v>
      </c>
      <c r="AP5">
        <f>IF(AP$3="HLH",VLOOKUP(DATE(YEAR(AP$2),MONTH(AP$2),1),Rates_current!$H$6:$P$41,7,FALSE),VLOOKUP(DATE(YEAR(AP$2),MONTH(AP$2),1),Rates_current!$H$6:$P$41,8,FALSE))</f>
        <v>12.73</v>
      </c>
      <c r="AQ5">
        <f>IF(AQ$3="HLH",VLOOKUP(DATE(YEAR(AQ$2),MONTH(AQ$2),1),Rates_current!$H$6:$P$41,7,FALSE),VLOOKUP(DATE(YEAR(AQ$2),MONTH(AQ$2),1),Rates_current!$H$6:$P$41,8,FALSE))</f>
        <v>15.1</v>
      </c>
      <c r="AR5">
        <f>IF(AR$3="HLH",VLOOKUP(DATE(YEAR(AR$2),MONTH(AR$2),1),Rates_current!$H$6:$P$41,7,FALSE),VLOOKUP(DATE(YEAR(AR$2),MONTH(AR$2),1),Rates_current!$H$6:$P$41,8,FALSE))</f>
        <v>16.079999999999998</v>
      </c>
      <c r="AS5">
        <f>IF(AS$3="HLH",VLOOKUP(DATE(YEAR(AS$2),MONTH(AS$2),1),Rates_current!$H$6:$P$41,7,FALSE),VLOOKUP(DATE(YEAR(AS$2),MONTH(AS$2),1),Rates_current!$H$6:$P$41,8,FALSE))</f>
        <v>50.98</v>
      </c>
      <c r="AT5">
        <f>IF(AT$3="HLH",VLOOKUP(DATE(YEAR(AT$2),MONTH(AT$2),1),Rates_current!$H$6:$P$41,7,FALSE),VLOOKUP(DATE(YEAR(AT$2),MONTH(AT$2),1),Rates_current!$H$6:$P$41,8,FALSE))</f>
        <v>48.06</v>
      </c>
      <c r="AU5">
        <f>IF(AU$3="HLH",VLOOKUP(DATE(YEAR(AU$2),MONTH(AU$2),1),Rates_current!$H$6:$P$41,7,FALSE),VLOOKUP(DATE(YEAR(AU$2),MONTH(AU$2),1),Rates_current!$H$6:$P$41,8,FALSE))</f>
        <v>53.8</v>
      </c>
      <c r="AV5">
        <f>IF(AV$3="HLH",VLOOKUP(DATE(YEAR(AV$2),MONTH(AV$2),1),Rates_current!$H$6:$P$41,7,FALSE),VLOOKUP(DATE(YEAR(AV$2),MONTH(AV$2),1),Rates_current!$H$6:$P$41,8,FALSE))</f>
        <v>50.32</v>
      </c>
      <c r="AW5">
        <f>IF(AW$3="HLH",VLOOKUP(DATE(YEAR(AW$2),MONTH(AW$2),1),Rates_current!$H$6:$P$41,7,FALSE),VLOOKUP(DATE(YEAR(AW$2),MONTH(AW$2),1),Rates_current!$H$6:$P$41,8,FALSE))</f>
        <v>60.51</v>
      </c>
      <c r="AX5">
        <f>IF(AX$3="HLH",VLOOKUP(DATE(YEAR(AX$2),MONTH(AX$2),1),Rates_current!$H$6:$P$41,7,FALSE),VLOOKUP(DATE(YEAR(AX$2),MONTH(AX$2),1),Rates_current!$H$6:$P$41,8,FALSE))</f>
        <v>59.06</v>
      </c>
      <c r="AY5">
        <f>IF(AY$3="HLH",VLOOKUP(DATE(YEAR(AY$2),MONTH(AY$2),1),Rates_current!$H$6:$P$41,7,FALSE),VLOOKUP(DATE(YEAR(AY$2),MONTH(AY$2),1),Rates_current!$H$6:$P$41,8,FALSE))</f>
        <v>50.63</v>
      </c>
      <c r="AZ5">
        <f>IF(AZ$3="HLH",VLOOKUP(DATE(YEAR(AZ$2),MONTH(AZ$2),1),Rates_current!$H$6:$P$41,7,FALSE),VLOOKUP(DATE(YEAR(AZ$2),MONTH(AZ$2),1),Rates_current!$H$6:$P$41,8,FALSE))</f>
        <v>48.85</v>
      </c>
      <c r="BA5">
        <f>IF(BA$3="HLH",VLOOKUP(DATE(YEAR(BA$2),MONTH(BA$2),1),Rates_current!$H$6:$P$41,7,FALSE),VLOOKUP(DATE(YEAR(BA$2),MONTH(BA$2),1),Rates_current!$H$6:$P$41,8,FALSE))</f>
        <v>39.53</v>
      </c>
      <c r="BB5">
        <f>IF(BB$3="HLH",VLOOKUP(DATE(YEAR(BB$2),MONTH(BB$2),1),Rates_current!$H$6:$P$41,7,FALSE),VLOOKUP(DATE(YEAR(BB$2),MONTH(BB$2),1),Rates_current!$H$6:$P$41,8,FALSE))</f>
        <v>41.64</v>
      </c>
      <c r="BC5">
        <f>IF(BC$3="HLH",VLOOKUP(DATE(YEAR(BC$2),MONTH(BC$2),1),Rates_current!$H$6:$P$41,7,FALSE),VLOOKUP(DATE(YEAR(BC$2),MONTH(BC$2),1),Rates_current!$H$6:$P$41,8,FALSE))</f>
        <v>47.63</v>
      </c>
      <c r="BD5">
        <f>IF(BD$3="HLH",VLOOKUP(DATE(YEAR(BD$2),MONTH(BD$2),1),Rates_current!$H$6:$P$41,7,FALSE),VLOOKUP(DATE(YEAR(BD$2),MONTH(BD$2),1),Rates_current!$H$6:$P$41,8,FALSE))</f>
        <v>48.79</v>
      </c>
      <c r="BE5">
        <f>IF(BE$3="HLH",VLOOKUP(DATE(YEAR(BE$2),MONTH(BE$2),1),Rates_current!$H$6:$P$41,7,FALSE),VLOOKUP(DATE(YEAR(BE$2),MONTH(BE$2),1),Rates_current!$H$6:$P$41,8,FALSE))</f>
        <v>43.56</v>
      </c>
      <c r="BF5">
        <f>IF(BF$3="HLH",VLOOKUP(DATE(YEAR(BF$2),MONTH(BF$2),1),Rates_current!$H$6:$P$41,7,FALSE),VLOOKUP(DATE(YEAR(BF$2),MONTH(BF$2),1),Rates_current!$H$6:$P$41,8,FALSE))</f>
        <v>43.8</v>
      </c>
      <c r="BG5">
        <f>IF(BG$3="HLH",VLOOKUP(DATE(YEAR(BG$2),MONTH(BG$2),1),Rates_current!$H$6:$P$41,7,FALSE),VLOOKUP(DATE(YEAR(BG$2),MONTH(BG$2),1),Rates_current!$H$6:$P$41,8,FALSE))</f>
        <v>45.43</v>
      </c>
      <c r="BH5">
        <f>IF(BH$3="HLH",VLOOKUP(DATE(YEAR(BH$2),MONTH(BH$2),1),Rates_current!$H$6:$P$41,7,FALSE),VLOOKUP(DATE(YEAR(BH$2),MONTH(BH$2),1),Rates_current!$H$6:$P$41,8,FALSE))</f>
        <v>49.18</v>
      </c>
      <c r="BI5">
        <f>IF(BI$3="HLH",VLOOKUP(DATE(YEAR(BI$2),MONTH(BI$2),1),Rates_current!$H$6:$P$41,7,FALSE),VLOOKUP(DATE(YEAR(BI$2),MONTH(BI$2),1),Rates_current!$H$6:$P$41,8,FALSE))</f>
        <v>29.19</v>
      </c>
      <c r="BJ5">
        <f>IF(BJ$3="HLH",VLOOKUP(DATE(YEAR(BJ$2),MONTH(BJ$2),1),Rates_current!$H$6:$P$41,7,FALSE),VLOOKUP(DATE(YEAR(BJ$2),MONTH(BJ$2),1),Rates_current!$H$6:$P$41,8,FALSE))</f>
        <v>34.54</v>
      </c>
      <c r="BK5">
        <f>IF(BK$3="HLH",VLOOKUP(DATE(YEAR(BK$2),MONTH(BK$2),1),Rates_current!$H$6:$P$41,7,FALSE),VLOOKUP(DATE(YEAR(BK$2),MONTH(BK$2),1),Rates_current!$H$6:$P$41,8,FALSE))</f>
        <v>22.33</v>
      </c>
      <c r="BL5">
        <f>IF(BL$3="HLH",VLOOKUP(DATE(YEAR(BL$2),MONTH(BL$2),1),Rates_current!$H$6:$P$41,7,FALSE),VLOOKUP(DATE(YEAR(BL$2),MONTH(BL$2),1),Rates_current!$H$6:$P$41,8,FALSE))</f>
        <v>27.09</v>
      </c>
      <c r="BM5">
        <f>IF(BM$3="HLH",VLOOKUP(DATE(YEAR(BM$2),MONTH(BM$2),1),Rates_current!$H$6:$P$41,7,FALSE),VLOOKUP(DATE(YEAR(BM$2),MONTH(BM$2),1),Rates_current!$H$6:$P$41,8,FALSE))</f>
        <v>8.6</v>
      </c>
      <c r="BN5">
        <f>IF(BN$3="HLH",VLOOKUP(DATE(YEAR(BN$2),MONTH(BN$2),1),Rates_current!$H$6:$P$41,7,FALSE),VLOOKUP(DATE(YEAR(BN$2),MONTH(BN$2),1),Rates_current!$H$6:$P$41,8,FALSE))</f>
        <v>12.73</v>
      </c>
      <c r="BO5">
        <f>IF(BO$3="HLH",VLOOKUP(DATE(YEAR(BO$2),MONTH(BO$2),1),Rates_current!$H$6:$P$41,7,FALSE),VLOOKUP(DATE(YEAR(BO$2),MONTH(BO$2),1),Rates_current!$H$6:$P$41,8,FALSE))</f>
        <v>15.1</v>
      </c>
      <c r="BP5">
        <f>IF(BP$3="HLH",VLOOKUP(DATE(YEAR(BP$2),MONTH(BP$2),1),Rates_current!$H$6:$P$41,7,FALSE),VLOOKUP(DATE(YEAR(BP$2),MONTH(BP$2),1),Rates_current!$H$6:$P$41,8,FALSE))</f>
        <v>16.079999999999998</v>
      </c>
      <c r="BQ5">
        <f>IF(BQ$3="HLH",VLOOKUP(DATE(YEAR(BQ$2),MONTH(BQ$2),1),Rates_current!$H$6:$P$41,7,FALSE),VLOOKUP(DATE(YEAR(BQ$2),MONTH(BQ$2),1),Rates_current!$H$6:$P$41,8,FALSE))</f>
        <v>50.98</v>
      </c>
      <c r="BR5">
        <f>IF(BR$3="HLH",VLOOKUP(DATE(YEAR(BR$2),MONTH(BR$2),1),Rates_current!$H$6:$P$41,7,FALSE),VLOOKUP(DATE(YEAR(BR$2),MONTH(BR$2),1),Rates_current!$H$6:$P$41,8,FALSE))</f>
        <v>48.06</v>
      </c>
      <c r="BS5">
        <f>IF(BS$3="HLH",VLOOKUP(DATE(YEAR(BS$2),MONTH(BS$2),1),Rates_current!$H$6:$P$41,7,FALSE),VLOOKUP(DATE(YEAR(BS$2),MONTH(BS$2),1),Rates_current!$H$6:$P$41,8,FALSE))</f>
        <v>53.8</v>
      </c>
      <c r="BT5">
        <f>IF(BT$3="HLH",VLOOKUP(DATE(YEAR(BT$2),MONTH(BT$2),1),Rates_current!$H$6:$P$41,7,FALSE),VLOOKUP(DATE(YEAR(BT$2),MONTH(BT$2),1),Rates_current!$H$6:$P$41,8,FALSE))</f>
        <v>50.32</v>
      </c>
      <c r="BU5">
        <f>IF(BU$3="HLH",VLOOKUP(DATE(YEAR(BU$2),MONTH(BU$2),1),Rates_current!$H$6:$P$41,7,FALSE),VLOOKUP(DATE(YEAR(BU$2),MONTH(BU$2),1),Rates_current!$H$6:$P$41,8,FALSE))</f>
        <v>60.51</v>
      </c>
      <c r="BV5">
        <f>IF(BV$3="HLH",VLOOKUP(DATE(YEAR(BV$2),MONTH(BV$2),1),Rates_current!$H$6:$P$41,7,FALSE),VLOOKUP(DATE(YEAR(BV$2),MONTH(BV$2),1),Rates_current!$H$6:$P$41,8,FALSE))</f>
        <v>59.06</v>
      </c>
    </row>
    <row r="6" spans="2:74">
      <c r="B6" t="s">
        <v>211</v>
      </c>
      <c r="C6">
        <f>IF(C$3="HLH",VLOOKUP(DATE(YEAR(C$2)-2,MONTH(C$2),1),Rates_previous!$G$6:$O$29,3,FALSE),0)</f>
        <v>10.37</v>
      </c>
      <c r="D6">
        <f>IF(D$3="HLH",VLOOKUP(DATE(YEAR(D$2)-2,MONTH(D$2),1),Rates_previous!$G$6:$O$29,3,FALSE),0)</f>
        <v>0</v>
      </c>
      <c r="E6">
        <f>IF(E$3="HLH",VLOOKUP(DATE(YEAR(E$2)-2,MONTH(E$2),1),Rates_previous!$G$6:$O$29,3,FALSE),0)</f>
        <v>8.75</v>
      </c>
      <c r="F6">
        <f>IF(F$3="HLH",VLOOKUP(DATE(YEAR(F$2)-2,MONTH(F$2),1),Rates_previous!$G$6:$O$29,3,FALSE),0)</f>
        <v>0</v>
      </c>
      <c r="G6">
        <f>IF(G$3="HLH",VLOOKUP(DATE(YEAR(G$2)-2,MONTH(G$2),1),Rates_previous!$G$6:$O$29,3,FALSE),0)</f>
        <v>13.39</v>
      </c>
      <c r="H6">
        <f>IF(H$3="HLH",VLOOKUP(DATE(YEAR(H$2)-2,MONTH(H$2),1),Rates_previous!$G$6:$O$29,3,FALSE),0)</f>
        <v>0</v>
      </c>
      <c r="I6">
        <f>IF(I$3="HLH",VLOOKUP(DATE(YEAR(I$2)-2,MONTH(I$2),1),Rates_previous!$G$6:$O$29,3,FALSE),0)</f>
        <v>10.84</v>
      </c>
      <c r="J6">
        <f>IF(J$3="HLH",VLOOKUP(DATE(YEAR(J$2)-2,MONTH(J$2),1),Rates_previous!$G$6:$O$29,3,FALSE),0)</f>
        <v>0</v>
      </c>
      <c r="K6">
        <f>IF(K$3="HLH",VLOOKUP(DATE(YEAR(K$2)-2,MONTH(K$2),1),Rates_previous!$G$6:$O$29,3,FALSE),0)</f>
        <v>10.93</v>
      </c>
      <c r="L6">
        <f>IF(L$3="HLH",VLOOKUP(DATE(YEAR(L$2)-2,MONTH(L$2),1),Rates_previous!$G$6:$O$29,3,FALSE),0)</f>
        <v>0</v>
      </c>
      <c r="M6">
        <f>IF(M$3="HLH",VLOOKUP(DATE(YEAR(M$2)-2,MONTH(M$2),1),Rates_previous!$G$6:$O$29,3,FALSE),0)</f>
        <v>7.62</v>
      </c>
      <c r="N6">
        <f>IF(N$3="HLH",VLOOKUP(DATE(YEAR(N$2)-2,MONTH(N$2),1),Rates_previous!$G$6:$O$29,3,FALSE),0)</f>
        <v>0</v>
      </c>
      <c r="O6">
        <f>IF(O$3="HLH",VLOOKUP(DATE(YEAR(O$2)-2,MONTH(O$2),1),Rates_previous!$G$6:$O$29,3,FALSE),0)</f>
        <v>4.43</v>
      </c>
      <c r="P6">
        <f>IF(P$3="HLH",VLOOKUP(DATE(YEAR(P$2)-2,MONTH(P$2),1),Rates_previous!$G$6:$O$29,3,FALSE),0)</f>
        <v>0</v>
      </c>
      <c r="Q6">
        <f>IF(Q$3="HLH",VLOOKUP(DATE(YEAR(Q$2)-2,MONTH(Q$2),1),Rates_previous!$G$6:$O$29,3,FALSE),0)</f>
        <v>3.95</v>
      </c>
      <c r="R6">
        <f>IF(R$3="HLH",VLOOKUP(DATE(YEAR(R$2)-2,MONTH(R$2),1),Rates_previous!$G$6:$O$29,3,FALSE),0)</f>
        <v>0</v>
      </c>
      <c r="S6">
        <f>IF(S$3="HLH",VLOOKUP(DATE(YEAR(S$2)-2,MONTH(S$2),1),Rates_previous!$G$6:$O$29,3,FALSE),0)</f>
        <v>3.88</v>
      </c>
      <c r="T6">
        <f>IF(T$3="HLH",VLOOKUP(DATE(YEAR(T$2)-2,MONTH(T$2),1),Rates_previous!$G$6:$O$29,3,FALSE),0)</f>
        <v>0</v>
      </c>
      <c r="U6">
        <f>IF(U$3="HLH",VLOOKUP(DATE(YEAR(U$2)-2,MONTH(U$2),1),Rates_previous!$G$6:$O$29,3,FALSE),0)</f>
        <v>12.08</v>
      </c>
      <c r="V6">
        <f>IF(V$3="HLH",VLOOKUP(DATE(YEAR(V$2)-2,MONTH(V$2),1),Rates_previous!$G$6:$O$29,3,FALSE),0)</f>
        <v>0</v>
      </c>
      <c r="W6">
        <f>IF(W$3="HLH",VLOOKUP(DATE(YEAR(W$2)-2,MONTH(W$2),1),Rates_previous!$G$6:$O$29,3,FALSE),0)</f>
        <v>15.54</v>
      </c>
      <c r="X6">
        <f>IF(X$3="HLH",VLOOKUP(DATE(YEAR(X$2)-2,MONTH(X$2),1),Rates_previous!$G$6:$O$29,3,FALSE),0)</f>
        <v>0</v>
      </c>
      <c r="Y6">
        <f>IF(Y$3="HLH",VLOOKUP(DATE(YEAR(Y$2)-2,MONTH(Y$2),1),Rates_previous!$G$6:$O$29,3,FALSE),0)</f>
        <v>12.75</v>
      </c>
      <c r="Z6">
        <f>IF(Z$3="HLH",VLOOKUP(DATE(YEAR(Z$2)-2,MONTH(Z$2),1),Rates_previous!$G$6:$O$29,3,FALSE),0)</f>
        <v>0</v>
      </c>
      <c r="AA6">
        <f>IF(AA$3="HLH",VLOOKUP(DATE(YEAR(AA$2)-2,MONTH(AA$2),1),Rates_previous!$G$6:$O$29,3,FALSE),0)</f>
        <v>10.37</v>
      </c>
      <c r="AB6">
        <f>IF(AB$3="HLH",VLOOKUP(DATE(YEAR(AB$2)-2,MONTH(AB$2),1),Rates_previous!$G$6:$O$29,3,FALSE),0)</f>
        <v>0</v>
      </c>
      <c r="AC6">
        <f>IF(AC$3="HLH",VLOOKUP(DATE(YEAR(AC$2)-2,MONTH(AC$2),1),Rates_previous!$G$6:$O$29,3,FALSE),0)</f>
        <v>8.75</v>
      </c>
      <c r="AD6">
        <f>IF(AD$3="HLH",VLOOKUP(DATE(YEAR(AD$2)-2,MONTH(AD$2),1),Rates_previous!$G$6:$O$29,3,FALSE),0)</f>
        <v>0</v>
      </c>
      <c r="AE6">
        <f>IF(AE$3="HLH",VLOOKUP(DATE(YEAR(AE$2)-2,MONTH(AE$2),1),Rates_previous!$G$6:$O$29,3,FALSE),0)</f>
        <v>13.39</v>
      </c>
      <c r="AF6">
        <f>IF(AF$3="HLH",VLOOKUP(DATE(YEAR(AF$2)-2,MONTH(AF$2),1),Rates_previous!$G$6:$O$29,3,FALSE),0)</f>
        <v>0</v>
      </c>
      <c r="AG6">
        <f>IF(AG$3="HLH",VLOOKUP(DATE(YEAR(AG$2)-2,MONTH(AG$2),1),Rates_previous!$G$6:$O$29,3,FALSE),0)</f>
        <v>10.84</v>
      </c>
      <c r="AH6">
        <f>IF(AH$3="HLH",VLOOKUP(DATE(YEAR(AH$2)-2,MONTH(AH$2),1),Rates_previous!$G$6:$O$29,3,FALSE),0)</f>
        <v>0</v>
      </c>
      <c r="AI6">
        <f>IF(AI$3="HLH",VLOOKUP(DATE(YEAR(AI$2)-2,MONTH(AI$2),1),Rates_previous!$G$6:$O$29,3,FALSE),0)</f>
        <v>10.93</v>
      </c>
      <c r="AJ6">
        <f>IF(AJ$3="HLH",VLOOKUP(DATE(YEAR(AJ$2)-2,MONTH(AJ$2),1),Rates_previous!$G$6:$O$29,3,FALSE),0)</f>
        <v>0</v>
      </c>
      <c r="AK6">
        <f>IF(AK$3="HLH",VLOOKUP(DATE(YEAR(AK$2)-2,MONTH(AK$2),1),Rates_previous!$G$6:$O$29,3,FALSE),0)</f>
        <v>7.62</v>
      </c>
      <c r="AL6">
        <f>IF(AL$3="HLH",VLOOKUP(DATE(YEAR(AL$2)-2,MONTH(AL$2),1),Rates_previous!$G$6:$O$29,3,FALSE),0)</f>
        <v>0</v>
      </c>
      <c r="AM6">
        <f>IF(AM$3="HLH",VLOOKUP(DATE(YEAR(AM$2)-2,MONTH(AM$2),1),Rates_previous!$G$6:$O$29,3,FALSE),0)</f>
        <v>4.43</v>
      </c>
      <c r="AN6">
        <f>IF(AN$3="HLH",VLOOKUP(DATE(YEAR(AN$2)-2,MONTH(AN$2),1),Rates_previous!$G$6:$O$29,3,FALSE),0)</f>
        <v>0</v>
      </c>
      <c r="AO6">
        <f>IF(AO$3="HLH",VLOOKUP(DATE(YEAR(AO$2)-2,MONTH(AO$2),1),Rates_previous!$G$6:$O$29,3,FALSE),0)</f>
        <v>3.95</v>
      </c>
      <c r="AP6">
        <f>IF(AP$3="HLH",VLOOKUP(DATE(YEAR(AP$2)-2,MONTH(AP$2),1),Rates_previous!$G$6:$O$29,3,FALSE),0)</f>
        <v>0</v>
      </c>
      <c r="AQ6">
        <f>IF(AQ$3="HLH",VLOOKUP(DATE(YEAR(AQ$2)-2,MONTH(AQ$2),1),Rates_previous!$G$6:$O$29,3,FALSE),0)</f>
        <v>3.88</v>
      </c>
      <c r="AR6">
        <f>IF(AR$3="HLH",VLOOKUP(DATE(YEAR(AR$2)-2,MONTH(AR$2),1),Rates_previous!$G$6:$O$29,3,FALSE),0)</f>
        <v>0</v>
      </c>
      <c r="AS6">
        <f>IF(AS$3="HLH",VLOOKUP(DATE(YEAR(AS$2)-2,MONTH(AS$2),1),Rates_previous!$G$6:$O$29,3,FALSE),0)</f>
        <v>12.08</v>
      </c>
      <c r="AT6">
        <f>IF(AT$3="HLH",VLOOKUP(DATE(YEAR(AT$2)-2,MONTH(AT$2),1),Rates_previous!$G$6:$O$29,3,FALSE),0)</f>
        <v>0</v>
      </c>
      <c r="AU6">
        <f>IF(AU$3="HLH",VLOOKUP(DATE(YEAR(AU$2)-2,MONTH(AU$2),1),Rates_previous!$G$6:$O$29,3,FALSE),0)</f>
        <v>15.54</v>
      </c>
      <c r="AV6">
        <f>IF(AV$3="HLH",VLOOKUP(DATE(YEAR(AV$2)-2,MONTH(AV$2),1),Rates_previous!$G$6:$O$29,3,FALSE),0)</f>
        <v>0</v>
      </c>
      <c r="AW6">
        <f>IF(AW$3="HLH",VLOOKUP(DATE(YEAR(AW$2)-2,MONTH(AW$2),1),Rates_previous!$G$6:$O$29,3,FALSE),0)</f>
        <v>12.75</v>
      </c>
      <c r="AX6">
        <f>IF(AX$3="HLH",VLOOKUP(DATE(YEAR(AX$2)-2,MONTH(AX$2),1),Rates_previous!$G$6:$O$29,3,FALSE),0)</f>
        <v>0</v>
      </c>
      <c r="AY6" s="272">
        <f>+AVERAGE(AA6,C6)</f>
        <v>10.37</v>
      </c>
      <c r="AZ6" s="272">
        <f t="shared" ref="AZ6" si="50">+AVERAGE(AB6,D6)</f>
        <v>0</v>
      </c>
      <c r="BA6" s="272">
        <f t="shared" ref="BA6" si="51">+AVERAGE(AC6,E6)</f>
        <v>8.75</v>
      </c>
      <c r="BB6" s="272">
        <f t="shared" ref="BB6" si="52">+AVERAGE(AD6,F6)</f>
        <v>0</v>
      </c>
      <c r="BC6" s="272">
        <f t="shared" ref="BC6" si="53">+AVERAGE(AE6,G6)</f>
        <v>13.39</v>
      </c>
      <c r="BD6" s="272">
        <f t="shared" ref="BD6" si="54">+AVERAGE(AF6,H6)</f>
        <v>0</v>
      </c>
      <c r="BE6" s="272">
        <f t="shared" ref="BE6" si="55">+AVERAGE(AG6,I6)</f>
        <v>10.84</v>
      </c>
      <c r="BF6" s="272">
        <f t="shared" ref="BF6" si="56">+AVERAGE(AH6,J6)</f>
        <v>0</v>
      </c>
      <c r="BG6" s="272">
        <f t="shared" ref="BG6" si="57">+AVERAGE(AI6,K6)</f>
        <v>10.93</v>
      </c>
      <c r="BH6" s="272">
        <f t="shared" ref="BH6" si="58">+AVERAGE(AJ6,L6)</f>
        <v>0</v>
      </c>
      <c r="BI6" s="272">
        <f t="shared" ref="BI6" si="59">+AVERAGE(AK6,M6)</f>
        <v>7.62</v>
      </c>
      <c r="BJ6" s="272">
        <f t="shared" ref="BJ6" si="60">+AVERAGE(AL6,N6)</f>
        <v>0</v>
      </c>
      <c r="BK6" s="272">
        <f t="shared" ref="BK6" si="61">+AVERAGE(AM6,O6)</f>
        <v>4.43</v>
      </c>
      <c r="BL6" s="272">
        <f t="shared" ref="BL6" si="62">+AVERAGE(AN6,P6)</f>
        <v>0</v>
      </c>
      <c r="BM6" s="272">
        <f t="shared" ref="BM6" si="63">+AVERAGE(AO6,Q6)</f>
        <v>3.95</v>
      </c>
      <c r="BN6" s="272">
        <f t="shared" ref="BN6" si="64">+AVERAGE(AP6,R6)</f>
        <v>0</v>
      </c>
      <c r="BO6" s="272">
        <f t="shared" ref="BO6" si="65">+AVERAGE(AQ6,S6)</f>
        <v>3.88</v>
      </c>
      <c r="BP6" s="272">
        <f t="shared" ref="BP6" si="66">+AVERAGE(AR6,T6)</f>
        <v>0</v>
      </c>
      <c r="BQ6" s="272">
        <f t="shared" ref="BQ6" si="67">+AVERAGE(AS6,U6)</f>
        <v>12.08</v>
      </c>
      <c r="BR6" s="272">
        <f t="shared" ref="BR6" si="68">+AVERAGE(AT6,V6)</f>
        <v>0</v>
      </c>
      <c r="BS6" s="272">
        <f t="shared" ref="BS6" si="69">+AVERAGE(AU6,W6)</f>
        <v>15.54</v>
      </c>
      <c r="BT6" s="272">
        <f t="shared" ref="BT6" si="70">+AVERAGE(AV6,X6)</f>
        <v>0</v>
      </c>
      <c r="BU6" s="272">
        <f t="shared" ref="BU6" si="71">+AVERAGE(AW6,Y6)</f>
        <v>12.75</v>
      </c>
      <c r="BV6" s="272">
        <f t="shared" ref="BV6" si="72">+AVERAGE(AX6,Z6)</f>
        <v>0</v>
      </c>
    </row>
    <row r="7" spans="2:74">
      <c r="B7" t="s">
        <v>212</v>
      </c>
      <c r="C7">
        <f>IF(C$3="HLH",VLOOKUP(DATE(YEAR(C$2),MONTH(C$2),1),Rates_current!$H$6:$P$41,3,FALSE),0)</f>
        <v>13.81</v>
      </c>
      <c r="D7">
        <f>IF(D$3="HLH",VLOOKUP(DATE(YEAR(D$2),MONTH(D$2),1),Rates_current!$H$6:$P$41,3,FALSE),0)</f>
        <v>0</v>
      </c>
      <c r="E7">
        <f>IF(E$3="HLH",VLOOKUP(DATE(YEAR(E$2),MONTH(E$2),1),Rates_current!$H$6:$P$41,3,FALSE),0)</f>
        <v>10.78</v>
      </c>
      <c r="F7">
        <f>IF(F$3="HLH",VLOOKUP(DATE(YEAR(F$2),MONTH(F$2),1),Rates_current!$H$6:$P$41,3,FALSE),0)</f>
        <v>0</v>
      </c>
      <c r="G7">
        <f>IF(G$3="HLH",VLOOKUP(DATE(YEAR(G$2),MONTH(G$2),1),Rates_current!$H$6:$P$41,3,FALSE),0)</f>
        <v>12.99</v>
      </c>
      <c r="H7">
        <f>IF(H$3="HLH",VLOOKUP(DATE(YEAR(H$2),MONTH(H$2),1),Rates_current!$H$6:$P$41,3,FALSE),0)</f>
        <v>0</v>
      </c>
      <c r="I7">
        <f>IF(I$3="HLH",VLOOKUP(DATE(YEAR(I$2),MONTH(I$2),1),Rates_current!$H$6:$P$41,3,FALSE),0)</f>
        <v>11.88</v>
      </c>
      <c r="J7">
        <f>IF(J$3="HLH",VLOOKUP(DATE(YEAR(J$2),MONTH(J$2),1),Rates_current!$H$6:$P$41,3,FALSE),0)</f>
        <v>0</v>
      </c>
      <c r="K7">
        <f>IF(K$3="HLH",VLOOKUP(DATE(YEAR(K$2),MONTH(K$2),1),Rates_current!$H$6:$P$41,3,FALSE),0)</f>
        <v>12.39</v>
      </c>
      <c r="L7">
        <f>IF(L$3="HLH",VLOOKUP(DATE(YEAR(L$2),MONTH(L$2),1),Rates_current!$H$6:$P$41,3,FALSE),0)</f>
        <v>0</v>
      </c>
      <c r="M7">
        <f>IF(M$3="HLH",VLOOKUP(DATE(YEAR(M$2),MONTH(M$2),1),Rates_current!$H$6:$P$41,3,FALSE),0)</f>
        <v>7.97</v>
      </c>
      <c r="N7">
        <f>IF(N$3="HLH",VLOOKUP(DATE(YEAR(N$2),MONTH(N$2),1),Rates_current!$H$6:$P$41,3,FALSE),0)</f>
        <v>0</v>
      </c>
      <c r="O7">
        <f>IF(O$3="HLH",VLOOKUP(DATE(YEAR(O$2),MONTH(O$2),1),Rates_current!$H$6:$P$41,3,FALSE),0)</f>
        <v>6.09</v>
      </c>
      <c r="P7">
        <f>IF(P$3="HLH",VLOOKUP(DATE(YEAR(P$2),MONTH(P$2),1),Rates_current!$H$6:$P$41,3,FALSE),0)</f>
        <v>0</v>
      </c>
      <c r="Q7">
        <f>IF(Q$3="HLH",VLOOKUP(DATE(YEAR(Q$2),MONTH(Q$2),1),Rates_current!$H$6:$P$41,3,FALSE),0)</f>
        <v>2.35</v>
      </c>
      <c r="R7">
        <f>IF(R$3="HLH",VLOOKUP(DATE(YEAR(R$2),MONTH(R$2),1),Rates_current!$H$6:$P$41,3,FALSE),0)</f>
        <v>0</v>
      </c>
      <c r="S7">
        <f>IF(S$3="HLH",VLOOKUP(DATE(YEAR(S$2),MONTH(S$2),1),Rates_current!$H$6:$P$41,3,FALSE),0)</f>
        <v>4.12</v>
      </c>
      <c r="T7">
        <f>IF(T$3="HLH",VLOOKUP(DATE(YEAR(T$2),MONTH(T$2),1),Rates_current!$H$6:$P$41,3,FALSE),0)</f>
        <v>0</v>
      </c>
      <c r="U7">
        <f>IF(U$3="HLH",VLOOKUP(DATE(YEAR(U$2),MONTH(U$2),1),Rates_current!$H$6:$P$41,3,FALSE),0)</f>
        <v>13.91</v>
      </c>
      <c r="V7">
        <f>IF(V$3="HLH",VLOOKUP(DATE(YEAR(V$2),MONTH(V$2),1),Rates_current!$H$6:$P$41,3,FALSE),0)</f>
        <v>0</v>
      </c>
      <c r="W7">
        <f>IF(W$3="HLH",VLOOKUP(DATE(YEAR(W$2),MONTH(W$2),1),Rates_current!$H$6:$P$41,3,FALSE),0)</f>
        <v>14.67</v>
      </c>
      <c r="X7">
        <f>IF(X$3="HLH",VLOOKUP(DATE(YEAR(X$2),MONTH(X$2),1),Rates_current!$H$6:$P$41,3,FALSE),0)</f>
        <v>0</v>
      </c>
      <c r="Y7">
        <f>IF(Y$3="HLH",VLOOKUP(DATE(YEAR(Y$2),MONTH(Y$2),1),Rates_current!$H$6:$P$41,3,FALSE),0)</f>
        <v>16.510000000000002</v>
      </c>
      <c r="Z7">
        <f>IF(Z$3="HLH",VLOOKUP(DATE(YEAR(Z$2),MONTH(Z$2),1),Rates_current!$H$6:$P$41,3,FALSE),0)</f>
        <v>0</v>
      </c>
      <c r="AA7">
        <f>IF(AA$3="HLH",VLOOKUP(DATE(YEAR(AA$2),MONTH(AA$2),1),Rates_current!$H$6:$P$41,3,FALSE),0)</f>
        <v>13.81</v>
      </c>
      <c r="AB7">
        <f>IF(AB$3="HLH",VLOOKUP(DATE(YEAR(AB$2),MONTH(AB$2),1),Rates_current!$H$6:$P$41,3,FALSE),0)</f>
        <v>0</v>
      </c>
      <c r="AC7">
        <f>IF(AC$3="HLH",VLOOKUP(DATE(YEAR(AC$2),MONTH(AC$2),1),Rates_current!$H$6:$P$41,3,FALSE),0)</f>
        <v>10.78</v>
      </c>
      <c r="AD7">
        <f>IF(AD$3="HLH",VLOOKUP(DATE(YEAR(AD$2),MONTH(AD$2),1),Rates_current!$H$6:$P$41,3,FALSE),0)</f>
        <v>0</v>
      </c>
      <c r="AE7">
        <f>IF(AE$3="HLH",VLOOKUP(DATE(YEAR(AE$2),MONTH(AE$2),1),Rates_current!$H$6:$P$41,3,FALSE),0)</f>
        <v>12.99</v>
      </c>
      <c r="AF7">
        <f>IF(AF$3="HLH",VLOOKUP(DATE(YEAR(AF$2),MONTH(AF$2),1),Rates_current!$H$6:$P$41,3,FALSE),0)</f>
        <v>0</v>
      </c>
      <c r="AG7">
        <f>IF(AG$3="HLH",VLOOKUP(DATE(YEAR(AG$2),MONTH(AG$2),1),Rates_current!$H$6:$P$41,3,FALSE),0)</f>
        <v>11.88</v>
      </c>
      <c r="AH7">
        <f>IF(AH$3="HLH",VLOOKUP(DATE(YEAR(AH$2),MONTH(AH$2),1),Rates_current!$H$6:$P$41,3,FALSE),0)</f>
        <v>0</v>
      </c>
      <c r="AI7">
        <f>IF(AI$3="HLH",VLOOKUP(DATE(YEAR(AI$2),MONTH(AI$2),1),Rates_current!$H$6:$P$41,3,FALSE),0)</f>
        <v>12.39</v>
      </c>
      <c r="AJ7">
        <f>IF(AJ$3="HLH",VLOOKUP(DATE(YEAR(AJ$2),MONTH(AJ$2),1),Rates_current!$H$6:$P$41,3,FALSE),0)</f>
        <v>0</v>
      </c>
      <c r="AK7">
        <f>IF(AK$3="HLH",VLOOKUP(DATE(YEAR(AK$2),MONTH(AK$2),1),Rates_current!$H$6:$P$41,3,FALSE),0)</f>
        <v>7.97</v>
      </c>
      <c r="AL7">
        <f>IF(AL$3="HLH",VLOOKUP(DATE(YEAR(AL$2),MONTH(AL$2),1),Rates_current!$H$6:$P$41,3,FALSE),0)</f>
        <v>0</v>
      </c>
      <c r="AM7">
        <f>IF(AM$3="HLH",VLOOKUP(DATE(YEAR(AM$2),MONTH(AM$2),1),Rates_current!$H$6:$P$41,3,FALSE),0)</f>
        <v>6.09</v>
      </c>
      <c r="AN7">
        <f>IF(AN$3="HLH",VLOOKUP(DATE(YEAR(AN$2),MONTH(AN$2),1),Rates_current!$H$6:$P$41,3,FALSE),0)</f>
        <v>0</v>
      </c>
      <c r="AO7">
        <f>IF(AO$3="HLH",VLOOKUP(DATE(YEAR(AO$2),MONTH(AO$2),1),Rates_current!$H$6:$P$41,3,FALSE),0)</f>
        <v>2.35</v>
      </c>
      <c r="AP7">
        <f>IF(AP$3="HLH",VLOOKUP(DATE(YEAR(AP$2),MONTH(AP$2),1),Rates_current!$H$6:$P$41,3,FALSE),0)</f>
        <v>0</v>
      </c>
      <c r="AQ7">
        <f>IF(AQ$3="HLH",VLOOKUP(DATE(YEAR(AQ$2),MONTH(AQ$2),1),Rates_current!$H$6:$P$41,3,FALSE),0)</f>
        <v>4.12</v>
      </c>
      <c r="AR7">
        <f>IF(AR$3="HLH",VLOOKUP(DATE(YEAR(AR$2),MONTH(AR$2),1),Rates_current!$H$6:$P$41,3,FALSE),0)</f>
        <v>0</v>
      </c>
      <c r="AS7">
        <f>IF(AS$3="HLH",VLOOKUP(DATE(YEAR(AS$2),MONTH(AS$2),1),Rates_current!$H$6:$P$41,3,FALSE),0)</f>
        <v>13.91</v>
      </c>
      <c r="AT7">
        <f>IF(AT$3="HLH",VLOOKUP(DATE(YEAR(AT$2),MONTH(AT$2),1),Rates_current!$H$6:$P$41,3,FALSE),0)</f>
        <v>0</v>
      </c>
      <c r="AU7">
        <f>IF(AU$3="HLH",VLOOKUP(DATE(YEAR(AU$2),MONTH(AU$2),1),Rates_current!$H$6:$P$41,3,FALSE),0)</f>
        <v>14.67</v>
      </c>
      <c r="AV7">
        <f>IF(AV$3="HLH",VLOOKUP(DATE(YEAR(AV$2),MONTH(AV$2),1),Rates_current!$H$6:$P$41,3,FALSE),0)</f>
        <v>0</v>
      </c>
      <c r="AW7">
        <f>IF(AW$3="HLH",VLOOKUP(DATE(YEAR(AW$2),MONTH(AW$2),1),Rates_current!$H$6:$P$41,3,FALSE),0)</f>
        <v>16.510000000000002</v>
      </c>
      <c r="AX7">
        <f>IF(AX$3="HLH",VLOOKUP(DATE(YEAR(AX$2),MONTH(AX$2),1),Rates_current!$H$6:$P$41,3,FALSE),0)</f>
        <v>0</v>
      </c>
      <c r="AY7">
        <f>IF(AY$3="HLH",VLOOKUP(DATE(YEAR(AY$2),MONTH(AY$2),1),Rates_current!$H$6:$P$41,3,FALSE),0)</f>
        <v>13.81</v>
      </c>
      <c r="AZ7">
        <f>IF(AZ$3="HLH",VLOOKUP(DATE(YEAR(AZ$2),MONTH(AZ$2),1),Rates_current!$H$6:$P$41,3,FALSE),0)</f>
        <v>0</v>
      </c>
      <c r="BA7">
        <f>IF(BA$3="HLH",VLOOKUP(DATE(YEAR(BA$2),MONTH(BA$2),1),Rates_current!$H$6:$P$41,3,FALSE),0)</f>
        <v>10.78</v>
      </c>
      <c r="BB7">
        <f>IF(BB$3="HLH",VLOOKUP(DATE(YEAR(BB$2),MONTH(BB$2),1),Rates_current!$H$6:$P$41,3,FALSE),0)</f>
        <v>0</v>
      </c>
      <c r="BC7">
        <f>IF(BC$3="HLH",VLOOKUP(DATE(YEAR(BC$2),MONTH(BC$2),1),Rates_current!$H$6:$P$41,3,FALSE),0)</f>
        <v>12.99</v>
      </c>
      <c r="BD7">
        <f>IF(BD$3="HLH",VLOOKUP(DATE(YEAR(BD$2),MONTH(BD$2),1),Rates_current!$H$6:$P$41,3,FALSE),0)</f>
        <v>0</v>
      </c>
      <c r="BE7">
        <f>IF(BE$3="HLH",VLOOKUP(DATE(YEAR(BE$2),MONTH(BE$2),1),Rates_current!$H$6:$P$41,3,FALSE),0)</f>
        <v>11.88</v>
      </c>
      <c r="BF7">
        <f>IF(BF$3="HLH",VLOOKUP(DATE(YEAR(BF$2),MONTH(BF$2),1),Rates_current!$H$6:$P$41,3,FALSE),0)</f>
        <v>0</v>
      </c>
      <c r="BG7">
        <f>IF(BG$3="HLH",VLOOKUP(DATE(YEAR(BG$2),MONTH(BG$2),1),Rates_current!$H$6:$P$41,3,FALSE),0)</f>
        <v>12.39</v>
      </c>
      <c r="BH7">
        <f>IF(BH$3="HLH",VLOOKUP(DATE(YEAR(BH$2),MONTH(BH$2),1),Rates_current!$H$6:$P$41,3,FALSE),0)</f>
        <v>0</v>
      </c>
      <c r="BI7">
        <f>IF(BI$3="HLH",VLOOKUP(DATE(YEAR(BI$2),MONTH(BI$2),1),Rates_current!$H$6:$P$41,3,FALSE),0)</f>
        <v>7.97</v>
      </c>
      <c r="BJ7">
        <f>IF(BJ$3="HLH",VLOOKUP(DATE(YEAR(BJ$2),MONTH(BJ$2),1),Rates_current!$H$6:$P$41,3,FALSE),0)</f>
        <v>0</v>
      </c>
      <c r="BK7">
        <f>IF(BK$3="HLH",VLOOKUP(DATE(YEAR(BK$2),MONTH(BK$2),1),Rates_current!$H$6:$P$41,3,FALSE),0)</f>
        <v>6.09</v>
      </c>
      <c r="BL7">
        <f>IF(BL$3="HLH",VLOOKUP(DATE(YEAR(BL$2),MONTH(BL$2),1),Rates_current!$H$6:$P$41,3,FALSE),0)</f>
        <v>0</v>
      </c>
      <c r="BM7">
        <f>IF(BM$3="HLH",VLOOKUP(DATE(YEAR(BM$2),MONTH(BM$2),1),Rates_current!$H$6:$P$41,3,FALSE),0)</f>
        <v>2.35</v>
      </c>
      <c r="BN7">
        <f>IF(BN$3="HLH",VLOOKUP(DATE(YEAR(BN$2),MONTH(BN$2),1),Rates_current!$H$6:$P$41,3,FALSE),0)</f>
        <v>0</v>
      </c>
      <c r="BO7">
        <f>IF(BO$3="HLH",VLOOKUP(DATE(YEAR(BO$2),MONTH(BO$2),1),Rates_current!$H$6:$P$41,3,FALSE),0)</f>
        <v>4.12</v>
      </c>
      <c r="BP7">
        <f>IF(BP$3="HLH",VLOOKUP(DATE(YEAR(BP$2),MONTH(BP$2),1),Rates_current!$H$6:$P$41,3,FALSE),0)</f>
        <v>0</v>
      </c>
      <c r="BQ7">
        <f>IF(BQ$3="HLH",VLOOKUP(DATE(YEAR(BQ$2),MONTH(BQ$2),1),Rates_current!$H$6:$P$41,3,FALSE),0)</f>
        <v>13.91</v>
      </c>
      <c r="BR7">
        <f>IF(BR$3="HLH",VLOOKUP(DATE(YEAR(BR$2),MONTH(BR$2),1),Rates_current!$H$6:$P$41,3,FALSE),0)</f>
        <v>0</v>
      </c>
      <c r="BS7">
        <f>IF(BS$3="HLH",VLOOKUP(DATE(YEAR(BS$2),MONTH(BS$2),1),Rates_current!$H$6:$P$41,3,FALSE),0)</f>
        <v>14.67</v>
      </c>
      <c r="BT7">
        <f>IF(BT$3="HLH",VLOOKUP(DATE(YEAR(BT$2),MONTH(BT$2),1),Rates_current!$H$6:$P$41,3,FALSE),0)</f>
        <v>0</v>
      </c>
      <c r="BU7">
        <f>IF(BU$3="HLH",VLOOKUP(DATE(YEAR(BU$2),MONTH(BU$2),1),Rates_current!$H$6:$P$41,3,FALSE),0)</f>
        <v>16.510000000000002</v>
      </c>
      <c r="BV7">
        <f>IF(BV$3="HLH",VLOOKUP(DATE(YEAR(BV$2),MONTH(BV$2),1),Rates_current!$H$6:$P$41,3,FALSE),0)</f>
        <v>0</v>
      </c>
    </row>
    <row r="9" spans="2:74">
      <c r="C9" s="86">
        <f t="shared" ref="C9:N9" si="73">INDEX($C$2:$BV$2,1,C12)</f>
        <v>45931</v>
      </c>
      <c r="D9" s="86">
        <f t="shared" si="73"/>
        <v>45962</v>
      </c>
      <c r="E9" s="86">
        <f t="shared" si="73"/>
        <v>45992</v>
      </c>
      <c r="F9" s="86">
        <f t="shared" si="73"/>
        <v>46023</v>
      </c>
      <c r="G9" s="86">
        <f t="shared" si="73"/>
        <v>46054</v>
      </c>
      <c r="H9" s="86">
        <f t="shared" si="73"/>
        <v>46082</v>
      </c>
      <c r="I9" s="86">
        <f t="shared" si="73"/>
        <v>46113</v>
      </c>
      <c r="J9" s="86">
        <f t="shared" si="73"/>
        <v>46143</v>
      </c>
      <c r="K9" s="86">
        <f t="shared" si="73"/>
        <v>46174</v>
      </c>
      <c r="L9" s="86">
        <f t="shared" si="73"/>
        <v>46204</v>
      </c>
      <c r="M9" s="86">
        <f t="shared" si="73"/>
        <v>46235</v>
      </c>
      <c r="N9" s="86">
        <f t="shared" si="73"/>
        <v>46266</v>
      </c>
      <c r="O9" s="86">
        <f t="shared" ref="O9:AL9" si="74">INDEX($C$2:$BV$2,1,O12)</f>
        <v>46296</v>
      </c>
      <c r="P9" s="86">
        <f t="shared" si="74"/>
        <v>46327</v>
      </c>
      <c r="Q9" s="86">
        <f t="shared" si="74"/>
        <v>46357</v>
      </c>
      <c r="R9" s="86">
        <f t="shared" si="74"/>
        <v>46388</v>
      </c>
      <c r="S9" s="86">
        <f t="shared" si="74"/>
        <v>46419</v>
      </c>
      <c r="T9" s="86">
        <f t="shared" si="74"/>
        <v>46447</v>
      </c>
      <c r="U9" s="86">
        <f t="shared" si="74"/>
        <v>46478</v>
      </c>
      <c r="V9" s="86">
        <f t="shared" si="74"/>
        <v>46508</v>
      </c>
      <c r="W9" s="86">
        <f t="shared" si="74"/>
        <v>46539</v>
      </c>
      <c r="X9" s="86">
        <f t="shared" si="74"/>
        <v>46569</v>
      </c>
      <c r="Y9" s="86">
        <f t="shared" si="74"/>
        <v>46600</v>
      </c>
      <c r="Z9" s="86">
        <f t="shared" si="74"/>
        <v>46631</v>
      </c>
      <c r="AA9" s="86">
        <f t="shared" si="74"/>
        <v>46661</v>
      </c>
      <c r="AB9" s="86">
        <f t="shared" si="74"/>
        <v>46692</v>
      </c>
      <c r="AC9" s="86">
        <f t="shared" si="74"/>
        <v>46722</v>
      </c>
      <c r="AD9" s="86">
        <f t="shared" si="74"/>
        <v>46753</v>
      </c>
      <c r="AE9" s="86">
        <f t="shared" si="74"/>
        <v>46784</v>
      </c>
      <c r="AF9" s="86">
        <f t="shared" si="74"/>
        <v>46813</v>
      </c>
      <c r="AG9" s="86">
        <f t="shared" si="74"/>
        <v>46844</v>
      </c>
      <c r="AH9" s="86">
        <f t="shared" si="74"/>
        <v>46874</v>
      </c>
      <c r="AI9" s="86">
        <f t="shared" si="74"/>
        <v>46905</v>
      </c>
      <c r="AJ9" s="86">
        <f t="shared" si="74"/>
        <v>46935</v>
      </c>
      <c r="AK9" s="86">
        <f t="shared" si="74"/>
        <v>46966</v>
      </c>
      <c r="AL9" s="86">
        <f t="shared" si="74"/>
        <v>46997</v>
      </c>
    </row>
    <row r="10" spans="2:74">
      <c r="B10" t="s">
        <v>211</v>
      </c>
      <c r="C10">
        <f t="shared" ref="C10:N10" si="75">INDEX($C$6:$BV$6,1,C12)</f>
        <v>10.37</v>
      </c>
      <c r="D10">
        <f t="shared" si="75"/>
        <v>8.75</v>
      </c>
      <c r="E10">
        <f t="shared" si="75"/>
        <v>13.39</v>
      </c>
      <c r="F10">
        <f t="shared" si="75"/>
        <v>10.84</v>
      </c>
      <c r="G10">
        <f t="shared" si="75"/>
        <v>10.93</v>
      </c>
      <c r="H10">
        <f t="shared" si="75"/>
        <v>7.62</v>
      </c>
      <c r="I10">
        <f t="shared" si="75"/>
        <v>4.43</v>
      </c>
      <c r="J10">
        <f t="shared" si="75"/>
        <v>3.95</v>
      </c>
      <c r="K10">
        <f t="shared" si="75"/>
        <v>3.88</v>
      </c>
      <c r="L10">
        <f t="shared" si="75"/>
        <v>12.08</v>
      </c>
      <c r="M10">
        <f t="shared" si="75"/>
        <v>15.54</v>
      </c>
      <c r="N10">
        <f t="shared" si="75"/>
        <v>12.75</v>
      </c>
      <c r="O10">
        <f t="shared" ref="O10:AL10" si="76">INDEX($C$6:$BV$6,1,O12)</f>
        <v>10.37</v>
      </c>
      <c r="P10">
        <f t="shared" si="76"/>
        <v>8.75</v>
      </c>
      <c r="Q10">
        <f t="shared" si="76"/>
        <v>13.39</v>
      </c>
      <c r="R10">
        <f t="shared" si="76"/>
        <v>10.84</v>
      </c>
      <c r="S10">
        <f t="shared" si="76"/>
        <v>10.93</v>
      </c>
      <c r="T10">
        <f t="shared" si="76"/>
        <v>7.62</v>
      </c>
      <c r="U10">
        <f t="shared" si="76"/>
        <v>4.43</v>
      </c>
      <c r="V10">
        <f t="shared" si="76"/>
        <v>3.95</v>
      </c>
      <c r="W10">
        <f t="shared" si="76"/>
        <v>3.88</v>
      </c>
      <c r="X10">
        <f t="shared" si="76"/>
        <v>12.08</v>
      </c>
      <c r="Y10">
        <f t="shared" si="76"/>
        <v>15.54</v>
      </c>
      <c r="Z10">
        <f t="shared" si="76"/>
        <v>12.75</v>
      </c>
      <c r="AA10">
        <f t="shared" si="76"/>
        <v>10.37</v>
      </c>
      <c r="AB10">
        <f t="shared" si="76"/>
        <v>8.75</v>
      </c>
      <c r="AC10">
        <f t="shared" si="76"/>
        <v>13.39</v>
      </c>
      <c r="AD10">
        <f t="shared" si="76"/>
        <v>10.84</v>
      </c>
      <c r="AE10">
        <f t="shared" si="76"/>
        <v>10.93</v>
      </c>
      <c r="AF10">
        <f t="shared" si="76"/>
        <v>7.62</v>
      </c>
      <c r="AG10">
        <f t="shared" si="76"/>
        <v>4.43</v>
      </c>
      <c r="AH10">
        <f t="shared" si="76"/>
        <v>3.95</v>
      </c>
      <c r="AI10">
        <f t="shared" si="76"/>
        <v>3.88</v>
      </c>
      <c r="AJ10">
        <f t="shared" si="76"/>
        <v>12.08</v>
      </c>
      <c r="AK10">
        <f t="shared" si="76"/>
        <v>15.54</v>
      </c>
      <c r="AL10">
        <f t="shared" si="76"/>
        <v>12.75</v>
      </c>
    </row>
    <row r="11" spans="2:74">
      <c r="B11" t="s">
        <v>212</v>
      </c>
      <c r="C11">
        <f t="shared" ref="C11:N11" si="77">INDEX($C$7:$BV$7,1,C12)</f>
        <v>13.81</v>
      </c>
      <c r="D11">
        <f t="shared" si="77"/>
        <v>10.78</v>
      </c>
      <c r="E11">
        <f t="shared" si="77"/>
        <v>12.99</v>
      </c>
      <c r="F11">
        <f t="shared" si="77"/>
        <v>11.88</v>
      </c>
      <c r="G11">
        <f t="shared" si="77"/>
        <v>12.39</v>
      </c>
      <c r="H11">
        <f t="shared" si="77"/>
        <v>7.97</v>
      </c>
      <c r="I11">
        <f t="shared" si="77"/>
        <v>6.09</v>
      </c>
      <c r="J11">
        <f t="shared" si="77"/>
        <v>2.35</v>
      </c>
      <c r="K11">
        <f t="shared" si="77"/>
        <v>4.12</v>
      </c>
      <c r="L11">
        <f t="shared" si="77"/>
        <v>13.91</v>
      </c>
      <c r="M11">
        <f t="shared" si="77"/>
        <v>14.67</v>
      </c>
      <c r="N11">
        <f t="shared" si="77"/>
        <v>16.510000000000002</v>
      </c>
      <c r="O11">
        <f t="shared" ref="O11:AL11" si="78">INDEX($C$7:$BV$7,1,O12)</f>
        <v>13.81</v>
      </c>
      <c r="P11">
        <f t="shared" si="78"/>
        <v>10.78</v>
      </c>
      <c r="Q11">
        <f t="shared" si="78"/>
        <v>12.99</v>
      </c>
      <c r="R11">
        <f t="shared" si="78"/>
        <v>11.88</v>
      </c>
      <c r="S11">
        <f t="shared" si="78"/>
        <v>12.39</v>
      </c>
      <c r="T11">
        <f t="shared" si="78"/>
        <v>7.97</v>
      </c>
      <c r="U11">
        <f t="shared" si="78"/>
        <v>6.09</v>
      </c>
      <c r="V11">
        <f t="shared" si="78"/>
        <v>2.35</v>
      </c>
      <c r="W11">
        <f t="shared" si="78"/>
        <v>4.12</v>
      </c>
      <c r="X11">
        <f t="shared" si="78"/>
        <v>13.91</v>
      </c>
      <c r="Y11">
        <f t="shared" si="78"/>
        <v>14.67</v>
      </c>
      <c r="Z11">
        <f t="shared" si="78"/>
        <v>16.510000000000002</v>
      </c>
      <c r="AA11">
        <f t="shared" si="78"/>
        <v>13.81</v>
      </c>
      <c r="AB11">
        <f t="shared" si="78"/>
        <v>10.78</v>
      </c>
      <c r="AC11">
        <f t="shared" si="78"/>
        <v>12.99</v>
      </c>
      <c r="AD11">
        <f t="shared" si="78"/>
        <v>11.88</v>
      </c>
      <c r="AE11">
        <f t="shared" si="78"/>
        <v>12.39</v>
      </c>
      <c r="AF11">
        <f t="shared" si="78"/>
        <v>7.97</v>
      </c>
      <c r="AG11">
        <f t="shared" si="78"/>
        <v>6.09</v>
      </c>
      <c r="AH11">
        <f t="shared" si="78"/>
        <v>2.35</v>
      </c>
      <c r="AI11">
        <f t="shared" si="78"/>
        <v>4.12</v>
      </c>
      <c r="AJ11">
        <f t="shared" si="78"/>
        <v>13.91</v>
      </c>
      <c r="AK11">
        <f t="shared" si="78"/>
        <v>14.67</v>
      </c>
      <c r="AL11">
        <f t="shared" si="78"/>
        <v>16.510000000000002</v>
      </c>
    </row>
    <row r="12" spans="2:74">
      <c r="C12" s="113">
        <v>1</v>
      </c>
      <c r="D12" s="113">
        <v>3</v>
      </c>
      <c r="E12" s="113">
        <f>D12+2</f>
        <v>5</v>
      </c>
      <c r="F12" s="113">
        <f t="shared" ref="F12:N12" si="79">E12+2</f>
        <v>7</v>
      </c>
      <c r="G12" s="113">
        <f t="shared" si="79"/>
        <v>9</v>
      </c>
      <c r="H12" s="113">
        <f t="shared" si="79"/>
        <v>11</v>
      </c>
      <c r="I12" s="113">
        <f t="shared" si="79"/>
        <v>13</v>
      </c>
      <c r="J12" s="113">
        <f t="shared" si="79"/>
        <v>15</v>
      </c>
      <c r="K12" s="113">
        <f t="shared" si="79"/>
        <v>17</v>
      </c>
      <c r="L12" s="113">
        <f t="shared" si="79"/>
        <v>19</v>
      </c>
      <c r="M12" s="113">
        <f t="shared" si="79"/>
        <v>21</v>
      </c>
      <c r="N12" s="113">
        <f t="shared" si="79"/>
        <v>23</v>
      </c>
      <c r="O12" s="113">
        <f t="shared" ref="O12" si="80">N12+2</f>
        <v>25</v>
      </c>
      <c r="P12" s="113">
        <f t="shared" ref="P12" si="81">O12+2</f>
        <v>27</v>
      </c>
      <c r="Q12" s="113">
        <f t="shared" ref="Q12" si="82">P12+2</f>
        <v>29</v>
      </c>
      <c r="R12" s="113">
        <f t="shared" ref="R12" si="83">Q12+2</f>
        <v>31</v>
      </c>
      <c r="S12" s="113">
        <f t="shared" ref="S12" si="84">R12+2</f>
        <v>33</v>
      </c>
      <c r="T12" s="113">
        <f t="shared" ref="T12" si="85">S12+2</f>
        <v>35</v>
      </c>
      <c r="U12" s="113">
        <f t="shared" ref="U12" si="86">T12+2</f>
        <v>37</v>
      </c>
      <c r="V12" s="113">
        <f t="shared" ref="V12" si="87">U12+2</f>
        <v>39</v>
      </c>
      <c r="W12" s="113">
        <f t="shared" ref="W12" si="88">V12+2</f>
        <v>41</v>
      </c>
      <c r="X12" s="113">
        <f t="shared" ref="X12" si="89">W12+2</f>
        <v>43</v>
      </c>
      <c r="Y12" s="113">
        <f t="shared" ref="Y12" si="90">X12+2</f>
        <v>45</v>
      </c>
      <c r="Z12" s="113">
        <f t="shared" ref="Z12" si="91">Y12+2</f>
        <v>47</v>
      </c>
      <c r="AA12" s="113">
        <f t="shared" ref="AA12" si="92">Z12+2</f>
        <v>49</v>
      </c>
      <c r="AB12" s="113">
        <f t="shared" ref="AB12" si="93">AA12+2</f>
        <v>51</v>
      </c>
      <c r="AC12" s="113">
        <f t="shared" ref="AC12" si="94">AB12+2</f>
        <v>53</v>
      </c>
      <c r="AD12" s="113">
        <f t="shared" ref="AD12" si="95">AC12+2</f>
        <v>55</v>
      </c>
      <c r="AE12" s="113">
        <f t="shared" ref="AE12" si="96">AD12+2</f>
        <v>57</v>
      </c>
      <c r="AF12" s="113">
        <f t="shared" ref="AF12" si="97">AE12+2</f>
        <v>59</v>
      </c>
      <c r="AG12" s="113">
        <f t="shared" ref="AG12" si="98">AF12+2</f>
        <v>61</v>
      </c>
      <c r="AH12" s="113">
        <f t="shared" ref="AH12" si="99">AG12+2</f>
        <v>63</v>
      </c>
      <c r="AI12" s="113">
        <f t="shared" ref="AI12" si="100">AH12+2</f>
        <v>65</v>
      </c>
      <c r="AJ12" s="113">
        <f t="shared" ref="AJ12" si="101">AI12+2</f>
        <v>67</v>
      </c>
      <c r="AK12" s="113">
        <f t="shared" ref="AK12" si="102">AJ12+2</f>
        <v>69</v>
      </c>
      <c r="AL12" s="113">
        <f t="shared" ref="AL12" si="103">AK12+2</f>
        <v>71</v>
      </c>
    </row>
  </sheetData>
  <conditionalFormatting sqref="C2:L2">
    <cfRule type="expression" dxfId="3" priority="1" stopIfTrue="1">
      <formula>#REF! &gt; 30</formula>
    </cfRule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1">
    <tabColor rgb="FF00B050"/>
    <pageSetUpPr fitToPage="1"/>
  </sheetPr>
  <dimension ref="A1:ED141"/>
  <sheetViews>
    <sheetView zoomScale="85" zoomScaleNormal="85" workbookViewId="0">
      <pane xSplit="4" ySplit="5" topLeftCell="E6" activePane="bottomRight" state="frozen"/>
      <selection pane="topRight" activeCell="D1" sqref="D1"/>
      <selection pane="bottomLeft" activeCell="A6" sqref="A6"/>
      <selection pane="bottomRight" activeCell="BR6" sqref="BR6"/>
    </sheetView>
  </sheetViews>
  <sheetFormatPr defaultRowHeight="15"/>
  <cols>
    <col min="1" max="1" width="14.140625" customWidth="1"/>
    <col min="2" max="2" width="26.5703125" bestFit="1" customWidth="1"/>
    <col min="3" max="3" width="8.5703125" customWidth="1"/>
    <col min="4" max="4" width="10.7109375" bestFit="1" customWidth="1"/>
    <col min="5" max="11" width="12.7109375" customWidth="1"/>
    <col min="12" max="48" width="8.7109375" customWidth="1"/>
    <col min="49" max="49" width="9" customWidth="1"/>
    <col min="50" max="59" width="8.7109375" customWidth="1"/>
    <col min="60" max="60" width="18.140625" bestFit="1" customWidth="1"/>
    <col min="61" max="61" width="13.5703125" bestFit="1" customWidth="1"/>
    <col min="62" max="62" width="20.28515625" bestFit="1" customWidth="1"/>
    <col min="63" max="63" width="20.28515625" customWidth="1"/>
    <col min="64" max="64" width="16.42578125" bestFit="1" customWidth="1"/>
    <col min="65" max="65" width="15.42578125" bestFit="1" customWidth="1"/>
    <col min="66" max="66" width="15.7109375" bestFit="1" customWidth="1"/>
    <col min="67" max="67" width="22" bestFit="1" customWidth="1"/>
    <col min="68" max="68" width="22" customWidth="1"/>
    <col min="69" max="69" width="14.7109375" bestFit="1" customWidth="1"/>
    <col min="70" max="70" width="10.28515625" bestFit="1" customWidth="1"/>
    <col min="71" max="71" width="19.42578125" bestFit="1" customWidth="1"/>
    <col min="72" max="72" width="9.5703125" bestFit="1" customWidth="1"/>
    <col min="73" max="73" width="10.85546875" customWidth="1"/>
    <col min="74" max="75" width="12.7109375" customWidth="1"/>
    <col min="113" max="113" width="11.7109375" customWidth="1"/>
    <col min="125" max="125" width="18.28515625" bestFit="1" customWidth="1"/>
    <col min="126" max="126" width="12.7109375" customWidth="1"/>
    <col min="127" max="127" width="13.28515625" customWidth="1"/>
    <col min="128" max="128" width="17.28515625" bestFit="1" customWidth="1"/>
    <col min="129" max="129" width="14.42578125" bestFit="1" customWidth="1"/>
    <col min="130" max="130" width="11.28515625" customWidth="1"/>
    <col min="131" max="131" width="9.28515625" bestFit="1" customWidth="1"/>
    <col min="132" max="132" width="12.85546875" bestFit="1" customWidth="1"/>
    <col min="133" max="133" width="18.140625" customWidth="1"/>
    <col min="134" max="134" width="10.42578125" customWidth="1"/>
  </cols>
  <sheetData>
    <row r="1" spans="1:134">
      <c r="A1" t="s">
        <v>244</v>
      </c>
      <c r="E1" s="87" t="s">
        <v>245</v>
      </c>
      <c r="F1" s="88">
        <f>Init!R3</f>
        <v>2024</v>
      </c>
      <c r="BL1" s="110"/>
      <c r="BR1" s="87" t="s">
        <v>246</v>
      </c>
      <c r="BS1" s="89">
        <f>Init!R6</f>
        <v>2026</v>
      </c>
    </row>
    <row r="2" spans="1:134">
      <c r="E2" s="87" t="s">
        <v>255</v>
      </c>
      <c r="F2" s="111">
        <f>VLOOKUP(F1,Init!K4:$M$40,3)</f>
        <v>8784</v>
      </c>
      <c r="AS2" s="110"/>
      <c r="BR2" s="87" t="s">
        <v>255</v>
      </c>
      <c r="BS2" s="112">
        <f>VLOOKUP(BS1,Init!K4:$M$40,3)</f>
        <v>8760</v>
      </c>
    </row>
    <row r="3" spans="1:134">
      <c r="E3" s="292" t="s">
        <v>193</v>
      </c>
      <c r="F3" s="292"/>
      <c r="G3" s="71"/>
      <c r="H3" s="71"/>
      <c r="I3" s="71"/>
      <c r="J3" s="71"/>
      <c r="K3" s="71"/>
      <c r="L3" s="95" t="s">
        <v>251</v>
      </c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95" t="s">
        <v>248</v>
      </c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95" t="s">
        <v>267</v>
      </c>
      <c r="AW3" s="71"/>
      <c r="AX3" s="71"/>
      <c r="AY3" s="71"/>
      <c r="AZ3" s="71"/>
      <c r="BA3" s="71"/>
      <c r="BB3" s="71"/>
      <c r="BC3" s="71"/>
      <c r="BD3" s="71"/>
      <c r="BE3" s="71"/>
      <c r="BF3" s="71"/>
      <c r="BG3" s="71"/>
      <c r="BH3" s="95" t="s">
        <v>249</v>
      </c>
      <c r="BI3" s="95" t="s">
        <v>250</v>
      </c>
      <c r="BK3" s="95"/>
      <c r="BL3" s="71"/>
      <c r="BM3" s="71"/>
      <c r="BN3" s="71"/>
      <c r="BO3" s="71"/>
      <c r="BP3" s="71"/>
      <c r="BQ3" s="71"/>
      <c r="BR3" s="292" t="s">
        <v>193</v>
      </c>
      <c r="BS3" s="292"/>
      <c r="BV3" s="71"/>
      <c r="BW3" s="71"/>
      <c r="BY3" s="95" t="s">
        <v>251</v>
      </c>
      <c r="BZ3" s="71"/>
      <c r="CA3" s="71"/>
      <c r="CB3" s="71"/>
      <c r="CC3" s="71"/>
      <c r="CD3" s="71"/>
      <c r="CE3" s="71"/>
      <c r="CF3" s="71"/>
      <c r="CG3" s="71"/>
      <c r="CH3" s="71"/>
      <c r="CI3" s="71"/>
      <c r="CJ3" s="71"/>
      <c r="CK3" s="71"/>
      <c r="CL3" s="71"/>
      <c r="CM3" s="71"/>
      <c r="CN3" s="71"/>
      <c r="CO3" s="71"/>
      <c r="CP3" s="71"/>
      <c r="CQ3" s="71"/>
      <c r="CR3" s="71"/>
      <c r="CS3" s="71"/>
      <c r="CT3" s="71"/>
      <c r="CU3" s="71"/>
      <c r="CV3" s="71"/>
      <c r="CW3" s="95" t="s">
        <v>248</v>
      </c>
      <c r="CX3" s="71"/>
      <c r="CY3" s="71"/>
      <c r="CZ3" s="71"/>
      <c r="DA3" s="71"/>
      <c r="DB3" s="71"/>
      <c r="DC3" s="71"/>
      <c r="DD3" s="71"/>
      <c r="DE3" s="71"/>
      <c r="DF3" s="71"/>
      <c r="DG3" s="71"/>
      <c r="DH3" s="71"/>
      <c r="DI3" s="95" t="s">
        <v>267</v>
      </c>
      <c r="DJ3" s="71"/>
      <c r="DK3" s="71"/>
      <c r="DL3" s="71"/>
      <c r="DM3" s="71"/>
      <c r="DN3" s="71"/>
      <c r="DO3" s="71"/>
      <c r="DP3" s="71"/>
      <c r="DQ3" s="71"/>
      <c r="DR3" s="71"/>
      <c r="DS3" s="71"/>
      <c r="DT3" s="71"/>
      <c r="DU3" s="95" t="s">
        <v>249</v>
      </c>
      <c r="DV3" s="95" t="s">
        <v>250</v>
      </c>
      <c r="DW3" s="95"/>
      <c r="DX3" s="95"/>
      <c r="DY3" s="95"/>
      <c r="DZ3" s="95"/>
      <c r="EA3" s="95"/>
      <c r="EC3" s="71"/>
      <c r="ED3" s="71"/>
    </row>
    <row r="4" spans="1:134" s="63" customFormat="1" ht="45">
      <c r="A4" s="96" t="s">
        <v>2</v>
      </c>
      <c r="B4" s="70" t="s">
        <v>3</v>
      </c>
      <c r="C4" s="70" t="s">
        <v>5</v>
      </c>
      <c r="D4" s="70" t="s">
        <v>260</v>
      </c>
      <c r="E4" s="97" t="str">
        <f>CONCATENATE("TOCA ", $F$1)</f>
        <v>TOCA 2024</v>
      </c>
      <c r="F4" s="98" t="str">
        <f>CONCATENATE("Non-slice TOCA ", $F$1)</f>
        <v>Non-slice TOCA 2024</v>
      </c>
      <c r="G4" s="98" t="str">
        <f>CONCATENATE("Slice % ", $F$1)</f>
        <v>Slice % 2024</v>
      </c>
      <c r="H4" s="98" t="str">
        <f>CONCATENATE("Applicable LDD ", $F$1)</f>
        <v>Applicable LDD 2024</v>
      </c>
      <c r="I4" s="98" t="s">
        <v>262</v>
      </c>
      <c r="J4" s="98" t="s">
        <v>263</v>
      </c>
      <c r="K4" s="98" t="str">
        <f>CONCATENATE("IRD ", F1)</f>
        <v>IRD 2024</v>
      </c>
      <c r="L4" s="99">
        <f>DATE($F$1-1, 10, 1)</f>
        <v>45200</v>
      </c>
      <c r="M4" s="99">
        <f>L4</f>
        <v>45200</v>
      </c>
      <c r="N4" s="99">
        <f>DATE($F$1-1, 11, 1)</f>
        <v>45231</v>
      </c>
      <c r="O4" s="99">
        <f>N4</f>
        <v>45231</v>
      </c>
      <c r="P4" s="99">
        <f>DATE($F$1-1, 12, 1)</f>
        <v>45261</v>
      </c>
      <c r="Q4" s="99">
        <f>P4</f>
        <v>45261</v>
      </c>
      <c r="R4" s="99">
        <f>DATE($F$1, 1, 1)</f>
        <v>45292</v>
      </c>
      <c r="S4" s="99">
        <f>R4</f>
        <v>45292</v>
      </c>
      <c r="T4" s="99">
        <f>DATE($F$1, 2, 1)</f>
        <v>45323</v>
      </c>
      <c r="U4" s="99">
        <f>T4</f>
        <v>45323</v>
      </c>
      <c r="V4" s="99">
        <f>DATE($F$1, 3, 1)</f>
        <v>45352</v>
      </c>
      <c r="W4" s="99">
        <f>V4</f>
        <v>45352</v>
      </c>
      <c r="X4" s="99">
        <f>DATE($F$1, 4, 1)</f>
        <v>45383</v>
      </c>
      <c r="Y4" s="99">
        <f>X4</f>
        <v>45383</v>
      </c>
      <c r="Z4" s="99">
        <f>DATE($F$1, 5, 1)</f>
        <v>45413</v>
      </c>
      <c r="AA4" s="99">
        <f>Z4</f>
        <v>45413</v>
      </c>
      <c r="AB4" s="99">
        <f>DATE($F$1, 6, 1)</f>
        <v>45444</v>
      </c>
      <c r="AC4" s="99">
        <f>AB4</f>
        <v>45444</v>
      </c>
      <c r="AD4" s="99">
        <f>DATE($F$1, 7, 1)</f>
        <v>45474</v>
      </c>
      <c r="AE4" s="99">
        <f>AD4</f>
        <v>45474</v>
      </c>
      <c r="AF4" s="99">
        <f>DATE($F$1, 8, 1)</f>
        <v>45505</v>
      </c>
      <c r="AG4" s="99">
        <f>AF4</f>
        <v>45505</v>
      </c>
      <c r="AH4" s="99">
        <f>DATE($F$1, 9, 1)</f>
        <v>45536</v>
      </c>
      <c r="AI4" s="99">
        <f>AH4</f>
        <v>45536</v>
      </c>
      <c r="AJ4" s="99">
        <f>L4</f>
        <v>45200</v>
      </c>
      <c r="AK4" s="99">
        <f>N4</f>
        <v>45231</v>
      </c>
      <c r="AL4" s="99">
        <f>P4</f>
        <v>45261</v>
      </c>
      <c r="AM4" s="99">
        <f>R4</f>
        <v>45292</v>
      </c>
      <c r="AN4" s="99">
        <f>T4</f>
        <v>45323</v>
      </c>
      <c r="AO4" s="99">
        <f>V4</f>
        <v>45352</v>
      </c>
      <c r="AP4" s="99">
        <f>X4</f>
        <v>45383</v>
      </c>
      <c r="AQ4" s="99">
        <f>Z4</f>
        <v>45413</v>
      </c>
      <c r="AR4" s="99">
        <f>AB4</f>
        <v>45444</v>
      </c>
      <c r="AS4" s="99">
        <f>AD4</f>
        <v>45474</v>
      </c>
      <c r="AT4" s="99">
        <f>AF4</f>
        <v>45505</v>
      </c>
      <c r="AU4" s="99">
        <f>AH4</f>
        <v>45536</v>
      </c>
      <c r="AV4" s="99">
        <f>AJ4</f>
        <v>45200</v>
      </c>
      <c r="AW4" s="99">
        <f t="shared" ref="AW4:BG4" si="0">AK4</f>
        <v>45231</v>
      </c>
      <c r="AX4" s="99">
        <f t="shared" si="0"/>
        <v>45261</v>
      </c>
      <c r="AY4" s="99">
        <f t="shared" si="0"/>
        <v>45292</v>
      </c>
      <c r="AZ4" s="99">
        <f t="shared" si="0"/>
        <v>45323</v>
      </c>
      <c r="BA4" s="99">
        <f t="shared" si="0"/>
        <v>45352</v>
      </c>
      <c r="BB4" s="99">
        <f t="shared" si="0"/>
        <v>45383</v>
      </c>
      <c r="BC4" s="99">
        <f t="shared" si="0"/>
        <v>45413</v>
      </c>
      <c r="BD4" s="99">
        <f t="shared" si="0"/>
        <v>45444</v>
      </c>
      <c r="BE4" s="99">
        <f t="shared" si="0"/>
        <v>45474</v>
      </c>
      <c r="BF4" s="99">
        <f t="shared" si="0"/>
        <v>45505</v>
      </c>
      <c r="BG4" s="99">
        <f t="shared" si="0"/>
        <v>45536</v>
      </c>
      <c r="BH4" s="104" t="str">
        <f>CONCATENATE("T2 LS ", $F$1)</f>
        <v>T2 LS 2024</v>
      </c>
      <c r="BI4" s="104" t="str">
        <f>"TOCA Load "&amp;$F$1</f>
        <v>TOCA Load 2024</v>
      </c>
      <c r="BJ4" s="104" t="str">
        <f>"Annual T1 Load "&amp;$F$1</f>
        <v>Annual T1 Load 2024</v>
      </c>
      <c r="BK4" s="104" t="str">
        <f>"Above RHWM Not Served with LS"&amp;$F$1</f>
        <v>Above RHWM Not Served with LS2024</v>
      </c>
      <c r="BL4" s="104" t="str">
        <f>CONCATENATE("Annual Deviation ", $F$1)</f>
        <v>Annual Deviation 2024</v>
      </c>
      <c r="BM4" s="104" t="str">
        <f>CONCATENATE("Above Forecast ", $F$1)</f>
        <v>Above Forecast 2024</v>
      </c>
      <c r="BN4" s="104" t="s">
        <v>253</v>
      </c>
      <c r="BO4" s="104" t="s">
        <v>254</v>
      </c>
      <c r="BP4" s="104" t="s">
        <v>256</v>
      </c>
      <c r="BQ4" s="104" t="str">
        <f>CONCATENATE("LSTU ", $F$1)</f>
        <v>LSTU 2024</v>
      </c>
      <c r="BR4" s="105" t="str">
        <f>CONCATENATE("TOCA ", $BS$1)</f>
        <v>TOCA 2026</v>
      </c>
      <c r="BS4" s="100" t="str">
        <f>CONCATENATE("Non-slice TOCA ", $BS$1)</f>
        <v>Non-slice TOCA 2026</v>
      </c>
      <c r="BT4" s="100" t="str">
        <f>CONCATENATE("Slice % ", $BS$1)</f>
        <v>Slice % 2026</v>
      </c>
      <c r="BU4" s="100" t="str">
        <f>CONCATENATE("Applicable LDD ", $BS$1)</f>
        <v>Applicable LDD 2026</v>
      </c>
      <c r="BV4" s="100" t="s">
        <v>262</v>
      </c>
      <c r="BW4" s="100" t="s">
        <v>263</v>
      </c>
      <c r="BX4" s="100" t="str">
        <f>CONCATENATE("IRD ", BS1)</f>
        <v>IRD 2026</v>
      </c>
      <c r="BY4" s="106">
        <f>DATE($BS$1-1, 10, 1)</f>
        <v>45931</v>
      </c>
      <c r="BZ4" s="106">
        <f>BY4</f>
        <v>45931</v>
      </c>
      <c r="CA4" s="106">
        <f>DATE($BS$1-1, 11, 1)</f>
        <v>45962</v>
      </c>
      <c r="CB4" s="106">
        <f>CA4</f>
        <v>45962</v>
      </c>
      <c r="CC4" s="106">
        <f>DATE($BS$1-1, 12, 1)</f>
        <v>45992</v>
      </c>
      <c r="CD4" s="106">
        <f>CC4</f>
        <v>45992</v>
      </c>
      <c r="CE4" s="106">
        <f>DATE($BS$1, 1, 1)</f>
        <v>46023</v>
      </c>
      <c r="CF4" s="106">
        <f>CE4</f>
        <v>46023</v>
      </c>
      <c r="CG4" s="106">
        <f>DATE($BS$1, 2, 1)</f>
        <v>46054</v>
      </c>
      <c r="CH4" s="106">
        <f>CG4</f>
        <v>46054</v>
      </c>
      <c r="CI4" s="106">
        <f>DATE($BS$1, 3, 1)</f>
        <v>46082</v>
      </c>
      <c r="CJ4" s="106">
        <f>CI4</f>
        <v>46082</v>
      </c>
      <c r="CK4" s="106">
        <f>DATE($BS$1, 4, 1)</f>
        <v>46113</v>
      </c>
      <c r="CL4" s="106">
        <f>CK4</f>
        <v>46113</v>
      </c>
      <c r="CM4" s="106">
        <f>DATE($BS$1, 5, 1)</f>
        <v>46143</v>
      </c>
      <c r="CN4" s="106">
        <f>CM4</f>
        <v>46143</v>
      </c>
      <c r="CO4" s="106">
        <f>DATE($BS$1, 6, 1)</f>
        <v>46174</v>
      </c>
      <c r="CP4" s="106">
        <f>CO4</f>
        <v>46174</v>
      </c>
      <c r="CQ4" s="106">
        <f>DATE($BS$1, 7, 1)</f>
        <v>46204</v>
      </c>
      <c r="CR4" s="106">
        <f>CQ4</f>
        <v>46204</v>
      </c>
      <c r="CS4" s="106">
        <f>DATE($BS$1, 8, 1)</f>
        <v>46235</v>
      </c>
      <c r="CT4" s="106">
        <f>CS4</f>
        <v>46235</v>
      </c>
      <c r="CU4" s="106">
        <f>DATE($BS$1, 9, 1)</f>
        <v>46266</v>
      </c>
      <c r="CV4" s="106">
        <f>CU4</f>
        <v>46266</v>
      </c>
      <c r="CW4" s="106">
        <f>BY4</f>
        <v>45931</v>
      </c>
      <c r="CX4" s="106">
        <f>CA4</f>
        <v>45962</v>
      </c>
      <c r="CY4" s="106">
        <f>CC4</f>
        <v>45992</v>
      </c>
      <c r="CZ4" s="106">
        <f>CE4</f>
        <v>46023</v>
      </c>
      <c r="DA4" s="106">
        <f>CG4</f>
        <v>46054</v>
      </c>
      <c r="DB4" s="106">
        <f>CI4</f>
        <v>46082</v>
      </c>
      <c r="DC4" s="106">
        <f>CK4</f>
        <v>46113</v>
      </c>
      <c r="DD4" s="106">
        <f>CM4</f>
        <v>46143</v>
      </c>
      <c r="DE4" s="106">
        <f>CO4</f>
        <v>46174</v>
      </c>
      <c r="DF4" s="106">
        <f>CQ4</f>
        <v>46204</v>
      </c>
      <c r="DG4" s="106">
        <f>CS4</f>
        <v>46235</v>
      </c>
      <c r="DH4" s="106">
        <f>CU4</f>
        <v>46266</v>
      </c>
      <c r="DI4" s="106">
        <f>CW4</f>
        <v>45931</v>
      </c>
      <c r="DJ4" s="106">
        <f t="shared" ref="DJ4:DT4" si="1">CX4</f>
        <v>45962</v>
      </c>
      <c r="DK4" s="106">
        <f t="shared" si="1"/>
        <v>45992</v>
      </c>
      <c r="DL4" s="106">
        <f t="shared" si="1"/>
        <v>46023</v>
      </c>
      <c r="DM4" s="106">
        <f t="shared" si="1"/>
        <v>46054</v>
      </c>
      <c r="DN4" s="106">
        <f t="shared" si="1"/>
        <v>46082</v>
      </c>
      <c r="DO4" s="106">
        <f t="shared" si="1"/>
        <v>46113</v>
      </c>
      <c r="DP4" s="106">
        <f t="shared" si="1"/>
        <v>46143</v>
      </c>
      <c r="DQ4" s="106">
        <f t="shared" si="1"/>
        <v>46174</v>
      </c>
      <c r="DR4" s="106">
        <f t="shared" si="1"/>
        <v>46204</v>
      </c>
      <c r="DS4" s="106">
        <f t="shared" si="1"/>
        <v>46235</v>
      </c>
      <c r="DT4" s="106">
        <f t="shared" si="1"/>
        <v>46266</v>
      </c>
      <c r="DU4" s="107" t="str">
        <f>CONCATENATE("T2 LS ", $BS$1)</f>
        <v>T2 LS 2026</v>
      </c>
      <c r="DV4" s="107" t="str">
        <f>"TOCA Load "&amp;$BS$1</f>
        <v>TOCA Load 2026</v>
      </c>
      <c r="DW4" s="107" t="str">
        <f>"Annual T1 Load "&amp;$BS$1</f>
        <v>Annual T1 Load 2026</v>
      </c>
      <c r="DX4" s="107" t="str">
        <f>"Above RHWM Not Served with Load Shaping"&amp;$BS$1</f>
        <v>Above RHWM Not Served with Load Shaping2026</v>
      </c>
      <c r="DY4" s="107" t="str">
        <f>CONCATENATE("Annual Deviation ", $BS$1)</f>
        <v>Annual Deviation 2026</v>
      </c>
      <c r="DZ4" s="107" t="str">
        <f>CONCATENATE("Above Forecast ", $BS$1)</f>
        <v>Above Forecast 2026</v>
      </c>
      <c r="EA4" s="107" t="s">
        <v>253</v>
      </c>
      <c r="EB4" s="107" t="s">
        <v>254</v>
      </c>
      <c r="EC4" s="107" t="s">
        <v>256</v>
      </c>
      <c r="ED4" s="107" t="str">
        <f>CONCATENATE("LSTU ", $BS$1)</f>
        <v>LSTU 2026</v>
      </c>
    </row>
    <row r="5" spans="1:134" s="63" customFormat="1">
      <c r="A5" s="96"/>
      <c r="B5" s="70"/>
      <c r="C5" s="70"/>
      <c r="D5" s="70"/>
      <c r="E5" s="97"/>
      <c r="F5" s="98"/>
      <c r="G5" s="98"/>
      <c r="H5" s="98"/>
      <c r="I5" s="98"/>
      <c r="J5" s="98"/>
      <c r="K5" s="98" t="s">
        <v>247</v>
      </c>
      <c r="L5" s="99" t="s">
        <v>143</v>
      </c>
      <c r="M5" s="99" t="s">
        <v>144</v>
      </c>
      <c r="N5" s="98" t="s">
        <v>143</v>
      </c>
      <c r="O5" s="98" t="s">
        <v>144</v>
      </c>
      <c r="P5" s="98" t="s">
        <v>143</v>
      </c>
      <c r="Q5" s="98" t="s">
        <v>144</v>
      </c>
      <c r="R5" s="98" t="s">
        <v>143</v>
      </c>
      <c r="S5" s="99" t="s">
        <v>144</v>
      </c>
      <c r="T5" s="98" t="s">
        <v>143</v>
      </c>
      <c r="U5" s="98" t="s">
        <v>144</v>
      </c>
      <c r="V5" s="98" t="s">
        <v>143</v>
      </c>
      <c r="W5" s="98" t="s">
        <v>144</v>
      </c>
      <c r="X5" s="98" t="s">
        <v>143</v>
      </c>
      <c r="Y5" s="99" t="s">
        <v>144</v>
      </c>
      <c r="Z5" s="98" t="s">
        <v>143</v>
      </c>
      <c r="AA5" s="98" t="s">
        <v>144</v>
      </c>
      <c r="AB5" s="98" t="s">
        <v>143</v>
      </c>
      <c r="AC5" s="98" t="s">
        <v>144</v>
      </c>
      <c r="AD5" s="98" t="s">
        <v>143</v>
      </c>
      <c r="AE5" s="98" t="s">
        <v>144</v>
      </c>
      <c r="AF5" s="98" t="s">
        <v>143</v>
      </c>
      <c r="AG5" s="98" t="s">
        <v>144</v>
      </c>
      <c r="AH5" s="98" t="s">
        <v>143</v>
      </c>
      <c r="AI5" s="98" t="s">
        <v>144</v>
      </c>
      <c r="AJ5" s="99" t="s">
        <v>143</v>
      </c>
      <c r="AK5" s="99" t="s">
        <v>143</v>
      </c>
      <c r="AL5" s="99" t="s">
        <v>143</v>
      </c>
      <c r="AM5" s="99" t="s">
        <v>143</v>
      </c>
      <c r="AN5" s="99" t="s">
        <v>143</v>
      </c>
      <c r="AO5" s="99" t="s">
        <v>143</v>
      </c>
      <c r="AP5" s="99" t="s">
        <v>143</v>
      </c>
      <c r="AQ5" s="99" t="s">
        <v>143</v>
      </c>
      <c r="AR5" s="99" t="s">
        <v>143</v>
      </c>
      <c r="AS5" s="99" t="s">
        <v>143</v>
      </c>
      <c r="AT5" s="99" t="s">
        <v>143</v>
      </c>
      <c r="AU5" s="99" t="s">
        <v>143</v>
      </c>
      <c r="AV5" s="99" t="s">
        <v>268</v>
      </c>
      <c r="AW5" s="99" t="s">
        <v>268</v>
      </c>
      <c r="AX5" s="99" t="s">
        <v>268</v>
      </c>
      <c r="AY5" s="99" t="s">
        <v>268</v>
      </c>
      <c r="AZ5" s="99" t="s">
        <v>268</v>
      </c>
      <c r="BA5" s="99" t="s">
        <v>268</v>
      </c>
      <c r="BB5" s="99" t="s">
        <v>268</v>
      </c>
      <c r="BC5" s="99" t="s">
        <v>268</v>
      </c>
      <c r="BD5" s="99" t="s">
        <v>268</v>
      </c>
      <c r="BE5" s="99" t="s">
        <v>268</v>
      </c>
      <c r="BF5" s="99" t="s">
        <v>268</v>
      </c>
      <c r="BG5" s="99" t="s">
        <v>268</v>
      </c>
      <c r="BH5" s="99" t="s">
        <v>247</v>
      </c>
      <c r="BI5" s="99" t="s">
        <v>247</v>
      </c>
      <c r="BJ5" s="99" t="s">
        <v>247</v>
      </c>
      <c r="BK5" s="99" t="s">
        <v>247</v>
      </c>
      <c r="BL5" s="99" t="s">
        <v>247</v>
      </c>
      <c r="BM5" s="99" t="s">
        <v>247</v>
      </c>
      <c r="BN5" s="99" t="s">
        <v>247</v>
      </c>
      <c r="BO5" s="99" t="s">
        <v>247</v>
      </c>
      <c r="BP5" s="99" t="s">
        <v>247</v>
      </c>
      <c r="BQ5" s="99" t="s">
        <v>247</v>
      </c>
      <c r="BR5" s="105"/>
      <c r="BS5" s="100"/>
      <c r="BT5" s="100"/>
      <c r="BU5" s="100"/>
      <c r="BV5" s="100"/>
      <c r="BW5" s="100"/>
      <c r="BX5" s="100" t="s">
        <v>247</v>
      </c>
      <c r="BY5" s="106" t="s">
        <v>143</v>
      </c>
      <c r="BZ5" s="106" t="s">
        <v>144</v>
      </c>
      <c r="CA5" s="100" t="s">
        <v>143</v>
      </c>
      <c r="CB5" s="100" t="s">
        <v>144</v>
      </c>
      <c r="CC5" s="100" t="s">
        <v>143</v>
      </c>
      <c r="CD5" s="100" t="s">
        <v>144</v>
      </c>
      <c r="CE5" s="100" t="s">
        <v>143</v>
      </c>
      <c r="CF5" s="106" t="s">
        <v>144</v>
      </c>
      <c r="CG5" s="100" t="s">
        <v>143</v>
      </c>
      <c r="CH5" s="100" t="s">
        <v>144</v>
      </c>
      <c r="CI5" s="100" t="s">
        <v>143</v>
      </c>
      <c r="CJ5" s="100" t="s">
        <v>144</v>
      </c>
      <c r="CK5" s="100" t="s">
        <v>143</v>
      </c>
      <c r="CL5" s="106" t="s">
        <v>144</v>
      </c>
      <c r="CM5" s="100" t="s">
        <v>143</v>
      </c>
      <c r="CN5" s="100" t="s">
        <v>144</v>
      </c>
      <c r="CO5" s="100" t="s">
        <v>143</v>
      </c>
      <c r="CP5" s="100" t="s">
        <v>144</v>
      </c>
      <c r="CQ5" s="100" t="s">
        <v>143</v>
      </c>
      <c r="CR5" s="100" t="s">
        <v>144</v>
      </c>
      <c r="CS5" s="100" t="s">
        <v>143</v>
      </c>
      <c r="CT5" s="100" t="s">
        <v>144</v>
      </c>
      <c r="CU5" s="100" t="s">
        <v>143</v>
      </c>
      <c r="CV5" s="100" t="s">
        <v>144</v>
      </c>
      <c r="CW5" s="106" t="s">
        <v>143</v>
      </c>
      <c r="CX5" s="106" t="s">
        <v>143</v>
      </c>
      <c r="CY5" s="106" t="s">
        <v>143</v>
      </c>
      <c r="CZ5" s="106" t="s">
        <v>143</v>
      </c>
      <c r="DA5" s="106" t="s">
        <v>143</v>
      </c>
      <c r="DB5" s="106" t="s">
        <v>143</v>
      </c>
      <c r="DC5" s="106" t="s">
        <v>143</v>
      </c>
      <c r="DD5" s="106" t="s">
        <v>143</v>
      </c>
      <c r="DE5" s="106" t="s">
        <v>143</v>
      </c>
      <c r="DF5" s="106" t="s">
        <v>143</v>
      </c>
      <c r="DG5" s="106" t="s">
        <v>143</v>
      </c>
      <c r="DH5" s="106" t="s">
        <v>143</v>
      </c>
      <c r="DI5" s="106" t="s">
        <v>179</v>
      </c>
      <c r="DJ5" s="106" t="s">
        <v>179</v>
      </c>
      <c r="DK5" s="106" t="s">
        <v>179</v>
      </c>
      <c r="DL5" s="106" t="s">
        <v>179</v>
      </c>
      <c r="DM5" s="106" t="s">
        <v>179</v>
      </c>
      <c r="DN5" s="106" t="s">
        <v>179</v>
      </c>
      <c r="DO5" s="106" t="s">
        <v>179</v>
      </c>
      <c r="DP5" s="106" t="s">
        <v>179</v>
      </c>
      <c r="DQ5" s="106" t="s">
        <v>179</v>
      </c>
      <c r="DR5" s="106" t="s">
        <v>179</v>
      </c>
      <c r="DS5" s="106" t="s">
        <v>179</v>
      </c>
      <c r="DT5" s="106" t="s">
        <v>179</v>
      </c>
      <c r="DU5" s="106" t="s">
        <v>247</v>
      </c>
      <c r="DV5" s="106" t="s">
        <v>247</v>
      </c>
      <c r="DW5" s="106" t="s">
        <v>247</v>
      </c>
      <c r="DX5" s="106" t="s">
        <v>247</v>
      </c>
      <c r="DY5" s="106" t="s">
        <v>247</v>
      </c>
      <c r="DZ5" s="106" t="s">
        <v>247</v>
      </c>
      <c r="EA5" s="106" t="s">
        <v>247</v>
      </c>
      <c r="EB5" s="106" t="s">
        <v>247</v>
      </c>
      <c r="EC5" s="106" t="s">
        <v>247</v>
      </c>
      <c r="ED5" s="106" t="s">
        <v>247</v>
      </c>
    </row>
    <row r="6" spans="1:134">
      <c r="A6" s="2">
        <v>10015</v>
      </c>
      <c r="B6" s="3" t="s">
        <v>8</v>
      </c>
      <c r="C6">
        <f>VLOOKUP(A6, TOCA_current!$A$3:$D$136, 4, FALSE)</f>
        <v>0</v>
      </c>
      <c r="D6">
        <v>0</v>
      </c>
      <c r="E6" s="84">
        <f>VLOOKUP($A6,TOCA_previous!$A$2:$AJ$136,MATCH(E$4,TOCA_previous!$A$2:$AJ$2,0),FALSE)</f>
        <v>8.2999999999999998E-5</v>
      </c>
      <c r="F6" s="85">
        <f>VLOOKUP($A6,TOCA_previous!$A$2:$AJ$136,MATCH(F$4,TOCA_previous!$A$2:$AJ$2,0),FALSE)</f>
        <v>8.2999999999999998E-5</v>
      </c>
      <c r="G6" s="85">
        <f t="shared" ref="G6" si="2">E6-F6</f>
        <v>0</v>
      </c>
      <c r="H6" s="85">
        <f>VLOOKUP($A6,TOCA_previous!$A$2:$AJ$136,MATCH(H$4,TOCA_previous!$A$2:$AJ$2,0),FALSE)</f>
        <v>0</v>
      </c>
      <c r="I6" s="85">
        <f t="shared" ref="I6" si="3">IF(C6=0,0,H6)</f>
        <v>0</v>
      </c>
      <c r="J6" s="85">
        <f t="shared" ref="J6" si="4">IF(C6=0,0,E6)</f>
        <v>0</v>
      </c>
      <c r="K6" s="101">
        <f>VLOOKUP(A6, IRD!$A$5:$C$138, 3, FALSE)</f>
        <v>0</v>
      </c>
      <c r="L6" s="102">
        <f t="array" ref="L6">IF($G6=0, INDEX(LS_previous!$D$4:$AY$137, MATCH('Staging Table'!$A6, LS_previous!$B$4:$B$137, 0), MATCH(L$4&amp;L$5, LS_previous!$D$2:$AY$2&amp;LS_previous!$D$3:$AY$3, 0)),SUM(VLOOKUP($A6, LS_previous!$B$4:$AY$137, LS_previous!D$148, FALSE), VLOOKUP('Staging Table'!$A6, LS_previous!$B$4:$AY$137,LS_previous!AB$148, FALSE))/2)</f>
        <v>20.352145011999994</v>
      </c>
      <c r="M6" s="102">
        <f t="array" ref="M6">IF($G6=0, INDEX(LS_previous!$D$4:$AY$137, MATCH('Staging Table'!$A6, LS_previous!$B$4:$B$137, 0), MATCH(M$4&amp;M$5, LS_previous!$D$2:$AY$2&amp;LS_previous!$D$3:$AY$3, 0)),SUM(VLOOKUP($A6, LS_previous!$B$4:$AY$137, LS_previous!E$148, FALSE), VLOOKUP('Staging Table'!$A6, LS_previous!$B$4:$AY$137,LS_previous!AC$148, FALSE))/2)</f>
        <v>52.848142783500009</v>
      </c>
      <c r="N6" s="102">
        <f t="array" ref="N6">IF($G6=0, INDEX(LS_previous!$D$4:$AY$137, MATCH('Staging Table'!$A6, LS_previous!$B$4:$B$137, 0), MATCH(N$4&amp;N$5, LS_previous!$D$2:$AY$2&amp;LS_previous!$D$3:$AY$3, 0)),SUM(VLOOKUP($A6, LS_previous!$B$4:$AY$137, LS_previous!F$148, FALSE), VLOOKUP('Staging Table'!$A6, LS_previous!$B$4:$AY$137,LS_previous!AD$148, FALSE))/2)</f>
        <v>-101.53344822400001</v>
      </c>
      <c r="O6" s="102">
        <f t="array" ref="O6">IF($G6=0, INDEX(LS_previous!$D$4:$AY$137, MATCH('Staging Table'!$A6, LS_previous!$B$4:$B$137, 0), MATCH(O$4&amp;O$5, LS_previous!$D$2:$AY$2&amp;LS_previous!$D$3:$AY$3, 0)),SUM(VLOOKUP($A6, LS_previous!$B$4:$AY$137, LS_previous!G$148, FALSE), VLOOKUP('Staging Table'!$A6, LS_previous!$B$4:$AY$137,LS_previous!AE$148, FALSE))/2)</f>
        <v>-51.745926372999989</v>
      </c>
      <c r="P6" s="102">
        <f t="array" ref="P6">IF($G6=0, INDEX(LS_previous!$D$4:$AY$137, MATCH('Staging Table'!$A6, LS_previous!$B$4:$B$137, 0), MATCH(P$4&amp;P$5, LS_previous!$D$2:$AY$2&amp;LS_previous!$D$3:$AY$3, 0)),SUM(VLOOKUP($A6, LS_previous!$B$4:$AY$137, LS_previous!H$148, FALSE), VLOOKUP('Staging Table'!$A6, LS_previous!$B$4:$AY$137,LS_previous!AF$148, FALSE))/2)</f>
        <v>-120.25531633700001</v>
      </c>
      <c r="Q6" s="102">
        <f t="array" ref="Q6">IF($G6=0, INDEX(LS_previous!$D$4:$AY$137, MATCH('Staging Table'!$A6, LS_previous!$B$4:$B$137, 0), MATCH(Q$4&amp;Q$5, LS_previous!$D$2:$AY$2&amp;LS_previous!$D$3:$AY$3, 0)),SUM(VLOOKUP($A6, LS_previous!$B$4:$AY$137, LS_previous!I$148, FALSE), VLOOKUP('Staging Table'!$A6, LS_previous!$B$4:$AY$137,LS_previous!AG$148, FALSE))/2)</f>
        <v>-56.713476767999992</v>
      </c>
      <c r="R6" s="102">
        <f t="array" ref="R6">IF($G6=0, INDEX(LS_previous!$D$4:$AY$137, MATCH('Staging Table'!$A6, LS_previous!$B$4:$B$137, 0), MATCH(R$4&amp;R$5, LS_previous!$D$2:$AY$2&amp;LS_previous!$D$3:$AY$3, 0)),SUM(VLOOKUP($A6, LS_previous!$B$4:$AY$137, LS_previous!J$148, FALSE), VLOOKUP('Staging Table'!$A6, LS_previous!$B$4:$AY$137,LS_previous!AH$148, FALSE))/2)</f>
        <v>-118.60241234499998</v>
      </c>
      <c r="S6" s="102">
        <f t="array" ref="S6">IF($G6=0, INDEX(LS_previous!$D$4:$AY$137, MATCH('Staging Table'!$A6, LS_previous!$B$4:$B$137, 0), MATCH(S$4&amp;S$5, LS_previous!$D$2:$AY$2&amp;LS_previous!$D$3:$AY$3, 0)),SUM(VLOOKUP($A6, LS_previous!$B$4:$AY$137, LS_previous!K$148, FALSE), VLOOKUP('Staging Table'!$A6, LS_previous!$B$4:$AY$137,LS_previous!AI$148, FALSE))/2)</f>
        <v>-72.751456407000006</v>
      </c>
      <c r="T6" s="102">
        <f t="array" ref="T6">IF($G6=0, INDEX(LS_previous!$D$4:$AY$137, MATCH('Staging Table'!$A6, LS_previous!$B$4:$B$137, 0), MATCH(T$4&amp;T$5, LS_previous!$D$2:$AY$2&amp;LS_previous!$D$3:$AY$3, 0)),SUM(VLOOKUP($A6, LS_previous!$B$4:$AY$137, LS_previous!L$148, FALSE), VLOOKUP('Staging Table'!$A6, LS_previous!$B$4:$AY$137,LS_previous!AJ$148, FALSE))/2)</f>
        <v>-120.19565795699998</v>
      </c>
      <c r="U6" s="102">
        <f t="array" ref="U6">IF($G6=0, INDEX(LS_previous!$D$4:$AY$137, MATCH('Staging Table'!$A6, LS_previous!$B$4:$B$137, 0), MATCH(U$4&amp;U$5, LS_previous!$D$2:$AY$2&amp;LS_previous!$D$3:$AY$3, 0)),SUM(VLOOKUP($A6, LS_previous!$B$4:$AY$137, LS_previous!M$148, FALSE), VLOOKUP('Staging Table'!$A6, LS_previous!$B$4:$AY$137,LS_previous!AK$148, FALSE))/2)</f>
        <v>-39.526862597000004</v>
      </c>
      <c r="V6" s="102">
        <f t="array" ref="V6">IF($G6=0, INDEX(LS_previous!$D$4:$AY$137, MATCH('Staging Table'!$A6, LS_previous!$B$4:$B$137, 0), MATCH(V$4&amp;V$5, LS_previous!$D$2:$AY$2&amp;LS_previous!$D$3:$AY$3, 0)),SUM(VLOOKUP($A6, LS_previous!$B$4:$AY$137, LS_previous!N$148, FALSE), VLOOKUP('Staging Table'!$A6, LS_previous!$B$4:$AY$137,LS_previous!AL$148, FALSE))/2)</f>
        <v>-91.265286379000003</v>
      </c>
      <c r="W6" s="102">
        <f t="array" ref="W6">IF($G6=0, INDEX(LS_previous!$D$4:$AY$137, MATCH('Staging Table'!$A6, LS_previous!$B$4:$B$137, 0), MATCH(W$4&amp;W$5, LS_previous!$D$2:$AY$2&amp;LS_previous!$D$3:$AY$3, 0)),SUM(VLOOKUP($A6, LS_previous!$B$4:$AY$137, LS_previous!O$148, FALSE), VLOOKUP('Staging Table'!$A6, LS_previous!$B$4:$AY$137,LS_previous!AM$148, FALSE))/2)</f>
        <v>-68.580007573999993</v>
      </c>
      <c r="X6" s="102">
        <f t="array" ref="X6">IF($G6=0, INDEX(LS_previous!$D$4:$AY$137, MATCH('Staging Table'!$A6, LS_previous!$B$4:$B$137, 0), MATCH(X$4&amp;X$5, LS_previous!$D$2:$AY$2&amp;LS_previous!$D$3:$AY$3, 0)),SUM(VLOOKUP($A6, LS_previous!$B$4:$AY$137, LS_previous!P$148, FALSE), VLOOKUP('Staging Table'!$A6, LS_previous!$B$4:$AY$137,LS_previous!AN$148, FALSE))/2)</f>
        <v>14.962154467500028</v>
      </c>
      <c r="Y6" s="102">
        <f t="array" ref="Y6">IF($G6=0, INDEX(LS_previous!$D$4:$AY$137, MATCH('Staging Table'!$A6, LS_previous!$B$4:$B$137, 0), MATCH(Y$4&amp;Y$5, LS_previous!$D$2:$AY$2&amp;LS_previous!$D$3:$AY$3, 0)),SUM(VLOOKUP($A6, LS_previous!$B$4:$AY$137, LS_previous!Q$148, FALSE), VLOOKUP('Staging Table'!$A6, LS_previous!$B$4:$AY$137,LS_previous!AO$148, FALSE))/2)</f>
        <v>8.1882826747500133</v>
      </c>
      <c r="Z6" s="102">
        <f t="array" ref="Z6">IF($G6=0, INDEX(LS_previous!$D$4:$AY$137, MATCH('Staging Table'!$A6, LS_previous!$B$4:$B$137, 0), MATCH(Z$4&amp;Z$5, LS_previous!$D$2:$AY$2&amp;LS_previous!$D$3:$AY$3, 0)),SUM(VLOOKUP($A6, LS_previous!$B$4:$AY$137, LS_previous!R$148, FALSE), VLOOKUP('Staging Table'!$A6, LS_previous!$B$4:$AY$137,LS_previous!AP$148, FALSE))/2)</f>
        <v>50.805201615999977</v>
      </c>
      <c r="AA6" s="102">
        <f t="array" ref="AA6">IF($G6=0, INDEX(LS_previous!$D$4:$AY$137, MATCH('Staging Table'!$A6, LS_previous!$B$4:$B$137, 0), MATCH(AA$4&amp;AA$5, LS_previous!$D$2:$AY$2&amp;LS_previous!$D$3:$AY$3, 0)),SUM(VLOOKUP($A6, LS_previous!$B$4:$AY$137, LS_previous!S$148, FALSE), VLOOKUP('Staging Table'!$A6, LS_previous!$B$4:$AY$137,LS_previous!AQ$148, FALSE))/2)</f>
        <v>130.95825984449999</v>
      </c>
      <c r="AB6" s="102">
        <f t="array" ref="AB6">IF($G6=0, INDEX(LS_previous!$D$4:$AY$137, MATCH('Staging Table'!$A6, LS_previous!$B$4:$B$137, 0), MATCH(AB$4&amp;AB$5, LS_previous!$D$2:$AY$2&amp;LS_previous!$D$3:$AY$3, 0)),SUM(VLOOKUP($A6, LS_previous!$B$4:$AY$137, LS_previous!T$148, FALSE), VLOOKUP('Staging Table'!$A6, LS_previous!$B$4:$AY$137,LS_previous!AR$148, FALSE))/2)</f>
        <v>142.08934214200002</v>
      </c>
      <c r="AC6" s="102">
        <f t="array" ref="AC6">IF($G6=0, INDEX(LS_previous!$D$4:$AY$137, MATCH('Staging Table'!$A6, LS_previous!$B$4:$B$137, 0), MATCH(AC$4&amp;AC$5, LS_previous!$D$2:$AY$2&amp;LS_previous!$D$3:$AY$3, 0)),SUM(VLOOKUP($A6, LS_previous!$B$4:$AY$137, LS_previous!U$148, FALSE), VLOOKUP('Staging Table'!$A6, LS_previous!$B$4:$AY$137,LS_previous!AS$148, FALSE))/2)</f>
        <v>205.09217047649997</v>
      </c>
      <c r="AD6" s="102">
        <f t="array" ref="AD6">IF($G6=0, INDEX(LS_previous!$D$4:$AY$137, MATCH('Staging Table'!$A6, LS_previous!$B$4:$B$137, 0), MATCH(AD$4&amp;AD$5, LS_previous!$D$2:$AY$2&amp;LS_previous!$D$3:$AY$3, 0)),SUM(VLOOKUP($A6, LS_previous!$B$4:$AY$137, LS_previous!V$148, FALSE), VLOOKUP('Staging Table'!$A6, LS_previous!$B$4:$AY$137,LS_previous!AT$148, FALSE))/2)</f>
        <v>341.59336358800005</v>
      </c>
      <c r="AE6" s="102">
        <f t="array" ref="AE6">IF($G6=0, INDEX(LS_previous!$D$4:$AY$137, MATCH('Staging Table'!$A6, LS_previous!$B$4:$B$137, 0), MATCH(AE$4&amp;AE$5, LS_previous!$D$2:$AY$2&amp;LS_previous!$D$3:$AY$3, 0)),SUM(VLOOKUP($A6, LS_previous!$B$4:$AY$137, LS_previous!W$148, FALSE), VLOOKUP('Staging Table'!$A6, LS_previous!$B$4:$AY$137,LS_previous!AU$148, FALSE))/2)</f>
        <v>381.93102191750006</v>
      </c>
      <c r="AF6" s="102">
        <f t="array" ref="AF6">IF($G6=0, INDEX(LS_previous!$D$4:$AY$137, MATCH('Staging Table'!$A6, LS_previous!$B$4:$B$137, 0), MATCH(AF$4&amp;AF$5, LS_previous!$D$2:$AY$2&amp;LS_previous!$D$3:$AY$3, 0)),SUM(VLOOKUP($A6, LS_previous!$B$4:$AY$137, LS_previous!X$148, FALSE), VLOOKUP('Staging Table'!$A6, LS_previous!$B$4:$AY$137,LS_previous!AV$148, FALSE))/2)</f>
        <v>323.1689157655</v>
      </c>
      <c r="AG6" s="102">
        <f t="array" ref="AG6">IF($G6=0, INDEX(LS_previous!$D$4:$AY$137, MATCH('Staging Table'!$A6, LS_previous!$B$4:$B$137, 0), MATCH(AG$4&amp;AG$5, LS_previous!$D$2:$AY$2&amp;LS_previous!$D$3:$AY$3, 0)),SUM(VLOOKUP($A6, LS_previous!$B$4:$AY$137, LS_previous!Y$148, FALSE), VLOOKUP('Staging Table'!$A6, LS_previous!$B$4:$AY$137,LS_previous!AW$148, FALSE))/2)</f>
        <v>339.57373937245001</v>
      </c>
      <c r="AH6" s="102">
        <f t="array" ref="AH6">IF($G6=0, INDEX(LS_previous!$D$4:$AY$137, MATCH('Staging Table'!$A6, LS_previous!$B$4:$B$137, 0), MATCH(AH$4&amp;AH$5, LS_previous!$D$2:$AY$2&amp;LS_previous!$D$3:$AY$3, 0)),SUM(VLOOKUP($A6, LS_previous!$B$4:$AY$137, LS_previous!Z$148, FALSE), VLOOKUP('Staging Table'!$A6, LS_previous!$B$4:$AY$137,LS_previous!AX$148, FALSE))/2)</f>
        <v>125.630123258</v>
      </c>
      <c r="AI6" s="102">
        <f t="array" ref="AI6">IF($G6=0, INDEX(LS_previous!$D$4:$AY$137, MATCH('Staging Table'!$A6, LS_previous!$B$4:$B$137, 0), MATCH(AI$4&amp;AI$5, LS_previous!$D$2:$AY$2&amp;LS_previous!$D$3:$AY$3, 0)),SUM(VLOOKUP($A6, LS_previous!$B$4:$AY$137, LS_previous!AA$148, FALSE), VLOOKUP('Staging Table'!$A6, LS_previous!$B$4:$AY$137,LS_previous!AY$148, FALSE))/2)</f>
        <v>224.89636436799998</v>
      </c>
      <c r="AJ6" s="103">
        <f t="array" ref="AJ6">INDEX(Demand_previous!$D$4:$AY$137, MATCH('Staging Table'!$A6, Demand_previous!$B$4:$B$137, 0), MATCH(AJ$4&amp;AJ$5,Demand_previous!$D$2:$AY$2&amp;Demand_previous!$D$3:$AY$3, 0))/1000</f>
        <v>0.27981490384615382</v>
      </c>
      <c r="AK6" s="103">
        <f t="array" ref="AK6">INDEX(Demand_previous!$D$4:$AY$137, MATCH('Staging Table'!$A6, Demand_previous!$B$4:$B$137, 0), MATCH(AK$4&amp;AK$5,Demand_previous!$D$2:$AY$2&amp;Demand_previous!$D$3:$AY$3, 0))/1000</f>
        <v>0</v>
      </c>
      <c r="AL6" s="103">
        <f t="array" ref="AL6">INDEX(Demand_previous!$D$4:$AY$137, MATCH('Staging Table'!$A6, Demand_previous!$B$4:$B$137, 0), MATCH(AL$4&amp;AL$5,Demand_previous!$D$2:$AY$2&amp;Demand_previous!$D$3:$AY$3, 0))/1000</f>
        <v>1.3137500000000024E-2</v>
      </c>
      <c r="AM6" s="103">
        <f t="array" ref="AM6">INDEX(Demand_previous!$D$4:$AY$137, MATCH('Staging Table'!$A6, Demand_previous!$B$4:$B$137, 0), MATCH(AM$4&amp;AM$5,Demand_previous!$D$2:$AY$2&amp;Demand_previous!$D$3:$AY$3, 0))/1000</f>
        <v>0.11275961538461532</v>
      </c>
      <c r="AN6" s="103">
        <f t="array" ref="AN6">INDEX(Demand_previous!$D$4:$AY$137, MATCH('Staging Table'!$A6, Demand_previous!$B$4:$B$137, 0), MATCH(AN$4&amp;AN$5,Demand_previous!$D$2:$AY$2&amp;Demand_previous!$D$3:$AY$3, 0))/1000</f>
        <v>0.24074000000000007</v>
      </c>
      <c r="AO6" s="103">
        <f t="array" ref="AO6">INDEX(Demand_previous!$D$4:$AY$137, MATCH('Staging Table'!$A6, Demand_previous!$B$4:$B$137, 0), MATCH(AO$4&amp;AO$5,Demand_previous!$D$2:$AY$2&amp;Demand_previous!$D$3:$AY$3, 0))/1000</f>
        <v>0.17306250000000001</v>
      </c>
      <c r="AP6" s="103">
        <f t="array" ref="AP6">INDEX(Demand_previous!$D$4:$AY$137, MATCH('Staging Table'!$A6, Demand_previous!$B$4:$B$137, 0), MATCH(AP$4&amp;AP$5,Demand_previous!$D$2:$AY$2&amp;Demand_previous!$D$3:$AY$3, 0))/1000</f>
        <v>0.53186057692307687</v>
      </c>
      <c r="AQ6" s="103">
        <f t="array" ref="AQ6">INDEX(Demand_previous!$D$4:$AY$137, MATCH('Staging Table'!$A6, Demand_previous!$B$4:$B$137, 0), MATCH(AQ$4&amp;AQ$5,Demand_previous!$D$2:$AY$2&amp;Demand_previous!$D$3:$AY$3, 0))/1000</f>
        <v>0.47712980769230762</v>
      </c>
      <c r="AR6" s="103">
        <f t="array" ref="AR6">INDEX(Demand_previous!$D$4:$AY$137, MATCH('Staging Table'!$A6, Demand_previous!$B$4:$B$137, 0), MATCH(AR$4&amp;AR$5,Demand_previous!$D$2:$AY$2&amp;Demand_previous!$D$3:$AY$3, 0))/1000</f>
        <v>0.43407499999999999</v>
      </c>
      <c r="AS6" s="103">
        <f t="array" ref="AS6">INDEX(Demand_previous!$D$4:$AY$137, MATCH('Staging Table'!$A6, Demand_previous!$B$4:$B$137, 0), MATCH(AS$4&amp;AS$5,Demand_previous!$D$2:$AY$2&amp;Demand_previous!$D$3:$AY$3, 0))/1000</f>
        <v>0.63393028846153832</v>
      </c>
      <c r="AT6" s="103">
        <f t="array" ref="AT6">INDEX(Demand_previous!$D$4:$AY$137, MATCH('Staging Table'!$A6, Demand_previous!$B$4:$B$137, 0), MATCH(AT$4&amp;AT$5,Demand_previous!$D$2:$AY$2&amp;Demand_previous!$D$3:$AY$3, 0))/1000</f>
        <v>0.36202083333333324</v>
      </c>
      <c r="AU6" s="103">
        <f t="array" ref="AU6">INDEX(Demand_previous!$D$4:$AY$137, MATCH('Staging Table'!$A6, Demand_previous!$B$4:$B$137, 0), MATCH(AU$4&amp;AU$5,Demand_previous!$D$2:$AY$2&amp;Demand_previous!$D$3:$AY$3, 0))/1000</f>
        <v>0.49063020833333315</v>
      </c>
      <c r="AV6" s="102">
        <f>$F6*(VLOOKUP(AV$4, Rates_previous!$G$6:$Q$29, 10, FALSE)+VLOOKUP(AV$4, Rates_previous!$G$6:$Q$29, 11, FALSE))</f>
        <v>350.16071220449999</v>
      </c>
      <c r="AW6" s="102">
        <f>$F6*(VLOOKUP(AW$4, Rates_previous!$G$6:$Q$29, 10, FALSE)+VLOOKUP(AW$4, Rates_previous!$G$6:$Q$29, 11, FALSE))</f>
        <v>446.57037459700007</v>
      </c>
      <c r="AX6" s="102">
        <f>$F6*(VLOOKUP(AX$4, Rates_previous!$G$6:$Q$29, 10, FALSE)+VLOOKUP(AX$4, Rates_previous!$G$6:$Q$29, 11, FALSE))</f>
        <v>481.93779310500003</v>
      </c>
      <c r="AY6" s="102">
        <f>$F6*(VLOOKUP(AY$4, Rates_previous!$G$6:$Q$29, 10, FALSE)+VLOOKUP(AY$4, Rates_previous!$G$6:$Q$29, 11, FALSE))</f>
        <v>500.80786875199999</v>
      </c>
      <c r="AZ6" s="102">
        <f>$F6*(VLOOKUP(AZ$4, Rates_previous!$G$6:$Q$29, 10, FALSE)+VLOOKUP(AZ$4, Rates_previous!$G$6:$Q$29, 11, FALSE))</f>
        <v>430.76152055399996</v>
      </c>
      <c r="BA6" s="102">
        <f>$F6*(VLOOKUP(BA$4, Rates_previous!$G$6:$Q$29, 10, FALSE)+VLOOKUP(BA$4, Rates_previous!$G$6:$Q$29, 11, FALSE))</f>
        <v>470.30629395299997</v>
      </c>
      <c r="BB6" s="102">
        <f>$F6*(VLOOKUP(BB$4, Rates_previous!$G$6:$Q$29, 10, FALSE)+VLOOKUP(BB$4, Rates_previous!$G$6:$Q$29, 11, FALSE))</f>
        <v>371.22756285774994</v>
      </c>
      <c r="BC6" s="102">
        <f>$F6*(VLOOKUP(BC$4, Rates_previous!$G$6:$Q$29, 10, FALSE)+VLOOKUP(BC$4, Rates_previous!$G$6:$Q$29, 11, FALSE))</f>
        <v>460.5575385395</v>
      </c>
      <c r="BD6" s="102">
        <f>$F6*(VLOOKUP(BD$4, Rates_previous!$G$6:$Q$29, 10, FALSE)+VLOOKUP(BD$4, Rates_previous!$G$6:$Q$29, 11, FALSE))</f>
        <v>470.55048738149998</v>
      </c>
      <c r="BE6" s="102">
        <f>$F6*(VLOOKUP(BE$4, Rates_previous!$G$6:$Q$29, 10, FALSE)+VLOOKUP(BE$4, Rates_previous!$G$6:$Q$29, 11, FALSE))</f>
        <v>408.50561449449998</v>
      </c>
      <c r="BF6" s="102">
        <f>$F6*(VLOOKUP(BF$4, Rates_previous!$G$6:$Q$29, 10, FALSE)+VLOOKUP(BF$4, Rates_previous!$G$6:$Q$29, 11, FALSE))</f>
        <v>394.91634486205004</v>
      </c>
      <c r="BG6" s="102">
        <f>$F6*(VLOOKUP(BG$4, Rates_previous!$G$6:$Q$29, 10, FALSE)+VLOOKUP(BG$4, Rates_previous!$G$6:$Q$29, 11, FALSE))</f>
        <v>363.39951237400004</v>
      </c>
      <c r="BH6" s="103">
        <f>IF($D6=0,IF(C6=0, MAX(BJ6 - (VLOOKUP($A6,TOCA_previous!$A$2:$AJ$136,MATCH("RHWM "&amp;Init!$D$1-2,TOCA_previous!$A$2:$AJ$2,0),FALSE)*$F$2*TOCA_previous!C3),0),0), 0)</f>
        <v>1637.3890236051993</v>
      </c>
      <c r="BI6" s="109">
        <f>MIN(VLOOKUP($A6,TOCA_previous!$A$2:$AJ$136,MATCH("TRL - NLSL - Existing Resource "&amp;$F$1,TOCA_previous!$A$2:$AJ$2,0),FALSE)*$F$2,(VLOOKUP($A6,TOCA_previous!$A$2:$AJ$136,MATCH("RHWM "&amp;Init!$D$1-2,TOCA_previous!$A$2:$AJ$2,0),FALSE)*$F$2))</f>
        <v>5033.232</v>
      </c>
      <c r="BJ6" s="261">
        <f>SUM(L6:AI6)+(F6*RT1SC!$C$3*$F$2)</f>
        <v>6670.6210236051993</v>
      </c>
      <c r="BK6" s="260">
        <f>VLOOKUP($A6,TOCA_previous!$A$2:$AJ$136,MATCH("Above RHWM Not Served with LS "&amp;$F$1,TOCA_previous!$A$2:$AJ$2,0),FALSE)*$F$2</f>
        <v>0</v>
      </c>
      <c r="BL6" s="261">
        <f t="shared" ref="BL6" si="5">BJ6-BI6</f>
        <v>1637.3890236051993</v>
      </c>
      <c r="BM6" s="260">
        <f>(VLOOKUP($A6,TOCA_previous!$A$2:$AJ$136,MATCH("RHWM "&amp;Init!$D$1-2,TOCA_previous!$A$2:$AJ$2,0),FALSE)*$F$2) - $BI6</f>
        <v>0</v>
      </c>
      <c r="BN6" s="261">
        <f t="shared" ref="BN6" si="6">IF(BL6&gt;0,IF(BM6&gt;0,(-1)*MIN(BL6,BM6),0),0)</f>
        <v>0</v>
      </c>
      <c r="BO6" s="260">
        <f t="shared" ref="BO6" si="7">IF(BL6&lt;0,IF(BK6&lt;ABS(BL6),MAX(0,ABS($BL6)-(BK6)),0),0)</f>
        <v>0</v>
      </c>
      <c r="BP6" s="261">
        <f t="shared" ref="BP6" si="8">IF(AND(BK6&gt;0,BM6&gt;0),IF(AND(BL6&lt;=0,ABS(BL6)&lt;BK6),(-1)*MIN(BK6,BK6-ABS(BL6),BM6),IF(AND(BL6&gt;0,BL6&lt;BM6),(-1)*MIN(BK6,BM6-BL6),0)),0)</f>
        <v>0</v>
      </c>
      <c r="BQ6" s="260">
        <f t="shared" ref="BQ6:BQ139" si="9">IF($D6=0,SUM($BN6:$BP6),0)</f>
        <v>0</v>
      </c>
      <c r="BR6" s="85">
        <f>VLOOKUP($A6,TOCA_current!$A$2:$ZZ$136,MATCH(BR$4,TOCA_current!$A$2:$ZZ$2,0),FALSE)</f>
        <v>8.1199999999999995E-5</v>
      </c>
      <c r="BS6" s="85">
        <f>VLOOKUP($A6,TOCA_current!$A$2:$ZZ$136,MATCH(BS$4,TOCA_current!$A$2:$ZZ$2,0),FALSE)</f>
        <v>8.1199999999999995E-5</v>
      </c>
      <c r="BT6" s="108">
        <f t="shared" ref="BT6" si="10">BR6-BS6</f>
        <v>0</v>
      </c>
      <c r="BU6" s="85">
        <f>VLOOKUP($A6,TOCA_current!A3:BG137,MATCH(BU$4,TOCA_current!$A$2:$BG$2,0),FALSE)</f>
        <v>0</v>
      </c>
      <c r="BV6" s="85">
        <f t="shared" ref="BV6" si="11">IF(C6=0,0,BU6)</f>
        <v>0</v>
      </c>
      <c r="BW6" s="85">
        <f t="shared" ref="BW6" si="12">IF(C6=0,0,BR6)</f>
        <v>0</v>
      </c>
      <c r="BX6" s="101">
        <f>VLOOKUP($A6,IRD!$A$4:$G$138, 7, FALSE)</f>
        <v>0</v>
      </c>
      <c r="BY6" s="102">
        <f t="array" ref="BY6">IF($BT6=0, INDEX(LS_current!$D$4:$BW$137, MATCH('Staging Table'!$A6, LS_current!$B$4:$B$137, 0), MATCH(BY$4&amp;BY$5, LS_current!$D$2:$BW$2&amp;LS_current!$D$3:$BW$3, 0)),SUM(VLOOKUP($A6, LS_current!$B$4:$BW$137, LS_current!D$147, FALSE), VLOOKUP($A6, LS_current!$B$4:$BW$137,LS_current!AZ$147, FALSE))/2)</f>
        <v>22.218330096847353</v>
      </c>
      <c r="BZ6" s="102">
        <f t="array" ref="BZ6">IF($BT6=0, INDEX(LS_current!$D$4:$BW$137, MATCH('Staging Table'!$A6, LS_current!$B$4:$B$137, 0), MATCH(BZ$4&amp;BZ$5, LS_current!$D$2:$BW$2&amp;LS_current!$D$3:$BW$3, 0)),SUM(VLOOKUP($A6, LS_current!$B$4:$BW$137, LS_current!E$147, FALSE), VLOOKUP($A6, LS_current!$B$4:$BW$137,LS_current!BA$147, FALSE))/2)</f>
        <v>64.139316078547267</v>
      </c>
      <c r="CA6" s="102">
        <f t="array" ref="CA6">IF($BT6=0, INDEX(LS_current!$D$4:$BW$137, MATCH('Staging Table'!$A6, LS_current!$B$4:$B$137, 0), MATCH(CA$4&amp;CA$5, LS_current!$D$2:$BW$2&amp;LS_current!$D$3:$BW$3, 0)),SUM(VLOOKUP($A6, LS_current!$B$4:$BW$137, LS_current!F$147, FALSE), VLOOKUP($A6, LS_current!$B$4:$BW$137,LS_current!BB$147, FALSE))/2)</f>
        <v>-90.875655444925457</v>
      </c>
      <c r="CB6" s="102">
        <f t="array" ref="CB6">IF($BT6=0, INDEX(LS_current!$D$4:$BW$137, MATCH('Staging Table'!$A6, LS_current!$B$4:$B$137, 0), MATCH(CB$4&amp;CB$5, LS_current!$D$2:$BW$2&amp;LS_current!$D$3:$BW$3, 0)),SUM(VLOOKUP($A6, LS_current!$B$4:$BW$137, LS_current!G$147, FALSE), VLOOKUP($A6, LS_current!$B$4:$BW$137,LS_current!BC$147, FALSE))/2)</f>
        <v>-46.681040938493297</v>
      </c>
      <c r="CC6" s="102">
        <f t="array" ref="CC6">IF($BT6=0, INDEX(LS_current!$D$4:$BW$137, MATCH('Staging Table'!$A6, LS_current!$B$4:$B$137, 0), MATCH(CC$4&amp;CC$5, LS_current!$D$2:$BW$2&amp;LS_current!$D$3:$BW$3, 0)),SUM(VLOOKUP($A6, LS_current!$B$4:$BW$137, LS_current!H$147, FALSE), VLOOKUP($A6, LS_current!$B$4:$BW$137,LS_current!BD$147, FALSE))/2)</f>
        <v>-142.04716037295395</v>
      </c>
      <c r="CD6" s="102">
        <f t="array" ref="CD6">IF($BT6=0, INDEX(LS_current!$D$4:$BW$137, MATCH('Staging Table'!$A6, LS_current!$B$4:$B$137, 0), MATCH(CD$4&amp;CD$5, LS_current!$D$2:$BW$2&amp;LS_current!$D$3:$BW$3, 0)),SUM(VLOOKUP($A6, LS_current!$B$4:$BW$137, LS_current!I$147, FALSE), VLOOKUP($A6, LS_current!$B$4:$BW$137,LS_current!BE$147, FALSE))/2)</f>
        <v>-42.821635626251378</v>
      </c>
      <c r="CE6" s="102">
        <f t="array" ref="CE6">IF($BT6=0, INDEX(LS_current!$D$4:$BW$137, MATCH('Staging Table'!$A6, LS_current!$B$4:$B$137, 0), MATCH(CE$4&amp;CE$5, LS_current!$D$2:$BW$2&amp;LS_current!$D$3:$BW$3, 0)),SUM(VLOOKUP($A6, LS_current!$B$4:$BW$137, LS_current!J$147, FALSE), VLOOKUP($A6, LS_current!$B$4:$BW$137,LS_current!BF$147, FALSE))/2)</f>
        <v>-134.29404225803145</v>
      </c>
      <c r="CF6" s="102">
        <f t="array" ref="CF6">IF($BT6=0, INDEX(LS_current!$D$4:$BW$137, MATCH('Staging Table'!$A6, LS_current!$B$4:$B$137, 0), MATCH(CF$4&amp;CF$5, LS_current!$D$2:$BW$2&amp;LS_current!$D$3:$BW$3, 0)),SUM(VLOOKUP($A6, LS_current!$B$4:$BW$137, LS_current!K$147, FALSE), VLOOKUP($A6, LS_current!$B$4:$BW$137,LS_current!BG$147, FALSE))/2)</f>
        <v>-73.069068713480675</v>
      </c>
      <c r="CG6" s="102">
        <f t="array" ref="CG6">IF($BT6=0, INDEX(LS_current!$D$4:$BW$137, MATCH('Staging Table'!$A6, LS_current!$B$4:$B$137, 0), MATCH(CG$4&amp;CG$5, LS_current!$D$2:$BW$2&amp;LS_current!$D$3:$BW$3, 0)),SUM(VLOOKUP($A6, LS_current!$B$4:$BW$137, LS_current!L$147, FALSE), VLOOKUP($A6, LS_current!$B$4:$BW$137,LS_current!BH$147, FALSE))/2)</f>
        <v>-108.38043785800971</v>
      </c>
      <c r="CH6" s="102">
        <f t="array" ref="CH6">IF($BT6=0, INDEX(LS_current!$D$4:$BW$137, MATCH('Staging Table'!$A6, LS_current!$B$4:$B$137, 0), MATCH(CH$4&amp;CH$5, LS_current!$D$2:$BW$2&amp;LS_current!$D$3:$BW$3, 0)),SUM(VLOOKUP($A6, LS_current!$B$4:$BW$137, LS_current!M$147, FALSE), VLOOKUP($A6, LS_current!$B$4:$BW$137,LS_current!BI$147, FALSE))/2)</f>
        <v>-32.437155059131086</v>
      </c>
      <c r="CI6" s="102">
        <f t="array" ref="CI6">IF($BT6=0, INDEX(LS_current!$D$4:$BW$137, MATCH('Staging Table'!$A6, LS_current!$B$4:$B$137, 0), MATCH(CI$4&amp;CI$5, LS_current!$D$2:$BW$2&amp;LS_current!$D$3:$BW$3, 0)),SUM(VLOOKUP($A6, LS_current!$B$4:$BW$137, LS_current!N$147, FALSE), VLOOKUP($A6, LS_current!$B$4:$BW$137,LS_current!BJ$147, FALSE))/2)</f>
        <v>-97.746275834730426</v>
      </c>
      <c r="CJ6" s="102">
        <f t="array" ref="CJ6">IF($BT6=0, INDEX(LS_current!$D$4:$BW$137, MATCH('Staging Table'!$A6, LS_current!$B$4:$B$137, 0), MATCH(CJ$4&amp;CJ$5, LS_current!$D$2:$BW$2&amp;LS_current!$D$3:$BW$3, 0)),SUM(VLOOKUP($A6, LS_current!$B$4:$BW$137, LS_current!O$147, FALSE), VLOOKUP($A6, LS_current!$B$4:$BW$137,LS_current!BK$147, FALSE))/2)</f>
        <v>-42.036557341964183</v>
      </c>
      <c r="CK6" s="102">
        <f t="array" ref="CK6">IF($BT6=0, INDEX(LS_current!$D$4:$BW$137, MATCH('Staging Table'!$A6, LS_current!$B$4:$B$137, 0), MATCH(CK$4&amp;CK$5, LS_current!$D$2:$BW$2&amp;LS_current!$D$3:$BW$3, 0)),SUM(VLOOKUP($A6, LS_current!$B$4:$BW$137, LS_current!P$147, FALSE), VLOOKUP($A6, LS_current!$B$4:$BW$137,LS_current!BL$147, FALSE))/2)</f>
        <v>26.073779275338183</v>
      </c>
      <c r="CL6" s="102">
        <f t="array" ref="CL6">IF($BT6=0, INDEX(LS_current!$D$4:$BW$137, MATCH('Staging Table'!$A6, LS_current!$B$4:$B$137, 0), MATCH(CL$4&amp;CL$5, LS_current!$D$2:$BW$2&amp;LS_current!$D$3:$BW$3, 0)),SUM(VLOOKUP($A6, LS_current!$B$4:$BW$137, LS_current!Q$147, FALSE), VLOOKUP($A6, LS_current!$B$4:$BW$137,LS_current!BM$147, FALSE))/2)</f>
        <v>19.360720977568207</v>
      </c>
      <c r="CM6" s="102">
        <f t="array" ref="CM6">IF($BT6=0, INDEX(LS_current!$D$4:$BW$137, MATCH('Staging Table'!$A6, LS_current!$B$4:$B$137, 0), MATCH(CM$4&amp;CM$5, LS_current!$D$2:$BW$2&amp;LS_current!$D$3:$BW$3, 0)),SUM(VLOOKUP($A6, LS_current!$B$4:$BW$137, LS_current!R$147, FALSE), VLOOKUP($A6, LS_current!$B$4:$BW$137,LS_current!BN$147, FALSE))/2)</f>
        <v>57.21513931670512</v>
      </c>
      <c r="CN6" s="102">
        <f t="array" ref="CN6">IF($BT6=0, INDEX(LS_current!$D$4:$BW$137, MATCH('Staging Table'!$A6, LS_current!$B$4:$B$137, 0), MATCH(CN$4&amp;CN$5, LS_current!$D$2:$BW$2&amp;LS_current!$D$3:$BW$3, 0)),SUM(VLOOKUP($A6, LS_current!$B$4:$BW$137, LS_current!S$147, FALSE), VLOOKUP($A6, LS_current!$B$4:$BW$137,LS_current!BO$147, FALSE))/2)</f>
        <v>133.51551764340678</v>
      </c>
      <c r="CO6" s="102">
        <f t="array" ref="CO6">IF($BT6=0, INDEX(LS_current!$D$4:$BW$137, MATCH('Staging Table'!$A6, LS_current!$B$4:$B$137, 0), MATCH(CO$4&amp;CO$5, LS_current!$D$2:$BW$2&amp;LS_current!$D$3:$BW$3, 0)),SUM(VLOOKUP($A6, LS_current!$B$4:$BW$137, LS_current!T$147, FALSE), VLOOKUP($A6, LS_current!$B$4:$BW$137,LS_current!BP$147, FALSE))/2)</f>
        <v>136.96427438440941</v>
      </c>
      <c r="CP6" s="102">
        <f t="array" ref="CP6">IF($BT6=0, INDEX(LS_current!$D$4:$BW$137, MATCH('Staging Table'!$A6, LS_current!$B$4:$B$137, 0), MATCH(CP$4&amp;CP$5, LS_current!$D$2:$BW$2&amp;LS_current!$D$3:$BW$3, 0)),SUM(VLOOKUP($A6, LS_current!$B$4:$BW$137, LS_current!U$147, FALSE), VLOOKUP($A6, LS_current!$B$4:$BW$137,LS_current!BQ$147, FALSE))/2)</f>
        <v>219.53461417266578</v>
      </c>
      <c r="CQ6" s="102">
        <f t="array" ref="CQ6">IF($BT6=0, INDEX(LS_current!$D$4:$BW$137, MATCH('Staging Table'!$A6, LS_current!$B$4:$B$137, 0), MATCH(CQ$4&amp;CQ$5, LS_current!$D$2:$BW$2&amp;LS_current!$D$3:$BW$3, 0)),SUM(VLOOKUP($A6, LS_current!$B$4:$BW$137, LS_current!V$147, FALSE), VLOOKUP($A6, LS_current!$B$4:$BW$137,LS_current!BR$147, FALSE))/2)</f>
        <v>336.01867961121758</v>
      </c>
      <c r="CR6" s="102">
        <f t="array" ref="CR6">IF($BT6=0, INDEX(LS_current!$D$4:$BW$137, MATCH('Staging Table'!$A6, LS_current!$B$4:$B$137, 0), MATCH(CR$4&amp;CR$5, LS_current!$D$2:$BW$2&amp;LS_current!$D$3:$BW$3, 0)),SUM(VLOOKUP($A6, LS_current!$B$4:$BW$137, LS_current!W$147, FALSE), VLOOKUP($A6, LS_current!$B$4:$BW$137,LS_current!BS$147, FALSE))/2)</f>
        <v>385.47396158232505</v>
      </c>
      <c r="CS6" s="102">
        <f t="array" ref="CS6">IF($BT6=0, INDEX(LS_current!$D$4:$BW$137, MATCH('Staging Table'!$A6, LS_current!$B$4:$B$137, 0), MATCH(CS$4&amp;CS$5, LS_current!$D$2:$BW$2&amp;LS_current!$D$3:$BW$3, 0)),SUM(VLOOKUP($A6, LS_current!$B$4:$BW$137, LS_current!X$147, FALSE), VLOOKUP($A6, LS_current!$B$4:$BW$137,LS_current!BT$147, FALSE))/2)</f>
        <v>293.75270474039371</v>
      </c>
      <c r="CT6" s="102">
        <f t="array" ref="CT6">IF($BT6=0, INDEX(LS_current!$D$4:$BW$137, MATCH('Staging Table'!$A6, LS_current!$B$4:$B$137, 0), MATCH(CT$4&amp;CT$5, LS_current!$D$2:$BW$2&amp;LS_current!$D$3:$BW$3, 0)),SUM(VLOOKUP($A6, LS_current!$B$4:$BW$137, LS_current!Y$147, FALSE), VLOOKUP($A6, LS_current!$B$4:$BW$137,LS_current!BU$147, FALSE))/2)</f>
        <v>342.77025521122175</v>
      </c>
      <c r="CU6" s="102">
        <f t="array" ref="CU6">IF($BT6=0, INDEX(LS_current!$D$4:$BW$137, MATCH('Staging Table'!$A6, LS_current!$B$4:$B$137, 0), MATCH(CU$4&amp;CU$5, LS_current!$D$2:$BW$2&amp;LS_current!$D$3:$BW$3, 0)),SUM(VLOOKUP($A6, LS_current!$B$4:$BW$137, LS_current!Z$147, FALSE), VLOOKUP($A6, LS_current!$B$4:$BW$137,LS_current!BV$147, FALSE))/2)</f>
        <v>139.09798727551825</v>
      </c>
      <c r="CV6" s="102">
        <f t="array" ref="CV6">IF($BT6=0, INDEX(LS_current!$D$4:$BW$137, MATCH('Staging Table'!$A6, LS_current!$B$4:$B$137, 0), MATCH(CV$4&amp;CV$5, LS_current!$D$2:$BW$2&amp;LS_current!$D$3:$BW$3, 0)),SUM(VLOOKUP($A6, LS_current!$B$4:$BW$137, LS_current!AA$147, FALSE), VLOOKUP($A6, LS_current!$B$4:$BW$137,LS_current!BW$147, FALSE))/2)</f>
        <v>247.76539537783384</v>
      </c>
      <c r="CW6" s="103">
        <f t="array" ref="CW6">INDEX(Demand_current!$D$4:$BW$137, MATCH($A6, Demand_current!$B$4:$B$137, 0), MATCH(CW$4&amp;CW$5,Demand_current!$D$2:$BW$2&amp;Demand_current!$D$3:$BW$3, 0))/1000</f>
        <v>0.30048842592592584</v>
      </c>
      <c r="CX6" s="103">
        <f t="array" ref="CX6">INDEX(Demand_current!$D$4:$BW$137, MATCH($A6, Demand_current!$B$4:$B$137, 0), MATCH(CX$4&amp;CX$5,Demand_current!$D$2:$BW$2&amp;Demand_current!$D$3:$BW$3, 0))/1000</f>
        <v>0</v>
      </c>
      <c r="CY6" s="103">
        <f t="array" ref="CY6">INDEX(Demand_current!$D$4:$BW$137, MATCH($A6, Demand_current!$B$4:$B$137, 0), MATCH(CY$4&amp;CY$5,Demand_current!$D$2:$BW$2&amp;Demand_current!$D$3:$BW$3, 0))/1000</f>
        <v>2.9670673076923174E-2</v>
      </c>
      <c r="CZ6" s="103">
        <f t="array" ref="CZ6">INDEX(Demand_current!$D$4:$BW$137, MATCH($A6, Demand_current!$B$4:$B$137, 0), MATCH(CZ$4&amp;CZ$5,Demand_current!$D$2:$BW$2&amp;Demand_current!$D$3:$BW$3, 0))/1000</f>
        <v>0.11275961538461532</v>
      </c>
      <c r="DA6" s="103">
        <f t="array" ref="DA6">INDEX(Demand_current!$D$4:$BW$137, MATCH($A6, Demand_current!$B$4:$B$137, 0), MATCH(DA$4&amp;DA$5,Demand_current!$D$2:$BW$2&amp;Demand_current!$D$3:$BW$3, 0))/1000</f>
        <v>0.22472916666666676</v>
      </c>
      <c r="DB6" s="103">
        <f t="array" ref="DB6">INDEX(Demand_current!$D$4:$BW$137, MATCH($A6, Demand_current!$B$4:$B$137, 0), MATCH(DB$4&amp;DB$5,Demand_current!$D$2:$BW$2&amp;Demand_current!$D$3:$BW$3, 0))/1000</f>
        <v>0.17306250000000001</v>
      </c>
      <c r="DC6" s="103">
        <f t="array" ref="DC6">INDEX(Demand_current!$D$4:$BW$137, MATCH($A6, Demand_current!$B$4:$B$137, 0), MATCH(DC$4&amp;DC$5,Demand_current!$D$2:$BW$2&amp;Demand_current!$D$3:$BW$3, 0))/1000</f>
        <v>0.53186057692307687</v>
      </c>
      <c r="DD6" s="103">
        <f t="array" ref="DD6">INDEX(Demand_current!$D$4:$BW$137, MATCH($A6, Demand_current!$B$4:$B$137, 0), MATCH(DD$4&amp;DD$5,Demand_current!$D$2:$BW$2&amp;Demand_current!$D$3:$BW$3, 0))/1000</f>
        <v>0.44533500000000004</v>
      </c>
      <c r="DE6" s="103">
        <f t="array" ref="DE6">INDEX(Demand_current!$D$4:$BW$137, MATCH($A6, Demand_current!$B$4:$B$137, 0), MATCH(DE$4&amp;DE$5,Demand_current!$D$2:$BW$2&amp;Demand_current!$D$3:$BW$3, 0))/1000</f>
        <v>0.47614903846153855</v>
      </c>
      <c r="DF6" s="103">
        <f t="array" ref="DF6">INDEX(Demand_current!$D$4:$BW$137, MATCH($A6, Demand_current!$B$4:$B$137, 0), MATCH(DF$4&amp;DF$5,Demand_current!$D$2:$BW$2&amp;Demand_current!$D$3:$BW$3, 0))/1000</f>
        <v>0.63393028846153832</v>
      </c>
      <c r="DG6" s="103">
        <f t="array" ref="DG6">INDEX(Demand_current!$D$4:$BW$137, MATCH($A6, Demand_current!$B$4:$B$137, 0), MATCH(DG$4&amp;DG$5,Demand_current!$D$2:$BW$2&amp;Demand_current!$D$3:$BW$3, 0))/1000</f>
        <v>0.31094471153846137</v>
      </c>
      <c r="DH6" s="103">
        <f t="array" ref="DH6">INDEX(Demand_current!$D$4:$BW$137, MATCH($A6, Demand_current!$B$4:$B$137, 0), MATCH(DH$4&amp;DH$5,Demand_current!$D$2:$BW$2&amp;Demand_current!$D$3:$BW$3, 0))/1000</f>
        <v>0.52632499999999993</v>
      </c>
      <c r="DI6" s="102">
        <f>$BS6*(VLOOKUP(DI$4, Rates_current!$H$6:$R$41, 10, FALSE)+VLOOKUP(DI$4, Rates_current!$H$6:$R$41, 11, FALSE))</f>
        <v>337.00335382460543</v>
      </c>
      <c r="DJ6" s="102">
        <f>$BS6*(VLOOKUP(DJ$4, Rates_current!$H$6:$R$41, 10, FALSE)+VLOOKUP(DJ$4, Rates_current!$H$6:$R$41, 11, FALSE))</f>
        <v>430.84769638341879</v>
      </c>
      <c r="DK6" s="102">
        <f>$BS6*(VLOOKUP(DK$4, Rates_current!$H$6:$R$41, 10, FALSE)+VLOOKUP(DK$4, Rates_current!$H$6:$R$41, 11, FALSE))</f>
        <v>489.83779599920524</v>
      </c>
      <c r="DL6" s="102">
        <f>$BS6*(VLOOKUP(DL$4, Rates_current!$H$6:$R$41, 10, FALSE)+VLOOKUP(DL$4, Rates_current!$H$6:$R$41, 11, FALSE))</f>
        <v>516.81711097151219</v>
      </c>
      <c r="DM6" s="102">
        <f>$BS6*(VLOOKUP(DM$4, Rates_current!$H$6:$R$41, 10, FALSE)+VLOOKUP(DM$4, Rates_current!$H$6:$R$41, 11, FALSE))</f>
        <v>411.8565929171408</v>
      </c>
      <c r="DN6" s="102">
        <f>$BS6*(VLOOKUP(DN$4, Rates_current!$H$6:$R$41, 10, FALSE)+VLOOKUP(DN$4, Rates_current!$H$6:$R$41, 11, FALSE))</f>
        <v>450.24383317669458</v>
      </c>
      <c r="DO6" s="102">
        <f>$BS6*(VLOOKUP(DO$4, Rates_current!$H$6:$R$41, 10, FALSE)+VLOOKUP(DO$4, Rates_current!$H$6:$R$41, 11, FALSE))</f>
        <v>348.94349974709365</v>
      </c>
      <c r="DP6" s="102">
        <f>$BS6*(VLOOKUP(DP$4, Rates_current!$H$6:$R$41, 10, FALSE)+VLOOKUP(DP$4, Rates_current!$H$6:$R$41, 11, FALSE))</f>
        <v>451.59034303988807</v>
      </c>
      <c r="DQ6" s="102">
        <f>$BS6*(VLOOKUP(DQ$4, Rates_current!$H$6:$R$41, 10, FALSE)+VLOOKUP(DQ$4, Rates_current!$H$6:$R$41, 11, FALSE))</f>
        <v>461.23311144292484</v>
      </c>
      <c r="DR6" s="102">
        <f>$BS6*(VLOOKUP(DR$4, Rates_current!$H$6:$R$41, 10, FALSE)+VLOOKUP(DR$4, Rates_current!$H$6:$R$41, 11, FALSE))</f>
        <v>410.53735880645741</v>
      </c>
      <c r="DS6" s="102">
        <f>$BS6*(VLOOKUP(DS$4, Rates_current!$H$6:$R$41, 10, FALSE)+VLOOKUP(DS$4, Rates_current!$H$6:$R$41, 11, FALSE))</f>
        <v>421.13604004838447</v>
      </c>
      <c r="DT6" s="102">
        <f>$BS6*(VLOOKUP(DT$4, Rates_current!$H$6:$R$41, 10, FALSE)+VLOOKUP(DT$4, Rates_current!$H$6:$R$41, 11, FALSE))</f>
        <v>327.06261734664793</v>
      </c>
      <c r="DU6" s="261">
        <f>IF(D6=0,IF(C6=0,MAX(0,DW6 - (VLOOKUP($A6,TOCA_current!$A$2:$AV$136,MATCH("RHWM "&amp;Init!$D$1,TOCA_current!$A$2:$AV$2,0),FALSE)*$BS$2)), 0),0)</f>
        <v>1616.1012985200268</v>
      </c>
      <c r="DV6" s="262">
        <f>MIN(VLOOKUP($A6,TOCA_current!$A$2:$AV$136,MATCH("TRL - NLSL - Existing Resource "&amp;$BS$1,TOCA_current!$A$2:$AV$2,0),FALSE)*$BS$2, VLOOKUP($A6,TOCA_current!$A$2:$AV$136,MATCH("RHWM "&amp;Init!$D$1,TOCA_current!$A$2:$AV$2,0),FALSE)*$BS$2)</f>
        <v>5054.5199999999995</v>
      </c>
      <c r="DW6" s="262">
        <f>SUM(BY6:CV6)+(BS6*RT1SC!$C$4*$BS$2)</f>
        <v>6670.6212985200264</v>
      </c>
      <c r="DX6" s="262">
        <f>VLOOKUP($A6,TOCA_current!$A$2:$AV$136,MATCH("Above RHWM Not Served with LS "&amp;$BS$1,TOCA_current!$A$2:$AV$2,0),FALSE)*$BS$2</f>
        <v>0</v>
      </c>
      <c r="DY6" s="262">
        <f t="shared" ref="DY6" si="13">DW6-DV6</f>
        <v>1616.1012985200268</v>
      </c>
      <c r="DZ6" s="262">
        <f>(VLOOKUP($A6,TOCA_current!$A$2:$AV$136,MATCH("RHWM "&amp;Init!$D$1,TOCA_current!$A$2:$AV$2,0),FALSE)*$BS$2) - $DV6</f>
        <v>0</v>
      </c>
      <c r="EA6" s="262">
        <f t="shared" ref="EA6" si="14">IF(DY6&gt;0,IF(DZ6&gt;0,(-1)*MIN(DY6,DZ6),0),0)</f>
        <v>0</v>
      </c>
      <c r="EB6" s="262">
        <f t="shared" ref="EB6" si="15">IF(DY6&lt;0,IF(DX6&lt;ABS(DY6),MAX(0,ABS($DY6)-(DX6)),0),0)</f>
        <v>0</v>
      </c>
      <c r="EC6" s="262">
        <f t="shared" ref="EC6" si="16">IF(AND(DX6&gt;0,DZ6&gt;0),IF(AND(DY6&lt;=0,ABS(DY6)&lt;DX6),(-1)*MIN(DX6,DX6-ABS(DY6),DZ6),IF(AND(DY6&gt;0,DY6&lt;DZ6),(-1)*MIN(DX6,DZ6-DY6),0)),0)</f>
        <v>0</v>
      </c>
      <c r="ED6" s="262">
        <f t="shared" ref="ED6" si="17">IF($D6=0,SUM(EA6:EC6),0)</f>
        <v>0</v>
      </c>
    </row>
    <row r="7" spans="1:134">
      <c r="A7" s="2">
        <v>10024</v>
      </c>
      <c r="B7" s="3" t="s">
        <v>9</v>
      </c>
      <c r="C7">
        <f>VLOOKUP(A7, TOCA_current!$A$3:$D$136, 4, FALSE)</f>
        <v>0</v>
      </c>
      <c r="D7">
        <v>0</v>
      </c>
      <c r="E7" s="84">
        <f>VLOOKUP($A7,TOCA_previous!$A$2:$AJ$136,MATCH(E$4,TOCA_previous!$A$2:$AJ$2,0),FALSE)</f>
        <v>2.90878E-2</v>
      </c>
      <c r="F7" s="85">
        <f>VLOOKUP($A7,TOCA_previous!$A$2:$AJ$136,MATCH(F$4,TOCA_previous!$A$2:$AJ$2,0),FALSE)</f>
        <v>2.90878E-2</v>
      </c>
      <c r="G7" s="85">
        <f t="shared" ref="G7:G70" si="18">E7-F7</f>
        <v>0</v>
      </c>
      <c r="H7" s="85">
        <f>VLOOKUP($A7,TOCA_previous!$A$2:$AJ$136,MATCH(H$4,TOCA_previous!$A$2:$AJ$2,0),FALSE)</f>
        <v>0</v>
      </c>
      <c r="I7" s="85">
        <f t="shared" ref="I7:I70" si="19">IF(C7=0,0,H7)</f>
        <v>0</v>
      </c>
      <c r="J7" s="85">
        <f t="shared" ref="J7:J70" si="20">IF(C7=0,0,E7)</f>
        <v>0</v>
      </c>
      <c r="K7" s="101">
        <f>VLOOKUP(A7, IRD!$A$5:$C$138, 3, FALSE)</f>
        <v>312239.2</v>
      </c>
      <c r="L7" s="102">
        <f t="array" ref="L7">IF($G7=0, INDEX(LS_previous!$D$4:$AY$137, MATCH('Staging Table'!$A7, LS_previous!$B$4:$B$137, 0), MATCH(L$4&amp;L$5, LS_previous!$D$2:$AY$2&amp;LS_previous!$D$3:$AY$3, 0)),SUM(VLOOKUP($A7, LS_previous!$B$4:$AY$137, LS_previous!D$148, FALSE), VLOOKUP('Staging Table'!$A7, LS_previous!$B$4:$AY$137,LS_previous!AB$148, FALSE))/2)</f>
        <v>-1348.4856303608103</v>
      </c>
      <c r="M7" s="102">
        <f t="array" ref="M7">IF($G7=0, INDEX(LS_previous!$D$4:$AY$137, MATCH('Staging Table'!$A7, LS_previous!$B$4:$B$137, 0), MATCH(M$4&amp;M$5, LS_previous!$D$2:$AY$2&amp;LS_previous!$D$3:$AY$3, 0)),SUM(VLOOKUP($A7, LS_previous!$B$4:$AY$137, LS_previous!E$148, FALSE), VLOOKUP('Staging Table'!$A7, LS_previous!$B$4:$AY$137,LS_previous!AC$148, FALSE))/2)</f>
        <v>-3430.2314233989018</v>
      </c>
      <c r="N7" s="102">
        <f t="array" ref="N7">IF($G7=0, INDEX(LS_previous!$D$4:$AY$137, MATCH('Staging Table'!$A7, LS_previous!$B$4:$B$137, 0), MATCH(N$4&amp;N$5, LS_previous!$D$2:$AY$2&amp;LS_previous!$D$3:$AY$3, 0)),SUM(VLOOKUP($A7, LS_previous!$B$4:$AY$137, LS_previous!F$148, FALSE), VLOOKUP('Staging Table'!$A7, LS_previous!$B$4:$AY$137,LS_previous!AD$148, FALSE))/2)</f>
        <v>-26827.073499398408</v>
      </c>
      <c r="O7" s="102">
        <f t="array" ref="O7">IF($G7=0, INDEX(LS_previous!$D$4:$AY$137, MATCH('Staging Table'!$A7, LS_previous!$B$4:$B$137, 0), MATCH(O$4&amp;O$5, LS_previous!$D$2:$AY$2&amp;LS_previous!$D$3:$AY$3, 0)),SUM(VLOOKUP($A7, LS_previous!$B$4:$AY$137, LS_previous!G$148, FALSE), VLOOKUP('Staging Table'!$A7, LS_previous!$B$4:$AY$137,LS_previous!AE$148, FALSE))/2)</f>
        <v>-12326.523442801801</v>
      </c>
      <c r="P7" s="102">
        <f t="array" ref="P7">IF($G7=0, INDEX(LS_previous!$D$4:$AY$137, MATCH('Staging Table'!$A7, LS_previous!$B$4:$B$137, 0), MATCH(P$4&amp;P$5, LS_previous!$D$2:$AY$2&amp;LS_previous!$D$3:$AY$3, 0)),SUM(VLOOKUP($A7, LS_previous!$B$4:$AY$137, LS_previous!H$148, FALSE), VLOOKUP('Staging Table'!$A7, LS_previous!$B$4:$AY$137,LS_previous!AF$148, FALSE))/2)</f>
        <v>-19766.262078884203</v>
      </c>
      <c r="Q7" s="102">
        <f t="array" ref="Q7">IF($G7=0, INDEX(LS_previous!$D$4:$AY$137, MATCH('Staging Table'!$A7, LS_previous!$B$4:$B$137, 0), MATCH(Q$4&amp;Q$5, LS_previous!$D$2:$AY$2&amp;LS_previous!$D$3:$AY$3, 0)),SUM(VLOOKUP($A7, LS_previous!$B$4:$AY$137, LS_previous!I$148, FALSE), VLOOKUP('Staging Table'!$A7, LS_previous!$B$4:$AY$137,LS_previous!AG$148, FALSE))/2)</f>
        <v>-6211.9864305087976</v>
      </c>
      <c r="R7" s="102">
        <f t="array" ref="R7">IF($G7=0, INDEX(LS_previous!$D$4:$AY$137, MATCH('Staging Table'!$A7, LS_previous!$B$4:$B$137, 0), MATCH(R$4&amp;R$5, LS_previous!$D$2:$AY$2&amp;LS_previous!$D$3:$AY$3, 0)),SUM(VLOOKUP($A7, LS_previous!$B$4:$AY$137, LS_previous!J$148, FALSE), VLOOKUP('Staging Table'!$A7, LS_previous!$B$4:$AY$137,LS_previous!AH$148, FALSE))/2)</f>
        <v>-29412.174467577002</v>
      </c>
      <c r="S7" s="102">
        <f t="array" ref="S7">IF($G7=0, INDEX(LS_previous!$D$4:$AY$137, MATCH('Staging Table'!$A7, LS_previous!$B$4:$B$137, 0), MATCH(S$4&amp;S$5, LS_previous!$D$2:$AY$2&amp;LS_previous!$D$3:$AY$3, 0)),SUM(VLOOKUP($A7, LS_previous!$B$4:$AY$137, LS_previous!K$148, FALSE), VLOOKUP('Staging Table'!$A7, LS_previous!$B$4:$AY$137,LS_previous!AI$148, FALSE))/2)</f>
        <v>-9325.9913599462016</v>
      </c>
      <c r="T7" s="102">
        <f t="array" ref="T7">IF($G7=0, INDEX(LS_previous!$D$4:$AY$137, MATCH('Staging Table'!$A7, LS_previous!$B$4:$B$137, 0), MATCH(T$4&amp;T$5, LS_previous!$D$2:$AY$2&amp;LS_previous!$D$3:$AY$3, 0)),SUM(VLOOKUP($A7, LS_previous!$B$4:$AY$137, LS_previous!L$148, FALSE), VLOOKUP('Staging Table'!$A7, LS_previous!$B$4:$AY$137,LS_previous!AJ$148, FALSE))/2)</f>
        <v>-22234.095129176203</v>
      </c>
      <c r="U7" s="102">
        <f t="array" ref="U7">IF($G7=0, INDEX(LS_previous!$D$4:$AY$137, MATCH('Staging Table'!$A7, LS_previous!$B$4:$B$137, 0), MATCH(U$4&amp;U$5, LS_previous!$D$2:$AY$2&amp;LS_previous!$D$3:$AY$3, 0)),SUM(VLOOKUP($A7, LS_previous!$B$4:$AY$137, LS_previous!M$148, FALSE), VLOOKUP('Staging Table'!$A7, LS_previous!$B$4:$AY$137,LS_previous!AK$148, FALSE))/2)</f>
        <v>-4085.0802030002087</v>
      </c>
      <c r="V7" s="102">
        <f t="array" ref="V7">IF($G7=0, INDEX(LS_previous!$D$4:$AY$137, MATCH('Staging Table'!$A7, LS_previous!$B$4:$B$137, 0), MATCH(V$4&amp;V$5, LS_previous!$D$2:$AY$2&amp;LS_previous!$D$3:$AY$3, 0)),SUM(VLOOKUP($A7, LS_previous!$B$4:$AY$137, LS_previous!N$148, FALSE), VLOOKUP('Staging Table'!$A7, LS_previous!$B$4:$AY$137,LS_previous!AL$148, FALSE))/2)</f>
        <v>-27942.889175121396</v>
      </c>
      <c r="W7" s="102">
        <f t="array" ref="W7">IF($G7=0, INDEX(LS_previous!$D$4:$AY$137, MATCH('Staging Table'!$A7, LS_previous!$B$4:$B$137, 0), MATCH(W$4&amp;W$5, LS_previous!$D$2:$AY$2&amp;LS_previous!$D$3:$AY$3, 0)),SUM(VLOOKUP($A7, LS_previous!$B$4:$AY$137, LS_previous!O$148, FALSE), VLOOKUP('Staging Table'!$A7, LS_previous!$B$4:$AY$137,LS_previous!AM$148, FALSE))/2)</f>
        <v>-16674.223394108398</v>
      </c>
      <c r="X7" s="102">
        <f t="array" ref="X7">IF($G7=0, INDEX(LS_previous!$D$4:$AY$137, MATCH('Staging Table'!$A7, LS_previous!$B$4:$B$137, 0), MATCH(X$4&amp;X$5, LS_previous!$D$2:$AY$2&amp;LS_previous!$D$3:$AY$3, 0)),SUM(VLOOKUP($A7, LS_previous!$B$4:$AY$137, LS_previous!P$148, FALSE), VLOOKUP('Staging Table'!$A7, LS_previous!$B$4:$AY$137,LS_previous!AN$148, FALSE))/2)</f>
        <v>-4674.7159503644943</v>
      </c>
      <c r="Y7" s="102">
        <f t="array" ref="Y7">IF($G7=0, INDEX(LS_previous!$D$4:$AY$137, MATCH('Staging Table'!$A7, LS_previous!$B$4:$B$137, 0), MATCH(Y$4&amp;Y$5, LS_previous!$D$2:$AY$2&amp;LS_previous!$D$3:$AY$3, 0)),SUM(VLOOKUP($A7, LS_previous!$B$4:$AY$137, LS_previous!Q$148, FALSE), VLOOKUP('Staging Table'!$A7, LS_previous!$B$4:$AY$137,LS_previous!AO$148, FALSE))/2)</f>
        <v>-4702.0901326916428</v>
      </c>
      <c r="Z7" s="102">
        <f t="array" ref="Z7">IF($G7=0, INDEX(LS_previous!$D$4:$AY$137, MATCH('Staging Table'!$A7, LS_previous!$B$4:$B$137, 0), MATCH(Z$4&amp;Z$5, LS_previous!$D$2:$AY$2&amp;LS_previous!$D$3:$AY$3, 0)),SUM(VLOOKUP($A7, LS_previous!$B$4:$AY$137, LS_previous!R$148, FALSE), VLOOKUP('Staging Table'!$A7, LS_previous!$B$4:$AY$137,LS_previous!AP$148, FALSE))/2)</f>
        <v>-7592.4801112544083</v>
      </c>
      <c r="AA7" s="102">
        <f t="array" ref="AA7">IF($G7=0, INDEX(LS_previous!$D$4:$AY$137, MATCH('Staging Table'!$A7, LS_previous!$B$4:$B$137, 0), MATCH(AA$4&amp;AA$5, LS_previous!$D$2:$AY$2&amp;LS_previous!$D$3:$AY$3, 0)),SUM(VLOOKUP($A7, LS_previous!$B$4:$AY$137, LS_previous!S$148, FALSE), VLOOKUP('Staging Table'!$A7, LS_previous!$B$4:$AY$137,LS_previous!AQ$148, FALSE))/2)</f>
        <v>64.495731383693055</v>
      </c>
      <c r="AB7" s="102">
        <f t="array" ref="AB7">IF($G7=0, INDEX(LS_previous!$D$4:$AY$137, MATCH('Staging Table'!$A7, LS_previous!$B$4:$B$137, 0), MATCH(AB$4&amp;AB$5, LS_previous!$D$2:$AY$2&amp;LS_previous!$D$3:$AY$3, 0)),SUM(VLOOKUP($A7, LS_previous!$B$4:$AY$137, LS_previous!T$148, FALSE), VLOOKUP('Staging Table'!$A7, LS_previous!$B$4:$AY$137,LS_previous!AR$148, FALSE))/2)</f>
        <v>15617.039450097189</v>
      </c>
      <c r="AC7" s="102">
        <f t="array" ref="AC7">IF($G7=0, INDEX(LS_previous!$D$4:$AY$137, MATCH('Staging Table'!$A7, LS_previous!$B$4:$B$137, 0), MATCH(AC$4&amp;AC$5, LS_previous!$D$2:$AY$2&amp;LS_previous!$D$3:$AY$3, 0)),SUM(VLOOKUP($A7, LS_previous!$B$4:$AY$137, LS_previous!U$148, FALSE), VLOOKUP('Staging Table'!$A7, LS_previous!$B$4:$AY$137,LS_previous!AS$148, FALSE))/2)</f>
        <v>11180.968069714894</v>
      </c>
      <c r="AD7" s="102">
        <f t="array" ref="AD7">IF($G7=0, INDEX(LS_previous!$D$4:$AY$137, MATCH('Staging Table'!$A7, LS_previous!$B$4:$B$137, 0), MATCH(AD$4&amp;AD$5, LS_previous!$D$2:$AY$2&amp;LS_previous!$D$3:$AY$3, 0)),SUM(VLOOKUP($A7, LS_previous!$B$4:$AY$137, LS_previous!V$148, FALSE), VLOOKUP('Staging Table'!$A7, LS_previous!$B$4:$AY$137,LS_previous!AT$148, FALSE))/2)</f>
        <v>45034.789455120816</v>
      </c>
      <c r="AE7" s="102">
        <f t="array" ref="AE7">IF($G7=0, INDEX(LS_previous!$D$4:$AY$137, MATCH('Staging Table'!$A7, LS_previous!$B$4:$B$137, 0), MATCH(AE$4&amp;AE$5, LS_previous!$D$2:$AY$2&amp;LS_previous!$D$3:$AY$3, 0)),SUM(VLOOKUP($A7, LS_previous!$B$4:$AY$137, LS_previous!W$148, FALSE), VLOOKUP('Staging Table'!$A7, LS_previous!$B$4:$AY$137,LS_previous!AU$148, FALSE))/2)</f>
        <v>36212.73015580549</v>
      </c>
      <c r="AF7" s="102">
        <f t="array" ref="AF7">IF($G7=0, INDEX(LS_previous!$D$4:$AY$137, MATCH('Staging Table'!$A7, LS_previous!$B$4:$B$137, 0), MATCH(AF$4&amp;AF$5, LS_previous!$D$2:$AY$2&amp;LS_previous!$D$3:$AY$3, 0)),SUM(VLOOKUP($A7, LS_previous!$B$4:$AY$137, LS_previous!X$148, FALSE), VLOOKUP('Staging Table'!$A7, LS_previous!$B$4:$AY$137,LS_previous!AV$148, FALSE))/2)</f>
        <v>33887.882149442288</v>
      </c>
      <c r="AG7" s="102">
        <f t="array" ref="AG7">IF($G7=0, INDEX(LS_previous!$D$4:$AY$137, MATCH('Staging Table'!$A7, LS_previous!$B$4:$B$137, 0), MATCH(AG$4&amp;AG$5, LS_previous!$D$2:$AY$2&amp;LS_previous!$D$3:$AY$3, 0)),SUM(VLOOKUP($A7, LS_previous!$B$4:$AY$137, LS_previous!Y$148, FALSE), VLOOKUP('Staging Table'!$A7, LS_previous!$B$4:$AY$137,LS_previous!AW$148, FALSE))/2)</f>
        <v>22206.36668093918</v>
      </c>
      <c r="AH7" s="102">
        <f t="array" ref="AH7">IF($G7=0, INDEX(LS_previous!$D$4:$AY$137, MATCH('Staging Table'!$A7, LS_previous!$B$4:$B$137, 0), MATCH(AH$4&amp;AH$5, LS_previous!$D$2:$AY$2&amp;LS_previous!$D$3:$AY$3, 0)),SUM(VLOOKUP($A7, LS_previous!$B$4:$AY$137, LS_previous!Z$148, FALSE), VLOOKUP('Staging Table'!$A7, LS_previous!$B$4:$AY$137,LS_previous!AX$148, FALSE))/2)</f>
        <v>1571.2294735428004</v>
      </c>
      <c r="AI7" s="102">
        <f t="array" ref="AI7">IF($G7=0, INDEX(LS_previous!$D$4:$AY$137, MATCH('Staging Table'!$A7, LS_previous!$B$4:$B$137, 0), MATCH(AI$4&amp;AI$5, LS_previous!$D$2:$AY$2&amp;LS_previous!$D$3:$AY$3, 0)),SUM(VLOOKUP($A7, LS_previous!$B$4:$AY$137, LS_previous!AA$148, FALSE), VLOOKUP('Staging Table'!$A7, LS_previous!$B$4:$AY$137,LS_previous!AY$148, FALSE))/2)</f>
        <v>-283.65982333120337</v>
      </c>
      <c r="AJ7" s="103">
        <f t="array" ref="AJ7">INDEX(Demand_previous!$D$4:$AY$137, MATCH('Staging Table'!$A7, Demand_previous!$B$4:$B$137, 0), MATCH(AJ$4&amp;AJ$5,Demand_previous!$D$2:$AY$2&amp;Demand_previous!$D$3:$AY$3, 0))/1000</f>
        <v>18.099461538461554</v>
      </c>
      <c r="AK7" s="103">
        <f t="array" ref="AK7">INDEX(Demand_previous!$D$4:$AY$137, MATCH('Staging Table'!$A7, Demand_previous!$B$4:$B$137, 0), MATCH(AK$4&amp;AK$5,Demand_previous!$D$2:$AY$2&amp;Demand_previous!$D$3:$AY$3, 0))/1000</f>
        <v>23.245297499999978</v>
      </c>
      <c r="AL7" s="103">
        <f t="array" ref="AL7">INDEX(Demand_previous!$D$4:$AY$137, MATCH('Staging Table'!$A7, Demand_previous!$B$4:$B$137, 0), MATCH(AL$4&amp;AL$5,Demand_previous!$D$2:$AY$2&amp;Demand_previous!$D$3:$AY$3, 0))/1000</f>
        <v>43.271192499999991</v>
      </c>
      <c r="AM7" s="103">
        <f t="array" ref="AM7">INDEX(Demand_previous!$D$4:$AY$137, MATCH('Staging Table'!$A7, Demand_previous!$B$4:$B$137, 0), MATCH(AM$4&amp;AM$5,Demand_previous!$D$2:$AY$2&amp;Demand_previous!$D$3:$AY$3, 0))/1000</f>
        <v>44.87329086538459</v>
      </c>
      <c r="AN7" s="103">
        <f t="array" ref="AN7">INDEX(Demand_previous!$D$4:$AY$137, MATCH('Staging Table'!$A7, Demand_previous!$B$4:$B$137, 0), MATCH(AN$4&amp;AN$5,Demand_previous!$D$2:$AY$2&amp;Demand_previous!$D$3:$AY$3, 0))/1000</f>
        <v>11.934687500000024</v>
      </c>
      <c r="AO7" s="103">
        <f t="array" ref="AO7">INDEX(Demand_previous!$D$4:$AY$137, MATCH('Staging Table'!$A7, Demand_previous!$B$4:$B$137, 0), MATCH(AO$4&amp;AO$5,Demand_previous!$D$2:$AY$2&amp;Demand_previous!$D$3:$AY$3, 0))/1000</f>
        <v>28.793144230769194</v>
      </c>
      <c r="AP7" s="103">
        <f t="array" ref="AP7">INDEX(Demand_previous!$D$4:$AY$137, MATCH('Staging Table'!$A7, Demand_previous!$B$4:$B$137, 0), MATCH(AP$4&amp;AP$5,Demand_previous!$D$2:$AY$2&amp;Demand_previous!$D$3:$AY$3, 0))/1000</f>
        <v>42.19297836538459</v>
      </c>
      <c r="AQ7" s="103">
        <f t="array" ref="AQ7">INDEX(Demand_previous!$D$4:$AY$137, MATCH('Staging Table'!$A7, Demand_previous!$B$4:$B$137, 0), MATCH(AQ$4&amp;AQ$5,Demand_previous!$D$2:$AY$2&amp;Demand_previous!$D$3:$AY$3, 0))/1000</f>
        <v>0</v>
      </c>
      <c r="AR7" s="103">
        <f t="array" ref="AR7">INDEX(Demand_previous!$D$4:$AY$137, MATCH('Staging Table'!$A7, Demand_previous!$B$4:$B$137, 0), MATCH(AR$4&amp;AR$5,Demand_previous!$D$2:$AY$2&amp;Demand_previous!$D$3:$AY$3, 0))/1000</f>
        <v>43.49840500000002</v>
      </c>
      <c r="AS7" s="103">
        <f t="array" ref="AS7">INDEX(Demand_previous!$D$4:$AY$137, MATCH('Staging Table'!$A7, Demand_previous!$B$4:$B$137, 0), MATCH(AS$4&amp;AS$5,Demand_previous!$D$2:$AY$2&amp;Demand_previous!$D$3:$AY$3, 0))/1000</f>
        <v>64.607413461538442</v>
      </c>
      <c r="AT7" s="103">
        <f t="array" ref="AT7">INDEX(Demand_previous!$D$4:$AY$137, MATCH('Staging Table'!$A7, Demand_previous!$B$4:$B$137, 0), MATCH(AT$4&amp;AT$5,Demand_previous!$D$2:$AY$2&amp;Demand_previous!$D$3:$AY$3, 0))/1000</f>
        <v>49.640409722222245</v>
      </c>
      <c r="AU7" s="103">
        <f t="array" ref="AU7">INDEX(Demand_previous!$D$4:$AY$137, MATCH('Staging Table'!$A7, Demand_previous!$B$4:$B$137, 0), MATCH(AU$4&amp;AU$5,Demand_previous!$D$2:$AY$2&amp;Demand_previous!$D$3:$AY$3, 0))/1000</f>
        <v>3.8360859374999947</v>
      </c>
      <c r="AV7" s="102">
        <f>$F7*(VLOOKUP(AV$4, Rates_previous!$G$6:$Q$29, 10, FALSE)+VLOOKUP(AV$4, Rates_previous!$G$6:$Q$29, 11, FALSE))</f>
        <v>122715.72005375971</v>
      </c>
      <c r="AW7" s="102">
        <f>$F7*(VLOOKUP(AW$4, Rates_previous!$G$6:$Q$29, 10, FALSE)+VLOOKUP(AW$4, Rates_previous!$G$6:$Q$29, 11, FALSE))</f>
        <v>156503.00894220022</v>
      </c>
      <c r="AX7" s="102">
        <f>$F7*(VLOOKUP(AX$4, Rates_previous!$G$6:$Q$29, 10, FALSE)+VLOOKUP(AX$4, Rates_previous!$G$6:$Q$29, 11, FALSE))</f>
        <v>168897.71250939302</v>
      </c>
      <c r="AY7" s="102">
        <f>$F7*(VLOOKUP(AY$4, Rates_previous!$G$6:$Q$29, 10, FALSE)+VLOOKUP(AY$4, Rates_previous!$G$6:$Q$29, 11, FALSE))</f>
        <v>175510.83282752321</v>
      </c>
      <c r="AZ7" s="102">
        <f>$F7*(VLOOKUP(AZ$4, Rates_previous!$G$6:$Q$29, 10, FALSE)+VLOOKUP(AZ$4, Rates_previous!$G$6:$Q$29, 11, FALSE))</f>
        <v>150962.71033217639</v>
      </c>
      <c r="BA7" s="102">
        <f>$F7*(VLOOKUP(BA$4, Rates_previous!$G$6:$Q$29, 10, FALSE)+VLOOKUP(BA$4, Rates_previous!$G$6:$Q$29, 11, FALSE))</f>
        <v>164821.39056922978</v>
      </c>
      <c r="BB7" s="102">
        <f>$F7*(VLOOKUP(BB$4, Rates_previous!$G$6:$Q$29, 10, FALSE)+VLOOKUP(BB$4, Rates_previous!$G$6:$Q$29, 11, FALSE))</f>
        <v>130098.71208305615</v>
      </c>
      <c r="BC7" s="102">
        <f>$F7*(VLOOKUP(BC$4, Rates_previous!$G$6:$Q$29, 10, FALSE)+VLOOKUP(BC$4, Rates_previous!$G$6:$Q$29, 11, FALSE))</f>
        <v>161404.8863798707</v>
      </c>
      <c r="BD7" s="102">
        <f>$F7*(VLOOKUP(BD$4, Rates_previous!$G$6:$Q$29, 10, FALSE)+VLOOKUP(BD$4, Rates_previous!$G$6:$Q$29, 11, FALSE))</f>
        <v>164906.96948018789</v>
      </c>
      <c r="BE7" s="102">
        <f>$F7*(VLOOKUP(BE$4, Rates_previous!$G$6:$Q$29, 10, FALSE)+VLOOKUP(BE$4, Rates_previous!$G$6:$Q$29, 11, FALSE))</f>
        <v>143163.0073890737</v>
      </c>
      <c r="BF7" s="102">
        <f>$F7*(VLOOKUP(BF$4, Rates_previous!$G$6:$Q$29, 10, FALSE)+VLOOKUP(BF$4, Rates_previous!$G$6:$Q$29, 11, FALSE))</f>
        <v>138400.57416961854</v>
      </c>
      <c r="BG7" s="102">
        <f>$F7*(VLOOKUP(BG$4, Rates_previous!$G$6:$Q$29, 10, FALSE)+VLOOKUP(BG$4, Rates_previous!$G$6:$Q$29, 11, FALSE))</f>
        <v>127355.32934978842</v>
      </c>
      <c r="BH7" s="103">
        <f>IF($D7=0,IF(C7=0, MAX(BJ7 - (VLOOKUP($A7,TOCA_previous!$A$2:$AJ$136,MATCH("RHWM "&amp;Init!$D$1-2,TOCA_previous!$A$2:$AJ$2,0),FALSE)*$F$2*TOCA_previous!C4),0),0), 0)</f>
        <v>8770.7692725702655</v>
      </c>
      <c r="BI7" s="109">
        <f>MIN(VLOOKUP($A7,TOCA_previous!$A$2:$AJ$136,MATCH("TRL - NLSL - Existing Resource "&amp;$F$1,TOCA_previous!$A$2:$AJ$2,0),FALSE)*$F$2,(VLOOKUP($A7,TOCA_previous!$A$2:$AJ$136,MATCH("RHWM "&amp;Init!$D$1-2,TOCA_previous!$A$2:$AJ$2,0),FALSE)*$F$2))</f>
        <v>1764907.632</v>
      </c>
      <c r="BJ7" s="261">
        <f>SUM(L7:AI7)+(F7*RT1SC!$C$3*$F$2)</f>
        <v>1773678.4012725702</v>
      </c>
      <c r="BK7" s="260">
        <f>VLOOKUP($A7,TOCA_previous!$A$2:$AJ$136,MATCH("Above RHWM Not Served with LS "&amp;$F$1,TOCA_previous!$A$2:$AJ$2,0),FALSE)*$F$2</f>
        <v>89983.296000000002</v>
      </c>
      <c r="BL7" s="261">
        <f t="shared" ref="BL7:BL70" si="21">BJ7-BI7</f>
        <v>8770.7692725702655</v>
      </c>
      <c r="BM7" s="260">
        <f>(VLOOKUP($A7,TOCA_previous!$A$2:$AJ$136,MATCH("RHWM "&amp;Init!$D$1-2,TOCA_previous!$A$2:$AJ$2,0),FALSE)*$F$2) - $BI7</f>
        <v>0</v>
      </c>
      <c r="BN7" s="261">
        <f t="shared" ref="BN7:BN70" si="22">IF(BL7&gt;0,IF(BM7&gt;0,(-1)*MIN(BL7,BM7),0),0)</f>
        <v>0</v>
      </c>
      <c r="BO7" s="260">
        <f t="shared" ref="BO7:BO70" si="23">IF(BL7&lt;0,IF(BK7&lt;ABS(BL7),MAX(0,ABS($BL7)-(BK7)),0),0)</f>
        <v>0</v>
      </c>
      <c r="BP7" s="261">
        <f t="shared" ref="BP7:BP70" si="24">IF(AND(BK7&gt;0,BM7&gt;0),IF(AND(BL7&lt;=0,ABS(BL7)&lt;BK7),(-1)*MIN(BK7,BK7-ABS(BL7),BM7),IF(AND(BL7&gt;0,BL7&lt;BM7),(-1)*MIN(BK7,BM7-BL7),0)),0)</f>
        <v>0</v>
      </c>
      <c r="BQ7" s="260">
        <f t="shared" si="9"/>
        <v>0</v>
      </c>
      <c r="BR7" s="85">
        <f>VLOOKUP($A7,TOCA_current!$A$2:$ZZ$136,MATCH(BR$4,TOCA_current!$A$2:$ZZ$2,0),FALSE)</f>
        <v>2.8423899999999998E-2</v>
      </c>
      <c r="BS7" s="85">
        <f>VLOOKUP($A7,TOCA_current!$A$2:$ZZ$136,MATCH(BS$4,TOCA_current!$A$2:$ZZ$2,0),FALSE)</f>
        <v>2.8423899999999998E-2</v>
      </c>
      <c r="BT7" s="108">
        <f t="shared" ref="BT7:BT70" si="25">BR7-BS7</f>
        <v>0</v>
      </c>
      <c r="BU7" s="85">
        <f>VLOOKUP($A7,TOCA_current!A4:BG138,MATCH(BU$4,TOCA_current!$A$2:$BG$2,0),FALSE)</f>
        <v>0</v>
      </c>
      <c r="BV7" s="85">
        <f t="shared" ref="BV7:BV70" si="26">IF(C7=0,0,BU7)</f>
        <v>0</v>
      </c>
      <c r="BW7" s="85">
        <f t="shared" ref="BW7:BW70" si="27">IF(C7=0,0,BR7)</f>
        <v>0</v>
      </c>
      <c r="BX7" s="101">
        <f>VLOOKUP($A7,IRD!$A$4:$G$138, 7, FALSE)</f>
        <v>312239.2</v>
      </c>
      <c r="BY7" s="102">
        <f t="array" ref="BY7">IF($BT7=0, INDEX(LS_current!$D$4:$BW$137, MATCH('Staging Table'!$A7, LS_current!$B$4:$B$137, 0), MATCH(BY$4&amp;BY$5, LS_current!$D$2:$BW$2&amp;LS_current!$D$3:$BW$3, 0)),SUM(VLOOKUP($A7, LS_current!$B$4:$BW$137, LS_current!D$147, FALSE), VLOOKUP($A7, LS_current!$B$4:$BW$137,LS_current!AZ$147, FALSE))/2)</f>
        <v>-955.13203276133572</v>
      </c>
      <c r="BZ7" s="102">
        <f t="array" ref="BZ7">IF($BT7=0, INDEX(LS_current!$D$4:$BW$137, MATCH('Staging Table'!$A7, LS_current!$B$4:$B$137, 0), MATCH(BZ$4&amp;BZ$5, LS_current!$D$2:$BW$2&amp;LS_current!$D$3:$BW$3, 0)),SUM(VLOOKUP($A7, LS_current!$B$4:$BW$137, LS_current!E$147, FALSE), VLOOKUP($A7, LS_current!$B$4:$BW$137,LS_current!BA$147, FALSE))/2)</f>
        <v>610.80707247560349</v>
      </c>
      <c r="CA7" s="102">
        <f t="array" ref="CA7">IF($BT7=0, INDEX(LS_current!$D$4:$BW$137, MATCH('Staging Table'!$A7, LS_current!$B$4:$B$137, 0), MATCH(CA$4&amp;CA$5, LS_current!$D$2:$BW$2&amp;LS_current!$D$3:$BW$3, 0)),SUM(VLOOKUP($A7, LS_current!$B$4:$BW$137, LS_current!F$147, FALSE), VLOOKUP($A7, LS_current!$B$4:$BW$137,LS_current!BB$147, FALSE))/2)</f>
        <v>-22984.094242623381</v>
      </c>
      <c r="CB7" s="102">
        <f t="array" ref="CB7">IF($BT7=0, INDEX(LS_current!$D$4:$BW$137, MATCH('Staging Table'!$A7, LS_current!$B$4:$B$137, 0), MATCH(CB$4&amp;CB$5, LS_current!$D$2:$BW$2&amp;LS_current!$D$3:$BW$3, 0)),SUM(VLOOKUP($A7, LS_current!$B$4:$BW$137, LS_current!G$147, FALSE), VLOOKUP($A7, LS_current!$B$4:$BW$137,LS_current!BC$147, FALSE))/2)</f>
        <v>-10788.142915414282</v>
      </c>
      <c r="CC7" s="102">
        <f t="array" ref="CC7">IF($BT7=0, INDEX(LS_current!$D$4:$BW$137, MATCH('Staging Table'!$A7, LS_current!$B$4:$B$137, 0), MATCH(CC$4&amp;CC$5, LS_current!$D$2:$BW$2&amp;LS_current!$D$3:$BW$3, 0)),SUM(VLOOKUP($A7, LS_current!$B$4:$BW$137, LS_current!H$147, FALSE), VLOOKUP($A7, LS_current!$B$4:$BW$137,LS_current!BD$147, FALSE))/2)</f>
        <v>-27614.87003478824</v>
      </c>
      <c r="CD7" s="102">
        <f t="array" ref="CD7">IF($BT7=0, INDEX(LS_current!$D$4:$BW$137, MATCH('Staging Table'!$A7, LS_current!$B$4:$B$137, 0), MATCH(CD$4&amp;CD$5, LS_current!$D$2:$BW$2&amp;LS_current!$D$3:$BW$3, 0)),SUM(VLOOKUP($A7, LS_current!$B$4:$BW$137, LS_current!I$147, FALSE), VLOOKUP($A7, LS_current!$B$4:$BW$137,LS_current!BE$147, FALSE))/2)</f>
        <v>-1246.3892571059914</v>
      </c>
      <c r="CE7" s="102">
        <f t="array" ref="CE7">IF($BT7=0, INDEX(LS_current!$D$4:$BW$137, MATCH('Staging Table'!$A7, LS_current!$B$4:$B$137, 0), MATCH(CE$4&amp;CE$5, LS_current!$D$2:$BW$2&amp;LS_current!$D$3:$BW$3, 0)),SUM(VLOOKUP($A7, LS_current!$B$4:$BW$137, LS_current!J$147, FALSE), VLOOKUP($A7, LS_current!$B$4:$BW$137,LS_current!BF$147, FALSE))/2)</f>
        <v>-34954.23361253769</v>
      </c>
      <c r="CF7" s="102">
        <f t="array" ref="CF7">IF($BT7=0, INDEX(LS_current!$D$4:$BW$137, MATCH('Staging Table'!$A7, LS_current!$B$4:$B$137, 0), MATCH(CF$4&amp;CF$5, LS_current!$D$2:$BW$2&amp;LS_current!$D$3:$BW$3, 0)),SUM(VLOOKUP($A7, LS_current!$B$4:$BW$137, LS_current!K$147, FALSE), VLOOKUP($A7, LS_current!$B$4:$BW$137,LS_current!BG$147, FALSE))/2)</f>
        <v>-9497.8787242007675</v>
      </c>
      <c r="CG7" s="102">
        <f t="array" ref="CG7">IF($BT7=0, INDEX(LS_current!$D$4:$BW$137, MATCH('Staging Table'!$A7, LS_current!$B$4:$B$137, 0), MATCH(CG$4&amp;CG$5, LS_current!$D$2:$BW$2&amp;LS_current!$D$3:$BW$3, 0)),SUM(VLOOKUP($A7, LS_current!$B$4:$BW$137, LS_current!L$147, FALSE), VLOOKUP($A7, LS_current!$B$4:$BW$137,LS_current!BH$147, FALSE))/2)</f>
        <v>-17984.760049658653</v>
      </c>
      <c r="CH7" s="102">
        <f t="array" ref="CH7">IF($BT7=0, INDEX(LS_current!$D$4:$BW$137, MATCH('Staging Table'!$A7, LS_current!$B$4:$B$137, 0), MATCH(CH$4&amp;CH$5, LS_current!$D$2:$BW$2&amp;LS_current!$D$3:$BW$3, 0)),SUM(VLOOKUP($A7, LS_current!$B$4:$BW$137, LS_current!M$147, FALSE), VLOOKUP($A7, LS_current!$B$4:$BW$137,LS_current!BI$147, FALSE))/2)</f>
        <v>-1579.0217609019237</v>
      </c>
      <c r="CI7" s="102">
        <f t="array" ref="CI7">IF($BT7=0, INDEX(LS_current!$D$4:$BW$137, MATCH('Staging Table'!$A7, LS_current!$B$4:$B$137, 0), MATCH(CI$4&amp;CI$5, LS_current!$D$2:$BW$2&amp;LS_current!$D$3:$BW$3, 0)),SUM(VLOOKUP($A7, LS_current!$B$4:$BW$137, LS_current!N$147, FALSE), VLOOKUP($A7, LS_current!$B$4:$BW$137,LS_current!BJ$147, FALSE))/2)</f>
        <v>-30270.444762300409</v>
      </c>
      <c r="CJ7" s="102">
        <f t="array" ref="CJ7">IF($BT7=0, INDEX(LS_current!$D$4:$BW$137, MATCH('Staging Table'!$A7, LS_current!$B$4:$B$137, 0), MATCH(CJ$4&amp;CJ$5, LS_current!$D$2:$BW$2&amp;LS_current!$D$3:$BW$3, 0)),SUM(VLOOKUP($A7, LS_current!$B$4:$BW$137, LS_current!O$147, FALSE), VLOOKUP($A7, LS_current!$B$4:$BW$137,LS_current!BK$147, FALSE))/2)</f>
        <v>-7445.7898612346762</v>
      </c>
      <c r="CK7" s="102">
        <f t="array" ref="CK7">IF($BT7=0, INDEX(LS_current!$D$4:$BW$137, MATCH('Staging Table'!$A7, LS_current!$B$4:$B$137, 0), MATCH(CK$4&amp;CK$5, LS_current!$D$2:$BW$2&amp;LS_current!$D$3:$BW$3, 0)),SUM(VLOOKUP($A7, LS_current!$B$4:$BW$137, LS_current!P$147, FALSE), VLOOKUP($A7, LS_current!$B$4:$BW$137,LS_current!BL$147, FALSE))/2)</f>
        <v>-868.61131842012401</v>
      </c>
      <c r="CL7" s="102">
        <f t="array" ref="CL7">IF($BT7=0, INDEX(LS_current!$D$4:$BW$137, MATCH('Staging Table'!$A7, LS_current!$B$4:$B$137, 0), MATCH(CL$4&amp;CL$5, LS_current!$D$2:$BW$2&amp;LS_current!$D$3:$BW$3, 0)),SUM(VLOOKUP($A7, LS_current!$B$4:$BW$137, LS_current!Q$147, FALSE), VLOOKUP($A7, LS_current!$B$4:$BW$137,LS_current!BM$147, FALSE))/2)</f>
        <v>-860.30719465146831</v>
      </c>
      <c r="CM7" s="102">
        <f t="array" ref="CM7">IF($BT7=0, INDEX(LS_current!$D$4:$BW$137, MATCH('Staging Table'!$A7, LS_current!$B$4:$B$137, 0), MATCH(CM$4&amp;CM$5, LS_current!$D$2:$BW$2&amp;LS_current!$D$3:$BW$3, 0)),SUM(VLOOKUP($A7, LS_current!$B$4:$BW$137, LS_current!R$147, FALSE), VLOOKUP($A7, LS_current!$B$4:$BW$137,LS_current!BN$147, FALSE))/2)</f>
        <v>-5239.5769627574482</v>
      </c>
      <c r="CN7" s="102">
        <f t="array" ref="CN7">IF($BT7=0, INDEX(LS_current!$D$4:$BW$137, MATCH('Staging Table'!$A7, LS_current!$B$4:$B$137, 0), MATCH(CN$4&amp;CN$5, LS_current!$D$2:$BW$2&amp;LS_current!$D$3:$BW$3, 0)),SUM(VLOOKUP($A7, LS_current!$B$4:$BW$137, LS_current!S$147, FALSE), VLOOKUP($A7, LS_current!$B$4:$BW$137,LS_current!BO$147, FALSE))/2)</f>
        <v>724.20121483287949</v>
      </c>
      <c r="CO7" s="102">
        <f t="array" ref="CO7">IF($BT7=0, INDEX(LS_current!$D$4:$BW$137, MATCH('Staging Table'!$A7, LS_current!$B$4:$B$137, 0), MATCH(CO$4&amp;CO$5, LS_current!$D$2:$BW$2&amp;LS_current!$D$3:$BW$3, 0)),SUM(VLOOKUP($A7, LS_current!$B$4:$BW$137, LS_current!T$147, FALSE), VLOOKUP($A7, LS_current!$B$4:$BW$137,LS_current!BP$147, FALSE))/2)</f>
        <v>13603.940074815444</v>
      </c>
      <c r="CP7" s="102">
        <f t="array" ref="CP7">IF($BT7=0, INDEX(LS_current!$D$4:$BW$137, MATCH('Staging Table'!$A7, LS_current!$B$4:$B$137, 0), MATCH(CP$4&amp;CP$5, LS_current!$D$2:$BW$2&amp;LS_current!$D$3:$BW$3, 0)),SUM(VLOOKUP($A7, LS_current!$B$4:$BW$137, LS_current!U$147, FALSE), VLOOKUP($A7, LS_current!$B$4:$BW$137,LS_current!BQ$147, FALSE))/2)</f>
        <v>16343.455098305865</v>
      </c>
      <c r="CQ7" s="102">
        <f t="array" ref="CQ7">IF($BT7=0, INDEX(LS_current!$D$4:$BW$137, MATCH('Staging Table'!$A7, LS_current!$B$4:$B$137, 0), MATCH(CQ$4&amp;CQ$5, LS_current!$D$2:$BW$2&amp;LS_current!$D$3:$BW$3, 0)),SUM(VLOOKUP($A7, LS_current!$B$4:$BW$137, LS_current!V$147, FALSE), VLOOKUP($A7, LS_current!$B$4:$BW$137,LS_current!BR$147, FALSE))/2)</f>
        <v>43011.537535730109</v>
      </c>
      <c r="CR7" s="102">
        <f t="array" ref="CR7">IF($BT7=0, INDEX(LS_current!$D$4:$BW$137, MATCH('Staging Table'!$A7, LS_current!$B$4:$B$137, 0), MATCH(CR$4&amp;CR$5, LS_current!$D$2:$BW$2&amp;LS_current!$D$3:$BW$3, 0)),SUM(VLOOKUP($A7, LS_current!$B$4:$BW$137, LS_current!W$147, FALSE), VLOOKUP($A7, LS_current!$B$4:$BW$137,LS_current!BS$147, FALSE))/2)</f>
        <v>37377.227954677917</v>
      </c>
      <c r="CS7" s="102">
        <f t="array" ref="CS7">IF($BT7=0, INDEX(LS_current!$D$4:$BW$137, MATCH('Staging Table'!$A7, LS_current!$B$4:$B$137, 0), MATCH(CS$4&amp;CS$5, LS_current!$D$2:$BW$2&amp;LS_current!$D$3:$BW$3, 0)),SUM(VLOOKUP($A7, LS_current!$B$4:$BW$137, LS_current!X$147, FALSE), VLOOKUP($A7, LS_current!$B$4:$BW$137,LS_current!BT$147, FALSE))/2)</f>
        <v>23681.206539045277</v>
      </c>
      <c r="CT7" s="102">
        <f t="array" ref="CT7">IF($BT7=0, INDEX(LS_current!$D$4:$BW$137, MATCH('Staging Table'!$A7, LS_current!$B$4:$B$137, 0), MATCH(CT$4&amp;CT$5, LS_current!$D$2:$BW$2&amp;LS_current!$D$3:$BW$3, 0)),SUM(VLOOKUP($A7, LS_current!$B$4:$BW$137, LS_current!Y$147, FALSE), VLOOKUP($A7, LS_current!$B$4:$BW$137,LS_current!BU$147, FALSE))/2)</f>
        <v>23081.807466727179</v>
      </c>
      <c r="CU7" s="102">
        <f t="array" ref="CU7">IF($BT7=0, INDEX(LS_current!$D$4:$BW$137, MATCH('Staging Table'!$A7, LS_current!$B$4:$B$137, 0), MATCH(CU$4&amp;CU$5, LS_current!$D$2:$BW$2&amp;LS_current!$D$3:$BW$3, 0)),SUM(VLOOKUP($A7, LS_current!$B$4:$BW$137, LS_current!Z$147, FALSE), VLOOKUP($A7, LS_current!$B$4:$BW$137,LS_current!BV$147, FALSE))/2)</f>
        <v>6041.3450729138276</v>
      </c>
      <c r="CV7" s="102">
        <f t="array" ref="CV7">IF($BT7=0, INDEX(LS_current!$D$4:$BW$137, MATCH('Staging Table'!$A7, LS_current!$B$4:$B$137, 0), MATCH(CV$4&amp;CV$5, LS_current!$D$2:$BW$2&amp;LS_current!$D$3:$BW$3, 0)),SUM(VLOOKUP($A7, LS_current!$B$4:$BW$137, LS_current!AA$147, FALSE), VLOOKUP($A7, LS_current!$B$4:$BW$137,LS_current!BW$147, FALSE))/2)</f>
        <v>7810.0891832513735</v>
      </c>
      <c r="CW7" s="103">
        <f t="array" ref="CW7">INDEX(Demand_current!$D$4:$BW$137, MATCH($A7, Demand_current!$B$4:$B$137, 0), MATCH(CW$4&amp;CW$5,Demand_current!$D$2:$BW$2&amp;Demand_current!$D$3:$BW$3, 0))/1000</f>
        <v>24.99155555555555</v>
      </c>
      <c r="CX7" s="103">
        <f t="array" ref="CX7">INDEX(Demand_current!$D$4:$BW$137, MATCH($A7, Demand_current!$B$4:$B$137, 0), MATCH(CX$4&amp;CX$5,Demand_current!$D$2:$BW$2&amp;Demand_current!$D$3:$BW$3, 0))/1000</f>
        <v>15.695268229166643</v>
      </c>
      <c r="CY7" s="103">
        <f t="array" ref="CY7">INDEX(Demand_current!$D$4:$BW$137, MATCH($A7, Demand_current!$B$4:$B$137, 0), MATCH(CY$4&amp;CY$5,Demand_current!$D$2:$BW$2&amp;Demand_current!$D$3:$BW$3, 0))/1000</f>
        <v>51.658646634615408</v>
      </c>
      <c r="CZ7" s="103">
        <f t="array" ref="CZ7">INDEX(Demand_current!$D$4:$BW$137, MATCH($A7, Demand_current!$B$4:$B$137, 0), MATCH(CZ$4&amp;CZ$5,Demand_current!$D$2:$BW$2&amp;Demand_current!$D$3:$BW$3, 0))/1000</f>
        <v>44.87329086538459</v>
      </c>
      <c r="DA7" s="103">
        <f t="array" ref="DA7">INDEX(Demand_current!$D$4:$BW$137, MATCH($A7, Demand_current!$B$4:$B$137, 0), MATCH(DA$4&amp;DA$5,Demand_current!$D$2:$BW$2&amp;Demand_current!$D$3:$BW$3, 0))/1000</f>
        <v>3.797591145833366</v>
      </c>
      <c r="DB7" s="103">
        <f t="array" ref="DB7">INDEX(Demand_current!$D$4:$BW$137, MATCH($A7, Demand_current!$B$4:$B$137, 0), MATCH(DB$4&amp;DB$5,Demand_current!$D$2:$BW$2&amp;Demand_current!$D$3:$BW$3, 0))/1000</f>
        <v>28.793144230769194</v>
      </c>
      <c r="DC7" s="103">
        <f t="array" ref="DC7">INDEX(Demand_current!$D$4:$BW$137, MATCH($A7, Demand_current!$B$4:$B$137, 0), MATCH(DC$4&amp;DC$5,Demand_current!$D$2:$BW$2&amp;Demand_current!$D$3:$BW$3, 0))/1000</f>
        <v>42.19297836538459</v>
      </c>
      <c r="DD7" s="103">
        <f t="array" ref="DD7">INDEX(Demand_current!$D$4:$BW$137, MATCH($A7, Demand_current!$B$4:$B$137, 0), MATCH(DD$4&amp;DD$5,Demand_current!$D$2:$BW$2&amp;Demand_current!$D$3:$BW$3, 0))/1000</f>
        <v>0</v>
      </c>
      <c r="DE7" s="103">
        <f t="array" ref="DE7">INDEX(Demand_current!$D$4:$BW$137, MATCH($A7, Demand_current!$B$4:$B$137, 0), MATCH(DE$4&amp;DE$5,Demand_current!$D$2:$BW$2&amp;Demand_current!$D$3:$BW$3, 0))/1000</f>
        <v>55.414889423076971</v>
      </c>
      <c r="DF7" s="103">
        <f t="array" ref="DF7">INDEX(Demand_current!$D$4:$BW$137, MATCH($A7, Demand_current!$B$4:$B$137, 0), MATCH(DF$4&amp;DF$5,Demand_current!$D$2:$BW$2&amp;Demand_current!$D$3:$BW$3, 0))/1000</f>
        <v>64.607413461538442</v>
      </c>
      <c r="DG7" s="103">
        <f t="array" ref="DG7">INDEX(Demand_current!$D$4:$BW$137, MATCH($A7, Demand_current!$B$4:$B$137, 0), MATCH(DG$4&amp;DG$5,Demand_current!$D$2:$BW$2&amp;Demand_current!$D$3:$BW$3, 0))/1000</f>
        <v>38.385271634615407</v>
      </c>
      <c r="DH7" s="103">
        <f t="array" ref="DH7">INDEX(Demand_current!$D$4:$BW$137, MATCH($A7, Demand_current!$B$4:$B$137, 0), MATCH(DH$4&amp;DH$5,Demand_current!$D$2:$BW$2&amp;Demand_current!$D$3:$BW$3, 0))/1000</f>
        <v>12.356682499999998</v>
      </c>
      <c r="DI7" s="102">
        <f>$BS7*(VLOOKUP(DI$4, Rates_current!$H$6:$R$41, 10, FALSE)+VLOOKUP(DI$4, Rates_current!$H$6:$R$41, 11, FALSE))</f>
        <v>117967.35996028574</v>
      </c>
      <c r="DJ7" s="102">
        <f>$BS7*(VLOOKUP(DJ$4, Rates_current!$H$6:$R$41, 10, FALSE)+VLOOKUP(DJ$4, Rates_current!$H$6:$R$41, 11, FALSE))</f>
        <v>150817.38715803766</v>
      </c>
      <c r="DK7" s="102">
        <f>$BS7*(VLOOKUP(DK$4, Rates_current!$H$6:$R$41, 10, FALSE)+VLOOKUP(DK$4, Rates_current!$H$6:$R$41, 11, FALSE))</f>
        <v>171466.75529189422</v>
      </c>
      <c r="DL7" s="102">
        <f>$BS7*(VLOOKUP(DL$4, Rates_current!$H$6:$R$41, 10, FALSE)+VLOOKUP(DL$4, Rates_current!$H$6:$R$41, 11, FALSE))</f>
        <v>180910.81133673846</v>
      </c>
      <c r="DM7" s="102">
        <f>$BS7*(VLOOKUP(DM$4, Rates_current!$H$6:$R$41, 10, FALSE)+VLOOKUP(DM$4, Rates_current!$H$6:$R$41, 11, FALSE))</f>
        <v>144169.58881056058</v>
      </c>
      <c r="DN7" s="102">
        <f>$BS7*(VLOOKUP(DN$4, Rates_current!$H$6:$R$41, 10, FALSE)+VLOOKUP(DN$4, Rates_current!$H$6:$R$41, 11, FALSE))</f>
        <v>157606.96662353509</v>
      </c>
      <c r="DO7" s="102">
        <f>$BS7*(VLOOKUP(DO$4, Rates_current!$H$6:$R$41, 10, FALSE)+VLOOKUP(DO$4, Rates_current!$H$6:$R$41, 11, FALSE))</f>
        <v>122146.98451307161</v>
      </c>
      <c r="DP7" s="102">
        <f>$BS7*(VLOOKUP(DP$4, Rates_current!$H$6:$R$41, 10, FALSE)+VLOOKUP(DP$4, Rates_current!$H$6:$R$41, 11, FALSE))</f>
        <v>158078.30974792456</v>
      </c>
      <c r="DQ7" s="102">
        <f>$BS7*(VLOOKUP(DQ$4, Rates_current!$H$6:$R$41, 10, FALSE)+VLOOKUP(DQ$4, Rates_current!$H$6:$R$41, 11, FALSE))</f>
        <v>161453.74182687872</v>
      </c>
      <c r="DR7" s="102">
        <f>$BS7*(VLOOKUP(DR$4, Rates_current!$H$6:$R$41, 10, FALSE)+VLOOKUP(DR$4, Rates_current!$H$6:$R$41, 11, FALSE))</f>
        <v>143707.79350959195</v>
      </c>
      <c r="DS7" s="102">
        <f>$BS7*(VLOOKUP(DS$4, Rates_current!$H$6:$R$41, 10, FALSE)+VLOOKUP(DS$4, Rates_current!$H$6:$R$41, 11, FALSE))</f>
        <v>147417.84099422753</v>
      </c>
      <c r="DT7" s="102">
        <f>$BS7*(VLOOKUP(DT$4, Rates_current!$H$6:$R$41, 10, FALSE)+VLOOKUP(DT$4, Rates_current!$H$6:$R$41, 11, FALSE))</f>
        <v>114487.62474383481</v>
      </c>
      <c r="DU7" s="261">
        <f>IF(D7=0,IF(C7=0,MAX(0,DW7 - (VLOOKUP($A7,TOCA_current!$A$2:$AV$136,MATCH("RHWM "&amp;Init!$D$1,TOCA_current!$A$2:$AV$2,0),FALSE)*$BS$2)), 0),0)</f>
        <v>0</v>
      </c>
      <c r="DV7" s="262">
        <f>MIN(VLOOKUP($A7,TOCA_current!$A$2:$AV$136,MATCH("TRL - NLSL - Existing Resource "&amp;$BS$1,TOCA_current!$A$2:$AV$2,0),FALSE)*$BS$2, VLOOKUP($A7,TOCA_current!$A$2:$AV$136,MATCH("RHWM "&amp;Init!$D$1,TOCA_current!$A$2:$AV$2,0),FALSE)*$BS$2)</f>
        <v>1770229.5599999998</v>
      </c>
      <c r="DW7" s="262">
        <f>SUM(BY7:CV7)+(BS7*RT1SC!$C$4*$BS$2)</f>
        <v>1770227.6334963473</v>
      </c>
      <c r="DX7" s="262">
        <f>VLOOKUP($A7,TOCA_current!$A$2:$AV$136,MATCH("Above RHWM Not Served with LS "&amp;$BS$1,TOCA_current!$A$2:$AV$2,0),FALSE)*$BS$2</f>
        <v>93434.16</v>
      </c>
      <c r="DY7" s="262">
        <f t="shared" ref="DY7:DY70" si="28">DW7-DV7</f>
        <v>-1.9265036524739116</v>
      </c>
      <c r="DZ7" s="262">
        <f>(VLOOKUP($A7,TOCA_current!$A$2:$AV$136,MATCH("RHWM "&amp;Init!$D$1,TOCA_current!$A$2:$AV$2,0),FALSE)*$BS$2) - $DV7</f>
        <v>0</v>
      </c>
      <c r="EA7" s="262">
        <f t="shared" ref="EA7:EA70" si="29">IF(DY7&gt;0,IF(DZ7&gt;0,(-1)*MIN(DY7,DZ7),0),0)</f>
        <v>0</v>
      </c>
      <c r="EB7" s="262">
        <f t="shared" ref="EB7:EB70" si="30">IF(DY7&lt;0,IF(DX7&lt;ABS(DY7),MAX(0,ABS($DY7)-(DX7)),0),0)</f>
        <v>0</v>
      </c>
      <c r="EC7" s="262">
        <f t="shared" ref="EC7:EC70" si="31">IF(AND(DX7&gt;0,DZ7&gt;0),IF(AND(DY7&lt;=0,ABS(DY7)&lt;DX7),(-1)*MIN(DX7,DX7-ABS(DY7),DZ7),IF(AND(DY7&gt;0,DY7&lt;DZ7),(-1)*MIN(DX7,DZ7-DY7),0)),0)</f>
        <v>0</v>
      </c>
      <c r="ED7" s="262">
        <f t="shared" ref="ED7:ED70" si="32">IF($D7=0,SUM(EA7:EC7),0)</f>
        <v>0</v>
      </c>
    </row>
    <row r="8" spans="1:134">
      <c r="A8" s="2">
        <v>10025</v>
      </c>
      <c r="B8" s="3" t="s">
        <v>10</v>
      </c>
      <c r="C8">
        <f>VLOOKUP(A8, TOCA_current!$A$3:$D$136, 4, FALSE)</f>
        <v>0</v>
      </c>
      <c r="D8">
        <v>0</v>
      </c>
      <c r="E8" s="84">
        <f>VLOOKUP($A8,TOCA_previous!$A$2:$AJ$136,MATCH(E$4,TOCA_previous!$A$2:$AJ$2,0),FALSE)</f>
        <v>8.6368999999999994E-3</v>
      </c>
      <c r="F8" s="85">
        <f>VLOOKUP($A8,TOCA_previous!$A$2:$AJ$136,MATCH(F$4,TOCA_previous!$A$2:$AJ$2,0),FALSE)</f>
        <v>8.6368999999999994E-3</v>
      </c>
      <c r="G8" s="85">
        <f t="shared" si="18"/>
        <v>0</v>
      </c>
      <c r="H8" s="85">
        <f>VLOOKUP($A8,TOCA_previous!$A$2:$AJ$136,MATCH(H$4,TOCA_previous!$A$2:$AJ$2,0),FALSE)</f>
        <v>5.9761645351078641E-2</v>
      </c>
      <c r="I8" s="85">
        <f t="shared" si="19"/>
        <v>0</v>
      </c>
      <c r="J8" s="85">
        <f t="shared" si="20"/>
        <v>0</v>
      </c>
      <c r="K8" s="101">
        <f>VLOOKUP(A8, IRD!$A$5:$C$138, 3, FALSE)</f>
        <v>82900.857000000004</v>
      </c>
      <c r="L8" s="102">
        <f t="array" ref="L8">IF($G8=0, INDEX(LS_previous!$D$4:$AY$137, MATCH('Staging Table'!$A8, LS_previous!$B$4:$B$137, 0), MATCH(L$4&amp;L$5, LS_previous!$D$2:$AY$2&amp;LS_previous!$D$3:$AY$3, 0)),SUM(VLOOKUP($A8, LS_previous!$B$4:$AY$137, LS_previous!D$148, FALSE), VLOOKUP('Staging Table'!$A8, LS_previous!$B$4:$AY$137,LS_previous!AB$148, FALSE))/2)</f>
        <v>6996.4671054716018</v>
      </c>
      <c r="M8" s="102">
        <f t="array" ref="M8">IF($G8=0, INDEX(LS_previous!$D$4:$AY$137, MATCH('Staging Table'!$A8, LS_previous!$B$4:$B$137, 0), MATCH(M$4&amp;M$5, LS_previous!$D$2:$AY$2&amp;LS_previous!$D$3:$AY$3, 0)),SUM(VLOOKUP($A8, LS_previous!$B$4:$AY$137, LS_previous!E$148, FALSE), VLOOKUP('Staging Table'!$A8, LS_previous!$B$4:$AY$137,LS_previous!AC$148, FALSE))/2)</f>
        <v>4215.5086868290546</v>
      </c>
      <c r="N8" s="102">
        <f t="array" ref="N8">IF($G8=0, INDEX(LS_previous!$D$4:$AY$137, MATCH('Staging Table'!$A8, LS_previous!$B$4:$B$137, 0), MATCH(N$4&amp;N$5, LS_previous!$D$2:$AY$2&amp;LS_previous!$D$3:$AY$3, 0)),SUM(VLOOKUP($A8, LS_previous!$B$4:$AY$137, LS_previous!F$148, FALSE), VLOOKUP('Staging Table'!$A8, LS_previous!$B$4:$AY$137,LS_previous!AD$148, FALSE))/2)</f>
        <v>-4657.032603203199</v>
      </c>
      <c r="O8" s="102">
        <f t="array" ref="O8">IF($G8=0, INDEX(LS_previous!$D$4:$AY$137, MATCH('Staging Table'!$A8, LS_previous!$B$4:$B$137, 0), MATCH(O$4&amp;O$5, LS_previous!$D$2:$AY$2&amp;LS_previous!$D$3:$AY$3, 0)),SUM(VLOOKUP($A8, LS_previous!$B$4:$AY$137, LS_previous!G$148, FALSE), VLOOKUP('Staging Table'!$A8, LS_previous!$B$4:$AY$137,LS_previous!AE$148, FALSE))/2)</f>
        <v>1697.6708519161002</v>
      </c>
      <c r="P8" s="102">
        <f t="array" ref="P8">IF($G8=0, INDEX(LS_previous!$D$4:$AY$137, MATCH('Staging Table'!$A8, LS_previous!$B$4:$B$137, 0), MATCH(P$4&amp;P$5, LS_previous!$D$2:$AY$2&amp;LS_previous!$D$3:$AY$3, 0)),SUM(VLOOKUP($A8, LS_previous!$B$4:$AY$137, LS_previous!H$148, FALSE), VLOOKUP('Staging Table'!$A8, LS_previous!$B$4:$AY$137,LS_previous!AF$148, FALSE))/2)</f>
        <v>1683.1357208308982</v>
      </c>
      <c r="Q8" s="102">
        <f t="array" ref="Q8">IF($G8=0, INDEX(LS_previous!$D$4:$AY$137, MATCH('Staging Table'!$A8, LS_previous!$B$4:$B$137, 0), MATCH(Q$4&amp;Q$5, LS_previous!$D$2:$AY$2&amp;LS_previous!$D$3:$AY$3, 0)),SUM(VLOOKUP($A8, LS_previous!$B$4:$AY$137, LS_previous!I$148, FALSE), VLOOKUP('Staging Table'!$A8, LS_previous!$B$4:$AY$137,LS_previous!AG$148, FALSE))/2)</f>
        <v>3226.4540470176034</v>
      </c>
      <c r="R8" s="102">
        <f t="array" ref="R8">IF($G8=0, INDEX(LS_previous!$D$4:$AY$137, MATCH('Staging Table'!$A8, LS_previous!$B$4:$B$137, 0), MATCH(R$4&amp;R$5, LS_previous!$D$2:$AY$2&amp;LS_previous!$D$3:$AY$3, 0)),SUM(VLOOKUP($A8, LS_previous!$B$4:$AY$137, LS_previous!J$148, FALSE), VLOOKUP('Staging Table'!$A8, LS_previous!$B$4:$AY$137,LS_previous!AH$148, FALSE))/2)</f>
        <v>-1730.8987732834976</v>
      </c>
      <c r="S8" s="102">
        <f t="array" ref="S8">IF($G8=0, INDEX(LS_previous!$D$4:$AY$137, MATCH('Staging Table'!$A8, LS_previous!$B$4:$B$137, 0), MATCH(S$4&amp;S$5, LS_previous!$D$2:$AY$2&amp;LS_previous!$D$3:$AY$3, 0)),SUM(VLOOKUP($A8, LS_previous!$B$4:$AY$137, LS_previous!K$148, FALSE), VLOOKUP('Staging Table'!$A8, LS_previous!$B$4:$AY$137,LS_previous!AI$148, FALSE))/2)</f>
        <v>2555.4216573299018</v>
      </c>
      <c r="T8" s="102">
        <f t="array" ref="T8">IF($G8=0, INDEX(LS_previous!$D$4:$AY$137, MATCH('Staging Table'!$A8, LS_previous!$B$4:$B$137, 0), MATCH(T$4&amp;T$5, LS_previous!$D$2:$AY$2&amp;LS_previous!$D$3:$AY$3, 0)),SUM(VLOOKUP($A8, LS_previous!$B$4:$AY$137, LS_previous!L$148, FALSE), VLOOKUP('Staging Table'!$A8, LS_previous!$B$4:$AY$137,LS_previous!AJ$148, FALSE))/2)</f>
        <v>-5550.2424073350958</v>
      </c>
      <c r="U8" s="102">
        <f t="array" ref="U8">IF($G8=0, INDEX(LS_previous!$D$4:$AY$137, MATCH('Staging Table'!$A8, LS_previous!$B$4:$B$137, 0), MATCH(U$4&amp;U$5, LS_previous!$D$2:$AY$2&amp;LS_previous!$D$3:$AY$3, 0)),SUM(VLOOKUP($A8, LS_previous!$B$4:$AY$137, LS_previous!M$148, FALSE), VLOOKUP('Staging Table'!$A8, LS_previous!$B$4:$AY$137,LS_previous!AK$148, FALSE))/2)</f>
        <v>11.038770312901761</v>
      </c>
      <c r="V8" s="102">
        <f t="array" ref="V8">IF($G8=0, INDEX(LS_previous!$D$4:$AY$137, MATCH('Staging Table'!$A8, LS_previous!$B$4:$B$137, 0), MATCH(V$4&amp;V$5, LS_previous!$D$2:$AY$2&amp;LS_previous!$D$3:$AY$3, 0)),SUM(VLOOKUP($A8, LS_previous!$B$4:$AY$137, LS_previous!N$148, FALSE), VLOOKUP('Staging Table'!$A8, LS_previous!$B$4:$AY$137,LS_previous!AL$148, FALSE))/2)</f>
        <v>-6373.0783870696941</v>
      </c>
      <c r="W8" s="102">
        <f t="array" ref="W8">IF($G8=0, INDEX(LS_previous!$D$4:$AY$137, MATCH('Staging Table'!$A8, LS_previous!$B$4:$B$137, 0), MATCH(W$4&amp;W$5, LS_previous!$D$2:$AY$2&amp;LS_previous!$D$3:$AY$3, 0)),SUM(VLOOKUP($A8, LS_previous!$B$4:$AY$137, LS_previous!O$148, FALSE), VLOOKUP('Staging Table'!$A8, LS_previous!$B$4:$AY$137,LS_previous!AM$148, FALSE))/2)</f>
        <v>-1544.6522544082</v>
      </c>
      <c r="X8" s="102">
        <f t="array" ref="X8">IF($G8=0, INDEX(LS_previous!$D$4:$AY$137, MATCH('Staging Table'!$A8, LS_previous!$B$4:$B$137, 0), MATCH(X$4&amp;X$5, LS_previous!$D$2:$AY$2&amp;LS_previous!$D$3:$AY$3, 0)),SUM(VLOOKUP($A8, LS_previous!$B$4:$AY$137, LS_previous!P$148, FALSE), VLOOKUP('Staging Table'!$A8, LS_previous!$B$4:$AY$137,LS_previous!AN$148, FALSE))/2)</f>
        <v>2745.5792665102563</v>
      </c>
      <c r="Y8" s="102">
        <f t="array" ref="Y8">IF($G8=0, INDEX(LS_previous!$D$4:$AY$137, MATCH('Staging Table'!$A8, LS_previous!$B$4:$B$137, 0), MATCH(Y$4&amp;Y$5, LS_previous!$D$2:$AY$2&amp;LS_previous!$D$3:$AY$3, 0)),SUM(VLOOKUP($A8, LS_previous!$B$4:$AY$137, LS_previous!Q$148, FALSE), VLOOKUP('Staging Table'!$A8, LS_previous!$B$4:$AY$137,LS_previous!AO$148, FALSE))/2)</f>
        <v>2364.7653522114288</v>
      </c>
      <c r="Z8" s="102">
        <f t="array" ref="Z8">IF($G8=0, INDEX(LS_previous!$D$4:$AY$137, MATCH('Staging Table'!$A8, LS_previous!$B$4:$B$137, 0), MATCH(Z$4&amp;Z$5, LS_previous!$D$2:$AY$2&amp;LS_previous!$D$3:$AY$3, 0)),SUM(VLOOKUP($A8, LS_previous!$B$4:$AY$137, LS_previous!R$148, FALSE), VLOOKUP('Staging Table'!$A8, LS_previous!$B$4:$AY$137,LS_previous!AP$148, FALSE))/2)</f>
        <v>94.055065508800908</v>
      </c>
      <c r="AA8" s="102">
        <f t="array" ref="AA8">IF($G8=0, INDEX(LS_previous!$D$4:$AY$137, MATCH('Staging Table'!$A8, LS_previous!$B$4:$B$137, 0), MATCH(AA$4&amp;AA$5, LS_previous!$D$2:$AY$2&amp;LS_previous!$D$3:$AY$3, 0)),SUM(VLOOKUP($A8, LS_previous!$B$4:$AY$137, LS_previous!S$148, FALSE), VLOOKUP('Staging Table'!$A8, LS_previous!$B$4:$AY$137,LS_previous!AQ$148, FALSE))/2)</f>
        <v>3580.401384951354</v>
      </c>
      <c r="AB8" s="102">
        <f t="array" ref="AB8">IF($G8=0, INDEX(LS_previous!$D$4:$AY$137, MATCH('Staging Table'!$A8, LS_previous!$B$4:$B$137, 0), MATCH(AB$4&amp;AB$5, LS_previous!$D$2:$AY$2&amp;LS_previous!$D$3:$AY$3, 0)),SUM(VLOOKUP($A8, LS_previous!$B$4:$AY$137, LS_previous!T$148, FALSE), VLOOKUP('Staging Table'!$A8, LS_previous!$B$4:$AY$137,LS_previous!AR$148, FALSE))/2)</f>
        <v>4929.7085439306065</v>
      </c>
      <c r="AC8" s="102">
        <f t="array" ref="AC8">IF($G8=0, INDEX(LS_previous!$D$4:$AY$137, MATCH('Staging Table'!$A8, LS_previous!$B$4:$B$137, 0), MATCH(AC$4&amp;AC$5, LS_previous!$D$2:$AY$2&amp;LS_previous!$D$3:$AY$3, 0)),SUM(VLOOKUP($A8, LS_previous!$B$4:$AY$137, LS_previous!U$148, FALSE), VLOOKUP('Staging Table'!$A8, LS_previous!$B$4:$AY$137,LS_previous!AS$148, FALSE))/2)</f>
        <v>3810.3292817889487</v>
      </c>
      <c r="AD8" s="102">
        <f t="array" ref="AD8">IF($G8=0, INDEX(LS_previous!$D$4:$AY$137, MATCH('Staging Table'!$A8, LS_previous!$B$4:$B$137, 0), MATCH(AD$4&amp;AD$5, LS_previous!$D$2:$AY$2&amp;LS_previous!$D$3:$AY$3, 0)),SUM(VLOOKUP($A8, LS_previous!$B$4:$AY$137, LS_previous!V$148, FALSE), VLOOKUP('Staging Table'!$A8, LS_previous!$B$4:$AY$137,LS_previous!AT$148, FALSE))/2)</f>
        <v>12690.1393575084</v>
      </c>
      <c r="AE8" s="102">
        <f t="array" ref="AE8">IF($G8=0, INDEX(LS_previous!$D$4:$AY$137, MATCH('Staging Table'!$A8, LS_previous!$B$4:$B$137, 0), MATCH(AE$4&amp;AE$5, LS_previous!$D$2:$AY$2&amp;LS_previous!$D$3:$AY$3, 0)),SUM(VLOOKUP($A8, LS_previous!$B$4:$AY$137, LS_previous!W$148, FALSE), VLOOKUP('Staging Table'!$A8, LS_previous!$B$4:$AY$137,LS_previous!AU$148, FALSE))/2)</f>
        <v>10229.181138545253</v>
      </c>
      <c r="AF8" s="102">
        <f t="array" ref="AF8">IF($G8=0, INDEX(LS_previous!$D$4:$AY$137, MATCH('Staging Table'!$A8, LS_previous!$B$4:$B$137, 0), MATCH(AF$4&amp;AF$5, LS_previous!$D$2:$AY$2&amp;LS_previous!$D$3:$AY$3, 0)),SUM(VLOOKUP($A8, LS_previous!$B$4:$AY$137, LS_previous!X$148, FALSE), VLOOKUP('Staging Table'!$A8, LS_previous!$B$4:$AY$137,LS_previous!AV$148, FALSE))/2)</f>
        <v>10755.065617771656</v>
      </c>
      <c r="AG8" s="102">
        <f t="array" ref="AG8">IF($G8=0, INDEX(LS_previous!$D$4:$AY$137, MATCH('Staging Table'!$A8, LS_previous!$B$4:$B$137, 0), MATCH(AG$4&amp;AG$5, LS_previous!$D$2:$AY$2&amp;LS_previous!$D$3:$AY$3, 0)),SUM(VLOOKUP($A8, LS_previous!$B$4:$AY$137, LS_previous!Y$148, FALSE), VLOOKUP('Staging Table'!$A8, LS_previous!$B$4:$AY$137,LS_previous!AW$148, FALSE))/2)</f>
        <v>9745.2051781435384</v>
      </c>
      <c r="AH8" s="102">
        <f t="array" ref="AH8">IF($G8=0, INDEX(LS_previous!$D$4:$AY$137, MATCH('Staging Table'!$A8, LS_previous!$B$4:$B$137, 0), MATCH(AH$4&amp;AH$5, LS_previous!$D$2:$AY$2&amp;LS_previous!$D$3:$AY$3, 0)),SUM(VLOOKUP($A8, LS_previous!$B$4:$AY$137, LS_previous!Z$148, FALSE), VLOOKUP('Staging Table'!$A8, LS_previous!$B$4:$AY$137,LS_previous!AX$148, FALSE))/2)</f>
        <v>7206.8066212894009</v>
      </c>
      <c r="AI8" s="102">
        <f t="array" ref="AI8">IF($G8=0, INDEX(LS_previous!$D$4:$AY$137, MATCH('Staging Table'!$A8, LS_previous!$B$4:$B$137, 0), MATCH(AI$4&amp;AI$5, LS_previous!$D$2:$AY$2&amp;LS_previous!$D$3:$AY$3, 0)),SUM(VLOOKUP($A8, LS_previous!$B$4:$AY$137, LS_previous!AA$148, FALSE), VLOOKUP('Staging Table'!$A8, LS_previous!$B$4:$AY$137,LS_previous!AY$148, FALSE))/2)</f>
        <v>5371.1993856624031</v>
      </c>
      <c r="AJ8" s="103">
        <f t="array" ref="AJ8">INDEX(Demand_previous!$D$4:$AY$137, MATCH('Staging Table'!$A8, Demand_previous!$B$4:$B$137, 0), MATCH(AJ$4&amp;AJ$5,Demand_previous!$D$2:$AY$2&amp;Demand_previous!$D$3:$AY$3, 0))/1000</f>
        <v>6.5402908653846126</v>
      </c>
      <c r="AK8" s="103">
        <f t="array" ref="AK8">INDEX(Demand_previous!$D$4:$AY$137, MATCH('Staging Table'!$A8, Demand_previous!$B$4:$B$137, 0), MATCH(AK$4&amp;AK$5,Demand_previous!$D$2:$AY$2&amp;Demand_previous!$D$3:$AY$3, 0))/1000</f>
        <v>4.8359549999999949</v>
      </c>
      <c r="AL8" s="103">
        <f t="array" ref="AL8">INDEX(Demand_previous!$D$4:$AY$137, MATCH('Staging Table'!$A8, Demand_previous!$B$4:$B$137, 0), MATCH(AL$4&amp;AL$5,Demand_previous!$D$2:$AY$2&amp;Demand_previous!$D$3:$AY$3, 0))/1000</f>
        <v>16.702952500000009</v>
      </c>
      <c r="AM8" s="103">
        <f t="array" ref="AM8">INDEX(Demand_previous!$D$4:$AY$137, MATCH('Staging Table'!$A8, Demand_previous!$B$4:$B$137, 0), MATCH(AM$4&amp;AM$5,Demand_previous!$D$2:$AY$2&amp;Demand_previous!$D$3:$AY$3, 0))/1000</f>
        <v>20.794209134615386</v>
      </c>
      <c r="AN8" s="103">
        <f t="array" ref="AN8">INDEX(Demand_previous!$D$4:$AY$137, MATCH('Staging Table'!$A8, Demand_previous!$B$4:$B$137, 0), MATCH(AN$4&amp;AN$5,Demand_previous!$D$2:$AY$2&amp;Demand_previous!$D$3:$AY$3, 0))/1000</f>
        <v>8.6802700000000002</v>
      </c>
      <c r="AO8" s="103">
        <f t="array" ref="AO8">INDEX(Demand_previous!$D$4:$AY$137, MATCH('Staging Table'!$A8, Demand_previous!$B$4:$B$137, 0), MATCH(AO$4&amp;AO$5,Demand_previous!$D$2:$AY$2&amp;Demand_previous!$D$3:$AY$3, 0))/1000</f>
        <v>11.481442307692308</v>
      </c>
      <c r="AP8" s="103">
        <f t="array" ref="AP8">INDEX(Demand_previous!$D$4:$AY$137, MATCH('Staging Table'!$A8, Demand_previous!$B$4:$B$137, 0), MATCH(AP$4&amp;AP$5,Demand_previous!$D$2:$AY$2&amp;Demand_previous!$D$3:$AY$3, 0))/1000</f>
        <v>0</v>
      </c>
      <c r="AQ8" s="103">
        <f t="array" ref="AQ8">INDEX(Demand_previous!$D$4:$AY$137, MATCH('Staging Table'!$A8, Demand_previous!$B$4:$B$137, 0), MATCH(AQ$4&amp;AQ$5,Demand_previous!$D$2:$AY$2&amp;Demand_previous!$D$3:$AY$3, 0))/1000</f>
        <v>8.4099903846153907</v>
      </c>
      <c r="AR8" s="103">
        <f t="array" ref="AR8">INDEX(Demand_previous!$D$4:$AY$137, MATCH('Staging Table'!$A8, Demand_previous!$B$4:$B$137, 0), MATCH(AR$4&amp;AR$5,Demand_previous!$D$2:$AY$2&amp;Demand_previous!$D$3:$AY$3, 0))/1000</f>
        <v>10.92614749999999</v>
      </c>
      <c r="AS8" s="103">
        <f t="array" ref="AS8">INDEX(Demand_previous!$D$4:$AY$137, MATCH('Staging Table'!$A8, Demand_previous!$B$4:$B$137, 0), MATCH(AS$4&amp;AS$5,Demand_previous!$D$2:$AY$2&amp;Demand_previous!$D$3:$AY$3, 0))/1000</f>
        <v>18.079822115384623</v>
      </c>
      <c r="AT8" s="103">
        <f t="array" ref="AT8">INDEX(Demand_previous!$D$4:$AY$137, MATCH('Staging Table'!$A8, Demand_previous!$B$4:$B$137, 0), MATCH(AT$4&amp;AT$5,Demand_previous!$D$2:$AY$2&amp;Demand_previous!$D$3:$AY$3, 0))/1000</f>
        <v>22.492870370370355</v>
      </c>
      <c r="AU8" s="103">
        <f t="array" ref="AU8">INDEX(Demand_previous!$D$4:$AY$137, MATCH('Staging Table'!$A8, Demand_previous!$B$4:$B$137, 0), MATCH(AU$4&amp;AU$5,Demand_previous!$D$2:$AY$2&amp;Demand_previous!$D$3:$AY$3, 0))/1000</f>
        <v>11.356273437499999</v>
      </c>
      <c r="AV8" s="102">
        <f>$F8*(VLOOKUP(AV$4, Rates_previous!$G$6:$Q$29, 10, FALSE)+VLOOKUP(AV$4, Rates_previous!$G$6:$Q$29, 11, FALSE))</f>
        <v>36437.386207699346</v>
      </c>
      <c r="AW8" s="102">
        <f>$F8*(VLOOKUP(AW$4, Rates_previous!$G$6:$Q$29, 10, FALSE)+VLOOKUP(AW$4, Rates_previous!$G$6:$Q$29, 11, FALSE))</f>
        <v>46469.682751287102</v>
      </c>
      <c r="AX8" s="102">
        <f>$F8*(VLOOKUP(AX$4, Rates_previous!$G$6:$Q$29, 10, FALSE)+VLOOKUP(AX$4, Rates_previous!$G$6:$Q$29, 11, FALSE))</f>
        <v>50149.982232151502</v>
      </c>
      <c r="AY8" s="102">
        <f>$F8*(VLOOKUP(AY$4, Rates_previous!$G$6:$Q$29, 10, FALSE)+VLOOKUP(AY$4, Rates_previous!$G$6:$Q$29, 11, FALSE))</f>
        <v>52113.584115953599</v>
      </c>
      <c r="AZ8" s="102">
        <f>$F8*(VLOOKUP(AZ$4, Rates_previous!$G$6:$Q$29, 10, FALSE)+VLOOKUP(AZ$4, Rates_previous!$G$6:$Q$29, 11, FALSE))</f>
        <v>44824.628637022193</v>
      </c>
      <c r="BA8" s="102">
        <f>$F8*(VLOOKUP(BA$4, Rates_previous!$G$6:$Q$29, 10, FALSE)+VLOOKUP(BA$4, Rates_previous!$G$6:$Q$29, 11, FALSE))</f>
        <v>48939.619641477897</v>
      </c>
      <c r="BB8" s="102">
        <f>$F8*(VLOOKUP(BB$4, Rates_previous!$G$6:$Q$29, 10, FALSE)+VLOOKUP(BB$4, Rates_previous!$G$6:$Q$29, 11, FALSE))</f>
        <v>38629.58238127832</v>
      </c>
      <c r="BC8" s="102">
        <f>$F8*(VLOOKUP(BC$4, Rates_previous!$G$6:$Q$29, 10, FALSE)+VLOOKUP(BC$4, Rates_previous!$G$6:$Q$29, 11, FALSE))</f>
        <v>47925.173549539846</v>
      </c>
      <c r="BD8" s="102">
        <f>$F8*(VLOOKUP(BD$4, Rates_previous!$G$6:$Q$29, 10, FALSE)+VLOOKUP(BD$4, Rates_previous!$G$6:$Q$29, 11, FALSE))</f>
        <v>48965.030174280444</v>
      </c>
      <c r="BE8" s="102">
        <f>$F8*(VLOOKUP(BE$4, Rates_previous!$G$6:$Q$29, 10, FALSE)+VLOOKUP(BE$4, Rates_previous!$G$6:$Q$29, 11, FALSE))</f>
        <v>42508.700503946347</v>
      </c>
      <c r="BF8" s="102">
        <f>$F8*(VLOOKUP(BF$4, Rates_previous!$G$6:$Q$29, 10, FALSE)+VLOOKUP(BF$4, Rates_previous!$G$6:$Q$29, 11, FALSE))</f>
        <v>41094.614204084814</v>
      </c>
      <c r="BG8" s="102">
        <f>$F8*(VLOOKUP(BG$4, Rates_previous!$G$6:$Q$29, 10, FALSE)+VLOOKUP(BG$4, Rates_previous!$G$6:$Q$29, 11, FALSE))</f>
        <v>37815.002993048205</v>
      </c>
      <c r="BH8" s="103">
        <f>IF($D8=0,IF(C8=0, MAX(BJ8 - (VLOOKUP($A8,TOCA_previous!$A$2:$AJ$136,MATCH("RHWM "&amp;Init!$D$1-2,TOCA_previous!$A$2:$AJ$2,0),FALSE)*$F$2*TOCA_previous!C5),0),0), 0)</f>
        <v>85880.562456334417</v>
      </c>
      <c r="BI8" s="109">
        <f>MIN(VLOOKUP($A8,TOCA_previous!$A$2:$AJ$136,MATCH("TRL - NLSL - Existing Resource "&amp;$F$1,TOCA_previous!$A$2:$AJ$2,0),FALSE)*$F$2,(VLOOKUP($A8,TOCA_previous!$A$2:$AJ$136,MATCH("RHWM "&amp;Init!$D$1-2,TOCA_previous!$A$2:$AJ$2,0),FALSE)*$F$2))</f>
        <v>524044.65600000002</v>
      </c>
      <c r="BJ8" s="261">
        <f>SUM(L8:AI8)+(F8*RT1SC!$C$3*$F$2)</f>
        <v>609925.21845633443</v>
      </c>
      <c r="BK8" s="260">
        <f>VLOOKUP($A8,TOCA_previous!$A$2:$AJ$136,MATCH("Above RHWM Not Served with LS "&amp;$F$1,TOCA_previous!$A$2:$AJ$2,0),FALSE)*$F$2</f>
        <v>45369.36</v>
      </c>
      <c r="BL8" s="261">
        <f t="shared" si="21"/>
        <v>85880.562456334417</v>
      </c>
      <c r="BM8" s="260">
        <f>(VLOOKUP($A8,TOCA_previous!$A$2:$AJ$136,MATCH("RHWM "&amp;Init!$D$1-2,TOCA_previous!$A$2:$AJ$2,0),FALSE)*$F$2) - $BI8</f>
        <v>0</v>
      </c>
      <c r="BN8" s="261">
        <f t="shared" si="22"/>
        <v>0</v>
      </c>
      <c r="BO8" s="260">
        <f t="shared" si="23"/>
        <v>0</v>
      </c>
      <c r="BP8" s="261">
        <f t="shared" si="24"/>
        <v>0</v>
      </c>
      <c r="BQ8" s="260">
        <f t="shared" si="9"/>
        <v>0</v>
      </c>
      <c r="BR8" s="85">
        <f>VLOOKUP($A8,TOCA_current!$A$2:$ZZ$136,MATCH(BR$4,TOCA_current!$A$2:$ZZ$2,0),FALSE)</f>
        <v>8.4398000000000008E-3</v>
      </c>
      <c r="BS8" s="85">
        <f>VLOOKUP($A8,TOCA_current!$A$2:$ZZ$136,MATCH(BS$4,TOCA_current!$A$2:$ZZ$2,0),FALSE)</f>
        <v>8.4398000000000008E-3</v>
      </c>
      <c r="BT8" s="108">
        <f t="shared" si="25"/>
        <v>0</v>
      </c>
      <c r="BU8" s="85">
        <f>VLOOKUP($A8,TOCA_current!A5:BG139,MATCH(BU$4,TOCA_current!$A$2:$BG$2,0),FALSE)</f>
        <v>6.8567821608919569E-2</v>
      </c>
      <c r="BV8" s="85">
        <f t="shared" si="26"/>
        <v>0</v>
      </c>
      <c r="BW8" s="85">
        <f t="shared" si="27"/>
        <v>0</v>
      </c>
      <c r="BX8" s="101">
        <f>VLOOKUP($A8,IRD!$A$4:$G$138, 7, FALSE)</f>
        <v>82900.857000000004</v>
      </c>
      <c r="BY8" s="102">
        <f t="array" ref="BY8">IF($BT8=0, INDEX(LS_current!$D$4:$BW$137, MATCH('Staging Table'!$A8, LS_current!$B$4:$B$137, 0), MATCH(BY$4&amp;BY$5, LS_current!$D$2:$BW$2&amp;LS_current!$D$3:$BW$3, 0)),SUM(VLOOKUP($A8, LS_current!$B$4:$BW$137, LS_current!D$147, FALSE), VLOOKUP($A8, LS_current!$B$4:$BW$137,LS_current!AZ$147, FALSE))/2)</f>
        <v>2970.163543736111</v>
      </c>
      <c r="BZ8" s="102">
        <f t="array" ref="BZ8">IF($BT8=0, INDEX(LS_current!$D$4:$BW$137, MATCH('Staging Table'!$A8, LS_current!$B$4:$B$137, 0), MATCH(BZ$4&amp;BZ$5, LS_current!$D$2:$BW$2&amp;LS_current!$D$3:$BW$3, 0)),SUM(VLOOKUP($A8, LS_current!$B$4:$BW$137, LS_current!E$147, FALSE), VLOOKUP($A8, LS_current!$B$4:$BW$137,LS_current!BA$147, FALSE))/2)</f>
        <v>2481.6730965483148</v>
      </c>
      <c r="CA8" s="102">
        <f t="array" ref="CA8">IF($BT8=0, INDEX(LS_current!$D$4:$BW$137, MATCH('Staging Table'!$A8, LS_current!$B$4:$B$137, 0), MATCH(CA$4&amp;CA$5, LS_current!$D$2:$BW$2&amp;LS_current!$D$3:$BW$3, 0)),SUM(VLOOKUP($A8, LS_current!$B$4:$BW$137, LS_current!F$147, FALSE), VLOOKUP($A8, LS_current!$B$4:$BW$137,LS_current!BB$147, FALSE))/2)</f>
        <v>-7134.5661702473226</v>
      </c>
      <c r="CB8" s="102">
        <f t="array" ref="CB8">IF($BT8=0, INDEX(LS_current!$D$4:$BW$137, MATCH('Staging Table'!$A8, LS_current!$B$4:$B$137, 0), MATCH(CB$4&amp;CB$5, LS_current!$D$2:$BW$2&amp;LS_current!$D$3:$BW$3, 0)),SUM(VLOOKUP($A8, LS_current!$B$4:$BW$137, LS_current!G$147, FALSE), VLOOKUP($A8, LS_current!$B$4:$BW$137,LS_current!BC$147, FALSE))/2)</f>
        <v>-1085.0202230627583</v>
      </c>
      <c r="CC8" s="102">
        <f t="array" ref="CC8">IF($BT8=0, INDEX(LS_current!$D$4:$BW$137, MATCH('Staging Table'!$A8, LS_current!$B$4:$B$137, 0), MATCH(CC$4&amp;CC$5, LS_current!$D$2:$BW$2&amp;LS_current!$D$3:$BW$3, 0)),SUM(VLOOKUP($A8, LS_current!$B$4:$BW$137, LS_current!H$147, FALSE), VLOOKUP($A8, LS_current!$B$4:$BW$137,LS_current!BD$147, FALSE))/2)</f>
        <v>-4638.2631861534137</v>
      </c>
      <c r="CD8" s="102">
        <f t="array" ref="CD8">IF($BT8=0, INDEX(LS_current!$D$4:$BW$137, MATCH('Staging Table'!$A8, LS_current!$B$4:$B$137, 0), MATCH(CD$4&amp;CD$5, LS_current!$D$2:$BW$2&amp;LS_current!$D$3:$BW$3, 0)),SUM(VLOOKUP($A8, LS_current!$B$4:$BW$137, LS_current!I$147, FALSE), VLOOKUP($A8, LS_current!$B$4:$BW$137,LS_current!BE$147, FALSE))/2)</f>
        <v>1614.9388280980747</v>
      </c>
      <c r="CE8" s="102">
        <f t="array" ref="CE8">IF($BT8=0, INDEX(LS_current!$D$4:$BW$137, MATCH('Staging Table'!$A8, LS_current!$B$4:$B$137, 0), MATCH(CE$4&amp;CE$5, LS_current!$D$2:$BW$2&amp;LS_current!$D$3:$BW$3, 0)),SUM(VLOOKUP($A8, LS_current!$B$4:$BW$137, LS_current!J$147, FALSE), VLOOKUP($A8, LS_current!$B$4:$BW$137,LS_current!BF$147, FALSE))/2)</f>
        <v>-7333.4566483908202</v>
      </c>
      <c r="CF8" s="102">
        <f t="array" ref="CF8">IF($BT8=0, INDEX(LS_current!$D$4:$BW$137, MATCH('Staging Table'!$A8, LS_current!$B$4:$B$137, 0), MATCH(CF$4&amp;CF$5, LS_current!$D$2:$BW$2&amp;LS_current!$D$3:$BW$3, 0)),SUM(VLOOKUP($A8, LS_current!$B$4:$BW$137, LS_current!K$147, FALSE), VLOOKUP($A8, LS_current!$B$4:$BW$137,LS_current!BG$147, FALSE))/2)</f>
        <v>-615.52017891667856</v>
      </c>
      <c r="CG8" s="102">
        <f t="array" ref="CG8">IF($BT8=0, INDEX(LS_current!$D$4:$BW$137, MATCH('Staging Table'!$A8, LS_current!$B$4:$B$137, 0), MATCH(CG$4&amp;CG$5, LS_current!$D$2:$BW$2&amp;LS_current!$D$3:$BW$3, 0)),SUM(VLOOKUP($A8, LS_current!$B$4:$BW$137, LS_current!L$147, FALSE), VLOOKUP($A8, LS_current!$B$4:$BW$137,LS_current!BH$147, FALSE))/2)</f>
        <v>-7907.1193329314119</v>
      </c>
      <c r="CH8" s="102">
        <f t="array" ref="CH8">IF($BT8=0, INDEX(LS_current!$D$4:$BW$137, MATCH('Staging Table'!$A8, LS_current!$B$4:$B$137, 0), MATCH(CH$4&amp;CH$5, LS_current!$D$2:$BW$2&amp;LS_current!$D$3:$BW$3, 0)),SUM(VLOOKUP($A8, LS_current!$B$4:$BW$137, LS_current!M$147, FALSE), VLOOKUP($A8, LS_current!$B$4:$BW$137,LS_current!BI$147, FALSE))/2)</f>
        <v>-1967.2847028085544</v>
      </c>
      <c r="CI8" s="102">
        <f t="array" ref="CI8">IF($BT8=0, INDEX(LS_current!$D$4:$BW$137, MATCH('Staging Table'!$A8, LS_current!$B$4:$B$137, 0), MATCH(CI$4&amp;CI$5, LS_current!$D$2:$BW$2&amp;LS_current!$D$3:$BW$3, 0)),SUM(VLOOKUP($A8, LS_current!$B$4:$BW$137, LS_current!N$147, FALSE), VLOOKUP($A8, LS_current!$B$4:$BW$137,LS_current!BJ$147, FALSE))/2)</f>
        <v>-11021.157635344312</v>
      </c>
      <c r="CJ8" s="102">
        <f t="array" ref="CJ8">IF($BT8=0, INDEX(LS_current!$D$4:$BW$137, MATCH('Staging Table'!$A8, LS_current!$B$4:$B$137, 0), MATCH(CJ$4&amp;CJ$5, LS_current!$D$2:$BW$2&amp;LS_current!$D$3:$BW$3, 0)),SUM(VLOOKUP($A8, LS_current!$B$4:$BW$137, LS_current!O$147, FALSE), VLOOKUP($A8, LS_current!$B$4:$BW$137,LS_current!BK$147, FALSE))/2)</f>
        <v>-1914.8786410678531</v>
      </c>
      <c r="CK8" s="102">
        <f t="array" ref="CK8">IF($BT8=0, INDEX(LS_current!$D$4:$BW$137, MATCH('Staging Table'!$A8, LS_current!$B$4:$B$137, 0), MATCH(CK$4&amp;CK$5, LS_current!$D$2:$BW$2&amp;LS_current!$D$3:$BW$3, 0)),SUM(VLOOKUP($A8, LS_current!$B$4:$BW$137, LS_current!P$147, FALSE), VLOOKUP($A8, LS_current!$B$4:$BW$137,LS_current!BL$147, FALSE))/2)</f>
        <v>-81.23438512316352</v>
      </c>
      <c r="CL8" s="102">
        <f t="array" ref="CL8">IF($BT8=0, INDEX(LS_current!$D$4:$BW$137, MATCH('Staging Table'!$A8, LS_current!$B$4:$B$137, 0), MATCH(CL$4&amp;CL$5, LS_current!$D$2:$BW$2&amp;LS_current!$D$3:$BW$3, 0)),SUM(VLOOKUP($A8, LS_current!$B$4:$BW$137, LS_current!Q$147, FALSE), VLOOKUP($A8, LS_current!$B$4:$BW$137,LS_current!BM$147, FALSE))/2)</f>
        <v>613.88408012906439</v>
      </c>
      <c r="CM8" s="102">
        <f t="array" ref="CM8">IF($BT8=0, INDEX(LS_current!$D$4:$BW$137, MATCH('Staging Table'!$A8, LS_current!$B$4:$B$137, 0), MATCH(CM$4&amp;CM$5, LS_current!$D$2:$BW$2&amp;LS_current!$D$3:$BW$3, 0)),SUM(VLOOKUP($A8, LS_current!$B$4:$BW$137, LS_current!R$147, FALSE), VLOOKUP($A8, LS_current!$B$4:$BW$137,LS_current!BN$147, FALSE))/2)</f>
        <v>-2978.1114038777378</v>
      </c>
      <c r="CN8" s="102">
        <f t="array" ref="CN8">IF($BT8=0, INDEX(LS_current!$D$4:$BW$137, MATCH('Staging Table'!$A8, LS_current!$B$4:$B$137, 0), MATCH(CN$4&amp;CN$5, LS_current!$D$2:$BW$2&amp;LS_current!$D$3:$BW$3, 0)),SUM(VLOOKUP($A8, LS_current!$B$4:$BW$137, LS_current!S$147, FALSE), VLOOKUP($A8, LS_current!$B$4:$BW$137,LS_current!BO$147, FALSE))/2)</f>
        <v>470.22501486237161</v>
      </c>
      <c r="CO8" s="102">
        <f t="array" ref="CO8">IF($BT8=0, INDEX(LS_current!$D$4:$BW$137, MATCH('Staging Table'!$A8, LS_current!$B$4:$B$137, 0), MATCH(CO$4&amp;CO$5, LS_current!$D$2:$BW$2&amp;LS_current!$D$3:$BW$3, 0)),SUM(VLOOKUP($A8, LS_current!$B$4:$BW$137, LS_current!T$147, FALSE), VLOOKUP($A8, LS_current!$B$4:$BW$137,LS_current!BP$147, FALSE))/2)</f>
        <v>341.02374075786429</v>
      </c>
      <c r="CP8" s="102">
        <f t="array" ref="CP8">IF($BT8=0, INDEX(LS_current!$D$4:$BW$137, MATCH('Staging Table'!$A8, LS_current!$B$4:$B$137, 0), MATCH(CP$4&amp;CP$5, LS_current!$D$2:$BW$2&amp;LS_current!$D$3:$BW$3, 0)),SUM(VLOOKUP($A8, LS_current!$B$4:$BW$137, LS_current!U$147, FALSE), VLOOKUP($A8, LS_current!$B$4:$BW$137,LS_current!BQ$147, FALSE))/2)</f>
        <v>2485.5617228382325</v>
      </c>
      <c r="CQ8" s="102">
        <f t="array" ref="CQ8">IF($BT8=0, INDEX(LS_current!$D$4:$BW$137, MATCH('Staging Table'!$A8, LS_current!$B$4:$B$137, 0), MATCH(CQ$4&amp;CQ$5, LS_current!$D$2:$BW$2&amp;LS_current!$D$3:$BW$3, 0)),SUM(VLOOKUP($A8, LS_current!$B$4:$BW$137, LS_current!V$147, FALSE), VLOOKUP($A8, LS_current!$B$4:$BW$137,LS_current!BR$147, FALSE))/2)</f>
        <v>8132.4270490486888</v>
      </c>
      <c r="CR8" s="102">
        <f t="array" ref="CR8">IF($BT8=0, INDEX(LS_current!$D$4:$BW$137, MATCH('Staging Table'!$A8, LS_current!$B$4:$B$137, 0), MATCH(CR$4&amp;CR$5, LS_current!$D$2:$BW$2&amp;LS_current!$D$3:$BW$3, 0)),SUM(VLOOKUP($A8, LS_current!$B$4:$BW$137, LS_current!W$147, FALSE), VLOOKUP($A8, LS_current!$B$4:$BW$137,LS_current!BS$147, FALSE))/2)</f>
        <v>7455.060029094906</v>
      </c>
      <c r="CS8" s="102">
        <f t="array" ref="CS8">IF($BT8=0, INDEX(LS_current!$D$4:$BW$137, MATCH('Staging Table'!$A8, LS_current!$B$4:$B$137, 0), MATCH(CS$4&amp;CS$5, LS_current!$D$2:$BW$2&amp;LS_current!$D$3:$BW$3, 0)),SUM(VLOOKUP($A8, LS_current!$B$4:$BW$137, LS_current!X$147, FALSE), VLOOKUP($A8, LS_current!$B$4:$BW$137,LS_current!BT$147, FALSE))/2)</f>
        <v>3801.4546264528944</v>
      </c>
      <c r="CT8" s="102">
        <f t="array" ref="CT8">IF($BT8=0, INDEX(LS_current!$D$4:$BW$137, MATCH('Staging Table'!$A8, LS_current!$B$4:$B$137, 0), MATCH(CT$4&amp;CT$5, LS_current!$D$2:$BW$2&amp;LS_current!$D$3:$BW$3, 0)),SUM(VLOOKUP($A8, LS_current!$B$4:$BW$137, LS_current!Y$147, FALSE), VLOOKUP($A8, LS_current!$B$4:$BW$137,LS_current!BU$147, FALSE))/2)</f>
        <v>6851.2862306855859</v>
      </c>
      <c r="CU8" s="102">
        <f t="array" ref="CU8">IF($BT8=0, INDEX(LS_current!$D$4:$BW$137, MATCH('Staging Table'!$A8, LS_current!$B$4:$B$137, 0), MATCH(CU$4&amp;CU$5, LS_current!$D$2:$BW$2&amp;LS_current!$D$3:$BW$3, 0)),SUM(VLOOKUP($A8, LS_current!$B$4:$BW$137, LS_current!Z$147, FALSE), VLOOKUP($A8, LS_current!$B$4:$BW$137,LS_current!BV$147, FALSE))/2)</f>
        <v>4695.3728991122953</v>
      </c>
      <c r="CV8" s="102">
        <f t="array" ref="CV8">IF($BT8=0, INDEX(LS_current!$D$4:$BW$137, MATCH('Staging Table'!$A8, LS_current!$B$4:$B$137, 0), MATCH(CV$4&amp;CV$5, LS_current!$D$2:$BW$2&amp;LS_current!$D$3:$BW$3, 0)),SUM(VLOOKUP($A8, LS_current!$B$4:$BW$137, LS_current!AA$147, FALSE), VLOOKUP($A8, LS_current!$B$4:$BW$137,LS_current!BW$147, FALSE))/2)</f>
        <v>4764.6232205645592</v>
      </c>
      <c r="CW8" s="103">
        <f t="array" ref="CW8">INDEX(Demand_current!$D$4:$BW$137, MATCH($A8, Demand_current!$B$4:$B$137, 0), MATCH(CW$4&amp;CW$5,Demand_current!$D$2:$BW$2&amp;Demand_current!$D$3:$BW$3, 0))/1000</f>
        <v>9.3172060185185117</v>
      </c>
      <c r="CX8" s="103">
        <f t="array" ref="CX8">INDEX(Demand_current!$D$4:$BW$137, MATCH($A8, Demand_current!$B$4:$B$137, 0), MATCH(CX$4&amp;CX$5,Demand_current!$D$2:$BW$2&amp;Demand_current!$D$3:$BW$3, 0))/1000</f>
        <v>2.1688697916666619</v>
      </c>
      <c r="CY8" s="103">
        <f t="array" ref="CY8">INDEX(Demand_current!$D$4:$BW$137, MATCH($A8, Demand_current!$B$4:$B$137, 0), MATCH(CY$4&amp;CY$5,Demand_current!$D$2:$BW$2&amp;Demand_current!$D$3:$BW$3, 0))/1000</f>
        <v>19.987108173076933</v>
      </c>
      <c r="CZ8" s="103">
        <f t="array" ref="CZ8">INDEX(Demand_current!$D$4:$BW$137, MATCH($A8, Demand_current!$B$4:$B$137, 0), MATCH(CZ$4&amp;CZ$5,Demand_current!$D$2:$BW$2&amp;Demand_current!$D$3:$BW$3, 0))/1000</f>
        <v>20.7942091346154</v>
      </c>
      <c r="DA8" s="103">
        <f t="array" ref="DA8">INDEX(Demand_current!$D$4:$BW$137, MATCH($A8, Demand_current!$B$4:$B$137, 0), MATCH(DA$4&amp;DA$5,Demand_current!$D$2:$BW$2&amp;Demand_current!$D$3:$BW$3, 0))/1000</f>
        <v>6.0742812500000056</v>
      </c>
      <c r="DB8" s="103">
        <f t="array" ref="DB8">INDEX(Demand_current!$D$4:$BW$137, MATCH($A8, Demand_current!$B$4:$B$137, 0), MATCH(DB$4&amp;DB$5,Demand_current!$D$2:$BW$2&amp;Demand_current!$D$3:$BW$3, 0))/1000</f>
        <v>11.481442307692323</v>
      </c>
      <c r="DC8" s="103">
        <f t="array" ref="DC8">INDEX(Demand_current!$D$4:$BW$137, MATCH($A8, Demand_current!$B$4:$B$137, 0), MATCH(DC$4&amp;DC$5,Demand_current!$D$2:$BW$2&amp;Demand_current!$D$3:$BW$3, 0))/1000</f>
        <v>0</v>
      </c>
      <c r="DD8" s="103">
        <f t="array" ref="DD8">INDEX(Demand_current!$D$4:$BW$137, MATCH($A8, Demand_current!$B$4:$B$137, 0), MATCH(DD$4&amp;DD$5,Demand_current!$D$2:$BW$2&amp;Demand_current!$D$3:$BW$3, 0))/1000</f>
        <v>5.3941500000000033</v>
      </c>
      <c r="DE8" s="103">
        <f t="array" ref="DE8">INDEX(Demand_current!$D$4:$BW$137, MATCH($A8, Demand_current!$B$4:$B$137, 0), MATCH(DE$4&amp;DE$5,Demand_current!$D$2:$BW$2&amp;Demand_current!$D$3:$BW$3, 0))/1000</f>
        <v>14.555295673076918</v>
      </c>
      <c r="DF8" s="103">
        <f t="array" ref="DF8">INDEX(Demand_current!$D$4:$BW$137, MATCH($A8, Demand_current!$B$4:$B$137, 0), MATCH(DF$4&amp;DF$5,Demand_current!$D$2:$BW$2&amp;Demand_current!$D$3:$BW$3, 0))/1000</f>
        <v>18.079822115384623</v>
      </c>
      <c r="DG8" s="103">
        <f t="array" ref="DG8">INDEX(Demand_current!$D$4:$BW$137, MATCH($A8, Demand_current!$B$4:$B$137, 0), MATCH(DG$4&amp;DG$5,Demand_current!$D$2:$BW$2&amp;Demand_current!$D$3:$BW$3, 0))/1000</f>
        <v>19.015749999999983</v>
      </c>
      <c r="DH8" s="103">
        <f t="array" ref="DH8">INDEX(Demand_current!$D$4:$BW$137, MATCH($A8, Demand_current!$B$4:$B$137, 0), MATCH(DH$4&amp;DH$5,Demand_current!$D$2:$BW$2&amp;Demand_current!$D$3:$BW$3, 0))/1000</f>
        <v>14.66618250000001</v>
      </c>
      <c r="DI8" s="102">
        <f>$BS8*(VLOOKUP(DI$4, Rates_current!$H$6:$R$41, 10, FALSE)+VLOOKUP(DI$4, Rates_current!$H$6:$R$41, 11, FALSE))</f>
        <v>35027.597359715583</v>
      </c>
      <c r="DJ8" s="102">
        <f>$BS8*(VLOOKUP(DJ$4, Rates_current!$H$6:$R$41, 10, FALSE)+VLOOKUP(DJ$4, Rates_current!$H$6:$R$41, 11, FALSE))</f>
        <v>44781.630393310079</v>
      </c>
      <c r="DK8" s="102">
        <f>$BS8*(VLOOKUP(DK$4, Rates_current!$H$6:$R$41, 10, FALSE)+VLOOKUP(DK$4, Rates_current!$H$6:$R$41, 11, FALSE))</f>
        <v>50912.968358055332</v>
      </c>
      <c r="DL8" s="102">
        <f>$BS8*(VLOOKUP(DL$4, Rates_current!$H$6:$R$41, 10, FALSE)+VLOOKUP(DL$4, Rates_current!$H$6:$R$41, 11, FALSE))</f>
        <v>53717.155827307499</v>
      </c>
      <c r="DM8" s="102">
        <f>$BS8*(VLOOKUP(DM$4, Rates_current!$H$6:$R$41, 10, FALSE)+VLOOKUP(DM$4, Rates_current!$H$6:$R$41, 11, FALSE))</f>
        <v>42807.725035739968</v>
      </c>
      <c r="DN8" s="102">
        <f>$BS8*(VLOOKUP(DN$4, Rates_current!$H$6:$R$41, 10, FALSE)+VLOOKUP(DN$4, Rates_current!$H$6:$R$41, 11, FALSE))</f>
        <v>46797.634276412158</v>
      </c>
      <c r="DO8" s="102">
        <f>$BS8*(VLOOKUP(DO$4, Rates_current!$H$6:$R$41, 10, FALSE)+VLOOKUP(DO$4, Rates_current!$H$6:$R$41, 11, FALSE))</f>
        <v>36268.637304994103</v>
      </c>
      <c r="DP8" s="102">
        <f>$BS8*(VLOOKUP(DP$4, Rates_current!$H$6:$R$41, 10, FALSE)+VLOOKUP(DP$4, Rates_current!$H$6:$R$41, 11, FALSE))</f>
        <v>46937.588389015364</v>
      </c>
      <c r="DQ8" s="102">
        <f>$BS8*(VLOOKUP(DQ$4, Rates_current!$H$6:$R$41, 10, FALSE)+VLOOKUP(DQ$4, Rates_current!$H$6:$R$41, 11, FALSE))</f>
        <v>47939.842536403907</v>
      </c>
      <c r="DR8" s="102">
        <f>$BS8*(VLOOKUP(DR$4, Rates_current!$H$6:$R$41, 10, FALSE)+VLOOKUP(DR$4, Rates_current!$H$6:$R$41, 11, FALSE))</f>
        <v>42670.605921856404</v>
      </c>
      <c r="DS8" s="102">
        <f>$BS8*(VLOOKUP(DS$4, Rates_current!$H$6:$R$41, 10, FALSE)+VLOOKUP(DS$4, Rates_current!$H$6:$R$41, 11, FALSE))</f>
        <v>43772.216142861529</v>
      </c>
      <c r="DT8" s="102">
        <f>$BS8*(VLOOKUP(DT$4, Rates_current!$H$6:$R$41, 10, FALSE)+VLOOKUP(DT$4, Rates_current!$H$6:$R$41, 11, FALSE))</f>
        <v>33994.37288032315</v>
      </c>
      <c r="DU8" s="261">
        <f>IF(D8=0,IF(C8=0,MAX(0,DW8 - (VLOOKUP($A8,TOCA_current!$A$2:$AV$136,MATCH("RHWM "&amp;Init!$D$1,TOCA_current!$A$2:$AV$2,0),FALSE)*$BS$2)), 0),0)</f>
        <v>2.807027701055631</v>
      </c>
      <c r="DV8" s="262">
        <f>MIN(VLOOKUP($A8,TOCA_current!$A$2:$AV$136,MATCH("TRL - NLSL - Existing Resource "&amp;$BS$1,TOCA_current!$A$2:$AV$2,0),FALSE)*$BS$2, VLOOKUP($A8,TOCA_current!$A$2:$AV$136,MATCH("RHWM "&amp;Init!$D$1,TOCA_current!$A$2:$AV$2,0),FALSE)*$BS$2)</f>
        <v>525626.28</v>
      </c>
      <c r="DW8" s="262">
        <f>SUM(BY8:CV8)+(BS8*RT1SC!$C$4*$BS$2)</f>
        <v>525629.08702770108</v>
      </c>
      <c r="DX8" s="262">
        <f>VLOOKUP($A8,TOCA_current!$A$2:$AV$136,MATCH("Above RHWM Not Served with LS "&amp;$BS$1,TOCA_current!$A$2:$AV$2,0),FALSE)*$BS$2</f>
        <v>129665.51999999999</v>
      </c>
      <c r="DY8" s="262">
        <f t="shared" si="28"/>
        <v>2.807027701055631</v>
      </c>
      <c r="DZ8" s="262">
        <f>(VLOOKUP($A8,TOCA_current!$A$2:$AV$136,MATCH("RHWM "&amp;Init!$D$1,TOCA_current!$A$2:$AV$2,0),FALSE)*$BS$2) - $DV8</f>
        <v>0</v>
      </c>
      <c r="EA8" s="262">
        <f t="shared" si="29"/>
        <v>0</v>
      </c>
      <c r="EB8" s="262">
        <f t="shared" si="30"/>
        <v>0</v>
      </c>
      <c r="EC8" s="262">
        <f t="shared" si="31"/>
        <v>0</v>
      </c>
      <c r="ED8" s="262">
        <f t="shared" si="32"/>
        <v>0</v>
      </c>
    </row>
    <row r="9" spans="1:134">
      <c r="A9" s="2">
        <v>10027</v>
      </c>
      <c r="B9" s="3" t="s">
        <v>11</v>
      </c>
      <c r="C9">
        <f>VLOOKUP(A9, TOCA_current!$A$3:$D$136, 4, FALSE)</f>
        <v>0</v>
      </c>
      <c r="D9">
        <v>0</v>
      </c>
      <c r="E9" s="84">
        <f>VLOOKUP($A9,TOCA_previous!$A$2:$AJ$136,MATCH(E$4,TOCA_previous!$A$2:$AJ$2,0),FALSE)</f>
        <v>8.8591E-3</v>
      </c>
      <c r="F9" s="85">
        <f>VLOOKUP($A9,TOCA_previous!$A$2:$AJ$136,MATCH(F$4,TOCA_previous!$A$2:$AJ$2,0),FALSE)</f>
        <v>8.8591E-3</v>
      </c>
      <c r="G9" s="85">
        <f t="shared" si="18"/>
        <v>0</v>
      </c>
      <c r="H9" s="85">
        <f>VLOOKUP($A9,TOCA_previous!$A$2:$AJ$136,MATCH(H$4,TOCA_previous!$A$2:$AJ$2,0),FALSE)</f>
        <v>7.7546328071379553E-2</v>
      </c>
      <c r="I9" s="85">
        <f t="shared" si="19"/>
        <v>0</v>
      </c>
      <c r="J9" s="85">
        <f t="shared" si="20"/>
        <v>0</v>
      </c>
      <c r="K9" s="101">
        <f>VLOOKUP(A9, IRD!$A$5:$C$138, 3, FALSE)</f>
        <v>209669.54</v>
      </c>
      <c r="L9" s="102">
        <f t="array" ref="L9">IF($G9=0, INDEX(LS_previous!$D$4:$AY$137, MATCH('Staging Table'!$A9, LS_previous!$B$4:$B$137, 0), MATCH(L$4&amp;L$5, LS_previous!$D$2:$AY$2&amp;LS_previous!$D$3:$AY$3, 0)),SUM(VLOOKUP($A9, LS_previous!$B$4:$AY$137, LS_previous!D$148, FALSE), VLOOKUP('Staging Table'!$A9, LS_previous!$B$4:$AY$137,LS_previous!AB$148, FALSE))/2)</f>
        <v>1623.3960406723963</v>
      </c>
      <c r="M9" s="102">
        <f t="array" ref="M9">IF($G9=0, INDEX(LS_previous!$D$4:$AY$137, MATCH('Staging Table'!$A9, LS_previous!$B$4:$B$137, 0), MATCH(M$4&amp;M$5, LS_previous!$D$2:$AY$2&amp;LS_previous!$D$3:$AY$3, 0)),SUM(VLOOKUP($A9, LS_previous!$B$4:$AY$137, LS_previous!E$148, FALSE), VLOOKUP('Staging Table'!$A9, LS_previous!$B$4:$AY$137,LS_previous!AC$148, FALSE))/2)</f>
        <v>1915.2995558229504</v>
      </c>
      <c r="N9" s="102">
        <f t="array" ref="N9">IF($G9=0, INDEX(LS_previous!$D$4:$AY$137, MATCH('Staging Table'!$A9, LS_previous!$B$4:$B$137, 0), MATCH(N$4&amp;N$5, LS_previous!$D$2:$AY$2&amp;LS_previous!$D$3:$AY$3, 0)),SUM(VLOOKUP($A9, LS_previous!$B$4:$AY$137, LS_previous!F$148, FALSE), VLOOKUP('Staging Table'!$A9, LS_previous!$B$4:$AY$137,LS_previous!AD$148, FALSE))/2)</f>
        <v>-12919.3716874848</v>
      </c>
      <c r="O9" s="102">
        <f t="array" ref="O9">IF($G9=0, INDEX(LS_previous!$D$4:$AY$137, MATCH('Staging Table'!$A9, LS_previous!$B$4:$B$137, 0), MATCH(O$4&amp;O$5, LS_previous!$D$2:$AY$2&amp;LS_previous!$D$3:$AY$3, 0)),SUM(VLOOKUP($A9, LS_previous!$B$4:$AY$137, LS_previous!G$148, FALSE), VLOOKUP('Staging Table'!$A9, LS_previous!$B$4:$AY$137,LS_previous!AE$148, FALSE))/2)</f>
        <v>-6660.9873798921017</v>
      </c>
      <c r="P9" s="102">
        <f t="array" ref="P9">IF($G9=0, INDEX(LS_previous!$D$4:$AY$137, MATCH('Staging Table'!$A9, LS_previous!$B$4:$B$137, 0), MATCH(P$4&amp;P$5, LS_previous!$D$2:$AY$2&amp;LS_previous!$D$3:$AY$3, 0)),SUM(VLOOKUP($A9, LS_previous!$B$4:$AY$137, LS_previous!H$148, FALSE), VLOOKUP('Staging Table'!$A9, LS_previous!$B$4:$AY$137,LS_previous!AF$148, FALSE))/2)</f>
        <v>-13185.731210374903</v>
      </c>
      <c r="Q9" s="102">
        <f t="array" ref="Q9">IF($G9=0, INDEX(LS_previous!$D$4:$AY$137, MATCH('Staging Table'!$A9, LS_previous!$B$4:$B$137, 0), MATCH(Q$4&amp;Q$5, LS_previous!$D$2:$AY$2&amp;LS_previous!$D$3:$AY$3, 0)),SUM(VLOOKUP($A9, LS_previous!$B$4:$AY$137, LS_previous!I$148, FALSE), VLOOKUP('Staging Table'!$A9, LS_previous!$B$4:$AY$137,LS_previous!AG$148, FALSE))/2)</f>
        <v>-6752.0277522336</v>
      </c>
      <c r="R9" s="102">
        <f t="array" ref="R9">IF($G9=0, INDEX(LS_previous!$D$4:$AY$137, MATCH('Staging Table'!$A9, LS_previous!$B$4:$B$137, 0), MATCH(R$4&amp;R$5, LS_previous!$D$2:$AY$2&amp;LS_previous!$D$3:$AY$3, 0)),SUM(VLOOKUP($A9, LS_previous!$B$4:$AY$137, LS_previous!J$148, FALSE), VLOOKUP('Staging Table'!$A9, LS_previous!$B$4:$AY$137,LS_previous!AH$148, FALSE))/2)</f>
        <v>-15406.177472356499</v>
      </c>
      <c r="S9" s="102">
        <f t="array" ref="S9">IF($G9=0, INDEX(LS_previous!$D$4:$AY$137, MATCH('Staging Table'!$A9, LS_previous!$B$4:$B$137, 0), MATCH(S$4&amp;S$5, LS_previous!$D$2:$AY$2&amp;LS_previous!$D$3:$AY$3, 0)),SUM(VLOOKUP($A9, LS_previous!$B$4:$AY$137, LS_previous!K$148, FALSE), VLOOKUP('Staging Table'!$A9, LS_previous!$B$4:$AY$137,LS_previous!AI$148, FALSE))/2)</f>
        <v>-6877.9356127138999</v>
      </c>
      <c r="T9" s="102">
        <f t="array" ref="T9">IF($G9=0, INDEX(LS_previous!$D$4:$AY$137, MATCH('Staging Table'!$A9, LS_previous!$B$4:$B$137, 0), MATCH(T$4&amp;T$5, LS_previous!$D$2:$AY$2&amp;LS_previous!$D$3:$AY$3, 0)),SUM(VLOOKUP($A9, LS_previous!$B$4:$AY$137, LS_previous!L$148, FALSE), VLOOKUP('Staging Table'!$A9, LS_previous!$B$4:$AY$137,LS_previous!AJ$148, FALSE))/2)</f>
        <v>-15434.035491648894</v>
      </c>
      <c r="U9" s="102">
        <f t="array" ref="U9">IF($G9=0, INDEX(LS_previous!$D$4:$AY$137, MATCH('Staging Table'!$A9, LS_previous!$B$4:$B$137, 0), MATCH(U$4&amp;U$5, LS_previous!$D$2:$AY$2&amp;LS_previous!$D$3:$AY$3, 0)),SUM(VLOOKUP($A9, LS_previous!$B$4:$AY$137, LS_previous!M$148, FALSE), VLOOKUP('Staging Table'!$A9, LS_previous!$B$4:$AY$137,LS_previous!AK$148, FALSE))/2)</f>
        <v>-6772.462444976898</v>
      </c>
      <c r="V9" s="102">
        <f t="array" ref="V9">IF($G9=0, INDEX(LS_previous!$D$4:$AY$137, MATCH('Staging Table'!$A9, LS_previous!$B$4:$B$137, 0), MATCH(V$4&amp;V$5, LS_previous!$D$2:$AY$2&amp;LS_previous!$D$3:$AY$3, 0)),SUM(VLOOKUP($A9, LS_previous!$B$4:$AY$137, LS_previous!N$148, FALSE), VLOOKUP('Staging Table'!$A9, LS_previous!$B$4:$AY$137,LS_previous!AL$148, FALSE))/2)</f>
        <v>-15460.891413978299</v>
      </c>
      <c r="W9" s="102">
        <f t="array" ref="W9">IF($G9=0, INDEX(LS_previous!$D$4:$AY$137, MATCH('Staging Table'!$A9, LS_previous!$B$4:$B$137, 0), MATCH(W$4&amp;W$5, LS_previous!$D$2:$AY$2&amp;LS_previous!$D$3:$AY$3, 0)),SUM(VLOOKUP($A9, LS_previous!$B$4:$AY$137, LS_previous!O$148, FALSE), VLOOKUP('Staging Table'!$A9, LS_previous!$B$4:$AY$137,LS_previous!AM$148, FALSE))/2)</f>
        <v>-9371.3341734797978</v>
      </c>
      <c r="X9" s="102">
        <f t="array" ref="X9">IF($G9=0, INDEX(LS_previous!$D$4:$AY$137, MATCH('Staging Table'!$A9, LS_previous!$B$4:$B$137, 0), MATCH(X$4&amp;X$5, LS_previous!$D$2:$AY$2&amp;LS_previous!$D$3:$AY$3, 0)),SUM(VLOOKUP($A9, LS_previous!$B$4:$AY$137, LS_previous!P$148, FALSE), VLOOKUP('Staging Table'!$A9, LS_previous!$B$4:$AY$137,LS_previous!AN$148, FALSE))/2)</f>
        <v>83.540258349752548</v>
      </c>
      <c r="Y9" s="102">
        <f t="array" ref="Y9">IF($G9=0, INDEX(LS_previous!$D$4:$AY$137, MATCH('Staging Table'!$A9, LS_previous!$B$4:$B$137, 0), MATCH(Y$4&amp;Y$5, LS_previous!$D$2:$AY$2&amp;LS_previous!$D$3:$AY$3, 0)),SUM(VLOOKUP($A9, LS_previous!$B$4:$AY$137, LS_previous!Q$148, FALSE), VLOOKUP('Staging Table'!$A9, LS_previous!$B$4:$AY$137,LS_previous!AO$148, FALSE))/2)</f>
        <v>941.45592101057446</v>
      </c>
      <c r="Z9" s="102">
        <f t="array" ref="Z9">IF($G9=0, INDEX(LS_previous!$D$4:$AY$137, MATCH('Staging Table'!$A9, LS_previous!$B$4:$B$137, 0), MATCH(Z$4&amp;Z$5, LS_previous!$D$2:$AY$2&amp;LS_previous!$D$3:$AY$3, 0)),SUM(VLOOKUP($A9, LS_previous!$B$4:$AY$137, LS_previous!R$148, FALSE), VLOOKUP('Staging Table'!$A9, LS_previous!$B$4:$AY$137,LS_previous!AP$148, FALSE))/2)</f>
        <v>7839.4163618832026</v>
      </c>
      <c r="AA9" s="102">
        <f t="array" ref="AA9">IF($G9=0, INDEX(LS_previous!$D$4:$AY$137, MATCH('Staging Table'!$A9, LS_previous!$B$4:$B$137, 0), MATCH(AA$4&amp;AA$5, LS_previous!$D$2:$AY$2&amp;LS_previous!$D$3:$AY$3, 0)),SUM(VLOOKUP($A9, LS_previous!$B$4:$AY$137, LS_previous!S$148, FALSE), VLOOKUP('Staging Table'!$A9, LS_previous!$B$4:$AY$137,LS_previous!AQ$148, FALSE))/2)</f>
        <v>9459.3106179326533</v>
      </c>
      <c r="AB9" s="102">
        <f t="array" ref="AB9">IF($G9=0, INDEX(LS_previous!$D$4:$AY$137, MATCH('Staging Table'!$A9, LS_previous!$B$4:$B$137, 0), MATCH(AB$4&amp;AB$5, LS_previous!$D$2:$AY$2&amp;LS_previous!$D$3:$AY$3, 0)),SUM(VLOOKUP($A9, LS_previous!$B$4:$AY$137, LS_previous!T$148, FALSE), VLOOKUP('Staging Table'!$A9, LS_previous!$B$4:$AY$137,LS_previous!AR$148, FALSE))/2)</f>
        <v>16952.975782773396</v>
      </c>
      <c r="AC9" s="102">
        <f t="array" ref="AC9">IF($G9=0, INDEX(LS_previous!$D$4:$AY$137, MATCH('Staging Table'!$A9, LS_previous!$B$4:$B$137, 0), MATCH(AC$4&amp;AC$5, LS_previous!$D$2:$AY$2&amp;LS_previous!$D$3:$AY$3, 0)),SUM(VLOOKUP($A9, LS_previous!$B$4:$AY$137, LS_previous!U$148, FALSE), VLOOKUP('Staging Table'!$A9, LS_previous!$B$4:$AY$137,LS_previous!AS$148, FALSE))/2)</f>
        <v>14896.626364679047</v>
      </c>
      <c r="AD9" s="102">
        <f t="array" ref="AD9">IF($G9=0, INDEX(LS_previous!$D$4:$AY$137, MATCH('Staging Table'!$A9, LS_previous!$B$4:$B$137, 0), MATCH(AD$4&amp;AD$5, LS_previous!$D$2:$AY$2&amp;LS_previous!$D$3:$AY$3, 0)),SUM(VLOOKUP($A9, LS_previous!$B$4:$AY$137, LS_previous!V$148, FALSE), VLOOKUP('Staging Table'!$A9, LS_previous!$B$4:$AY$137,LS_previous!AT$148, FALSE))/2)</f>
        <v>22324.455899547604</v>
      </c>
      <c r="AE9" s="102">
        <f t="array" ref="AE9">IF($G9=0, INDEX(LS_previous!$D$4:$AY$137, MATCH('Staging Table'!$A9, LS_previous!$B$4:$B$137, 0), MATCH(AE$4&amp;AE$5, LS_previous!$D$2:$AY$2&amp;LS_previous!$D$3:$AY$3, 0)),SUM(VLOOKUP($A9, LS_previous!$B$4:$AY$137, LS_previous!W$148, FALSE), VLOOKUP('Staging Table'!$A9, LS_previous!$B$4:$AY$137,LS_previous!AU$148, FALSE))/2)</f>
        <v>21208.615770714754</v>
      </c>
      <c r="AF9" s="102">
        <f t="array" ref="AF9">IF($G9=0, INDEX(LS_previous!$D$4:$AY$137, MATCH('Staging Table'!$A9, LS_previous!$B$4:$B$137, 0), MATCH(AF$4&amp;AF$5, LS_previous!$D$2:$AY$2&amp;LS_previous!$D$3:$AY$3, 0)),SUM(VLOOKUP($A9, LS_previous!$B$4:$AY$137, LS_previous!X$148, FALSE), VLOOKUP('Staging Table'!$A9, LS_previous!$B$4:$AY$137,LS_previous!AV$148, FALSE))/2)</f>
        <v>14721.386541664346</v>
      </c>
      <c r="AG9" s="102">
        <f t="array" ref="AG9">IF($G9=0, INDEX(LS_previous!$D$4:$AY$137, MATCH('Staging Table'!$A9, LS_previous!$B$4:$B$137, 0), MATCH(AG$4&amp;AG$5, LS_previous!$D$2:$AY$2&amp;LS_previous!$D$3:$AY$3, 0)),SUM(VLOOKUP($A9, LS_previous!$B$4:$AY$137, LS_previous!Y$148, FALSE), VLOOKUP('Staging Table'!$A9, LS_previous!$B$4:$AY$137,LS_previous!AW$148, FALSE))/2)</f>
        <v>12880.605376800868</v>
      </c>
      <c r="AH9" s="102">
        <f t="array" ref="AH9">IF($G9=0, INDEX(LS_previous!$D$4:$AY$137, MATCH('Staging Table'!$A9, LS_previous!$B$4:$B$137, 0), MATCH(AH$4&amp;AH$5, LS_previous!$D$2:$AY$2&amp;LS_previous!$D$3:$AY$3, 0)),SUM(VLOOKUP($A9, LS_previous!$B$4:$AY$137, LS_previous!Z$148, FALSE), VLOOKUP('Staging Table'!$A9, LS_previous!$B$4:$AY$137,LS_previous!AX$148, FALSE))/2)</f>
        <v>5545.6903368065978</v>
      </c>
      <c r="AI9" s="102">
        <f t="array" ref="AI9">IF($G9=0, INDEX(LS_previous!$D$4:$AY$137, MATCH('Staging Table'!$A9, LS_previous!$B$4:$B$137, 0), MATCH(AI$4&amp;AI$5, LS_previous!$D$2:$AY$2&amp;LS_previous!$D$3:$AY$3, 0)),SUM(VLOOKUP($A9, LS_previous!$B$4:$AY$137, LS_previous!AA$148, FALSE), VLOOKUP('Staging Table'!$A9, LS_previous!$B$4:$AY$137,LS_previous!AY$148, FALSE))/2)</f>
        <v>6448.9197707535986</v>
      </c>
      <c r="AJ9" s="103">
        <f t="array" ref="AJ9">INDEX(Demand_previous!$D$4:$AY$137, MATCH('Staging Table'!$A9, Demand_previous!$B$4:$B$137, 0), MATCH(AJ$4&amp;AJ$5,Demand_previous!$D$2:$AY$2&amp;Demand_previous!$D$3:$AY$3, 0))/1000</f>
        <v>6.9239783653846132</v>
      </c>
      <c r="AK9" s="103">
        <f t="array" ref="AK9">INDEX(Demand_previous!$D$4:$AY$137, MATCH('Staging Table'!$A9, Demand_previous!$B$4:$B$137, 0), MATCH(AK$4&amp;AK$5,Demand_previous!$D$2:$AY$2&amp;Demand_previous!$D$3:$AY$3, 0))/1000</f>
        <v>4.0493799999999958</v>
      </c>
      <c r="AL9" s="103">
        <f t="array" ref="AL9">INDEX(Demand_previous!$D$4:$AY$137, MATCH('Staging Table'!$A9, Demand_previous!$B$4:$B$137, 0), MATCH(AL$4&amp;AL$5,Demand_previous!$D$2:$AY$2&amp;Demand_previous!$D$3:$AY$3, 0))/1000</f>
        <v>9.8184900000000077</v>
      </c>
      <c r="AM9" s="103">
        <f t="array" ref="AM9">INDEX(Demand_previous!$D$4:$AY$137, MATCH('Staging Table'!$A9, Demand_previous!$B$4:$B$137, 0), MATCH(AM$4&amp;AM$5,Demand_previous!$D$2:$AY$2&amp;Demand_previous!$D$3:$AY$3, 0))/1000</f>
        <v>16.611112980769231</v>
      </c>
      <c r="AN9" s="103">
        <f t="array" ref="AN9">INDEX(Demand_previous!$D$4:$AY$137, MATCH('Staging Table'!$A9, Demand_previous!$B$4:$B$137, 0), MATCH(AN$4&amp;AN$5,Demand_previous!$D$2:$AY$2&amp;Demand_previous!$D$3:$AY$3, 0))/1000</f>
        <v>8.9316049999999976</v>
      </c>
      <c r="AO9" s="103">
        <f t="array" ref="AO9">INDEX(Demand_previous!$D$4:$AY$137, MATCH('Staging Table'!$A9, Demand_previous!$B$4:$B$137, 0), MATCH(AO$4&amp;AO$5,Demand_previous!$D$2:$AY$2&amp;Demand_previous!$D$3:$AY$3, 0))/1000</f>
        <v>4.0984254807692366</v>
      </c>
      <c r="AP9" s="103">
        <f t="array" ref="AP9">INDEX(Demand_previous!$D$4:$AY$137, MATCH('Staging Table'!$A9, Demand_previous!$B$4:$B$137, 0), MATCH(AP$4&amp;AP$5,Demand_previous!$D$2:$AY$2&amp;Demand_previous!$D$3:$AY$3, 0))/1000</f>
        <v>7.4680216346153934</v>
      </c>
      <c r="AQ9" s="103">
        <f t="array" ref="AQ9">INDEX(Demand_previous!$D$4:$AY$137, MATCH('Staging Table'!$A9, Demand_previous!$B$4:$B$137, 0), MATCH(AQ$4&amp;AQ$5,Demand_previous!$D$2:$AY$2&amp;Demand_previous!$D$3:$AY$3, 0))/1000</f>
        <v>3.9763293269230715</v>
      </c>
      <c r="AR9" s="103">
        <f t="array" ref="AR9">INDEX(Demand_previous!$D$4:$AY$137, MATCH('Staging Table'!$A9, Demand_previous!$B$4:$B$137, 0), MATCH(AR$4&amp;AR$5,Demand_previous!$D$2:$AY$2&amp;Demand_previous!$D$3:$AY$3, 0))/1000</f>
        <v>3.2403950000000101</v>
      </c>
      <c r="AS9" s="103">
        <f t="array" ref="AS9">INDEX(Demand_previous!$D$4:$AY$137, MATCH('Staging Table'!$A9, Demand_previous!$B$4:$B$137, 0), MATCH(AS$4&amp;AS$5,Demand_previous!$D$2:$AY$2&amp;Demand_previous!$D$3:$AY$3, 0))/1000</f>
        <v>19.952199519230767</v>
      </c>
      <c r="AT9" s="103">
        <f t="array" ref="AT9">INDEX(Demand_previous!$D$4:$AY$137, MATCH('Staging Table'!$A9, Demand_previous!$B$4:$B$137, 0), MATCH(AT$4&amp;AT$5,Demand_previous!$D$2:$AY$2&amp;Demand_previous!$D$3:$AY$3, 0))/1000</f>
        <v>32.835108796296289</v>
      </c>
      <c r="AU9" s="103">
        <f t="array" ref="AU9">INDEX(Demand_previous!$D$4:$AY$137, MATCH('Staging Table'!$A9, Demand_previous!$B$4:$B$137, 0), MATCH(AU$4&amp;AU$5,Demand_previous!$D$2:$AY$2&amp;Demand_previous!$D$3:$AY$3, 0))/1000</f>
        <v>4.9829739583333446</v>
      </c>
      <c r="AV9" s="102">
        <f>$F9*(VLOOKUP(AV$4, Rates_previous!$G$6:$Q$29, 10, FALSE)+VLOOKUP(AV$4, Rates_previous!$G$6:$Q$29, 11, FALSE))</f>
        <v>37374.804403504648</v>
      </c>
      <c r="AW9" s="102">
        <f>$F9*(VLOOKUP(AW$4, Rates_previous!$G$6:$Q$29, 10, FALSE)+VLOOKUP(AW$4, Rates_previous!$G$6:$Q$29, 11, FALSE))</f>
        <v>47665.200067376907</v>
      </c>
      <c r="AX9" s="102">
        <f>$F9*(VLOOKUP(AX$4, Rates_previous!$G$6:$Q$29, 10, FALSE)+VLOOKUP(AX$4, Rates_previous!$G$6:$Q$29, 11, FALSE))</f>
        <v>51440.181962608505</v>
      </c>
      <c r="AY9" s="102">
        <f>$F9*(VLOOKUP(AY$4, Rates_previous!$G$6:$Q$29, 10, FALSE)+VLOOKUP(AY$4, Rates_previous!$G$6:$Q$29, 11, FALSE))</f>
        <v>53454.301085070401</v>
      </c>
      <c r="AZ9" s="102">
        <f>$F9*(VLOOKUP(AZ$4, Rates_previous!$G$6:$Q$29, 10, FALSE)+VLOOKUP(AZ$4, Rates_previous!$G$6:$Q$29, 11, FALSE))</f>
        <v>45977.823936625799</v>
      </c>
      <c r="BA9" s="102">
        <f>$F9*(VLOOKUP(BA$4, Rates_previous!$G$6:$Q$29, 10, FALSE)+VLOOKUP(BA$4, Rates_previous!$G$6:$Q$29, 11, FALSE))</f>
        <v>50198.680587458097</v>
      </c>
      <c r="BB9" s="102">
        <f>$F9*(VLOOKUP(BB$4, Rates_previous!$G$6:$Q$29, 10, FALSE)+VLOOKUP(BB$4, Rates_previous!$G$6:$Q$29, 11, FALSE))</f>
        <v>39623.398820639668</v>
      </c>
      <c r="BC9" s="102">
        <f>$F9*(VLOOKUP(BC$4, Rates_previous!$G$6:$Q$29, 10, FALSE)+VLOOKUP(BC$4, Rates_previous!$G$6:$Q$29, 11, FALSE))</f>
        <v>49158.136020184153</v>
      </c>
      <c r="BD9" s="102">
        <f>$F9*(VLOOKUP(BD$4, Rates_previous!$G$6:$Q$29, 10, FALSE)+VLOOKUP(BD$4, Rates_previous!$G$6:$Q$29, 11, FALSE))</f>
        <v>50224.744852547548</v>
      </c>
      <c r="BE9" s="102">
        <f>$F9*(VLOOKUP(BE$4, Rates_previous!$G$6:$Q$29, 10, FALSE)+VLOOKUP(BE$4, Rates_previous!$G$6:$Q$29, 11, FALSE))</f>
        <v>43602.314329737652</v>
      </c>
      <c r="BF9" s="102">
        <f>$F9*(VLOOKUP(BF$4, Rates_previous!$G$6:$Q$29, 10, FALSE)+VLOOKUP(BF$4, Rates_previous!$G$6:$Q$29, 11, FALSE))</f>
        <v>42151.848081534787</v>
      </c>
      <c r="BG9" s="102">
        <f>$F9*(VLOOKUP(BG$4, Rates_previous!$G$6:$Q$29, 10, FALSE)+VLOOKUP(BG$4, Rates_previous!$G$6:$Q$29, 11, FALSE))</f>
        <v>38787.862892439807</v>
      </c>
      <c r="BH9" s="103">
        <f>IF($D9=0,IF(C9=0, MAX(BJ9 - (VLOOKUP($A9,TOCA_previous!$A$2:$AJ$136,MATCH("RHWM "&amp;Init!$D$1-2,TOCA_previous!$A$2:$AJ$2,0),FALSE)*$F$2*TOCA_previous!C6),0),0), 0)</f>
        <v>40131.943519527907</v>
      </c>
      <c r="BI9" s="109">
        <f>MIN(VLOOKUP($A9,TOCA_previous!$A$2:$AJ$136,MATCH("TRL - NLSL - Existing Resource "&amp;$F$1,TOCA_previous!$A$2:$AJ$2,0),FALSE)*$F$2,(VLOOKUP($A9,TOCA_previous!$A$2:$AJ$136,MATCH("RHWM "&amp;Init!$D$1-2,TOCA_previous!$A$2:$AJ$2,0),FALSE)*$F$2))</f>
        <v>537528.09600000002</v>
      </c>
      <c r="BJ9" s="261">
        <f>SUM(L9:AI9)+(F9*RT1SC!$C$3*$F$2)</f>
        <v>577660.03951952793</v>
      </c>
      <c r="BK9" s="260">
        <f>VLOOKUP($A9,TOCA_previous!$A$2:$AJ$136,MATCH("Above RHWM Not Served with LS "&amp;$F$1,TOCA_previous!$A$2:$AJ$2,0),FALSE)*$F$2</f>
        <v>57948.048000000003</v>
      </c>
      <c r="BL9" s="261">
        <f t="shared" si="21"/>
        <v>40131.943519527907</v>
      </c>
      <c r="BM9" s="260">
        <f>(VLOOKUP($A9,TOCA_previous!$A$2:$AJ$136,MATCH("RHWM "&amp;Init!$D$1-2,TOCA_previous!$A$2:$AJ$2,0),FALSE)*$F$2) - $BI9</f>
        <v>0</v>
      </c>
      <c r="BN9" s="261">
        <f t="shared" si="22"/>
        <v>0</v>
      </c>
      <c r="BO9" s="260">
        <f t="shared" si="23"/>
        <v>0</v>
      </c>
      <c r="BP9" s="261">
        <f t="shared" si="24"/>
        <v>0</v>
      </c>
      <c r="BQ9" s="260">
        <f t="shared" si="9"/>
        <v>0</v>
      </c>
      <c r="BR9" s="85">
        <f>VLOOKUP($A9,TOCA_current!$A$2:$ZZ$136,MATCH(BR$4,TOCA_current!$A$2:$ZZ$2,0),FALSE)</f>
        <v>8.6569000000000004E-3</v>
      </c>
      <c r="BS9" s="85">
        <f>VLOOKUP($A9,TOCA_current!$A$2:$ZZ$136,MATCH(BS$4,TOCA_current!$A$2:$ZZ$2,0),FALSE)</f>
        <v>8.6569000000000004E-3</v>
      </c>
      <c r="BT9" s="108">
        <f t="shared" si="25"/>
        <v>0</v>
      </c>
      <c r="BU9" s="85">
        <f>VLOOKUP($A9,TOCA_current!A6:BG140,MATCH(BU$4,TOCA_current!$A$2:$BG$2,0),FALSE)</f>
        <v>8.2523274895608262E-2</v>
      </c>
      <c r="BV9" s="85">
        <f t="shared" si="26"/>
        <v>0</v>
      </c>
      <c r="BW9" s="85">
        <f t="shared" si="27"/>
        <v>0</v>
      </c>
      <c r="BX9" s="101">
        <f>VLOOKUP($A9,IRD!$A$4:$G$138, 7, FALSE)</f>
        <v>209669.54</v>
      </c>
      <c r="BY9" s="102">
        <f t="array" ref="BY9">IF($BT9=0, INDEX(LS_current!$D$4:$BW$137, MATCH('Staging Table'!$A9, LS_current!$B$4:$B$137, 0), MATCH(BY$4&amp;BY$5, LS_current!$D$2:$BW$2&amp;LS_current!$D$3:$BW$3, 0)),SUM(VLOOKUP($A9, LS_current!$B$4:$BW$137, LS_current!D$147, FALSE), VLOOKUP($A9, LS_current!$B$4:$BW$137,LS_current!AZ$147, FALSE))/2)</f>
        <v>-163.76033355421896</v>
      </c>
      <c r="BZ9" s="102">
        <f t="array" ref="BZ9">IF($BT9=0, INDEX(LS_current!$D$4:$BW$137, MATCH('Staging Table'!$A9, LS_current!$B$4:$B$137, 0), MATCH(BZ$4&amp;BZ$5, LS_current!$D$2:$BW$2&amp;LS_current!$D$3:$BW$3, 0)),SUM(VLOOKUP($A9, LS_current!$B$4:$BW$137, LS_current!E$147, FALSE), VLOOKUP($A9, LS_current!$B$4:$BW$137,LS_current!BA$147, FALSE))/2)</f>
        <v>1864.6195339947717</v>
      </c>
      <c r="CA9" s="102">
        <f t="array" ref="CA9">IF($BT9=0, INDEX(LS_current!$D$4:$BW$137, MATCH('Staging Table'!$A9, LS_current!$B$4:$B$137, 0), MATCH(CA$4&amp;CA$5, LS_current!$D$2:$BW$2&amp;LS_current!$D$3:$BW$3, 0)),SUM(VLOOKUP($A9, LS_current!$B$4:$BW$137, LS_current!F$147, FALSE), VLOOKUP($A9, LS_current!$B$4:$BW$137,LS_current!BB$147, FALSE))/2)</f>
        <v>-13338.927757649946</v>
      </c>
      <c r="CB9" s="102">
        <f t="array" ref="CB9">IF($BT9=0, INDEX(LS_current!$D$4:$BW$137, MATCH('Staging Table'!$A9, LS_current!$B$4:$B$137, 0), MATCH(CB$4&amp;CB$5, LS_current!$D$2:$BW$2&amp;LS_current!$D$3:$BW$3, 0)),SUM(VLOOKUP($A9, LS_current!$B$4:$BW$137, LS_current!G$147, FALSE), VLOOKUP($A9, LS_current!$B$4:$BW$137,LS_current!BC$147, FALSE))/2)</f>
        <v>-7692.2895628133319</v>
      </c>
      <c r="CC9" s="102">
        <f t="array" ref="CC9">IF($BT9=0, INDEX(LS_current!$D$4:$BW$137, MATCH('Staging Table'!$A9, LS_current!$B$4:$B$137, 0), MATCH(CC$4&amp;CC$5, LS_current!$D$2:$BW$2&amp;LS_current!$D$3:$BW$3, 0)),SUM(VLOOKUP($A9, LS_current!$B$4:$BW$137, LS_current!H$147, FALSE), VLOOKUP($A9, LS_current!$B$4:$BW$137,LS_current!BD$147, FALSE))/2)</f>
        <v>-17414.525856313117</v>
      </c>
      <c r="CD9" s="102">
        <f t="array" ref="CD9">IF($BT9=0, INDEX(LS_current!$D$4:$BW$137, MATCH('Staging Table'!$A9, LS_current!$B$4:$B$137, 0), MATCH(CD$4&amp;CD$5, LS_current!$D$2:$BW$2&amp;LS_current!$D$3:$BW$3, 0)),SUM(VLOOKUP($A9, LS_current!$B$4:$BW$137, LS_current!I$147, FALSE), VLOOKUP($A9, LS_current!$B$4:$BW$137,LS_current!BE$147, FALSE))/2)</f>
        <v>-6589.6880326711271</v>
      </c>
      <c r="CE9" s="102">
        <f t="array" ref="CE9">IF($BT9=0, INDEX(LS_current!$D$4:$BW$137, MATCH('Staging Table'!$A9, LS_current!$B$4:$B$137, 0), MATCH(CE$4&amp;CE$5, LS_current!$D$2:$BW$2&amp;LS_current!$D$3:$BW$3, 0)),SUM(VLOOKUP($A9, LS_current!$B$4:$BW$137, LS_current!J$147, FALSE), VLOOKUP($A9, LS_current!$B$4:$BW$137,LS_current!BF$147, FALSE))/2)</f>
        <v>-18876.847419009271</v>
      </c>
      <c r="CF9" s="102">
        <f t="array" ref="CF9">IF($BT9=0, INDEX(LS_current!$D$4:$BW$137, MATCH('Staging Table'!$A9, LS_current!$B$4:$B$137, 0), MATCH(CF$4&amp;CF$5, LS_current!$D$2:$BW$2&amp;LS_current!$D$3:$BW$3, 0)),SUM(VLOOKUP($A9, LS_current!$B$4:$BW$137, LS_current!K$147, FALSE), VLOOKUP($A9, LS_current!$B$4:$BW$137,LS_current!BG$147, FALSE))/2)</f>
        <v>-8335.9220584449631</v>
      </c>
      <c r="CG9" s="102">
        <f t="array" ref="CG9">IF($BT9=0, INDEX(LS_current!$D$4:$BW$137, MATCH('Staging Table'!$A9, LS_current!$B$4:$B$137, 0), MATCH(CG$4&amp;CG$5, LS_current!$D$2:$BW$2&amp;LS_current!$D$3:$BW$3, 0)),SUM(VLOOKUP($A9, LS_current!$B$4:$BW$137, LS_current!L$147, FALSE), VLOOKUP($A9, LS_current!$B$4:$BW$137,LS_current!BH$147, FALSE))/2)</f>
        <v>-15729.830163706947</v>
      </c>
      <c r="CH9" s="102">
        <f t="array" ref="CH9">IF($BT9=0, INDEX(LS_current!$D$4:$BW$137, MATCH('Staging Table'!$A9, LS_current!$B$4:$B$137, 0), MATCH(CH$4&amp;CH$5, LS_current!$D$2:$BW$2&amp;LS_current!$D$3:$BW$3, 0)),SUM(VLOOKUP($A9, LS_current!$B$4:$BW$137, LS_current!M$147, FALSE), VLOOKUP($A9, LS_current!$B$4:$BW$137,LS_current!BI$147, FALSE))/2)</f>
        <v>-7215.6073242782277</v>
      </c>
      <c r="CI9" s="102">
        <f t="array" ref="CI9">IF($BT9=0, INDEX(LS_current!$D$4:$BW$137, MATCH('Staging Table'!$A9, LS_current!$B$4:$B$137, 0), MATCH(CI$4&amp;CI$5, LS_current!$D$2:$BW$2&amp;LS_current!$D$3:$BW$3, 0)),SUM(VLOOKUP($A9, LS_current!$B$4:$BW$137, LS_current!N$147, FALSE), VLOOKUP($A9, LS_current!$B$4:$BW$137,LS_current!BJ$147, FALSE))/2)</f>
        <v>-17952.538890069929</v>
      </c>
      <c r="CJ9" s="102">
        <f t="array" ref="CJ9">IF($BT9=0, INDEX(LS_current!$D$4:$BW$137, MATCH('Staging Table'!$A9, LS_current!$B$4:$B$137, 0), MATCH(CJ$4&amp;CJ$5, LS_current!$D$2:$BW$2&amp;LS_current!$D$3:$BW$3, 0)),SUM(VLOOKUP($A9, LS_current!$B$4:$BW$137, LS_current!O$147, FALSE), VLOOKUP($A9, LS_current!$B$4:$BW$137,LS_current!BK$147, FALSE))/2)</f>
        <v>-7962.0347038626824</v>
      </c>
      <c r="CK9" s="102">
        <f t="array" ref="CK9">IF($BT9=0, INDEX(LS_current!$D$4:$BW$137, MATCH('Staging Table'!$A9, LS_current!$B$4:$B$137, 0), MATCH(CK$4&amp;CK$5, LS_current!$D$2:$BW$2&amp;LS_current!$D$3:$BW$3, 0)),SUM(VLOOKUP($A9, LS_current!$B$4:$BW$137, LS_current!P$147, FALSE), VLOOKUP($A9, LS_current!$B$4:$BW$137,LS_current!BL$147, FALSE))/2)</f>
        <v>-540.01432501632007</v>
      </c>
      <c r="CL9" s="102">
        <f t="array" ref="CL9">IF($BT9=0, INDEX(LS_current!$D$4:$BW$137, MATCH('Staging Table'!$A9, LS_current!$B$4:$B$137, 0), MATCH(CL$4&amp;CL$5, LS_current!$D$2:$BW$2&amp;LS_current!$D$3:$BW$3, 0)),SUM(VLOOKUP($A9, LS_current!$B$4:$BW$137, LS_current!Q$147, FALSE), VLOOKUP($A9, LS_current!$B$4:$BW$137,LS_current!BM$147, FALSE))/2)</f>
        <v>808.74086491022172</v>
      </c>
      <c r="CM9" s="102">
        <f t="array" ref="CM9">IF($BT9=0, INDEX(LS_current!$D$4:$BW$137, MATCH('Staging Table'!$A9, LS_current!$B$4:$B$137, 0), MATCH(CM$4&amp;CM$5, LS_current!$D$2:$BW$2&amp;LS_current!$D$3:$BW$3, 0)),SUM(VLOOKUP($A9, LS_current!$B$4:$BW$137, LS_current!R$147, FALSE), VLOOKUP($A9, LS_current!$B$4:$BW$137,LS_current!BN$147, FALSE))/2)</f>
        <v>6897.4689821525171</v>
      </c>
      <c r="CN9" s="102">
        <f t="array" ref="CN9">IF($BT9=0, INDEX(LS_current!$D$4:$BW$137, MATCH('Staging Table'!$A9, LS_current!$B$4:$B$137, 0), MATCH(CN$4&amp;CN$5, LS_current!$D$2:$BW$2&amp;LS_current!$D$3:$BW$3, 0)),SUM(VLOOKUP($A9, LS_current!$B$4:$BW$137, LS_current!S$147, FALSE), VLOOKUP($A9, LS_current!$B$4:$BW$137,LS_current!BO$147, FALSE))/2)</f>
        <v>8130.3972215173417</v>
      </c>
      <c r="CO9" s="102">
        <f t="array" ref="CO9">IF($BT9=0, INDEX(LS_current!$D$4:$BW$137, MATCH('Staging Table'!$A9, LS_current!$B$4:$B$137, 0), MATCH(CO$4&amp;CO$5, LS_current!$D$2:$BW$2&amp;LS_current!$D$3:$BW$3, 0)),SUM(VLOOKUP($A9, LS_current!$B$4:$BW$137, LS_current!T$147, FALSE), VLOOKUP($A9, LS_current!$B$4:$BW$137,LS_current!BP$147, FALSE))/2)</f>
        <v>14501.467649241295</v>
      </c>
      <c r="CP9" s="102">
        <f t="array" ref="CP9">IF($BT9=0, INDEX(LS_current!$D$4:$BW$137, MATCH('Staging Table'!$A9, LS_current!$B$4:$B$137, 0), MATCH(CP$4&amp;CP$5, LS_current!$D$2:$BW$2&amp;LS_current!$D$3:$BW$3, 0)),SUM(VLOOKUP($A9, LS_current!$B$4:$BW$137, LS_current!U$147, FALSE), VLOOKUP($A9, LS_current!$B$4:$BW$137,LS_current!BQ$147, FALSE))/2)</f>
        <v>15221.783064425497</v>
      </c>
      <c r="CQ9" s="102">
        <f t="array" ref="CQ9">IF($BT9=0, INDEX(LS_current!$D$4:$BW$137, MATCH('Staging Table'!$A9, LS_current!$B$4:$B$137, 0), MATCH(CQ$4&amp;CQ$5, LS_current!$D$2:$BW$2&amp;LS_current!$D$3:$BW$3, 0)),SUM(VLOOKUP($A9, LS_current!$B$4:$BW$137, LS_current!V$147, FALSE), VLOOKUP($A9, LS_current!$B$4:$BW$137,LS_current!BR$147, FALSE))/2)</f>
        <v>19925.4884461373</v>
      </c>
      <c r="CR9" s="102">
        <f t="array" ref="CR9">IF($BT9=0, INDEX(LS_current!$D$4:$BW$137, MATCH('Staging Table'!$A9, LS_current!$B$4:$B$137, 0), MATCH(CR$4&amp;CR$5, LS_current!$D$2:$BW$2&amp;LS_current!$D$3:$BW$3, 0)),SUM(VLOOKUP($A9, LS_current!$B$4:$BW$137, LS_current!W$147, FALSE), VLOOKUP($A9, LS_current!$B$4:$BW$137,LS_current!BS$147, FALSE))/2)</f>
        <v>20157.64434386736</v>
      </c>
      <c r="CS9" s="102">
        <f t="array" ref="CS9">IF($BT9=0, INDEX(LS_current!$D$4:$BW$137, MATCH('Staging Table'!$A9, LS_current!$B$4:$B$137, 0), MATCH(CS$4&amp;CS$5, LS_current!$D$2:$BW$2&amp;LS_current!$D$3:$BW$3, 0)),SUM(VLOOKUP($A9, LS_current!$B$4:$BW$137, LS_current!X$147, FALSE), VLOOKUP($A9, LS_current!$B$4:$BW$137,LS_current!BT$147, FALSE))/2)</f>
        <v>9885.6746079693839</v>
      </c>
      <c r="CT9" s="102">
        <f t="array" ref="CT9">IF($BT9=0, INDEX(LS_current!$D$4:$BW$137, MATCH('Staging Table'!$A9, LS_current!$B$4:$B$137, 0), MATCH(CT$4&amp;CT$5, LS_current!$D$2:$BW$2&amp;LS_current!$D$3:$BW$3, 0)),SUM(VLOOKUP($A9, LS_current!$B$4:$BW$137, LS_current!Y$147, FALSE), VLOOKUP($A9, LS_current!$B$4:$BW$137,LS_current!BU$147, FALSE))/2)</f>
        <v>11685.964846527413</v>
      </c>
      <c r="CU9" s="102">
        <f t="array" ref="CU9">IF($BT9=0, INDEX(LS_current!$D$4:$BW$137, MATCH('Staging Table'!$A9, LS_current!$B$4:$B$137, 0), MATCH(CU$4&amp;CU$5, LS_current!$D$2:$BW$2&amp;LS_current!$D$3:$BW$3, 0)),SUM(VLOOKUP($A9, LS_current!$B$4:$BW$137, LS_current!Z$147, FALSE), VLOOKUP($A9, LS_current!$B$4:$BW$137,LS_current!BV$147, FALSE))/2)</f>
        <v>5137.3045399683942</v>
      </c>
      <c r="CV9" s="102">
        <f t="array" ref="CV9">IF($BT9=0, INDEX(LS_current!$D$4:$BW$137, MATCH('Staging Table'!$A9, LS_current!$B$4:$B$137, 0), MATCH(CV$4&amp;CV$5, LS_current!$D$2:$BW$2&amp;LS_current!$D$3:$BW$3, 0)),SUM(VLOOKUP($A9, LS_current!$B$4:$BW$137, LS_current!AA$147, FALSE), VLOOKUP($A9, LS_current!$B$4:$BW$137,LS_current!BW$147, FALSE))/2)</f>
        <v>7598.2661434281999</v>
      </c>
      <c r="CW9" s="103">
        <f t="array" ref="CW9">INDEX(Demand_current!$D$4:$BW$137, MATCH($A9, Demand_current!$B$4:$B$137, 0), MATCH(CW$4&amp;CW$5,Demand_current!$D$2:$BW$2&amp;Demand_current!$D$3:$BW$3, 0))/1000</f>
        <v>9.326053240740741</v>
      </c>
      <c r="CX9" s="103">
        <f t="array" ref="CX9">INDEX(Demand_current!$D$4:$BW$137, MATCH($A9, Demand_current!$B$4:$B$137, 0), MATCH(CX$4&amp;CX$5,Demand_current!$D$2:$BW$2&amp;Demand_current!$D$3:$BW$3, 0))/1000</f>
        <v>2.1077291666666618</v>
      </c>
      <c r="CY9" s="103">
        <f t="array" ref="CY9">INDEX(Demand_current!$D$4:$BW$137, MATCH($A9, Demand_current!$B$4:$B$137, 0), MATCH(CY$4&amp;CY$5,Demand_current!$D$2:$BW$2&amp;Demand_current!$D$3:$BW$3, 0))/1000</f>
        <v>11.803240384615396</v>
      </c>
      <c r="CZ9" s="103">
        <f t="array" ref="CZ9">INDEX(Demand_current!$D$4:$BW$137, MATCH($A9, Demand_current!$B$4:$B$137, 0), MATCH(CZ$4&amp;CZ$5,Demand_current!$D$2:$BW$2&amp;Demand_current!$D$3:$BW$3, 0))/1000</f>
        <v>16.611112980769231</v>
      </c>
      <c r="DA9" s="103">
        <f t="array" ref="DA9">INDEX(Demand_current!$D$4:$BW$137, MATCH($A9, Demand_current!$B$4:$B$137, 0), MATCH(DA$4&amp;DA$5,Demand_current!$D$2:$BW$2&amp;Demand_current!$D$3:$BW$3, 0))/1000</f>
        <v>7.2191302083333255</v>
      </c>
      <c r="DB9" s="103">
        <f t="array" ref="DB9">INDEX(Demand_current!$D$4:$BW$137, MATCH($A9, Demand_current!$B$4:$B$137, 0), MATCH(DB$4&amp;DB$5,Demand_current!$D$2:$BW$2&amp;Demand_current!$D$3:$BW$3, 0))/1000</f>
        <v>4.0984254807692366</v>
      </c>
      <c r="DC9" s="103">
        <f t="array" ref="DC9">INDEX(Demand_current!$D$4:$BW$137, MATCH($A9, Demand_current!$B$4:$B$137, 0), MATCH(DC$4&amp;DC$5,Demand_current!$D$2:$BW$2&amp;Demand_current!$D$3:$BW$3, 0))/1000</f>
        <v>7.4680216346153934</v>
      </c>
      <c r="DD9" s="103">
        <f t="array" ref="DD9">INDEX(Demand_current!$D$4:$BW$137, MATCH($A9, Demand_current!$B$4:$B$137, 0), MATCH(DD$4&amp;DD$5,Demand_current!$D$2:$BW$2&amp;Demand_current!$D$3:$BW$3, 0))/1000</f>
        <v>8.6422499999990521E-2</v>
      </c>
      <c r="DE9" s="103">
        <f t="array" ref="DE9">INDEX(Demand_current!$D$4:$BW$137, MATCH($A9, Demand_current!$B$4:$B$137, 0), MATCH(DE$4&amp;DE$5,Demand_current!$D$2:$BW$2&amp;Demand_current!$D$3:$BW$3, 0))/1000</f>
        <v>8.1567644230769396</v>
      </c>
      <c r="DF9" s="103">
        <f t="array" ref="DF9">INDEX(Demand_current!$D$4:$BW$137, MATCH($A9, Demand_current!$B$4:$B$137, 0), MATCH(DF$4&amp;DF$5,Demand_current!$D$2:$BW$2&amp;Demand_current!$D$3:$BW$3, 0))/1000</f>
        <v>19.952199519230767</v>
      </c>
      <c r="DG9" s="103">
        <f t="array" ref="DG9">INDEX(Demand_current!$D$4:$BW$137, MATCH($A9, Demand_current!$B$4:$B$137, 0), MATCH(DG$4&amp;DG$5,Demand_current!$D$2:$BW$2&amp;Demand_current!$D$3:$BW$3, 0))/1000</f>
        <v>28.890074519230776</v>
      </c>
      <c r="DH9" s="103">
        <f t="array" ref="DH9">INDEX(Demand_current!$D$4:$BW$137, MATCH($A9, Demand_current!$B$4:$B$137, 0), MATCH(DH$4&amp;DH$5,Demand_current!$D$2:$BW$2&amp;Demand_current!$D$3:$BW$3, 0))/1000</f>
        <v>8.2376550000000019</v>
      </c>
      <c r="DI9" s="102">
        <f>$BS9*(VLOOKUP(DI$4, Rates_current!$H$6:$R$41, 10, FALSE)+VLOOKUP(DI$4, Rates_current!$H$6:$R$41, 11, FALSE))</f>
        <v>35928.624799559446</v>
      </c>
      <c r="DJ9" s="102">
        <f>$BS9*(VLOOKUP(DJ$4, Rates_current!$H$6:$R$41, 10, FALSE)+VLOOKUP(DJ$4, Rates_current!$H$6:$R$41, 11, FALSE))</f>
        <v>45933.564320463287</v>
      </c>
      <c r="DK9" s="102">
        <f>$BS9*(VLOOKUP(DK$4, Rates_current!$H$6:$R$41, 10, FALSE)+VLOOKUP(DK$4, Rates_current!$H$6:$R$41, 11, FALSE))</f>
        <v>52222.620888984246</v>
      </c>
      <c r="DL9" s="102">
        <f>$BS9*(VLOOKUP(DL$4, Rates_current!$H$6:$R$41, 10, FALSE)+VLOOKUP(DL$4, Rates_current!$H$6:$R$41, 11, FALSE))</f>
        <v>55098.941477454238</v>
      </c>
      <c r="DM9" s="102">
        <f>$BS9*(VLOOKUP(DM$4, Rates_current!$H$6:$R$41, 10, FALSE)+VLOOKUP(DM$4, Rates_current!$H$6:$R$41, 11, FALSE))</f>
        <v>43908.883487985178</v>
      </c>
      <c r="DN9" s="102">
        <f>$BS9*(VLOOKUP(DN$4, Rates_current!$H$6:$R$41, 10, FALSE)+VLOOKUP(DN$4, Rates_current!$H$6:$R$41, 11, FALSE))</f>
        <v>48001.426593932607</v>
      </c>
      <c r="DO9" s="102">
        <f>$BS9*(VLOOKUP(DO$4, Rates_current!$H$6:$R$41, 10, FALSE)+VLOOKUP(DO$4, Rates_current!$H$6:$R$41, 11, FALSE))</f>
        <v>37201.588460106097</v>
      </c>
      <c r="DP9" s="102">
        <f>$BS9*(VLOOKUP(DP$4, Rates_current!$H$6:$R$41, 10, FALSE)+VLOOKUP(DP$4, Rates_current!$H$6:$R$41, 11, FALSE))</f>
        <v>48144.980796330135</v>
      </c>
      <c r="DQ9" s="102">
        <f>$BS9*(VLOOKUP(DQ$4, Rates_current!$H$6:$R$41, 10, FALSE)+VLOOKUP(DQ$4, Rates_current!$H$6:$R$41, 11, FALSE))</f>
        <v>49173.016286333201</v>
      </c>
      <c r="DR9" s="102">
        <f>$BS9*(VLOOKUP(DR$4, Rates_current!$H$6:$R$41, 10, FALSE)+VLOOKUP(DR$4, Rates_current!$H$6:$R$41, 11, FALSE))</f>
        <v>43768.237209995343</v>
      </c>
      <c r="DS9" s="102">
        <f>$BS9*(VLOOKUP(DS$4, Rates_current!$H$6:$R$41, 10, FALSE)+VLOOKUP(DS$4, Rates_current!$H$6:$R$41, 11, FALSE))</f>
        <v>44898.184545503202</v>
      </c>
      <c r="DT9" s="102">
        <f>$BS9*(VLOOKUP(DT$4, Rates_current!$H$6:$R$41, 10, FALSE)+VLOOKUP(DT$4, Rates_current!$H$6:$R$41, 11, FALSE))</f>
        <v>34868.822316603408</v>
      </c>
      <c r="DU9" s="261">
        <f>IF(D9=0,IF(C9=0,MAX(0,DW9 - (VLOOKUP($A9,TOCA_current!$A$2:$AV$136,MATCH("RHWM "&amp;Init!$D$1,TOCA_current!$A$2:$AV$2,0),FALSE)*$BS$2)), 0),0)</f>
        <v>3.682583780027926E-2</v>
      </c>
      <c r="DV9" s="262">
        <f>MIN(VLOOKUP($A9,TOCA_current!$A$2:$AV$136,MATCH("TRL - NLSL - Existing Resource "&amp;$BS$1,TOCA_current!$A$2:$AV$2,0),FALSE)*$BS$2, VLOOKUP($A9,TOCA_current!$A$2:$AV$136,MATCH("RHWM "&amp;Init!$D$1,TOCA_current!$A$2:$AV$2,0),FALSE)*$BS$2)</f>
        <v>539151.72</v>
      </c>
      <c r="DW9" s="262">
        <f>SUM(BY9:CV9)+(BS9*RT1SC!$C$4*$BS$2)</f>
        <v>539151.75682583777</v>
      </c>
      <c r="DX9" s="262">
        <f>VLOOKUP($A9,TOCA_current!$A$2:$AV$136,MATCH("Above RHWM Not Served with LS "&amp;$BS$1,TOCA_current!$A$2:$AV$2,0),FALSE)*$BS$2</f>
        <v>96456.359999999986</v>
      </c>
      <c r="DY9" s="262">
        <f t="shared" si="28"/>
        <v>3.682583780027926E-2</v>
      </c>
      <c r="DZ9" s="262">
        <f>(VLOOKUP($A9,TOCA_current!$A$2:$AV$136,MATCH("RHWM "&amp;Init!$D$1,TOCA_current!$A$2:$AV$2,0),FALSE)*$BS$2) - $DV9</f>
        <v>0</v>
      </c>
      <c r="EA9" s="262">
        <f t="shared" si="29"/>
        <v>0</v>
      </c>
      <c r="EB9" s="262">
        <f t="shared" si="30"/>
        <v>0</v>
      </c>
      <c r="EC9" s="262">
        <f t="shared" si="31"/>
        <v>0</v>
      </c>
      <c r="ED9" s="262">
        <f t="shared" si="32"/>
        <v>0</v>
      </c>
    </row>
    <row r="10" spans="1:134">
      <c r="A10" s="2">
        <v>10029</v>
      </c>
      <c r="B10" s="3" t="s">
        <v>12</v>
      </c>
      <c r="C10">
        <f>VLOOKUP(A10, TOCA_current!$A$3:$D$136, 4, FALSE)</f>
        <v>1</v>
      </c>
      <c r="D10">
        <v>0</v>
      </c>
      <c r="E10" s="84">
        <f>VLOOKUP($A10,TOCA_previous!$A$2:$AJ$136,MATCH(E$4,TOCA_previous!$A$2:$AJ$2,0),FALSE)</f>
        <v>2.5503000000000001E-3</v>
      </c>
      <c r="F10" s="85">
        <f>VLOOKUP($A10,TOCA_previous!$A$2:$AJ$136,MATCH(F$4,TOCA_previous!$A$2:$AJ$2,0),FALSE)</f>
        <v>2.5503000000000001E-3</v>
      </c>
      <c r="G10" s="85">
        <f t="shared" si="18"/>
        <v>0</v>
      </c>
      <c r="H10" s="85">
        <f>VLOOKUP($A10,TOCA_previous!$A$2:$AJ$136,MATCH(H$4,TOCA_previous!$A$2:$AJ$2,0),FALSE)</f>
        <v>7.9991768846503178E-2</v>
      </c>
      <c r="I10" s="85">
        <f t="shared" si="19"/>
        <v>7.9991768846503178E-2</v>
      </c>
      <c r="J10" s="85">
        <f t="shared" si="20"/>
        <v>2.5503000000000001E-3</v>
      </c>
      <c r="K10" s="101">
        <f>VLOOKUP(A10, IRD!$A$5:$C$138, 3, FALSE)</f>
        <v>0</v>
      </c>
      <c r="L10" s="102">
        <f t="array" ref="L10">IF($G10=0, INDEX(LS_previous!$D$4:$AY$137, MATCH('Staging Table'!$A10, LS_previous!$B$4:$B$137, 0), MATCH(L$4&amp;L$5, LS_previous!$D$2:$AY$2&amp;LS_previous!$D$3:$AY$3, 0)),SUM(VLOOKUP($A10, LS_previous!$B$4:$AY$137, LS_previous!D$148, FALSE), VLOOKUP('Staging Table'!$A10, LS_previous!$B$4:$AY$137,LS_previous!AB$148, FALSE))/2)</f>
        <v>0</v>
      </c>
      <c r="M10" s="102">
        <f t="array" ref="M10">IF($G10=0, INDEX(LS_previous!$D$4:$AY$137, MATCH('Staging Table'!$A10, LS_previous!$B$4:$B$137, 0), MATCH(M$4&amp;M$5, LS_previous!$D$2:$AY$2&amp;LS_previous!$D$3:$AY$3, 0)),SUM(VLOOKUP($A10, LS_previous!$B$4:$AY$137, LS_previous!E$148, FALSE), VLOOKUP('Staging Table'!$A10, LS_previous!$B$4:$AY$137,LS_previous!AC$148, FALSE))/2)</f>
        <v>0</v>
      </c>
      <c r="N10" s="102">
        <f t="array" ref="N10">IF($G10=0, INDEX(LS_previous!$D$4:$AY$137, MATCH('Staging Table'!$A10, LS_previous!$B$4:$B$137, 0), MATCH(N$4&amp;N$5, LS_previous!$D$2:$AY$2&amp;LS_previous!$D$3:$AY$3, 0)),SUM(VLOOKUP($A10, LS_previous!$B$4:$AY$137, LS_previous!F$148, FALSE), VLOOKUP('Staging Table'!$A10, LS_previous!$B$4:$AY$137,LS_previous!AD$148, FALSE))/2)</f>
        <v>0</v>
      </c>
      <c r="O10" s="102">
        <f t="array" ref="O10">IF($G10=0, INDEX(LS_previous!$D$4:$AY$137, MATCH('Staging Table'!$A10, LS_previous!$B$4:$B$137, 0), MATCH(O$4&amp;O$5, LS_previous!$D$2:$AY$2&amp;LS_previous!$D$3:$AY$3, 0)),SUM(VLOOKUP($A10, LS_previous!$B$4:$AY$137, LS_previous!G$148, FALSE), VLOOKUP('Staging Table'!$A10, LS_previous!$B$4:$AY$137,LS_previous!AE$148, FALSE))/2)</f>
        <v>0</v>
      </c>
      <c r="P10" s="102">
        <f t="array" ref="P10">IF($G10=0, INDEX(LS_previous!$D$4:$AY$137, MATCH('Staging Table'!$A10, LS_previous!$B$4:$B$137, 0), MATCH(P$4&amp;P$5, LS_previous!$D$2:$AY$2&amp;LS_previous!$D$3:$AY$3, 0)),SUM(VLOOKUP($A10, LS_previous!$B$4:$AY$137, LS_previous!H$148, FALSE), VLOOKUP('Staging Table'!$A10, LS_previous!$B$4:$AY$137,LS_previous!AF$148, FALSE))/2)</f>
        <v>0</v>
      </c>
      <c r="Q10" s="102">
        <f t="array" ref="Q10">IF($G10=0, INDEX(LS_previous!$D$4:$AY$137, MATCH('Staging Table'!$A10, LS_previous!$B$4:$B$137, 0), MATCH(Q$4&amp;Q$5, LS_previous!$D$2:$AY$2&amp;LS_previous!$D$3:$AY$3, 0)),SUM(VLOOKUP($A10, LS_previous!$B$4:$AY$137, LS_previous!I$148, FALSE), VLOOKUP('Staging Table'!$A10, LS_previous!$B$4:$AY$137,LS_previous!AG$148, FALSE))/2)</f>
        <v>0</v>
      </c>
      <c r="R10" s="102">
        <f t="array" ref="R10">IF($G10=0, INDEX(LS_previous!$D$4:$AY$137, MATCH('Staging Table'!$A10, LS_previous!$B$4:$B$137, 0), MATCH(R$4&amp;R$5, LS_previous!$D$2:$AY$2&amp;LS_previous!$D$3:$AY$3, 0)),SUM(VLOOKUP($A10, LS_previous!$B$4:$AY$137, LS_previous!J$148, FALSE), VLOOKUP('Staging Table'!$A10, LS_previous!$B$4:$AY$137,LS_previous!AH$148, FALSE))/2)</f>
        <v>0</v>
      </c>
      <c r="S10" s="102">
        <f t="array" ref="S10">IF($G10=0, INDEX(LS_previous!$D$4:$AY$137, MATCH('Staging Table'!$A10, LS_previous!$B$4:$B$137, 0), MATCH(S$4&amp;S$5, LS_previous!$D$2:$AY$2&amp;LS_previous!$D$3:$AY$3, 0)),SUM(VLOOKUP($A10, LS_previous!$B$4:$AY$137, LS_previous!K$148, FALSE), VLOOKUP('Staging Table'!$A10, LS_previous!$B$4:$AY$137,LS_previous!AI$148, FALSE))/2)</f>
        <v>0</v>
      </c>
      <c r="T10" s="102">
        <f t="array" ref="T10">IF($G10=0, INDEX(LS_previous!$D$4:$AY$137, MATCH('Staging Table'!$A10, LS_previous!$B$4:$B$137, 0), MATCH(T$4&amp;T$5, LS_previous!$D$2:$AY$2&amp;LS_previous!$D$3:$AY$3, 0)),SUM(VLOOKUP($A10, LS_previous!$B$4:$AY$137, LS_previous!L$148, FALSE), VLOOKUP('Staging Table'!$A10, LS_previous!$B$4:$AY$137,LS_previous!AJ$148, FALSE))/2)</f>
        <v>0</v>
      </c>
      <c r="U10" s="102">
        <f t="array" ref="U10">IF($G10=0, INDEX(LS_previous!$D$4:$AY$137, MATCH('Staging Table'!$A10, LS_previous!$B$4:$B$137, 0), MATCH(U$4&amp;U$5, LS_previous!$D$2:$AY$2&amp;LS_previous!$D$3:$AY$3, 0)),SUM(VLOOKUP($A10, LS_previous!$B$4:$AY$137, LS_previous!M$148, FALSE), VLOOKUP('Staging Table'!$A10, LS_previous!$B$4:$AY$137,LS_previous!AK$148, FALSE))/2)</f>
        <v>0</v>
      </c>
      <c r="V10" s="102">
        <f t="array" ref="V10">IF($G10=0, INDEX(LS_previous!$D$4:$AY$137, MATCH('Staging Table'!$A10, LS_previous!$B$4:$B$137, 0), MATCH(V$4&amp;V$5, LS_previous!$D$2:$AY$2&amp;LS_previous!$D$3:$AY$3, 0)),SUM(VLOOKUP($A10, LS_previous!$B$4:$AY$137, LS_previous!N$148, FALSE), VLOOKUP('Staging Table'!$A10, LS_previous!$B$4:$AY$137,LS_previous!AL$148, FALSE))/2)</f>
        <v>0</v>
      </c>
      <c r="W10" s="102">
        <f t="array" ref="W10">IF($G10=0, INDEX(LS_previous!$D$4:$AY$137, MATCH('Staging Table'!$A10, LS_previous!$B$4:$B$137, 0), MATCH(W$4&amp;W$5, LS_previous!$D$2:$AY$2&amp;LS_previous!$D$3:$AY$3, 0)),SUM(VLOOKUP($A10, LS_previous!$B$4:$AY$137, LS_previous!O$148, FALSE), VLOOKUP('Staging Table'!$A10, LS_previous!$B$4:$AY$137,LS_previous!AM$148, FALSE))/2)</f>
        <v>0</v>
      </c>
      <c r="X10" s="102">
        <f t="array" ref="X10">IF($G10=0, INDEX(LS_previous!$D$4:$AY$137, MATCH('Staging Table'!$A10, LS_previous!$B$4:$B$137, 0), MATCH(X$4&amp;X$5, LS_previous!$D$2:$AY$2&amp;LS_previous!$D$3:$AY$3, 0)),SUM(VLOOKUP($A10, LS_previous!$B$4:$AY$137, LS_previous!P$148, FALSE), VLOOKUP('Staging Table'!$A10, LS_previous!$B$4:$AY$137,LS_previous!AN$148, FALSE))/2)</f>
        <v>0</v>
      </c>
      <c r="Y10" s="102">
        <f t="array" ref="Y10">IF($G10=0, INDEX(LS_previous!$D$4:$AY$137, MATCH('Staging Table'!$A10, LS_previous!$B$4:$B$137, 0), MATCH(Y$4&amp;Y$5, LS_previous!$D$2:$AY$2&amp;LS_previous!$D$3:$AY$3, 0)),SUM(VLOOKUP($A10, LS_previous!$B$4:$AY$137, LS_previous!Q$148, FALSE), VLOOKUP('Staging Table'!$A10, LS_previous!$B$4:$AY$137,LS_previous!AO$148, FALSE))/2)</f>
        <v>0</v>
      </c>
      <c r="Z10" s="102">
        <f t="array" ref="Z10">IF($G10=0, INDEX(LS_previous!$D$4:$AY$137, MATCH('Staging Table'!$A10, LS_previous!$B$4:$B$137, 0), MATCH(Z$4&amp;Z$5, LS_previous!$D$2:$AY$2&amp;LS_previous!$D$3:$AY$3, 0)),SUM(VLOOKUP($A10, LS_previous!$B$4:$AY$137, LS_previous!R$148, FALSE), VLOOKUP('Staging Table'!$A10, LS_previous!$B$4:$AY$137,LS_previous!AP$148, FALSE))/2)</f>
        <v>0</v>
      </c>
      <c r="AA10" s="102">
        <f t="array" ref="AA10">IF($G10=0, INDEX(LS_previous!$D$4:$AY$137, MATCH('Staging Table'!$A10, LS_previous!$B$4:$B$137, 0), MATCH(AA$4&amp;AA$5, LS_previous!$D$2:$AY$2&amp;LS_previous!$D$3:$AY$3, 0)),SUM(VLOOKUP($A10, LS_previous!$B$4:$AY$137, LS_previous!S$148, FALSE), VLOOKUP('Staging Table'!$A10, LS_previous!$B$4:$AY$137,LS_previous!AQ$148, FALSE))/2)</f>
        <v>0</v>
      </c>
      <c r="AB10" s="102">
        <f t="array" ref="AB10">IF($G10=0, INDEX(LS_previous!$D$4:$AY$137, MATCH('Staging Table'!$A10, LS_previous!$B$4:$B$137, 0), MATCH(AB$4&amp;AB$5, LS_previous!$D$2:$AY$2&amp;LS_previous!$D$3:$AY$3, 0)),SUM(VLOOKUP($A10, LS_previous!$B$4:$AY$137, LS_previous!T$148, FALSE), VLOOKUP('Staging Table'!$A10, LS_previous!$B$4:$AY$137,LS_previous!AR$148, FALSE))/2)</f>
        <v>0</v>
      </c>
      <c r="AC10" s="102">
        <f t="array" ref="AC10">IF($G10=0, INDEX(LS_previous!$D$4:$AY$137, MATCH('Staging Table'!$A10, LS_previous!$B$4:$B$137, 0), MATCH(AC$4&amp;AC$5, LS_previous!$D$2:$AY$2&amp;LS_previous!$D$3:$AY$3, 0)),SUM(VLOOKUP($A10, LS_previous!$B$4:$AY$137, LS_previous!U$148, FALSE), VLOOKUP('Staging Table'!$A10, LS_previous!$B$4:$AY$137,LS_previous!AS$148, FALSE))/2)</f>
        <v>0</v>
      </c>
      <c r="AD10" s="102">
        <f t="array" ref="AD10">IF($G10=0, INDEX(LS_previous!$D$4:$AY$137, MATCH('Staging Table'!$A10, LS_previous!$B$4:$B$137, 0), MATCH(AD$4&amp;AD$5, LS_previous!$D$2:$AY$2&amp;LS_previous!$D$3:$AY$3, 0)),SUM(VLOOKUP($A10, LS_previous!$B$4:$AY$137, LS_previous!V$148, FALSE), VLOOKUP('Staging Table'!$A10, LS_previous!$B$4:$AY$137,LS_previous!AT$148, FALSE))/2)</f>
        <v>0</v>
      </c>
      <c r="AE10" s="102">
        <f t="array" ref="AE10">IF($G10=0, INDEX(LS_previous!$D$4:$AY$137, MATCH('Staging Table'!$A10, LS_previous!$B$4:$B$137, 0), MATCH(AE$4&amp;AE$5, LS_previous!$D$2:$AY$2&amp;LS_previous!$D$3:$AY$3, 0)),SUM(VLOOKUP($A10, LS_previous!$B$4:$AY$137, LS_previous!W$148, FALSE), VLOOKUP('Staging Table'!$A10, LS_previous!$B$4:$AY$137,LS_previous!AU$148, FALSE))/2)</f>
        <v>0</v>
      </c>
      <c r="AF10" s="102">
        <f t="array" ref="AF10">IF($G10=0, INDEX(LS_previous!$D$4:$AY$137, MATCH('Staging Table'!$A10, LS_previous!$B$4:$B$137, 0), MATCH(AF$4&amp;AF$5, LS_previous!$D$2:$AY$2&amp;LS_previous!$D$3:$AY$3, 0)),SUM(VLOOKUP($A10, LS_previous!$B$4:$AY$137, LS_previous!X$148, FALSE), VLOOKUP('Staging Table'!$A10, LS_previous!$B$4:$AY$137,LS_previous!AV$148, FALSE))/2)</f>
        <v>0</v>
      </c>
      <c r="AG10" s="102">
        <f t="array" ref="AG10">IF($G10=0, INDEX(LS_previous!$D$4:$AY$137, MATCH('Staging Table'!$A10, LS_previous!$B$4:$B$137, 0), MATCH(AG$4&amp;AG$5, LS_previous!$D$2:$AY$2&amp;LS_previous!$D$3:$AY$3, 0)),SUM(VLOOKUP($A10, LS_previous!$B$4:$AY$137, LS_previous!Y$148, FALSE), VLOOKUP('Staging Table'!$A10, LS_previous!$B$4:$AY$137,LS_previous!AW$148, FALSE))/2)</f>
        <v>0</v>
      </c>
      <c r="AH10" s="102">
        <f t="array" ref="AH10">IF($G10=0, INDEX(LS_previous!$D$4:$AY$137, MATCH('Staging Table'!$A10, LS_previous!$B$4:$B$137, 0), MATCH(AH$4&amp;AH$5, LS_previous!$D$2:$AY$2&amp;LS_previous!$D$3:$AY$3, 0)),SUM(VLOOKUP($A10, LS_previous!$B$4:$AY$137, LS_previous!Z$148, FALSE), VLOOKUP('Staging Table'!$A10, LS_previous!$B$4:$AY$137,LS_previous!AX$148, FALSE))/2)</f>
        <v>0</v>
      </c>
      <c r="AI10" s="102">
        <f t="array" ref="AI10">IF($G10=0, INDEX(LS_previous!$D$4:$AY$137, MATCH('Staging Table'!$A10, LS_previous!$B$4:$B$137, 0), MATCH(AI$4&amp;AI$5, LS_previous!$D$2:$AY$2&amp;LS_previous!$D$3:$AY$3, 0)),SUM(VLOOKUP($A10, LS_previous!$B$4:$AY$137, LS_previous!AA$148, FALSE), VLOOKUP('Staging Table'!$A10, LS_previous!$B$4:$AY$137,LS_previous!AY$148, FALSE))/2)</f>
        <v>0</v>
      </c>
      <c r="AJ10" s="103">
        <f t="array" ref="AJ10">INDEX(Demand_previous!$D$4:$AY$137, MATCH('Staging Table'!$A10, Demand_previous!$B$4:$B$137, 0), MATCH(AJ$4&amp;AJ$5,Demand_previous!$D$2:$AY$2&amp;Demand_previous!$D$3:$AY$3, 0))/1000</f>
        <v>0</v>
      </c>
      <c r="AK10" s="103">
        <f t="array" ref="AK10">INDEX(Demand_previous!$D$4:$AY$137, MATCH('Staging Table'!$A10, Demand_previous!$B$4:$B$137, 0), MATCH(AK$4&amp;AK$5,Demand_previous!$D$2:$AY$2&amp;Demand_previous!$D$3:$AY$3, 0))/1000</f>
        <v>0</v>
      </c>
      <c r="AL10" s="103">
        <f t="array" ref="AL10">INDEX(Demand_previous!$D$4:$AY$137, MATCH('Staging Table'!$A10, Demand_previous!$B$4:$B$137, 0), MATCH(AL$4&amp;AL$5,Demand_previous!$D$2:$AY$2&amp;Demand_previous!$D$3:$AY$3, 0))/1000</f>
        <v>0</v>
      </c>
      <c r="AM10" s="103">
        <f t="array" ref="AM10">INDEX(Demand_previous!$D$4:$AY$137, MATCH('Staging Table'!$A10, Demand_previous!$B$4:$B$137, 0), MATCH(AM$4&amp;AM$5,Demand_previous!$D$2:$AY$2&amp;Demand_previous!$D$3:$AY$3, 0))/1000</f>
        <v>0</v>
      </c>
      <c r="AN10" s="103">
        <f t="array" ref="AN10">INDEX(Demand_previous!$D$4:$AY$137, MATCH('Staging Table'!$A10, Demand_previous!$B$4:$B$137, 0), MATCH(AN$4&amp;AN$5,Demand_previous!$D$2:$AY$2&amp;Demand_previous!$D$3:$AY$3, 0))/1000</f>
        <v>0</v>
      </c>
      <c r="AO10" s="103">
        <f t="array" ref="AO10">INDEX(Demand_previous!$D$4:$AY$137, MATCH('Staging Table'!$A10, Demand_previous!$B$4:$B$137, 0), MATCH(AO$4&amp;AO$5,Demand_previous!$D$2:$AY$2&amp;Demand_previous!$D$3:$AY$3, 0))/1000</f>
        <v>0</v>
      </c>
      <c r="AP10" s="103">
        <f t="array" ref="AP10">INDEX(Demand_previous!$D$4:$AY$137, MATCH('Staging Table'!$A10, Demand_previous!$B$4:$B$137, 0), MATCH(AP$4&amp;AP$5,Demand_previous!$D$2:$AY$2&amp;Demand_previous!$D$3:$AY$3, 0))/1000</f>
        <v>0</v>
      </c>
      <c r="AQ10" s="103">
        <f t="array" ref="AQ10">INDEX(Demand_previous!$D$4:$AY$137, MATCH('Staging Table'!$A10, Demand_previous!$B$4:$B$137, 0), MATCH(AQ$4&amp;AQ$5,Demand_previous!$D$2:$AY$2&amp;Demand_previous!$D$3:$AY$3, 0))/1000</f>
        <v>0</v>
      </c>
      <c r="AR10" s="103">
        <f t="array" ref="AR10">INDEX(Demand_previous!$D$4:$AY$137, MATCH('Staging Table'!$A10, Demand_previous!$B$4:$B$137, 0), MATCH(AR$4&amp;AR$5,Demand_previous!$D$2:$AY$2&amp;Demand_previous!$D$3:$AY$3, 0))/1000</f>
        <v>0</v>
      </c>
      <c r="AS10" s="103">
        <f t="array" ref="AS10">INDEX(Demand_previous!$D$4:$AY$137, MATCH('Staging Table'!$A10, Demand_previous!$B$4:$B$137, 0), MATCH(AS$4&amp;AS$5,Demand_previous!$D$2:$AY$2&amp;Demand_previous!$D$3:$AY$3, 0))/1000</f>
        <v>0</v>
      </c>
      <c r="AT10" s="103">
        <f t="array" ref="AT10">INDEX(Demand_previous!$D$4:$AY$137, MATCH('Staging Table'!$A10, Demand_previous!$B$4:$B$137, 0), MATCH(AT$4&amp;AT$5,Demand_previous!$D$2:$AY$2&amp;Demand_previous!$D$3:$AY$3, 0))/1000</f>
        <v>0</v>
      </c>
      <c r="AU10" s="103">
        <f t="array" ref="AU10">INDEX(Demand_previous!$D$4:$AY$137, MATCH('Staging Table'!$A10, Demand_previous!$B$4:$B$137, 0), MATCH(AU$4&amp;AU$5,Demand_previous!$D$2:$AY$2&amp;Demand_previous!$D$3:$AY$3, 0))/1000</f>
        <v>0</v>
      </c>
      <c r="AV10" s="102">
        <f>$F10*(VLOOKUP(AV$4, Rates_previous!$G$6:$Q$29, 10, FALSE)+VLOOKUP(AV$4, Rates_previous!$G$6:$Q$29, 11, FALSE))</f>
        <v>10759.215232953451</v>
      </c>
      <c r="AW10" s="102">
        <f>$F10*(VLOOKUP(AW$4, Rates_previous!$G$6:$Q$29, 10, FALSE)+VLOOKUP(AW$4, Rates_previous!$G$6:$Q$29, 11, FALSE))</f>
        <v>13721.547305237702</v>
      </c>
      <c r="AX10" s="102">
        <f>$F10*(VLOOKUP(AX$4, Rates_previous!$G$6:$Q$29, 10, FALSE)+VLOOKUP(AX$4, Rates_previous!$G$6:$Q$29, 11, FALSE))</f>
        <v>14808.264503080502</v>
      </c>
      <c r="AY10" s="102">
        <f>$F10*(VLOOKUP(AY$4, Rates_previous!$G$6:$Q$29, 10, FALSE)+VLOOKUP(AY$4, Rates_previous!$G$6:$Q$29, 11, FALSE))</f>
        <v>15388.075996123202</v>
      </c>
      <c r="AZ10" s="102">
        <f>$F10*(VLOOKUP(AZ$4, Rates_previous!$G$6:$Q$29, 10, FALSE)+VLOOKUP(AZ$4, Rates_previous!$G$6:$Q$29, 11, FALSE))</f>
        <v>13235.796456251399</v>
      </c>
      <c r="BA10" s="102">
        <f>$F10*(VLOOKUP(BA$4, Rates_previous!$G$6:$Q$29, 10, FALSE)+VLOOKUP(BA$4, Rates_previous!$G$6:$Q$29, 11, FALSE))</f>
        <v>14450.8691743173</v>
      </c>
      <c r="BB10" s="102">
        <f>$F10*(VLOOKUP(BB$4, Rates_previous!$G$6:$Q$29, 10, FALSE)+VLOOKUP(BB$4, Rates_previous!$G$6:$Q$29, 11, FALSE))</f>
        <v>11406.525946459275</v>
      </c>
      <c r="BC10" s="102">
        <f>$F10*(VLOOKUP(BC$4, Rates_previous!$G$6:$Q$29, 10, FALSE)+VLOOKUP(BC$4, Rates_previous!$G$6:$Q$29, 11, FALSE))</f>
        <v>14151.323982376951</v>
      </c>
      <c r="BD10" s="102">
        <f>$F10*(VLOOKUP(BD$4, Rates_previous!$G$6:$Q$29, 10, FALSE)+VLOOKUP(BD$4, Rates_previous!$G$6:$Q$29, 11, FALSE))</f>
        <v>14458.37238516915</v>
      </c>
      <c r="BE10" s="102">
        <f>$F10*(VLOOKUP(BE$4, Rates_previous!$G$6:$Q$29, 10, FALSE)+VLOOKUP(BE$4, Rates_previous!$G$6:$Q$29, 11, FALSE))</f>
        <v>12551.950224642451</v>
      </c>
      <c r="BF10" s="102">
        <f>$F10*(VLOOKUP(BF$4, Rates_previous!$G$6:$Q$29, 10, FALSE)+VLOOKUP(BF$4, Rates_previous!$G$6:$Q$29, 11, FALSE))</f>
        <v>12134.399449417908</v>
      </c>
      <c r="BG10" s="102">
        <f>$F10*(VLOOKUP(BG$4, Rates_previous!$G$6:$Q$29, 10, FALSE)+VLOOKUP(BG$4, Rates_previous!$G$6:$Q$29, 11, FALSE))</f>
        <v>11165.997306113402</v>
      </c>
      <c r="BH10" s="103">
        <f>IF($D10=0,IF(C10=0, MAX(BJ10 - (VLOOKUP($A10,TOCA_previous!$A$2:$AJ$136,MATCH("RHWM "&amp;Init!$D$1-2,TOCA_previous!$A$2:$AJ$2,0),FALSE)*$F$2*TOCA_previous!C7),0),0), 0)</f>
        <v>0</v>
      </c>
      <c r="BI10" s="109">
        <f>MIN(VLOOKUP($A10,TOCA_previous!$A$2:$AJ$136,MATCH("TRL - NLSL - Existing Resource "&amp;$F$1,TOCA_previous!$A$2:$AJ$2,0),FALSE)*$F$2,(VLOOKUP($A10,TOCA_previous!$A$2:$AJ$136,MATCH("RHWM "&amp;Init!$D$1-2,TOCA_previous!$A$2:$AJ$2,0),FALSE)*$F$2))</f>
        <v>154738.94399999999</v>
      </c>
      <c r="BJ10" s="261">
        <f>SUM(L10:AI10)+(F10*RT1SC!$C$3*$F$2)</f>
        <v>158232.33868744801</v>
      </c>
      <c r="BK10" s="260">
        <f>VLOOKUP($A10,TOCA_previous!$A$2:$AJ$136,MATCH("Above RHWM Not Served with LS "&amp;$F$1,TOCA_previous!$A$2:$AJ$2,0),FALSE)*$F$2</f>
        <v>35689.392</v>
      </c>
      <c r="BL10" s="261">
        <f t="shared" si="21"/>
        <v>3493.3946874480171</v>
      </c>
      <c r="BM10" s="260">
        <f>(VLOOKUP($A10,TOCA_previous!$A$2:$AJ$136,MATCH("RHWM "&amp;Init!$D$1-2,TOCA_previous!$A$2:$AJ$2,0),FALSE)*$F$2) - $BI10</f>
        <v>0</v>
      </c>
      <c r="BN10" s="261">
        <f t="shared" si="22"/>
        <v>0</v>
      </c>
      <c r="BO10" s="260">
        <f t="shared" si="23"/>
        <v>0</v>
      </c>
      <c r="BP10" s="261">
        <f t="shared" si="24"/>
        <v>0</v>
      </c>
      <c r="BQ10" s="260">
        <f t="shared" si="9"/>
        <v>0</v>
      </c>
      <c r="BR10" s="85">
        <f>VLOOKUP($A10,TOCA_current!$A$2:$ZZ$136,MATCH(BR$4,TOCA_current!$A$2:$ZZ$2,0),FALSE)</f>
        <v>2.4921000000000001E-3</v>
      </c>
      <c r="BS10" s="85">
        <f>VLOOKUP($A10,TOCA_current!$A$2:$ZZ$136,MATCH(BS$4,TOCA_current!$A$2:$ZZ$2,0),FALSE)</f>
        <v>2.4921000000000001E-3</v>
      </c>
      <c r="BT10" s="108">
        <f t="shared" si="25"/>
        <v>0</v>
      </c>
      <c r="BU10" s="85">
        <f>VLOOKUP($A10,TOCA_current!A7:BG141,MATCH(BU$4,TOCA_current!$A$2:$BG$2,0),FALSE)</f>
        <v>8.5158877977198344E-2</v>
      </c>
      <c r="BV10" s="85">
        <f t="shared" si="26"/>
        <v>8.5158877977198344E-2</v>
      </c>
      <c r="BW10" s="85">
        <f t="shared" si="27"/>
        <v>2.4921000000000001E-3</v>
      </c>
      <c r="BX10" s="101">
        <f>VLOOKUP($A10,IRD!$A$4:$G$138, 7, FALSE)</f>
        <v>0</v>
      </c>
      <c r="BY10" s="102">
        <f t="array" ref="BY10">IF($BT10=0, INDEX(LS_current!$D$4:$BW$137, MATCH('Staging Table'!$A10, LS_current!$B$4:$B$137, 0), MATCH(BY$4&amp;BY$5, LS_current!$D$2:$BW$2&amp;LS_current!$D$3:$BW$3, 0)),SUM(VLOOKUP($A10, LS_current!$B$4:$BW$137, LS_current!D$147, FALSE), VLOOKUP($A10, LS_current!$B$4:$BW$137,LS_current!AZ$147, FALSE))/2)</f>
        <v>0</v>
      </c>
      <c r="BZ10" s="102">
        <f t="array" ref="BZ10">IF($BT10=0, INDEX(LS_current!$D$4:$BW$137, MATCH('Staging Table'!$A10, LS_current!$B$4:$B$137, 0), MATCH(BZ$4&amp;BZ$5, LS_current!$D$2:$BW$2&amp;LS_current!$D$3:$BW$3, 0)),SUM(VLOOKUP($A10, LS_current!$B$4:$BW$137, LS_current!E$147, FALSE), VLOOKUP($A10, LS_current!$B$4:$BW$137,LS_current!BA$147, FALSE))/2)</f>
        <v>0</v>
      </c>
      <c r="CA10" s="102">
        <f t="array" ref="CA10">IF($BT10=0, INDEX(LS_current!$D$4:$BW$137, MATCH('Staging Table'!$A10, LS_current!$B$4:$B$137, 0), MATCH(CA$4&amp;CA$5, LS_current!$D$2:$BW$2&amp;LS_current!$D$3:$BW$3, 0)),SUM(VLOOKUP($A10, LS_current!$B$4:$BW$137, LS_current!F$147, FALSE), VLOOKUP($A10, LS_current!$B$4:$BW$137,LS_current!BB$147, FALSE))/2)</f>
        <v>0</v>
      </c>
      <c r="CB10" s="102">
        <f t="array" ref="CB10">IF($BT10=0, INDEX(LS_current!$D$4:$BW$137, MATCH('Staging Table'!$A10, LS_current!$B$4:$B$137, 0), MATCH(CB$4&amp;CB$5, LS_current!$D$2:$BW$2&amp;LS_current!$D$3:$BW$3, 0)),SUM(VLOOKUP($A10, LS_current!$B$4:$BW$137, LS_current!G$147, FALSE), VLOOKUP($A10, LS_current!$B$4:$BW$137,LS_current!BC$147, FALSE))/2)</f>
        <v>0</v>
      </c>
      <c r="CC10" s="102">
        <f t="array" ref="CC10">IF($BT10=0, INDEX(LS_current!$D$4:$BW$137, MATCH('Staging Table'!$A10, LS_current!$B$4:$B$137, 0), MATCH(CC$4&amp;CC$5, LS_current!$D$2:$BW$2&amp;LS_current!$D$3:$BW$3, 0)),SUM(VLOOKUP($A10, LS_current!$B$4:$BW$137, LS_current!H$147, FALSE), VLOOKUP($A10, LS_current!$B$4:$BW$137,LS_current!BD$147, FALSE))/2)</f>
        <v>0</v>
      </c>
      <c r="CD10" s="102">
        <f t="array" ref="CD10">IF($BT10=0, INDEX(LS_current!$D$4:$BW$137, MATCH('Staging Table'!$A10, LS_current!$B$4:$B$137, 0), MATCH(CD$4&amp;CD$5, LS_current!$D$2:$BW$2&amp;LS_current!$D$3:$BW$3, 0)),SUM(VLOOKUP($A10, LS_current!$B$4:$BW$137, LS_current!I$147, FALSE), VLOOKUP($A10, LS_current!$B$4:$BW$137,LS_current!BE$147, FALSE))/2)</f>
        <v>0</v>
      </c>
      <c r="CE10" s="102">
        <f t="array" ref="CE10">IF($BT10=0, INDEX(LS_current!$D$4:$BW$137, MATCH('Staging Table'!$A10, LS_current!$B$4:$B$137, 0), MATCH(CE$4&amp;CE$5, LS_current!$D$2:$BW$2&amp;LS_current!$D$3:$BW$3, 0)),SUM(VLOOKUP($A10, LS_current!$B$4:$BW$137, LS_current!J$147, FALSE), VLOOKUP($A10, LS_current!$B$4:$BW$137,LS_current!BF$147, FALSE))/2)</f>
        <v>0</v>
      </c>
      <c r="CF10" s="102">
        <f t="array" ref="CF10">IF($BT10=0, INDEX(LS_current!$D$4:$BW$137, MATCH('Staging Table'!$A10, LS_current!$B$4:$B$137, 0), MATCH(CF$4&amp;CF$5, LS_current!$D$2:$BW$2&amp;LS_current!$D$3:$BW$3, 0)),SUM(VLOOKUP($A10, LS_current!$B$4:$BW$137, LS_current!K$147, FALSE), VLOOKUP($A10, LS_current!$B$4:$BW$137,LS_current!BG$147, FALSE))/2)</f>
        <v>0</v>
      </c>
      <c r="CG10" s="102">
        <f t="array" ref="CG10">IF($BT10=0, INDEX(LS_current!$D$4:$BW$137, MATCH('Staging Table'!$A10, LS_current!$B$4:$B$137, 0), MATCH(CG$4&amp;CG$5, LS_current!$D$2:$BW$2&amp;LS_current!$D$3:$BW$3, 0)),SUM(VLOOKUP($A10, LS_current!$B$4:$BW$137, LS_current!L$147, FALSE), VLOOKUP($A10, LS_current!$B$4:$BW$137,LS_current!BH$147, FALSE))/2)</f>
        <v>0</v>
      </c>
      <c r="CH10" s="102">
        <f t="array" ref="CH10">IF($BT10=0, INDEX(LS_current!$D$4:$BW$137, MATCH('Staging Table'!$A10, LS_current!$B$4:$B$137, 0), MATCH(CH$4&amp;CH$5, LS_current!$D$2:$BW$2&amp;LS_current!$D$3:$BW$3, 0)),SUM(VLOOKUP($A10, LS_current!$B$4:$BW$137, LS_current!M$147, FALSE), VLOOKUP($A10, LS_current!$B$4:$BW$137,LS_current!BI$147, FALSE))/2)</f>
        <v>0</v>
      </c>
      <c r="CI10" s="102">
        <f t="array" ref="CI10">IF($BT10=0, INDEX(LS_current!$D$4:$BW$137, MATCH('Staging Table'!$A10, LS_current!$B$4:$B$137, 0), MATCH(CI$4&amp;CI$5, LS_current!$D$2:$BW$2&amp;LS_current!$D$3:$BW$3, 0)),SUM(VLOOKUP($A10, LS_current!$B$4:$BW$137, LS_current!N$147, FALSE), VLOOKUP($A10, LS_current!$B$4:$BW$137,LS_current!BJ$147, FALSE))/2)</f>
        <v>0</v>
      </c>
      <c r="CJ10" s="102">
        <f t="array" ref="CJ10">IF($BT10=0, INDEX(LS_current!$D$4:$BW$137, MATCH('Staging Table'!$A10, LS_current!$B$4:$B$137, 0), MATCH(CJ$4&amp;CJ$5, LS_current!$D$2:$BW$2&amp;LS_current!$D$3:$BW$3, 0)),SUM(VLOOKUP($A10, LS_current!$B$4:$BW$137, LS_current!O$147, FALSE), VLOOKUP($A10, LS_current!$B$4:$BW$137,LS_current!BK$147, FALSE))/2)</f>
        <v>0</v>
      </c>
      <c r="CK10" s="102">
        <f t="array" ref="CK10">IF($BT10=0, INDEX(LS_current!$D$4:$BW$137, MATCH('Staging Table'!$A10, LS_current!$B$4:$B$137, 0), MATCH(CK$4&amp;CK$5, LS_current!$D$2:$BW$2&amp;LS_current!$D$3:$BW$3, 0)),SUM(VLOOKUP($A10, LS_current!$B$4:$BW$137, LS_current!P$147, FALSE), VLOOKUP($A10, LS_current!$B$4:$BW$137,LS_current!BL$147, FALSE))/2)</f>
        <v>0</v>
      </c>
      <c r="CL10" s="102">
        <f t="array" ref="CL10">IF($BT10=0, INDEX(LS_current!$D$4:$BW$137, MATCH('Staging Table'!$A10, LS_current!$B$4:$B$137, 0), MATCH(CL$4&amp;CL$5, LS_current!$D$2:$BW$2&amp;LS_current!$D$3:$BW$3, 0)),SUM(VLOOKUP($A10, LS_current!$B$4:$BW$137, LS_current!Q$147, FALSE), VLOOKUP($A10, LS_current!$B$4:$BW$137,LS_current!BM$147, FALSE))/2)</f>
        <v>0</v>
      </c>
      <c r="CM10" s="102">
        <f t="array" ref="CM10">IF($BT10=0, INDEX(LS_current!$D$4:$BW$137, MATCH('Staging Table'!$A10, LS_current!$B$4:$B$137, 0), MATCH(CM$4&amp;CM$5, LS_current!$D$2:$BW$2&amp;LS_current!$D$3:$BW$3, 0)),SUM(VLOOKUP($A10, LS_current!$B$4:$BW$137, LS_current!R$147, FALSE), VLOOKUP($A10, LS_current!$B$4:$BW$137,LS_current!BN$147, FALSE))/2)</f>
        <v>0</v>
      </c>
      <c r="CN10" s="102">
        <f t="array" ref="CN10">IF($BT10=0, INDEX(LS_current!$D$4:$BW$137, MATCH('Staging Table'!$A10, LS_current!$B$4:$B$137, 0), MATCH(CN$4&amp;CN$5, LS_current!$D$2:$BW$2&amp;LS_current!$D$3:$BW$3, 0)),SUM(VLOOKUP($A10, LS_current!$B$4:$BW$137, LS_current!S$147, FALSE), VLOOKUP($A10, LS_current!$B$4:$BW$137,LS_current!BO$147, FALSE))/2)</f>
        <v>0</v>
      </c>
      <c r="CO10" s="102">
        <f t="array" ref="CO10">IF($BT10=0, INDEX(LS_current!$D$4:$BW$137, MATCH('Staging Table'!$A10, LS_current!$B$4:$B$137, 0), MATCH(CO$4&amp;CO$5, LS_current!$D$2:$BW$2&amp;LS_current!$D$3:$BW$3, 0)),SUM(VLOOKUP($A10, LS_current!$B$4:$BW$137, LS_current!T$147, FALSE), VLOOKUP($A10, LS_current!$B$4:$BW$137,LS_current!BP$147, FALSE))/2)</f>
        <v>0</v>
      </c>
      <c r="CP10" s="102">
        <f t="array" ref="CP10">IF($BT10=0, INDEX(LS_current!$D$4:$BW$137, MATCH('Staging Table'!$A10, LS_current!$B$4:$B$137, 0), MATCH(CP$4&amp;CP$5, LS_current!$D$2:$BW$2&amp;LS_current!$D$3:$BW$3, 0)),SUM(VLOOKUP($A10, LS_current!$B$4:$BW$137, LS_current!U$147, FALSE), VLOOKUP($A10, LS_current!$B$4:$BW$137,LS_current!BQ$147, FALSE))/2)</f>
        <v>0</v>
      </c>
      <c r="CQ10" s="102">
        <f t="array" ref="CQ10">IF($BT10=0, INDEX(LS_current!$D$4:$BW$137, MATCH('Staging Table'!$A10, LS_current!$B$4:$B$137, 0), MATCH(CQ$4&amp;CQ$5, LS_current!$D$2:$BW$2&amp;LS_current!$D$3:$BW$3, 0)),SUM(VLOOKUP($A10, LS_current!$B$4:$BW$137, LS_current!V$147, FALSE), VLOOKUP($A10, LS_current!$B$4:$BW$137,LS_current!BR$147, FALSE))/2)</f>
        <v>0</v>
      </c>
      <c r="CR10" s="102">
        <f t="array" ref="CR10">IF($BT10=0, INDEX(LS_current!$D$4:$BW$137, MATCH('Staging Table'!$A10, LS_current!$B$4:$B$137, 0), MATCH(CR$4&amp;CR$5, LS_current!$D$2:$BW$2&amp;LS_current!$D$3:$BW$3, 0)),SUM(VLOOKUP($A10, LS_current!$B$4:$BW$137, LS_current!W$147, FALSE), VLOOKUP($A10, LS_current!$B$4:$BW$137,LS_current!BS$147, FALSE))/2)</f>
        <v>0</v>
      </c>
      <c r="CS10" s="102">
        <f t="array" ref="CS10">IF($BT10=0, INDEX(LS_current!$D$4:$BW$137, MATCH('Staging Table'!$A10, LS_current!$B$4:$B$137, 0), MATCH(CS$4&amp;CS$5, LS_current!$D$2:$BW$2&amp;LS_current!$D$3:$BW$3, 0)),SUM(VLOOKUP($A10, LS_current!$B$4:$BW$137, LS_current!X$147, FALSE), VLOOKUP($A10, LS_current!$B$4:$BW$137,LS_current!BT$147, FALSE))/2)</f>
        <v>0</v>
      </c>
      <c r="CT10" s="102">
        <f t="array" ref="CT10">IF($BT10=0, INDEX(LS_current!$D$4:$BW$137, MATCH('Staging Table'!$A10, LS_current!$B$4:$B$137, 0), MATCH(CT$4&amp;CT$5, LS_current!$D$2:$BW$2&amp;LS_current!$D$3:$BW$3, 0)),SUM(VLOOKUP($A10, LS_current!$B$4:$BW$137, LS_current!Y$147, FALSE), VLOOKUP($A10, LS_current!$B$4:$BW$137,LS_current!BU$147, FALSE))/2)</f>
        <v>0</v>
      </c>
      <c r="CU10" s="102">
        <f t="array" ref="CU10">IF($BT10=0, INDEX(LS_current!$D$4:$BW$137, MATCH('Staging Table'!$A10, LS_current!$B$4:$B$137, 0), MATCH(CU$4&amp;CU$5, LS_current!$D$2:$BW$2&amp;LS_current!$D$3:$BW$3, 0)),SUM(VLOOKUP($A10, LS_current!$B$4:$BW$137, LS_current!Z$147, FALSE), VLOOKUP($A10, LS_current!$B$4:$BW$137,LS_current!BV$147, FALSE))/2)</f>
        <v>0</v>
      </c>
      <c r="CV10" s="102">
        <f t="array" ref="CV10">IF($BT10=0, INDEX(LS_current!$D$4:$BW$137, MATCH('Staging Table'!$A10, LS_current!$B$4:$B$137, 0), MATCH(CV$4&amp;CV$5, LS_current!$D$2:$BW$2&amp;LS_current!$D$3:$BW$3, 0)),SUM(VLOOKUP($A10, LS_current!$B$4:$BW$137, LS_current!AA$147, FALSE), VLOOKUP($A10, LS_current!$B$4:$BW$137,LS_current!BW$147, FALSE))/2)</f>
        <v>0</v>
      </c>
      <c r="CW10" s="103">
        <f t="array" ref="CW10">INDEX(Demand_current!$D$4:$BW$137, MATCH($A10, Demand_current!$B$4:$B$137, 0), MATCH(CW$4&amp;CW$5,Demand_current!$D$2:$BW$2&amp;Demand_current!$D$3:$BW$3, 0))/1000</f>
        <v>0</v>
      </c>
      <c r="CX10" s="103">
        <f t="array" ref="CX10">INDEX(Demand_current!$D$4:$BW$137, MATCH($A10, Demand_current!$B$4:$B$137, 0), MATCH(CX$4&amp;CX$5,Demand_current!$D$2:$BW$2&amp;Demand_current!$D$3:$BW$3, 0))/1000</f>
        <v>0</v>
      </c>
      <c r="CY10" s="103">
        <f t="array" ref="CY10">INDEX(Demand_current!$D$4:$BW$137, MATCH($A10, Demand_current!$B$4:$B$137, 0), MATCH(CY$4&amp;CY$5,Demand_current!$D$2:$BW$2&amp;Demand_current!$D$3:$BW$3, 0))/1000</f>
        <v>0</v>
      </c>
      <c r="CZ10" s="103">
        <f t="array" ref="CZ10">INDEX(Demand_current!$D$4:$BW$137, MATCH($A10, Demand_current!$B$4:$B$137, 0), MATCH(CZ$4&amp;CZ$5,Demand_current!$D$2:$BW$2&amp;Demand_current!$D$3:$BW$3, 0))/1000</f>
        <v>0</v>
      </c>
      <c r="DA10" s="103">
        <f t="array" ref="DA10">INDEX(Demand_current!$D$4:$BW$137, MATCH($A10, Demand_current!$B$4:$B$137, 0), MATCH(DA$4&amp;DA$5,Demand_current!$D$2:$BW$2&amp;Demand_current!$D$3:$BW$3, 0))/1000</f>
        <v>0</v>
      </c>
      <c r="DB10" s="103">
        <f t="array" ref="DB10">INDEX(Demand_current!$D$4:$BW$137, MATCH($A10, Demand_current!$B$4:$B$137, 0), MATCH(DB$4&amp;DB$5,Demand_current!$D$2:$BW$2&amp;Demand_current!$D$3:$BW$3, 0))/1000</f>
        <v>0</v>
      </c>
      <c r="DC10" s="103">
        <f t="array" ref="DC10">INDEX(Demand_current!$D$4:$BW$137, MATCH($A10, Demand_current!$B$4:$B$137, 0), MATCH(DC$4&amp;DC$5,Demand_current!$D$2:$BW$2&amp;Demand_current!$D$3:$BW$3, 0))/1000</f>
        <v>0</v>
      </c>
      <c r="DD10" s="103">
        <f t="array" ref="DD10">INDEX(Demand_current!$D$4:$BW$137, MATCH($A10, Demand_current!$B$4:$B$137, 0), MATCH(DD$4&amp;DD$5,Demand_current!$D$2:$BW$2&amp;Demand_current!$D$3:$BW$3, 0))/1000</f>
        <v>0</v>
      </c>
      <c r="DE10" s="103">
        <f t="array" ref="DE10">INDEX(Demand_current!$D$4:$BW$137, MATCH($A10, Demand_current!$B$4:$B$137, 0), MATCH(DE$4&amp;DE$5,Demand_current!$D$2:$BW$2&amp;Demand_current!$D$3:$BW$3, 0))/1000</f>
        <v>0</v>
      </c>
      <c r="DF10" s="103">
        <f t="array" ref="DF10">INDEX(Demand_current!$D$4:$BW$137, MATCH($A10, Demand_current!$B$4:$B$137, 0), MATCH(DF$4&amp;DF$5,Demand_current!$D$2:$BW$2&amp;Demand_current!$D$3:$BW$3, 0))/1000</f>
        <v>0</v>
      </c>
      <c r="DG10" s="103">
        <f t="array" ref="DG10">INDEX(Demand_current!$D$4:$BW$137, MATCH($A10, Demand_current!$B$4:$B$137, 0), MATCH(DG$4&amp;DG$5,Demand_current!$D$2:$BW$2&amp;Demand_current!$D$3:$BW$3, 0))/1000</f>
        <v>0</v>
      </c>
      <c r="DH10" s="103">
        <f t="array" ref="DH10">INDEX(Demand_current!$D$4:$BW$137, MATCH($A10, Demand_current!$B$4:$B$137, 0), MATCH(DH$4&amp;DH$5,Demand_current!$D$2:$BW$2&amp;Demand_current!$D$3:$BW$3, 0))/1000</f>
        <v>0</v>
      </c>
      <c r="DI10" s="102">
        <f>$BS10*(VLOOKUP(DI$4, Rates_current!$H$6:$R$41, 10, FALSE)+VLOOKUP(DI$4, Rates_current!$H$6:$R$41, 11, FALSE))</f>
        <v>10342.931749584966</v>
      </c>
      <c r="DJ10" s="102">
        <f>$BS10*(VLOOKUP(DJ$4, Rates_current!$H$6:$R$41, 10, FALSE)+VLOOKUP(DJ$4, Rates_current!$H$6:$R$41, 11, FALSE))</f>
        <v>13223.097834447268</v>
      </c>
      <c r="DK10" s="102">
        <f>$BS10*(VLOOKUP(DK$4, Rates_current!$H$6:$R$41, 10, FALSE)+VLOOKUP(DK$4, Rates_current!$H$6:$R$41, 11, FALSE))</f>
        <v>15033.556298148025</v>
      </c>
      <c r="DL10" s="102">
        <f>$BS10*(VLOOKUP(DL$4, Rates_current!$H$6:$R$41, 10, FALSE)+VLOOKUP(DL$4, Rates_current!$H$6:$R$41, 11, FALSE))</f>
        <v>15861.575397193417</v>
      </c>
      <c r="DM10" s="102">
        <f>$BS10*(VLOOKUP(DM$4, Rates_current!$H$6:$R$41, 10, FALSE)+VLOOKUP(DM$4, Rates_current!$H$6:$R$41, 11, FALSE))</f>
        <v>12640.244029665108</v>
      </c>
      <c r="DN10" s="102">
        <f>$BS10*(VLOOKUP(DN$4, Rates_current!$H$6:$R$41, 10, FALSE)+VLOOKUP(DN$4, Rates_current!$H$6:$R$41, 11, FALSE))</f>
        <v>13818.382471177842</v>
      </c>
      <c r="DO10" s="102">
        <f>$BS10*(VLOOKUP(DO$4, Rates_current!$H$6:$R$41, 10, FALSE)+VLOOKUP(DO$4, Rates_current!$H$6:$R$41, 11, FALSE))</f>
        <v>10709.385415267638</v>
      </c>
      <c r="DP10" s="102">
        <f>$BS10*(VLOOKUP(DP$4, Rates_current!$H$6:$R$41, 10, FALSE)+VLOOKUP(DP$4, Rates_current!$H$6:$R$41, 11, FALSE))</f>
        <v>13859.708052828881</v>
      </c>
      <c r="DQ10" s="102">
        <f>$BS10*(VLOOKUP(DQ$4, Rates_current!$H$6:$R$41, 10, FALSE)+VLOOKUP(DQ$4, Rates_current!$H$6:$R$41, 11, FALSE))</f>
        <v>14155.653165356072</v>
      </c>
      <c r="DR10" s="102">
        <f>$BS10*(VLOOKUP(DR$4, Rates_current!$H$6:$R$41, 10, FALSE)+VLOOKUP(DR$4, Rates_current!$H$6:$R$41, 11, FALSE))</f>
        <v>12599.755565043999</v>
      </c>
      <c r="DS10" s="102">
        <f>$BS10*(VLOOKUP(DS$4, Rates_current!$H$6:$R$41, 10, FALSE)+VLOOKUP(DS$4, Rates_current!$H$6:$R$41, 11, FALSE))</f>
        <v>12925.038490204177</v>
      </c>
      <c r="DT10" s="102">
        <f>$BS10*(VLOOKUP(DT$4, Rates_current!$H$6:$R$41, 10, FALSE)+VLOOKUP(DT$4, Rates_current!$H$6:$R$41, 11, FALSE))</f>
        <v>10037.841732630313</v>
      </c>
      <c r="DU10" s="261">
        <f>IF(D10=0,IF(C10=0,MAX(0,DW10 - (VLOOKUP($A10,TOCA_current!$A$2:$AV$136,MATCH("RHWM "&amp;Init!$D$1,TOCA_current!$A$2:$AV$2,0),FALSE)*$BS$2)), 0),0)</f>
        <v>0</v>
      </c>
      <c r="DV10" s="262">
        <f>MIN(VLOOKUP($A10,TOCA_current!$A$2:$AV$136,MATCH("TRL - NLSL - Existing Resource "&amp;$BS$1,TOCA_current!$A$2:$AV$2,0),FALSE)*$BS$2, VLOOKUP($A10,TOCA_current!$A$2:$AV$136,MATCH("RHWM "&amp;Init!$D$1,TOCA_current!$A$2:$AV$2,0),FALSE)*$BS$2)</f>
        <v>155209.68</v>
      </c>
      <c r="DW10" s="262">
        <f>SUM(BY10:CV10)+(BS10*RT1SC!$C$4*$BS$2)</f>
        <v>155207.17936339203</v>
      </c>
      <c r="DX10" s="262">
        <f>VLOOKUP($A10,TOCA_current!$A$2:$AV$136,MATCH("Above RHWM Not Served with LS "&amp;$BS$1,TOCA_current!$A$2:$AV$2,0),FALSE)*$BS$2</f>
        <v>48136.200000000004</v>
      </c>
      <c r="DY10" s="262">
        <f t="shared" si="28"/>
        <v>-2.5006366079614963</v>
      </c>
      <c r="DZ10" s="262">
        <f>(VLOOKUP($A10,TOCA_current!$A$2:$AV$136,MATCH("RHWM "&amp;Init!$D$1,TOCA_current!$A$2:$AV$2,0),FALSE)*$BS$2) - $DV10</f>
        <v>0</v>
      </c>
      <c r="EA10" s="262">
        <f t="shared" si="29"/>
        <v>0</v>
      </c>
      <c r="EB10" s="262">
        <f t="shared" si="30"/>
        <v>0</v>
      </c>
      <c r="EC10" s="262">
        <f t="shared" si="31"/>
        <v>0</v>
      </c>
      <c r="ED10" s="262">
        <f t="shared" si="32"/>
        <v>0</v>
      </c>
    </row>
    <row r="11" spans="1:134">
      <c r="A11" s="2">
        <v>10044</v>
      </c>
      <c r="B11" s="3" t="s">
        <v>13</v>
      </c>
      <c r="C11">
        <f>VLOOKUP(A11, TOCA_current!$A$3:$D$136, 4, FALSE)</f>
        <v>0</v>
      </c>
      <c r="D11">
        <v>0</v>
      </c>
      <c r="E11" s="84">
        <f>VLOOKUP($A11,TOCA_previous!$A$2:$AJ$136,MATCH(E$4,TOCA_previous!$A$2:$AJ$2,0),FALSE)</f>
        <v>2.9401000000000002E-3</v>
      </c>
      <c r="F11" s="85">
        <f>VLOOKUP($A11,TOCA_previous!$A$2:$AJ$136,MATCH(F$4,TOCA_previous!$A$2:$AJ$2,0),FALSE)</f>
        <v>2.9401000000000002E-3</v>
      </c>
      <c r="G11" s="85">
        <f t="shared" si="18"/>
        <v>0</v>
      </c>
      <c r="H11" s="85">
        <f>VLOOKUP($A11,TOCA_previous!$A$2:$AJ$136,MATCH(H$4,TOCA_previous!$A$2:$AJ$2,0),FALSE)</f>
        <v>0</v>
      </c>
      <c r="I11" s="85">
        <f t="shared" si="19"/>
        <v>0</v>
      </c>
      <c r="J11" s="85">
        <f t="shared" si="20"/>
        <v>0</v>
      </c>
      <c r="K11" s="101">
        <f>VLOOKUP(A11, IRD!$A$5:$C$138, 3, FALSE)</f>
        <v>0</v>
      </c>
      <c r="L11" s="102">
        <f t="array" ref="L11">IF($G11=0, INDEX(LS_previous!$D$4:$AY$137, MATCH('Staging Table'!$A11, LS_previous!$B$4:$B$137, 0), MATCH(L$4&amp;L$5, LS_previous!$D$2:$AY$2&amp;LS_previous!$D$3:$AY$3, 0)),SUM(VLOOKUP($A11, LS_previous!$B$4:$AY$137, LS_previous!D$148, FALSE), VLOOKUP('Staging Table'!$A11, LS_previous!$B$4:$AY$137,LS_previous!AB$148, FALSE))/2)</f>
        <v>1043.9972897563985</v>
      </c>
      <c r="M11" s="102">
        <f t="array" ref="M11">IF($G11=0, INDEX(LS_previous!$D$4:$AY$137, MATCH('Staging Table'!$A11, LS_previous!$B$4:$B$137, 0), MATCH(M$4&amp;M$5, LS_previous!$D$2:$AY$2&amp;LS_previous!$D$3:$AY$3, 0)),SUM(VLOOKUP($A11, LS_previous!$B$4:$AY$137, LS_previous!E$148, FALSE), VLOOKUP('Staging Table'!$A11, LS_previous!$B$4:$AY$137,LS_previous!AC$148, FALSE))/2)</f>
        <v>-672.93722894255006</v>
      </c>
      <c r="N11" s="102">
        <f t="array" ref="N11">IF($G11=0, INDEX(LS_previous!$D$4:$AY$137, MATCH('Staging Table'!$A11, LS_previous!$B$4:$B$137, 0), MATCH(N$4&amp;N$5, LS_previous!$D$2:$AY$2&amp;LS_previous!$D$3:$AY$3, 0)),SUM(VLOOKUP($A11, LS_previous!$B$4:$AY$137, LS_previous!F$148, FALSE), VLOOKUP('Staging Table'!$A11, LS_previous!$B$4:$AY$137,LS_previous!AD$148, FALSE))/2)</f>
        <v>-1332.7711930528003</v>
      </c>
      <c r="O11" s="102">
        <f t="array" ref="O11">IF($G11=0, INDEX(LS_previous!$D$4:$AY$137, MATCH('Staging Table'!$A11, LS_previous!$B$4:$B$137, 0), MATCH(O$4&amp;O$5, LS_previous!$D$2:$AY$2&amp;LS_previous!$D$3:$AY$3, 0)),SUM(VLOOKUP($A11, LS_previous!$B$4:$AY$137, LS_previous!G$148, FALSE), VLOOKUP('Staging Table'!$A11, LS_previous!$B$4:$AY$137,LS_previous!AE$148, FALSE))/2)</f>
        <v>-744.54276300310084</v>
      </c>
      <c r="P11" s="102">
        <f t="array" ref="P11">IF($G11=0, INDEX(LS_previous!$D$4:$AY$137, MATCH('Staging Table'!$A11, LS_previous!$B$4:$B$137, 0), MATCH(P$4&amp;P$5, LS_previous!$D$2:$AY$2&amp;LS_previous!$D$3:$AY$3, 0)),SUM(VLOOKUP($A11, LS_previous!$B$4:$AY$137, LS_previous!H$148, FALSE), VLOOKUP('Staging Table'!$A11, LS_previous!$B$4:$AY$137,LS_previous!AF$148, FALSE))/2)</f>
        <v>331.78287876610011</v>
      </c>
      <c r="Q11" s="102">
        <f t="array" ref="Q11">IF($G11=0, INDEX(LS_previous!$D$4:$AY$137, MATCH('Staging Table'!$A11, LS_previous!$B$4:$B$137, 0), MATCH(Q$4&amp;Q$5, LS_previous!$D$2:$AY$2&amp;LS_previous!$D$3:$AY$3, 0)),SUM(VLOOKUP($A11, LS_previous!$B$4:$AY$137, LS_previous!I$148, FALSE), VLOOKUP('Staging Table'!$A11, LS_previous!$B$4:$AY$137,LS_previous!AG$148, FALSE))/2)</f>
        <v>-553.27306560960005</v>
      </c>
      <c r="R11" s="102">
        <f t="array" ref="R11">IF($G11=0, INDEX(LS_previous!$D$4:$AY$137, MATCH('Staging Table'!$A11, LS_previous!$B$4:$B$137, 0), MATCH(R$4&amp;R$5, LS_previous!$D$2:$AY$2&amp;LS_previous!$D$3:$AY$3, 0)),SUM(VLOOKUP($A11, LS_previous!$B$4:$AY$137, LS_previous!J$148, FALSE), VLOOKUP('Staging Table'!$A11, LS_previous!$B$4:$AY$137,LS_previous!AH$148, FALSE))/2)</f>
        <v>-563.69921127149973</v>
      </c>
      <c r="S11" s="102">
        <f t="array" ref="S11">IF($G11=0, INDEX(LS_previous!$D$4:$AY$137, MATCH('Staging Table'!$A11, LS_previous!$B$4:$B$137, 0), MATCH(S$4&amp;S$5, LS_previous!$D$2:$AY$2&amp;LS_previous!$D$3:$AY$3, 0)),SUM(VLOOKUP($A11, LS_previous!$B$4:$AY$137, LS_previous!K$148, FALSE), VLOOKUP('Staging Table'!$A11, LS_previous!$B$4:$AY$137,LS_previous!AI$148, FALSE))/2)</f>
        <v>-667.32661906290105</v>
      </c>
      <c r="T11" s="102">
        <f t="array" ref="T11">IF($G11=0, INDEX(LS_previous!$D$4:$AY$137, MATCH('Staging Table'!$A11, LS_previous!$B$4:$B$137, 0), MATCH(T$4&amp;T$5, LS_previous!$D$2:$AY$2&amp;LS_previous!$D$3:$AY$3, 0)),SUM(VLOOKUP($A11, LS_previous!$B$4:$AY$137, LS_previous!L$148, FALSE), VLOOKUP('Staging Table'!$A11, LS_previous!$B$4:$AY$137,LS_previous!AJ$148, FALSE))/2)</f>
        <v>-1077.438883847899</v>
      </c>
      <c r="U11" s="102">
        <f t="array" ref="U11">IF($G11=0, INDEX(LS_previous!$D$4:$AY$137, MATCH('Staging Table'!$A11, LS_previous!$B$4:$B$137, 0), MATCH(U$4&amp;U$5, LS_previous!$D$2:$AY$2&amp;LS_previous!$D$3:$AY$3, 0)),SUM(VLOOKUP($A11, LS_previous!$B$4:$AY$137, LS_previous!M$148, FALSE), VLOOKUP('Staging Table'!$A11, LS_previous!$B$4:$AY$137,LS_previous!AK$148, FALSE))/2)</f>
        <v>-823.21174965590035</v>
      </c>
      <c r="V11" s="102">
        <f t="array" ref="V11">IF($G11=0, INDEX(LS_previous!$D$4:$AY$137, MATCH('Staging Table'!$A11, LS_previous!$B$4:$B$137, 0), MATCH(V$4&amp;V$5, LS_previous!$D$2:$AY$2&amp;LS_previous!$D$3:$AY$3, 0)),SUM(VLOOKUP($A11, LS_previous!$B$4:$AY$137, LS_previous!N$148, FALSE), VLOOKUP('Staging Table'!$A11, LS_previous!$B$4:$AY$137,LS_previous!AL$148, FALSE))/2)</f>
        <v>-1206.4211841313008</v>
      </c>
      <c r="W11" s="102">
        <f t="array" ref="W11">IF($G11=0, INDEX(LS_previous!$D$4:$AY$137, MATCH('Staging Table'!$A11, LS_previous!$B$4:$B$137, 0), MATCH(W$4&amp;W$5, LS_previous!$D$2:$AY$2&amp;LS_previous!$D$3:$AY$3, 0)),SUM(VLOOKUP($A11, LS_previous!$B$4:$AY$137, LS_previous!O$148, FALSE), VLOOKUP('Staging Table'!$A11, LS_previous!$B$4:$AY$137,LS_previous!AM$148, FALSE))/2)</f>
        <v>-1301.4136694978006</v>
      </c>
      <c r="X11" s="102">
        <f t="array" ref="X11">IF($G11=0, INDEX(LS_previous!$D$4:$AY$137, MATCH('Staging Table'!$A11, LS_previous!$B$4:$B$137, 0), MATCH(X$4&amp;X$5, LS_previous!$D$2:$AY$2&amp;LS_previous!$D$3:$AY$3, 0)),SUM(VLOOKUP($A11, LS_previous!$B$4:$AY$137, LS_previous!P$148, FALSE), VLOOKUP('Staging Table'!$A11, LS_previous!$B$4:$AY$137,LS_previous!AN$148, FALSE))/2)</f>
        <v>242.22289337224993</v>
      </c>
      <c r="Y11" s="102">
        <f t="array" ref="Y11">IF($G11=0, INDEX(LS_previous!$D$4:$AY$137, MATCH('Staging Table'!$A11, LS_previous!$B$4:$B$137, 0), MATCH(Y$4&amp;Y$5, LS_previous!$D$2:$AY$2&amp;LS_previous!$D$3:$AY$3, 0)),SUM(VLOOKUP($A11, LS_previous!$B$4:$AY$137, LS_previous!Q$148, FALSE), VLOOKUP('Staging Table'!$A11, LS_previous!$B$4:$AY$137,LS_previous!AO$148, FALSE))/2)</f>
        <v>-861.47259889117504</v>
      </c>
      <c r="Z11" s="102">
        <f t="array" ref="Z11">IF($G11=0, INDEX(LS_previous!$D$4:$AY$137, MATCH('Staging Table'!$A11, LS_previous!$B$4:$B$137, 0), MATCH(Z$4&amp;Z$5, LS_previous!$D$2:$AY$2&amp;LS_previous!$D$3:$AY$3, 0)),SUM(VLOOKUP($A11, LS_previous!$B$4:$AY$137, LS_previous!R$148, FALSE), VLOOKUP('Staging Table'!$A11, LS_previous!$B$4:$AY$137,LS_previous!AP$148, FALSE))/2)</f>
        <v>-2545.7417148048007</v>
      </c>
      <c r="AA11" s="102">
        <f t="array" ref="AA11">IF($G11=0, INDEX(LS_previous!$D$4:$AY$137, MATCH('Staging Table'!$A11, LS_previous!$B$4:$B$137, 0), MATCH(AA$4&amp;AA$5, LS_previous!$D$2:$AY$2&amp;LS_previous!$D$3:$AY$3, 0)),SUM(VLOOKUP($A11, LS_previous!$B$4:$AY$137, LS_previous!S$148, FALSE), VLOOKUP('Staging Table'!$A11, LS_previous!$B$4:$AY$137,LS_previous!AQ$148, FALSE))/2)</f>
        <v>-1991.5900329058495</v>
      </c>
      <c r="AB11" s="102">
        <f t="array" ref="AB11">IF($G11=0, INDEX(LS_previous!$D$4:$AY$137, MATCH('Staging Table'!$A11, LS_previous!$B$4:$B$137, 0), MATCH(AB$4&amp;AB$5, LS_previous!$D$2:$AY$2&amp;LS_previous!$D$3:$AY$3, 0)),SUM(VLOOKUP($A11, LS_previous!$B$4:$AY$137, LS_previous!T$148, FALSE), VLOOKUP('Staging Table'!$A11, LS_previous!$B$4:$AY$137,LS_previous!AR$148, FALSE))/2)</f>
        <v>-2201.3473032326001</v>
      </c>
      <c r="AC11" s="102">
        <f t="array" ref="AC11">IF($G11=0, INDEX(LS_previous!$D$4:$AY$137, MATCH('Staging Table'!$A11, LS_previous!$B$4:$B$137, 0), MATCH(AC$4&amp;AC$5, LS_previous!$D$2:$AY$2&amp;LS_previous!$D$3:$AY$3, 0)),SUM(VLOOKUP($A11, LS_previous!$B$4:$AY$137, LS_previous!U$148, FALSE), VLOOKUP('Staging Table'!$A11, LS_previous!$B$4:$AY$137,LS_previous!AS$148, FALSE))/2)</f>
        <v>-2038.4845877354501</v>
      </c>
      <c r="AD11" s="102">
        <f t="array" ref="AD11">IF($G11=0, INDEX(LS_previous!$D$4:$AY$137, MATCH('Staging Table'!$A11, LS_previous!$B$4:$B$137, 0), MATCH(AD$4&amp;AD$5, LS_previous!$D$2:$AY$2&amp;LS_previous!$D$3:$AY$3, 0)),SUM(VLOOKUP($A11, LS_previous!$B$4:$AY$137, LS_previous!V$148, FALSE), VLOOKUP('Staging Table'!$A11, LS_previous!$B$4:$AY$137,LS_previous!AT$148, FALSE))/2)</f>
        <v>138.50991066359893</v>
      </c>
      <c r="AE11" s="102">
        <f t="array" ref="AE11">IF($G11=0, INDEX(LS_previous!$D$4:$AY$137, MATCH('Staging Table'!$A11, LS_previous!$B$4:$B$137, 0), MATCH(AE$4&amp;AE$5, LS_previous!$D$2:$AY$2&amp;LS_previous!$D$3:$AY$3, 0)),SUM(VLOOKUP($A11, LS_previous!$B$4:$AY$137, LS_previous!W$148, FALSE), VLOOKUP('Staging Table'!$A11, LS_previous!$B$4:$AY$137,LS_previous!AU$148, FALSE))/2)</f>
        <v>-477.34899711275011</v>
      </c>
      <c r="AF11" s="102">
        <f t="array" ref="AF11">IF($G11=0, INDEX(LS_previous!$D$4:$AY$137, MATCH('Staging Table'!$A11, LS_previous!$B$4:$B$137, 0), MATCH(AF$4&amp;AF$5, LS_previous!$D$2:$AY$2&amp;LS_previous!$D$3:$AY$3, 0)),SUM(VLOOKUP($A11, LS_previous!$B$4:$AY$137, LS_previous!X$148, FALSE), VLOOKUP('Staging Table'!$A11, LS_previous!$B$4:$AY$137,LS_previous!AV$148, FALSE))/2)</f>
        <v>371.1320667728487</v>
      </c>
      <c r="AG11" s="102">
        <f t="array" ref="AG11">IF($G11=0, INDEX(LS_previous!$D$4:$AY$137, MATCH('Staging Table'!$A11, LS_previous!$B$4:$B$137, 0), MATCH(AG$4&amp;AG$5, LS_previous!$D$2:$AY$2&amp;LS_previous!$D$3:$AY$3, 0)),SUM(VLOOKUP($A11, LS_previous!$B$4:$AY$137, LS_previous!Y$148, FALSE), VLOOKUP('Staging Table'!$A11, LS_previous!$B$4:$AY$137,LS_previous!AW$148, FALSE))/2)</f>
        <v>119.56607143301517</v>
      </c>
      <c r="AH11" s="102">
        <f t="array" ref="AH11">IF($G11=0, INDEX(LS_previous!$D$4:$AY$137, MATCH('Staging Table'!$A11, LS_previous!$B$4:$B$137, 0), MATCH(AH$4&amp;AH$5, LS_previous!$D$2:$AY$2&amp;LS_previous!$D$3:$AY$3, 0)),SUM(VLOOKUP($A11, LS_previous!$B$4:$AY$137, LS_previous!Z$148, FALSE), VLOOKUP('Staging Table'!$A11, LS_previous!$B$4:$AY$137,LS_previous!AX$148, FALSE))/2)</f>
        <v>-6.2990193874011311</v>
      </c>
      <c r="AI11" s="102">
        <f t="array" ref="AI11">IF($G11=0, INDEX(LS_previous!$D$4:$AY$137, MATCH('Staging Table'!$A11, LS_previous!$B$4:$B$137, 0), MATCH(AI$4&amp;AI$5, LS_previous!$D$2:$AY$2&amp;LS_previous!$D$3:$AY$3, 0)),SUM(VLOOKUP($A11, LS_previous!$B$4:$AY$137, LS_previous!AA$148, FALSE), VLOOKUP('Staging Table'!$A11, LS_previous!$B$4:$AY$137,LS_previous!AY$148, FALSE))/2)</f>
        <v>-1030.0875026704007</v>
      </c>
      <c r="AJ11" s="103">
        <f t="array" ref="AJ11">INDEX(Demand_previous!$D$4:$AY$137, MATCH('Staging Table'!$A11, Demand_previous!$B$4:$B$137, 0), MATCH(AJ$4&amp;AJ$5,Demand_previous!$D$2:$AY$2&amp;Demand_previous!$D$3:$AY$3, 0))/1000</f>
        <v>0.35987019230769368</v>
      </c>
      <c r="AK11" s="103">
        <f t="array" ref="AK11">INDEX(Demand_previous!$D$4:$AY$137, MATCH('Staging Table'!$A11, Demand_previous!$B$4:$B$137, 0), MATCH(AK$4&amp;AK$5,Demand_previous!$D$2:$AY$2&amp;Demand_previous!$D$3:$AY$3, 0))/1000</f>
        <v>2.3141300000000031</v>
      </c>
      <c r="AL11" s="103">
        <f t="array" ref="AL11">INDEX(Demand_previous!$D$4:$AY$137, MATCH('Staging Table'!$A11, Demand_previous!$B$4:$B$137, 0), MATCH(AL$4&amp;AL$5,Demand_previous!$D$2:$AY$2&amp;Demand_previous!$D$3:$AY$3, 0))/1000</f>
        <v>1.0480925000000019</v>
      </c>
      <c r="AM11" s="103">
        <f t="array" ref="AM11">INDEX(Demand_previous!$D$4:$AY$137, MATCH('Staging Table'!$A11, Demand_previous!$B$4:$B$137, 0), MATCH(AM$4&amp;AM$5,Demand_previous!$D$2:$AY$2&amp;Demand_previous!$D$3:$AY$3, 0))/1000</f>
        <v>2.313865384615382</v>
      </c>
      <c r="AN11" s="103">
        <f t="array" ref="AN11">INDEX(Demand_previous!$D$4:$AY$137, MATCH('Staging Table'!$A11, Demand_previous!$B$4:$B$137, 0), MATCH(AN$4&amp;AN$5,Demand_previous!$D$2:$AY$2&amp;Demand_previous!$D$3:$AY$3, 0))/1000</f>
        <v>6.7788025000000003</v>
      </c>
      <c r="AO11" s="103">
        <f t="array" ref="AO11">INDEX(Demand_previous!$D$4:$AY$137, MATCH('Staging Table'!$A11, Demand_previous!$B$4:$B$137, 0), MATCH(AO$4&amp;AO$5,Demand_previous!$D$2:$AY$2&amp;Demand_previous!$D$3:$AY$3, 0))/1000</f>
        <v>3.340581730769232</v>
      </c>
      <c r="AP11" s="103">
        <f t="array" ref="AP11">INDEX(Demand_previous!$D$4:$AY$137, MATCH('Staging Table'!$A11, Demand_previous!$B$4:$B$137, 0), MATCH(AP$4&amp;AP$5,Demand_previous!$D$2:$AY$2&amp;Demand_previous!$D$3:$AY$3, 0))/1000</f>
        <v>1.4529855769230773</v>
      </c>
      <c r="AQ11" s="103">
        <f t="array" ref="AQ11">INDEX(Demand_previous!$D$4:$AY$137, MATCH('Staging Table'!$A11, Demand_previous!$B$4:$B$137, 0), MATCH(AQ$4&amp;AQ$5,Demand_previous!$D$2:$AY$2&amp;Demand_previous!$D$3:$AY$3, 0))/1000</f>
        <v>4.6960937499999957</v>
      </c>
      <c r="AR11" s="103">
        <f t="array" ref="AR11">INDEX(Demand_previous!$D$4:$AY$137, MATCH('Staging Table'!$A11, Demand_previous!$B$4:$B$137, 0), MATCH(AR$4&amp;AR$5,Demand_previous!$D$2:$AY$2&amp;Demand_previous!$D$3:$AY$3, 0))/1000</f>
        <v>6.620420000000002</v>
      </c>
      <c r="AS11" s="103">
        <f t="array" ref="AS11">INDEX(Demand_previous!$D$4:$AY$137, MATCH('Staging Table'!$A11, Demand_previous!$B$4:$B$137, 0), MATCH(AS$4&amp;AS$5,Demand_previous!$D$2:$AY$2&amp;Demand_previous!$D$3:$AY$3, 0))/1000</f>
        <v>4.7856490384615391</v>
      </c>
      <c r="AT11" s="103">
        <f t="array" ref="AT11">INDEX(Demand_previous!$D$4:$AY$137, MATCH('Staging Table'!$A11, Demand_previous!$B$4:$B$137, 0), MATCH(AT$4&amp;AT$5,Demand_previous!$D$2:$AY$2&amp;Demand_previous!$D$3:$AY$3, 0))/1000</f>
        <v>8.4580578703703679</v>
      </c>
      <c r="AU11" s="103">
        <f t="array" ref="AU11">INDEX(Demand_previous!$D$4:$AY$137, MATCH('Staging Table'!$A11, Demand_previous!$B$4:$B$137, 0), MATCH(AU$4&amp;AU$5,Demand_previous!$D$2:$AY$2&amp;Demand_previous!$D$3:$AY$3, 0))/1000</f>
        <v>3.2891015624999982</v>
      </c>
      <c r="AV11" s="102">
        <f>$F11*(VLOOKUP(AV$4, Rates_previous!$G$6:$Q$29, 10, FALSE)+VLOOKUP(AV$4, Rates_previous!$G$6:$Q$29, 11, FALSE))</f>
        <v>12403.704939186151</v>
      </c>
      <c r="AW11" s="102">
        <f>$F11*(VLOOKUP(AW$4, Rates_previous!$G$6:$Q$29, 10, FALSE)+VLOOKUP(AW$4, Rates_previous!$G$6:$Q$29, 11, FALSE))</f>
        <v>15818.813956055903</v>
      </c>
      <c r="AX11" s="102">
        <f>$F11*(VLOOKUP(AX$4, Rates_previous!$G$6:$Q$29, 10, FALSE)+VLOOKUP(AX$4, Rates_previous!$G$6:$Q$29, 11, FALSE))</f>
        <v>17071.630186843504</v>
      </c>
      <c r="AY11" s="102">
        <f>$F11*(VLOOKUP(AY$4, Rates_previous!$G$6:$Q$29, 10, FALSE)+VLOOKUP(AY$4, Rates_previous!$G$6:$Q$29, 11, FALSE))</f>
        <v>17740.062830334402</v>
      </c>
      <c r="AZ11" s="102">
        <f>$F11*(VLOOKUP(AZ$4, Rates_previous!$G$6:$Q$29, 10, FALSE)+VLOOKUP(AZ$4, Rates_previous!$G$6:$Q$29, 11, FALSE))</f>
        <v>15258.818633503799</v>
      </c>
      <c r="BA11" s="102">
        <f>$F11*(VLOOKUP(BA$4, Rates_previous!$G$6:$Q$29, 10, FALSE)+VLOOKUP(BA$4, Rates_previous!$G$6:$Q$29, 11, FALSE))</f>
        <v>16659.608853629099</v>
      </c>
      <c r="BB11" s="102">
        <f>$F11*(VLOOKUP(BB$4, Rates_previous!$G$6:$Q$29, 10, FALSE)+VLOOKUP(BB$4, Rates_previous!$G$6:$Q$29, 11, FALSE))</f>
        <v>13149.953705518925</v>
      </c>
      <c r="BC11" s="102">
        <f>$F11*(VLOOKUP(BC$4, Rates_previous!$G$6:$Q$29, 10, FALSE)+VLOOKUP(BC$4, Rates_previous!$G$6:$Q$29, 11, FALSE))</f>
        <v>16314.279747710651</v>
      </c>
      <c r="BD11" s="102">
        <f>$F11*(VLOOKUP(BD$4, Rates_previous!$G$6:$Q$29, 10, FALSE)+VLOOKUP(BD$4, Rates_previous!$G$6:$Q$29, 11, FALSE))</f>
        <v>16668.258890968049</v>
      </c>
      <c r="BE11" s="102">
        <f>$F11*(VLOOKUP(BE$4, Rates_previous!$G$6:$Q$29, 10, FALSE)+VLOOKUP(BE$4, Rates_previous!$G$6:$Q$29, 11, FALSE))</f>
        <v>14470.450086449151</v>
      </c>
      <c r="BF11" s="102">
        <f>$F11*(VLOOKUP(BF$4, Rates_previous!$G$6:$Q$29, 10, FALSE)+VLOOKUP(BF$4, Rates_previous!$G$6:$Q$29, 11, FALSE))</f>
        <v>13989.078861794138</v>
      </c>
      <c r="BG11" s="102">
        <f>$F11*(VLOOKUP(BG$4, Rates_previous!$G$6:$Q$29, 10, FALSE)+VLOOKUP(BG$4, Rates_previous!$G$6:$Q$29, 11, FALSE))</f>
        <v>12872.661522057802</v>
      </c>
      <c r="BH11" s="103">
        <f>IF($D11=0,IF(C11=0, MAX(BJ11 - (VLOOKUP($A11,TOCA_previous!$A$2:$AJ$136,MATCH("RHWM "&amp;Init!$D$1-2,TOCA_previous!$A$2:$AJ$2,0),FALSE)*$F$2*TOCA_previous!C8),0),0), 0)</f>
        <v>0</v>
      </c>
      <c r="BI11" s="109">
        <f>MIN(VLOOKUP($A11,TOCA_previous!$A$2:$AJ$136,MATCH("TRL - NLSL - Existing Resource "&amp;$F$1,TOCA_previous!$A$2:$AJ$2,0),FALSE)*$F$2,(VLOOKUP($A11,TOCA_previous!$A$2:$AJ$136,MATCH("RHWM "&amp;Init!$D$1-2,TOCA_previous!$A$2:$AJ$2,0),FALSE)*$F$2))</f>
        <v>178394.25600000002</v>
      </c>
      <c r="BJ11" s="261">
        <f>SUM(L11:AI11)+(F11*RT1SC!$C$3*$F$2)</f>
        <v>164569.12683616445</v>
      </c>
      <c r="BK11" s="260">
        <f>VLOOKUP($A11,TOCA_previous!$A$2:$AJ$136,MATCH("Above RHWM Not Served with LS "&amp;$F$1,TOCA_previous!$A$2:$AJ$2,0),FALSE)*$F$2</f>
        <v>31112.928</v>
      </c>
      <c r="BL11" s="261">
        <f t="shared" si="21"/>
        <v>-13825.129163835576</v>
      </c>
      <c r="BM11" s="260">
        <f>(VLOOKUP($A11,TOCA_previous!$A$2:$AJ$136,MATCH("RHWM "&amp;Init!$D$1-2,TOCA_previous!$A$2:$AJ$2,0),FALSE)*$F$2) - $BI11</f>
        <v>0</v>
      </c>
      <c r="BN11" s="261">
        <f t="shared" si="22"/>
        <v>0</v>
      </c>
      <c r="BO11" s="260">
        <f t="shared" si="23"/>
        <v>0</v>
      </c>
      <c r="BP11" s="261">
        <f t="shared" si="24"/>
        <v>0</v>
      </c>
      <c r="BQ11" s="260">
        <f t="shared" si="9"/>
        <v>0</v>
      </c>
      <c r="BR11" s="85">
        <f>VLOOKUP($A11,TOCA_current!$A$2:$ZZ$136,MATCH(BR$4,TOCA_current!$A$2:$ZZ$2,0),FALSE)</f>
        <v>2.8730000000000001E-3</v>
      </c>
      <c r="BS11" s="85">
        <f>VLOOKUP($A11,TOCA_current!$A$2:$ZZ$136,MATCH(BS$4,TOCA_current!$A$2:$ZZ$2,0),FALSE)</f>
        <v>2.8730000000000001E-3</v>
      </c>
      <c r="BT11" s="108">
        <f t="shared" si="25"/>
        <v>0</v>
      </c>
      <c r="BU11" s="85">
        <f>VLOOKUP($A11,TOCA_current!A8:BG142,MATCH(BU$4,TOCA_current!$A$2:$BG$2,0),FALSE)</f>
        <v>0</v>
      </c>
      <c r="BV11" s="85">
        <f t="shared" si="26"/>
        <v>0</v>
      </c>
      <c r="BW11" s="85">
        <f t="shared" si="27"/>
        <v>0</v>
      </c>
      <c r="BX11" s="101">
        <f>VLOOKUP($A11,IRD!$A$4:$G$138, 7, FALSE)</f>
        <v>0</v>
      </c>
      <c r="BY11" s="102">
        <f t="array" ref="BY11">IF($BT11=0, INDEX(LS_current!$D$4:$BW$137, MATCH('Staging Table'!$A11, LS_current!$B$4:$B$137, 0), MATCH(BY$4&amp;BY$5, LS_current!$D$2:$BW$2&amp;LS_current!$D$3:$BW$3, 0)),SUM(VLOOKUP($A11, LS_current!$B$4:$BW$137, LS_current!D$147, FALSE), VLOOKUP($A11, LS_current!$B$4:$BW$137,LS_current!AZ$147, FALSE))/2)</f>
        <v>1766.2252286729345</v>
      </c>
      <c r="BZ11" s="102">
        <f t="array" ref="BZ11">IF($BT11=0, INDEX(LS_current!$D$4:$BW$137, MATCH('Staging Table'!$A11, LS_current!$B$4:$B$137, 0), MATCH(BZ$4&amp;BZ$5, LS_current!$D$2:$BW$2&amp;LS_current!$D$3:$BW$3, 0)),SUM(VLOOKUP($A11, LS_current!$B$4:$BW$137, LS_current!E$147, FALSE), VLOOKUP($A11, LS_current!$B$4:$BW$137,LS_current!BA$147, FALSE))/2)</f>
        <v>297.48347159687546</v>
      </c>
      <c r="CA11" s="102">
        <f t="array" ref="CA11">IF($BT11=0, INDEX(LS_current!$D$4:$BW$137, MATCH('Staging Table'!$A11, LS_current!$B$4:$B$137, 0), MATCH(CA$4&amp;CA$5, LS_current!$D$2:$BW$2&amp;LS_current!$D$3:$BW$3, 0)),SUM(VLOOKUP($A11, LS_current!$B$4:$BW$137, LS_current!F$147, FALSE), VLOOKUP($A11, LS_current!$B$4:$BW$137,LS_current!BB$147, FALSE))/2)</f>
        <v>-261.94651592698392</v>
      </c>
      <c r="CB11" s="102">
        <f t="array" ref="CB11">IF($BT11=0, INDEX(LS_current!$D$4:$BW$137, MATCH('Staging Table'!$A11, LS_current!$B$4:$B$137, 0), MATCH(CB$4&amp;CB$5, LS_current!$D$2:$BW$2&amp;LS_current!$D$3:$BW$3, 0)),SUM(VLOOKUP($A11, LS_current!$B$4:$BW$137, LS_current!G$147, FALSE), VLOOKUP($A11, LS_current!$B$4:$BW$137,LS_current!BC$147, FALSE))/2)</f>
        <v>-65.479046998661033</v>
      </c>
      <c r="CC11" s="102">
        <f t="array" ref="CC11">IF($BT11=0, INDEX(LS_current!$D$4:$BW$137, MATCH('Staging Table'!$A11, LS_current!$B$4:$B$137, 0), MATCH(CC$4&amp;CC$5, LS_current!$D$2:$BW$2&amp;LS_current!$D$3:$BW$3, 0)),SUM(VLOOKUP($A11, LS_current!$B$4:$BW$137, LS_current!H$147, FALSE), VLOOKUP($A11, LS_current!$B$4:$BW$137,LS_current!BD$147, FALSE))/2)</f>
        <v>194.17153261703606</v>
      </c>
      <c r="CD11" s="102">
        <f t="array" ref="CD11">IF($BT11=0, INDEX(LS_current!$D$4:$BW$137, MATCH('Staging Table'!$A11, LS_current!$B$4:$B$137, 0), MATCH(CD$4&amp;CD$5, LS_current!$D$2:$BW$2&amp;LS_current!$D$3:$BW$3, 0)),SUM(VLOOKUP($A11, LS_current!$B$4:$BW$137, LS_current!I$147, FALSE), VLOOKUP($A11, LS_current!$B$4:$BW$137,LS_current!BE$147, FALSE))/2)</f>
        <v>537.35856706625327</v>
      </c>
      <c r="CE11" s="102">
        <f t="array" ref="CE11">IF($BT11=0, INDEX(LS_current!$D$4:$BW$137, MATCH('Staging Table'!$A11, LS_current!$B$4:$B$137, 0), MATCH(CE$4&amp;CE$5, LS_current!$D$2:$BW$2&amp;LS_current!$D$3:$BW$3, 0)),SUM(VLOOKUP($A11, LS_current!$B$4:$BW$137, LS_current!J$147, FALSE), VLOOKUP($A11, LS_current!$B$4:$BW$137,LS_current!BF$147, FALSE))/2)</f>
        <v>-428.06770698675427</v>
      </c>
      <c r="CF11" s="102">
        <f t="array" ref="CF11">IF($BT11=0, INDEX(LS_current!$D$4:$BW$137, MATCH('Staging Table'!$A11, LS_current!$B$4:$B$137, 0), MATCH(CF$4&amp;CF$5, LS_current!$D$2:$BW$2&amp;LS_current!$D$3:$BW$3, 0)),SUM(VLOOKUP($A11, LS_current!$B$4:$BW$137, LS_current!K$147, FALSE), VLOOKUP($A11, LS_current!$B$4:$BW$137,LS_current!BG$147, FALSE))/2)</f>
        <v>-136.08120214076371</v>
      </c>
      <c r="CG11" s="102">
        <f t="array" ref="CG11">IF($BT11=0, INDEX(LS_current!$D$4:$BW$137, MATCH('Staging Table'!$A11, LS_current!$B$4:$B$137, 0), MATCH(CG$4&amp;CG$5, LS_current!$D$2:$BW$2&amp;LS_current!$D$3:$BW$3, 0)),SUM(VLOOKUP($A11, LS_current!$B$4:$BW$137, LS_current!L$147, FALSE), VLOOKUP($A11, LS_current!$B$4:$BW$137,LS_current!BH$147, FALSE))/2)</f>
        <v>34.458808299728844</v>
      </c>
      <c r="CH11" s="102">
        <f t="array" ref="CH11">IF($BT11=0, INDEX(LS_current!$D$4:$BW$137, MATCH('Staging Table'!$A11, LS_current!$B$4:$B$137, 0), MATCH(CH$4&amp;CH$5, LS_current!$D$2:$BW$2&amp;LS_current!$D$3:$BW$3, 0)),SUM(VLOOKUP($A11, LS_current!$B$4:$BW$137, LS_current!M$147, FALSE), VLOOKUP($A11, LS_current!$B$4:$BW$137,LS_current!BI$147, FALSE))/2)</f>
        <v>-68.139451784281846</v>
      </c>
      <c r="CI11" s="102">
        <f t="array" ref="CI11">IF($BT11=0, INDEX(LS_current!$D$4:$BW$137, MATCH('Staging Table'!$A11, LS_current!$B$4:$B$137, 0), MATCH(CI$4&amp;CI$5, LS_current!$D$2:$BW$2&amp;LS_current!$D$3:$BW$3, 0)),SUM(VLOOKUP($A11, LS_current!$B$4:$BW$137, LS_current!N$147, FALSE), VLOOKUP($A11, LS_current!$B$4:$BW$137,LS_current!BJ$147, FALSE))/2)</f>
        <v>-745.87617331503316</v>
      </c>
      <c r="CJ11" s="102">
        <f t="array" ref="CJ11">IF($BT11=0, INDEX(LS_current!$D$4:$BW$137, MATCH('Staging Table'!$A11, LS_current!$B$4:$B$137, 0), MATCH(CJ$4&amp;CJ$5, LS_current!$D$2:$BW$2&amp;LS_current!$D$3:$BW$3, 0)),SUM(VLOOKUP($A11, LS_current!$B$4:$BW$137, LS_current!O$147, FALSE), VLOOKUP($A11, LS_current!$B$4:$BW$137,LS_current!BK$147, FALSE))/2)</f>
        <v>178.31489355341</v>
      </c>
      <c r="CK11" s="102">
        <f t="array" ref="CK11">IF($BT11=0, INDEX(LS_current!$D$4:$BW$137, MATCH('Staging Table'!$A11, LS_current!$B$4:$B$137, 0), MATCH(CK$4&amp;CK$5, LS_current!$D$2:$BW$2&amp;LS_current!$D$3:$BW$3, 0)),SUM(VLOOKUP($A11, LS_current!$B$4:$BW$137, LS_current!P$147, FALSE), VLOOKUP($A11, LS_current!$B$4:$BW$137,LS_current!BL$147, FALSE))/2)</f>
        <v>1322.742939138504</v>
      </c>
      <c r="CL11" s="102">
        <f t="array" ref="CL11">IF($BT11=0, INDEX(LS_current!$D$4:$BW$137, MATCH('Staging Table'!$A11, LS_current!$B$4:$B$137, 0), MATCH(CL$4&amp;CL$5, LS_current!$D$2:$BW$2&amp;LS_current!$D$3:$BW$3, 0)),SUM(VLOOKUP($A11, LS_current!$B$4:$BW$137, LS_current!Q$147, FALSE), VLOOKUP($A11, LS_current!$B$4:$BW$137,LS_current!BM$147, FALSE))/2)</f>
        <v>35.321223750657737</v>
      </c>
      <c r="CM11" s="102">
        <f t="array" ref="CM11">IF($BT11=0, INDEX(LS_current!$D$4:$BW$137, MATCH('Staging Table'!$A11, LS_current!$B$4:$B$137, 0), MATCH(CM$4&amp;CM$5, LS_current!$D$2:$BW$2&amp;LS_current!$D$3:$BW$3, 0)),SUM(VLOOKUP($A11, LS_current!$B$4:$BW$137, LS_current!R$147, FALSE), VLOOKUP($A11, LS_current!$B$4:$BW$137,LS_current!BN$147, FALSE))/2)</f>
        <v>-1598.7673884618989</v>
      </c>
      <c r="CN11" s="102">
        <f t="array" ref="CN11">IF($BT11=0, INDEX(LS_current!$D$4:$BW$137, MATCH('Staging Table'!$A11, LS_current!$B$4:$B$137, 0), MATCH(CN$4&amp;CN$5, LS_current!$D$2:$BW$2&amp;LS_current!$D$3:$BW$3, 0)),SUM(VLOOKUP($A11, LS_current!$B$4:$BW$137, LS_current!S$147, FALSE), VLOOKUP($A11, LS_current!$B$4:$BW$137,LS_current!BO$147, FALSE))/2)</f>
        <v>-1389.6317981587727</v>
      </c>
      <c r="CO11" s="102">
        <f t="array" ref="CO11">IF($BT11=0, INDEX(LS_current!$D$4:$BW$137, MATCH('Staging Table'!$A11, LS_current!$B$4:$B$137, 0), MATCH(CO$4&amp;CO$5, LS_current!$D$2:$BW$2&amp;LS_current!$D$3:$BW$3, 0)),SUM(VLOOKUP($A11, LS_current!$B$4:$BW$137, LS_current!T$147, FALSE), VLOOKUP($A11, LS_current!$B$4:$BW$137,LS_current!BP$147, FALSE))/2)</f>
        <v>-1749.12366617724</v>
      </c>
      <c r="CP11" s="102">
        <f t="array" ref="CP11">IF($BT11=0, INDEX(LS_current!$D$4:$BW$137, MATCH('Staging Table'!$A11, LS_current!$B$4:$B$137, 0), MATCH(CP$4&amp;CP$5, LS_current!$D$2:$BW$2&amp;LS_current!$D$3:$BW$3, 0)),SUM(VLOOKUP($A11, LS_current!$B$4:$BW$137, LS_current!U$147, FALSE), VLOOKUP($A11, LS_current!$B$4:$BW$137,LS_current!BQ$147, FALSE))/2)</f>
        <v>-968.09476701885615</v>
      </c>
      <c r="CQ11" s="102">
        <f t="array" ref="CQ11">IF($BT11=0, INDEX(LS_current!$D$4:$BW$137, MATCH('Staging Table'!$A11, LS_current!$B$4:$B$137, 0), MATCH(CQ$4&amp;CQ$5, LS_current!$D$2:$BW$2&amp;LS_current!$D$3:$BW$3, 0)),SUM(VLOOKUP($A11, LS_current!$B$4:$BW$137, LS_current!V$147, FALSE), VLOOKUP($A11, LS_current!$B$4:$BW$137,LS_current!BR$147, FALSE))/2)</f>
        <v>629.81489560379123</v>
      </c>
      <c r="CR11" s="102">
        <f t="array" ref="CR11">IF($BT11=0, INDEX(LS_current!$D$4:$BW$137, MATCH('Staging Table'!$A11, LS_current!$B$4:$B$137, 0), MATCH(CR$4&amp;CR$5, LS_current!$D$2:$BW$2&amp;LS_current!$D$3:$BW$3, 0)),SUM(VLOOKUP($A11, LS_current!$B$4:$BW$137, LS_current!W$147, FALSE), VLOOKUP($A11, LS_current!$B$4:$BW$137,LS_current!BS$147, FALSE))/2)</f>
        <v>188.97630327610568</v>
      </c>
      <c r="CS11" s="102">
        <f t="array" ref="CS11">IF($BT11=0, INDEX(LS_current!$D$4:$BW$137, MATCH('Staging Table'!$A11, LS_current!$B$4:$B$137, 0), MATCH(CS$4&amp;CS$5, LS_current!$D$2:$BW$2&amp;LS_current!$D$3:$BW$3, 0)),SUM(VLOOKUP($A11, LS_current!$B$4:$BW$137, LS_current!X$147, FALSE), VLOOKUP($A11, LS_current!$B$4:$BW$137,LS_current!BT$147, FALSE))/2)</f>
        <v>75.387198511712995</v>
      </c>
      <c r="CT11" s="102">
        <f t="array" ref="CT11">IF($BT11=0, INDEX(LS_current!$D$4:$BW$137, MATCH('Staging Table'!$A11, LS_current!$B$4:$B$137, 0), MATCH(CT$4&amp;CT$5, LS_current!$D$2:$BW$2&amp;LS_current!$D$3:$BW$3, 0)),SUM(VLOOKUP($A11, LS_current!$B$4:$BW$137, LS_current!Y$147, FALSE), VLOOKUP($A11, LS_current!$B$4:$BW$137,LS_current!BU$147, FALSE))/2)</f>
        <v>716.56986233793396</v>
      </c>
      <c r="CU11" s="102">
        <f t="array" ref="CU11">IF($BT11=0, INDEX(LS_current!$D$4:$BW$137, MATCH('Staging Table'!$A11, LS_current!$B$4:$B$137, 0), MATCH(CU$4&amp;CU$5, LS_current!$D$2:$BW$2&amp;LS_current!$D$3:$BW$3, 0)),SUM(VLOOKUP($A11, LS_current!$B$4:$BW$137, LS_current!Z$147, FALSE), VLOOKUP($A11, LS_current!$B$4:$BW$137,LS_current!BV$147, FALSE))/2)</f>
        <v>1074.470175401033</v>
      </c>
      <c r="CV11" s="102">
        <f t="array" ref="CV11">IF($BT11=0, INDEX(LS_current!$D$4:$BW$137, MATCH('Staging Table'!$A11, LS_current!$B$4:$B$137, 0), MATCH(CV$4&amp;CV$5, LS_current!$D$2:$BW$2&amp;LS_current!$D$3:$BW$3, 0)),SUM(VLOOKUP($A11, LS_current!$B$4:$BW$137, LS_current!AA$147, FALSE), VLOOKUP($A11, LS_current!$B$4:$BW$137,LS_current!BW$147, FALSE))/2)</f>
        <v>363.34941035119027</v>
      </c>
      <c r="CW11" s="103">
        <f t="array" ref="CW11">INDEX(Demand_current!$D$4:$BW$137, MATCH($A11, Demand_current!$B$4:$B$137, 0), MATCH(CW$4&amp;CW$5,Demand_current!$D$2:$BW$2&amp;Demand_current!$D$3:$BW$3, 0))/1000</f>
        <v>1.2521342592592624</v>
      </c>
      <c r="CX11" s="103">
        <f t="array" ref="CX11">INDEX(Demand_current!$D$4:$BW$137, MATCH($A11, Demand_current!$B$4:$B$137, 0), MATCH(CX$4&amp;CX$5,Demand_current!$D$2:$BW$2&amp;Demand_current!$D$3:$BW$3, 0))/1000</f>
        <v>1.3055937500000008</v>
      </c>
      <c r="CY11" s="103">
        <f t="array" ref="CY11">INDEX(Demand_current!$D$4:$BW$137, MATCH($A11, Demand_current!$B$4:$B$137, 0), MATCH(CY$4&amp;CY$5,Demand_current!$D$2:$BW$2&amp;Demand_current!$D$3:$BW$3, 0))/1000</f>
        <v>2.2114735576923072</v>
      </c>
      <c r="CZ11" s="103">
        <f t="array" ref="CZ11">INDEX(Demand_current!$D$4:$BW$137, MATCH($A11, Demand_current!$B$4:$B$137, 0), MATCH(CZ$4&amp;CZ$5,Demand_current!$D$2:$BW$2&amp;Demand_current!$D$3:$BW$3, 0))/1000</f>
        <v>2.313865384615382</v>
      </c>
      <c r="DA11" s="103">
        <f t="array" ref="DA11">INDEX(Demand_current!$D$4:$BW$137, MATCH($A11, Demand_current!$B$4:$B$137, 0), MATCH(DA$4&amp;DA$5,Demand_current!$D$2:$BW$2&amp;Demand_current!$D$3:$BW$3, 0))/1000</f>
        <v>5.7327942708333337</v>
      </c>
      <c r="DB11" s="103">
        <f t="array" ref="DB11">INDEX(Demand_current!$D$4:$BW$137, MATCH($A11, Demand_current!$B$4:$B$137, 0), MATCH(DB$4&amp;DB$5,Demand_current!$D$2:$BW$2&amp;Demand_current!$D$3:$BW$3, 0))/1000</f>
        <v>3.340581730769232</v>
      </c>
      <c r="DC11" s="103">
        <f t="array" ref="DC11">INDEX(Demand_current!$D$4:$BW$137, MATCH($A11, Demand_current!$B$4:$B$137, 0), MATCH(DC$4&amp;DC$5,Demand_current!$D$2:$BW$2&amp;Demand_current!$D$3:$BW$3, 0))/1000</f>
        <v>1.4529855769230773</v>
      </c>
      <c r="DD11" s="103">
        <f t="array" ref="DD11">INDEX(Demand_current!$D$4:$BW$137, MATCH($A11, Demand_current!$B$4:$B$137, 0), MATCH(DD$4&amp;DD$5,Demand_current!$D$2:$BW$2&amp;Demand_current!$D$3:$BW$3, 0))/1000</f>
        <v>3.8459774999999969</v>
      </c>
      <c r="DE11" s="103">
        <f t="array" ref="DE11">INDEX(Demand_current!$D$4:$BW$137, MATCH($A11, Demand_current!$B$4:$B$137, 0), MATCH(DE$4&amp;DE$5,Demand_current!$D$2:$BW$2&amp;Demand_current!$D$3:$BW$3, 0))/1000</f>
        <v>7.5514038461538489</v>
      </c>
      <c r="DF11" s="103">
        <f t="array" ref="DF11">INDEX(Demand_current!$D$4:$BW$137, MATCH($A11, Demand_current!$B$4:$B$137, 0), MATCH(DF$4&amp;DF$5,Demand_current!$D$2:$BW$2&amp;Demand_current!$D$3:$BW$3, 0))/1000</f>
        <v>4.7856490384615391</v>
      </c>
      <c r="DG11" s="103">
        <f t="array" ref="DG11">INDEX(Demand_current!$D$4:$BW$137, MATCH($A11, Demand_current!$B$4:$B$137, 0), MATCH(DG$4&amp;DG$5,Demand_current!$D$2:$BW$2&amp;Demand_current!$D$3:$BW$3, 0))/1000</f>
        <v>7.4987139423076909</v>
      </c>
      <c r="DH11" s="103">
        <f t="array" ref="DH11">INDEX(Demand_current!$D$4:$BW$137, MATCH($A11, Demand_current!$B$4:$B$137, 0), MATCH(DH$4&amp;DH$5,Demand_current!$D$2:$BW$2&amp;Demand_current!$D$3:$BW$3, 0))/1000</f>
        <v>4.2309774999999989</v>
      </c>
      <c r="DI11" s="102">
        <f>$BS11*(VLOOKUP(DI$4, Rates_current!$H$6:$R$41, 10, FALSE)+VLOOKUP(DI$4, Rates_current!$H$6:$R$41, 11, FALSE))</f>
        <v>11923.776299730191</v>
      </c>
      <c r="DJ11" s="102">
        <f>$BS11*(VLOOKUP(DJ$4, Rates_current!$H$6:$R$41, 10, FALSE)+VLOOKUP(DJ$4, Rates_current!$H$6:$R$41, 11, FALSE))</f>
        <v>15244.155562925645</v>
      </c>
      <c r="DK11" s="102">
        <f>$BS11*(VLOOKUP(DK$4, Rates_current!$H$6:$R$41, 10, FALSE)+VLOOKUP(DK$4, Rates_current!$H$6:$R$41, 11, FALSE))</f>
        <v>17331.329900316709</v>
      </c>
      <c r="DL11" s="102">
        <f>$BS11*(VLOOKUP(DL$4, Rates_current!$H$6:$R$41, 10, FALSE)+VLOOKUP(DL$4, Rates_current!$H$6:$R$41, 11, FALSE))</f>
        <v>18285.905909127519</v>
      </c>
      <c r="DM11" s="102">
        <f>$BS11*(VLOOKUP(DM$4, Rates_current!$H$6:$R$41, 10, FALSE)+VLOOKUP(DM$4, Rates_current!$H$6:$R$41, 11, FALSE))</f>
        <v>14572.216643484553</v>
      </c>
      <c r="DN11" s="102">
        <f>$BS11*(VLOOKUP(DN$4, Rates_current!$H$6:$R$41, 10, FALSE)+VLOOKUP(DN$4, Rates_current!$H$6:$R$41, 11, FALSE))</f>
        <v>15930.425279761621</v>
      </c>
      <c r="DO11" s="102">
        <f>$BS11*(VLOOKUP(DO$4, Rates_current!$H$6:$R$41, 10, FALSE)+VLOOKUP(DO$4, Rates_current!$H$6:$R$41, 11, FALSE))</f>
        <v>12346.239837110839</v>
      </c>
      <c r="DP11" s="102">
        <f>$BS11*(VLOOKUP(DP$4, Rates_current!$H$6:$R$41, 10, FALSE)+VLOOKUP(DP$4, Rates_current!$H$6:$R$41, 11, FALSE))</f>
        <v>15978.06718662067</v>
      </c>
      <c r="DQ11" s="102">
        <f>$BS11*(VLOOKUP(DQ$4, Rates_current!$H$6:$R$41, 10, FALSE)+VLOOKUP(DQ$4, Rates_current!$H$6:$R$41, 11, FALSE))</f>
        <v>16319.245433196098</v>
      </c>
      <c r="DR11" s="102">
        <f>$BS11*(VLOOKUP(DR$4, Rates_current!$H$6:$R$41, 10, FALSE)+VLOOKUP(DR$4, Rates_current!$H$6:$R$41, 11, FALSE))</f>
        <v>14525.539801120103</v>
      </c>
      <c r="DS11" s="102">
        <f>$BS11*(VLOOKUP(DS$4, Rates_current!$H$6:$R$41, 10, FALSE)+VLOOKUP(DS$4, Rates_current!$H$6:$R$41, 11, FALSE))</f>
        <v>14900.539939150354</v>
      </c>
      <c r="DT11" s="102">
        <f>$BS11*(VLOOKUP(DT$4, Rates_current!$H$6:$R$41, 10, FALSE)+VLOOKUP(DT$4, Rates_current!$H$6:$R$41, 11, FALSE))</f>
        <v>11572.055414247778</v>
      </c>
      <c r="DU11" s="261">
        <f>IF(D11=0,IF(C11=0,MAX(0,DW11 - (VLOOKUP($A11,TOCA_current!$A$2:$AV$136,MATCH("RHWM "&amp;Init!$D$1,TOCA_current!$A$2:$AV$2,0),FALSE)*$BS$2)), 0),0)</f>
        <v>1.1845621679676697</v>
      </c>
      <c r="DV11" s="262">
        <f>MIN(VLOOKUP($A11,TOCA_current!$A$2:$AV$136,MATCH("TRL - NLSL - Existing Resource "&amp;$BS$1,TOCA_current!$A$2:$AV$2,0),FALSE)*$BS$2, VLOOKUP($A11,TOCA_current!$A$2:$AV$136,MATCH("RHWM "&amp;Init!$D$1,TOCA_current!$A$2:$AV$2,0),FALSE)*$BS$2)</f>
        <v>178931.75999999998</v>
      </c>
      <c r="DW11" s="262">
        <f>SUM(BY11:CV11)+(BS11*RT1SC!$C$4*$BS$2)</f>
        <v>178932.94456216795</v>
      </c>
      <c r="DX11" s="262">
        <f>VLOOKUP($A11,TOCA_current!$A$2:$AV$136,MATCH("Above RHWM Not Served with LS "&amp;$BS$1,TOCA_current!$A$2:$AV$2,0),FALSE)*$BS$2</f>
        <v>16749.12</v>
      </c>
      <c r="DY11" s="262">
        <f t="shared" si="28"/>
        <v>1.1845621679676697</v>
      </c>
      <c r="DZ11" s="262">
        <f>(VLOOKUP($A11,TOCA_current!$A$2:$AV$136,MATCH("RHWM "&amp;Init!$D$1,TOCA_current!$A$2:$AV$2,0),FALSE)*$BS$2) - $DV11</f>
        <v>0</v>
      </c>
      <c r="EA11" s="262">
        <f t="shared" si="29"/>
        <v>0</v>
      </c>
      <c r="EB11" s="262">
        <f t="shared" si="30"/>
        <v>0</v>
      </c>
      <c r="EC11" s="262">
        <f t="shared" si="31"/>
        <v>0</v>
      </c>
      <c r="ED11" s="262">
        <f t="shared" si="32"/>
        <v>0</v>
      </c>
    </row>
    <row r="12" spans="1:134">
      <c r="A12" s="2">
        <v>10046</v>
      </c>
      <c r="B12" s="3" t="s">
        <v>14</v>
      </c>
      <c r="C12">
        <f>VLOOKUP(A12, TOCA_current!$A$3:$D$136, 4, FALSE)</f>
        <v>1</v>
      </c>
      <c r="D12">
        <v>0</v>
      </c>
      <c r="E12" s="84">
        <f>VLOOKUP($A12,TOCA_previous!$A$2:$AJ$136,MATCH(E$4,TOCA_previous!$A$2:$AJ$2,0),FALSE)</f>
        <v>1.18496E-2</v>
      </c>
      <c r="F12" s="85">
        <f>VLOOKUP($A12,TOCA_previous!$A$2:$AJ$136,MATCH(F$4,TOCA_previous!$A$2:$AJ$2,0),FALSE)</f>
        <v>1.18496E-2</v>
      </c>
      <c r="G12" s="85">
        <f t="shared" si="18"/>
        <v>0</v>
      </c>
      <c r="H12" s="85">
        <f>VLOOKUP($A12,TOCA_previous!$A$2:$AJ$136,MATCH(H$4,TOCA_previous!$A$2:$AJ$2,0),FALSE)</f>
        <v>7.8522376024727863E-2</v>
      </c>
      <c r="I12" s="85">
        <f t="shared" si="19"/>
        <v>7.8522376024727863E-2</v>
      </c>
      <c r="J12" s="85">
        <f t="shared" si="20"/>
        <v>1.18496E-2</v>
      </c>
      <c r="K12" s="101">
        <f>VLOOKUP(A12, IRD!$A$5:$C$138, 3, FALSE)</f>
        <v>41085.457000000002</v>
      </c>
      <c r="L12" s="102">
        <f t="array" ref="L12">IF($G12=0, INDEX(LS_previous!$D$4:$AY$137, MATCH('Staging Table'!$A12, LS_previous!$B$4:$B$137, 0), MATCH(L$4&amp;L$5, LS_previous!$D$2:$AY$2&amp;LS_previous!$D$3:$AY$3, 0)),SUM(VLOOKUP($A12, LS_previous!$B$4:$AY$137, LS_previous!D$148, FALSE), VLOOKUP('Staging Table'!$A12, LS_previous!$B$4:$AY$137,LS_previous!AB$148, FALSE))/2)</f>
        <v>0</v>
      </c>
      <c r="M12" s="102">
        <f t="array" ref="M12">IF($G12=0, INDEX(LS_previous!$D$4:$AY$137, MATCH('Staging Table'!$A12, LS_previous!$B$4:$B$137, 0), MATCH(M$4&amp;M$5, LS_previous!$D$2:$AY$2&amp;LS_previous!$D$3:$AY$3, 0)),SUM(VLOOKUP($A12, LS_previous!$B$4:$AY$137, LS_previous!E$148, FALSE), VLOOKUP('Staging Table'!$A12, LS_previous!$B$4:$AY$137,LS_previous!AC$148, FALSE))/2)</f>
        <v>0</v>
      </c>
      <c r="N12" s="102">
        <f t="array" ref="N12">IF($G12=0, INDEX(LS_previous!$D$4:$AY$137, MATCH('Staging Table'!$A12, LS_previous!$B$4:$B$137, 0), MATCH(N$4&amp;N$5, LS_previous!$D$2:$AY$2&amp;LS_previous!$D$3:$AY$3, 0)),SUM(VLOOKUP($A12, LS_previous!$B$4:$AY$137, LS_previous!F$148, FALSE), VLOOKUP('Staging Table'!$A12, LS_previous!$B$4:$AY$137,LS_previous!AD$148, FALSE))/2)</f>
        <v>0</v>
      </c>
      <c r="O12" s="102">
        <f t="array" ref="O12">IF($G12=0, INDEX(LS_previous!$D$4:$AY$137, MATCH('Staging Table'!$A12, LS_previous!$B$4:$B$137, 0), MATCH(O$4&amp;O$5, LS_previous!$D$2:$AY$2&amp;LS_previous!$D$3:$AY$3, 0)),SUM(VLOOKUP($A12, LS_previous!$B$4:$AY$137, LS_previous!G$148, FALSE), VLOOKUP('Staging Table'!$A12, LS_previous!$B$4:$AY$137,LS_previous!AE$148, FALSE))/2)</f>
        <v>0</v>
      </c>
      <c r="P12" s="102">
        <f t="array" ref="P12">IF($G12=0, INDEX(LS_previous!$D$4:$AY$137, MATCH('Staging Table'!$A12, LS_previous!$B$4:$B$137, 0), MATCH(P$4&amp;P$5, LS_previous!$D$2:$AY$2&amp;LS_previous!$D$3:$AY$3, 0)),SUM(VLOOKUP($A12, LS_previous!$B$4:$AY$137, LS_previous!H$148, FALSE), VLOOKUP('Staging Table'!$A12, LS_previous!$B$4:$AY$137,LS_previous!AF$148, FALSE))/2)</f>
        <v>0</v>
      </c>
      <c r="Q12" s="102">
        <f t="array" ref="Q12">IF($G12=0, INDEX(LS_previous!$D$4:$AY$137, MATCH('Staging Table'!$A12, LS_previous!$B$4:$B$137, 0), MATCH(Q$4&amp;Q$5, LS_previous!$D$2:$AY$2&amp;LS_previous!$D$3:$AY$3, 0)),SUM(VLOOKUP($A12, LS_previous!$B$4:$AY$137, LS_previous!I$148, FALSE), VLOOKUP('Staging Table'!$A12, LS_previous!$B$4:$AY$137,LS_previous!AG$148, FALSE))/2)</f>
        <v>0</v>
      </c>
      <c r="R12" s="102">
        <f t="array" ref="R12">IF($G12=0, INDEX(LS_previous!$D$4:$AY$137, MATCH('Staging Table'!$A12, LS_previous!$B$4:$B$137, 0), MATCH(R$4&amp;R$5, LS_previous!$D$2:$AY$2&amp;LS_previous!$D$3:$AY$3, 0)),SUM(VLOOKUP($A12, LS_previous!$B$4:$AY$137, LS_previous!J$148, FALSE), VLOOKUP('Staging Table'!$A12, LS_previous!$B$4:$AY$137,LS_previous!AH$148, FALSE))/2)</f>
        <v>0</v>
      </c>
      <c r="S12" s="102">
        <f t="array" ref="S12">IF($G12=0, INDEX(LS_previous!$D$4:$AY$137, MATCH('Staging Table'!$A12, LS_previous!$B$4:$B$137, 0), MATCH(S$4&amp;S$5, LS_previous!$D$2:$AY$2&amp;LS_previous!$D$3:$AY$3, 0)),SUM(VLOOKUP($A12, LS_previous!$B$4:$AY$137, LS_previous!K$148, FALSE), VLOOKUP('Staging Table'!$A12, LS_previous!$B$4:$AY$137,LS_previous!AI$148, FALSE))/2)</f>
        <v>0</v>
      </c>
      <c r="T12" s="102">
        <f t="array" ref="T12">IF($G12=0, INDEX(LS_previous!$D$4:$AY$137, MATCH('Staging Table'!$A12, LS_previous!$B$4:$B$137, 0), MATCH(T$4&amp;T$5, LS_previous!$D$2:$AY$2&amp;LS_previous!$D$3:$AY$3, 0)),SUM(VLOOKUP($A12, LS_previous!$B$4:$AY$137, LS_previous!L$148, FALSE), VLOOKUP('Staging Table'!$A12, LS_previous!$B$4:$AY$137,LS_previous!AJ$148, FALSE))/2)</f>
        <v>0</v>
      </c>
      <c r="U12" s="102">
        <f t="array" ref="U12">IF($G12=0, INDEX(LS_previous!$D$4:$AY$137, MATCH('Staging Table'!$A12, LS_previous!$B$4:$B$137, 0), MATCH(U$4&amp;U$5, LS_previous!$D$2:$AY$2&amp;LS_previous!$D$3:$AY$3, 0)),SUM(VLOOKUP($A12, LS_previous!$B$4:$AY$137, LS_previous!M$148, FALSE), VLOOKUP('Staging Table'!$A12, LS_previous!$B$4:$AY$137,LS_previous!AK$148, FALSE))/2)</f>
        <v>0</v>
      </c>
      <c r="V12" s="102">
        <f t="array" ref="V12">IF($G12=0, INDEX(LS_previous!$D$4:$AY$137, MATCH('Staging Table'!$A12, LS_previous!$B$4:$B$137, 0), MATCH(V$4&amp;V$5, LS_previous!$D$2:$AY$2&amp;LS_previous!$D$3:$AY$3, 0)),SUM(VLOOKUP($A12, LS_previous!$B$4:$AY$137, LS_previous!N$148, FALSE), VLOOKUP('Staging Table'!$A12, LS_previous!$B$4:$AY$137,LS_previous!AL$148, FALSE))/2)</f>
        <v>0</v>
      </c>
      <c r="W12" s="102">
        <f t="array" ref="W12">IF($G12=0, INDEX(LS_previous!$D$4:$AY$137, MATCH('Staging Table'!$A12, LS_previous!$B$4:$B$137, 0), MATCH(W$4&amp;W$5, LS_previous!$D$2:$AY$2&amp;LS_previous!$D$3:$AY$3, 0)),SUM(VLOOKUP($A12, LS_previous!$B$4:$AY$137, LS_previous!O$148, FALSE), VLOOKUP('Staging Table'!$A12, LS_previous!$B$4:$AY$137,LS_previous!AM$148, FALSE))/2)</f>
        <v>0</v>
      </c>
      <c r="X12" s="102">
        <f t="array" ref="X12">IF($G12=0, INDEX(LS_previous!$D$4:$AY$137, MATCH('Staging Table'!$A12, LS_previous!$B$4:$B$137, 0), MATCH(X$4&amp;X$5, LS_previous!$D$2:$AY$2&amp;LS_previous!$D$3:$AY$3, 0)),SUM(VLOOKUP($A12, LS_previous!$B$4:$AY$137, LS_previous!P$148, FALSE), VLOOKUP('Staging Table'!$A12, LS_previous!$B$4:$AY$137,LS_previous!AN$148, FALSE))/2)</f>
        <v>0</v>
      </c>
      <c r="Y12" s="102">
        <f t="array" ref="Y12">IF($G12=0, INDEX(LS_previous!$D$4:$AY$137, MATCH('Staging Table'!$A12, LS_previous!$B$4:$B$137, 0), MATCH(Y$4&amp;Y$5, LS_previous!$D$2:$AY$2&amp;LS_previous!$D$3:$AY$3, 0)),SUM(VLOOKUP($A12, LS_previous!$B$4:$AY$137, LS_previous!Q$148, FALSE), VLOOKUP('Staging Table'!$A12, LS_previous!$B$4:$AY$137,LS_previous!AO$148, FALSE))/2)</f>
        <v>0</v>
      </c>
      <c r="Z12" s="102">
        <f t="array" ref="Z12">IF($G12=0, INDEX(LS_previous!$D$4:$AY$137, MATCH('Staging Table'!$A12, LS_previous!$B$4:$B$137, 0), MATCH(Z$4&amp;Z$5, LS_previous!$D$2:$AY$2&amp;LS_previous!$D$3:$AY$3, 0)),SUM(VLOOKUP($A12, LS_previous!$B$4:$AY$137, LS_previous!R$148, FALSE), VLOOKUP('Staging Table'!$A12, LS_previous!$B$4:$AY$137,LS_previous!AP$148, FALSE))/2)</f>
        <v>0</v>
      </c>
      <c r="AA12" s="102">
        <f t="array" ref="AA12">IF($G12=0, INDEX(LS_previous!$D$4:$AY$137, MATCH('Staging Table'!$A12, LS_previous!$B$4:$B$137, 0), MATCH(AA$4&amp;AA$5, LS_previous!$D$2:$AY$2&amp;LS_previous!$D$3:$AY$3, 0)),SUM(VLOOKUP($A12, LS_previous!$B$4:$AY$137, LS_previous!S$148, FALSE), VLOOKUP('Staging Table'!$A12, LS_previous!$B$4:$AY$137,LS_previous!AQ$148, FALSE))/2)</f>
        <v>0</v>
      </c>
      <c r="AB12" s="102">
        <f t="array" ref="AB12">IF($G12=0, INDEX(LS_previous!$D$4:$AY$137, MATCH('Staging Table'!$A12, LS_previous!$B$4:$B$137, 0), MATCH(AB$4&amp;AB$5, LS_previous!$D$2:$AY$2&amp;LS_previous!$D$3:$AY$3, 0)),SUM(VLOOKUP($A12, LS_previous!$B$4:$AY$137, LS_previous!T$148, FALSE), VLOOKUP('Staging Table'!$A12, LS_previous!$B$4:$AY$137,LS_previous!AR$148, FALSE))/2)</f>
        <v>0</v>
      </c>
      <c r="AC12" s="102">
        <f t="array" ref="AC12">IF($G12=0, INDEX(LS_previous!$D$4:$AY$137, MATCH('Staging Table'!$A12, LS_previous!$B$4:$B$137, 0), MATCH(AC$4&amp;AC$5, LS_previous!$D$2:$AY$2&amp;LS_previous!$D$3:$AY$3, 0)),SUM(VLOOKUP($A12, LS_previous!$B$4:$AY$137, LS_previous!U$148, FALSE), VLOOKUP('Staging Table'!$A12, LS_previous!$B$4:$AY$137,LS_previous!AS$148, FALSE))/2)</f>
        <v>0</v>
      </c>
      <c r="AD12" s="102">
        <f t="array" ref="AD12">IF($G12=0, INDEX(LS_previous!$D$4:$AY$137, MATCH('Staging Table'!$A12, LS_previous!$B$4:$B$137, 0), MATCH(AD$4&amp;AD$5, LS_previous!$D$2:$AY$2&amp;LS_previous!$D$3:$AY$3, 0)),SUM(VLOOKUP($A12, LS_previous!$B$4:$AY$137, LS_previous!V$148, FALSE), VLOOKUP('Staging Table'!$A12, LS_previous!$B$4:$AY$137,LS_previous!AT$148, FALSE))/2)</f>
        <v>0</v>
      </c>
      <c r="AE12" s="102">
        <f t="array" ref="AE12">IF($G12=0, INDEX(LS_previous!$D$4:$AY$137, MATCH('Staging Table'!$A12, LS_previous!$B$4:$B$137, 0), MATCH(AE$4&amp;AE$5, LS_previous!$D$2:$AY$2&amp;LS_previous!$D$3:$AY$3, 0)),SUM(VLOOKUP($A12, LS_previous!$B$4:$AY$137, LS_previous!W$148, FALSE), VLOOKUP('Staging Table'!$A12, LS_previous!$B$4:$AY$137,LS_previous!AU$148, FALSE))/2)</f>
        <v>0</v>
      </c>
      <c r="AF12" s="102">
        <f t="array" ref="AF12">IF($G12=0, INDEX(LS_previous!$D$4:$AY$137, MATCH('Staging Table'!$A12, LS_previous!$B$4:$B$137, 0), MATCH(AF$4&amp;AF$5, LS_previous!$D$2:$AY$2&amp;LS_previous!$D$3:$AY$3, 0)),SUM(VLOOKUP($A12, LS_previous!$B$4:$AY$137, LS_previous!X$148, FALSE), VLOOKUP('Staging Table'!$A12, LS_previous!$B$4:$AY$137,LS_previous!AV$148, FALSE))/2)</f>
        <v>0</v>
      </c>
      <c r="AG12" s="102">
        <f t="array" ref="AG12">IF($G12=0, INDEX(LS_previous!$D$4:$AY$137, MATCH('Staging Table'!$A12, LS_previous!$B$4:$B$137, 0), MATCH(AG$4&amp;AG$5, LS_previous!$D$2:$AY$2&amp;LS_previous!$D$3:$AY$3, 0)),SUM(VLOOKUP($A12, LS_previous!$B$4:$AY$137, LS_previous!Y$148, FALSE), VLOOKUP('Staging Table'!$A12, LS_previous!$B$4:$AY$137,LS_previous!AW$148, FALSE))/2)</f>
        <v>0</v>
      </c>
      <c r="AH12" s="102">
        <f t="array" ref="AH12">IF($G12=0, INDEX(LS_previous!$D$4:$AY$137, MATCH('Staging Table'!$A12, LS_previous!$B$4:$B$137, 0), MATCH(AH$4&amp;AH$5, LS_previous!$D$2:$AY$2&amp;LS_previous!$D$3:$AY$3, 0)),SUM(VLOOKUP($A12, LS_previous!$B$4:$AY$137, LS_previous!Z$148, FALSE), VLOOKUP('Staging Table'!$A12, LS_previous!$B$4:$AY$137,LS_previous!AX$148, FALSE))/2)</f>
        <v>0</v>
      </c>
      <c r="AI12" s="102">
        <f t="array" ref="AI12">IF($G12=0, INDEX(LS_previous!$D$4:$AY$137, MATCH('Staging Table'!$A12, LS_previous!$B$4:$B$137, 0), MATCH(AI$4&amp;AI$5, LS_previous!$D$2:$AY$2&amp;LS_previous!$D$3:$AY$3, 0)),SUM(VLOOKUP($A12, LS_previous!$B$4:$AY$137, LS_previous!AA$148, FALSE), VLOOKUP('Staging Table'!$A12, LS_previous!$B$4:$AY$137,LS_previous!AY$148, FALSE))/2)</f>
        <v>0</v>
      </c>
      <c r="AJ12" s="103">
        <f t="array" ref="AJ12">INDEX(Demand_previous!$D$4:$AY$137, MATCH('Staging Table'!$A12, Demand_previous!$B$4:$B$137, 0), MATCH(AJ$4&amp;AJ$5,Demand_previous!$D$2:$AY$2&amp;Demand_previous!$D$3:$AY$3, 0))/1000</f>
        <v>0</v>
      </c>
      <c r="AK12" s="103">
        <f t="array" ref="AK12">INDEX(Demand_previous!$D$4:$AY$137, MATCH('Staging Table'!$A12, Demand_previous!$B$4:$B$137, 0), MATCH(AK$4&amp;AK$5,Demand_previous!$D$2:$AY$2&amp;Demand_previous!$D$3:$AY$3, 0))/1000</f>
        <v>0</v>
      </c>
      <c r="AL12" s="103">
        <f t="array" ref="AL12">INDEX(Demand_previous!$D$4:$AY$137, MATCH('Staging Table'!$A12, Demand_previous!$B$4:$B$137, 0), MATCH(AL$4&amp;AL$5,Demand_previous!$D$2:$AY$2&amp;Demand_previous!$D$3:$AY$3, 0))/1000</f>
        <v>0</v>
      </c>
      <c r="AM12" s="103">
        <f t="array" ref="AM12">INDEX(Demand_previous!$D$4:$AY$137, MATCH('Staging Table'!$A12, Demand_previous!$B$4:$B$137, 0), MATCH(AM$4&amp;AM$5,Demand_previous!$D$2:$AY$2&amp;Demand_previous!$D$3:$AY$3, 0))/1000</f>
        <v>0</v>
      </c>
      <c r="AN12" s="103">
        <f t="array" ref="AN12">INDEX(Demand_previous!$D$4:$AY$137, MATCH('Staging Table'!$A12, Demand_previous!$B$4:$B$137, 0), MATCH(AN$4&amp;AN$5,Demand_previous!$D$2:$AY$2&amp;Demand_previous!$D$3:$AY$3, 0))/1000</f>
        <v>0</v>
      </c>
      <c r="AO12" s="103">
        <f t="array" ref="AO12">INDEX(Demand_previous!$D$4:$AY$137, MATCH('Staging Table'!$A12, Demand_previous!$B$4:$B$137, 0), MATCH(AO$4&amp;AO$5,Demand_previous!$D$2:$AY$2&amp;Demand_previous!$D$3:$AY$3, 0))/1000</f>
        <v>0</v>
      </c>
      <c r="AP12" s="103">
        <f t="array" ref="AP12">INDEX(Demand_previous!$D$4:$AY$137, MATCH('Staging Table'!$A12, Demand_previous!$B$4:$B$137, 0), MATCH(AP$4&amp;AP$5,Demand_previous!$D$2:$AY$2&amp;Demand_previous!$D$3:$AY$3, 0))/1000</f>
        <v>0</v>
      </c>
      <c r="AQ12" s="103">
        <f t="array" ref="AQ12">INDEX(Demand_previous!$D$4:$AY$137, MATCH('Staging Table'!$A12, Demand_previous!$B$4:$B$137, 0), MATCH(AQ$4&amp;AQ$5,Demand_previous!$D$2:$AY$2&amp;Demand_previous!$D$3:$AY$3, 0))/1000</f>
        <v>0</v>
      </c>
      <c r="AR12" s="103">
        <f t="array" ref="AR12">INDEX(Demand_previous!$D$4:$AY$137, MATCH('Staging Table'!$A12, Demand_previous!$B$4:$B$137, 0), MATCH(AR$4&amp;AR$5,Demand_previous!$D$2:$AY$2&amp;Demand_previous!$D$3:$AY$3, 0))/1000</f>
        <v>0</v>
      </c>
      <c r="AS12" s="103">
        <f t="array" ref="AS12">INDEX(Demand_previous!$D$4:$AY$137, MATCH('Staging Table'!$A12, Demand_previous!$B$4:$B$137, 0), MATCH(AS$4&amp;AS$5,Demand_previous!$D$2:$AY$2&amp;Demand_previous!$D$3:$AY$3, 0))/1000</f>
        <v>0</v>
      </c>
      <c r="AT12" s="103">
        <f t="array" ref="AT12">INDEX(Demand_previous!$D$4:$AY$137, MATCH('Staging Table'!$A12, Demand_previous!$B$4:$B$137, 0), MATCH(AT$4&amp;AT$5,Demand_previous!$D$2:$AY$2&amp;Demand_previous!$D$3:$AY$3, 0))/1000</f>
        <v>0</v>
      </c>
      <c r="AU12" s="103">
        <f t="array" ref="AU12">INDEX(Demand_previous!$D$4:$AY$137, MATCH('Staging Table'!$A12, Demand_previous!$B$4:$B$137, 0), MATCH(AU$4&amp;AU$5,Demand_previous!$D$2:$AY$2&amp;Demand_previous!$D$3:$AY$3, 0))/1000</f>
        <v>0</v>
      </c>
      <c r="AV12" s="102">
        <f>$F12*(VLOOKUP(AV$4, Rates_previous!$G$6:$Q$29, 10, FALSE)+VLOOKUP(AV$4, Rates_previous!$G$6:$Q$29, 11, FALSE))</f>
        <v>49991.137052270402</v>
      </c>
      <c r="AW12" s="102">
        <f>$F12*(VLOOKUP(AW$4, Rates_previous!$G$6:$Q$29, 10, FALSE)+VLOOKUP(AW$4, Rates_previous!$G$6:$Q$29, 11, FALSE))</f>
        <v>63755.184467766412</v>
      </c>
      <c r="AX12" s="102">
        <f>$F12*(VLOOKUP(AX$4, Rates_previous!$G$6:$Q$29, 10, FALSE)+VLOOKUP(AX$4, Rates_previous!$G$6:$Q$29, 11, FALSE))</f>
        <v>68804.458712976004</v>
      </c>
      <c r="AY12" s="102">
        <f>$F12*(VLOOKUP(AY$4, Rates_previous!$G$6:$Q$29, 10, FALSE)+VLOOKUP(AY$4, Rates_previous!$G$6:$Q$29, 11, FALSE))</f>
        <v>71498.468934502394</v>
      </c>
      <c r="AZ12" s="102">
        <f>$F12*(VLOOKUP(AZ$4, Rates_previous!$G$6:$Q$29, 10, FALSE)+VLOOKUP(AZ$4, Rates_previous!$G$6:$Q$29, 11, FALSE))</f>
        <v>61498.213421164794</v>
      </c>
      <c r="BA12" s="102">
        <f>$F12*(VLOOKUP(BA$4, Rates_previous!$G$6:$Q$29, 10, FALSE)+VLOOKUP(BA$4, Rates_previous!$G$6:$Q$29, 11, FALSE))</f>
        <v>67143.873021993597</v>
      </c>
      <c r="BB12" s="102">
        <f>$F12*(VLOOKUP(BB$4, Rates_previous!$G$6:$Q$29, 10, FALSE)+VLOOKUP(BB$4, Rates_previous!$G$6:$Q$29, 11, FALSE))</f>
        <v>52998.772636616799</v>
      </c>
      <c r="BC12" s="102">
        <f>$F12*(VLOOKUP(BC$4, Rates_previous!$G$6:$Q$29, 10, FALSE)+VLOOKUP(BC$4, Rates_previous!$G$6:$Q$29, 11, FALSE))</f>
        <v>65752.079622622405</v>
      </c>
      <c r="BD12" s="102">
        <f>$F12*(VLOOKUP(BD$4, Rates_previous!$G$6:$Q$29, 10, FALSE)+VLOOKUP(BD$4, Rates_previous!$G$6:$Q$29, 11, FALSE))</f>
        <v>67178.7356057328</v>
      </c>
      <c r="BE12" s="102">
        <f>$F12*(VLOOKUP(BE$4, Rates_previous!$G$6:$Q$29, 10, FALSE)+VLOOKUP(BE$4, Rates_previous!$G$6:$Q$29, 11, FALSE))</f>
        <v>58320.820837518397</v>
      </c>
      <c r="BF12" s="102">
        <f>$F12*(VLOOKUP(BF$4, Rates_previous!$G$6:$Q$29, 10, FALSE)+VLOOKUP(BF$4, Rates_previous!$G$6:$Q$29, 11, FALSE))</f>
        <v>56380.731567196963</v>
      </c>
      <c r="BG12" s="102">
        <f>$F12*(VLOOKUP(BG$4, Rates_previous!$G$6:$Q$29, 10, FALSE)+VLOOKUP(BG$4, Rates_previous!$G$6:$Q$29, 11, FALSE))</f>
        <v>51881.191106348808</v>
      </c>
      <c r="BH12" s="103">
        <f>IF($D12=0,IF(C12=0, MAX(BJ12 - (VLOOKUP($A12,TOCA_previous!$A$2:$AJ$136,MATCH("RHWM "&amp;Init!$D$1-2,TOCA_previous!$A$2:$AJ$2,0),FALSE)*$F$2*TOCA_previous!C9),0),0), 0)</f>
        <v>0</v>
      </c>
      <c r="BI12" s="109">
        <f>MIN(VLOOKUP($A12,TOCA_previous!$A$2:$AJ$136,MATCH("TRL - NLSL - Existing Resource "&amp;$F$1,TOCA_previous!$A$2:$AJ$2,0),FALSE)*$F$2,(VLOOKUP($A12,TOCA_previous!$A$2:$AJ$136,MATCH("RHWM "&amp;Init!$D$1-2,TOCA_previous!$A$2:$AJ$2,0),FALSE)*$F$2))</f>
        <v>718979.18400000001</v>
      </c>
      <c r="BJ12" s="261">
        <f>SUM(L12:AI12)+(F12*RT1SC!$C$3*$F$2)</f>
        <v>735203.67035673605</v>
      </c>
      <c r="BK12" s="260">
        <f>VLOOKUP($A12,TOCA_previous!$A$2:$AJ$136,MATCH("Above RHWM Not Served with LS "&amp;$F$1,TOCA_previous!$A$2:$AJ$2,0),FALSE)*$F$2</f>
        <v>149573.95199999999</v>
      </c>
      <c r="BL12" s="261">
        <f t="shared" si="21"/>
        <v>16224.486356736044</v>
      </c>
      <c r="BM12" s="260">
        <f>(VLOOKUP($A12,TOCA_previous!$A$2:$AJ$136,MATCH("RHWM "&amp;Init!$D$1-2,TOCA_previous!$A$2:$AJ$2,0),FALSE)*$F$2) - $BI12</f>
        <v>0</v>
      </c>
      <c r="BN12" s="261">
        <f t="shared" si="22"/>
        <v>0</v>
      </c>
      <c r="BO12" s="260">
        <f t="shared" si="23"/>
        <v>0</v>
      </c>
      <c r="BP12" s="261">
        <f t="shared" si="24"/>
        <v>0</v>
      </c>
      <c r="BQ12" s="260">
        <f t="shared" si="9"/>
        <v>0</v>
      </c>
      <c r="BR12" s="85">
        <f>VLOOKUP($A12,TOCA_current!$A$2:$ZZ$136,MATCH(BR$4,TOCA_current!$A$2:$ZZ$2,0),FALSE)</f>
        <v>1.15792E-2</v>
      </c>
      <c r="BS12" s="85">
        <f>VLOOKUP($A12,TOCA_current!$A$2:$ZZ$136,MATCH(BS$4,TOCA_current!$A$2:$ZZ$2,0),FALSE)</f>
        <v>1.15792E-2</v>
      </c>
      <c r="BT12" s="108">
        <f t="shared" si="25"/>
        <v>0</v>
      </c>
      <c r="BU12" s="85">
        <f>VLOOKUP($A12,TOCA_current!A9:BG143,MATCH(BU$4,TOCA_current!$A$2:$BG$2,0),FALSE)</f>
        <v>8.088462519587479E-2</v>
      </c>
      <c r="BV12" s="85">
        <f t="shared" si="26"/>
        <v>8.088462519587479E-2</v>
      </c>
      <c r="BW12" s="85">
        <f t="shared" si="27"/>
        <v>1.15792E-2</v>
      </c>
      <c r="BX12" s="101">
        <f>VLOOKUP($A12,IRD!$A$4:$G$138, 7, FALSE)</f>
        <v>41085.457000000002</v>
      </c>
      <c r="BY12" s="102">
        <f t="array" ref="BY12">IF($BT12=0, INDEX(LS_current!$D$4:$BW$137, MATCH('Staging Table'!$A12, LS_current!$B$4:$B$137, 0), MATCH(BY$4&amp;BY$5, LS_current!$D$2:$BW$2&amp;LS_current!$D$3:$BW$3, 0)),SUM(VLOOKUP($A12, LS_current!$B$4:$BW$137, LS_current!D$147, FALSE), VLOOKUP($A12, LS_current!$B$4:$BW$137,LS_current!AZ$147, FALSE))/2)</f>
        <v>0</v>
      </c>
      <c r="BZ12" s="102">
        <f t="array" ref="BZ12">IF($BT12=0, INDEX(LS_current!$D$4:$BW$137, MATCH('Staging Table'!$A12, LS_current!$B$4:$B$137, 0), MATCH(BZ$4&amp;BZ$5, LS_current!$D$2:$BW$2&amp;LS_current!$D$3:$BW$3, 0)),SUM(VLOOKUP($A12, LS_current!$B$4:$BW$137, LS_current!E$147, FALSE), VLOOKUP($A12, LS_current!$B$4:$BW$137,LS_current!BA$147, FALSE))/2)</f>
        <v>0</v>
      </c>
      <c r="CA12" s="102">
        <f t="array" ref="CA12">IF($BT12=0, INDEX(LS_current!$D$4:$BW$137, MATCH('Staging Table'!$A12, LS_current!$B$4:$B$137, 0), MATCH(CA$4&amp;CA$5, LS_current!$D$2:$BW$2&amp;LS_current!$D$3:$BW$3, 0)),SUM(VLOOKUP($A12, LS_current!$B$4:$BW$137, LS_current!F$147, FALSE), VLOOKUP($A12, LS_current!$B$4:$BW$137,LS_current!BB$147, FALSE))/2)</f>
        <v>0</v>
      </c>
      <c r="CB12" s="102">
        <f t="array" ref="CB12">IF($BT12=0, INDEX(LS_current!$D$4:$BW$137, MATCH('Staging Table'!$A12, LS_current!$B$4:$B$137, 0), MATCH(CB$4&amp;CB$5, LS_current!$D$2:$BW$2&amp;LS_current!$D$3:$BW$3, 0)),SUM(VLOOKUP($A12, LS_current!$B$4:$BW$137, LS_current!G$147, FALSE), VLOOKUP($A12, LS_current!$B$4:$BW$137,LS_current!BC$147, FALSE))/2)</f>
        <v>0</v>
      </c>
      <c r="CC12" s="102">
        <f t="array" ref="CC12">IF($BT12=0, INDEX(LS_current!$D$4:$BW$137, MATCH('Staging Table'!$A12, LS_current!$B$4:$B$137, 0), MATCH(CC$4&amp;CC$5, LS_current!$D$2:$BW$2&amp;LS_current!$D$3:$BW$3, 0)),SUM(VLOOKUP($A12, LS_current!$B$4:$BW$137, LS_current!H$147, FALSE), VLOOKUP($A12, LS_current!$B$4:$BW$137,LS_current!BD$147, FALSE))/2)</f>
        <v>0</v>
      </c>
      <c r="CD12" s="102">
        <f t="array" ref="CD12">IF($BT12=0, INDEX(LS_current!$D$4:$BW$137, MATCH('Staging Table'!$A12, LS_current!$B$4:$B$137, 0), MATCH(CD$4&amp;CD$5, LS_current!$D$2:$BW$2&amp;LS_current!$D$3:$BW$3, 0)),SUM(VLOOKUP($A12, LS_current!$B$4:$BW$137, LS_current!I$147, FALSE), VLOOKUP($A12, LS_current!$B$4:$BW$137,LS_current!BE$147, FALSE))/2)</f>
        <v>0</v>
      </c>
      <c r="CE12" s="102">
        <f t="array" ref="CE12">IF($BT12=0, INDEX(LS_current!$D$4:$BW$137, MATCH('Staging Table'!$A12, LS_current!$B$4:$B$137, 0), MATCH(CE$4&amp;CE$5, LS_current!$D$2:$BW$2&amp;LS_current!$D$3:$BW$3, 0)),SUM(VLOOKUP($A12, LS_current!$B$4:$BW$137, LS_current!J$147, FALSE), VLOOKUP($A12, LS_current!$B$4:$BW$137,LS_current!BF$147, FALSE))/2)</f>
        <v>0</v>
      </c>
      <c r="CF12" s="102">
        <f t="array" ref="CF12">IF($BT12=0, INDEX(LS_current!$D$4:$BW$137, MATCH('Staging Table'!$A12, LS_current!$B$4:$B$137, 0), MATCH(CF$4&amp;CF$5, LS_current!$D$2:$BW$2&amp;LS_current!$D$3:$BW$3, 0)),SUM(VLOOKUP($A12, LS_current!$B$4:$BW$137, LS_current!K$147, FALSE), VLOOKUP($A12, LS_current!$B$4:$BW$137,LS_current!BG$147, FALSE))/2)</f>
        <v>0</v>
      </c>
      <c r="CG12" s="102">
        <f t="array" ref="CG12">IF($BT12=0, INDEX(LS_current!$D$4:$BW$137, MATCH('Staging Table'!$A12, LS_current!$B$4:$B$137, 0), MATCH(CG$4&amp;CG$5, LS_current!$D$2:$BW$2&amp;LS_current!$D$3:$BW$3, 0)),SUM(VLOOKUP($A12, LS_current!$B$4:$BW$137, LS_current!L$147, FALSE), VLOOKUP($A12, LS_current!$B$4:$BW$137,LS_current!BH$147, FALSE))/2)</f>
        <v>0</v>
      </c>
      <c r="CH12" s="102">
        <f t="array" ref="CH12">IF($BT12=0, INDEX(LS_current!$D$4:$BW$137, MATCH('Staging Table'!$A12, LS_current!$B$4:$B$137, 0), MATCH(CH$4&amp;CH$5, LS_current!$D$2:$BW$2&amp;LS_current!$D$3:$BW$3, 0)),SUM(VLOOKUP($A12, LS_current!$B$4:$BW$137, LS_current!M$147, FALSE), VLOOKUP($A12, LS_current!$B$4:$BW$137,LS_current!BI$147, FALSE))/2)</f>
        <v>0</v>
      </c>
      <c r="CI12" s="102">
        <f t="array" ref="CI12">IF($BT12=0, INDEX(LS_current!$D$4:$BW$137, MATCH('Staging Table'!$A12, LS_current!$B$4:$B$137, 0), MATCH(CI$4&amp;CI$5, LS_current!$D$2:$BW$2&amp;LS_current!$D$3:$BW$3, 0)),SUM(VLOOKUP($A12, LS_current!$B$4:$BW$137, LS_current!N$147, FALSE), VLOOKUP($A12, LS_current!$B$4:$BW$137,LS_current!BJ$147, FALSE))/2)</f>
        <v>0</v>
      </c>
      <c r="CJ12" s="102">
        <f t="array" ref="CJ12">IF($BT12=0, INDEX(LS_current!$D$4:$BW$137, MATCH('Staging Table'!$A12, LS_current!$B$4:$B$137, 0), MATCH(CJ$4&amp;CJ$5, LS_current!$D$2:$BW$2&amp;LS_current!$D$3:$BW$3, 0)),SUM(VLOOKUP($A12, LS_current!$B$4:$BW$137, LS_current!O$147, FALSE), VLOOKUP($A12, LS_current!$B$4:$BW$137,LS_current!BK$147, FALSE))/2)</f>
        <v>0</v>
      </c>
      <c r="CK12" s="102">
        <f t="array" ref="CK12">IF($BT12=0, INDEX(LS_current!$D$4:$BW$137, MATCH('Staging Table'!$A12, LS_current!$B$4:$B$137, 0), MATCH(CK$4&amp;CK$5, LS_current!$D$2:$BW$2&amp;LS_current!$D$3:$BW$3, 0)),SUM(VLOOKUP($A12, LS_current!$B$4:$BW$137, LS_current!P$147, FALSE), VLOOKUP($A12, LS_current!$B$4:$BW$137,LS_current!BL$147, FALSE))/2)</f>
        <v>0</v>
      </c>
      <c r="CL12" s="102">
        <f t="array" ref="CL12">IF($BT12=0, INDEX(LS_current!$D$4:$BW$137, MATCH('Staging Table'!$A12, LS_current!$B$4:$B$137, 0), MATCH(CL$4&amp;CL$5, LS_current!$D$2:$BW$2&amp;LS_current!$D$3:$BW$3, 0)),SUM(VLOOKUP($A12, LS_current!$B$4:$BW$137, LS_current!Q$147, FALSE), VLOOKUP($A12, LS_current!$B$4:$BW$137,LS_current!BM$147, FALSE))/2)</f>
        <v>0</v>
      </c>
      <c r="CM12" s="102">
        <f t="array" ref="CM12">IF($BT12=0, INDEX(LS_current!$D$4:$BW$137, MATCH('Staging Table'!$A12, LS_current!$B$4:$B$137, 0), MATCH(CM$4&amp;CM$5, LS_current!$D$2:$BW$2&amp;LS_current!$D$3:$BW$3, 0)),SUM(VLOOKUP($A12, LS_current!$B$4:$BW$137, LS_current!R$147, FALSE), VLOOKUP($A12, LS_current!$B$4:$BW$137,LS_current!BN$147, FALSE))/2)</f>
        <v>0</v>
      </c>
      <c r="CN12" s="102">
        <f t="array" ref="CN12">IF($BT12=0, INDEX(LS_current!$D$4:$BW$137, MATCH('Staging Table'!$A12, LS_current!$B$4:$B$137, 0), MATCH(CN$4&amp;CN$5, LS_current!$D$2:$BW$2&amp;LS_current!$D$3:$BW$3, 0)),SUM(VLOOKUP($A12, LS_current!$B$4:$BW$137, LS_current!S$147, FALSE), VLOOKUP($A12, LS_current!$B$4:$BW$137,LS_current!BO$147, FALSE))/2)</f>
        <v>0</v>
      </c>
      <c r="CO12" s="102">
        <f t="array" ref="CO12">IF($BT12=0, INDEX(LS_current!$D$4:$BW$137, MATCH('Staging Table'!$A12, LS_current!$B$4:$B$137, 0), MATCH(CO$4&amp;CO$5, LS_current!$D$2:$BW$2&amp;LS_current!$D$3:$BW$3, 0)),SUM(VLOOKUP($A12, LS_current!$B$4:$BW$137, LS_current!T$147, FALSE), VLOOKUP($A12, LS_current!$B$4:$BW$137,LS_current!BP$147, FALSE))/2)</f>
        <v>0</v>
      </c>
      <c r="CP12" s="102">
        <f t="array" ref="CP12">IF($BT12=0, INDEX(LS_current!$D$4:$BW$137, MATCH('Staging Table'!$A12, LS_current!$B$4:$B$137, 0), MATCH(CP$4&amp;CP$5, LS_current!$D$2:$BW$2&amp;LS_current!$D$3:$BW$3, 0)),SUM(VLOOKUP($A12, LS_current!$B$4:$BW$137, LS_current!U$147, FALSE), VLOOKUP($A12, LS_current!$B$4:$BW$137,LS_current!BQ$147, FALSE))/2)</f>
        <v>0</v>
      </c>
      <c r="CQ12" s="102">
        <f t="array" ref="CQ12">IF($BT12=0, INDEX(LS_current!$D$4:$BW$137, MATCH('Staging Table'!$A12, LS_current!$B$4:$B$137, 0), MATCH(CQ$4&amp;CQ$5, LS_current!$D$2:$BW$2&amp;LS_current!$D$3:$BW$3, 0)),SUM(VLOOKUP($A12, LS_current!$B$4:$BW$137, LS_current!V$147, FALSE), VLOOKUP($A12, LS_current!$B$4:$BW$137,LS_current!BR$147, FALSE))/2)</f>
        <v>0</v>
      </c>
      <c r="CR12" s="102">
        <f t="array" ref="CR12">IF($BT12=0, INDEX(LS_current!$D$4:$BW$137, MATCH('Staging Table'!$A12, LS_current!$B$4:$B$137, 0), MATCH(CR$4&amp;CR$5, LS_current!$D$2:$BW$2&amp;LS_current!$D$3:$BW$3, 0)),SUM(VLOOKUP($A12, LS_current!$B$4:$BW$137, LS_current!W$147, FALSE), VLOOKUP($A12, LS_current!$B$4:$BW$137,LS_current!BS$147, FALSE))/2)</f>
        <v>0</v>
      </c>
      <c r="CS12" s="102">
        <f t="array" ref="CS12">IF($BT12=0, INDEX(LS_current!$D$4:$BW$137, MATCH('Staging Table'!$A12, LS_current!$B$4:$B$137, 0), MATCH(CS$4&amp;CS$5, LS_current!$D$2:$BW$2&amp;LS_current!$D$3:$BW$3, 0)),SUM(VLOOKUP($A12, LS_current!$B$4:$BW$137, LS_current!X$147, FALSE), VLOOKUP($A12, LS_current!$B$4:$BW$137,LS_current!BT$147, FALSE))/2)</f>
        <v>0</v>
      </c>
      <c r="CT12" s="102">
        <f t="array" ref="CT12">IF($BT12=0, INDEX(LS_current!$D$4:$BW$137, MATCH('Staging Table'!$A12, LS_current!$B$4:$B$137, 0), MATCH(CT$4&amp;CT$5, LS_current!$D$2:$BW$2&amp;LS_current!$D$3:$BW$3, 0)),SUM(VLOOKUP($A12, LS_current!$B$4:$BW$137, LS_current!Y$147, FALSE), VLOOKUP($A12, LS_current!$B$4:$BW$137,LS_current!BU$147, FALSE))/2)</f>
        <v>0</v>
      </c>
      <c r="CU12" s="102">
        <f t="array" ref="CU12">IF($BT12=0, INDEX(LS_current!$D$4:$BW$137, MATCH('Staging Table'!$A12, LS_current!$B$4:$B$137, 0), MATCH(CU$4&amp;CU$5, LS_current!$D$2:$BW$2&amp;LS_current!$D$3:$BW$3, 0)),SUM(VLOOKUP($A12, LS_current!$B$4:$BW$137, LS_current!Z$147, FALSE), VLOOKUP($A12, LS_current!$B$4:$BW$137,LS_current!BV$147, FALSE))/2)</f>
        <v>0</v>
      </c>
      <c r="CV12" s="102">
        <f t="array" ref="CV12">IF($BT12=0, INDEX(LS_current!$D$4:$BW$137, MATCH('Staging Table'!$A12, LS_current!$B$4:$B$137, 0), MATCH(CV$4&amp;CV$5, LS_current!$D$2:$BW$2&amp;LS_current!$D$3:$BW$3, 0)),SUM(VLOOKUP($A12, LS_current!$B$4:$BW$137, LS_current!AA$147, FALSE), VLOOKUP($A12, LS_current!$B$4:$BW$137,LS_current!BW$147, FALSE))/2)</f>
        <v>0</v>
      </c>
      <c r="CW12" s="103">
        <f t="array" ref="CW12">INDEX(Demand_current!$D$4:$BW$137, MATCH($A12, Demand_current!$B$4:$B$137, 0), MATCH(CW$4&amp;CW$5,Demand_current!$D$2:$BW$2&amp;Demand_current!$D$3:$BW$3, 0))/1000</f>
        <v>0</v>
      </c>
      <c r="CX12" s="103">
        <f t="array" ref="CX12">INDEX(Demand_current!$D$4:$BW$137, MATCH($A12, Demand_current!$B$4:$B$137, 0), MATCH(CX$4&amp;CX$5,Demand_current!$D$2:$BW$2&amp;Demand_current!$D$3:$BW$3, 0))/1000</f>
        <v>0</v>
      </c>
      <c r="CY12" s="103">
        <f t="array" ref="CY12">INDEX(Demand_current!$D$4:$BW$137, MATCH($A12, Demand_current!$B$4:$B$137, 0), MATCH(CY$4&amp;CY$5,Demand_current!$D$2:$BW$2&amp;Demand_current!$D$3:$BW$3, 0))/1000</f>
        <v>0</v>
      </c>
      <c r="CZ12" s="103">
        <f t="array" ref="CZ12">INDEX(Demand_current!$D$4:$BW$137, MATCH($A12, Demand_current!$B$4:$B$137, 0), MATCH(CZ$4&amp;CZ$5,Demand_current!$D$2:$BW$2&amp;Demand_current!$D$3:$BW$3, 0))/1000</f>
        <v>0</v>
      </c>
      <c r="DA12" s="103">
        <f t="array" ref="DA12">INDEX(Demand_current!$D$4:$BW$137, MATCH($A12, Demand_current!$B$4:$B$137, 0), MATCH(DA$4&amp;DA$5,Demand_current!$D$2:$BW$2&amp;Demand_current!$D$3:$BW$3, 0))/1000</f>
        <v>0</v>
      </c>
      <c r="DB12" s="103">
        <f t="array" ref="DB12">INDEX(Demand_current!$D$4:$BW$137, MATCH($A12, Demand_current!$B$4:$B$137, 0), MATCH(DB$4&amp;DB$5,Demand_current!$D$2:$BW$2&amp;Demand_current!$D$3:$BW$3, 0))/1000</f>
        <v>0</v>
      </c>
      <c r="DC12" s="103">
        <f t="array" ref="DC12">INDEX(Demand_current!$D$4:$BW$137, MATCH($A12, Demand_current!$B$4:$B$137, 0), MATCH(DC$4&amp;DC$5,Demand_current!$D$2:$BW$2&amp;Demand_current!$D$3:$BW$3, 0))/1000</f>
        <v>0</v>
      </c>
      <c r="DD12" s="103">
        <f t="array" ref="DD12">INDEX(Demand_current!$D$4:$BW$137, MATCH($A12, Demand_current!$B$4:$B$137, 0), MATCH(DD$4&amp;DD$5,Demand_current!$D$2:$BW$2&amp;Demand_current!$D$3:$BW$3, 0))/1000</f>
        <v>0</v>
      </c>
      <c r="DE12" s="103">
        <f t="array" ref="DE12">INDEX(Demand_current!$D$4:$BW$137, MATCH($A12, Demand_current!$B$4:$B$137, 0), MATCH(DE$4&amp;DE$5,Demand_current!$D$2:$BW$2&amp;Demand_current!$D$3:$BW$3, 0))/1000</f>
        <v>0</v>
      </c>
      <c r="DF12" s="103">
        <f t="array" ref="DF12">INDEX(Demand_current!$D$4:$BW$137, MATCH($A12, Demand_current!$B$4:$B$137, 0), MATCH(DF$4&amp;DF$5,Demand_current!$D$2:$BW$2&amp;Demand_current!$D$3:$BW$3, 0))/1000</f>
        <v>0</v>
      </c>
      <c r="DG12" s="103">
        <f t="array" ref="DG12">INDEX(Demand_current!$D$4:$BW$137, MATCH($A12, Demand_current!$B$4:$B$137, 0), MATCH(DG$4&amp;DG$5,Demand_current!$D$2:$BW$2&amp;Demand_current!$D$3:$BW$3, 0))/1000</f>
        <v>0</v>
      </c>
      <c r="DH12" s="103">
        <f t="array" ref="DH12">INDEX(Demand_current!$D$4:$BW$137, MATCH($A12, Demand_current!$B$4:$B$137, 0), MATCH(DH$4&amp;DH$5,Demand_current!$D$2:$BW$2&amp;Demand_current!$D$3:$BW$3, 0))/1000</f>
        <v>0</v>
      </c>
      <c r="DI12" s="102">
        <f>$BS12*(VLOOKUP(DI$4, Rates_current!$H$6:$R$41, 10, FALSE)+VLOOKUP(DI$4, Rates_current!$H$6:$R$41, 11, FALSE))</f>
        <v>48057.010278397429</v>
      </c>
      <c r="DJ12" s="102">
        <f>$BS12*(VLOOKUP(DJ$4, Rates_current!$H$6:$R$41, 10, FALSE)+VLOOKUP(DJ$4, Rates_current!$H$6:$R$41, 11, FALSE))</f>
        <v>61439.305984764571</v>
      </c>
      <c r="DK12" s="102">
        <f>$BS12*(VLOOKUP(DK$4, Rates_current!$H$6:$R$41, 10, FALSE)+VLOOKUP(DK$4, Rates_current!$H$6:$R$41, 11, FALSE))</f>
        <v>69851.352308300469</v>
      </c>
      <c r="DL12" s="102">
        <f>$BS12*(VLOOKUP(DL$4, Rates_current!$H$6:$R$41, 10, FALSE)+VLOOKUP(DL$4, Rates_current!$H$6:$R$41, 11, FALSE))</f>
        <v>73698.629203957316</v>
      </c>
      <c r="DM12" s="102">
        <f>$BS12*(VLOOKUP(DM$4, Rates_current!$H$6:$R$41, 10, FALSE)+VLOOKUP(DM$4, Rates_current!$H$6:$R$41, 11, FALSE))</f>
        <v>58731.155920026562</v>
      </c>
      <c r="DN12" s="102">
        <f>$BS12*(VLOOKUP(DN$4, Rates_current!$H$6:$R$41, 10, FALSE)+VLOOKUP(DN$4, Rates_current!$H$6:$R$41, 11, FALSE))</f>
        <v>64205.214200980074</v>
      </c>
      <c r="DO12" s="102">
        <f>$BS12*(VLOOKUP(DO$4, Rates_current!$H$6:$R$41, 10, FALSE)+VLOOKUP(DO$4, Rates_current!$H$6:$R$41, 11, FALSE))</f>
        <v>49759.686850634811</v>
      </c>
      <c r="DP12" s="102">
        <f>$BS12*(VLOOKUP(DP$4, Rates_current!$H$6:$R$41, 10, FALSE)+VLOOKUP(DP$4, Rates_current!$H$6:$R$41, 11, FALSE))</f>
        <v>64397.227834082165</v>
      </c>
      <c r="DQ12" s="102">
        <f>$BS12*(VLOOKUP(DQ$4, Rates_current!$H$6:$R$41, 10, FALSE)+VLOOKUP(DQ$4, Rates_current!$H$6:$R$41, 11, FALSE))</f>
        <v>65772.296108619645</v>
      </c>
      <c r="DR12" s="102">
        <f>$BS12*(VLOOKUP(DR$4, Rates_current!$H$6:$R$41, 10, FALSE)+VLOOKUP(DR$4, Rates_current!$H$6:$R$41, 11, FALSE))</f>
        <v>58543.031836105074</v>
      </c>
      <c r="DS12" s="102">
        <f>$BS12*(VLOOKUP(DS$4, Rates_current!$H$6:$R$41, 10, FALSE)+VLOOKUP(DS$4, Rates_current!$H$6:$R$41, 11, FALSE))</f>
        <v>60054.41422325436</v>
      </c>
      <c r="DT12" s="102">
        <f>$BS12*(VLOOKUP(DT$4, Rates_current!$H$6:$R$41, 10, FALSE)+VLOOKUP(DT$4, Rates_current!$H$6:$R$41, 11, FALSE))</f>
        <v>46639.451462811652</v>
      </c>
      <c r="DU12" s="261">
        <f>IF(D12=0,IF(C12=0,MAX(0,DW12 - (VLOOKUP($A12,TOCA_current!$A$2:$AV$136,MATCH("RHWM "&amp;Init!$D$1,TOCA_current!$A$2:$AV$2,0),FALSE)*$BS$2)), 0),0)</f>
        <v>0</v>
      </c>
      <c r="DV12" s="262">
        <f>MIN(VLOOKUP($A12,TOCA_current!$A$2:$AV$136,MATCH("TRL - NLSL - Existing Resource "&amp;$BS$1,TOCA_current!$A$2:$AV$2,0),FALSE)*$BS$2, VLOOKUP($A12,TOCA_current!$A$2:$AV$136,MATCH("RHWM "&amp;Init!$D$1,TOCA_current!$A$2:$AV$2,0),FALSE)*$BS$2)</f>
        <v>721149.48</v>
      </c>
      <c r="DW12" s="262">
        <f>SUM(BY12:CV12)+(BS12*RT1SC!$C$4*$BS$2)</f>
        <v>721148.81878118403</v>
      </c>
      <c r="DX12" s="262">
        <f>VLOOKUP($A12,TOCA_current!$A$2:$AV$136,MATCH("Above RHWM Not Served with LS "&amp;$BS$1,TOCA_current!$A$2:$AV$2,0),FALSE)*$BS$2</f>
        <v>176233.68</v>
      </c>
      <c r="DY12" s="262">
        <f t="shared" si="28"/>
        <v>-0.66121881594881415</v>
      </c>
      <c r="DZ12" s="262">
        <f>(VLOOKUP($A12,TOCA_current!$A$2:$AV$136,MATCH("RHWM "&amp;Init!$D$1,TOCA_current!$A$2:$AV$2,0),FALSE)*$BS$2) - $DV12</f>
        <v>0</v>
      </c>
      <c r="EA12" s="262">
        <f t="shared" si="29"/>
        <v>0</v>
      </c>
      <c r="EB12" s="262">
        <f t="shared" si="30"/>
        <v>0</v>
      </c>
      <c r="EC12" s="262">
        <f t="shared" si="31"/>
        <v>0</v>
      </c>
      <c r="ED12" s="262">
        <f t="shared" si="32"/>
        <v>0</v>
      </c>
    </row>
    <row r="13" spans="1:134">
      <c r="A13" s="2">
        <v>10047</v>
      </c>
      <c r="B13" s="3" t="s">
        <v>15</v>
      </c>
      <c r="C13">
        <f>VLOOKUP(A13, TOCA_current!$A$3:$D$136, 4, FALSE)</f>
        <v>0</v>
      </c>
      <c r="D13">
        <v>0</v>
      </c>
      <c r="E13" s="84">
        <f>VLOOKUP($A13,TOCA_previous!$A$2:$AJ$136,MATCH(E$4,TOCA_previous!$A$2:$AJ$2,0),FALSE)</f>
        <v>2.2050500000000001E-2</v>
      </c>
      <c r="F13" s="85">
        <f>VLOOKUP($A13,TOCA_previous!$A$2:$AJ$136,MATCH(F$4,TOCA_previous!$A$2:$AJ$2,0),FALSE)</f>
        <v>2.2050500000000001E-2</v>
      </c>
      <c r="G13" s="85">
        <f t="shared" si="18"/>
        <v>0</v>
      </c>
      <c r="H13" s="85">
        <f>VLOOKUP($A13,TOCA_previous!$A$2:$AJ$136,MATCH(H$4,TOCA_previous!$A$2:$AJ$2,0),FALSE)</f>
        <v>0</v>
      </c>
      <c r="I13" s="85">
        <f t="shared" si="19"/>
        <v>0</v>
      </c>
      <c r="J13" s="85">
        <f t="shared" si="20"/>
        <v>0</v>
      </c>
      <c r="K13" s="101">
        <f>VLOOKUP(A13, IRD!$A$5:$C$138, 3, FALSE)</f>
        <v>0</v>
      </c>
      <c r="L13" s="102">
        <f t="array" ref="L13">IF($G13=0, INDEX(LS_previous!$D$4:$AY$137, MATCH('Staging Table'!$A13, LS_previous!$B$4:$B$137, 0), MATCH(L$4&amp;L$5, LS_previous!$D$2:$AY$2&amp;LS_previous!$D$3:$AY$3, 0)),SUM(VLOOKUP($A13, LS_previous!$B$4:$AY$137, LS_previous!D$148, FALSE), VLOOKUP('Staging Table'!$A13, LS_previous!$B$4:$AY$137,LS_previous!AB$148, FALSE))/2)</f>
        <v>10673.668784181988</v>
      </c>
      <c r="M13" s="102">
        <f t="array" ref="M13">IF($G13=0, INDEX(LS_previous!$D$4:$AY$137, MATCH('Staging Table'!$A13, LS_previous!$B$4:$B$137, 0), MATCH(M$4&amp;M$5, LS_previous!$D$2:$AY$2&amp;LS_previous!$D$3:$AY$3, 0)),SUM(VLOOKUP($A13, LS_previous!$B$4:$AY$137, LS_previous!E$148, FALSE), VLOOKUP('Staging Table'!$A13, LS_previous!$B$4:$AY$137,LS_previous!AC$148, FALSE))/2)</f>
        <v>6402.2048728622467</v>
      </c>
      <c r="N13" s="102">
        <f t="array" ref="N13">IF($G13=0, INDEX(LS_previous!$D$4:$AY$137, MATCH('Staging Table'!$A13, LS_previous!$B$4:$B$137, 0), MATCH(N$4&amp;N$5, LS_previous!$D$2:$AY$2&amp;LS_previous!$D$3:$AY$3, 0)),SUM(VLOOKUP($A13, LS_previous!$B$4:$AY$137, LS_previous!F$148, FALSE), VLOOKUP('Staging Table'!$A13, LS_previous!$B$4:$AY$137,LS_previous!AD$148, FALSE))/2)</f>
        <v>-6622.3318260640081</v>
      </c>
      <c r="O13" s="102">
        <f t="array" ref="O13">IF($G13=0, INDEX(LS_previous!$D$4:$AY$137, MATCH('Staging Table'!$A13, LS_previous!$B$4:$B$137, 0), MATCH(O$4&amp;O$5, LS_previous!$D$2:$AY$2&amp;LS_previous!$D$3:$AY$3, 0)),SUM(VLOOKUP($A13, LS_previous!$B$4:$AY$137, LS_previous!G$148, FALSE), VLOOKUP('Staging Table'!$A13, LS_previous!$B$4:$AY$137,LS_previous!AE$148, FALSE))/2)</f>
        <v>5509.9312471344965</v>
      </c>
      <c r="P13" s="102">
        <f t="array" ref="P13">IF($G13=0, INDEX(LS_previous!$D$4:$AY$137, MATCH('Staging Table'!$A13, LS_previous!$B$4:$B$137, 0), MATCH(P$4&amp;P$5, LS_previous!$D$2:$AY$2&amp;LS_previous!$D$3:$AY$3, 0)),SUM(VLOOKUP($A13, LS_previous!$B$4:$AY$137, LS_previous!H$148, FALSE), VLOOKUP('Staging Table'!$A13, LS_previous!$B$4:$AY$137,LS_previous!AF$148, FALSE))/2)</f>
        <v>1220.927212180497</v>
      </c>
      <c r="Q13" s="102">
        <f t="array" ref="Q13">IF($G13=0, INDEX(LS_previous!$D$4:$AY$137, MATCH('Staging Table'!$A13, LS_previous!$B$4:$B$137, 0), MATCH(Q$4&amp;Q$5, LS_previous!$D$2:$AY$2&amp;LS_previous!$D$3:$AY$3, 0)),SUM(VLOOKUP($A13, LS_previous!$B$4:$AY$137, LS_previous!I$148, FALSE), VLOOKUP('Staging Table'!$A13, LS_previous!$B$4:$AY$137,LS_previous!AG$148, FALSE))/2)</f>
        <v>5183.8520063520045</v>
      </c>
      <c r="R13" s="102">
        <f t="array" ref="R13">IF($G13=0, INDEX(LS_previous!$D$4:$AY$137, MATCH('Staging Table'!$A13, LS_previous!$B$4:$B$137, 0), MATCH(R$4&amp;R$5, LS_previous!$D$2:$AY$2&amp;LS_previous!$D$3:$AY$3, 0)),SUM(VLOOKUP($A13, LS_previous!$B$4:$AY$137, LS_previous!J$148, FALSE), VLOOKUP('Staging Table'!$A13, LS_previous!$B$4:$AY$137,LS_previous!AH$148, FALSE))/2)</f>
        <v>-5256.9791616074945</v>
      </c>
      <c r="S13" s="102">
        <f t="array" ref="S13">IF($G13=0, INDEX(LS_previous!$D$4:$AY$137, MATCH('Staging Table'!$A13, LS_previous!$B$4:$B$137, 0), MATCH(S$4&amp;S$5, LS_previous!$D$2:$AY$2&amp;LS_previous!$D$3:$AY$3, 0)),SUM(VLOOKUP($A13, LS_previous!$B$4:$AY$137, LS_previous!K$148, FALSE), VLOOKUP('Staging Table'!$A13, LS_previous!$B$4:$AY$137,LS_previous!AI$148, FALSE))/2)</f>
        <v>4214.3763915354939</v>
      </c>
      <c r="T13" s="102">
        <f t="array" ref="T13">IF($G13=0, INDEX(LS_previous!$D$4:$AY$137, MATCH('Staging Table'!$A13, LS_previous!$B$4:$B$137, 0), MATCH(T$4&amp;T$5, LS_previous!$D$2:$AY$2&amp;LS_previous!$D$3:$AY$3, 0)),SUM(VLOOKUP($A13, LS_previous!$B$4:$AY$137, LS_previous!L$148, FALSE), VLOOKUP('Staging Table'!$A13, LS_previous!$B$4:$AY$137,LS_previous!AJ$148, FALSE))/2)</f>
        <v>-5324.6761298894999</v>
      </c>
      <c r="U13" s="102">
        <f t="array" ref="U13">IF($G13=0, INDEX(LS_previous!$D$4:$AY$137, MATCH('Staging Table'!$A13, LS_previous!$B$4:$B$137, 0), MATCH(U$4&amp;U$5, LS_previous!$D$2:$AY$2&amp;LS_previous!$D$3:$AY$3, 0)),SUM(VLOOKUP($A13, LS_previous!$B$4:$AY$137, LS_previous!M$148, FALSE), VLOOKUP('Staging Table'!$A13, LS_previous!$B$4:$AY$137,LS_previous!AK$148, FALSE))/2)</f>
        <v>3822.2438530704967</v>
      </c>
      <c r="V13" s="102">
        <f t="array" ref="V13">IF($G13=0, INDEX(LS_previous!$D$4:$AY$137, MATCH('Staging Table'!$A13, LS_previous!$B$4:$B$137, 0), MATCH(V$4&amp;V$5, LS_previous!$D$2:$AY$2&amp;LS_previous!$D$3:$AY$3, 0)),SUM(VLOOKUP($A13, LS_previous!$B$4:$AY$137, LS_previous!N$148, FALSE), VLOOKUP('Staging Table'!$A13, LS_previous!$B$4:$AY$137,LS_previous!AL$148, FALSE))/2)</f>
        <v>-4580.1444012064894</v>
      </c>
      <c r="W13" s="102">
        <f t="array" ref="W13">IF($G13=0, INDEX(LS_previous!$D$4:$AY$137, MATCH('Staging Table'!$A13, LS_previous!$B$4:$B$137, 0), MATCH(W$4&amp;W$5, LS_previous!$D$2:$AY$2&amp;LS_previous!$D$3:$AY$3, 0)),SUM(VLOOKUP($A13, LS_previous!$B$4:$AY$137, LS_previous!O$148, FALSE), VLOOKUP('Staging Table'!$A13, LS_previous!$B$4:$AY$137,LS_previous!AM$148, FALSE))/2)</f>
        <v>2220.404584210999</v>
      </c>
      <c r="X13" s="102">
        <f t="array" ref="X13">IF($G13=0, INDEX(LS_previous!$D$4:$AY$137, MATCH('Staging Table'!$A13, LS_previous!$B$4:$B$137, 0), MATCH(X$4&amp;X$5, LS_previous!$D$2:$AY$2&amp;LS_previous!$D$3:$AY$3, 0)),SUM(VLOOKUP($A13, LS_previous!$B$4:$AY$137, LS_previous!P$148, FALSE), VLOOKUP('Staging Table'!$A13, LS_previous!$B$4:$AY$137,LS_previous!AN$148, FALSE))/2)</f>
        <v>5546.7813022362461</v>
      </c>
      <c r="Y13" s="102">
        <f t="array" ref="Y13">IF($G13=0, INDEX(LS_previous!$D$4:$AY$137, MATCH('Staging Table'!$A13, LS_previous!$B$4:$B$137, 0), MATCH(Y$4&amp;Y$5, LS_previous!$D$2:$AY$2&amp;LS_previous!$D$3:$AY$3, 0)),SUM(VLOOKUP($A13, LS_previous!$B$4:$AY$137, LS_previous!Q$148, FALSE), VLOOKUP('Staging Table'!$A13, LS_previous!$B$4:$AY$137,LS_previous!AO$148, FALSE))/2)</f>
        <v>5269.9100616816286</v>
      </c>
      <c r="Z13" s="102">
        <f t="array" ref="Z13">IF($G13=0, INDEX(LS_previous!$D$4:$AY$137, MATCH('Staging Table'!$A13, LS_previous!$B$4:$B$137, 0), MATCH(Z$4&amp;Z$5, LS_previous!$D$2:$AY$2&amp;LS_previous!$D$3:$AY$3, 0)),SUM(VLOOKUP($A13, LS_previous!$B$4:$AY$137, LS_previous!R$148, FALSE), VLOOKUP('Staging Table'!$A13, LS_previous!$B$4:$AY$137,LS_previous!AP$148, FALSE))/2)</f>
        <v>-16835.173406824011</v>
      </c>
      <c r="AA13" s="102">
        <f t="array" ref="AA13">IF($G13=0, INDEX(LS_previous!$D$4:$AY$137, MATCH('Staging Table'!$A13, LS_previous!$B$4:$B$137, 0), MATCH(AA$4&amp;AA$5, LS_previous!$D$2:$AY$2&amp;LS_previous!$D$3:$AY$3, 0)),SUM(VLOOKUP($A13, LS_previous!$B$4:$AY$137, LS_previous!S$148, FALSE), VLOOKUP('Staging Table'!$A13, LS_previous!$B$4:$AY$137,LS_previous!AQ$148, FALSE))/2)</f>
        <v>-2917.092479504252</v>
      </c>
      <c r="AB13" s="102">
        <f t="array" ref="AB13">IF($G13=0, INDEX(LS_previous!$D$4:$AY$137, MATCH('Staging Table'!$A13, LS_previous!$B$4:$B$137, 0), MATCH(AB$4&amp;AB$5, LS_previous!$D$2:$AY$2&amp;LS_previous!$D$3:$AY$3, 0)),SUM(VLOOKUP($A13, LS_previous!$B$4:$AY$137, LS_previous!T$148, FALSE), VLOOKUP('Staging Table'!$A13, LS_previous!$B$4:$AY$137,LS_previous!AR$148, FALSE))/2)</f>
        <v>-22659.681772263008</v>
      </c>
      <c r="AC13" s="102">
        <f t="array" ref="AC13">IF($G13=0, INDEX(LS_previous!$D$4:$AY$137, MATCH('Staging Table'!$A13, LS_previous!$B$4:$B$137, 0), MATCH(AC$4&amp;AC$5, LS_previous!$D$2:$AY$2&amp;LS_previous!$D$3:$AY$3, 0)),SUM(VLOOKUP($A13, LS_previous!$B$4:$AY$137, LS_previous!U$148, FALSE), VLOOKUP('Staging Table'!$A13, LS_previous!$B$4:$AY$137,LS_previous!AS$148, FALSE))/2)</f>
        <v>-9491.4915892522549</v>
      </c>
      <c r="AD13" s="102">
        <f t="array" ref="AD13">IF($G13=0, INDEX(LS_previous!$D$4:$AY$137, MATCH('Staging Table'!$A13, LS_previous!$B$4:$B$137, 0), MATCH(AD$4&amp;AD$5, LS_previous!$D$2:$AY$2&amp;LS_previous!$D$3:$AY$3, 0)),SUM(VLOOKUP($A13, LS_previous!$B$4:$AY$137, LS_previous!V$148, FALSE), VLOOKUP('Staging Table'!$A13, LS_previous!$B$4:$AY$137,LS_previous!AT$148, FALSE))/2)</f>
        <v>-11038.571912081999</v>
      </c>
      <c r="AE13" s="102">
        <f t="array" ref="AE13">IF($G13=0, INDEX(LS_previous!$D$4:$AY$137, MATCH('Staging Table'!$A13, LS_previous!$B$4:$B$137, 0), MATCH(AE$4&amp;AE$5, LS_previous!$D$2:$AY$2&amp;LS_previous!$D$3:$AY$3, 0)),SUM(VLOOKUP($A13, LS_previous!$B$4:$AY$137, LS_previous!W$148, FALSE), VLOOKUP('Staging Table'!$A13, LS_previous!$B$4:$AY$137,LS_previous!AU$148, FALSE))/2)</f>
        <v>-352.42029768874636</v>
      </c>
      <c r="AF13" s="102">
        <f t="array" ref="AF13">IF($G13=0, INDEX(LS_previous!$D$4:$AY$137, MATCH('Staging Table'!$A13, LS_previous!$B$4:$B$137, 0), MATCH(AF$4&amp;AF$5, LS_previous!$D$2:$AY$2&amp;LS_previous!$D$3:$AY$3, 0)),SUM(VLOOKUP($A13, LS_previous!$B$4:$AY$137, LS_previous!X$148, FALSE), VLOOKUP('Staging Table'!$A13, LS_previous!$B$4:$AY$137,LS_previous!AV$148, FALSE))/2)</f>
        <v>-8682.9484266607615</v>
      </c>
      <c r="AG13" s="102">
        <f t="array" ref="AG13">IF($G13=0, INDEX(LS_previous!$D$4:$AY$137, MATCH('Staging Table'!$A13, LS_previous!$B$4:$B$137, 0), MATCH(AG$4&amp;AG$5, LS_previous!$D$2:$AY$2&amp;LS_previous!$D$3:$AY$3, 0)),SUM(VLOOKUP($A13, LS_previous!$B$4:$AY$137, LS_previous!Y$148, FALSE), VLOOKUP('Staging Table'!$A13, LS_previous!$B$4:$AY$137,LS_previous!AW$148, FALSE))/2)</f>
        <v>2850.8824702675774</v>
      </c>
      <c r="AH13" s="102">
        <f t="array" ref="AH13">IF($G13=0, INDEX(LS_previous!$D$4:$AY$137, MATCH('Staging Table'!$A13, LS_previous!$B$4:$B$137, 0), MATCH(AH$4&amp;AH$5, LS_previous!$D$2:$AY$2&amp;LS_previous!$D$3:$AY$3, 0)),SUM(VLOOKUP($A13, LS_previous!$B$4:$AY$137, LS_previous!Z$148, FALSE), VLOOKUP('Staging Table'!$A13, LS_previous!$B$4:$AY$137,LS_previous!AX$148, FALSE))/2)</f>
        <v>-1618.9734108370103</v>
      </c>
      <c r="AI13" s="102">
        <f t="array" ref="AI13">IF($G13=0, INDEX(LS_previous!$D$4:$AY$137, MATCH('Staging Table'!$A13, LS_previous!$B$4:$B$137, 0), MATCH(AI$4&amp;AI$5, LS_previous!$D$2:$AY$2&amp;LS_previous!$D$3:$AY$3, 0)),SUM(VLOOKUP($A13, LS_previous!$B$4:$AY$137, LS_previous!AA$148, FALSE), VLOOKUP('Staging Table'!$A13, LS_previous!$B$4:$AY$137,LS_previous!AY$148, FALSE))/2)</f>
        <v>1663.8525722479972</v>
      </c>
      <c r="AJ13" s="103">
        <f t="array" ref="AJ13">INDEX(Demand_previous!$D$4:$AY$137, MATCH('Staging Table'!$A13, Demand_previous!$B$4:$B$137, 0), MATCH(AJ$4&amp;AJ$5,Demand_previous!$D$2:$AY$2&amp;Demand_previous!$D$3:$AY$3, 0))/1000</f>
        <v>5.7732692307692588</v>
      </c>
      <c r="AK13" s="103">
        <f t="array" ref="AK13">INDEX(Demand_previous!$D$4:$AY$137, MATCH('Staging Table'!$A13, Demand_previous!$B$4:$B$137, 0), MATCH(AK$4&amp;AK$5,Demand_previous!$D$2:$AY$2&amp;Demand_previous!$D$3:$AY$3, 0))/1000</f>
        <v>15.671885000000024</v>
      </c>
      <c r="AL13" s="103">
        <f t="array" ref="AL13">INDEX(Demand_previous!$D$4:$AY$137, MATCH('Staging Table'!$A13, Demand_previous!$B$4:$B$137, 0), MATCH(AL$4&amp;AL$5,Demand_previous!$D$2:$AY$2&amp;Demand_previous!$D$3:$AY$3, 0))/1000</f>
        <v>13.091505000000012</v>
      </c>
      <c r="AM13" s="103">
        <f t="array" ref="AM13">INDEX(Demand_previous!$D$4:$AY$137, MATCH('Staging Table'!$A13, Demand_previous!$B$4:$B$137, 0), MATCH(AM$4&amp;AM$5,Demand_previous!$D$2:$AY$2&amp;Demand_previous!$D$3:$AY$3, 0))/1000</f>
        <v>29.919858173076918</v>
      </c>
      <c r="AN13" s="103">
        <f t="array" ref="AN13">INDEX(Demand_previous!$D$4:$AY$137, MATCH('Staging Table'!$A13, Demand_previous!$B$4:$B$137, 0), MATCH(AN$4&amp;AN$5,Demand_previous!$D$2:$AY$2&amp;Demand_previous!$D$3:$AY$3, 0))/1000</f>
        <v>41.68429249999997</v>
      </c>
      <c r="AO13" s="103">
        <f t="array" ref="AO13">INDEX(Demand_previous!$D$4:$AY$137, MATCH('Staging Table'!$A13, Demand_previous!$B$4:$B$137, 0), MATCH(AO$4&amp;AO$5,Demand_previous!$D$2:$AY$2&amp;Demand_previous!$D$3:$AY$3, 0))/1000</f>
        <v>19.762516826923076</v>
      </c>
      <c r="AP13" s="103">
        <f t="array" ref="AP13">INDEX(Demand_previous!$D$4:$AY$137, MATCH('Staging Table'!$A13, Demand_previous!$B$4:$B$137, 0), MATCH(AP$4&amp;AP$5,Demand_previous!$D$2:$AY$2&amp;Demand_previous!$D$3:$AY$3, 0))/1000</f>
        <v>17.33741826923076</v>
      </c>
      <c r="AQ13" s="103">
        <f t="array" ref="AQ13">INDEX(Demand_previous!$D$4:$AY$137, MATCH('Staging Table'!$A13, Demand_previous!$B$4:$B$137, 0), MATCH(AQ$4&amp;AQ$5,Demand_previous!$D$2:$AY$2&amp;Demand_previous!$D$3:$AY$3, 0))/1000</f>
        <v>11.421610576923076</v>
      </c>
      <c r="AR13" s="103">
        <f t="array" ref="AR13">INDEX(Demand_previous!$D$4:$AY$137, MATCH('Staging Table'!$A13, Demand_previous!$B$4:$B$137, 0), MATCH(AR$4&amp;AR$5,Demand_previous!$D$2:$AY$2&amp;Demand_previous!$D$3:$AY$3, 0))/1000</f>
        <v>1.704317500000009</v>
      </c>
      <c r="AS13" s="103">
        <f t="array" ref="AS13">INDEX(Demand_previous!$D$4:$AY$137, MATCH('Staging Table'!$A13, Demand_previous!$B$4:$B$137, 0), MATCH(AS$4&amp;AS$5,Demand_previous!$D$2:$AY$2&amp;Demand_previous!$D$3:$AY$3, 0))/1000</f>
        <v>9.2949134615384637</v>
      </c>
      <c r="AT13" s="103">
        <f t="array" ref="AT13">INDEX(Demand_previous!$D$4:$AY$137, MATCH('Staging Table'!$A13, Demand_previous!$B$4:$B$137, 0), MATCH(AT$4&amp;AT$5,Demand_previous!$D$2:$AY$2&amp;Demand_previous!$D$3:$AY$3, 0))/1000</f>
        <v>14.247363425925954</v>
      </c>
      <c r="AU13" s="103">
        <f t="array" ref="AU13">INDEX(Demand_previous!$D$4:$AY$137, MATCH('Staging Table'!$A13, Demand_previous!$B$4:$B$137, 0), MATCH(AU$4&amp;AU$5,Demand_previous!$D$2:$AY$2&amp;Demand_previous!$D$3:$AY$3, 0))/1000</f>
        <v>7.4013020833323395E-2</v>
      </c>
      <c r="AV13" s="102">
        <f>$F13*(VLOOKUP(AV$4, Rates_previous!$G$6:$Q$29, 10, FALSE)+VLOOKUP(AV$4, Rates_previous!$G$6:$Q$29, 11, FALSE))</f>
        <v>93026.732342955758</v>
      </c>
      <c r="AW13" s="102">
        <f>$F13*(VLOOKUP(AW$4, Rates_previous!$G$6:$Q$29, 10, FALSE)+VLOOKUP(AW$4, Rates_previous!$G$6:$Q$29, 11, FALSE))</f>
        <v>118639.75957892952</v>
      </c>
      <c r="AX13" s="102">
        <f>$F13*(VLOOKUP(AX$4, Rates_previous!$G$6:$Q$29, 10, FALSE)+VLOOKUP(AX$4, Rates_previous!$G$6:$Q$29, 11, FALSE))</f>
        <v>128035.77478146751</v>
      </c>
      <c r="AY13" s="102">
        <f>$F13*(VLOOKUP(AY$4, Rates_previous!$G$6:$Q$29, 10, FALSE)+VLOOKUP(AY$4, Rates_previous!$G$6:$Q$29, 11, FALSE))</f>
        <v>133048.96277007202</v>
      </c>
      <c r="AZ13" s="102">
        <f>$F13*(VLOOKUP(AZ$4, Rates_previous!$G$6:$Q$29, 10, FALSE)+VLOOKUP(AZ$4, Rates_previous!$G$6:$Q$29, 11, FALSE))</f>
        <v>114439.84227681899</v>
      </c>
      <c r="BA13" s="102">
        <f>$F13*(VLOOKUP(BA$4, Rates_previous!$G$6:$Q$29, 10, FALSE)+VLOOKUP(BA$4, Rates_previous!$G$6:$Q$29, 11, FALSE))</f>
        <v>124945.6498169955</v>
      </c>
      <c r="BB13" s="102">
        <f>$F13*(VLOOKUP(BB$4, Rates_previous!$G$6:$Q$29, 10, FALSE)+VLOOKUP(BB$4, Rates_previous!$G$6:$Q$29, 11, FALSE))</f>
        <v>98623.534636082113</v>
      </c>
      <c r="BC13" s="102">
        <f>$F13*(VLOOKUP(BC$4, Rates_previous!$G$6:$Q$29, 10, FALSE)+VLOOKUP(BC$4, Rates_previous!$G$6:$Q$29, 11, FALSE))</f>
        <v>122355.71088632826</v>
      </c>
      <c r="BD13" s="102">
        <f>$F13*(VLOOKUP(BD$4, Rates_previous!$G$6:$Q$29, 10, FALSE)+VLOOKUP(BD$4, Rates_previous!$G$6:$Q$29, 11, FALSE))</f>
        <v>125010.52436151524</v>
      </c>
      <c r="BE13" s="102">
        <f>$F13*(VLOOKUP(BE$4, Rates_previous!$G$6:$Q$29, 10, FALSE)+VLOOKUP(BE$4, Rates_previous!$G$6:$Q$29, 11, FALSE))</f>
        <v>108527.14520977075</v>
      </c>
      <c r="BF13" s="102">
        <f>$F13*(VLOOKUP(BF$4, Rates_previous!$G$6:$Q$29, 10, FALSE)+VLOOKUP(BF$4, Rates_previous!$G$6:$Q$29, 11, FALSE))</f>
        <v>104916.90195639319</v>
      </c>
      <c r="BG13" s="102">
        <f>$F13*(VLOOKUP(BG$4, Rates_previous!$G$6:$Q$29, 10, FALSE)+VLOOKUP(BG$4, Rates_previous!$G$6:$Q$29, 11, FALSE))</f>
        <v>96543.86683858902</v>
      </c>
      <c r="BH13" s="103">
        <f>IF($D13=0,IF(C13=0, MAX(BJ13 - (VLOOKUP($A13,TOCA_previous!$A$2:$AJ$136,MATCH("RHWM "&amp;Init!$D$1-2,TOCA_previous!$A$2:$AJ$2,0),FALSE)*$F$2*TOCA_previous!C10),0),0), 0)</f>
        <v>0</v>
      </c>
      <c r="BI13" s="109">
        <f>MIN(VLOOKUP($A13,TOCA_previous!$A$2:$AJ$136,MATCH("TRL - NLSL - Existing Resource "&amp;$F$1,TOCA_previous!$A$2:$AJ$2,0),FALSE)*$F$2,(VLOOKUP($A13,TOCA_previous!$A$2:$AJ$136,MATCH("RHWM "&amp;Init!$D$1-2,TOCA_previous!$A$2:$AJ$2,0),FALSE)*$F$2))</f>
        <v>1337917.392</v>
      </c>
      <c r="BJ13" s="261">
        <f>SUM(L13:AI13)+(F13*RT1SC!$C$3*$F$2)</f>
        <v>1327312.9622711623</v>
      </c>
      <c r="BK13" s="260">
        <f>VLOOKUP($A13,TOCA_previous!$A$2:$AJ$136,MATCH("Above RHWM Not Served with LS "&amp;$F$1,TOCA_previous!$A$2:$AJ$2,0),FALSE)*$F$2</f>
        <v>0</v>
      </c>
      <c r="BL13" s="261">
        <f t="shared" si="21"/>
        <v>-10604.429728837684</v>
      </c>
      <c r="BM13" s="260">
        <f>(VLOOKUP($A13,TOCA_previous!$A$2:$AJ$136,MATCH("RHWM "&amp;Init!$D$1-2,TOCA_previous!$A$2:$AJ$2,0),FALSE)*$F$2) - $BI13</f>
        <v>38298.239999999991</v>
      </c>
      <c r="BN13" s="261">
        <f t="shared" si="22"/>
        <v>0</v>
      </c>
      <c r="BO13" s="260">
        <f t="shared" si="23"/>
        <v>10604.429728837684</v>
      </c>
      <c r="BP13" s="261">
        <f t="shared" si="24"/>
        <v>0</v>
      </c>
      <c r="BQ13" s="260">
        <f t="shared" si="9"/>
        <v>10604.429728837684</v>
      </c>
      <c r="BR13" s="85">
        <f>VLOOKUP($A13,TOCA_current!$A$2:$ZZ$136,MATCH(BR$4,TOCA_current!$A$2:$ZZ$2,0),FALSE)</f>
        <v>2.13122E-2</v>
      </c>
      <c r="BS13" s="85">
        <f>VLOOKUP($A13,TOCA_current!$A$2:$ZZ$136,MATCH(BS$4,TOCA_current!$A$2:$ZZ$2,0),FALSE)</f>
        <v>2.13122E-2</v>
      </c>
      <c r="BT13" s="108">
        <f t="shared" si="25"/>
        <v>0</v>
      </c>
      <c r="BU13" s="85">
        <f>VLOOKUP($A13,TOCA_current!A10:BG144,MATCH(BU$4,TOCA_current!$A$2:$BG$2,0),FALSE)</f>
        <v>0</v>
      </c>
      <c r="BV13" s="85">
        <f t="shared" si="26"/>
        <v>0</v>
      </c>
      <c r="BW13" s="85">
        <f t="shared" si="27"/>
        <v>0</v>
      </c>
      <c r="BX13" s="101">
        <f>VLOOKUP($A13,IRD!$A$4:$G$138, 7, FALSE)</f>
        <v>0</v>
      </c>
      <c r="BY13" s="102">
        <f t="array" ref="BY13">IF($BT13=0, INDEX(LS_current!$D$4:$BW$137, MATCH('Staging Table'!$A13, LS_current!$B$4:$B$137, 0), MATCH(BY$4&amp;BY$5, LS_current!$D$2:$BW$2&amp;LS_current!$D$3:$BW$3, 0)),SUM(VLOOKUP($A13, LS_current!$B$4:$BW$137, LS_current!D$147, FALSE), VLOOKUP($A13, LS_current!$B$4:$BW$137,LS_current!AZ$147, FALSE))/2)</f>
        <v>11842.076070074254</v>
      </c>
      <c r="BZ13" s="102">
        <f t="array" ref="BZ13">IF($BT13=0, INDEX(LS_current!$D$4:$BW$137, MATCH('Staging Table'!$A13, LS_current!$B$4:$B$137, 0), MATCH(BZ$4&amp;BZ$5, LS_current!$D$2:$BW$2&amp;LS_current!$D$3:$BW$3, 0)),SUM(VLOOKUP($A13, LS_current!$B$4:$BW$137, LS_current!E$147, FALSE), VLOOKUP($A13, LS_current!$B$4:$BW$137,LS_current!BA$147, FALSE))/2)</f>
        <v>9808.7703562711176</v>
      </c>
      <c r="CA13" s="102">
        <f t="array" ref="CA13">IF($BT13=0, INDEX(LS_current!$D$4:$BW$137, MATCH('Staging Table'!$A13, LS_current!$B$4:$B$137, 0), MATCH(CA$4&amp;CA$5, LS_current!$D$2:$BW$2&amp;LS_current!$D$3:$BW$3, 0)),SUM(VLOOKUP($A13, LS_current!$B$4:$BW$137, LS_current!F$147, FALSE), VLOOKUP($A13, LS_current!$B$4:$BW$137,LS_current!BB$147, FALSE))/2)</f>
        <v>-2957.1253765189904</v>
      </c>
      <c r="CB13" s="102">
        <f t="array" ref="CB13">IF($BT13=0, INDEX(LS_current!$D$4:$BW$137, MATCH('Staging Table'!$A13, LS_current!$B$4:$B$137, 0), MATCH(CB$4&amp;CB$5, LS_current!$D$2:$BW$2&amp;LS_current!$D$3:$BW$3, 0)),SUM(VLOOKUP($A13, LS_current!$B$4:$BW$137, LS_current!G$147, FALSE), VLOOKUP($A13, LS_current!$B$4:$BW$137,LS_current!BC$147, FALSE))/2)</f>
        <v>7401.8208929882167</v>
      </c>
      <c r="CC13" s="102">
        <f t="array" ref="CC13">IF($BT13=0, INDEX(LS_current!$D$4:$BW$137, MATCH('Staging Table'!$A13, LS_current!$B$4:$B$137, 0), MATCH(CC$4&amp;CC$5, LS_current!$D$2:$BW$2&amp;LS_current!$D$3:$BW$3, 0)),SUM(VLOOKUP($A13, LS_current!$B$4:$BW$137, LS_current!H$147, FALSE), VLOOKUP($A13, LS_current!$B$4:$BW$137,LS_current!BD$147, FALSE))/2)</f>
        <v>-3562.7167820254836</v>
      </c>
      <c r="CD13" s="102">
        <f t="array" ref="CD13">IF($BT13=0, INDEX(LS_current!$D$4:$BW$137, MATCH('Staging Table'!$A13, LS_current!$B$4:$B$137, 0), MATCH(CD$4&amp;CD$5, LS_current!$D$2:$BW$2&amp;LS_current!$D$3:$BW$3, 0)),SUM(VLOOKUP($A13, LS_current!$B$4:$BW$137, LS_current!I$147, FALSE), VLOOKUP($A13, LS_current!$B$4:$BW$137,LS_current!BE$147, FALSE))/2)</f>
        <v>9437.7402907168143</v>
      </c>
      <c r="CE13" s="102">
        <f t="array" ref="CE13">IF($BT13=0, INDEX(LS_current!$D$4:$BW$137, MATCH('Staging Table'!$A13, LS_current!$B$4:$B$137, 0), MATCH(CE$4&amp;CE$5, LS_current!$D$2:$BW$2&amp;LS_current!$D$3:$BW$3, 0)),SUM(VLOOKUP($A13, LS_current!$B$4:$BW$137, LS_current!J$147, FALSE), VLOOKUP($A13, LS_current!$B$4:$BW$137,LS_current!BF$147, FALSE))/2)</f>
        <v>-8382.3121947243635</v>
      </c>
      <c r="CF13" s="102">
        <f t="array" ref="CF13">IF($BT13=0, INDEX(LS_current!$D$4:$BW$137, MATCH('Staging Table'!$A13, LS_current!$B$4:$B$137, 0), MATCH(CF$4&amp;CF$5, LS_current!$D$2:$BW$2&amp;LS_current!$D$3:$BW$3, 0)),SUM(VLOOKUP($A13, LS_current!$B$4:$BW$137, LS_current!K$147, FALSE), VLOOKUP($A13, LS_current!$B$4:$BW$137,LS_current!BG$147, FALSE))/2)</f>
        <v>4742.0018443910958</v>
      </c>
      <c r="CG13" s="102">
        <f t="array" ref="CG13">IF($BT13=0, INDEX(LS_current!$D$4:$BW$137, MATCH('Staging Table'!$A13, LS_current!$B$4:$B$137, 0), MATCH(CG$4&amp;CG$5, LS_current!$D$2:$BW$2&amp;LS_current!$D$3:$BW$3, 0)),SUM(VLOOKUP($A13, LS_current!$B$4:$BW$137, LS_current!L$147, FALSE), VLOOKUP($A13, LS_current!$B$4:$BW$137,LS_current!BH$147, FALSE))/2)</f>
        <v>-1346.2445433186513</v>
      </c>
      <c r="CH13" s="102">
        <f t="array" ref="CH13">IF($BT13=0, INDEX(LS_current!$D$4:$BW$137, MATCH('Staging Table'!$A13, LS_current!$B$4:$B$137, 0), MATCH(CH$4&amp;CH$5, LS_current!$D$2:$BW$2&amp;LS_current!$D$3:$BW$3, 0)),SUM(VLOOKUP($A13, LS_current!$B$4:$BW$137, LS_current!M$147, FALSE), VLOOKUP($A13, LS_current!$B$4:$BW$137,LS_current!BI$147, FALSE))/2)</f>
        <v>6185.5008540490962</v>
      </c>
      <c r="CI13" s="102">
        <f t="array" ref="CI13">IF($BT13=0, INDEX(LS_current!$D$4:$BW$137, MATCH('Staging Table'!$A13, LS_current!$B$4:$B$137, 0), MATCH(CI$4&amp;CI$5, LS_current!$D$2:$BW$2&amp;LS_current!$D$3:$BW$3, 0)),SUM(VLOOKUP($A13, LS_current!$B$4:$BW$137, LS_current!N$147, FALSE), VLOOKUP($A13, LS_current!$B$4:$BW$137,LS_current!BJ$147, FALSE))/2)</f>
        <v>-5363.9780177948414</v>
      </c>
      <c r="CJ13" s="102">
        <f t="array" ref="CJ13">IF($BT13=0, INDEX(LS_current!$D$4:$BW$137, MATCH('Staging Table'!$A13, LS_current!$B$4:$B$137, 0), MATCH(CJ$4&amp;CJ$5, LS_current!$D$2:$BW$2&amp;LS_current!$D$3:$BW$3, 0)),SUM(VLOOKUP($A13, LS_current!$B$4:$BW$137, LS_current!O$147, FALSE), VLOOKUP($A13, LS_current!$B$4:$BW$137,LS_current!BK$147, FALSE))/2)</f>
        <v>9776.4074583323963</v>
      </c>
      <c r="CK13" s="102">
        <f t="array" ref="CK13">IF($BT13=0, INDEX(LS_current!$D$4:$BW$137, MATCH('Staging Table'!$A13, LS_current!$B$4:$B$137, 0), MATCH(CK$4&amp;CK$5, LS_current!$D$2:$BW$2&amp;LS_current!$D$3:$BW$3, 0)),SUM(VLOOKUP($A13, LS_current!$B$4:$BW$137, LS_current!P$147, FALSE), VLOOKUP($A13, LS_current!$B$4:$BW$137,LS_current!BL$147, FALSE))/2)</f>
        <v>9186.9846191116012</v>
      </c>
      <c r="CL13" s="102">
        <f t="array" ref="CL13">IF($BT13=0, INDEX(LS_current!$D$4:$BW$137, MATCH('Staging Table'!$A13, LS_current!$B$4:$B$137, 0), MATCH(CL$4&amp;CL$5, LS_current!$D$2:$BW$2&amp;LS_current!$D$3:$BW$3, 0)),SUM(VLOOKUP($A13, LS_current!$B$4:$BW$137, LS_current!Q$147, FALSE), VLOOKUP($A13, LS_current!$B$4:$BW$137,LS_current!BM$147, FALSE))/2)</f>
        <v>8667.6052317503563</v>
      </c>
      <c r="CM13" s="102">
        <f t="array" ref="CM13">IF($BT13=0, INDEX(LS_current!$D$4:$BW$137, MATCH('Staging Table'!$A13, LS_current!$B$4:$B$137, 0), MATCH(CM$4&amp;CM$5, LS_current!$D$2:$BW$2&amp;LS_current!$D$3:$BW$3, 0)),SUM(VLOOKUP($A13, LS_current!$B$4:$BW$137, LS_current!R$147, FALSE), VLOOKUP($A13, LS_current!$B$4:$BW$137,LS_current!BN$147, FALSE))/2)</f>
        <v>-14256.347589341349</v>
      </c>
      <c r="CN13" s="102">
        <f t="array" ref="CN13">IF($BT13=0, INDEX(LS_current!$D$4:$BW$137, MATCH('Staging Table'!$A13, LS_current!$B$4:$B$137, 0), MATCH(CN$4&amp;CN$5, LS_current!$D$2:$BW$2&amp;LS_current!$D$3:$BW$3, 0)),SUM(VLOOKUP($A13, LS_current!$B$4:$BW$137, LS_current!S$147, FALSE), VLOOKUP($A13, LS_current!$B$4:$BW$137,LS_current!BO$147, FALSE))/2)</f>
        <v>-1667.1003778348022</v>
      </c>
      <c r="CO13" s="102">
        <f t="array" ref="CO13">IF($BT13=0, INDEX(LS_current!$D$4:$BW$137, MATCH('Staging Table'!$A13, LS_current!$B$4:$B$137, 0), MATCH(CO$4&amp;CO$5, LS_current!$D$2:$BW$2&amp;LS_current!$D$3:$BW$3, 0)),SUM(VLOOKUP($A13, LS_current!$B$4:$BW$137, LS_current!T$147, FALSE), VLOOKUP($A13, LS_current!$B$4:$BW$137,LS_current!BP$147, FALSE))/2)</f>
        <v>-23058.364259416136</v>
      </c>
      <c r="CP13" s="102">
        <f t="array" ref="CP13">IF($BT13=0, INDEX(LS_current!$D$4:$BW$137, MATCH('Staging Table'!$A13, LS_current!$B$4:$B$137, 0), MATCH(CP$4&amp;CP$5, LS_current!$D$2:$BW$2&amp;LS_current!$D$3:$BW$3, 0)),SUM(VLOOKUP($A13, LS_current!$B$4:$BW$137, LS_current!U$147, FALSE), VLOOKUP($A13, LS_current!$B$4:$BW$137,LS_current!BQ$147, FALSE))/2)</f>
        <v>-5140.0719043018689</v>
      </c>
      <c r="CQ13" s="102">
        <f t="array" ref="CQ13">IF($BT13=0, INDEX(LS_current!$D$4:$BW$137, MATCH('Staging Table'!$A13, LS_current!$B$4:$B$137, 0), MATCH(CQ$4&amp;CQ$5, LS_current!$D$2:$BW$2&amp;LS_current!$D$3:$BW$3, 0)),SUM(VLOOKUP($A13, LS_current!$B$4:$BW$137, LS_current!V$147, FALSE), VLOOKUP($A13, LS_current!$B$4:$BW$137,LS_current!BR$147, FALSE))/2)</f>
        <v>-11686.326815145439</v>
      </c>
      <c r="CR13" s="102">
        <f t="array" ref="CR13">IF($BT13=0, INDEX(LS_current!$D$4:$BW$137, MATCH('Staging Table'!$A13, LS_current!$B$4:$B$137, 0), MATCH(CR$4&amp;CR$5, LS_current!$D$2:$BW$2&amp;LS_current!$D$3:$BW$3, 0)),SUM(VLOOKUP($A13, LS_current!$B$4:$BW$137, LS_current!W$147, FALSE), VLOOKUP($A13, LS_current!$B$4:$BW$137,LS_current!BS$147, FALSE))/2)</f>
        <v>1070.5795890988593</v>
      </c>
      <c r="CS13" s="102">
        <f t="array" ref="CS13">IF($BT13=0, INDEX(LS_current!$D$4:$BW$137, MATCH('Staging Table'!$A13, LS_current!$B$4:$B$137, 0), MATCH(CS$4&amp;CS$5, LS_current!$D$2:$BW$2&amp;LS_current!$D$3:$BW$3, 0)),SUM(VLOOKUP($A13, LS_current!$B$4:$BW$137, LS_current!X$147, FALSE), VLOOKUP($A13, LS_current!$B$4:$BW$137,LS_current!BT$147, FALSE))/2)</f>
        <v>-15601.240598913573</v>
      </c>
      <c r="CT13" s="102">
        <f t="array" ref="CT13">IF($BT13=0, INDEX(LS_current!$D$4:$BW$137, MATCH('Staging Table'!$A13, LS_current!$B$4:$B$137, 0), MATCH(CT$4&amp;CT$5, LS_current!$D$2:$BW$2&amp;LS_current!$D$3:$BW$3, 0)),SUM(VLOOKUP($A13, LS_current!$B$4:$BW$137, LS_current!Y$147, FALSE), VLOOKUP($A13, LS_current!$B$4:$BW$137,LS_current!BU$147, FALSE))/2)</f>
        <v>4152.3880186280949</v>
      </c>
      <c r="CU13" s="102">
        <f t="array" ref="CU13">IF($BT13=0, INDEX(LS_current!$D$4:$BW$137, MATCH('Staging Table'!$A13, LS_current!$B$4:$B$137, 0), MATCH(CU$4&amp;CU$5, LS_current!$D$2:$BW$2&amp;LS_current!$D$3:$BW$3, 0)),SUM(VLOOKUP($A13, LS_current!$B$4:$BW$137, LS_current!Z$147, FALSE), VLOOKUP($A13, LS_current!$B$4:$BW$137,LS_current!BV$147, FALSE))/2)</f>
        <v>2611.0893844002348</v>
      </c>
      <c r="CV13" s="102">
        <f t="array" ref="CV13">IF($BT13=0, INDEX(LS_current!$D$4:$BW$137, MATCH('Staging Table'!$A13, LS_current!$B$4:$B$137, 0), MATCH(CV$4&amp;CV$5, LS_current!$D$2:$BW$2&amp;LS_current!$D$3:$BW$3, 0)),SUM(VLOOKUP($A13, LS_current!$B$4:$BW$137, LS_current!AA$147, FALSE), VLOOKUP($A13, LS_current!$B$4:$BW$137,LS_current!BW$147, FALSE))/2)</f>
        <v>8134.9975833924982</v>
      </c>
      <c r="CW13" s="103">
        <f t="array" ref="CW13">INDEX(Demand_current!$D$4:$BW$137, MATCH($A13, Demand_current!$B$4:$B$137, 0), MATCH(CW$4&amp;CW$5,Demand_current!$D$2:$BW$2&amp;Demand_current!$D$3:$BW$3, 0))/1000</f>
        <v>11.734481481481495</v>
      </c>
      <c r="CX13" s="103">
        <f t="array" ref="CX13">INDEX(Demand_current!$D$4:$BW$137, MATCH($A13, Demand_current!$B$4:$B$137, 0), MATCH(CX$4&amp;CX$5,Demand_current!$D$2:$BW$2&amp;Demand_current!$D$3:$BW$3, 0))/1000</f>
        <v>8.8634218750000215</v>
      </c>
      <c r="CY13" s="103">
        <f t="array" ref="CY13">INDEX(Demand_current!$D$4:$BW$137, MATCH($A13, Demand_current!$B$4:$B$137, 0), MATCH(CY$4&amp;CY$5,Demand_current!$D$2:$BW$2&amp;Demand_current!$D$3:$BW$3, 0))/1000</f>
        <v>20.673177884615399</v>
      </c>
      <c r="CZ13" s="103">
        <f t="array" ref="CZ13">INDEX(Demand_current!$D$4:$BW$137, MATCH($A13, Demand_current!$B$4:$B$137, 0), MATCH(CZ$4&amp;CZ$5,Demand_current!$D$2:$BW$2&amp;Demand_current!$D$3:$BW$3, 0))/1000</f>
        <v>29.919858173076918</v>
      </c>
      <c r="DA13" s="103">
        <f t="array" ref="DA13">INDEX(Demand_current!$D$4:$BW$137, MATCH($A13, Demand_current!$B$4:$B$137, 0), MATCH(DA$4&amp;DA$5,Demand_current!$D$2:$BW$2&amp;Demand_current!$D$3:$BW$3, 0))/1000</f>
        <v>34.65909635416665</v>
      </c>
      <c r="DB13" s="103">
        <f t="array" ref="DB13">INDEX(Demand_current!$D$4:$BW$137, MATCH($A13, Demand_current!$B$4:$B$137, 0), MATCH(DB$4&amp;DB$5,Demand_current!$D$2:$BW$2&amp;Demand_current!$D$3:$BW$3, 0))/1000</f>
        <v>19.762516826923076</v>
      </c>
      <c r="DC13" s="103">
        <f t="array" ref="DC13">INDEX(Demand_current!$D$4:$BW$137, MATCH($A13, Demand_current!$B$4:$B$137, 0), MATCH(DC$4&amp;DC$5,Demand_current!$D$2:$BW$2&amp;Demand_current!$D$3:$BW$3, 0))/1000</f>
        <v>17.33741826923076</v>
      </c>
      <c r="DD13" s="103">
        <f t="array" ref="DD13">INDEX(Demand_current!$D$4:$BW$137, MATCH($A13, Demand_current!$B$4:$B$137, 0), MATCH(DD$4&amp;DD$5,Demand_current!$D$2:$BW$2&amp;Demand_current!$D$3:$BW$3, 0))/1000</f>
        <v>5.891314999999981</v>
      </c>
      <c r="DE13" s="103">
        <f t="array" ref="DE13">INDEX(Demand_current!$D$4:$BW$137, MATCH($A13, Demand_current!$B$4:$B$137, 0), MATCH(DE$4&amp;DE$5,Demand_current!$D$2:$BW$2&amp;Demand_current!$D$3:$BW$3, 0))/1000</f>
        <v>7.0735745192307675</v>
      </c>
      <c r="DF13" s="103">
        <f t="array" ref="DF13">INDEX(Demand_current!$D$4:$BW$137, MATCH($A13, Demand_current!$B$4:$B$137, 0), MATCH(DF$4&amp;DF$5,Demand_current!$D$2:$BW$2&amp;Demand_current!$D$3:$BW$3, 0))/1000</f>
        <v>9.2949134615384637</v>
      </c>
      <c r="DG13" s="103">
        <f t="array" ref="DG13">INDEX(Demand_current!$D$4:$BW$137, MATCH($A13, Demand_current!$B$4:$B$137, 0), MATCH(DG$4&amp;DG$5,Demand_current!$D$2:$BW$2&amp;Demand_current!$D$3:$BW$3, 0))/1000</f>
        <v>9.0949543269231015</v>
      </c>
      <c r="DH13" s="103">
        <f t="array" ref="DH13">INDEX(Demand_current!$D$4:$BW$137, MATCH($A13, Demand_current!$B$4:$B$137, 0), MATCH(DH$4&amp;DH$5,Demand_current!$D$2:$BW$2&amp;Demand_current!$D$3:$BW$3, 0))/1000</f>
        <v>5.9116924999999902</v>
      </c>
      <c r="DI13" s="102">
        <f>$BS13*(VLOOKUP(DI$4, Rates_current!$H$6:$R$41, 10, FALSE)+VLOOKUP(DI$4, Rates_current!$H$6:$R$41, 11, FALSE))</f>
        <v>88451.759573654635</v>
      </c>
      <c r="DJ13" s="102">
        <f>$BS13*(VLOOKUP(DJ$4, Rates_current!$H$6:$R$41, 10, FALSE)+VLOOKUP(DJ$4, Rates_current!$H$6:$R$41, 11, FALSE))</f>
        <v>113082.66348353078</v>
      </c>
      <c r="DK13" s="102">
        <f>$BS13*(VLOOKUP(DK$4, Rates_current!$H$6:$R$41, 10, FALSE)+VLOOKUP(DK$4, Rates_current!$H$6:$R$41, 11, FALSE))</f>
        <v>128565.53049130866</v>
      </c>
      <c r="DL13" s="102">
        <f>$BS13*(VLOOKUP(DL$4, Rates_current!$H$6:$R$41, 10, FALSE)+VLOOKUP(DL$4, Rates_current!$H$6:$R$41, 11, FALSE))</f>
        <v>135646.67035033327</v>
      </c>
      <c r="DM13" s="102">
        <f>$BS13*(VLOOKUP(DM$4, Rates_current!$H$6:$R$41, 10, FALSE)+VLOOKUP(DM$4, Rates_current!$H$6:$R$41, 11, FALSE))</f>
        <v>108098.15368926957</v>
      </c>
      <c r="DN13" s="102">
        <f>$BS13*(VLOOKUP(DN$4, Rates_current!$H$6:$R$41, 10, FALSE)+VLOOKUP(DN$4, Rates_current!$H$6:$R$41, 11, FALSE))</f>
        <v>118173.48055946245</v>
      </c>
      <c r="DO13" s="102">
        <f>$BS13*(VLOOKUP(DO$4, Rates_current!$H$6:$R$41, 10, FALSE)+VLOOKUP(DO$4, Rates_current!$H$6:$R$41, 11, FALSE))</f>
        <v>91585.636149138052</v>
      </c>
      <c r="DP13" s="102">
        <f>$BS13*(VLOOKUP(DP$4, Rates_current!$H$6:$R$41, 10, FALSE)+VLOOKUP(DP$4, Rates_current!$H$6:$R$41, 11, FALSE))</f>
        <v>118526.89296717614</v>
      </c>
      <c r="DQ13" s="102">
        <f>$BS13*(VLOOKUP(DQ$4, Rates_current!$H$6:$R$41, 10, FALSE)+VLOOKUP(DQ$4, Rates_current!$H$6:$R$41, 11, FALSE))</f>
        <v>121057.78716371801</v>
      </c>
      <c r="DR13" s="102">
        <f>$BS13*(VLOOKUP(DR$4, Rates_current!$H$6:$R$41, 10, FALSE)+VLOOKUP(DR$4, Rates_current!$H$6:$R$41, 11, FALSE))</f>
        <v>107751.90022604658</v>
      </c>
      <c r="DS13" s="102">
        <f>$BS13*(VLOOKUP(DS$4, Rates_current!$H$6:$R$41, 10, FALSE)+VLOOKUP(DS$4, Rates_current!$H$6:$R$41, 11, FALSE))</f>
        <v>110533.68858028548</v>
      </c>
      <c r="DT13" s="102">
        <f>$BS13*(VLOOKUP(DT$4, Rates_current!$H$6:$R$41, 10, FALSE)+VLOOKUP(DT$4, Rates_current!$H$6:$R$41, 11, FALSE))</f>
        <v>85842.659032207273</v>
      </c>
      <c r="DU13" s="261">
        <f>IF(D13=0,IF(C13=0,MAX(0,DW13 - (VLOOKUP($A13,TOCA_current!$A$2:$AV$136,MATCH("RHWM "&amp;Init!$D$1,TOCA_current!$A$2:$AV$2,0),FALSE)*$BS$2)), 0),0)</f>
        <v>0</v>
      </c>
      <c r="DV13" s="262">
        <f>MIN(VLOOKUP($A13,TOCA_current!$A$2:$AV$136,MATCH("TRL - NLSL - Existing Resource "&amp;$BS$1,TOCA_current!$A$2:$AV$2,0),FALSE)*$BS$2, VLOOKUP($A13,TOCA_current!$A$2:$AV$136,MATCH("RHWM "&amp;Init!$D$1,TOCA_current!$A$2:$AV$2,0),FALSE)*$BS$2)</f>
        <v>1327315.2000000002</v>
      </c>
      <c r="DW13" s="262">
        <f>SUM(BY13:CV13)+(BS13*RT1SC!$C$4*$BS$2)</f>
        <v>1327313.0343512131</v>
      </c>
      <c r="DX13" s="262">
        <f>VLOOKUP($A13,TOCA_current!$A$2:$AV$136,MATCH("Above RHWM Not Served with LS "&amp;$BS$1,TOCA_current!$A$2:$AV$2,0),FALSE)*$BS$2</f>
        <v>0</v>
      </c>
      <c r="DY13" s="262">
        <f t="shared" si="28"/>
        <v>-2.1656487870495766</v>
      </c>
      <c r="DZ13" s="262">
        <f>(VLOOKUP($A13,TOCA_current!$A$2:$AV$136,MATCH("RHWM "&amp;Init!$D$1,TOCA_current!$A$2:$AV$2,0),FALSE)*$BS$2) - $DV13</f>
        <v>53050.559999999823</v>
      </c>
      <c r="EA13" s="262">
        <f t="shared" si="29"/>
        <v>0</v>
      </c>
      <c r="EB13" s="262">
        <f t="shared" si="30"/>
        <v>2.1656487870495766</v>
      </c>
      <c r="EC13" s="262">
        <f t="shared" si="31"/>
        <v>0</v>
      </c>
      <c r="ED13" s="262">
        <f t="shared" si="32"/>
        <v>2.1656487870495766</v>
      </c>
    </row>
    <row r="14" spans="1:134">
      <c r="A14" s="2">
        <v>10055</v>
      </c>
      <c r="B14" s="3" t="s">
        <v>16</v>
      </c>
      <c r="C14">
        <f>VLOOKUP(A14, TOCA_current!$A$3:$D$136, 4, FALSE)</f>
        <v>0</v>
      </c>
      <c r="D14">
        <v>0</v>
      </c>
      <c r="E14" s="84">
        <f>VLOOKUP($A14,TOCA_previous!$A$2:$AJ$136,MATCH(E$4,TOCA_previous!$A$2:$AJ$2,0),FALSE)</f>
        <v>5.66E-5</v>
      </c>
      <c r="F14" s="85">
        <f>VLOOKUP($A14,TOCA_previous!$A$2:$AJ$136,MATCH(F$4,TOCA_previous!$A$2:$AJ$2,0),FALSE)</f>
        <v>5.66E-5</v>
      </c>
      <c r="G14" s="85">
        <f t="shared" si="18"/>
        <v>0</v>
      </c>
      <c r="H14" s="85">
        <f>VLOOKUP($A14,TOCA_previous!$A$2:$AJ$136,MATCH(H$4,TOCA_previous!$A$2:$AJ$2,0),FALSE)</f>
        <v>0</v>
      </c>
      <c r="I14" s="85">
        <f t="shared" si="19"/>
        <v>0</v>
      </c>
      <c r="J14" s="85">
        <f t="shared" si="20"/>
        <v>0</v>
      </c>
      <c r="K14" s="101">
        <f>VLOOKUP(A14, IRD!$A$5:$C$138, 3, FALSE)</f>
        <v>0</v>
      </c>
      <c r="L14" s="102">
        <f t="array" ref="L14">IF($G14=0, INDEX(LS_previous!$D$4:$AY$137, MATCH('Staging Table'!$A14, LS_previous!$B$4:$B$137, 0), MATCH(L$4&amp;L$5, LS_previous!$D$2:$AY$2&amp;LS_previous!$D$3:$AY$3, 0)),SUM(VLOOKUP($A14, LS_previous!$B$4:$AY$137, LS_previous!D$148, FALSE), VLOOKUP('Staging Table'!$A14, LS_previous!$B$4:$AY$137,LS_previous!AB$148, FALSE))/2)</f>
        <v>46.383667562399978</v>
      </c>
      <c r="M14" s="102">
        <f t="array" ref="M14">IF($G14=0, INDEX(LS_previous!$D$4:$AY$137, MATCH('Staging Table'!$A14, LS_previous!$B$4:$B$137, 0), MATCH(M$4&amp;M$5, LS_previous!$D$2:$AY$2&amp;LS_previous!$D$3:$AY$3, 0)),SUM(VLOOKUP($A14, LS_previous!$B$4:$AY$137, LS_previous!E$148, FALSE), VLOOKUP('Staging Table'!$A14, LS_previous!$B$4:$AY$137,LS_previous!AC$148, FALSE))/2)</f>
        <v>29.281039536699993</v>
      </c>
      <c r="N14" s="102">
        <f t="array" ref="N14">IF($G14=0, INDEX(LS_previous!$D$4:$AY$137, MATCH('Staging Table'!$A14, LS_previous!$B$4:$B$137, 0), MATCH(N$4&amp;N$5, LS_previous!$D$2:$AY$2&amp;LS_previous!$D$3:$AY$3, 0)),SUM(VLOOKUP($A14, LS_previous!$B$4:$AY$137, LS_previous!F$148, FALSE), VLOOKUP('Staging Table'!$A14, LS_previous!$B$4:$AY$137,LS_previous!AD$148, FALSE))/2)</f>
        <v>7.0990172351999945</v>
      </c>
      <c r="O14" s="102">
        <f t="array" ref="O14">IF($G14=0, INDEX(LS_previous!$D$4:$AY$137, MATCH('Staging Table'!$A14, LS_previous!$B$4:$B$137, 0), MATCH(O$4&amp;O$5, LS_previous!$D$2:$AY$2&amp;LS_previous!$D$3:$AY$3, 0)),SUM(VLOOKUP($A14, LS_previous!$B$4:$AY$137, LS_previous!G$148, FALSE), VLOOKUP('Staging Table'!$A14, LS_previous!$B$4:$AY$137,LS_previous!AE$148, FALSE))/2)</f>
        <v>42.586269485399995</v>
      </c>
      <c r="P14" s="102">
        <f t="array" ref="P14">IF($G14=0, INDEX(LS_previous!$D$4:$AY$137, MATCH('Staging Table'!$A14, LS_previous!$B$4:$B$137, 0), MATCH(P$4&amp;P$5, LS_previous!$D$2:$AY$2&amp;LS_previous!$D$3:$AY$3, 0)),SUM(VLOOKUP($A14, LS_previous!$B$4:$AY$137, LS_previous!H$148, FALSE), VLOOKUP('Staging Table'!$A14, LS_previous!$B$4:$AY$137,LS_previous!AF$148, FALSE))/2)</f>
        <v>91.660507172600006</v>
      </c>
      <c r="Q14" s="102">
        <f t="array" ref="Q14">IF($G14=0, INDEX(LS_previous!$D$4:$AY$137, MATCH('Staging Table'!$A14, LS_previous!$B$4:$B$137, 0), MATCH(Q$4&amp;Q$5, LS_previous!$D$2:$AY$2&amp;LS_previous!$D$3:$AY$3, 0)),SUM(VLOOKUP($A14, LS_previous!$B$4:$AY$137, LS_previous!I$148, FALSE), VLOOKUP('Staging Table'!$A14, LS_previous!$B$4:$AY$137,LS_previous!AG$148, FALSE))/2)</f>
        <v>90.45575680639999</v>
      </c>
      <c r="R14" s="102">
        <f t="array" ref="R14">IF($G14=0, INDEX(LS_previous!$D$4:$AY$137, MATCH('Staging Table'!$A14, LS_previous!$B$4:$B$137, 0), MATCH(R$4&amp;R$5, LS_previous!$D$2:$AY$2&amp;LS_previous!$D$3:$AY$3, 0)),SUM(VLOOKUP($A14, LS_previous!$B$4:$AY$137, LS_previous!J$148, FALSE), VLOOKUP('Staging Table'!$A14, LS_previous!$B$4:$AY$137,LS_previous!AH$148, FALSE))/2)</f>
        <v>64.747848930999993</v>
      </c>
      <c r="S14" s="102">
        <f t="array" ref="S14">IF($G14=0, INDEX(LS_previous!$D$4:$AY$137, MATCH('Staging Table'!$A14, LS_previous!$B$4:$B$137, 0), MATCH(S$4&amp;S$5, LS_previous!$D$2:$AY$2&amp;LS_previous!$D$3:$AY$3, 0)),SUM(VLOOKUP($A14, LS_previous!$B$4:$AY$137, LS_previous!K$148, FALSE), VLOOKUP('Staging Table'!$A14, LS_previous!$B$4:$AY$137,LS_previous!AI$148, FALSE))/2)</f>
        <v>85.812387558599994</v>
      </c>
      <c r="T14" s="102">
        <f t="array" ref="T14">IF($G14=0, INDEX(LS_previous!$D$4:$AY$137, MATCH('Staging Table'!$A14, LS_previous!$B$4:$B$137, 0), MATCH(T$4&amp;T$5, LS_previous!$D$2:$AY$2&amp;LS_previous!$D$3:$AY$3, 0)),SUM(VLOOKUP($A14, LS_previous!$B$4:$AY$137, LS_previous!L$148, FALSE), VLOOKUP('Staging Table'!$A14, LS_previous!$B$4:$AY$137,LS_previous!AJ$148, FALSE))/2)</f>
        <v>38.237233248600006</v>
      </c>
      <c r="U14" s="102">
        <f t="array" ref="U14">IF($G14=0, INDEX(LS_previous!$D$4:$AY$137, MATCH('Staging Table'!$A14, LS_previous!$B$4:$B$137, 0), MATCH(U$4&amp;U$5, LS_previous!$D$2:$AY$2&amp;LS_previous!$D$3:$AY$3, 0)),SUM(VLOOKUP($A14, LS_previous!$B$4:$AY$137, LS_previous!M$148, FALSE), VLOOKUP('Staging Table'!$A14, LS_previous!$B$4:$AY$137,LS_previous!AK$148, FALSE))/2)</f>
        <v>58.313549120600015</v>
      </c>
      <c r="V14" s="102">
        <f t="array" ref="V14">IF($G14=0, INDEX(LS_previous!$D$4:$AY$137, MATCH('Staging Table'!$A14, LS_previous!$B$4:$B$137, 0), MATCH(V$4&amp;V$5, LS_previous!$D$2:$AY$2&amp;LS_previous!$D$3:$AY$3, 0)),SUM(VLOOKUP($A14, LS_previous!$B$4:$AY$137, LS_previous!N$148, FALSE), VLOOKUP('Staging Table'!$A14, LS_previous!$B$4:$AY$137,LS_previous!AL$148, FALSE))/2)</f>
        <v>15.550578204200008</v>
      </c>
      <c r="W14" s="102">
        <f t="array" ref="W14">IF($G14=0, INDEX(LS_previous!$D$4:$AY$137, MATCH('Staging Table'!$A14, LS_previous!$B$4:$B$137, 0), MATCH(W$4&amp;W$5, LS_previous!$D$2:$AY$2&amp;LS_previous!$D$3:$AY$3, 0)),SUM(VLOOKUP($A14, LS_previous!$B$4:$AY$137, LS_previous!O$148, FALSE), VLOOKUP('Staging Table'!$A14, LS_previous!$B$4:$AY$137,LS_previous!AM$148, FALSE))/2)</f>
        <v>36.388527365199991</v>
      </c>
      <c r="X14" s="102">
        <f t="array" ref="X14">IF($G14=0, INDEX(LS_previous!$D$4:$AY$137, MATCH('Staging Table'!$A14, LS_previous!$B$4:$B$137, 0), MATCH(X$4&amp;X$5, LS_previous!$D$2:$AY$2&amp;LS_previous!$D$3:$AY$3, 0)),SUM(VLOOKUP($A14, LS_previous!$B$4:$AY$137, LS_previous!P$148, FALSE), VLOOKUP('Staging Table'!$A14, LS_previous!$B$4:$AY$137,LS_previous!AN$148, FALSE))/2)</f>
        <v>31.792719793499998</v>
      </c>
      <c r="Y14" s="102">
        <f t="array" ref="Y14">IF($G14=0, INDEX(LS_previous!$D$4:$AY$137, MATCH('Staging Table'!$A14, LS_previous!$B$4:$B$137, 0), MATCH(Y$4&amp;Y$5, LS_previous!$D$2:$AY$2&amp;LS_previous!$D$3:$AY$3, 0)),SUM(VLOOKUP($A14, LS_previous!$B$4:$AY$137, LS_previous!Q$148, FALSE), VLOOKUP('Staging Table'!$A14, LS_previous!$B$4:$AY$137,LS_previous!AO$148, FALSE))/2)</f>
        <v>28.979918064950013</v>
      </c>
      <c r="Z14" s="102">
        <f t="array" ref="Z14">IF($G14=0, INDEX(LS_previous!$D$4:$AY$137, MATCH('Staging Table'!$A14, LS_previous!$B$4:$B$137, 0), MATCH(Z$4&amp;Z$5, LS_previous!$D$2:$AY$2&amp;LS_previous!$D$3:$AY$3, 0)),SUM(VLOOKUP($A14, LS_previous!$B$4:$AY$137, LS_previous!R$148, FALSE), VLOOKUP('Staging Table'!$A14, LS_previous!$B$4:$AY$137,LS_previous!AP$148, FALSE))/2)</f>
        <v>-37.957833596800015</v>
      </c>
      <c r="AA14" s="102">
        <f t="array" ref="AA14">IF($G14=0, INDEX(LS_previous!$D$4:$AY$137, MATCH('Staging Table'!$A14, LS_previous!$B$4:$B$137, 0), MATCH(AA$4&amp;AA$5, LS_previous!$D$2:$AY$2&amp;LS_previous!$D$3:$AY$3, 0)),SUM(VLOOKUP($A14, LS_previous!$B$4:$AY$137, LS_previous!S$148, FALSE), VLOOKUP('Staging Table'!$A14, LS_previous!$B$4:$AY$137,LS_previous!AQ$148, FALSE))/2)</f>
        <v>-6.0501143710999941</v>
      </c>
      <c r="AB14" s="102">
        <f t="array" ref="AB14">IF($G14=0, INDEX(LS_previous!$D$4:$AY$137, MATCH('Staging Table'!$A14, LS_previous!$B$4:$B$137, 0), MATCH(AB$4&amp;AB$5, LS_previous!$D$2:$AY$2&amp;LS_previous!$D$3:$AY$3, 0)),SUM(VLOOKUP($A14, LS_previous!$B$4:$AY$137, LS_previous!T$148, FALSE), VLOOKUP('Staging Table'!$A14, LS_previous!$B$4:$AY$137,LS_previous!AR$148, FALSE))/2)</f>
        <v>-40.589448611599977</v>
      </c>
      <c r="AC14" s="102">
        <f t="array" ref="AC14">IF($G14=0, INDEX(LS_previous!$D$4:$AY$137, MATCH('Staging Table'!$A14, LS_previous!$B$4:$B$137, 0), MATCH(AC$4&amp;AC$5, LS_previous!$D$2:$AY$2&amp;LS_previous!$D$3:$AY$3, 0)),SUM(VLOOKUP($A14, LS_previous!$B$4:$AY$137, LS_previous!U$148, FALSE), VLOOKUP('Staging Table'!$A14, LS_previous!$B$4:$AY$137,LS_previous!AS$148, FALSE))/2)</f>
        <v>-24.896968084700006</v>
      </c>
      <c r="AD14" s="102">
        <f t="array" ref="AD14">IF($G14=0, INDEX(LS_previous!$D$4:$AY$137, MATCH('Staging Table'!$A14, LS_previous!$B$4:$B$137, 0), MATCH(AD$4&amp;AD$5, LS_previous!$D$2:$AY$2&amp;LS_previous!$D$3:$AY$3, 0)),SUM(VLOOKUP($A14, LS_previous!$B$4:$AY$137, LS_previous!V$148, FALSE), VLOOKUP('Staging Table'!$A14, LS_previous!$B$4:$AY$137,LS_previous!AT$148, FALSE))/2)</f>
        <v>6.7410021576000076</v>
      </c>
      <c r="AE14" s="102">
        <f t="array" ref="AE14">IF($G14=0, INDEX(LS_previous!$D$4:$AY$137, MATCH('Staging Table'!$A14, LS_previous!$B$4:$B$137, 0), MATCH(AE$4&amp;AE$5, LS_previous!$D$2:$AY$2&amp;LS_previous!$D$3:$AY$3, 0)),SUM(VLOOKUP($A14, LS_previous!$B$4:$AY$137, LS_previous!W$148, FALSE), VLOOKUP('Staging Table'!$A14, LS_previous!$B$4:$AY$137,LS_previous!AU$148, FALSE))/2)</f>
        <v>1.3316992835000008</v>
      </c>
      <c r="AF14" s="102">
        <f t="array" ref="AF14">IF($G14=0, INDEX(LS_previous!$D$4:$AY$137, MATCH('Staging Table'!$A14, LS_previous!$B$4:$B$137, 0), MATCH(AF$4&amp;AF$5, LS_previous!$D$2:$AY$2&amp;LS_previous!$D$3:$AY$3, 0)),SUM(VLOOKUP($A14, LS_previous!$B$4:$AY$137, LS_previous!X$148, FALSE), VLOOKUP('Staging Table'!$A14, LS_previous!$B$4:$AY$137,LS_previous!AV$148, FALSE))/2)</f>
        <v>-1.4472237069000187</v>
      </c>
      <c r="AG14" s="102">
        <f t="array" ref="AG14">IF($G14=0, INDEX(LS_previous!$D$4:$AY$137, MATCH('Staging Table'!$A14, LS_previous!$B$4:$B$137, 0), MATCH(AG$4&amp;AG$5, LS_previous!$D$2:$AY$2&amp;LS_previous!$D$3:$AY$3, 0)),SUM(VLOOKUP($A14, LS_previous!$B$4:$AY$137, LS_previous!Y$148, FALSE), VLOOKUP('Staging Table'!$A14, LS_previous!$B$4:$AY$137,LS_previous!AW$148, FALSE))/2)</f>
        <v>0.83982468049001113</v>
      </c>
      <c r="AH14" s="102">
        <f t="array" ref="AH14">IF($G14=0, INDEX(LS_previous!$D$4:$AY$137, MATCH('Staging Table'!$A14, LS_previous!$B$4:$B$137, 0), MATCH(AH$4&amp;AH$5, LS_previous!$D$2:$AY$2&amp;LS_previous!$D$3:$AY$3, 0)),SUM(VLOOKUP($A14, LS_previous!$B$4:$AY$137, LS_previous!Z$148, FALSE), VLOOKUP('Staging Table'!$A14, LS_previous!$B$4:$AY$137,LS_previous!AX$148, FALSE))/2)</f>
        <v>4.391493691599976</v>
      </c>
      <c r="AI14" s="102">
        <f t="array" ref="AI14">IF($G14=0, INDEX(LS_previous!$D$4:$AY$137, MATCH('Staging Table'!$A14, LS_previous!$B$4:$B$137, 0), MATCH(AI$4&amp;AI$5, LS_previous!$D$2:$AY$2&amp;LS_previous!$D$3:$AY$3, 0)),SUM(VLOOKUP($A14, LS_previous!$B$4:$AY$137, LS_previous!AA$148, FALSE), VLOOKUP('Staging Table'!$A14, LS_previous!$B$4:$AY$137,LS_previous!AY$148, FALSE))/2)</f>
        <v>-1.2106912864000066</v>
      </c>
      <c r="AJ14" s="103">
        <f t="array" ref="AJ14">INDEX(Demand_previous!$D$4:$AY$137, MATCH('Staging Table'!$A14, Demand_previous!$B$4:$B$137, 0), MATCH(AJ$4&amp;AJ$5,Demand_previous!$D$2:$AY$2&amp;Demand_previous!$D$3:$AY$3, 0))/1000</f>
        <v>0.21722115384615381</v>
      </c>
      <c r="AK14" s="103">
        <f t="array" ref="AK14">INDEX(Demand_previous!$D$4:$AY$137, MATCH('Staging Table'!$A14, Demand_previous!$B$4:$B$137, 0), MATCH(AK$4&amp;AK$5,Demand_previous!$D$2:$AY$2&amp;Demand_previous!$D$3:$AY$3, 0))/1000</f>
        <v>0.15732750000000001</v>
      </c>
      <c r="AL14" s="103">
        <f t="array" ref="AL14">INDEX(Demand_previous!$D$4:$AY$137, MATCH('Staging Table'!$A14, Demand_previous!$B$4:$B$137, 0), MATCH(AL$4&amp;AL$5,Demand_previous!$D$2:$AY$2&amp;Demand_previous!$D$3:$AY$3, 0))/1000</f>
        <v>0.34870000000000001</v>
      </c>
      <c r="AM14" s="103">
        <f t="array" ref="AM14">INDEX(Demand_previous!$D$4:$AY$137, MATCH('Staging Table'!$A14, Demand_previous!$B$4:$B$137, 0), MATCH(AM$4&amp;AM$5,Demand_previous!$D$2:$AY$2&amp;Demand_previous!$D$3:$AY$3, 0))/1000</f>
        <v>0.37308653846153855</v>
      </c>
      <c r="AN14" s="103">
        <f t="array" ref="AN14">INDEX(Demand_previous!$D$4:$AY$137, MATCH('Staging Table'!$A14, Demand_previous!$B$4:$B$137, 0), MATCH(AN$4&amp;AN$5,Demand_previous!$D$2:$AY$2&amp;Demand_previous!$D$3:$AY$3, 0))/1000</f>
        <v>0.24445749999999997</v>
      </c>
      <c r="AO14" s="103">
        <f t="array" ref="AO14">INDEX(Demand_previous!$D$4:$AY$137, MATCH('Staging Table'!$A14, Demand_previous!$B$4:$B$137, 0), MATCH(AO$4&amp;AO$5,Demand_previous!$D$2:$AY$2&amp;Demand_previous!$D$3:$AY$3, 0))/1000</f>
        <v>0.22123076923076929</v>
      </c>
      <c r="AP14" s="103">
        <f t="array" ref="AP14">INDEX(Demand_previous!$D$4:$AY$137, MATCH('Staging Table'!$A14, Demand_previous!$B$4:$B$137, 0), MATCH(AP$4&amp;AP$5,Demand_previous!$D$2:$AY$2&amp;Demand_previous!$D$3:$AY$3, 0))/1000</f>
        <v>7.7170673076923046E-2</v>
      </c>
      <c r="AQ14" s="103">
        <f t="array" ref="AQ14">INDEX(Demand_previous!$D$4:$AY$137, MATCH('Staging Table'!$A14, Demand_previous!$B$4:$B$137, 0), MATCH(AQ$4&amp;AQ$5,Demand_previous!$D$2:$AY$2&amp;Demand_previous!$D$3:$AY$3, 0))/1000</f>
        <v>0.15448317307692305</v>
      </c>
      <c r="AR14" s="103">
        <f t="array" ref="AR14">INDEX(Demand_previous!$D$4:$AY$137, MATCH('Staging Table'!$A14, Demand_previous!$B$4:$B$137, 0), MATCH(AR$4&amp;AR$5,Demand_previous!$D$2:$AY$2&amp;Demand_previous!$D$3:$AY$3, 0))/1000</f>
        <v>0.1287325</v>
      </c>
      <c r="AS14" s="103">
        <f t="array" ref="AS14">INDEX(Demand_previous!$D$4:$AY$137, MATCH('Staging Table'!$A14, Demand_previous!$B$4:$B$137, 0), MATCH(AS$4&amp;AS$5,Demand_previous!$D$2:$AY$2&amp;Demand_previous!$D$3:$AY$3, 0))/1000</f>
        <v>0.16450240384615383</v>
      </c>
      <c r="AT14" s="103">
        <f t="array" ref="AT14">INDEX(Demand_previous!$D$4:$AY$137, MATCH('Staging Table'!$A14, Demand_previous!$B$4:$B$137, 0), MATCH(AT$4&amp;AT$5,Demand_previous!$D$2:$AY$2&amp;Demand_previous!$D$3:$AY$3, 0))/1000</f>
        <v>0.19089814814814815</v>
      </c>
      <c r="AU14" s="103">
        <f t="array" ref="AU14">INDEX(Demand_previous!$D$4:$AY$137, MATCH('Staging Table'!$A14, Demand_previous!$B$4:$B$137, 0), MATCH(AU$4&amp;AU$5,Demand_previous!$D$2:$AY$2&amp;Demand_previous!$D$3:$AY$3, 0))/1000</f>
        <v>7.8132812499999982E-2</v>
      </c>
      <c r="AV14" s="102">
        <f>$F14*(VLOOKUP(AV$4, Rates_previous!$G$6:$Q$29, 10, FALSE)+VLOOKUP(AV$4, Rates_previous!$G$6:$Q$29, 11, FALSE))</f>
        <v>238.7842929009</v>
      </c>
      <c r="AW14" s="102">
        <f>$F14*(VLOOKUP(AW$4, Rates_previous!$G$6:$Q$29, 10, FALSE)+VLOOKUP(AW$4, Rates_previous!$G$6:$Q$29, 11, FALSE))</f>
        <v>304.52871327940005</v>
      </c>
      <c r="AX14" s="102">
        <f>$F14*(VLOOKUP(AX$4, Rates_previous!$G$6:$Q$29, 10, FALSE)+VLOOKUP(AX$4, Rates_previous!$G$6:$Q$29, 11, FALSE))</f>
        <v>328.64673602100004</v>
      </c>
      <c r="AY14" s="102">
        <f>$F14*(VLOOKUP(AY$4, Rates_previous!$G$6:$Q$29, 10, FALSE)+VLOOKUP(AY$4, Rates_previous!$G$6:$Q$29, 11, FALSE))</f>
        <v>341.51476351039997</v>
      </c>
      <c r="AZ14" s="102">
        <f>$F14*(VLOOKUP(AZ$4, Rates_previous!$G$6:$Q$29, 10, FALSE)+VLOOKUP(AZ$4, Rates_previous!$G$6:$Q$29, 11, FALSE))</f>
        <v>293.74821763079996</v>
      </c>
      <c r="BA14" s="102">
        <f>$F14*(VLOOKUP(BA$4, Rates_previous!$G$6:$Q$29, 10, FALSE)+VLOOKUP(BA$4, Rates_previous!$G$6:$Q$29, 11, FALSE))</f>
        <v>320.7148944306</v>
      </c>
      <c r="BB14" s="102">
        <f>$F14*(VLOOKUP(BB$4, Rates_previous!$G$6:$Q$29, 10, FALSE)+VLOOKUP(BB$4, Rates_previous!$G$6:$Q$29, 11, FALSE))</f>
        <v>253.15036214154998</v>
      </c>
      <c r="BC14" s="102">
        <f>$F14*(VLOOKUP(BC$4, Rates_previous!$G$6:$Q$29, 10, FALSE)+VLOOKUP(BC$4, Rates_previous!$G$6:$Q$29, 11, FALSE))</f>
        <v>314.06694796790003</v>
      </c>
      <c r="BD14" s="102">
        <f>$F14*(VLOOKUP(BD$4, Rates_previous!$G$6:$Q$29, 10, FALSE)+VLOOKUP(BD$4, Rates_previous!$G$6:$Q$29, 11, FALSE))</f>
        <v>320.88141669629999</v>
      </c>
      <c r="BE14" s="102">
        <f>$F14*(VLOOKUP(BE$4, Rates_previous!$G$6:$Q$29, 10, FALSE)+VLOOKUP(BE$4, Rates_previous!$G$6:$Q$29, 11, FALSE))</f>
        <v>278.57129855889997</v>
      </c>
      <c r="BF14" s="102">
        <f>$F14*(VLOOKUP(BF$4, Rates_previous!$G$6:$Q$29, 10, FALSE)+VLOOKUP(BF$4, Rates_previous!$G$6:$Q$29, 11, FALSE))</f>
        <v>269.30439902641001</v>
      </c>
      <c r="BG14" s="102">
        <f>$F14*(VLOOKUP(BG$4, Rates_previous!$G$6:$Q$29, 10, FALSE)+VLOOKUP(BG$4, Rates_previous!$G$6:$Q$29, 11, FALSE))</f>
        <v>247.81219759480004</v>
      </c>
      <c r="BH14" s="103">
        <f>IF($D14=0,IF(C14=0, MAX(BJ14 - (VLOOKUP($A14,TOCA_previous!$A$2:$AJ$136,MATCH("RHWM "&amp;Init!$D$1-2,TOCA_previous!$A$2:$AJ$2,0),FALSE)*$F$2*TOCA_previous!C11),0),0), 0)</f>
        <v>584.13301609703922</v>
      </c>
      <c r="BI14" s="109">
        <f>MIN(VLOOKUP($A14,TOCA_previous!$A$2:$AJ$136,MATCH("TRL - NLSL - Existing Resource "&amp;$F$1,TOCA_previous!$A$2:$AJ$2,0),FALSE)*$F$2,(VLOOKUP($A14,TOCA_previous!$A$2:$AJ$136,MATCH("RHWM "&amp;Init!$D$1-2,TOCA_previous!$A$2:$AJ$2,0),FALSE)*$F$2))</f>
        <v>3434.5440000000003</v>
      </c>
      <c r="BJ14" s="261">
        <f>SUM(L14:AI14)+(F14*RT1SC!$C$3*$F$2)</f>
        <v>4080.1650160970394</v>
      </c>
      <c r="BK14" s="260">
        <f>VLOOKUP($A14,TOCA_previous!$A$2:$AJ$136,MATCH("Above RHWM Not Served with LS "&amp;$F$1,TOCA_previous!$A$2:$AJ$2,0),FALSE)*$F$2</f>
        <v>0</v>
      </c>
      <c r="BL14" s="261">
        <f t="shared" si="21"/>
        <v>645.62101609703905</v>
      </c>
      <c r="BM14" s="260">
        <f>(VLOOKUP($A14,TOCA_previous!$A$2:$AJ$136,MATCH("RHWM "&amp;Init!$D$1-2,TOCA_previous!$A$2:$AJ$2,0),FALSE)*$F$2) - $BI14</f>
        <v>61.487999999999829</v>
      </c>
      <c r="BN14" s="261">
        <f t="shared" si="22"/>
        <v>-61.487999999999829</v>
      </c>
      <c r="BO14" s="260">
        <f t="shared" si="23"/>
        <v>0</v>
      </c>
      <c r="BP14" s="261">
        <f t="shared" si="24"/>
        <v>0</v>
      </c>
      <c r="BQ14" s="260">
        <f t="shared" si="9"/>
        <v>-61.487999999999829</v>
      </c>
      <c r="BR14" s="85">
        <f>VLOOKUP($A14,TOCA_current!$A$2:$ZZ$136,MATCH(BR$4,TOCA_current!$A$2:$ZZ$2,0),FALSE)</f>
        <v>5.63E-5</v>
      </c>
      <c r="BS14" s="85">
        <f>VLOOKUP($A14,TOCA_current!$A$2:$ZZ$136,MATCH(BS$4,TOCA_current!$A$2:$ZZ$2,0),FALSE)</f>
        <v>5.63E-5</v>
      </c>
      <c r="BT14" s="108">
        <f t="shared" si="25"/>
        <v>0</v>
      </c>
      <c r="BU14" s="85">
        <f>VLOOKUP($A14,TOCA_current!A11:BG145,MATCH(BU$4,TOCA_current!$A$2:$BG$2,0),FALSE)</f>
        <v>0</v>
      </c>
      <c r="BV14" s="85">
        <f t="shared" si="26"/>
        <v>0</v>
      </c>
      <c r="BW14" s="85">
        <f t="shared" si="27"/>
        <v>0</v>
      </c>
      <c r="BX14" s="101">
        <f>VLOOKUP($A14,IRD!$A$4:$G$138, 7, FALSE)</f>
        <v>0</v>
      </c>
      <c r="BY14" s="102">
        <f t="array" ref="BY14">IF($BT14=0, INDEX(LS_current!$D$4:$BW$137, MATCH('Staging Table'!$A14, LS_current!$B$4:$B$137, 0), MATCH(BY$4&amp;BY$5, LS_current!$D$2:$BW$2&amp;LS_current!$D$3:$BW$3, 0)),SUM(VLOOKUP($A14, LS_current!$B$4:$BW$137, LS_current!D$147, FALSE), VLOOKUP($A14, LS_current!$B$4:$BW$137,LS_current!AZ$147, FALSE))/2)</f>
        <v>45.257794143503759</v>
      </c>
      <c r="BZ14" s="102">
        <f t="array" ref="BZ14">IF($BT14=0, INDEX(LS_current!$D$4:$BW$137, MATCH('Staging Table'!$A14, LS_current!$B$4:$B$137, 0), MATCH(BZ$4&amp;BZ$5, LS_current!$D$2:$BW$2&amp;LS_current!$D$3:$BW$3, 0)),SUM(VLOOKUP($A14, LS_current!$B$4:$BW$137, LS_current!E$147, FALSE), VLOOKUP($A14, LS_current!$B$4:$BW$137,LS_current!BA$147, FALSE))/2)</f>
        <v>35.530013487958257</v>
      </c>
      <c r="CA14" s="102">
        <f t="array" ref="CA14">IF($BT14=0, INDEX(LS_current!$D$4:$BW$137, MATCH('Staging Table'!$A14, LS_current!$B$4:$B$137, 0), MATCH(CA$4&amp;CA$5, LS_current!$D$2:$BW$2&amp;LS_current!$D$3:$BW$3, 0)),SUM(VLOOKUP($A14, LS_current!$B$4:$BW$137, LS_current!F$147, FALSE), VLOOKUP($A14, LS_current!$B$4:$BW$137,LS_current!BB$147, FALSE))/2)</f>
        <v>11.393764759244988</v>
      </c>
      <c r="CB14" s="102">
        <f t="array" ref="CB14">IF($BT14=0, INDEX(LS_current!$D$4:$BW$137, MATCH('Staging Table'!$A14, LS_current!$B$4:$B$137, 0), MATCH(CB$4&amp;CB$5, LS_current!$D$2:$BW$2&amp;LS_current!$D$3:$BW$3, 0)),SUM(VLOOKUP($A14, LS_current!$B$4:$BW$137, LS_current!G$147, FALSE), VLOOKUP($A14, LS_current!$B$4:$BW$137,LS_current!BC$147, FALSE))/2)</f>
        <v>44.092091073433835</v>
      </c>
      <c r="CC14" s="102">
        <f t="array" ref="CC14">IF($BT14=0, INDEX(LS_current!$D$4:$BW$137, MATCH('Staging Table'!$A14, LS_current!$B$4:$B$137, 0), MATCH(CC$4&amp;CC$5, LS_current!$D$2:$BW$2&amp;LS_current!$D$3:$BW$3, 0)),SUM(VLOOKUP($A14, LS_current!$B$4:$BW$137, LS_current!H$147, FALSE), VLOOKUP($A14, LS_current!$B$4:$BW$137,LS_current!BD$147, FALSE))/2)</f>
        <v>73.213612943382941</v>
      </c>
      <c r="CD14" s="102">
        <f t="array" ref="CD14">IF($BT14=0, INDEX(LS_current!$D$4:$BW$137, MATCH('Staging Table'!$A14, LS_current!$B$4:$B$137, 0), MATCH(CD$4&amp;CD$5, LS_current!$D$2:$BW$2&amp;LS_current!$D$3:$BW$3, 0)),SUM(VLOOKUP($A14, LS_current!$B$4:$BW$137, LS_current!I$147, FALSE), VLOOKUP($A14, LS_current!$B$4:$BW$137,LS_current!BE$147, FALSE))/2)</f>
        <v>97.920471850271511</v>
      </c>
      <c r="CE14" s="102">
        <f t="array" ref="CE14">IF($BT14=0, INDEX(LS_current!$D$4:$BW$137, MATCH('Staging Table'!$A14, LS_current!$B$4:$B$137, 0), MATCH(CE$4&amp;CE$5, LS_current!$D$2:$BW$2&amp;LS_current!$D$3:$BW$3, 0)),SUM(VLOOKUP($A14, LS_current!$B$4:$BW$137, LS_current!J$147, FALSE), VLOOKUP($A14, LS_current!$B$4:$BW$137,LS_current!BF$147, FALSE))/2)</f>
        <v>50.326515035379629</v>
      </c>
      <c r="CF14" s="102">
        <f t="array" ref="CF14">IF($BT14=0, INDEX(LS_current!$D$4:$BW$137, MATCH('Staging Table'!$A14, LS_current!$B$4:$B$137, 0), MATCH(CF$4&amp;CF$5, LS_current!$D$2:$BW$2&amp;LS_current!$D$3:$BW$3, 0)),SUM(VLOOKUP($A14, LS_current!$B$4:$BW$137, LS_current!K$147, FALSE), VLOOKUP($A14, LS_current!$B$4:$BW$137,LS_current!BG$147, FALSE))/2)</f>
        <v>83.413468367377305</v>
      </c>
      <c r="CG14" s="102">
        <f t="array" ref="CG14">IF($BT14=0, INDEX(LS_current!$D$4:$BW$137, MATCH('Staging Table'!$A14, LS_current!$B$4:$B$137, 0), MATCH(CG$4&amp;CG$5, LS_current!$D$2:$BW$2&amp;LS_current!$D$3:$BW$3, 0)),SUM(VLOOKUP($A14, LS_current!$B$4:$BW$137, LS_current!L$147, FALSE), VLOOKUP($A14, LS_current!$B$4:$BW$137,LS_current!BH$147, FALSE))/2)</f>
        <v>43.300819563966172</v>
      </c>
      <c r="CH14" s="102">
        <f t="array" ref="CH14">IF($BT14=0, INDEX(LS_current!$D$4:$BW$137, MATCH('Staging Table'!$A14, LS_current!$B$4:$B$137, 0), MATCH(CH$4&amp;CH$5, LS_current!$D$2:$BW$2&amp;LS_current!$D$3:$BW$3, 0)),SUM(VLOOKUP($A14, LS_current!$B$4:$BW$137, LS_current!M$147, FALSE), VLOOKUP($A14, LS_current!$B$4:$BW$137,LS_current!BI$147, FALSE))/2)</f>
        <v>61.437513179444835</v>
      </c>
      <c r="CI14" s="102">
        <f t="array" ref="CI14">IF($BT14=0, INDEX(LS_current!$D$4:$BW$137, MATCH('Staging Table'!$A14, LS_current!$B$4:$B$137, 0), MATCH(CI$4&amp;CI$5, LS_current!$D$2:$BW$2&amp;LS_current!$D$3:$BW$3, 0)),SUM(VLOOKUP($A14, LS_current!$B$4:$BW$137, LS_current!N$147, FALSE), VLOOKUP($A14, LS_current!$B$4:$BW$137,LS_current!BJ$147, FALSE))/2)</f>
        <v>7.7863604741955328</v>
      </c>
      <c r="CJ14" s="102">
        <f t="array" ref="CJ14">IF($BT14=0, INDEX(LS_current!$D$4:$BW$137, MATCH('Staging Table'!$A14, LS_current!$B$4:$B$137, 0), MATCH(CJ$4&amp;CJ$5, LS_current!$D$2:$BW$2&amp;LS_current!$D$3:$BW$3, 0)),SUM(VLOOKUP($A14, LS_current!$B$4:$BW$137, LS_current!O$147, FALSE), VLOOKUP($A14, LS_current!$B$4:$BW$137,LS_current!BK$147, FALSE))/2)</f>
        <v>52.691188690239116</v>
      </c>
      <c r="CK14" s="102">
        <f t="array" ref="CK14">IF($BT14=0, INDEX(LS_current!$D$4:$BW$137, MATCH('Staging Table'!$A14, LS_current!$B$4:$B$137, 0), MATCH(CK$4&amp;CK$5, LS_current!$D$2:$BW$2&amp;LS_current!$D$3:$BW$3, 0)),SUM(VLOOKUP($A14, LS_current!$B$4:$BW$137, LS_current!P$147, FALSE), VLOOKUP($A14, LS_current!$B$4:$BW$137,LS_current!BL$147, FALSE))/2)</f>
        <v>36.91603907883669</v>
      </c>
      <c r="CL14" s="102">
        <f t="array" ref="CL14">IF($BT14=0, INDEX(LS_current!$D$4:$BW$137, MATCH('Staging Table'!$A14, LS_current!$B$4:$B$137, 0), MATCH(CL$4&amp;CL$5, LS_current!$D$2:$BW$2&amp;LS_current!$D$3:$BW$3, 0)),SUM(VLOOKUP($A14, LS_current!$B$4:$BW$137, LS_current!Q$147, FALSE), VLOOKUP($A14, LS_current!$B$4:$BW$137,LS_current!BM$147, FALSE))/2)</f>
        <v>35.067071318190756</v>
      </c>
      <c r="CM14" s="102">
        <f t="array" ref="CM14">IF($BT14=0, INDEX(LS_current!$D$4:$BW$137, MATCH('Staging Table'!$A14, LS_current!$B$4:$B$137, 0), MATCH(CM$4&amp;CM$5, LS_current!$D$2:$BW$2&amp;LS_current!$D$3:$BW$3, 0)),SUM(VLOOKUP($A14, LS_current!$B$4:$BW$137, LS_current!R$147, FALSE), VLOOKUP($A14, LS_current!$B$4:$BW$137,LS_current!BN$147, FALSE))/2)</f>
        <v>-36.710086902333785</v>
      </c>
      <c r="CN14" s="102">
        <f t="array" ref="CN14">IF($BT14=0, INDEX(LS_current!$D$4:$BW$137, MATCH('Staging Table'!$A14, LS_current!$B$4:$B$137, 0), MATCH(CN$4&amp;CN$5, LS_current!$D$2:$BW$2&amp;LS_current!$D$3:$BW$3, 0)),SUM(VLOOKUP($A14, LS_current!$B$4:$BW$137, LS_current!S$147, FALSE), VLOOKUP($A14, LS_current!$B$4:$BW$137,LS_current!BO$147, FALSE))/2)</f>
        <v>-6.340966215224114</v>
      </c>
      <c r="CO14" s="102">
        <f t="array" ref="CO14">IF($BT14=0, INDEX(LS_current!$D$4:$BW$137, MATCH('Staging Table'!$A14, LS_current!$B$4:$B$137, 0), MATCH(CO$4&amp;CO$5, LS_current!$D$2:$BW$2&amp;LS_current!$D$3:$BW$3, 0)),SUM(VLOOKUP($A14, LS_current!$B$4:$BW$137, LS_current!T$147, FALSE), VLOOKUP($A14, LS_current!$B$4:$BW$137,LS_current!BP$147, FALSE))/2)</f>
        <v>-47.517905814750634</v>
      </c>
      <c r="CP14" s="102">
        <f t="array" ref="CP14">IF($BT14=0, INDEX(LS_current!$D$4:$BW$137, MATCH('Staging Table'!$A14, LS_current!$B$4:$B$137, 0), MATCH(CP$4&amp;CP$5, LS_current!$D$2:$BW$2&amp;LS_current!$D$3:$BW$3, 0)),SUM(VLOOKUP($A14, LS_current!$B$4:$BW$137, LS_current!U$147, FALSE), VLOOKUP($A14, LS_current!$B$4:$BW$137,LS_current!BQ$147, FALSE))/2)</f>
        <v>-16.882958399986649</v>
      </c>
      <c r="CQ14" s="102">
        <f t="array" ref="CQ14">IF($BT14=0, INDEX(LS_current!$D$4:$BW$137, MATCH('Staging Table'!$A14, LS_current!$B$4:$B$137, 0), MATCH(CQ$4&amp;CQ$5, LS_current!$D$2:$BW$2&amp;LS_current!$D$3:$BW$3, 0)),SUM(VLOOKUP($A14, LS_current!$B$4:$BW$137, LS_current!V$147, FALSE), VLOOKUP($A14, LS_current!$B$4:$BW$137,LS_current!BR$147, FALSE))/2)</f>
        <v>-3.1840368084402826E-2</v>
      </c>
      <c r="CR14" s="102">
        <f t="array" ref="CR14">IF($BT14=0, INDEX(LS_current!$D$4:$BW$137, MATCH('Staging Table'!$A14, LS_current!$B$4:$B$137, 0), MATCH(CR$4&amp;CR$5, LS_current!$D$2:$BW$2&amp;LS_current!$D$3:$BW$3, 0)),SUM(VLOOKUP($A14, LS_current!$B$4:$BW$137, LS_current!W$147, FALSE), VLOOKUP($A14, LS_current!$B$4:$BW$137,LS_current!BS$147, FALSE))/2)</f>
        <v>2.0298637572031737</v>
      </c>
      <c r="CS14" s="102">
        <f t="array" ref="CS14">IF($BT14=0, INDEX(LS_current!$D$4:$BW$137, MATCH('Staging Table'!$A14, LS_current!$B$4:$B$137, 0), MATCH(CS$4&amp;CS$5, LS_current!$D$2:$BW$2&amp;LS_current!$D$3:$BW$3, 0)),SUM(VLOOKUP($A14, LS_current!$B$4:$BW$137, LS_current!X$147, FALSE), VLOOKUP($A14, LS_current!$B$4:$BW$137,LS_current!BT$147, FALSE))/2)</f>
        <v>-24.704374668914227</v>
      </c>
      <c r="CT14" s="102">
        <f t="array" ref="CT14">IF($BT14=0, INDEX(LS_current!$D$4:$BW$137, MATCH('Staging Table'!$A14, LS_current!$B$4:$B$137, 0), MATCH(CT$4&amp;CT$5, LS_current!$D$2:$BW$2&amp;LS_current!$D$3:$BW$3, 0)),SUM(VLOOKUP($A14, LS_current!$B$4:$BW$137, LS_current!Y$147, FALSE), VLOOKUP($A14, LS_current!$B$4:$BW$137,LS_current!BU$147, FALSE))/2)</f>
        <v>1.4068050294554979</v>
      </c>
      <c r="CU14" s="102">
        <f t="array" ref="CU14">IF($BT14=0, INDEX(LS_current!$D$4:$BW$137, MATCH('Staging Table'!$A14, LS_current!$B$4:$B$137, 0), MATCH(CU$4&amp;CU$5, LS_current!$D$2:$BW$2&amp;LS_current!$D$3:$BW$3, 0)),SUM(VLOOKUP($A14, LS_current!$B$4:$BW$137, LS_current!Z$147, FALSE), VLOOKUP($A14, LS_current!$B$4:$BW$137,LS_current!BV$147, FALSE))/2)</f>
        <v>11.250395118370363</v>
      </c>
      <c r="CV14" s="102">
        <f t="array" ref="CV14">IF($BT14=0, INDEX(LS_current!$D$4:$BW$137, MATCH('Staging Table'!$A14, LS_current!$B$4:$B$137, 0), MATCH(CV$4&amp;CV$5, LS_current!$D$2:$BW$2&amp;LS_current!$D$3:$BW$3, 0)),SUM(VLOOKUP($A14, LS_current!$B$4:$BW$137, LS_current!AA$147, FALSE), VLOOKUP($A14, LS_current!$B$4:$BW$137,LS_current!BW$147, FALSE))/2)</f>
        <v>12.973819701626184</v>
      </c>
      <c r="CW14" s="103">
        <f t="array" ref="CW14">INDEX(Demand_current!$D$4:$BW$137, MATCH($A14, Demand_current!$B$4:$B$137, 0), MATCH(CW$4&amp;CW$5,Demand_current!$D$2:$BW$2&amp;Demand_current!$D$3:$BW$3, 0))/1000</f>
        <v>0.23421296296296296</v>
      </c>
      <c r="CX14" s="103">
        <f t="array" ref="CX14">INDEX(Demand_current!$D$4:$BW$137, MATCH($A14, Demand_current!$B$4:$B$137, 0), MATCH(CX$4&amp;CX$5,Demand_current!$D$2:$BW$2&amp;Demand_current!$D$3:$BW$3, 0))/1000</f>
        <v>0.13734114583333334</v>
      </c>
      <c r="CY14" s="103">
        <f t="array" ref="CY14">INDEX(Demand_current!$D$4:$BW$137, MATCH($A14, Demand_current!$B$4:$B$137, 0), MATCH(CY$4&amp;CY$5,Demand_current!$D$2:$BW$2&amp;Demand_current!$D$3:$BW$3, 0))/1000</f>
        <v>0.37667307692307694</v>
      </c>
      <c r="CZ14" s="103">
        <f t="array" ref="CZ14">INDEX(Demand_current!$D$4:$BW$137, MATCH($A14, Demand_current!$B$4:$B$137, 0), MATCH(CZ$4&amp;CZ$5,Demand_current!$D$2:$BW$2&amp;Demand_current!$D$3:$BW$3, 0))/1000</f>
        <v>0.37308653846153855</v>
      </c>
      <c r="DA14" s="103">
        <f t="array" ref="DA14">INDEX(Demand_current!$D$4:$BW$137, MATCH($A14, Demand_current!$B$4:$B$137, 0), MATCH(DA$4&amp;DA$5,Demand_current!$D$2:$BW$2&amp;Demand_current!$D$3:$BW$3, 0))/1000</f>
        <v>0.22101822916666655</v>
      </c>
      <c r="DB14" s="103">
        <f t="array" ref="DB14">INDEX(Demand_current!$D$4:$BW$137, MATCH($A14, Demand_current!$B$4:$B$137, 0), MATCH(DB$4&amp;DB$5,Demand_current!$D$2:$BW$2&amp;Demand_current!$D$3:$BW$3, 0))/1000</f>
        <v>0.22123076923076929</v>
      </c>
      <c r="DC14" s="103">
        <f t="array" ref="DC14">INDEX(Demand_current!$D$4:$BW$137, MATCH($A14, Demand_current!$B$4:$B$137, 0), MATCH(DC$4&amp;DC$5,Demand_current!$D$2:$BW$2&amp;Demand_current!$D$3:$BW$3, 0))/1000</f>
        <v>7.7170673076923046E-2</v>
      </c>
      <c r="DD14" s="103">
        <f t="array" ref="DD14">INDEX(Demand_current!$D$4:$BW$137, MATCH($A14, Demand_current!$B$4:$B$137, 0), MATCH(DD$4&amp;DD$5,Demand_current!$D$2:$BW$2&amp;Demand_current!$D$3:$BW$3, 0))/1000</f>
        <v>0.13978249999999998</v>
      </c>
      <c r="DE14" s="103">
        <f t="array" ref="DE14">INDEX(Demand_current!$D$4:$BW$137, MATCH($A14, Demand_current!$B$4:$B$137, 0), MATCH(DE$4&amp;DE$5,Demand_current!$D$2:$BW$2&amp;Demand_current!$D$3:$BW$3, 0))/1000</f>
        <v>0.14420432692307691</v>
      </c>
      <c r="DF14" s="103">
        <f t="array" ref="DF14">INDEX(Demand_current!$D$4:$BW$137, MATCH($A14, Demand_current!$B$4:$B$137, 0), MATCH(DF$4&amp;DF$5,Demand_current!$D$2:$BW$2&amp;Demand_current!$D$3:$BW$3, 0))/1000</f>
        <v>0.16450240384615383</v>
      </c>
      <c r="DG14" s="103">
        <f t="array" ref="DG14">INDEX(Demand_current!$D$4:$BW$137, MATCH($A14, Demand_current!$B$4:$B$137, 0), MATCH(DG$4&amp;DG$5,Demand_current!$D$2:$BW$2&amp;Demand_current!$D$3:$BW$3, 0))/1000</f>
        <v>0.17581730769230769</v>
      </c>
      <c r="DH14" s="103">
        <f t="array" ref="DH14">INDEX(Demand_current!$D$4:$BW$137, MATCH($A14, Demand_current!$B$4:$B$137, 0), MATCH(DH$4&amp;DH$5,Demand_current!$D$2:$BW$2&amp;Demand_current!$D$3:$BW$3, 0))/1000</f>
        <v>9.4007500000000022E-2</v>
      </c>
      <c r="DI14" s="102">
        <f>$BS14*(VLOOKUP(DI$4, Rates_current!$H$6:$R$41, 10, FALSE)+VLOOKUP(DI$4, Rates_current!$H$6:$R$41, 11, FALSE))</f>
        <v>233.661192368538</v>
      </c>
      <c r="DJ14" s="102">
        <f>$BS14*(VLOOKUP(DJ$4, Rates_current!$H$6:$R$41, 10, FALSE)+VLOOKUP(DJ$4, Rates_current!$H$6:$R$41, 11, FALSE))</f>
        <v>298.7281441673212</v>
      </c>
      <c r="DK14" s="102">
        <f>$BS14*(VLOOKUP(DK$4, Rates_current!$H$6:$R$41, 10, FALSE)+VLOOKUP(DK$4, Rates_current!$H$6:$R$41, 11, FALSE))</f>
        <v>339.62891520634554</v>
      </c>
      <c r="DL14" s="102">
        <f>$BS14*(VLOOKUP(DL$4, Rates_current!$H$6:$R$41, 10, FALSE)+VLOOKUP(DL$4, Rates_current!$H$6:$R$41, 11, FALSE))</f>
        <v>358.33501659724305</v>
      </c>
      <c r="DM14" s="102">
        <f>$BS14*(VLOOKUP(DM$4, Rates_current!$H$6:$R$41, 10, FALSE)+VLOOKUP(DM$4, Rates_current!$H$6:$R$41, 11, FALSE))</f>
        <v>285.56066725658906</v>
      </c>
      <c r="DN14" s="102">
        <f>$BS14*(VLOOKUP(DN$4, Rates_current!$H$6:$R$41, 10, FALSE)+VLOOKUP(DN$4, Rates_current!$H$6:$R$41, 11, FALSE))</f>
        <v>312.17645083556533</v>
      </c>
      <c r="DO14" s="102">
        <f>$BS14*(VLOOKUP(DO$4, Rates_current!$H$6:$R$41, 10, FALSE)+VLOOKUP(DO$4, Rates_current!$H$6:$R$41, 11, FALSE))</f>
        <v>241.93988960297256</v>
      </c>
      <c r="DP14" s="102">
        <f>$BS14*(VLOOKUP(DP$4, Rates_current!$H$6:$R$41, 10, FALSE)+VLOOKUP(DP$4, Rates_current!$H$6:$R$41, 11, FALSE))</f>
        <v>313.11005311755787</v>
      </c>
      <c r="DQ14" s="102">
        <f>$BS14*(VLOOKUP(DQ$4, Rates_current!$H$6:$R$41, 10, FALSE)+VLOOKUP(DQ$4, Rates_current!$H$6:$R$41, 11, FALSE))</f>
        <v>319.79586421473732</v>
      </c>
      <c r="DR14" s="102">
        <f>$BS14*(VLOOKUP(DR$4, Rates_current!$H$6:$R$41, 10, FALSE)+VLOOKUP(DR$4, Rates_current!$H$6:$R$41, 11, FALSE))</f>
        <v>284.64597661088123</v>
      </c>
      <c r="DS14" s="102">
        <f>$BS14*(VLOOKUP(DS$4, Rates_current!$H$6:$R$41, 10, FALSE)+VLOOKUP(DS$4, Rates_current!$H$6:$R$41, 11, FALSE))</f>
        <v>291.99456963945875</v>
      </c>
      <c r="DT14" s="102">
        <f>$BS14*(VLOOKUP(DT$4, Rates_current!$H$6:$R$41, 10, FALSE)+VLOOKUP(DT$4, Rates_current!$H$6:$R$41, 11, FALSE))</f>
        <v>226.76878518000345</v>
      </c>
      <c r="DU14" s="261">
        <f>IF(D14=0,IF(C14=0,MAX(0,DW14 - (VLOOKUP($A14,TOCA_current!$A$2:$AV$136,MATCH("RHWM "&amp;Init!$D$1,TOCA_current!$A$2:$AV$2,0),FALSE)*$BS$2)), 0),0)</f>
        <v>576.16520697878696</v>
      </c>
      <c r="DV14" s="262">
        <f>MIN(VLOOKUP($A14,TOCA_current!$A$2:$AV$136,MATCH("TRL - NLSL - Existing Resource "&amp;$BS$1,TOCA_current!$A$2:$AV$2,0),FALSE)*$BS$2, VLOOKUP($A14,TOCA_current!$A$2:$AV$136,MATCH("RHWM "&amp;Init!$D$1,TOCA_current!$A$2:$AV$2,0),FALSE)*$BS$2)</f>
        <v>3504</v>
      </c>
      <c r="DW14" s="262">
        <f>SUM(BY14:CV14)+(BS14*RT1SC!$C$4*$BS$2)</f>
        <v>4080.165206978787</v>
      </c>
      <c r="DX14" s="262">
        <f>VLOOKUP($A14,TOCA_current!$A$2:$AV$136,MATCH("Above RHWM Not Served with LS "&amp;$BS$1,TOCA_current!$A$2:$AV$2,0),FALSE)*$BS$2</f>
        <v>0</v>
      </c>
      <c r="DY14" s="262">
        <f t="shared" si="28"/>
        <v>576.16520697878696</v>
      </c>
      <c r="DZ14" s="262">
        <f>(VLOOKUP($A14,TOCA_current!$A$2:$AV$136,MATCH("RHWM "&amp;Init!$D$1,TOCA_current!$A$2:$AV$2,0),FALSE)*$BS$2) - $DV14</f>
        <v>0</v>
      </c>
      <c r="EA14" s="262">
        <f t="shared" si="29"/>
        <v>0</v>
      </c>
      <c r="EB14" s="262">
        <f t="shared" si="30"/>
        <v>0</v>
      </c>
      <c r="EC14" s="262">
        <f t="shared" si="31"/>
        <v>0</v>
      </c>
      <c r="ED14" s="262">
        <f t="shared" si="32"/>
        <v>0</v>
      </c>
    </row>
    <row r="15" spans="1:134">
      <c r="A15" s="2">
        <v>10057</v>
      </c>
      <c r="B15" s="3" t="s">
        <v>17</v>
      </c>
      <c r="C15">
        <f>VLOOKUP(A15, TOCA_current!$A$3:$D$136, 4, FALSE)</f>
        <v>0</v>
      </c>
      <c r="D15">
        <v>0</v>
      </c>
      <c r="E15" s="84">
        <f>VLOOKUP($A15,TOCA_previous!$A$2:$AJ$136,MATCH(E$4,TOCA_previous!$A$2:$AJ$2,0),FALSE)</f>
        <v>2.8944999999999999E-3</v>
      </c>
      <c r="F15" s="85">
        <f>VLOOKUP($A15,TOCA_previous!$A$2:$AJ$136,MATCH(F$4,TOCA_previous!$A$2:$AJ$2,0),FALSE)</f>
        <v>2.8944999999999999E-3</v>
      </c>
      <c r="G15" s="85">
        <f t="shared" si="18"/>
        <v>0</v>
      </c>
      <c r="H15" s="85">
        <f>VLOOKUP($A15,TOCA_previous!$A$2:$AJ$136,MATCH(H$4,TOCA_previous!$A$2:$AJ$2,0),FALSE)</f>
        <v>0</v>
      </c>
      <c r="I15" s="85">
        <f t="shared" si="19"/>
        <v>0</v>
      </c>
      <c r="J15" s="85">
        <f t="shared" si="20"/>
        <v>0</v>
      </c>
      <c r="K15" s="101">
        <f>VLOOKUP(A15, IRD!$A$5:$C$138, 3, FALSE)</f>
        <v>0</v>
      </c>
      <c r="L15" s="102">
        <f t="array" ref="L15">IF($G15=0, INDEX(LS_previous!$D$4:$AY$137, MATCH('Staging Table'!$A15, LS_previous!$B$4:$B$137, 0), MATCH(L$4&amp;L$5, LS_previous!$D$2:$AY$2&amp;LS_previous!$D$3:$AY$3, 0)),SUM(VLOOKUP($A15, LS_previous!$B$4:$AY$137, LS_previous!D$148, FALSE), VLOOKUP('Staging Table'!$A15, LS_previous!$B$4:$AY$137,LS_previous!AB$148, FALSE))/2)</f>
        <v>756.58773779799867</v>
      </c>
      <c r="M15" s="102">
        <f t="array" ref="M15">IF($G15=0, INDEX(LS_previous!$D$4:$AY$137, MATCH('Staging Table'!$A15, LS_previous!$B$4:$B$137, 0), MATCH(M$4&amp;M$5, LS_previous!$D$2:$AY$2&amp;LS_previous!$D$3:$AY$3, 0)),SUM(VLOOKUP($A15, LS_previous!$B$4:$AY$137, LS_previous!E$148, FALSE), VLOOKUP('Staging Table'!$A15, LS_previous!$B$4:$AY$137,LS_previous!AC$148, FALSE))/2)</f>
        <v>-404.45922545974918</v>
      </c>
      <c r="N15" s="102">
        <f t="array" ref="N15">IF($G15=0, INDEX(LS_previous!$D$4:$AY$137, MATCH('Staging Table'!$A15, LS_previous!$B$4:$B$137, 0), MATCH(N$4&amp;N$5, LS_previous!$D$2:$AY$2&amp;LS_previous!$D$3:$AY$3, 0)),SUM(VLOOKUP($A15, LS_previous!$B$4:$AY$137, LS_previous!F$148, FALSE), VLOOKUP('Staging Table'!$A15, LS_previous!$B$4:$AY$137,LS_previous!AD$148, FALSE))/2)</f>
        <v>-1057.4105708960014</v>
      </c>
      <c r="O15" s="102">
        <f t="array" ref="O15">IF($G15=0, INDEX(LS_previous!$D$4:$AY$137, MATCH('Staging Table'!$A15, LS_previous!$B$4:$B$137, 0), MATCH(O$4&amp;O$5, LS_previous!$D$2:$AY$2&amp;LS_previous!$D$3:$AY$3, 0)),SUM(VLOOKUP($A15, LS_previous!$B$4:$AY$137, LS_previous!G$148, FALSE), VLOOKUP('Staging Table'!$A15, LS_previous!$B$4:$AY$137,LS_previous!AE$148, FALSE))/2)</f>
        <v>-239.34069742950032</v>
      </c>
      <c r="P15" s="102">
        <f t="array" ref="P15">IF($G15=0, INDEX(LS_previous!$D$4:$AY$137, MATCH('Staging Table'!$A15, LS_previous!$B$4:$B$137, 0), MATCH(P$4&amp;P$5, LS_previous!$D$2:$AY$2&amp;LS_previous!$D$3:$AY$3, 0)),SUM(VLOOKUP($A15, LS_previous!$B$4:$AY$137, LS_previous!H$148, FALSE), VLOOKUP('Staging Table'!$A15, LS_previous!$B$4:$AY$137,LS_previous!AF$148, FALSE))/2)</f>
        <v>1122.9490284645017</v>
      </c>
      <c r="Q15" s="102">
        <f t="array" ref="Q15">IF($G15=0, INDEX(LS_previous!$D$4:$AY$137, MATCH('Staging Table'!$A15, LS_previous!$B$4:$B$137, 0), MATCH(Q$4&amp;Q$5, LS_previous!$D$2:$AY$2&amp;LS_previous!$D$3:$AY$3, 0)),SUM(VLOOKUP($A15, LS_previous!$B$4:$AY$137, LS_previous!I$148, FALSE), VLOOKUP('Staging Table'!$A15, LS_previous!$B$4:$AY$137,LS_previous!AG$148, FALSE))/2)</f>
        <v>349.79224692800017</v>
      </c>
      <c r="R15" s="102">
        <f t="array" ref="R15">IF($G15=0, INDEX(LS_previous!$D$4:$AY$137, MATCH('Staging Table'!$A15, LS_previous!$B$4:$B$137, 0), MATCH(R$4&amp;R$5, LS_previous!$D$2:$AY$2&amp;LS_previous!$D$3:$AY$3, 0)),SUM(VLOOKUP($A15, LS_previous!$B$4:$AY$137, LS_previous!J$148, FALSE), VLOOKUP('Staging Table'!$A15, LS_previous!$B$4:$AY$137,LS_previous!AH$148, FALSE))/2)</f>
        <v>71.60733093250019</v>
      </c>
      <c r="S15" s="102">
        <f t="array" ref="S15">IF($G15=0, INDEX(LS_previous!$D$4:$AY$137, MATCH('Staging Table'!$A15, LS_previous!$B$4:$B$137, 0), MATCH(S$4&amp;S$5, LS_previous!$D$2:$AY$2&amp;LS_previous!$D$3:$AY$3, 0)),SUM(VLOOKUP($A15, LS_previous!$B$4:$AY$137, LS_previous!K$148, FALSE), VLOOKUP('Staging Table'!$A15, LS_previous!$B$4:$AY$137,LS_previous!AI$148, FALSE))/2)</f>
        <v>138.37247505949927</v>
      </c>
      <c r="T15" s="102">
        <f t="array" ref="T15">IF($G15=0, INDEX(LS_previous!$D$4:$AY$137, MATCH('Staging Table'!$A15, LS_previous!$B$4:$B$137, 0), MATCH(T$4&amp;T$5, LS_previous!$D$2:$AY$2&amp;LS_previous!$D$3:$AY$3, 0)),SUM(VLOOKUP($A15, LS_previous!$B$4:$AY$137, LS_previous!L$148, FALSE), VLOOKUP('Staging Table'!$A15, LS_previous!$B$4:$AY$137,LS_previous!AJ$148, FALSE))/2)</f>
        <v>-635.68507176549792</v>
      </c>
      <c r="U15" s="102">
        <f t="array" ref="U15">IF($G15=0, INDEX(LS_previous!$D$4:$AY$137, MATCH('Staging Table'!$A15, LS_previous!$B$4:$B$137, 0), MATCH(U$4&amp;U$5, LS_previous!$D$2:$AY$2&amp;LS_previous!$D$3:$AY$3, 0)),SUM(VLOOKUP($A15, LS_previous!$B$4:$AY$137, LS_previous!M$148, FALSE), VLOOKUP('Staging Table'!$A15, LS_previous!$B$4:$AY$137,LS_previous!AK$148, FALSE))/2)</f>
        <v>-123.63122032550018</v>
      </c>
      <c r="V15" s="102">
        <f t="array" ref="V15">IF($G15=0, INDEX(LS_previous!$D$4:$AY$137, MATCH('Staging Table'!$A15, LS_previous!$B$4:$B$137, 0), MATCH(V$4&amp;V$5, LS_previous!$D$2:$AY$2&amp;LS_previous!$D$3:$AY$3, 0)),SUM(VLOOKUP($A15, LS_previous!$B$4:$AY$137, LS_previous!N$148, FALSE), VLOOKUP('Staging Table'!$A15, LS_previous!$B$4:$AY$137,LS_previous!AL$148, FALSE))/2)</f>
        <v>-1173.8448725785001</v>
      </c>
      <c r="W15" s="102">
        <f t="array" ref="W15">IF($G15=0, INDEX(LS_previous!$D$4:$AY$137, MATCH('Staging Table'!$A15, LS_previous!$B$4:$B$137, 0), MATCH(W$4&amp;W$5, LS_previous!$D$2:$AY$2&amp;LS_previous!$D$3:$AY$3, 0)),SUM(VLOOKUP($A15, LS_previous!$B$4:$AY$137, LS_previous!O$148, FALSE), VLOOKUP('Staging Table'!$A15, LS_previous!$B$4:$AY$137,LS_previous!AM$148, FALSE))/2)</f>
        <v>-762.50883642099961</v>
      </c>
      <c r="X15" s="102">
        <f t="array" ref="X15">IF($G15=0, INDEX(LS_previous!$D$4:$AY$137, MATCH('Staging Table'!$A15, LS_previous!$B$4:$B$137, 0), MATCH(X$4&amp;X$5, LS_previous!$D$2:$AY$2&amp;LS_previous!$D$3:$AY$3, 0)),SUM(VLOOKUP($A15, LS_previous!$B$4:$AY$137, LS_previous!P$148, FALSE), VLOOKUP('Staging Table'!$A15, LS_previous!$B$4:$AY$137,LS_previous!AN$148, FALSE))/2)</f>
        <v>-159.44931197374899</v>
      </c>
      <c r="Y15" s="102">
        <f t="array" ref="Y15">IF($G15=0, INDEX(LS_previous!$D$4:$AY$137, MATCH('Staging Table'!$A15, LS_previous!$B$4:$B$137, 0), MATCH(Y$4&amp;Y$5, LS_previous!$D$2:$AY$2&amp;LS_previous!$D$3:$AY$3, 0)),SUM(VLOOKUP($A15, LS_previous!$B$4:$AY$137, LS_previous!Q$148, FALSE), VLOOKUP('Staging Table'!$A15, LS_previous!$B$4:$AY$137,LS_previous!AO$148, FALSE))/2)</f>
        <v>-651.50286503537427</v>
      </c>
      <c r="Z15" s="102">
        <f t="array" ref="Z15">IF($G15=0, INDEX(LS_previous!$D$4:$AY$137, MATCH('Staging Table'!$A15, LS_previous!$B$4:$B$137, 0), MATCH(Z$4&amp;Z$5, LS_previous!$D$2:$AY$2&amp;LS_previous!$D$3:$AY$3, 0)),SUM(VLOOKUP($A15, LS_previous!$B$4:$AY$137, LS_previous!R$148, FALSE), VLOOKUP('Staging Table'!$A15, LS_previous!$B$4:$AY$137,LS_previous!AP$148, FALSE))/2)</f>
        <v>-2910.2778665360001</v>
      </c>
      <c r="AA15" s="102">
        <f t="array" ref="AA15">IF($G15=0, INDEX(LS_previous!$D$4:$AY$137, MATCH('Staging Table'!$A15, LS_previous!$B$4:$B$137, 0), MATCH(AA$4&amp;AA$5, LS_previous!$D$2:$AY$2&amp;LS_previous!$D$3:$AY$3, 0)),SUM(VLOOKUP($A15, LS_previous!$B$4:$AY$137, LS_previous!S$148, FALSE), VLOOKUP('Staging Table'!$A15, LS_previous!$B$4:$AY$137,LS_previous!AQ$148, FALSE))/2)</f>
        <v>-1718.6366792782492</v>
      </c>
      <c r="AB15" s="102">
        <f t="array" ref="AB15">IF($G15=0, INDEX(LS_previous!$D$4:$AY$137, MATCH('Staging Table'!$A15, LS_previous!$B$4:$B$137, 0), MATCH(AB$4&amp;AB$5, LS_previous!$D$2:$AY$2&amp;LS_previous!$D$3:$AY$3, 0)),SUM(VLOOKUP($A15, LS_previous!$B$4:$AY$137, LS_previous!T$148, FALSE), VLOOKUP('Staging Table'!$A15, LS_previous!$B$4:$AY$137,LS_previous!AR$148, FALSE))/2)</f>
        <v>-2402.9089418069998</v>
      </c>
      <c r="AC15" s="102">
        <f t="array" ref="AC15">IF($G15=0, INDEX(LS_previous!$D$4:$AY$137, MATCH('Staging Table'!$A15, LS_previous!$B$4:$B$137, 0), MATCH(AC$4&amp;AC$5, LS_previous!$D$2:$AY$2&amp;LS_previous!$D$3:$AY$3, 0)),SUM(VLOOKUP($A15, LS_previous!$B$4:$AY$137, LS_previous!U$148, FALSE), VLOOKUP('Staging Table'!$A15, LS_previous!$B$4:$AY$137,LS_previous!AS$148, FALSE))/2)</f>
        <v>-1872.0866452502505</v>
      </c>
      <c r="AD15" s="102">
        <f t="array" ref="AD15">IF($G15=0, INDEX(LS_previous!$D$4:$AY$137, MATCH('Staging Table'!$A15, LS_previous!$B$4:$B$137, 0), MATCH(AD$4&amp;AD$5, LS_previous!$D$2:$AY$2&amp;LS_previous!$D$3:$AY$3, 0)),SUM(VLOOKUP($A15, LS_previous!$B$4:$AY$137, LS_previous!V$148, FALSE), VLOOKUP('Staging Table'!$A15, LS_previous!$B$4:$AY$137,LS_previous!AT$148, FALSE))/2)</f>
        <v>649.17155910200017</v>
      </c>
      <c r="AE15" s="102">
        <f t="array" ref="AE15">IF($G15=0, INDEX(LS_previous!$D$4:$AY$137, MATCH('Staging Table'!$A15, LS_previous!$B$4:$B$137, 0), MATCH(AE$4&amp;AE$5, LS_previous!$D$2:$AY$2&amp;LS_previous!$D$3:$AY$3, 0)),SUM(VLOOKUP($A15, LS_previous!$B$4:$AY$137, LS_previous!W$148, FALSE), VLOOKUP('Staging Table'!$A15, LS_previous!$B$4:$AY$137,LS_previous!AU$148, FALSE))/2)</f>
        <v>-98.065645298749587</v>
      </c>
      <c r="AF15" s="102">
        <f t="array" ref="AF15">IF($G15=0, INDEX(LS_previous!$D$4:$AY$137, MATCH('Staging Table'!$A15, LS_previous!$B$4:$B$137, 0), MATCH(AF$4&amp;AF$5, LS_previous!$D$2:$AY$2&amp;LS_previous!$D$3:$AY$3, 0)),SUM(VLOOKUP($A15, LS_previous!$B$4:$AY$137, LS_previous!X$148, FALSE), VLOOKUP('Staging Table'!$A15, LS_previous!$B$4:$AY$137,LS_previous!AV$148, FALSE))/2)</f>
        <v>467.80109859325057</v>
      </c>
      <c r="AG15" s="102">
        <f t="array" ref="AG15">IF($G15=0, INDEX(LS_previous!$D$4:$AY$137, MATCH('Staging Table'!$A15, LS_previous!$B$4:$B$137, 0), MATCH(AG$4&amp;AG$5, LS_previous!$D$2:$AY$2&amp;LS_previous!$D$3:$AY$3, 0)),SUM(VLOOKUP($A15, LS_previous!$B$4:$AY$137, LS_previous!Y$148, FALSE), VLOOKUP('Staging Table'!$A15, LS_previous!$B$4:$AY$137,LS_previous!AW$148, FALSE))/2)</f>
        <v>197.25512787417483</v>
      </c>
      <c r="AH15" s="102">
        <f t="array" ref="AH15">IF($G15=0, INDEX(LS_previous!$D$4:$AY$137, MATCH('Staging Table'!$A15, LS_previous!$B$4:$B$137, 0), MATCH(AH$4&amp;AH$5, LS_previous!$D$2:$AY$2&amp;LS_previous!$D$3:$AY$3, 0)),SUM(VLOOKUP($A15, LS_previous!$B$4:$AY$137, LS_previous!Z$148, FALSE), VLOOKUP('Staging Table'!$A15, LS_previous!$B$4:$AY$137,LS_previous!AX$148, FALSE))/2)</f>
        <v>-106.77083409300121</v>
      </c>
      <c r="AI15" s="102">
        <f t="array" ref="AI15">IF($G15=0, INDEX(LS_previous!$D$4:$AY$137, MATCH('Staging Table'!$A15, LS_previous!$B$4:$B$137, 0), MATCH(AI$4&amp;AI$5, LS_previous!$D$2:$AY$2&amp;LS_previous!$D$3:$AY$3, 0)),SUM(VLOOKUP($A15, LS_previous!$B$4:$AY$137, LS_previous!AA$148, FALSE), VLOOKUP('Staging Table'!$A15, LS_previous!$B$4:$AY$137,LS_previous!AY$148, FALSE))/2)</f>
        <v>-675.73487152799953</v>
      </c>
      <c r="AJ15" s="103">
        <f t="array" ref="AJ15">INDEX(Demand_previous!$D$4:$AY$137, MATCH('Staging Table'!$A15, Demand_previous!$B$4:$B$137, 0), MATCH(AJ$4&amp;AJ$5,Demand_previous!$D$2:$AY$2&amp;Demand_previous!$D$3:$AY$3, 0))/1000</f>
        <v>1.002564903846153</v>
      </c>
      <c r="AK15" s="103">
        <f t="array" ref="AK15">INDEX(Demand_previous!$D$4:$AY$137, MATCH('Staging Table'!$A15, Demand_previous!$B$4:$B$137, 0), MATCH(AK$4&amp;AK$5,Demand_previous!$D$2:$AY$2&amp;Demand_previous!$D$3:$AY$3, 0))/1000</f>
        <v>3.1993800000000023</v>
      </c>
      <c r="AL15" s="103">
        <f t="array" ref="AL15">INDEX(Demand_previous!$D$4:$AY$137, MATCH('Staging Table'!$A15, Demand_previous!$B$4:$B$137, 0), MATCH(AL$4&amp;AL$5,Demand_previous!$D$2:$AY$2&amp;Demand_previous!$D$3:$AY$3, 0))/1000</f>
        <v>0</v>
      </c>
      <c r="AM15" s="103">
        <f t="array" ref="AM15">INDEX(Demand_previous!$D$4:$AY$137, MATCH('Staging Table'!$A15, Demand_previous!$B$4:$B$137, 0), MATCH(AM$4&amp;AM$5,Demand_previous!$D$2:$AY$2&amp;Demand_previous!$D$3:$AY$3, 0))/1000</f>
        <v>2.3417716346153883</v>
      </c>
      <c r="AN15" s="103">
        <f t="array" ref="AN15">INDEX(Demand_previous!$D$4:$AY$137, MATCH('Staging Table'!$A15, Demand_previous!$B$4:$B$137, 0), MATCH(AN$4&amp;AN$5,Demand_previous!$D$2:$AY$2&amp;Demand_previous!$D$3:$AY$3, 0))/1000</f>
        <v>6.1851174999999969</v>
      </c>
      <c r="AO15" s="103">
        <f t="array" ref="AO15">INDEX(Demand_previous!$D$4:$AY$137, MATCH('Staging Table'!$A15, Demand_previous!$B$4:$B$137, 0), MATCH(AO$4&amp;AO$5,Demand_previous!$D$2:$AY$2&amp;Demand_previous!$D$3:$AY$3, 0))/1000</f>
        <v>4.2037451923076921</v>
      </c>
      <c r="AP15" s="103">
        <f t="array" ref="AP15">INDEX(Demand_previous!$D$4:$AY$137, MATCH('Staging Table'!$A15, Demand_previous!$B$4:$B$137, 0), MATCH(AP$4&amp;AP$5,Demand_previous!$D$2:$AY$2&amp;Demand_previous!$D$3:$AY$3, 0))/1000</f>
        <v>2.794826923076922</v>
      </c>
      <c r="AQ15" s="103">
        <f t="array" ref="AQ15">INDEX(Demand_previous!$D$4:$AY$137, MATCH('Staging Table'!$A15, Demand_previous!$B$4:$B$137, 0), MATCH(AQ$4&amp;AQ$5,Demand_previous!$D$2:$AY$2&amp;Demand_previous!$D$3:$AY$3, 0))/1000</f>
        <v>4.6566394230769239</v>
      </c>
      <c r="AR15" s="103">
        <f t="array" ref="AR15">INDEX(Demand_previous!$D$4:$AY$137, MATCH('Staging Table'!$A15, Demand_previous!$B$4:$B$137, 0), MATCH(AR$4&amp;AR$5,Demand_previous!$D$2:$AY$2&amp;Demand_previous!$D$3:$AY$3, 0))/1000</f>
        <v>8.3766650000000009</v>
      </c>
      <c r="AS15" s="103">
        <f t="array" ref="AS15">INDEX(Demand_previous!$D$4:$AY$137, MATCH('Staging Table'!$A15, Demand_previous!$B$4:$B$137, 0), MATCH(AS$4&amp;AS$5,Demand_previous!$D$2:$AY$2&amp;Demand_previous!$D$3:$AY$3, 0))/1000</f>
        <v>4.95417548076923</v>
      </c>
      <c r="AT15" s="103">
        <f t="array" ref="AT15">INDEX(Demand_previous!$D$4:$AY$137, MATCH('Staging Table'!$A15, Demand_previous!$B$4:$B$137, 0), MATCH(AT$4&amp;AT$5,Demand_previous!$D$2:$AY$2&amp;Demand_previous!$D$3:$AY$3, 0))/1000</f>
        <v>7.5850509259259216</v>
      </c>
      <c r="AU15" s="103">
        <f t="array" ref="AU15">INDEX(Demand_previous!$D$4:$AY$137, MATCH('Staging Table'!$A15, Demand_previous!$B$4:$B$137, 0), MATCH(AU$4&amp;AU$5,Demand_previous!$D$2:$AY$2&amp;Demand_previous!$D$3:$AY$3, 0))/1000</f>
        <v>7.022104166666665</v>
      </c>
      <c r="AV15" s="102">
        <f>$F15*(VLOOKUP(AV$4, Rates_previous!$G$6:$Q$29, 10, FALSE)+VLOOKUP(AV$4, Rates_previous!$G$6:$Q$29, 11, FALSE))</f>
        <v>12211.327487661751</v>
      </c>
      <c r="AW15" s="102">
        <f>$F15*(VLOOKUP(AW$4, Rates_previous!$G$6:$Q$29, 10, FALSE)+VLOOKUP(AW$4, Rates_previous!$G$6:$Q$29, 11, FALSE))</f>
        <v>15573.469268325502</v>
      </c>
      <c r="AX15" s="102">
        <f>$F15*(VLOOKUP(AX$4, Rates_previous!$G$6:$Q$29, 10, FALSE)+VLOOKUP(AX$4, Rates_previous!$G$6:$Q$29, 11, FALSE))</f>
        <v>16806.8547246075</v>
      </c>
      <c r="AY15" s="102">
        <f>$F15*(VLOOKUP(AY$4, Rates_previous!$G$6:$Q$29, 10, FALSE)+VLOOKUP(AY$4, Rates_previous!$G$6:$Q$29, 11, FALSE))</f>
        <v>17464.920194007998</v>
      </c>
      <c r="AZ15" s="102">
        <f>$F15*(VLOOKUP(AZ$4, Rates_previous!$G$6:$Q$29, 10, FALSE)+VLOOKUP(AZ$4, Rates_previous!$G$6:$Q$29, 11, FALSE))</f>
        <v>15022.159292090999</v>
      </c>
      <c r="BA15" s="102">
        <f>$F15*(VLOOKUP(BA$4, Rates_previous!$G$6:$Q$29, 10, FALSE)+VLOOKUP(BA$4, Rates_previous!$G$6:$Q$29, 11, FALSE))</f>
        <v>16401.2237089995</v>
      </c>
      <c r="BB15" s="102">
        <f>$F15*(VLOOKUP(BB$4, Rates_previous!$G$6:$Q$29, 10, FALSE)+VLOOKUP(BB$4, Rates_previous!$G$6:$Q$29, 11, FALSE))</f>
        <v>12946.002177009124</v>
      </c>
      <c r="BC15" s="102">
        <f>$F15*(VLOOKUP(BC$4, Rates_previous!$G$6:$Q$29, 10, FALSE)+VLOOKUP(BC$4, Rates_previous!$G$6:$Q$29, 11, FALSE))</f>
        <v>16061.25054581425</v>
      </c>
      <c r="BD15" s="102">
        <f>$F15*(VLOOKUP(BD$4, Rates_previous!$G$6:$Q$29, 10, FALSE)+VLOOKUP(BD$4, Rates_previous!$G$6:$Q$29, 11, FALSE))</f>
        <v>16409.739587057247</v>
      </c>
      <c r="BE15" s="102">
        <f>$F15*(VLOOKUP(BE$4, Rates_previous!$G$6:$Q$29, 10, FALSE)+VLOOKUP(BE$4, Rates_previous!$G$6:$Q$29, 11, FALSE))</f>
        <v>14246.018086196749</v>
      </c>
      <c r="BF15" s="102">
        <f>$F15*(VLOOKUP(BF$4, Rates_previous!$G$6:$Q$29, 10, FALSE)+VLOOKUP(BF$4, Rates_previous!$G$6:$Q$29, 11, FALSE))</f>
        <v>13772.112773532575</v>
      </c>
      <c r="BG15" s="102">
        <f>$F15*(VLOOKUP(BG$4, Rates_previous!$G$6:$Q$29, 10, FALSE)+VLOOKUP(BG$4, Rates_previous!$G$6:$Q$29, 11, FALSE))</f>
        <v>12673.010705621002</v>
      </c>
      <c r="BH15" s="103">
        <f>IF($D15=0,IF(C15=0, MAX(BJ15 - (VLOOKUP($A15,TOCA_previous!$A$2:$AJ$136,MATCH("RHWM "&amp;Init!$D$1-2,TOCA_previous!$A$2:$AJ$2,0),FALSE)*$F$2*TOCA_previous!C12),0),0), 0)</f>
        <v>0</v>
      </c>
      <c r="BI15" s="109">
        <f>MIN(VLOOKUP($A15,TOCA_previous!$A$2:$AJ$136,MATCH("TRL - NLSL - Existing Resource "&amp;$F$1,TOCA_previous!$A$2:$AJ$2,0),FALSE)*$F$2,(VLOOKUP($A15,TOCA_previous!$A$2:$AJ$136,MATCH("RHWM "&amp;Init!$D$1-2,TOCA_previous!$A$2:$AJ$2,0),FALSE)*$F$2))</f>
        <v>175627.296</v>
      </c>
      <c r="BJ15" s="261">
        <f>SUM(L15:AI15)+(F15*RT1SC!$C$3*$F$2)</f>
        <v>168349.31182319578</v>
      </c>
      <c r="BK15" s="260">
        <f>VLOOKUP($A15,TOCA_previous!$A$2:$AJ$136,MATCH("Above RHWM Not Served with LS "&amp;$F$1,TOCA_previous!$A$2:$AJ$2,0),FALSE)*$F$2</f>
        <v>0</v>
      </c>
      <c r="BL15" s="261">
        <f t="shared" si="21"/>
        <v>-7277.9841768042243</v>
      </c>
      <c r="BM15" s="260">
        <f>(VLOOKUP($A15,TOCA_previous!$A$2:$AJ$136,MATCH("RHWM "&amp;Init!$D$1-2,TOCA_previous!$A$2:$AJ$2,0),FALSE)*$F$2) - $BI15</f>
        <v>9442.7999999999884</v>
      </c>
      <c r="BN15" s="261">
        <f t="shared" si="22"/>
        <v>0</v>
      </c>
      <c r="BO15" s="260">
        <f t="shared" si="23"/>
        <v>7277.9841768042243</v>
      </c>
      <c r="BP15" s="261">
        <f t="shared" si="24"/>
        <v>0</v>
      </c>
      <c r="BQ15" s="260">
        <f t="shared" si="9"/>
        <v>7277.9841768042243</v>
      </c>
      <c r="BR15" s="85">
        <f>VLOOKUP($A15,TOCA_current!$A$2:$ZZ$136,MATCH(BR$4,TOCA_current!$A$2:$ZZ$2,0),FALSE)</f>
        <v>2.7030999999999999E-3</v>
      </c>
      <c r="BS15" s="85">
        <f>VLOOKUP($A15,TOCA_current!$A$2:$ZZ$136,MATCH(BS$4,TOCA_current!$A$2:$ZZ$2,0),FALSE)</f>
        <v>2.7030999999999999E-3</v>
      </c>
      <c r="BT15" s="108">
        <f t="shared" si="25"/>
        <v>0</v>
      </c>
      <c r="BU15" s="85">
        <f>VLOOKUP($A15,TOCA_current!A12:BG146,MATCH(BU$4,TOCA_current!$A$2:$BG$2,0),FALSE)</f>
        <v>0</v>
      </c>
      <c r="BV15" s="85">
        <f t="shared" si="26"/>
        <v>0</v>
      </c>
      <c r="BW15" s="85">
        <f t="shared" si="27"/>
        <v>0</v>
      </c>
      <c r="BX15" s="101">
        <f>VLOOKUP($A15,IRD!$A$4:$G$138, 7, FALSE)</f>
        <v>0</v>
      </c>
      <c r="BY15" s="102">
        <f t="array" ref="BY15">IF($BT15=0, INDEX(LS_current!$D$4:$BW$137, MATCH('Staging Table'!$A15, LS_current!$B$4:$B$137, 0), MATCH(BY$4&amp;BY$5, LS_current!$D$2:$BW$2&amp;LS_current!$D$3:$BW$3, 0)),SUM(VLOOKUP($A15, LS_current!$B$4:$BW$137, LS_current!D$147, FALSE), VLOOKUP($A15, LS_current!$B$4:$BW$137,LS_current!AZ$147, FALSE))/2)</f>
        <v>1154.3048889752217</v>
      </c>
      <c r="BZ15" s="102">
        <f t="array" ref="BZ15">IF($BT15=0, INDEX(LS_current!$D$4:$BW$137, MATCH('Staging Table'!$A15, LS_current!$B$4:$B$137, 0), MATCH(BZ$4&amp;BZ$5, LS_current!$D$2:$BW$2&amp;LS_current!$D$3:$BW$3, 0)),SUM(VLOOKUP($A15, LS_current!$B$4:$BW$137, LS_current!E$147, FALSE), VLOOKUP($A15, LS_current!$B$4:$BW$137,LS_current!BA$147, FALSE))/2)</f>
        <v>190.50867600888068</v>
      </c>
      <c r="CA15" s="102">
        <f t="array" ref="CA15">IF($BT15=0, INDEX(LS_current!$D$4:$BW$137, MATCH('Staging Table'!$A15, LS_current!$B$4:$B$137, 0), MATCH(CA$4&amp;CA$5, LS_current!$D$2:$BW$2&amp;LS_current!$D$3:$BW$3, 0)),SUM(VLOOKUP($A15, LS_current!$B$4:$BW$137, LS_current!F$147, FALSE), VLOOKUP($A15, LS_current!$B$4:$BW$137,LS_current!BB$147, FALSE))/2)</f>
        <v>-273.40721099973234</v>
      </c>
      <c r="CB15" s="102">
        <f t="array" ref="CB15">IF($BT15=0, INDEX(LS_current!$D$4:$BW$137, MATCH('Staging Table'!$A15, LS_current!$B$4:$B$137, 0), MATCH(CB$4&amp;CB$5, LS_current!$D$2:$BW$2&amp;LS_current!$D$3:$BW$3, 0)),SUM(VLOOKUP($A15, LS_current!$B$4:$BW$137, LS_current!G$147, FALSE), VLOOKUP($A15, LS_current!$B$4:$BW$137,LS_current!BC$147, FALSE))/2)</f>
        <v>207.46008668914692</v>
      </c>
      <c r="CC15" s="102">
        <f t="array" ref="CC15">IF($BT15=0, INDEX(LS_current!$D$4:$BW$137, MATCH('Staging Table'!$A15, LS_current!$B$4:$B$137, 0), MATCH(CC$4&amp;CC$5, LS_current!$D$2:$BW$2&amp;LS_current!$D$3:$BW$3, 0)),SUM(VLOOKUP($A15, LS_current!$B$4:$BW$137, LS_current!H$147, FALSE), VLOOKUP($A15, LS_current!$B$4:$BW$137,LS_current!BD$147, FALSE))/2)</f>
        <v>860.38159231364807</v>
      </c>
      <c r="CD15" s="102">
        <f t="array" ref="CD15">IF($BT15=0, INDEX(LS_current!$D$4:$BW$137, MATCH('Staging Table'!$A15, LS_current!$B$4:$B$137, 0), MATCH(CD$4&amp;CD$5, LS_current!$D$2:$BW$2&amp;LS_current!$D$3:$BW$3, 0)),SUM(VLOOKUP($A15, LS_current!$B$4:$BW$137, LS_current!I$147, FALSE), VLOOKUP($A15, LS_current!$B$4:$BW$137,LS_current!BE$147, FALSE))/2)</f>
        <v>1112.803738161082</v>
      </c>
      <c r="CE15" s="102">
        <f t="array" ref="CE15">IF($BT15=0, INDEX(LS_current!$D$4:$BW$137, MATCH('Staging Table'!$A15, LS_current!$B$4:$B$137, 0), MATCH(CE$4&amp;CE$5, LS_current!$D$2:$BW$2&amp;LS_current!$D$3:$BW$3, 0)),SUM(VLOOKUP($A15, LS_current!$B$4:$BW$137, LS_current!J$147, FALSE), VLOOKUP($A15, LS_current!$B$4:$BW$137,LS_current!BF$147, FALSE))/2)</f>
        <v>40.407497195998076</v>
      </c>
      <c r="CF15" s="102">
        <f t="array" ref="CF15">IF($BT15=0, INDEX(LS_current!$D$4:$BW$137, MATCH('Staging Table'!$A15, LS_current!$B$4:$B$137, 0), MATCH(CF$4&amp;CF$5, LS_current!$D$2:$BW$2&amp;LS_current!$D$3:$BW$3, 0)),SUM(VLOOKUP($A15, LS_current!$B$4:$BW$137, LS_current!K$147, FALSE), VLOOKUP($A15, LS_current!$B$4:$BW$137,LS_current!BG$147, FALSE))/2)</f>
        <v>429.95638621416674</v>
      </c>
      <c r="CG15" s="102">
        <f t="array" ref="CG15">IF($BT15=0, INDEX(LS_current!$D$4:$BW$137, MATCH('Staging Table'!$A15, LS_current!$B$4:$B$137, 0), MATCH(CG$4&amp;CG$5, LS_current!$D$2:$BW$2&amp;LS_current!$D$3:$BW$3, 0)),SUM(VLOOKUP($A15, LS_current!$B$4:$BW$137, LS_current!L$147, FALSE), VLOOKUP($A15, LS_current!$B$4:$BW$137,LS_current!BH$147, FALSE))/2)</f>
        <v>191.51699046815338</v>
      </c>
      <c r="CH15" s="102">
        <f t="array" ref="CH15">IF($BT15=0, INDEX(LS_current!$D$4:$BW$137, MATCH('Staging Table'!$A15, LS_current!$B$4:$B$137, 0), MATCH(CH$4&amp;CH$5, LS_current!$D$2:$BW$2&amp;LS_current!$D$3:$BW$3, 0)),SUM(VLOOKUP($A15, LS_current!$B$4:$BW$137, LS_current!M$147, FALSE), VLOOKUP($A15, LS_current!$B$4:$BW$137,LS_current!BI$147, FALSE))/2)</f>
        <v>360.86349334559964</v>
      </c>
      <c r="CI15" s="102">
        <f t="array" ref="CI15">IF($BT15=0, INDEX(LS_current!$D$4:$BW$137, MATCH('Staging Table'!$A15, LS_current!$B$4:$B$137, 0), MATCH(CI$4&amp;CI$5, LS_current!$D$2:$BW$2&amp;LS_current!$D$3:$BW$3, 0)),SUM(VLOOKUP($A15, LS_current!$B$4:$BW$137, LS_current!N$147, FALSE), VLOOKUP($A15, LS_current!$B$4:$BW$137,LS_current!BJ$147, FALSE))/2)</f>
        <v>-936.0010444440868</v>
      </c>
      <c r="CJ15" s="102">
        <f t="array" ref="CJ15">IF($BT15=0, INDEX(LS_current!$D$4:$BW$137, MATCH('Staging Table'!$A15, LS_current!$B$4:$B$137, 0), MATCH(CJ$4&amp;CJ$5, LS_current!$D$2:$BW$2&amp;LS_current!$D$3:$BW$3, 0)),SUM(VLOOKUP($A15, LS_current!$B$4:$BW$137, LS_current!O$147, FALSE), VLOOKUP($A15, LS_current!$B$4:$BW$137,LS_current!BK$147, FALSE))/2)</f>
        <v>412.51999198197791</v>
      </c>
      <c r="CK15" s="102">
        <f t="array" ref="CK15">IF($BT15=0, INDEX(LS_current!$D$4:$BW$137, MATCH('Staging Table'!$A15, LS_current!$B$4:$B$137, 0), MATCH(CK$4&amp;CK$5, LS_current!$D$2:$BW$2&amp;LS_current!$D$3:$BW$3, 0)),SUM(VLOOKUP($A15, LS_current!$B$4:$BW$137, LS_current!P$147, FALSE), VLOOKUP($A15, LS_current!$B$4:$BW$137,LS_current!BL$147, FALSE))/2)</f>
        <v>568.38973595032803</v>
      </c>
      <c r="CL15" s="102">
        <f t="array" ref="CL15">IF($BT15=0, INDEX(LS_current!$D$4:$BW$137, MATCH('Staging Table'!$A15, LS_current!$B$4:$B$137, 0), MATCH(CL$4&amp;CL$5, LS_current!$D$2:$BW$2&amp;LS_current!$D$3:$BW$3, 0)),SUM(VLOOKUP($A15, LS_current!$B$4:$BW$137, LS_current!Q$147, FALSE), VLOOKUP($A15, LS_current!$B$4:$BW$137,LS_current!BM$147, FALSE))/2)</f>
        <v>-49.462570511519516</v>
      </c>
      <c r="CM15" s="102">
        <f t="array" ref="CM15">IF($BT15=0, INDEX(LS_current!$D$4:$BW$137, MATCH('Staging Table'!$A15, LS_current!$B$4:$B$137, 0), MATCH(CM$4&amp;CM$5, LS_current!$D$2:$BW$2&amp;LS_current!$D$3:$BW$3, 0)),SUM(VLOOKUP($A15, LS_current!$B$4:$BW$137, LS_current!R$147, FALSE), VLOOKUP($A15, LS_current!$B$4:$BW$137,LS_current!BN$147, FALSE))/2)</f>
        <v>-2253.5715063179123</v>
      </c>
      <c r="CN15" s="102">
        <f t="array" ref="CN15">IF($BT15=0, INDEX(LS_current!$D$4:$BW$137, MATCH('Staging Table'!$A15, LS_current!$B$4:$B$137, 0), MATCH(CN$4&amp;CN$5, LS_current!$D$2:$BW$2&amp;LS_current!$D$3:$BW$3, 0)),SUM(VLOOKUP($A15, LS_current!$B$4:$BW$137, LS_current!S$147, FALSE), VLOOKUP($A15, LS_current!$B$4:$BW$137,LS_current!BO$147, FALSE))/2)</f>
        <v>-1347.2680635234856</v>
      </c>
      <c r="CO15" s="102">
        <f t="array" ref="CO15">IF($BT15=0, INDEX(LS_current!$D$4:$BW$137, MATCH('Staging Table'!$A15, LS_current!$B$4:$B$137, 0), MATCH(CO$4&amp;CO$5, LS_current!$D$2:$BW$2&amp;LS_current!$D$3:$BW$3, 0)),SUM(VLOOKUP($A15, LS_current!$B$4:$BW$137, LS_current!T$147, FALSE), VLOOKUP($A15, LS_current!$B$4:$BW$137,LS_current!BP$147, FALSE))/2)</f>
        <v>-2105.4529077771313</v>
      </c>
      <c r="CP15" s="102">
        <f t="array" ref="CP15">IF($BT15=0, INDEX(LS_current!$D$4:$BW$137, MATCH('Staging Table'!$A15, LS_current!$B$4:$B$137, 0), MATCH(CP$4&amp;CP$5, LS_current!$D$2:$BW$2&amp;LS_current!$D$3:$BW$3, 0)),SUM(VLOOKUP($A15, LS_current!$B$4:$BW$137, LS_current!U$147, FALSE), VLOOKUP($A15, LS_current!$B$4:$BW$137,LS_current!BQ$147, FALSE))/2)</f>
        <v>-1113.9807220426983</v>
      </c>
      <c r="CQ15" s="102">
        <f t="array" ref="CQ15">IF($BT15=0, INDEX(LS_current!$D$4:$BW$137, MATCH('Staging Table'!$A15, LS_current!$B$4:$B$137, 0), MATCH(CQ$4&amp;CQ$5, LS_current!$D$2:$BW$2&amp;LS_current!$D$3:$BW$3, 0)),SUM(VLOOKUP($A15, LS_current!$B$4:$BW$137, LS_current!V$147, FALSE), VLOOKUP($A15, LS_current!$B$4:$BW$137,LS_current!BR$147, FALSE))/2)</f>
        <v>866.84409060445978</v>
      </c>
      <c r="CR15" s="102">
        <f t="array" ref="CR15">IF($BT15=0, INDEX(LS_current!$D$4:$BW$137, MATCH('Staging Table'!$A15, LS_current!$B$4:$B$137, 0), MATCH(CR$4&amp;CR$5, LS_current!$D$2:$BW$2&amp;LS_current!$D$3:$BW$3, 0)),SUM(VLOOKUP($A15, LS_current!$B$4:$BW$137, LS_current!W$147, FALSE), VLOOKUP($A15, LS_current!$B$4:$BW$137,LS_current!BS$147, FALSE))/2)</f>
        <v>263.73391691111738</v>
      </c>
      <c r="CS15" s="102">
        <f t="array" ref="CS15">IF($BT15=0, INDEX(LS_current!$D$4:$BW$137, MATCH('Staging Table'!$A15, LS_current!$B$4:$B$137, 0), MATCH(CS$4&amp;CS$5, LS_current!$D$2:$BW$2&amp;LS_current!$D$3:$BW$3, 0)),SUM(VLOOKUP($A15, LS_current!$B$4:$BW$137, LS_current!X$147, FALSE), VLOOKUP($A15, LS_current!$B$4:$BW$137,LS_current!BT$147, FALSE))/2)</f>
        <v>-114.6052107911546</v>
      </c>
      <c r="CT15" s="102">
        <f t="array" ref="CT15">IF($BT15=0, INDEX(LS_current!$D$4:$BW$137, MATCH('Staging Table'!$A15, LS_current!$B$4:$B$137, 0), MATCH(CT$4&amp;CT$5, LS_current!$D$2:$BW$2&amp;LS_current!$D$3:$BW$3, 0)),SUM(VLOOKUP($A15, LS_current!$B$4:$BW$137, LS_current!Y$147, FALSE), VLOOKUP($A15, LS_current!$B$4:$BW$137,LS_current!BU$147, FALSE))/2)</f>
        <v>532.40438499327138</v>
      </c>
      <c r="CU15" s="102">
        <f t="array" ref="CU15">IF($BT15=0, INDEX(LS_current!$D$4:$BW$137, MATCH('Staging Table'!$A15, LS_current!$B$4:$B$137, 0), MATCH(CU$4&amp;CU$5, LS_current!$D$2:$BW$2&amp;LS_current!$D$3:$BW$3, 0)),SUM(VLOOKUP($A15, LS_current!$B$4:$BW$137, LS_current!Z$147, FALSE), VLOOKUP($A15, LS_current!$B$4:$BW$137,LS_current!BV$147, FALSE))/2)</f>
        <v>685.3760345376013</v>
      </c>
      <c r="CV15" s="102">
        <f t="array" ref="CV15">IF($BT15=0, INDEX(LS_current!$D$4:$BW$137, MATCH('Staging Table'!$A15, LS_current!$B$4:$B$137, 0), MATCH(CV$4&amp;CV$5, LS_current!$D$2:$BW$2&amp;LS_current!$D$3:$BW$3, 0)),SUM(VLOOKUP($A15, LS_current!$B$4:$BW$137, LS_current!AA$147, FALSE), VLOOKUP($A15, LS_current!$B$4:$BW$137,LS_current!BW$147, FALSE))/2)</f>
        <v>317.40777150027952</v>
      </c>
      <c r="CW15" s="103">
        <f t="array" ref="CW15">INDEX(Demand_current!$D$4:$BW$137, MATCH($A15, Demand_current!$B$4:$B$137, 0), MATCH(CW$4&amp;CW$5,Demand_current!$D$2:$BW$2&amp;Demand_current!$D$3:$BW$3, 0))/1000</f>
        <v>1.7318773148148132</v>
      </c>
      <c r="CX15" s="103">
        <f t="array" ref="CX15">INDEX(Demand_current!$D$4:$BW$137, MATCH($A15, Demand_current!$B$4:$B$137, 0), MATCH(CX$4&amp;CX$5,Demand_current!$D$2:$BW$2&amp;Demand_current!$D$3:$BW$3, 0))/1000</f>
        <v>2.3220208333333376</v>
      </c>
      <c r="CY15" s="103">
        <f t="array" ref="CY15">INDEX(Demand_current!$D$4:$BW$137, MATCH($A15, Demand_current!$B$4:$B$137, 0), MATCH(CY$4&amp;CY$5,Demand_current!$D$2:$BW$2&amp;Demand_current!$D$3:$BW$3, 0))/1000</f>
        <v>0</v>
      </c>
      <c r="CZ15" s="103">
        <f t="array" ref="CZ15">INDEX(Demand_current!$D$4:$BW$137, MATCH($A15, Demand_current!$B$4:$B$137, 0), MATCH(CZ$4&amp;CZ$5,Demand_current!$D$2:$BW$2&amp;Demand_current!$D$3:$BW$3, 0))/1000</f>
        <v>2.3417716346153883</v>
      </c>
      <c r="DA15" s="103">
        <f t="array" ref="DA15">INDEX(Demand_current!$D$4:$BW$137, MATCH($A15, Demand_current!$B$4:$B$137, 0), MATCH(DA$4&amp;DA$5,Demand_current!$D$2:$BW$2&amp;Demand_current!$D$3:$BW$3, 0))/1000</f>
        <v>5.249580729166663</v>
      </c>
      <c r="DB15" s="103">
        <f t="array" ref="DB15">INDEX(Demand_current!$D$4:$BW$137, MATCH($A15, Demand_current!$B$4:$B$137, 0), MATCH(DB$4&amp;DB$5,Demand_current!$D$2:$BW$2&amp;Demand_current!$D$3:$BW$3, 0))/1000</f>
        <v>4.2037451923076921</v>
      </c>
      <c r="DC15" s="103">
        <f t="array" ref="DC15">INDEX(Demand_current!$D$4:$BW$137, MATCH($A15, Demand_current!$B$4:$B$137, 0), MATCH(DC$4&amp;DC$5,Demand_current!$D$2:$BW$2&amp;Demand_current!$D$3:$BW$3, 0))/1000</f>
        <v>2.794826923076922</v>
      </c>
      <c r="DD15" s="103">
        <f t="array" ref="DD15">INDEX(Demand_current!$D$4:$BW$137, MATCH($A15, Demand_current!$B$4:$B$137, 0), MATCH(DD$4&amp;DD$5,Demand_current!$D$2:$BW$2&amp;Demand_current!$D$3:$BW$3, 0))/1000</f>
        <v>3.9893850000000013</v>
      </c>
      <c r="DE15" s="103">
        <f t="array" ref="DE15">INDEX(Demand_current!$D$4:$BW$137, MATCH($A15, Demand_current!$B$4:$B$137, 0), MATCH(DE$4&amp;DE$5,Demand_current!$D$2:$BW$2&amp;Demand_current!$D$3:$BW$3, 0))/1000</f>
        <v>9.1457548076923079</v>
      </c>
      <c r="DF15" s="103">
        <f t="array" ref="DF15">INDEX(Demand_current!$D$4:$BW$137, MATCH($A15, Demand_current!$B$4:$B$137, 0), MATCH(DF$4&amp;DF$5,Demand_current!$D$2:$BW$2&amp;Demand_current!$D$3:$BW$3, 0))/1000</f>
        <v>4.95417548076923</v>
      </c>
      <c r="DG15" s="103">
        <f t="array" ref="DG15">INDEX(Demand_current!$D$4:$BW$137, MATCH($A15, Demand_current!$B$4:$B$137, 0), MATCH(DG$4&amp;DG$5,Demand_current!$D$2:$BW$2&amp;Demand_current!$D$3:$BW$3, 0))/1000</f>
        <v>6.7599759615384567</v>
      </c>
      <c r="DH15" s="103">
        <f t="array" ref="DH15">INDEX(Demand_current!$D$4:$BW$137, MATCH($A15, Demand_current!$B$4:$B$137, 0), MATCH(DH$4&amp;DH$5,Demand_current!$D$2:$BW$2&amp;Demand_current!$D$3:$BW$3, 0))/1000</f>
        <v>7.8035799999999966</v>
      </c>
      <c r="DI15" s="102">
        <f>$BS15*(VLOOKUP(DI$4, Rates_current!$H$6:$R$41, 10, FALSE)+VLOOKUP(DI$4, Rates_current!$H$6:$R$41, 11, FALSE))</f>
        <v>11218.642435015898</v>
      </c>
      <c r="DJ15" s="102">
        <f>$BS15*(VLOOKUP(DJ$4, Rates_current!$H$6:$R$41, 10, FALSE)+VLOOKUP(DJ$4, Rates_current!$H$6:$R$41, 11, FALSE))</f>
        <v>14342.665124310584</v>
      </c>
      <c r="DK15" s="102">
        <f>$BS15*(VLOOKUP(DK$4, Rates_current!$H$6:$R$41, 10, FALSE)+VLOOKUP(DK$4, Rates_current!$H$6:$R$41, 11, FALSE))</f>
        <v>16306.410669525269</v>
      </c>
      <c r="DL15" s="102">
        <f>$BS15*(VLOOKUP(DL$4, Rates_current!$H$6:$R$41, 10, FALSE)+VLOOKUP(DL$4, Rates_current!$H$6:$R$41, 11, FALSE))</f>
        <v>17204.536116589836</v>
      </c>
      <c r="DM15" s="102">
        <f>$BS15*(VLOOKUP(DM$4, Rates_current!$H$6:$R$41, 10, FALSE)+VLOOKUP(DM$4, Rates_current!$H$6:$R$41, 11, FALSE))</f>
        <v>13710.46251618625</v>
      </c>
      <c r="DN15" s="102">
        <f>$BS15*(VLOOKUP(DN$4, Rates_current!$H$6:$R$41, 10, FALSE)+VLOOKUP(DN$4, Rates_current!$H$6:$R$41, 11, FALSE))</f>
        <v>14988.351052462107</v>
      </c>
      <c r="DO15" s="102">
        <f>$BS15*(VLOOKUP(DO$4, Rates_current!$H$6:$R$41, 10, FALSE)+VLOOKUP(DO$4, Rates_current!$H$6:$R$41, 11, FALSE))</f>
        <v>11616.122834561193</v>
      </c>
      <c r="DP15" s="102">
        <f>$BS15*(VLOOKUP(DP$4, Rates_current!$H$6:$R$41, 10, FALSE)+VLOOKUP(DP$4, Rates_current!$H$6:$R$41, 11, FALSE))</f>
        <v>15033.175569841396</v>
      </c>
      <c r="DQ15" s="102">
        <f>$BS15*(VLOOKUP(DQ$4, Rates_current!$H$6:$R$41, 10, FALSE)+VLOOKUP(DQ$4, Rates_current!$H$6:$R$41, 11, FALSE))</f>
        <v>15354.177629819829</v>
      </c>
      <c r="DR15" s="102">
        <f>$BS15*(VLOOKUP(DR$4, Rates_current!$H$6:$R$41, 10, FALSE)+VLOOKUP(DR$4, Rates_current!$H$6:$R$41, 11, FALSE))</f>
        <v>13666.545992484424</v>
      </c>
      <c r="DS15" s="102">
        <f>$BS15*(VLOOKUP(DS$4, Rates_current!$H$6:$R$41, 10, FALSE)+VLOOKUP(DS$4, Rates_current!$H$6:$R$41, 11, FALSE))</f>
        <v>14019.369825797885</v>
      </c>
      <c r="DT15" s="102">
        <f>$BS15*(VLOOKUP(DT$4, Rates_current!$H$6:$R$41, 10, FALSE)+VLOOKUP(DT$4, Rates_current!$H$6:$R$41, 11, FALSE))</f>
        <v>10887.721193962119</v>
      </c>
      <c r="DU15" s="261">
        <f>IF(D15=0,IF(C15=0,MAX(0,DW15 - (VLOOKUP($A15,TOCA_current!$A$2:$AV$136,MATCH("RHWM "&amp;Init!$D$1,TOCA_current!$A$2:$AV$2,0),FALSE)*$BS$2)), 0),0)</f>
        <v>0</v>
      </c>
      <c r="DV15" s="262">
        <f>MIN(VLOOKUP($A15,TOCA_current!$A$2:$AV$136,MATCH("TRL - NLSL - Existing Resource "&amp;$BS$1,TOCA_current!$A$2:$AV$2,0),FALSE)*$BS$2, VLOOKUP($A15,TOCA_current!$A$2:$AV$136,MATCH("RHWM "&amp;Init!$D$1,TOCA_current!$A$2:$AV$2,0),FALSE)*$BS$2)</f>
        <v>168349.68</v>
      </c>
      <c r="DW15" s="262">
        <f>SUM(BY15:CV15)+(BS15*RT1SC!$C$4*$BS$2)</f>
        <v>168349.3209375552</v>
      </c>
      <c r="DX15" s="262">
        <f>VLOOKUP($A15,TOCA_current!$A$2:$AV$136,MATCH("Above RHWM Not Served with LS "&amp;$BS$1,TOCA_current!$A$2:$AV$2,0),FALSE)*$BS$2</f>
        <v>0</v>
      </c>
      <c r="DY15" s="262">
        <f t="shared" si="28"/>
        <v>-0.35906244479701854</v>
      </c>
      <c r="DZ15" s="262">
        <f>(VLOOKUP($A15,TOCA_current!$A$2:$AV$136,MATCH("RHWM "&amp;Init!$D$1,TOCA_current!$A$2:$AV$2,0),FALSE)*$BS$2) - $DV15</f>
        <v>17274.72000000003</v>
      </c>
      <c r="EA15" s="262">
        <f t="shared" si="29"/>
        <v>0</v>
      </c>
      <c r="EB15" s="262">
        <f t="shared" si="30"/>
        <v>0.35906244479701854</v>
      </c>
      <c r="EC15" s="262">
        <f t="shared" si="31"/>
        <v>0</v>
      </c>
      <c r="ED15" s="262">
        <f t="shared" si="32"/>
        <v>0.35906244479701854</v>
      </c>
    </row>
    <row r="16" spans="1:134">
      <c r="A16" s="2">
        <v>10059</v>
      </c>
      <c r="B16" s="3" t="s">
        <v>18</v>
      </c>
      <c r="C16">
        <f>VLOOKUP(A16, TOCA_current!$A$3:$D$136, 4, FALSE)</f>
        <v>0</v>
      </c>
      <c r="D16">
        <v>0</v>
      </c>
      <c r="E16" s="84">
        <f>VLOOKUP($A16,TOCA_previous!$A$2:$AJ$136,MATCH(E$4,TOCA_previous!$A$2:$AJ$2,0),FALSE)</f>
        <v>1.1008000000000001E-3</v>
      </c>
      <c r="F16" s="85">
        <f>VLOOKUP($A16,TOCA_previous!$A$2:$AJ$136,MATCH(F$4,TOCA_previous!$A$2:$AJ$2,0),FALSE)</f>
        <v>1.1008000000000001E-3</v>
      </c>
      <c r="G16" s="85">
        <f t="shared" si="18"/>
        <v>0</v>
      </c>
      <c r="H16" s="85">
        <f>VLOOKUP($A16,TOCA_previous!$A$2:$AJ$136,MATCH(H$4,TOCA_previous!$A$2:$AJ$2,0),FALSE)</f>
        <v>0</v>
      </c>
      <c r="I16" s="85">
        <f t="shared" si="19"/>
        <v>0</v>
      </c>
      <c r="J16" s="85">
        <f t="shared" si="20"/>
        <v>0</v>
      </c>
      <c r="K16" s="101">
        <f>VLOOKUP(A16, IRD!$A$5:$C$138, 3, FALSE)</f>
        <v>0</v>
      </c>
      <c r="L16" s="102">
        <f t="array" ref="L16">IF($G16=0, INDEX(LS_previous!$D$4:$AY$137, MATCH('Staging Table'!$A16, LS_previous!$B$4:$B$137, 0), MATCH(L$4&amp;L$5, LS_previous!$D$2:$AY$2&amp;LS_previous!$D$3:$AY$3, 0)),SUM(VLOOKUP($A16, LS_previous!$B$4:$AY$137, LS_previous!D$148, FALSE), VLOOKUP('Staging Table'!$A16, LS_previous!$B$4:$AY$137,LS_previous!AB$148, FALSE))/2)</f>
        <v>547.91760517119974</v>
      </c>
      <c r="M16" s="102">
        <f t="array" ref="M16">IF($G16=0, INDEX(LS_previous!$D$4:$AY$137, MATCH('Staging Table'!$A16, LS_previous!$B$4:$B$137, 0), MATCH(M$4&amp;M$5, LS_previous!$D$2:$AY$2&amp;LS_previous!$D$3:$AY$3, 0)),SUM(VLOOKUP($A16, LS_previous!$B$4:$AY$137, LS_previous!E$148, FALSE), VLOOKUP('Staging Table'!$A16, LS_previous!$B$4:$AY$137,LS_previous!AC$148, FALSE))/2)</f>
        <v>0.47721416959984708</v>
      </c>
      <c r="N16" s="102">
        <f t="array" ref="N16">IF($G16=0, INDEX(LS_previous!$D$4:$AY$137, MATCH('Staging Table'!$A16, LS_previous!$B$4:$B$137, 0), MATCH(N$4&amp;N$5, LS_previous!$D$2:$AY$2&amp;LS_previous!$D$3:$AY$3, 0)),SUM(VLOOKUP($A16, LS_previous!$B$4:$AY$137, LS_previous!F$148, FALSE), VLOOKUP('Staging Table'!$A16, LS_previous!$B$4:$AY$137,LS_previous!AD$148, FALSE))/2)</f>
        <v>-198.57465066240047</v>
      </c>
      <c r="O16" s="102">
        <f t="array" ref="O16">IF($G16=0, INDEX(LS_previous!$D$4:$AY$137, MATCH('Staging Table'!$A16, LS_previous!$B$4:$B$137, 0), MATCH(O$4&amp;O$5, LS_previous!$D$2:$AY$2&amp;LS_previous!$D$3:$AY$3, 0)),SUM(VLOOKUP($A16, LS_previous!$B$4:$AY$137, LS_previous!G$148, FALSE), VLOOKUP('Staging Table'!$A16, LS_previous!$B$4:$AY$137,LS_previous!AE$148, FALSE))/2)</f>
        <v>133.74680299519969</v>
      </c>
      <c r="P16" s="102">
        <f t="array" ref="P16">IF($G16=0, INDEX(LS_previous!$D$4:$AY$137, MATCH('Staging Table'!$A16, LS_previous!$B$4:$B$137, 0), MATCH(P$4&amp;P$5, LS_previous!$D$2:$AY$2&amp;LS_previous!$D$3:$AY$3, 0)),SUM(VLOOKUP($A16, LS_previous!$B$4:$AY$137, LS_previous!H$148, FALSE), VLOOKUP('Staging Table'!$A16, LS_previous!$B$4:$AY$137,LS_previous!AF$148, FALSE))/2)</f>
        <v>688.28629850879952</v>
      </c>
      <c r="Q16" s="102">
        <f t="array" ref="Q16">IF($G16=0, INDEX(LS_previous!$D$4:$AY$137, MATCH('Staging Table'!$A16, LS_previous!$B$4:$B$137, 0), MATCH(Q$4&amp;Q$5, LS_previous!$D$2:$AY$2&amp;LS_previous!$D$3:$AY$3, 0)),SUM(VLOOKUP($A16, LS_previous!$B$4:$AY$137, LS_previous!I$148, FALSE), VLOOKUP('Staging Table'!$A16, LS_previous!$B$4:$AY$137,LS_previous!AG$148, FALSE))/2)</f>
        <v>321.77913944319971</v>
      </c>
      <c r="R16" s="102">
        <f t="array" ref="R16">IF($G16=0, INDEX(LS_previous!$D$4:$AY$137, MATCH('Staging Table'!$A16, LS_previous!$B$4:$B$137, 0), MATCH(R$4&amp;R$5, LS_previous!$D$2:$AY$2&amp;LS_previous!$D$3:$AY$3, 0)),SUM(VLOOKUP($A16, LS_previous!$B$4:$AY$137, LS_previous!J$148, FALSE), VLOOKUP('Staging Table'!$A16, LS_previous!$B$4:$AY$137,LS_previous!AH$148, FALSE))/2)</f>
        <v>694.68956012800027</v>
      </c>
      <c r="S16" s="102">
        <f t="array" ref="S16">IF($G16=0, INDEX(LS_previous!$D$4:$AY$137, MATCH('Staging Table'!$A16, LS_previous!$B$4:$B$137, 0), MATCH(S$4&amp;S$5, LS_previous!$D$2:$AY$2&amp;LS_previous!$D$3:$AY$3, 0)),SUM(VLOOKUP($A16, LS_previous!$B$4:$AY$137, LS_previous!K$148, FALSE), VLOOKUP('Staging Table'!$A16, LS_previous!$B$4:$AY$137,LS_previous!AI$148, FALSE))/2)</f>
        <v>518.69165767679988</v>
      </c>
      <c r="T16" s="102">
        <f t="array" ref="T16">IF($G16=0, INDEX(LS_previous!$D$4:$AY$137, MATCH('Staging Table'!$A16, LS_previous!$B$4:$B$137, 0), MATCH(T$4&amp;T$5, LS_previous!$D$2:$AY$2&amp;LS_previous!$D$3:$AY$3, 0)),SUM(VLOOKUP($A16, LS_previous!$B$4:$AY$137, LS_previous!L$148, FALSE), VLOOKUP('Staging Table'!$A16, LS_previous!$B$4:$AY$137,LS_previous!AJ$148, FALSE))/2)</f>
        <v>488.0845363968001</v>
      </c>
      <c r="U16" s="102">
        <f t="array" ref="U16">IF($G16=0, INDEX(LS_previous!$D$4:$AY$137, MATCH('Staging Table'!$A16, LS_previous!$B$4:$B$137, 0), MATCH(U$4&amp;U$5, LS_previous!$D$2:$AY$2&amp;LS_previous!$D$3:$AY$3, 0)),SUM(VLOOKUP($A16, LS_previous!$B$4:$AY$137, LS_previous!M$148, FALSE), VLOOKUP('Staging Table'!$A16, LS_previous!$B$4:$AY$137,LS_previous!AK$148, FALSE))/2)</f>
        <v>458.79692353279961</v>
      </c>
      <c r="V16" s="102">
        <f t="array" ref="V16">IF($G16=0, INDEX(LS_previous!$D$4:$AY$137, MATCH('Staging Table'!$A16, LS_previous!$B$4:$B$137, 0), MATCH(V$4&amp;V$5, LS_previous!$D$2:$AY$2&amp;LS_previous!$D$3:$AY$3, 0)),SUM(VLOOKUP($A16, LS_previous!$B$4:$AY$137, LS_previous!N$148, FALSE), VLOOKUP('Staging Table'!$A16, LS_previous!$B$4:$AY$137,LS_previous!AL$148, FALSE))/2)</f>
        <v>-52.668959590400391</v>
      </c>
      <c r="W16" s="102">
        <f t="array" ref="W16">IF($G16=0, INDEX(LS_previous!$D$4:$AY$137, MATCH('Staging Table'!$A16, LS_previous!$B$4:$B$137, 0), MATCH(W$4&amp;W$5, LS_previous!$D$2:$AY$2&amp;LS_previous!$D$3:$AY$3, 0)),SUM(VLOOKUP($A16, LS_previous!$B$4:$AY$137, LS_previous!O$148, FALSE), VLOOKUP('Staging Table'!$A16, LS_previous!$B$4:$AY$137,LS_previous!AM$148, FALSE))/2)</f>
        <v>55.995906777599885</v>
      </c>
      <c r="X16" s="102">
        <f t="array" ref="X16">IF($G16=0, INDEX(LS_previous!$D$4:$AY$137, MATCH('Staging Table'!$A16, LS_previous!$B$4:$B$137, 0), MATCH(X$4&amp;X$5, LS_previous!$D$2:$AY$2&amp;LS_previous!$D$3:$AY$3, 0)),SUM(VLOOKUP($A16, LS_previous!$B$4:$AY$137, LS_previous!P$148, FALSE), VLOOKUP('Staging Table'!$A16, LS_previous!$B$4:$AY$137,LS_previous!AN$148, FALSE))/2)</f>
        <v>647.44551852799987</v>
      </c>
      <c r="Y16" s="102">
        <f t="array" ref="Y16">IF($G16=0, INDEX(LS_previous!$D$4:$AY$137, MATCH('Staging Table'!$A16, LS_previous!$B$4:$B$137, 0), MATCH(Y$4&amp;Y$5, LS_previous!$D$2:$AY$2&amp;LS_previous!$D$3:$AY$3, 0)),SUM(VLOOKUP($A16, LS_previous!$B$4:$AY$137, LS_previous!Q$148, FALSE), VLOOKUP('Staging Table'!$A16, LS_previous!$B$4:$AY$137,LS_previous!AO$148, FALSE))/2)</f>
        <v>293.88102130560014</v>
      </c>
      <c r="Z16" s="102">
        <f t="array" ref="Z16">IF($G16=0, INDEX(LS_previous!$D$4:$AY$137, MATCH('Staging Table'!$A16, LS_previous!$B$4:$B$137, 0), MATCH(Z$4&amp;Z$5, LS_previous!$D$2:$AY$2&amp;LS_previous!$D$3:$AY$3, 0)),SUM(VLOOKUP($A16, LS_previous!$B$4:$AY$137, LS_previous!R$148, FALSE), VLOOKUP('Staging Table'!$A16, LS_previous!$B$4:$AY$137,LS_previous!AP$148, FALSE))/2)</f>
        <v>-822.71898627840073</v>
      </c>
      <c r="AA16" s="102">
        <f t="array" ref="AA16">IF($G16=0, INDEX(LS_previous!$D$4:$AY$137, MATCH('Staging Table'!$A16, LS_previous!$B$4:$B$137, 0), MATCH(AA$4&amp;AA$5, LS_previous!$D$2:$AY$2&amp;LS_previous!$D$3:$AY$3, 0)),SUM(VLOOKUP($A16, LS_previous!$B$4:$AY$137, LS_previous!S$148, FALSE), VLOOKUP('Staging Table'!$A16, LS_previous!$B$4:$AY$137,LS_previous!AQ$148, FALSE))/2)</f>
        <v>-369.80672967680016</v>
      </c>
      <c r="AB16" s="102">
        <f t="array" ref="AB16">IF($G16=0, INDEX(LS_previous!$D$4:$AY$137, MATCH('Staging Table'!$A16, LS_previous!$B$4:$B$137, 0), MATCH(AB$4&amp;AB$5, LS_previous!$D$2:$AY$2&amp;LS_previous!$D$3:$AY$3, 0)),SUM(VLOOKUP($A16, LS_previous!$B$4:$AY$137, LS_previous!T$148, FALSE), VLOOKUP('Staging Table'!$A16, LS_previous!$B$4:$AY$137,LS_previous!AR$148, FALSE))/2)</f>
        <v>-1025.2527249408004</v>
      </c>
      <c r="AC16" s="102">
        <f t="array" ref="AC16">IF($G16=0, INDEX(LS_previous!$D$4:$AY$137, MATCH('Staging Table'!$A16, LS_previous!$B$4:$B$137, 0), MATCH(AC$4&amp;AC$5, LS_previous!$D$2:$AY$2&amp;LS_previous!$D$3:$AY$3, 0)),SUM(VLOOKUP($A16, LS_previous!$B$4:$AY$137, LS_previous!U$148, FALSE), VLOOKUP('Staging Table'!$A16, LS_previous!$B$4:$AY$137,LS_previous!AS$148, FALSE))/2)</f>
        <v>-673.60297999360023</v>
      </c>
      <c r="AD16" s="102">
        <f t="array" ref="AD16">IF($G16=0, INDEX(LS_previous!$D$4:$AY$137, MATCH('Staging Table'!$A16, LS_previous!$B$4:$B$137, 0), MATCH(AD$4&amp;AD$5, LS_previous!$D$2:$AY$2&amp;LS_previous!$D$3:$AY$3, 0)),SUM(VLOOKUP($A16, LS_previous!$B$4:$AY$137, LS_previous!V$148, FALSE), VLOOKUP('Staging Table'!$A16, LS_previous!$B$4:$AY$137,LS_previous!AT$148, FALSE))/2)</f>
        <v>-596.24656581120007</v>
      </c>
      <c r="AE16" s="102">
        <f t="array" ref="AE16">IF($G16=0, INDEX(LS_previous!$D$4:$AY$137, MATCH('Staging Table'!$A16, LS_previous!$B$4:$B$137, 0), MATCH(AE$4&amp;AE$5, LS_previous!$D$2:$AY$2&amp;LS_previous!$D$3:$AY$3, 0)),SUM(VLOOKUP($A16, LS_previous!$B$4:$AY$137, LS_previous!W$148, FALSE), VLOOKUP('Staging Table'!$A16, LS_previous!$B$4:$AY$137,LS_previous!AU$148, FALSE))/2)</f>
        <v>-370.71466835200022</v>
      </c>
      <c r="AF16" s="102">
        <f t="array" ref="AF16">IF($G16=0, INDEX(LS_previous!$D$4:$AY$137, MATCH('Staging Table'!$A16, LS_previous!$B$4:$B$137, 0), MATCH(AF$4&amp;AF$5, LS_previous!$D$2:$AY$2&amp;LS_previous!$D$3:$AY$3, 0)),SUM(VLOOKUP($A16, LS_previous!$B$4:$AY$137, LS_previous!X$148, FALSE), VLOOKUP('Staging Table'!$A16, LS_previous!$B$4:$AY$137,LS_previous!AV$148, FALSE))/2)</f>
        <v>-577.2468207872007</v>
      </c>
      <c r="AG16" s="102">
        <f t="array" ref="AG16">IF($G16=0, INDEX(LS_previous!$D$4:$AY$137, MATCH('Staging Table'!$A16, LS_previous!$B$4:$B$137, 0), MATCH(AG$4&amp;AG$5, LS_previous!$D$2:$AY$2&amp;LS_previous!$D$3:$AY$3, 0)),SUM(VLOOKUP($A16, LS_previous!$B$4:$AY$137, LS_previous!Y$148, FALSE), VLOOKUP('Staging Table'!$A16, LS_previous!$B$4:$AY$137,LS_previous!AW$148, FALSE))/2)</f>
        <v>-271.59567829887988</v>
      </c>
      <c r="AH16" s="102">
        <f t="array" ref="AH16">IF($G16=0, INDEX(LS_previous!$D$4:$AY$137, MATCH('Staging Table'!$A16, LS_previous!$B$4:$B$137, 0), MATCH(AH$4&amp;AH$5, LS_previous!$D$2:$AY$2&amp;LS_previous!$D$3:$AY$3, 0)),SUM(VLOOKUP($A16, LS_previous!$B$4:$AY$137, LS_previous!Z$148, FALSE), VLOOKUP('Staging Table'!$A16, LS_previous!$B$4:$AY$137,LS_previous!AX$148, FALSE))/2)</f>
        <v>-142.8010520192006</v>
      </c>
      <c r="AI16" s="102">
        <f t="array" ref="AI16">IF($G16=0, INDEX(LS_previous!$D$4:$AY$137, MATCH('Staging Table'!$A16, LS_previous!$B$4:$B$137, 0), MATCH(AI$4&amp;AI$5, LS_previous!$D$2:$AY$2&amp;LS_previous!$D$3:$AY$3, 0)),SUM(VLOOKUP($A16, LS_previous!$B$4:$AY$137, LS_previous!AA$148, FALSE), VLOOKUP('Staging Table'!$A16, LS_previous!$B$4:$AY$137,LS_previous!AY$148, FALSE))/2)</f>
        <v>-289.79870968320029</v>
      </c>
      <c r="AJ16" s="103">
        <f t="array" ref="AJ16">INDEX(Demand_previous!$D$4:$AY$137, MATCH('Staging Table'!$A16, Demand_previous!$B$4:$B$137, 0), MATCH(AJ$4&amp;AJ$5,Demand_previous!$D$2:$AY$2&amp;Demand_previous!$D$3:$AY$3, 0))/1000</f>
        <v>0.31673076923077037</v>
      </c>
      <c r="AK16" s="103">
        <f t="array" ref="AK16">INDEX(Demand_previous!$D$4:$AY$137, MATCH('Staging Table'!$A16, Demand_previous!$B$4:$B$137, 0), MATCH(AK$4&amp;AK$5,Demand_previous!$D$2:$AY$2&amp;Demand_previous!$D$3:$AY$3, 0))/1000</f>
        <v>0.87256749999999883</v>
      </c>
      <c r="AL16" s="103">
        <f t="array" ref="AL16">INDEX(Demand_previous!$D$4:$AY$137, MATCH('Staging Table'!$A16, Demand_previous!$B$4:$B$137, 0), MATCH(AL$4&amp;AL$5,Demand_previous!$D$2:$AY$2&amp;Demand_previous!$D$3:$AY$3, 0))/1000</f>
        <v>0.61690750000000039</v>
      </c>
      <c r="AM16" s="103">
        <f t="array" ref="AM16">INDEX(Demand_previous!$D$4:$AY$137, MATCH('Staging Table'!$A16, Demand_previous!$B$4:$B$137, 0), MATCH(AM$4&amp;AM$5,Demand_previous!$D$2:$AY$2&amp;Demand_previous!$D$3:$AY$3, 0))/1000</f>
        <v>2.00385817307692</v>
      </c>
      <c r="AN16" s="103">
        <f t="array" ref="AN16">INDEX(Demand_previous!$D$4:$AY$137, MATCH('Staging Table'!$A16, Demand_previous!$B$4:$B$137, 0), MATCH(AN$4&amp;AN$5,Demand_previous!$D$2:$AY$2&amp;Demand_previous!$D$3:$AY$3, 0))/1000</f>
        <v>0.94920000000000027</v>
      </c>
      <c r="AO16" s="103">
        <f t="array" ref="AO16">INDEX(Demand_previous!$D$4:$AY$137, MATCH('Staging Table'!$A16, Demand_previous!$B$4:$B$137, 0), MATCH(AO$4&amp;AO$5,Demand_previous!$D$2:$AY$2&amp;Demand_previous!$D$3:$AY$3, 0))/1000</f>
        <v>1.5215913461538477</v>
      </c>
      <c r="AP16" s="103">
        <f t="array" ref="AP16">INDEX(Demand_previous!$D$4:$AY$137, MATCH('Staging Table'!$A16, Demand_previous!$B$4:$B$137, 0), MATCH(AP$4&amp;AP$5,Demand_previous!$D$2:$AY$2&amp;Demand_previous!$D$3:$AY$3, 0))/1000</f>
        <v>1.1907307692307687</v>
      </c>
      <c r="AQ16" s="103">
        <f t="array" ref="AQ16">INDEX(Demand_previous!$D$4:$AY$137, MATCH('Staging Table'!$A16, Demand_previous!$B$4:$B$137, 0), MATCH(AQ$4&amp;AQ$5,Demand_previous!$D$2:$AY$2&amp;Demand_previous!$D$3:$AY$3, 0))/1000</f>
        <v>0.69834375000000071</v>
      </c>
      <c r="AR16" s="103">
        <f t="array" ref="AR16">INDEX(Demand_previous!$D$4:$AY$137, MATCH('Staging Table'!$A16, Demand_previous!$B$4:$B$137, 0), MATCH(AR$4&amp;AR$5,Demand_previous!$D$2:$AY$2&amp;Demand_previous!$D$3:$AY$3, 0))/1000</f>
        <v>0.37399000000000004</v>
      </c>
      <c r="AS16" s="103">
        <f t="array" ref="AS16">INDEX(Demand_previous!$D$4:$AY$137, MATCH('Staging Table'!$A16, Demand_previous!$B$4:$B$137, 0), MATCH(AS$4&amp;AS$5,Demand_previous!$D$2:$AY$2&amp;Demand_previous!$D$3:$AY$3, 0))/1000</f>
        <v>0.43044711538461489</v>
      </c>
      <c r="AT16" s="103">
        <f t="array" ref="AT16">INDEX(Demand_previous!$D$4:$AY$137, MATCH('Staging Table'!$A16, Demand_previous!$B$4:$B$137, 0), MATCH(AT$4&amp;AT$5,Demand_previous!$D$2:$AY$2&amp;Demand_previous!$D$3:$AY$3, 0))/1000</f>
        <v>0.55316898148148175</v>
      </c>
      <c r="AU16" s="103">
        <f t="array" ref="AU16">INDEX(Demand_previous!$D$4:$AY$137, MATCH('Staging Table'!$A16, Demand_previous!$B$4:$B$137, 0), MATCH(AU$4&amp;AU$5,Demand_previous!$D$2:$AY$2&amp;Demand_previous!$D$3:$AY$3, 0))/1000</f>
        <v>0</v>
      </c>
      <c r="AV16" s="102">
        <f>$F16*(VLOOKUP(AV$4, Rates_previous!$G$6:$Q$29, 10, FALSE)+VLOOKUP(AV$4, Rates_previous!$G$6:$Q$29, 11, FALSE))</f>
        <v>4644.0591806592001</v>
      </c>
      <c r="AW16" s="102">
        <f>$F16*(VLOOKUP(AW$4, Rates_previous!$G$6:$Q$29, 10, FALSE)+VLOOKUP(AW$4, Rates_previous!$G$6:$Q$29, 11, FALSE))</f>
        <v>5922.7068476672011</v>
      </c>
      <c r="AX16" s="102">
        <f>$F16*(VLOOKUP(AX$4, Rates_previous!$G$6:$Q$29, 10, FALSE)+VLOOKUP(AX$4, Rates_previous!$G$6:$Q$29, 11, FALSE))</f>
        <v>6391.7725620480014</v>
      </c>
      <c r="AY16" s="102">
        <f>$F16*(VLOOKUP(AY$4, Rates_previous!$G$6:$Q$29, 10, FALSE)+VLOOKUP(AY$4, Rates_previous!$G$6:$Q$29, 11, FALSE))</f>
        <v>6642.0397821952001</v>
      </c>
      <c r="AZ16" s="102">
        <f>$F16*(VLOOKUP(AZ$4, Rates_previous!$G$6:$Q$29, 10, FALSE)+VLOOKUP(AZ$4, Rates_previous!$G$6:$Q$29, 11, FALSE))</f>
        <v>5713.0395400704001</v>
      </c>
      <c r="BA16" s="102">
        <f>$F16*(VLOOKUP(BA$4, Rates_previous!$G$6:$Q$29, 10, FALSE)+VLOOKUP(BA$4, Rates_previous!$G$6:$Q$29, 11, FALSE))</f>
        <v>6237.5080528128001</v>
      </c>
      <c r="BB16" s="102">
        <f>$F16*(VLOOKUP(BB$4, Rates_previous!$G$6:$Q$29, 10, FALSE)+VLOOKUP(BB$4, Rates_previous!$G$6:$Q$29, 11, FALSE))</f>
        <v>4923.4614601663998</v>
      </c>
      <c r="BC16" s="102">
        <f>$F16*(VLOOKUP(BC$4, Rates_previous!$G$6:$Q$29, 10, FALSE)+VLOOKUP(BC$4, Rates_previous!$G$6:$Q$29, 11, FALSE))</f>
        <v>6108.2137159552003</v>
      </c>
      <c r="BD16" s="102">
        <f>$F16*(VLOOKUP(BD$4, Rates_previous!$G$6:$Q$29, 10, FALSE)+VLOOKUP(BD$4, Rates_previous!$G$6:$Q$29, 11, FALSE))</f>
        <v>6240.7467049344004</v>
      </c>
      <c r="BE16" s="102">
        <f>$F16*(VLOOKUP(BE$4, Rates_previous!$G$6:$Q$29, 10, FALSE)+VLOOKUP(BE$4, Rates_previous!$G$6:$Q$29, 11, FALSE))</f>
        <v>5417.8672341632</v>
      </c>
      <c r="BF16" s="102">
        <f>$F16*(VLOOKUP(BF$4, Rates_previous!$G$6:$Q$29, 10, FALSE)+VLOOKUP(BF$4, Rates_previous!$G$6:$Q$29, 11, FALSE))</f>
        <v>5237.6374990860813</v>
      </c>
      <c r="BG16" s="102">
        <f>$F16*(VLOOKUP(BG$4, Rates_previous!$G$6:$Q$29, 10, FALSE)+VLOOKUP(BG$4, Rates_previous!$G$6:$Q$29, 11, FALSE))</f>
        <v>4819.6407617024006</v>
      </c>
      <c r="BH16" s="103">
        <f>IF($D16=0,IF(C16=0, MAX(BJ16 - (VLOOKUP($A16,TOCA_previous!$A$2:$AJ$136,MATCH("RHWM "&amp;Init!$D$1-2,TOCA_previous!$A$2:$AJ$2,0),FALSE)*$F$2*TOCA_previous!C13),0),0), 0)</f>
        <v>656.48131306751748</v>
      </c>
      <c r="BI16" s="109">
        <f>MIN(VLOOKUP($A16,TOCA_previous!$A$2:$AJ$136,MATCH("TRL - NLSL - Existing Resource "&amp;$F$1,TOCA_previous!$A$2:$AJ$2,0),FALSE)*$F$2,(VLOOKUP($A16,TOCA_previous!$A$2:$AJ$136,MATCH("RHWM "&amp;Init!$D$1-2,TOCA_previous!$A$2:$AJ$2,0),FALSE)*$F$2))</f>
        <v>66793.536000000007</v>
      </c>
      <c r="BJ16" s="261">
        <f>SUM(L16:AI16)+(F16*RT1SC!$C$3*$F$2)</f>
        <v>67757.457313067513</v>
      </c>
      <c r="BK16" s="260">
        <f>VLOOKUP($A16,TOCA_previous!$A$2:$AJ$136,MATCH("Above RHWM Not Served with LS "&amp;$F$1,TOCA_previous!$A$2:$AJ$2,0),FALSE)*$F$2</f>
        <v>0</v>
      </c>
      <c r="BL16" s="261">
        <f t="shared" si="21"/>
        <v>963.92131306750525</v>
      </c>
      <c r="BM16" s="260">
        <f>(VLOOKUP($A16,TOCA_previous!$A$2:$AJ$136,MATCH("RHWM "&amp;Init!$D$1-2,TOCA_previous!$A$2:$AJ$2,0),FALSE)*$F$2) - $BI16</f>
        <v>307.43999999998778</v>
      </c>
      <c r="BN16" s="261">
        <f t="shared" si="22"/>
        <v>-307.43999999998778</v>
      </c>
      <c r="BO16" s="260">
        <f t="shared" si="23"/>
        <v>0</v>
      </c>
      <c r="BP16" s="261">
        <f t="shared" si="24"/>
        <v>0</v>
      </c>
      <c r="BQ16" s="260">
        <f t="shared" si="9"/>
        <v>-307.43999999998778</v>
      </c>
      <c r="BR16" s="85">
        <f>VLOOKUP($A16,TOCA_current!$A$2:$ZZ$136,MATCH(BR$4,TOCA_current!$A$2:$ZZ$2,0),FALSE)</f>
        <v>1.0807E-3</v>
      </c>
      <c r="BS16" s="85">
        <f>VLOOKUP($A16,TOCA_current!$A$2:$ZZ$136,MATCH(BS$4,TOCA_current!$A$2:$ZZ$2,0),FALSE)</f>
        <v>1.0807E-3</v>
      </c>
      <c r="BT16" s="108">
        <f t="shared" si="25"/>
        <v>0</v>
      </c>
      <c r="BU16" s="85">
        <f>VLOOKUP($A16,TOCA_current!A13:BG147,MATCH(BU$4,TOCA_current!$A$2:$BG$2,0),FALSE)</f>
        <v>0</v>
      </c>
      <c r="BV16" s="85">
        <f t="shared" si="26"/>
        <v>0</v>
      </c>
      <c r="BW16" s="85">
        <f t="shared" si="27"/>
        <v>0</v>
      </c>
      <c r="BX16" s="101">
        <f>VLOOKUP($A16,IRD!$A$4:$G$138, 7, FALSE)</f>
        <v>0</v>
      </c>
      <c r="BY16" s="102">
        <f t="array" ref="BY16">IF($BT16=0, INDEX(LS_current!$D$4:$BW$137, MATCH('Staging Table'!$A16, LS_current!$B$4:$B$137, 0), MATCH(BY$4&amp;BY$5, LS_current!$D$2:$BW$2&amp;LS_current!$D$3:$BW$3, 0)),SUM(VLOOKUP($A16, LS_current!$B$4:$BW$137, LS_current!D$147, FALSE), VLOOKUP($A16, LS_current!$B$4:$BW$137,LS_current!AZ$147, FALSE))/2)</f>
        <v>562.91161866579978</v>
      </c>
      <c r="BZ16" s="102">
        <f t="array" ref="BZ16">IF($BT16=0, INDEX(LS_current!$D$4:$BW$137, MATCH('Staging Table'!$A16, LS_current!$B$4:$B$137, 0), MATCH(BZ$4&amp;BZ$5, LS_current!$D$2:$BW$2&amp;LS_current!$D$3:$BW$3, 0)),SUM(VLOOKUP($A16, LS_current!$B$4:$BW$137, LS_current!E$147, FALSE), VLOOKUP($A16, LS_current!$B$4:$BW$137,LS_current!BA$147, FALSE))/2)</f>
        <v>144.32656263652734</v>
      </c>
      <c r="CA16" s="102">
        <f t="array" ref="CA16">IF($BT16=0, INDEX(LS_current!$D$4:$BW$137, MATCH('Staging Table'!$A16, LS_current!$B$4:$B$137, 0), MATCH(CA$4&amp;CA$5, LS_current!$D$2:$BW$2&amp;LS_current!$D$3:$BW$3, 0)),SUM(VLOOKUP($A16, LS_current!$B$4:$BW$137, LS_current!F$147, FALSE), VLOOKUP($A16, LS_current!$B$4:$BW$137,LS_current!BB$147, FALSE))/2)</f>
        <v>-69.318060829199567</v>
      </c>
      <c r="CB16" s="102">
        <f t="array" ref="CB16">IF($BT16=0, INDEX(LS_current!$D$4:$BW$137, MATCH('Staging Table'!$A16, LS_current!$B$4:$B$137, 0), MATCH(CB$4&amp;CB$5, LS_current!$D$2:$BW$2&amp;LS_current!$D$3:$BW$3, 0)),SUM(VLOOKUP($A16, LS_current!$B$4:$BW$137, LS_current!G$147, FALSE), VLOOKUP($A16, LS_current!$B$4:$BW$137,LS_current!BC$147, FALSE))/2)</f>
        <v>192.99625440603813</v>
      </c>
      <c r="CC16" s="102">
        <f t="array" ref="CC16">IF($BT16=0, INDEX(LS_current!$D$4:$BW$137, MATCH('Staging Table'!$A16, LS_current!$B$4:$B$137, 0), MATCH(CC$4&amp;CC$5, LS_current!$D$2:$BW$2&amp;LS_current!$D$3:$BW$3, 0)),SUM(VLOOKUP($A16, LS_current!$B$4:$BW$137, LS_current!H$147, FALSE), VLOOKUP($A16, LS_current!$B$4:$BW$137,LS_current!BD$147, FALSE))/2)</f>
        <v>384.67976212990925</v>
      </c>
      <c r="CD16" s="102">
        <f t="array" ref="CD16">IF($BT16=0, INDEX(LS_current!$D$4:$BW$137, MATCH('Staging Table'!$A16, LS_current!$B$4:$B$137, 0), MATCH(CD$4&amp;CD$5, LS_current!$D$2:$BW$2&amp;LS_current!$D$3:$BW$3, 0)),SUM(VLOOKUP($A16, LS_current!$B$4:$BW$137, LS_current!I$147, FALSE), VLOOKUP($A16, LS_current!$B$4:$BW$137,LS_current!BE$147, FALSE))/2)</f>
        <v>497.85151205308057</v>
      </c>
      <c r="CE16" s="102">
        <f t="array" ref="CE16">IF($BT16=0, INDEX(LS_current!$D$4:$BW$137, MATCH('Staging Table'!$A16, LS_current!$B$4:$B$137, 0), MATCH(CE$4&amp;CE$5, LS_current!$D$2:$BW$2&amp;LS_current!$D$3:$BW$3, 0)),SUM(VLOOKUP($A16, LS_current!$B$4:$BW$137, LS_current!J$147, FALSE), VLOOKUP($A16, LS_current!$B$4:$BW$137,LS_current!BF$147, FALSE))/2)</f>
        <v>471.44154349440123</v>
      </c>
      <c r="CF16" s="102">
        <f t="array" ref="CF16">IF($BT16=0, INDEX(LS_current!$D$4:$BW$137, MATCH('Staging Table'!$A16, LS_current!$B$4:$B$137, 0), MATCH(CF$4&amp;CF$5, LS_current!$D$2:$BW$2&amp;LS_current!$D$3:$BW$3, 0)),SUM(VLOOKUP($A16, LS_current!$B$4:$BW$137, LS_current!K$147, FALSE), VLOOKUP($A16, LS_current!$B$4:$BW$137,LS_current!BG$147, FALSE))/2)</f>
        <v>505.60197095248077</v>
      </c>
      <c r="CG16" s="102">
        <f t="array" ref="CG16">IF($BT16=0, INDEX(LS_current!$D$4:$BW$137, MATCH('Staging Table'!$A16, LS_current!$B$4:$B$137, 0), MATCH(CG$4&amp;CG$5, LS_current!$D$2:$BW$2&amp;LS_current!$D$3:$BW$3, 0)),SUM(VLOOKUP($A16, LS_current!$B$4:$BW$137, LS_current!L$147, FALSE), VLOOKUP($A16, LS_current!$B$4:$BW$137,LS_current!BH$147, FALSE))/2)</f>
        <v>632.60852225183407</v>
      </c>
      <c r="CH16" s="102">
        <f t="array" ref="CH16">IF($BT16=0, INDEX(LS_current!$D$4:$BW$137, MATCH('Staging Table'!$A16, LS_current!$B$4:$B$137, 0), MATCH(CH$4&amp;CH$5, LS_current!$D$2:$BW$2&amp;LS_current!$D$3:$BW$3, 0)),SUM(VLOOKUP($A16, LS_current!$B$4:$BW$137, LS_current!M$147, FALSE), VLOOKUP($A16, LS_current!$B$4:$BW$137,LS_current!BI$147, FALSE))/2)</f>
        <v>545.86641905907663</v>
      </c>
      <c r="CI16" s="102">
        <f t="array" ref="CI16">IF($BT16=0, INDEX(LS_current!$D$4:$BW$137, MATCH('Staging Table'!$A16, LS_current!$B$4:$B$137, 0), MATCH(CI$4&amp;CI$5, LS_current!$D$2:$BW$2&amp;LS_current!$D$3:$BW$3, 0)),SUM(VLOOKUP($A16, LS_current!$B$4:$BW$137, LS_current!N$147, FALSE), VLOOKUP($A16, LS_current!$B$4:$BW$137,LS_current!BJ$147, FALSE))/2)</f>
        <v>-152.22946421912775</v>
      </c>
      <c r="CJ16" s="102">
        <f t="array" ref="CJ16">IF($BT16=0, INDEX(LS_current!$D$4:$BW$137, MATCH('Staging Table'!$A16, LS_current!$B$4:$B$137, 0), MATCH(CJ$4&amp;CJ$5, LS_current!$D$2:$BW$2&amp;LS_current!$D$3:$BW$3, 0)),SUM(VLOOKUP($A16, LS_current!$B$4:$BW$137, LS_current!O$147, FALSE), VLOOKUP($A16, LS_current!$B$4:$BW$137,LS_current!BK$147, FALSE))/2)</f>
        <v>400.71827562240514</v>
      </c>
      <c r="CK16" s="102">
        <f t="array" ref="CK16">IF($BT16=0, INDEX(LS_current!$D$4:$BW$137, MATCH('Staging Table'!$A16, LS_current!$B$4:$B$137, 0), MATCH(CK$4&amp;CK$5, LS_current!$D$2:$BW$2&amp;LS_current!$D$3:$BW$3, 0)),SUM(VLOOKUP($A16, LS_current!$B$4:$BW$137, LS_current!P$147, FALSE), VLOOKUP($A16, LS_current!$B$4:$BW$137,LS_current!BL$147, FALSE))/2)</f>
        <v>784.83268796623088</v>
      </c>
      <c r="CL16" s="102">
        <f t="array" ref="CL16">IF($BT16=0, INDEX(LS_current!$D$4:$BW$137, MATCH('Staging Table'!$A16, LS_current!$B$4:$B$137, 0), MATCH(CL$4&amp;CL$5, LS_current!$D$2:$BW$2&amp;LS_current!$D$3:$BW$3, 0)),SUM(VLOOKUP($A16, LS_current!$B$4:$BW$137, LS_current!Q$147, FALSE), VLOOKUP($A16, LS_current!$B$4:$BW$137,LS_current!BM$147, FALSE))/2)</f>
        <v>435.82673842928511</v>
      </c>
      <c r="CM16" s="102">
        <f t="array" ref="CM16">IF($BT16=0, INDEX(LS_current!$D$4:$BW$137, MATCH('Staging Table'!$A16, LS_current!$B$4:$B$137, 0), MATCH(CM$4&amp;CM$5, LS_current!$D$2:$BW$2&amp;LS_current!$D$3:$BW$3, 0)),SUM(VLOOKUP($A16, LS_current!$B$4:$BW$137, LS_current!R$147, FALSE), VLOOKUP($A16, LS_current!$B$4:$BW$137,LS_current!BN$147, FALSE))/2)</f>
        <v>-750.41148695119227</v>
      </c>
      <c r="CN16" s="102">
        <f t="array" ref="CN16">IF($BT16=0, INDEX(LS_current!$D$4:$BW$137, MATCH('Staging Table'!$A16, LS_current!$B$4:$B$137, 0), MATCH(CN$4&amp;CN$5, LS_current!$D$2:$BW$2&amp;LS_current!$D$3:$BW$3, 0)),SUM(VLOOKUP($A16, LS_current!$B$4:$BW$137, LS_current!S$147, FALSE), VLOOKUP($A16, LS_current!$B$4:$BW$137,LS_current!BO$147, FALSE))/2)</f>
        <v>-344.16755397500333</v>
      </c>
      <c r="CO16" s="102">
        <f t="array" ref="CO16">IF($BT16=0, INDEX(LS_current!$D$4:$BW$137, MATCH('Staging Table'!$A16, LS_current!$B$4:$B$137, 0), MATCH(CO$4&amp;CO$5, LS_current!$D$2:$BW$2&amp;LS_current!$D$3:$BW$3, 0)),SUM(VLOOKUP($A16, LS_current!$B$4:$BW$137, LS_current!T$147, FALSE), VLOOKUP($A16, LS_current!$B$4:$BW$137,LS_current!BP$147, FALSE))/2)</f>
        <v>-1107.1916609946893</v>
      </c>
      <c r="CP16" s="102">
        <f t="array" ref="CP16">IF($BT16=0, INDEX(LS_current!$D$4:$BW$137, MATCH('Staging Table'!$A16, LS_current!$B$4:$B$137, 0), MATCH(CP$4&amp;CP$5, LS_current!$D$2:$BW$2&amp;LS_current!$D$3:$BW$3, 0)),SUM(VLOOKUP($A16, LS_current!$B$4:$BW$137, LS_current!U$147, FALSE), VLOOKUP($A16, LS_current!$B$4:$BW$137,LS_current!BQ$147, FALSE))/2)</f>
        <v>-489.5210771379318</v>
      </c>
      <c r="CQ16" s="102">
        <f t="array" ref="CQ16">IF($BT16=0, INDEX(LS_current!$D$4:$BW$137, MATCH('Staging Table'!$A16, LS_current!$B$4:$B$137, 0), MATCH(CQ$4&amp;CQ$5, LS_current!$D$2:$BW$2&amp;LS_current!$D$3:$BW$3, 0)),SUM(VLOOKUP($A16, LS_current!$B$4:$BW$137, LS_current!V$147, FALSE), VLOOKUP($A16, LS_current!$B$4:$BW$137,LS_current!BR$147, FALSE))/2)</f>
        <v>-682.26837985415295</v>
      </c>
      <c r="CR16" s="102">
        <f t="array" ref="CR16">IF($BT16=0, INDEX(LS_current!$D$4:$BW$137, MATCH('Staging Table'!$A16, LS_current!$B$4:$B$137, 0), MATCH(CR$4&amp;CR$5, LS_current!$D$2:$BW$2&amp;LS_current!$D$3:$BW$3, 0)),SUM(VLOOKUP($A16, LS_current!$B$4:$BW$137, LS_current!W$147, FALSE), VLOOKUP($A16, LS_current!$B$4:$BW$137,LS_current!BS$147, FALSE))/2)</f>
        <v>-330.71384258597755</v>
      </c>
      <c r="CS16" s="102">
        <f t="array" ref="CS16">IF($BT16=0, INDEX(LS_current!$D$4:$BW$137, MATCH('Staging Table'!$A16, LS_current!$B$4:$B$137, 0), MATCH(CS$4&amp;CS$5, LS_current!$D$2:$BW$2&amp;LS_current!$D$3:$BW$3, 0)),SUM(VLOOKUP($A16, LS_current!$B$4:$BW$137, LS_current!X$147, FALSE), VLOOKUP($A16, LS_current!$B$4:$BW$137,LS_current!BT$147, FALSE))/2)</f>
        <v>-980.39025230365178</v>
      </c>
      <c r="CT16" s="102">
        <f t="array" ref="CT16">IF($BT16=0, INDEX(LS_current!$D$4:$BW$137, MATCH('Staging Table'!$A16, LS_current!$B$4:$B$137, 0), MATCH(CT$4&amp;CT$5, LS_current!$D$2:$BW$2&amp;LS_current!$D$3:$BW$3, 0)),SUM(VLOOKUP($A16, LS_current!$B$4:$BW$137, LS_current!Y$147, FALSE), VLOOKUP($A16, LS_current!$B$4:$BW$137,LS_current!BU$147, FALSE))/2)</f>
        <v>-235.76201962109121</v>
      </c>
      <c r="CU16" s="102">
        <f t="array" ref="CU16">IF($BT16=0, INDEX(LS_current!$D$4:$BW$137, MATCH('Staging Table'!$A16, LS_current!$B$4:$B$137, 0), MATCH(CU$4&amp;CU$5, LS_current!$D$2:$BW$2&amp;LS_current!$D$3:$BW$3, 0)),SUM(VLOOKUP($A16, LS_current!$B$4:$BW$137, LS_current!Z$147, FALSE), VLOOKUP($A16, LS_current!$B$4:$BW$137,LS_current!BV$147, FALSE))/2)</f>
        <v>26.360017840548608</v>
      </c>
      <c r="CV16" s="102">
        <f t="array" ref="CV16">IF($BT16=0, INDEX(LS_current!$D$4:$BW$137, MATCH('Staging Table'!$A16, LS_current!$B$4:$B$137, 0), MATCH(CV$4&amp;CV$5, LS_current!$D$2:$BW$2&amp;LS_current!$D$3:$BW$3, 0)),SUM(VLOOKUP($A16, LS_current!$B$4:$BW$137, LS_current!AA$147, FALSE), VLOOKUP($A16, LS_current!$B$4:$BW$137,LS_current!BW$147, FALSE))/2)</f>
        <v>7.7675515372543487</v>
      </c>
      <c r="CW16" s="103">
        <f t="array" ref="CW16">INDEX(Demand_current!$D$4:$BW$137, MATCH($A16, Demand_current!$B$4:$B$137, 0), MATCH(CW$4&amp;CW$5,Demand_current!$D$2:$BW$2&amp;Demand_current!$D$3:$BW$3, 0))/1000</f>
        <v>0.61566666666666681</v>
      </c>
      <c r="CX16" s="103">
        <f t="array" ref="CX16">INDEX(Demand_current!$D$4:$BW$137, MATCH($A16, Demand_current!$B$4:$B$137, 0), MATCH(CX$4&amp;CX$5,Demand_current!$D$2:$BW$2&amp;Demand_current!$D$3:$BW$3, 0))/1000</f>
        <v>0.51892447916666562</v>
      </c>
      <c r="CY16" s="103">
        <f t="array" ref="CY16">INDEX(Demand_current!$D$4:$BW$137, MATCH($A16, Demand_current!$B$4:$B$137, 0), MATCH(CY$4&amp;CY$5,Demand_current!$D$2:$BW$2&amp;Demand_current!$D$3:$BW$3, 0))/1000</f>
        <v>1.0557187500000009</v>
      </c>
      <c r="CZ16" s="103">
        <f t="array" ref="CZ16">INDEX(Demand_current!$D$4:$BW$137, MATCH($A16, Demand_current!$B$4:$B$137, 0), MATCH(CZ$4&amp;CZ$5,Demand_current!$D$2:$BW$2&amp;Demand_current!$D$3:$BW$3, 0))/1000</f>
        <v>2.00385817307692</v>
      </c>
      <c r="DA16" s="103">
        <f t="array" ref="DA16">INDEX(Demand_current!$D$4:$BW$137, MATCH($A16, Demand_current!$B$4:$B$137, 0), MATCH(DA$4&amp;DA$5,Demand_current!$D$2:$BW$2&amp;Demand_current!$D$3:$BW$3, 0))/1000</f>
        <v>0.51995833333333241</v>
      </c>
      <c r="DB16" s="103">
        <f t="array" ref="DB16">INDEX(Demand_current!$D$4:$BW$137, MATCH($A16, Demand_current!$B$4:$B$137, 0), MATCH(DB$4&amp;DB$5,Demand_current!$D$2:$BW$2&amp;Demand_current!$D$3:$BW$3, 0))/1000</f>
        <v>1.5215913461538477</v>
      </c>
      <c r="DC16" s="103">
        <f t="array" ref="DC16">INDEX(Demand_current!$D$4:$BW$137, MATCH($A16, Demand_current!$B$4:$B$137, 0), MATCH(DC$4&amp;DC$5,Demand_current!$D$2:$BW$2&amp;Demand_current!$D$3:$BW$3, 0))/1000</f>
        <v>1.1907307692307687</v>
      </c>
      <c r="DD16" s="103">
        <f t="array" ref="DD16">INDEX(Demand_current!$D$4:$BW$137, MATCH($A16, Demand_current!$B$4:$B$137, 0), MATCH(DD$4&amp;DD$5,Demand_current!$D$2:$BW$2&amp;Demand_current!$D$3:$BW$3, 0))/1000</f>
        <v>0.42055750000000058</v>
      </c>
      <c r="DE16" s="103">
        <f t="array" ref="DE16">INDEX(Demand_current!$D$4:$BW$137, MATCH($A16, Demand_current!$B$4:$B$137, 0), MATCH(DE$4&amp;DE$5,Demand_current!$D$2:$BW$2&amp;Demand_current!$D$3:$BW$3, 0))/1000</f>
        <v>0.65222115384615353</v>
      </c>
      <c r="DF16" s="103">
        <f t="array" ref="DF16">INDEX(Demand_current!$D$4:$BW$137, MATCH($A16, Demand_current!$B$4:$B$137, 0), MATCH(DF$4&amp;DF$5,Demand_current!$D$2:$BW$2&amp;Demand_current!$D$3:$BW$3, 0))/1000</f>
        <v>0.43044711538461489</v>
      </c>
      <c r="DG16" s="103">
        <f t="array" ref="DG16">INDEX(Demand_current!$D$4:$BW$137, MATCH($A16, Demand_current!$B$4:$B$137, 0), MATCH(DG$4&amp;DG$5,Demand_current!$D$2:$BW$2&amp;Demand_current!$D$3:$BW$3, 0))/1000</f>
        <v>0.30875240384615443</v>
      </c>
      <c r="DH16" s="103">
        <f t="array" ref="DH16">INDEX(Demand_current!$D$4:$BW$137, MATCH($A16, Demand_current!$B$4:$B$137, 0), MATCH(DH$4&amp;DH$5,Demand_current!$D$2:$BW$2&amp;Demand_current!$D$3:$BW$3, 0))/1000</f>
        <v>0.20369250000000028</v>
      </c>
      <c r="DI16" s="102">
        <f>$BS16*(VLOOKUP(DI$4, Rates_current!$H$6:$R$41, 10, FALSE)+VLOOKUP(DI$4, Rates_current!$H$6:$R$41, 11, FALSE))</f>
        <v>4485.2158186976731</v>
      </c>
      <c r="DJ16" s="102">
        <f>$BS16*(VLOOKUP(DJ$4, Rates_current!$H$6:$R$41, 10, FALSE)+VLOOKUP(DJ$4, Rates_current!$H$6:$R$41, 11, FALSE))</f>
        <v>5734.2008064231613</v>
      </c>
      <c r="DK16" s="102">
        <f>$BS16*(VLOOKUP(DK$4, Rates_current!$H$6:$R$41, 10, FALSE)+VLOOKUP(DK$4, Rates_current!$H$6:$R$41, 11, FALSE))</f>
        <v>6519.3067258170095</v>
      </c>
      <c r="DL16" s="102">
        <f>$BS16*(VLOOKUP(DL$4, Rates_current!$H$6:$R$41, 10, FALSE)+VLOOKUP(DL$4, Rates_current!$H$6:$R$41, 11, FALSE))</f>
        <v>6878.3774855531183</v>
      </c>
      <c r="DM16" s="102">
        <f>$BS16*(VLOOKUP(DM$4, Rates_current!$H$6:$R$41, 10, FALSE)+VLOOKUP(DM$4, Rates_current!$H$6:$R$41, 11, FALSE))</f>
        <v>5481.44605868909</v>
      </c>
      <c r="DN16" s="102">
        <f>$BS16*(VLOOKUP(DN$4, Rates_current!$H$6:$R$41, 10, FALSE)+VLOOKUP(DN$4, Rates_current!$H$6:$R$41, 11, FALSE))</f>
        <v>5992.3461885967217</v>
      </c>
      <c r="DO16" s="102">
        <f>$BS16*(VLOOKUP(DO$4, Rates_current!$H$6:$R$41, 10, FALSE)+VLOOKUP(DO$4, Rates_current!$H$6:$R$41, 11, FALSE))</f>
        <v>4644.1285736044838</v>
      </c>
      <c r="DP16" s="102">
        <f>$BS16*(VLOOKUP(DP$4, Rates_current!$H$6:$R$41, 10, FALSE)+VLOOKUP(DP$4, Rates_current!$H$6:$R$41, 11, FALSE))</f>
        <v>6010.2670409261946</v>
      </c>
      <c r="DQ16" s="102">
        <f>$BS16*(VLOOKUP(DQ$4, Rates_current!$H$6:$R$41, 10, FALSE)+VLOOKUP(DQ$4, Rates_current!$H$6:$R$41, 11, FALSE))</f>
        <v>6138.6037381326214</v>
      </c>
      <c r="DR16" s="102">
        <f>$BS16*(VLOOKUP(DR$4, Rates_current!$H$6:$R$41, 10, FALSE)+VLOOKUP(DR$4, Rates_current!$H$6:$R$41, 11, FALSE))</f>
        <v>5463.8882224401304</v>
      </c>
      <c r="DS16" s="102">
        <f>$BS16*(VLOOKUP(DS$4, Rates_current!$H$6:$R$41, 10, FALSE)+VLOOKUP(DS$4, Rates_current!$H$6:$R$41, 11, FALSE))</f>
        <v>5604.9472719247433</v>
      </c>
      <c r="DT16" s="102">
        <f>$BS16*(VLOOKUP(DT$4, Rates_current!$H$6:$R$41, 10, FALSE)+VLOOKUP(DT$4, Rates_current!$H$6:$R$41, 11, FALSE))</f>
        <v>4352.9134306221977</v>
      </c>
      <c r="DU16" s="261">
        <f>IF(D16=0,IF(C16=0,MAX(0,DW16 - (VLOOKUP($A16,TOCA_current!$A$2:$AV$136,MATCH("RHWM "&amp;Init!$D$1,TOCA_current!$A$2:$AV$2,0),FALSE)*$BS$2)), 0),0)</f>
        <v>454.38097303685208</v>
      </c>
      <c r="DV16" s="262">
        <f>MIN(VLOOKUP($A16,TOCA_current!$A$2:$AV$136,MATCH("TRL - NLSL - Existing Resource "&amp;$BS$1,TOCA_current!$A$2:$AV$2,0),FALSE)*$BS$2, VLOOKUP($A16,TOCA_current!$A$2:$AV$136,MATCH("RHWM "&amp;Init!$D$1,TOCA_current!$A$2:$AV$2,0),FALSE)*$BS$2)</f>
        <v>67303.08</v>
      </c>
      <c r="DW16" s="262">
        <f>SUM(BY16:CV16)+(BS16*RT1SC!$C$4*$BS$2)</f>
        <v>67757.460973036854</v>
      </c>
      <c r="DX16" s="262">
        <f>VLOOKUP($A16,TOCA_current!$A$2:$AV$136,MATCH("Above RHWM Not Served with LS "&amp;$BS$1,TOCA_current!$A$2:$AV$2,0),FALSE)*$BS$2</f>
        <v>0</v>
      </c>
      <c r="DY16" s="262">
        <f t="shared" si="28"/>
        <v>454.38097303685208</v>
      </c>
      <c r="DZ16" s="262">
        <f>(VLOOKUP($A16,TOCA_current!$A$2:$AV$136,MATCH("RHWM "&amp;Init!$D$1,TOCA_current!$A$2:$AV$2,0),FALSE)*$BS$2) - $DV16</f>
        <v>0</v>
      </c>
      <c r="EA16" s="262">
        <f t="shared" si="29"/>
        <v>0</v>
      </c>
      <c r="EB16" s="262">
        <f t="shared" si="30"/>
        <v>0</v>
      </c>
      <c r="EC16" s="262">
        <f t="shared" si="31"/>
        <v>0</v>
      </c>
      <c r="ED16" s="262">
        <f t="shared" si="32"/>
        <v>0</v>
      </c>
    </row>
    <row r="17" spans="1:134">
      <c r="A17" s="2">
        <v>10061</v>
      </c>
      <c r="B17" s="3" t="s">
        <v>19</v>
      </c>
      <c r="C17">
        <f>VLOOKUP(A17, TOCA_current!$A$3:$D$136, 4, FALSE)</f>
        <v>0</v>
      </c>
      <c r="D17">
        <v>0</v>
      </c>
      <c r="E17" s="84">
        <f>VLOOKUP($A17,TOCA_previous!$A$2:$AJ$136,MATCH(E$4,TOCA_previous!$A$2:$AJ$2,0),FALSE)</f>
        <v>1.2662999999999999E-3</v>
      </c>
      <c r="F17" s="85">
        <f>VLOOKUP($A17,TOCA_previous!$A$2:$AJ$136,MATCH(F$4,TOCA_previous!$A$2:$AJ$2,0),FALSE)</f>
        <v>1.2662999999999999E-3</v>
      </c>
      <c r="G17" s="85">
        <f t="shared" si="18"/>
        <v>0</v>
      </c>
      <c r="H17" s="85">
        <f>VLOOKUP($A17,TOCA_previous!$A$2:$AJ$136,MATCH(H$4,TOCA_previous!$A$2:$AJ$2,0),FALSE)</f>
        <v>0</v>
      </c>
      <c r="I17" s="85">
        <f t="shared" si="19"/>
        <v>0</v>
      </c>
      <c r="J17" s="85">
        <f t="shared" si="20"/>
        <v>0</v>
      </c>
      <c r="K17" s="101">
        <f>VLOOKUP(A17, IRD!$A$5:$C$138, 3, FALSE)</f>
        <v>0</v>
      </c>
      <c r="L17" s="102">
        <f t="array" ref="L17">IF($G17=0, INDEX(LS_previous!$D$4:$AY$137, MATCH('Staging Table'!$A17, LS_previous!$B$4:$B$137, 0), MATCH(L$4&amp;L$5, LS_previous!$D$2:$AY$2&amp;LS_previous!$D$3:$AY$3, 0)),SUM(VLOOKUP($A17, LS_previous!$B$4:$AY$137, LS_previous!D$148, FALSE), VLOOKUP('Staging Table'!$A17, LS_previous!$B$4:$AY$137,LS_previous!AB$148, FALSE))/2)</f>
        <v>1844.5201172132001</v>
      </c>
      <c r="M17" s="102">
        <f t="array" ref="M17">IF($G17=0, INDEX(LS_previous!$D$4:$AY$137, MATCH('Staging Table'!$A17, LS_previous!$B$4:$B$137, 0), MATCH(M$4&amp;M$5, LS_previous!$D$2:$AY$2&amp;LS_previous!$D$3:$AY$3, 0)),SUM(VLOOKUP($A17, LS_previous!$B$4:$AY$137, LS_previous!E$148, FALSE), VLOOKUP('Staging Table'!$A17, LS_previous!$B$4:$AY$137,LS_previous!AC$148, FALSE))/2)</f>
        <v>845.64167959935048</v>
      </c>
      <c r="N17" s="102">
        <f t="array" ref="N17">IF($G17=0, INDEX(LS_previous!$D$4:$AY$137, MATCH('Staging Table'!$A17, LS_previous!$B$4:$B$137, 0), MATCH(N$4&amp;N$5, LS_previous!$D$2:$AY$2&amp;LS_previous!$D$3:$AY$3, 0)),SUM(VLOOKUP($A17, LS_previous!$B$4:$AY$137, LS_previous!F$148, FALSE), VLOOKUP('Staging Table'!$A17, LS_previous!$B$4:$AY$137,LS_previous!AD$148, FALSE))/2)</f>
        <v>1222.8916965536</v>
      </c>
      <c r="O17" s="102">
        <f t="array" ref="O17">IF($G17=0, INDEX(LS_previous!$D$4:$AY$137, MATCH('Staging Table'!$A17, LS_previous!$B$4:$B$137, 0), MATCH(O$4&amp;O$5, LS_previous!$D$2:$AY$2&amp;LS_previous!$D$3:$AY$3, 0)),SUM(VLOOKUP($A17, LS_previous!$B$4:$AY$137, LS_previous!G$148, FALSE), VLOOKUP('Staging Table'!$A17, LS_previous!$B$4:$AY$137,LS_previous!AE$148, FALSE))/2)</f>
        <v>1155.7438895647001</v>
      </c>
      <c r="P17" s="102">
        <f t="array" ref="P17">IF($G17=0, INDEX(LS_previous!$D$4:$AY$137, MATCH('Staging Table'!$A17, LS_previous!$B$4:$B$137, 0), MATCH(P$4&amp;P$5, LS_previous!$D$2:$AY$2&amp;LS_previous!$D$3:$AY$3, 0)),SUM(VLOOKUP($A17, LS_previous!$B$4:$AY$137, LS_previous!H$148, FALSE), VLOOKUP('Staging Table'!$A17, LS_previous!$B$4:$AY$137,LS_previous!AF$148, FALSE))/2)</f>
        <v>1551.5009087042999</v>
      </c>
      <c r="Q17" s="102">
        <f t="array" ref="Q17">IF($G17=0, INDEX(LS_previous!$D$4:$AY$137, MATCH('Staging Table'!$A17, LS_previous!$B$4:$B$137, 0), MATCH(Q$4&amp;Q$5, LS_previous!$D$2:$AY$2&amp;LS_previous!$D$3:$AY$3, 0)),SUM(VLOOKUP($A17, LS_previous!$B$4:$AY$137, LS_previous!I$148, FALSE), VLOOKUP('Staging Table'!$A17, LS_previous!$B$4:$AY$137,LS_previous!AG$148, FALSE))/2)</f>
        <v>983.71318275520025</v>
      </c>
      <c r="R17" s="102">
        <f t="array" ref="R17">IF($G17=0, INDEX(LS_previous!$D$4:$AY$137, MATCH('Staging Table'!$A17, LS_previous!$B$4:$B$137, 0), MATCH(R$4&amp;R$5, LS_previous!$D$2:$AY$2&amp;LS_previous!$D$3:$AY$3, 0)),SUM(VLOOKUP($A17, LS_previous!$B$4:$AY$137, LS_previous!J$148, FALSE), VLOOKUP('Staging Table'!$A17, LS_previous!$B$4:$AY$137,LS_previous!AH$148, FALSE))/2)</f>
        <v>1652.8305812955005</v>
      </c>
      <c r="S17" s="102">
        <f t="array" ref="S17">IF($G17=0, INDEX(LS_previous!$D$4:$AY$137, MATCH('Staging Table'!$A17, LS_previous!$B$4:$B$137, 0), MATCH(S$4&amp;S$5, LS_previous!$D$2:$AY$2&amp;LS_previous!$D$3:$AY$3, 0)),SUM(VLOOKUP($A17, LS_previous!$B$4:$AY$137, LS_previous!K$148, FALSE), VLOOKUP('Staging Table'!$A17, LS_previous!$B$4:$AY$137,LS_previous!AI$148, FALSE))/2)</f>
        <v>1316.8508138773004</v>
      </c>
      <c r="T17" s="102">
        <f t="array" ref="T17">IF($G17=0, INDEX(LS_previous!$D$4:$AY$137, MATCH('Staging Table'!$A17, LS_previous!$B$4:$B$137, 0), MATCH(T$4&amp;T$5, LS_previous!$D$2:$AY$2&amp;LS_previous!$D$3:$AY$3, 0)),SUM(VLOOKUP($A17, LS_previous!$B$4:$AY$137, LS_previous!L$148, FALSE), VLOOKUP('Staging Table'!$A17, LS_previous!$B$4:$AY$137,LS_previous!AJ$148, FALSE))/2)</f>
        <v>1311.2922184223007</v>
      </c>
      <c r="U17" s="102">
        <f t="array" ref="U17">IF($G17=0, INDEX(LS_previous!$D$4:$AY$137, MATCH('Staging Table'!$A17, LS_previous!$B$4:$B$137, 0), MATCH(U$4&amp;U$5, LS_previous!$D$2:$AY$2&amp;LS_previous!$D$3:$AY$3, 0)),SUM(VLOOKUP($A17, LS_previous!$B$4:$AY$137, LS_previous!M$148, FALSE), VLOOKUP('Staging Table'!$A17, LS_previous!$B$4:$AY$137,LS_previous!AK$148, FALSE))/2)</f>
        <v>1060.5921493183</v>
      </c>
      <c r="V17" s="102">
        <f t="array" ref="V17">IF($G17=0, INDEX(LS_previous!$D$4:$AY$137, MATCH('Staging Table'!$A17, LS_previous!$B$4:$B$137, 0), MATCH(V$4&amp;V$5, LS_previous!$D$2:$AY$2&amp;LS_previous!$D$3:$AY$3, 0)),SUM(VLOOKUP($A17, LS_previous!$B$4:$AY$137, LS_previous!N$148, FALSE), VLOOKUP('Staging Table'!$A17, LS_previous!$B$4:$AY$137,LS_previous!AL$148, FALSE))/2)</f>
        <v>1179.1764272081009</v>
      </c>
      <c r="W17" s="102">
        <f t="array" ref="W17">IF($G17=0, INDEX(LS_previous!$D$4:$AY$137, MATCH('Staging Table'!$A17, LS_previous!$B$4:$B$137, 0), MATCH(W$4&amp;W$5, LS_previous!$D$2:$AY$2&amp;LS_previous!$D$3:$AY$3, 0)),SUM(VLOOKUP($A17, LS_previous!$B$4:$AY$137, LS_previous!O$148, FALSE), VLOOKUP('Staging Table'!$A17, LS_previous!$B$4:$AY$137,LS_previous!AM$148, FALSE))/2)</f>
        <v>825.91410251859998</v>
      </c>
      <c r="X17" s="102">
        <f t="array" ref="X17">IF($G17=0, INDEX(LS_previous!$D$4:$AY$137, MATCH('Staging Table'!$A17, LS_previous!$B$4:$B$137, 0), MATCH(X$4&amp;X$5, LS_previous!$D$2:$AY$2&amp;LS_previous!$D$3:$AY$3, 0)),SUM(VLOOKUP($A17, LS_previous!$B$4:$AY$137, LS_previous!P$148, FALSE), VLOOKUP('Staging Table'!$A17, LS_previous!$B$4:$AY$137,LS_previous!AN$148, FALSE))/2)</f>
        <v>1746.6060313517505</v>
      </c>
      <c r="Y17" s="102">
        <f t="array" ref="Y17">IF($G17=0, INDEX(LS_previous!$D$4:$AY$137, MATCH('Staging Table'!$A17, LS_previous!$B$4:$B$137, 0), MATCH(Y$4&amp;Y$5, LS_previous!$D$2:$AY$2&amp;LS_previous!$D$3:$AY$3, 0)),SUM(VLOOKUP($A17, LS_previous!$B$4:$AY$137, LS_previous!Q$148, FALSE), VLOOKUP('Staging Table'!$A17, LS_previous!$B$4:$AY$137,LS_previous!AO$148, FALSE))/2)</f>
        <v>942.68869338597551</v>
      </c>
      <c r="Z17" s="102">
        <f t="array" ref="Z17">IF($G17=0, INDEX(LS_previous!$D$4:$AY$137, MATCH('Staging Table'!$A17, LS_previous!$B$4:$B$137, 0), MATCH(Z$4&amp;Z$5, LS_previous!$D$2:$AY$2&amp;LS_previous!$D$3:$AY$3, 0)),SUM(VLOOKUP($A17, LS_previous!$B$4:$AY$137, LS_previous!R$148, FALSE), VLOOKUP('Staging Table'!$A17, LS_previous!$B$4:$AY$137,LS_previous!AP$148, FALSE))/2)</f>
        <v>399.39432537760058</v>
      </c>
      <c r="AA17" s="102">
        <f t="array" ref="AA17">IF($G17=0, INDEX(LS_previous!$D$4:$AY$137, MATCH('Staging Table'!$A17, LS_previous!$B$4:$B$137, 0), MATCH(AA$4&amp;AA$5, LS_previous!$D$2:$AY$2&amp;LS_previous!$D$3:$AY$3, 0)),SUM(VLOOKUP($A17, LS_previous!$B$4:$AY$137, LS_previous!S$148, FALSE), VLOOKUP('Staging Table'!$A17, LS_previous!$B$4:$AY$137,LS_previous!AQ$148, FALSE))/2)</f>
        <v>543.73932459144999</v>
      </c>
      <c r="AB17" s="102">
        <f t="array" ref="AB17">IF($G17=0, INDEX(LS_previous!$D$4:$AY$137, MATCH('Staging Table'!$A17, LS_previous!$B$4:$B$137, 0), MATCH(AB$4&amp;AB$5, LS_previous!$D$2:$AY$2&amp;LS_previous!$D$3:$AY$3, 0)),SUM(VLOOKUP($A17, LS_previous!$B$4:$AY$137, LS_previous!T$148, FALSE), VLOOKUP('Staging Table'!$A17, LS_previous!$B$4:$AY$137,LS_previous!AR$148, FALSE))/2)</f>
        <v>250.20696330620012</v>
      </c>
      <c r="AC17" s="102">
        <f t="array" ref="AC17">IF($G17=0, INDEX(LS_previous!$D$4:$AY$137, MATCH('Staging Table'!$A17, LS_previous!$B$4:$B$137, 0), MATCH(AC$4&amp;AC$5, LS_previous!$D$2:$AY$2&amp;LS_previous!$D$3:$AY$3, 0)),SUM(VLOOKUP($A17, LS_previous!$B$4:$AY$137, LS_previous!U$148, FALSE), VLOOKUP('Staging Table'!$A17, LS_previous!$B$4:$AY$137,LS_previous!AS$148, FALSE))/2)</f>
        <v>158.99599848665002</v>
      </c>
      <c r="AD17" s="102">
        <f t="array" ref="AD17">IF($G17=0, INDEX(LS_previous!$D$4:$AY$137, MATCH('Staging Table'!$A17, LS_previous!$B$4:$B$137, 0), MATCH(AD$4&amp;AD$5, LS_previous!$D$2:$AY$2&amp;LS_previous!$D$3:$AY$3, 0)),SUM(VLOOKUP($A17, LS_previous!$B$4:$AY$137, LS_previous!V$148, FALSE), VLOOKUP('Staging Table'!$A17, LS_previous!$B$4:$AY$137,LS_previous!AT$148, FALSE))/2)</f>
        <v>1061.4866772468004</v>
      </c>
      <c r="AE17" s="102">
        <f t="array" ref="AE17">IF($G17=0, INDEX(LS_previous!$D$4:$AY$137, MATCH('Staging Table'!$A17, LS_previous!$B$4:$B$137, 0), MATCH(AE$4&amp;AE$5, LS_previous!$D$2:$AY$2&amp;LS_previous!$D$3:$AY$3, 0)),SUM(VLOOKUP($A17, LS_previous!$B$4:$AY$137, LS_previous!W$148, FALSE), VLOOKUP('Staging Table'!$A17, LS_previous!$B$4:$AY$137,LS_previous!AU$148, FALSE))/2)</f>
        <v>863.59973679675022</v>
      </c>
      <c r="AF17" s="102">
        <f t="array" ref="AF17">IF($G17=0, INDEX(LS_previous!$D$4:$AY$137, MATCH('Staging Table'!$A17, LS_previous!$B$4:$B$137, 0), MATCH(AF$4&amp;AF$5, LS_previous!$D$2:$AY$2&amp;LS_previous!$D$3:$AY$3, 0)),SUM(VLOOKUP($A17, LS_previous!$B$4:$AY$137, LS_previous!X$148, FALSE), VLOOKUP('Staging Table'!$A17, LS_previous!$B$4:$AY$137,LS_previous!AV$148, FALSE))/2)</f>
        <v>1092.1331558295506</v>
      </c>
      <c r="AG17" s="102">
        <f t="array" ref="AG17">IF($G17=0, INDEX(LS_previous!$D$4:$AY$137, MATCH('Staging Table'!$A17, LS_previous!$B$4:$B$137, 0), MATCH(AG$4&amp;AG$5, LS_previous!$D$2:$AY$2&amp;LS_previous!$D$3:$AY$3, 0)),SUM(VLOOKUP($A17, LS_previous!$B$4:$AY$137, LS_previous!Y$148, FALSE), VLOOKUP('Staging Table'!$A17, LS_previous!$B$4:$AY$137,LS_previous!AW$148, FALSE))/2)</f>
        <v>870.96166948594555</v>
      </c>
      <c r="AH17" s="102">
        <f t="array" ref="AH17">IF($G17=0, INDEX(LS_previous!$D$4:$AY$137, MATCH('Staging Table'!$A17, LS_previous!$B$4:$B$137, 0), MATCH(AH$4&amp;AH$5, LS_previous!$D$2:$AY$2&amp;LS_previous!$D$3:$AY$3, 0)),SUM(VLOOKUP($A17, LS_previous!$B$4:$AY$137, LS_previous!Z$148, FALSE), VLOOKUP('Staging Table'!$A17, LS_previous!$B$4:$AY$137,LS_previous!AX$148, FALSE))/2)</f>
        <v>1363.6726636337999</v>
      </c>
      <c r="AI17" s="102">
        <f t="array" ref="AI17">IF($G17=0, INDEX(LS_previous!$D$4:$AY$137, MATCH('Staging Table'!$A17, LS_previous!$B$4:$B$137, 0), MATCH(AI$4&amp;AI$5, LS_previous!$D$2:$AY$2&amp;LS_previous!$D$3:$AY$3, 0)),SUM(VLOOKUP($A17, LS_previous!$B$4:$AY$137, LS_previous!AA$148, FALSE), VLOOKUP('Staging Table'!$A17, LS_previous!$B$4:$AY$137,LS_previous!AY$148, FALSE))/2)</f>
        <v>757.79970360480002</v>
      </c>
      <c r="AJ17" s="103">
        <f t="array" ref="AJ17">INDEX(Demand_previous!$D$4:$AY$137, MATCH('Staging Table'!$A17, Demand_previous!$B$4:$B$137, 0), MATCH(AJ$4&amp;AJ$5,Demand_previous!$D$2:$AY$2&amp;Demand_previous!$D$3:$AY$3, 0))/1000</f>
        <v>0.47044230769230655</v>
      </c>
      <c r="AK17" s="103">
        <f t="array" ref="AK17">INDEX(Demand_previous!$D$4:$AY$137, MATCH('Staging Table'!$A17, Demand_previous!$B$4:$B$137, 0), MATCH(AK$4&amp;AK$5,Demand_previous!$D$2:$AY$2&amp;Demand_previous!$D$3:$AY$3, 0))/1000</f>
        <v>1.8932199999999986</v>
      </c>
      <c r="AL17" s="103">
        <f t="array" ref="AL17">INDEX(Demand_previous!$D$4:$AY$137, MATCH('Staging Table'!$A17, Demand_previous!$B$4:$B$137, 0), MATCH(AL$4&amp;AL$5,Demand_previous!$D$2:$AY$2&amp;Demand_previous!$D$3:$AY$3, 0))/1000</f>
        <v>1.3112699999999995</v>
      </c>
      <c r="AM17" s="103">
        <f t="array" ref="AM17">INDEX(Demand_previous!$D$4:$AY$137, MATCH('Staging Table'!$A17, Demand_previous!$B$4:$B$137, 0), MATCH(AM$4&amp;AM$5,Demand_previous!$D$2:$AY$2&amp;Demand_previous!$D$3:$AY$3, 0))/1000</f>
        <v>1.9774399038461539</v>
      </c>
      <c r="AN17" s="103">
        <f t="array" ref="AN17">INDEX(Demand_previous!$D$4:$AY$137, MATCH('Staging Table'!$A17, Demand_previous!$B$4:$B$137, 0), MATCH(AN$4&amp;AN$5,Demand_previous!$D$2:$AY$2&amp;Demand_previous!$D$3:$AY$3, 0))/1000</f>
        <v>2.0138074999999995</v>
      </c>
      <c r="AO17" s="103">
        <f t="array" ref="AO17">INDEX(Demand_previous!$D$4:$AY$137, MATCH('Staging Table'!$A17, Demand_previous!$B$4:$B$137, 0), MATCH(AO$4&amp;AO$5,Demand_previous!$D$2:$AY$2&amp;Demand_previous!$D$3:$AY$3, 0))/1000</f>
        <v>1.6459206730769238</v>
      </c>
      <c r="AP17" s="103">
        <f t="array" ref="AP17">INDEX(Demand_previous!$D$4:$AY$137, MATCH('Staging Table'!$A17, Demand_previous!$B$4:$B$137, 0), MATCH(AP$4&amp;AP$5,Demand_previous!$D$2:$AY$2&amp;Demand_previous!$D$3:$AY$3, 0))/1000</f>
        <v>1.3154447115384615</v>
      </c>
      <c r="AQ17" s="103">
        <f t="array" ref="AQ17">INDEX(Demand_previous!$D$4:$AY$137, MATCH('Staging Table'!$A17, Demand_previous!$B$4:$B$137, 0), MATCH(AQ$4&amp;AQ$5,Demand_previous!$D$2:$AY$2&amp;Demand_previous!$D$3:$AY$3, 0))/1000</f>
        <v>1.7001394230769229</v>
      </c>
      <c r="AR17" s="103">
        <f t="array" ref="AR17">INDEX(Demand_previous!$D$4:$AY$137, MATCH('Staging Table'!$A17, Demand_previous!$B$4:$B$137, 0), MATCH(AR$4&amp;AR$5,Demand_previous!$D$2:$AY$2&amp;Demand_previous!$D$3:$AY$3, 0))/1000</f>
        <v>0.91938749999999891</v>
      </c>
      <c r="AS17" s="103">
        <f t="array" ref="AS17">INDEX(Demand_previous!$D$4:$AY$137, MATCH('Staging Table'!$A17, Demand_previous!$B$4:$B$137, 0), MATCH(AS$4&amp;AS$5,Demand_previous!$D$2:$AY$2&amp;Demand_previous!$D$3:$AY$3, 0))/1000</f>
        <v>1.8313341346153849</v>
      </c>
      <c r="AT17" s="103">
        <f t="array" ref="AT17">INDEX(Demand_previous!$D$4:$AY$137, MATCH('Staging Table'!$A17, Demand_previous!$B$4:$B$137, 0), MATCH(AT$4&amp;AT$5,Demand_previous!$D$2:$AY$2&amp;Demand_previous!$D$3:$AY$3, 0))/1000</f>
        <v>1.8545509259259256</v>
      </c>
      <c r="AU17" s="103">
        <f t="array" ref="AU17">INDEX(Demand_previous!$D$4:$AY$137, MATCH('Staging Table'!$A17, Demand_previous!$B$4:$B$137, 0), MATCH(AU$4&amp;AU$5,Demand_previous!$D$2:$AY$2&amp;Demand_previous!$D$3:$AY$3, 0))/1000</f>
        <v>0.77760156249999857</v>
      </c>
      <c r="AV17" s="102">
        <f>$F17*(VLOOKUP(AV$4, Rates_previous!$G$6:$Q$29, 10, FALSE)+VLOOKUP(AV$4, Rates_previous!$G$6:$Q$29, 11, FALSE))</f>
        <v>5342.2712031874498</v>
      </c>
      <c r="AW17" s="102">
        <f>$F17*(VLOOKUP(AW$4, Rates_previous!$G$6:$Q$29, 10, FALSE)+VLOOKUP(AW$4, Rates_previous!$G$6:$Q$29, 11, FALSE))</f>
        <v>6813.1574138817004</v>
      </c>
      <c r="AX17" s="102">
        <f>$F17*(VLOOKUP(AX$4, Rates_previous!$G$6:$Q$29, 10, FALSE)+VLOOKUP(AX$4, Rates_previous!$G$6:$Q$29, 11, FALSE))</f>
        <v>7352.7449085405005</v>
      </c>
      <c r="AY17" s="102">
        <f>$F17*(VLOOKUP(AY$4, Rates_previous!$G$6:$Q$29, 10, FALSE)+VLOOKUP(AY$4, Rates_previous!$G$6:$Q$29, 11, FALSE))</f>
        <v>7640.6386048271997</v>
      </c>
      <c r="AZ17" s="102">
        <f>$F17*(VLOOKUP(AZ$4, Rates_previous!$G$6:$Q$29, 10, FALSE)+VLOOKUP(AZ$4, Rates_previous!$G$6:$Q$29, 11, FALSE))</f>
        <v>6571.9676322593987</v>
      </c>
      <c r="BA17" s="102">
        <f>$F17*(VLOOKUP(BA$4, Rates_previous!$G$6:$Q$29, 10, FALSE)+VLOOKUP(BA$4, Rates_previous!$G$6:$Q$29, 11, FALSE))</f>
        <v>7175.2874702732997</v>
      </c>
      <c r="BB17" s="102">
        <f>$F17*(VLOOKUP(BB$4, Rates_previous!$G$6:$Q$29, 10, FALSE)+VLOOKUP(BB$4, Rates_previous!$G$6:$Q$29, 11, FALSE))</f>
        <v>5663.6802752622743</v>
      </c>
      <c r="BC17" s="102">
        <f>$F17*(VLOOKUP(BC$4, Rates_previous!$G$6:$Q$29, 10, FALSE)+VLOOKUP(BC$4, Rates_previous!$G$6:$Q$29, 11, FALSE))</f>
        <v>7026.5543500309495</v>
      </c>
      <c r="BD17" s="102">
        <f>$F17*(VLOOKUP(BD$4, Rates_previous!$G$6:$Q$29, 10, FALSE)+VLOOKUP(BD$4, Rates_previous!$G$6:$Q$29, 11, FALSE))</f>
        <v>7179.0130382071493</v>
      </c>
      <c r="BE17" s="102">
        <f>$F17*(VLOOKUP(BE$4, Rates_previous!$G$6:$Q$29, 10, FALSE)+VLOOKUP(BE$4, Rates_previous!$G$6:$Q$29, 11, FALSE))</f>
        <v>6232.4175859564493</v>
      </c>
      <c r="BF17" s="102">
        <f>$F17*(VLOOKUP(BF$4, Rates_previous!$G$6:$Q$29, 10, FALSE)+VLOOKUP(BF$4, Rates_previous!$G$6:$Q$29, 11, FALSE))</f>
        <v>6025.0911746845049</v>
      </c>
      <c r="BG17" s="102">
        <f>$F17*(VLOOKUP(BG$4, Rates_previous!$G$6:$Q$29, 10, FALSE)+VLOOKUP(BG$4, Rates_previous!$G$6:$Q$29, 11, FALSE))</f>
        <v>5544.2506327614001</v>
      </c>
      <c r="BH17" s="103">
        <f>IF($D17=0,IF(C17=0, MAX(BJ17 - (VLOOKUP($A17,TOCA_previous!$A$2:$AJ$136,MATCH("RHWM "&amp;Init!$D$1-2,TOCA_previous!$A$2:$AJ$2,0),FALSE)*$F$2*TOCA_previous!C14),0),0), 0)</f>
        <v>26735.379360135717</v>
      </c>
      <c r="BI17" s="109">
        <f>MIN(VLOOKUP($A17,TOCA_previous!$A$2:$AJ$136,MATCH("TRL - NLSL - Existing Resource "&amp;$F$1,TOCA_previous!$A$2:$AJ$2,0),FALSE)*$F$2,(VLOOKUP($A17,TOCA_previous!$A$2:$AJ$136,MATCH("RHWM "&amp;Init!$D$1-2,TOCA_previous!$A$2:$AJ$2,0),FALSE)*$F$2))</f>
        <v>76833.648000000001</v>
      </c>
      <c r="BJ17" s="261">
        <f>SUM(L17:AI17)+(F17*RT1SC!$C$3*$F$2)</f>
        <v>103569.02736013572</v>
      </c>
      <c r="BK17" s="260">
        <f>VLOOKUP($A17,TOCA_previous!$A$2:$AJ$136,MATCH("Above RHWM Not Served with LS "&amp;$F$1,TOCA_previous!$A$2:$AJ$2,0),FALSE)*$F$2</f>
        <v>0</v>
      </c>
      <c r="BL17" s="261">
        <f t="shared" si="21"/>
        <v>26735.379360135717</v>
      </c>
      <c r="BM17" s="260">
        <f>(VLOOKUP($A17,TOCA_previous!$A$2:$AJ$136,MATCH("RHWM "&amp;Init!$D$1-2,TOCA_previous!$A$2:$AJ$2,0),FALSE)*$F$2) - $BI17</f>
        <v>0</v>
      </c>
      <c r="BN17" s="261">
        <f t="shared" si="22"/>
        <v>0</v>
      </c>
      <c r="BO17" s="260">
        <f t="shared" si="23"/>
        <v>0</v>
      </c>
      <c r="BP17" s="261">
        <f t="shared" si="24"/>
        <v>0</v>
      </c>
      <c r="BQ17" s="260">
        <f t="shared" si="9"/>
        <v>0</v>
      </c>
      <c r="BR17" s="85">
        <f>VLOOKUP($A17,TOCA_current!$A$2:$ZZ$136,MATCH(BR$4,TOCA_current!$A$2:$ZZ$2,0),FALSE)</f>
        <v>1.2373E-3</v>
      </c>
      <c r="BS17" s="85">
        <f>VLOOKUP($A17,TOCA_current!$A$2:$ZZ$136,MATCH(BS$4,TOCA_current!$A$2:$ZZ$2,0),FALSE)</f>
        <v>1.2373E-3</v>
      </c>
      <c r="BT17" s="108">
        <f t="shared" si="25"/>
        <v>0</v>
      </c>
      <c r="BU17" s="85">
        <f>VLOOKUP($A17,TOCA_current!A14:BG148,MATCH(BU$4,TOCA_current!$A$2:$BG$2,0),FALSE)</f>
        <v>0</v>
      </c>
      <c r="BV17" s="85">
        <f t="shared" si="26"/>
        <v>0</v>
      </c>
      <c r="BW17" s="85">
        <f t="shared" si="27"/>
        <v>0</v>
      </c>
      <c r="BX17" s="101">
        <f>VLOOKUP($A17,IRD!$A$4:$G$138, 7, FALSE)</f>
        <v>0</v>
      </c>
      <c r="BY17" s="102">
        <f t="array" ref="BY17">IF($BT17=0, INDEX(LS_current!$D$4:$BW$137, MATCH('Staging Table'!$A17, LS_current!$B$4:$B$137, 0), MATCH(BY$4&amp;BY$5, LS_current!$D$2:$BW$2&amp;LS_current!$D$3:$BW$3, 0)),SUM(VLOOKUP($A17, LS_current!$B$4:$BW$137, LS_current!D$147, FALSE), VLOOKUP($A17, LS_current!$B$4:$BW$137,LS_current!AZ$147, FALSE))/2)</f>
        <v>569.73732670971958</v>
      </c>
      <c r="BZ17" s="102">
        <f t="array" ref="BZ17">IF($BT17=0, INDEX(LS_current!$D$4:$BW$137, MATCH('Staging Table'!$A17, LS_current!$B$4:$B$137, 0), MATCH(BZ$4&amp;BZ$5, LS_current!$D$2:$BW$2&amp;LS_current!$D$3:$BW$3, 0)),SUM(VLOOKUP($A17, LS_current!$B$4:$BW$137, LS_current!E$147, FALSE), VLOOKUP($A17, LS_current!$B$4:$BW$137,LS_current!BA$147, FALSE))/2)</f>
        <v>76.200815073725607</v>
      </c>
      <c r="CA17" s="102">
        <f t="array" ref="CA17">IF($BT17=0, INDEX(LS_current!$D$4:$BW$137, MATCH('Staging Table'!$A17, LS_current!$B$4:$B$137, 0), MATCH(CA$4&amp;CA$5, LS_current!$D$2:$BW$2&amp;LS_current!$D$3:$BW$3, 0)),SUM(VLOOKUP($A17, LS_current!$B$4:$BW$137, LS_current!F$147, FALSE), VLOOKUP($A17, LS_current!$B$4:$BW$137,LS_current!BB$147, FALSE))/2)</f>
        <v>228.44010366987368</v>
      </c>
      <c r="CB17" s="102">
        <f t="array" ref="CB17">IF($BT17=0, INDEX(LS_current!$D$4:$BW$137, MATCH('Staging Table'!$A17, LS_current!$B$4:$B$137, 0), MATCH(CB$4&amp;CB$5, LS_current!$D$2:$BW$2&amp;LS_current!$D$3:$BW$3, 0)),SUM(VLOOKUP($A17, LS_current!$B$4:$BW$137, LS_current!G$147, FALSE), VLOOKUP($A17, LS_current!$B$4:$BW$137,LS_current!BC$147, FALSE))/2)</f>
        <v>216.48553259608707</v>
      </c>
      <c r="CC17" s="102">
        <f t="array" ref="CC17">IF($BT17=0, INDEX(LS_current!$D$4:$BW$137, MATCH('Staging Table'!$A17, LS_current!$B$4:$B$137, 0), MATCH(CC$4&amp;CC$5, LS_current!$D$2:$BW$2&amp;LS_current!$D$3:$BW$3, 0)),SUM(VLOOKUP($A17, LS_current!$B$4:$BW$137, LS_current!H$147, FALSE), VLOOKUP($A17, LS_current!$B$4:$BW$137,LS_current!BD$147, FALSE))/2)</f>
        <v>-33.837547160786926</v>
      </c>
      <c r="CD17" s="102">
        <f t="array" ref="CD17">IF($BT17=0, INDEX(LS_current!$D$4:$BW$137, MATCH('Staging Table'!$A17, LS_current!$B$4:$B$137, 0), MATCH(CD$4&amp;CD$5, LS_current!$D$2:$BW$2&amp;LS_current!$D$3:$BW$3, 0)),SUM(VLOOKUP($A17, LS_current!$B$4:$BW$137, LS_current!I$147, FALSE), VLOOKUP($A17, LS_current!$B$4:$BW$137,LS_current!BE$147, FALSE))/2)</f>
        <v>206.45864334531007</v>
      </c>
      <c r="CE17" s="102">
        <f t="array" ref="CE17">IF($BT17=0, INDEX(LS_current!$D$4:$BW$137, MATCH('Staging Table'!$A17, LS_current!$B$4:$B$137, 0), MATCH(CE$4&amp;CE$5, LS_current!$D$2:$BW$2&amp;LS_current!$D$3:$BW$3, 0)),SUM(VLOOKUP($A17, LS_current!$B$4:$BW$137, LS_current!J$147, FALSE), VLOOKUP($A17, LS_current!$B$4:$BW$137,LS_current!BF$147, FALSE))/2)</f>
        <v>160.78360485391204</v>
      </c>
      <c r="CF17" s="102">
        <f t="array" ref="CF17">IF($BT17=0, INDEX(LS_current!$D$4:$BW$137, MATCH('Staging Table'!$A17, LS_current!$B$4:$B$137, 0), MATCH(CF$4&amp;CF$5, LS_current!$D$2:$BW$2&amp;LS_current!$D$3:$BW$3, 0)),SUM(VLOOKUP($A17, LS_current!$B$4:$BW$137, LS_current!K$147, FALSE), VLOOKUP($A17, LS_current!$B$4:$BW$137,LS_current!BG$147, FALSE))/2)</f>
        <v>323.09619557648284</v>
      </c>
      <c r="CG17" s="102">
        <f t="array" ref="CG17">IF($BT17=0, INDEX(LS_current!$D$4:$BW$137, MATCH('Staging Table'!$A17, LS_current!$B$4:$B$137, 0), MATCH(CG$4&amp;CG$5, LS_current!$D$2:$BW$2&amp;LS_current!$D$3:$BW$3, 0)),SUM(VLOOKUP($A17, LS_current!$B$4:$BW$137, LS_current!L$147, FALSE), VLOOKUP($A17, LS_current!$B$4:$BW$137,LS_current!BH$147, FALSE))/2)</f>
        <v>334.53296352567304</v>
      </c>
      <c r="CH17" s="102">
        <f t="array" ref="CH17">IF($BT17=0, INDEX(LS_current!$D$4:$BW$137, MATCH('Staging Table'!$A17, LS_current!$B$4:$B$137, 0), MATCH(CH$4&amp;CH$5, LS_current!$D$2:$BW$2&amp;LS_current!$D$3:$BW$3, 0)),SUM(VLOOKUP($A17, LS_current!$B$4:$BW$137, LS_current!M$147, FALSE), VLOOKUP($A17, LS_current!$B$4:$BW$137,LS_current!BI$147, FALSE))/2)</f>
        <v>300.10612001646678</v>
      </c>
      <c r="CI17" s="102">
        <f t="array" ref="CI17">IF($BT17=0, INDEX(LS_current!$D$4:$BW$137, MATCH('Staging Table'!$A17, LS_current!$B$4:$B$137, 0), MATCH(CI$4&amp;CI$5, LS_current!$D$2:$BW$2&amp;LS_current!$D$3:$BW$3, 0)),SUM(VLOOKUP($A17, LS_current!$B$4:$BW$137, LS_current!N$147, FALSE), VLOOKUP($A17, LS_current!$B$4:$BW$137,LS_current!BJ$147, FALSE))/2)</f>
        <v>-172.9709961861081</v>
      </c>
      <c r="CJ17" s="102">
        <f t="array" ref="CJ17">IF($BT17=0, INDEX(LS_current!$D$4:$BW$137, MATCH('Staging Table'!$A17, LS_current!$B$4:$B$137, 0), MATCH(CJ$4&amp;CJ$5, LS_current!$D$2:$BW$2&amp;LS_current!$D$3:$BW$3, 0)),SUM(VLOOKUP($A17, LS_current!$B$4:$BW$137, LS_current!O$147, FALSE), VLOOKUP($A17, LS_current!$B$4:$BW$137,LS_current!BK$147, FALSE))/2)</f>
        <v>244.35741503433155</v>
      </c>
      <c r="CK17" s="102">
        <f t="array" ref="CK17">IF($BT17=0, INDEX(LS_current!$D$4:$BW$137, MATCH('Staging Table'!$A17, LS_current!$B$4:$B$137, 0), MATCH(CK$4&amp;CK$5, LS_current!$D$2:$BW$2&amp;LS_current!$D$3:$BW$3, 0)),SUM(VLOOKUP($A17, LS_current!$B$4:$BW$137, LS_current!P$147, FALSE), VLOOKUP($A17, LS_current!$B$4:$BW$137,LS_current!BL$147, FALSE))/2)</f>
        <v>661.38554799724079</v>
      </c>
      <c r="CL17" s="102">
        <f t="array" ref="CL17">IF($BT17=0, INDEX(LS_current!$D$4:$BW$137, MATCH('Staging Table'!$A17, LS_current!$B$4:$B$137, 0), MATCH(CL$4&amp;CL$5, LS_current!$D$2:$BW$2&amp;LS_current!$D$3:$BW$3, 0)),SUM(VLOOKUP($A17, LS_current!$B$4:$BW$137, LS_current!Q$147, FALSE), VLOOKUP($A17, LS_current!$B$4:$BW$137,LS_current!BM$147, FALSE))/2)</f>
        <v>195.77841460030936</v>
      </c>
      <c r="CM17" s="102">
        <f t="array" ref="CM17">IF($BT17=0, INDEX(LS_current!$D$4:$BW$137, MATCH('Staging Table'!$A17, LS_current!$B$4:$B$137, 0), MATCH(CM$4&amp;CM$5, LS_current!$D$2:$BW$2&amp;LS_current!$D$3:$BW$3, 0)),SUM(VLOOKUP($A17, LS_current!$B$4:$BW$137, LS_current!R$147, FALSE), VLOOKUP($A17, LS_current!$B$4:$BW$137,LS_current!BN$147, FALSE))/2)</f>
        <v>-708.03200398326044</v>
      </c>
      <c r="CN17" s="102">
        <f t="array" ref="CN17">IF($BT17=0, INDEX(LS_current!$D$4:$BW$137, MATCH('Staging Table'!$A17, LS_current!$B$4:$B$137, 0), MATCH(CN$4&amp;CN$5, LS_current!$D$2:$BW$2&amp;LS_current!$D$3:$BW$3, 0)),SUM(VLOOKUP($A17, LS_current!$B$4:$BW$137, LS_current!S$147, FALSE), VLOOKUP($A17, LS_current!$B$4:$BW$137,LS_current!BO$147, FALSE))/2)</f>
        <v>-454.81526994843307</v>
      </c>
      <c r="CO17" s="102">
        <f t="array" ref="CO17">IF($BT17=0, INDEX(LS_current!$D$4:$BW$137, MATCH('Staging Table'!$A17, LS_current!$B$4:$B$137, 0), MATCH(CO$4&amp;CO$5, LS_current!$D$2:$BW$2&amp;LS_current!$D$3:$BW$3, 0)),SUM(VLOOKUP($A17, LS_current!$B$4:$BW$137, LS_current!T$147, FALSE), VLOOKUP($A17, LS_current!$B$4:$BW$137,LS_current!BP$147, FALSE))/2)</f>
        <v>-1081.1062746818998</v>
      </c>
      <c r="CP17" s="102">
        <f t="array" ref="CP17">IF($BT17=0, INDEX(LS_current!$D$4:$BW$137, MATCH('Staging Table'!$A17, LS_current!$B$4:$B$137, 0), MATCH(CP$4&amp;CP$5, LS_current!$D$2:$BW$2&amp;LS_current!$D$3:$BW$3, 0)),SUM(VLOOKUP($A17, LS_current!$B$4:$BW$137, LS_current!U$147, FALSE), VLOOKUP($A17, LS_current!$B$4:$BW$137,LS_current!BQ$147, FALSE))/2)</f>
        <v>-537.52246409064765</v>
      </c>
      <c r="CQ17" s="102">
        <f t="array" ref="CQ17">IF($BT17=0, INDEX(LS_current!$D$4:$BW$137, MATCH('Staging Table'!$A17, LS_current!$B$4:$B$137, 0), MATCH(CQ$4&amp;CQ$5, LS_current!$D$2:$BW$2&amp;LS_current!$D$3:$BW$3, 0)),SUM(VLOOKUP($A17, LS_current!$B$4:$BW$137, LS_current!V$147, FALSE), VLOOKUP($A17, LS_current!$B$4:$BW$137,LS_current!BR$147, FALSE))/2)</f>
        <v>-277.45271203251878</v>
      </c>
      <c r="CR17" s="102">
        <f t="array" ref="CR17">IF($BT17=0, INDEX(LS_current!$D$4:$BW$137, MATCH('Staging Table'!$A17, LS_current!$B$4:$B$137, 0), MATCH(CR$4&amp;CR$5, LS_current!$D$2:$BW$2&amp;LS_current!$D$3:$BW$3, 0)),SUM(VLOOKUP($A17, LS_current!$B$4:$BW$137, LS_current!W$147, FALSE), VLOOKUP($A17, LS_current!$B$4:$BW$137,LS_current!BS$147, FALSE))/2)</f>
        <v>-72.026130962921798</v>
      </c>
      <c r="CS17" s="102">
        <f t="array" ref="CS17">IF($BT17=0, INDEX(LS_current!$D$4:$BW$137, MATCH('Staging Table'!$A17, LS_current!$B$4:$B$137, 0), MATCH(CS$4&amp;CS$5, LS_current!$D$2:$BW$2&amp;LS_current!$D$3:$BW$3, 0)),SUM(VLOOKUP($A17, LS_current!$B$4:$BW$137, LS_current!X$147, FALSE), VLOOKUP($A17, LS_current!$B$4:$BW$137,LS_current!BT$147, FALSE))/2)</f>
        <v>-610.17253601860648</v>
      </c>
      <c r="CT17" s="102">
        <f t="array" ref="CT17">IF($BT17=0, INDEX(LS_current!$D$4:$BW$137, MATCH('Staging Table'!$A17, LS_current!$B$4:$B$137, 0), MATCH(CT$4&amp;CT$5, LS_current!$D$2:$BW$2&amp;LS_current!$D$3:$BW$3, 0)),SUM(VLOOKUP($A17, LS_current!$B$4:$BW$137, LS_current!Y$147, FALSE), VLOOKUP($A17, LS_current!$B$4:$BW$137,LS_current!BU$147, FALSE))/2)</f>
        <v>-70.123670285162916</v>
      </c>
      <c r="CU17" s="102">
        <f t="array" ref="CU17">IF($BT17=0, INDEX(LS_current!$D$4:$BW$137, MATCH('Staging Table'!$A17, LS_current!$B$4:$B$137, 0), MATCH(CU$4&amp;CU$5, LS_current!$D$2:$BW$2&amp;LS_current!$D$3:$BW$3, 0)),SUM(VLOOKUP($A17, LS_current!$B$4:$BW$137, LS_current!Z$147, FALSE), VLOOKUP($A17, LS_current!$B$4:$BW$137,LS_current!BV$147, FALSE))/2)</f>
        <v>362.60285044333386</v>
      </c>
      <c r="CV17" s="102">
        <f t="array" ref="CV17">IF($BT17=0, INDEX(LS_current!$D$4:$BW$137, MATCH('Staging Table'!$A17, LS_current!$B$4:$B$137, 0), MATCH(CV$4&amp;CV$5, LS_current!$D$2:$BW$2&amp;LS_current!$D$3:$BW$3, 0)),SUM(VLOOKUP($A17, LS_current!$B$4:$BW$137, LS_current!AA$147, FALSE), VLOOKUP($A17, LS_current!$B$4:$BW$137,LS_current!BW$147, FALSE))/2)</f>
        <v>140.72309976593374</v>
      </c>
      <c r="CW17" s="103">
        <f t="array" ref="CW17">INDEX(Demand_current!$D$4:$BW$137, MATCH($A17, Demand_current!$B$4:$B$137, 0), MATCH(CW$4&amp;CW$5,Demand_current!$D$2:$BW$2&amp;Demand_current!$D$3:$BW$3, 0))/1000</f>
        <v>0.92242592592592576</v>
      </c>
      <c r="CX17" s="103">
        <f t="array" ref="CX17">INDEX(Demand_current!$D$4:$BW$137, MATCH($A17, Demand_current!$B$4:$B$137, 0), MATCH(CX$4&amp;CX$5,Demand_current!$D$2:$BW$2&amp;Demand_current!$D$3:$BW$3, 0))/1000</f>
        <v>1.3352291666666618</v>
      </c>
      <c r="CY17" s="103">
        <f t="array" ref="CY17">INDEX(Demand_current!$D$4:$BW$137, MATCH($A17, Demand_current!$B$4:$B$137, 0), MATCH(CY$4&amp;CY$5,Demand_current!$D$2:$BW$2&amp;Demand_current!$D$3:$BW$3, 0))/1000</f>
        <v>1.8891057692307696</v>
      </c>
      <c r="CZ17" s="103">
        <f t="array" ref="CZ17">INDEX(Demand_current!$D$4:$BW$137, MATCH($A17, Demand_current!$B$4:$B$137, 0), MATCH(CZ$4&amp;CZ$5,Demand_current!$D$2:$BW$2&amp;Demand_current!$D$3:$BW$3, 0))/1000</f>
        <v>1.9774399038461539</v>
      </c>
      <c r="DA17" s="103">
        <f t="array" ref="DA17">INDEX(Demand_current!$D$4:$BW$137, MATCH($A17, Demand_current!$B$4:$B$137, 0), MATCH(DA$4&amp;DA$5,Demand_current!$D$2:$BW$2&amp;Demand_current!$D$3:$BW$3, 0))/1000</f>
        <v>1.4419244791666634</v>
      </c>
      <c r="DB17" s="103">
        <f t="array" ref="DB17">INDEX(Demand_current!$D$4:$BW$137, MATCH($A17, Demand_current!$B$4:$B$137, 0), MATCH(DB$4&amp;DB$5,Demand_current!$D$2:$BW$2&amp;Demand_current!$D$3:$BW$3, 0))/1000</f>
        <v>1.6459206730769238</v>
      </c>
      <c r="DC17" s="103">
        <f t="array" ref="DC17">INDEX(Demand_current!$D$4:$BW$137, MATCH($A17, Demand_current!$B$4:$B$137, 0), MATCH(DC$4&amp;DC$5,Demand_current!$D$2:$BW$2&amp;Demand_current!$D$3:$BW$3, 0))/1000</f>
        <v>1.3154447115384615</v>
      </c>
      <c r="DD17" s="103">
        <f t="array" ref="DD17">INDEX(Demand_current!$D$4:$BW$137, MATCH($A17, Demand_current!$B$4:$B$137, 0), MATCH(DD$4&amp;DD$5,Demand_current!$D$2:$BW$2&amp;Demand_current!$D$3:$BW$3, 0))/1000</f>
        <v>1.2511849999999995</v>
      </c>
      <c r="DE17" s="103">
        <f t="array" ref="DE17">INDEX(Demand_current!$D$4:$BW$137, MATCH($A17, Demand_current!$B$4:$B$137, 0), MATCH(DE$4&amp;DE$5,Demand_current!$D$2:$BW$2&amp;Demand_current!$D$3:$BW$3, 0))/1000</f>
        <v>1.3769110576923074</v>
      </c>
      <c r="DF17" s="103">
        <f t="array" ref="DF17">INDEX(Demand_current!$D$4:$BW$137, MATCH($A17, Demand_current!$B$4:$B$137, 0), MATCH(DF$4&amp;DF$5,Demand_current!$D$2:$BW$2&amp;Demand_current!$D$3:$BW$3, 0))/1000</f>
        <v>1.8313341346153849</v>
      </c>
      <c r="DG17" s="103">
        <f t="array" ref="DG17">INDEX(Demand_current!$D$4:$BW$137, MATCH($A17, Demand_current!$B$4:$B$137, 0), MATCH(DG$4&amp;DG$5,Demand_current!$D$2:$BW$2&amp;Demand_current!$D$3:$BW$3, 0))/1000</f>
        <v>1.4170336538461539</v>
      </c>
      <c r="DH17" s="103">
        <f t="array" ref="DH17">INDEX(Demand_current!$D$4:$BW$137, MATCH($A17, Demand_current!$B$4:$B$137, 0), MATCH(DH$4&amp;DH$5,Demand_current!$D$2:$BW$2&amp;Demand_current!$D$3:$BW$3, 0))/1000</f>
        <v>1.264577499999999</v>
      </c>
      <c r="DI17" s="102">
        <f>$BS17*(VLOOKUP(DI$4, Rates_current!$H$6:$R$41, 10, FALSE)+VLOOKUP(DI$4, Rates_current!$H$6:$R$41, 11, FALSE))</f>
        <v>5135.1508582165552</v>
      </c>
      <c r="DJ17" s="102">
        <f>$BS17*(VLOOKUP(DJ$4, Rates_current!$H$6:$R$41, 10, FALSE)+VLOOKUP(DJ$4, Rates_current!$H$6:$R$41, 11, FALSE))</f>
        <v>6565.1213637340406</v>
      </c>
      <c r="DK17" s="102">
        <f>$BS17*(VLOOKUP(DK$4, Rates_current!$H$6:$R$41, 10, FALSE)+VLOOKUP(DK$4, Rates_current!$H$6:$R$41, 11, FALSE))</f>
        <v>7463.9939038154771</v>
      </c>
      <c r="DL17" s="102">
        <f>$BS17*(VLOOKUP(DL$4, Rates_current!$H$6:$R$41, 10, FALSE)+VLOOKUP(DL$4, Rates_current!$H$6:$R$41, 11, FALSE))</f>
        <v>7875.0961995696061</v>
      </c>
      <c r="DM17" s="102">
        <f>$BS17*(VLOOKUP(DM$4, Rates_current!$H$6:$R$41, 10, FALSE)+VLOOKUP(DM$4, Rates_current!$H$6:$R$41, 11, FALSE))</f>
        <v>6275.7409164578612</v>
      </c>
      <c r="DN17" s="102">
        <f>$BS17*(VLOOKUP(DN$4, Rates_current!$H$6:$R$41, 10, FALSE)+VLOOKUP(DN$4, Rates_current!$H$6:$R$41, 11, FALSE))</f>
        <v>6860.6735811517765</v>
      </c>
      <c r="DO17" s="102">
        <f>$BS17*(VLOOKUP(DO$4, Rates_current!$H$6:$R$41, 10, FALSE)+VLOOKUP(DO$4, Rates_current!$H$6:$R$41, 11, FALSE))</f>
        <v>5317.0910374024506</v>
      </c>
      <c r="DP17" s="102">
        <f>$BS17*(VLOOKUP(DP$4, Rates_current!$H$6:$R$41, 10, FALSE)+VLOOKUP(DP$4, Rates_current!$H$6:$R$41, 11, FALSE))</f>
        <v>6881.1912739316931</v>
      </c>
      <c r="DQ17" s="102">
        <f>$BS17*(VLOOKUP(DQ$4, Rates_current!$H$6:$R$41, 10, FALSE)+VLOOKUP(DQ$4, Rates_current!$H$6:$R$41, 11, FALSE))</f>
        <v>7028.124738772548</v>
      </c>
      <c r="DR17" s="102">
        <f>$BS17*(VLOOKUP(DR$4, Rates_current!$H$6:$R$41, 10, FALSE)+VLOOKUP(DR$4, Rates_current!$H$6:$R$41, 11, FALSE))</f>
        <v>6255.6388429954413</v>
      </c>
      <c r="DS17" s="102">
        <f>$BS17*(VLOOKUP(DS$4, Rates_current!$H$6:$R$41, 10, FALSE)+VLOOKUP(DS$4, Rates_current!$H$6:$R$41, 11, FALSE))</f>
        <v>6417.1382063037709</v>
      </c>
      <c r="DT17" s="102">
        <f>$BS17*(VLOOKUP(DT$4, Rates_current!$H$6:$R$41, 10, FALSE)+VLOOKUP(DT$4, Rates_current!$H$6:$R$41, 11, FALSE))</f>
        <v>4983.6770497907328</v>
      </c>
      <c r="DU17" s="261">
        <f>IF(D17=0,IF(C17=0,MAX(0,DW17 - (VLOOKUP($A17,TOCA_current!$A$2:$AV$136,MATCH("RHWM "&amp;Init!$D$1,TOCA_current!$A$2:$AV$2,0),FALSE)*$BS$2)), 0),0)</f>
        <v>0</v>
      </c>
      <c r="DV17" s="262">
        <f>MIN(VLOOKUP($A17,TOCA_current!$A$2:$AV$136,MATCH("TRL - NLSL - Existing Resource "&amp;$BS$1,TOCA_current!$A$2:$AV$2,0),FALSE)*$BS$2, VLOOKUP($A17,TOCA_current!$A$2:$AV$136,MATCH("RHWM "&amp;Init!$D$1,TOCA_current!$A$2:$AV$2,0),FALSE)*$BS$2)</f>
        <v>77061.72</v>
      </c>
      <c r="DW17" s="262">
        <f>SUM(BY17:CV17)+(BS17*RT1SC!$C$4*$BS$2)</f>
        <v>77061.27154875407</v>
      </c>
      <c r="DX17" s="262">
        <f>VLOOKUP($A17,TOCA_current!$A$2:$AV$136,MATCH("Above RHWM Not Served with LS "&amp;$BS$1,TOCA_current!$A$2:$AV$2,0),FALSE)*$BS$2</f>
        <v>26507.759999999998</v>
      </c>
      <c r="DY17" s="262">
        <f t="shared" si="28"/>
        <v>-0.44845124593121</v>
      </c>
      <c r="DZ17" s="262">
        <f>(VLOOKUP($A17,TOCA_current!$A$2:$AV$136,MATCH("RHWM "&amp;Init!$D$1,TOCA_current!$A$2:$AV$2,0),FALSE)*$BS$2) - $DV17</f>
        <v>0</v>
      </c>
      <c r="EA17" s="262">
        <f t="shared" si="29"/>
        <v>0</v>
      </c>
      <c r="EB17" s="262">
        <f t="shared" si="30"/>
        <v>0</v>
      </c>
      <c r="EC17" s="262">
        <f t="shared" si="31"/>
        <v>0</v>
      </c>
      <c r="ED17" s="262">
        <f t="shared" si="32"/>
        <v>0</v>
      </c>
    </row>
    <row r="18" spans="1:134">
      <c r="A18" s="2">
        <v>10062</v>
      </c>
      <c r="B18" s="3" t="s">
        <v>20</v>
      </c>
      <c r="C18">
        <f>VLOOKUP(A18, TOCA_current!$A$3:$D$136, 4, FALSE)</f>
        <v>0</v>
      </c>
      <c r="D18">
        <v>0</v>
      </c>
      <c r="E18" s="84">
        <f>VLOOKUP($A18,TOCA_previous!$A$2:$AJ$136,MATCH(E$4,TOCA_previous!$A$2:$AJ$2,0),FALSE)</f>
        <v>7.7019999999999996E-4</v>
      </c>
      <c r="F18" s="85">
        <f>VLOOKUP($A18,TOCA_previous!$A$2:$AJ$136,MATCH(F$4,TOCA_previous!$A$2:$AJ$2,0),FALSE)</f>
        <v>7.7019999999999996E-4</v>
      </c>
      <c r="G18" s="85">
        <f t="shared" si="18"/>
        <v>0</v>
      </c>
      <c r="H18" s="85">
        <f>VLOOKUP($A18,TOCA_previous!$A$2:$AJ$136,MATCH(H$4,TOCA_previous!$A$2:$AJ$2,0),FALSE)</f>
        <v>0</v>
      </c>
      <c r="I18" s="85">
        <f t="shared" si="19"/>
        <v>0</v>
      </c>
      <c r="J18" s="85">
        <f t="shared" si="20"/>
        <v>0</v>
      </c>
      <c r="K18" s="101">
        <f>VLOOKUP(A18, IRD!$A$5:$C$138, 3, FALSE)</f>
        <v>0</v>
      </c>
      <c r="L18" s="102">
        <f t="array" ref="L18">IF($G18=0, INDEX(LS_previous!$D$4:$AY$137, MATCH('Staging Table'!$A18, LS_previous!$B$4:$B$137, 0), MATCH(L$4&amp;L$5, LS_previous!$D$2:$AY$2&amp;LS_previous!$D$3:$AY$3, 0)),SUM(VLOOKUP($A18, LS_previous!$B$4:$AY$137, LS_previous!D$148, FALSE), VLOOKUP('Staging Table'!$A18, LS_previous!$B$4:$AY$137,LS_previous!AB$148, FALSE))/2)</f>
        <v>867.50360347279957</v>
      </c>
      <c r="M18" s="102">
        <f t="array" ref="M18">IF($G18=0, INDEX(LS_previous!$D$4:$AY$137, MATCH('Staging Table'!$A18, LS_previous!$B$4:$B$137, 0), MATCH(M$4&amp;M$5, LS_previous!$D$2:$AY$2&amp;LS_previous!$D$3:$AY$3, 0)),SUM(VLOOKUP($A18, LS_previous!$B$4:$AY$137, LS_previous!E$148, FALSE), VLOOKUP('Staging Table'!$A18, LS_previous!$B$4:$AY$137,LS_previous!AC$148, FALSE))/2)</f>
        <v>2.1739419900313806E-2</v>
      </c>
      <c r="N18" s="102">
        <f t="array" ref="N18">IF($G18=0, INDEX(LS_previous!$D$4:$AY$137, MATCH('Staging Table'!$A18, LS_previous!$B$4:$B$137, 0), MATCH(N$4&amp;N$5, LS_previous!$D$2:$AY$2&amp;LS_previous!$D$3:$AY$3, 0)),SUM(VLOOKUP($A18, LS_previous!$B$4:$AY$137, LS_previous!F$148, FALSE), VLOOKUP('Staging Table'!$A18, LS_previous!$B$4:$AY$137,LS_previous!AD$148, FALSE))/2)</f>
        <v>522.50585997439975</v>
      </c>
      <c r="O18" s="102">
        <f t="array" ref="O18">IF($G18=0, INDEX(LS_previous!$D$4:$AY$137, MATCH('Staging Table'!$A18, LS_previous!$B$4:$B$137, 0), MATCH(O$4&amp;O$5, LS_previous!$D$2:$AY$2&amp;LS_previous!$D$3:$AY$3, 0)),SUM(VLOOKUP($A18, LS_previous!$B$4:$AY$137, LS_previous!G$148, FALSE), VLOOKUP('Staging Table'!$A18, LS_previous!$B$4:$AY$137,LS_previous!AE$148, FALSE))/2)</f>
        <v>-0.16172159620009552</v>
      </c>
      <c r="P18" s="102">
        <f t="array" ref="P18">IF($G18=0, INDEX(LS_previous!$D$4:$AY$137, MATCH('Staging Table'!$A18, LS_previous!$B$4:$B$137, 0), MATCH(P$4&amp;P$5, LS_previous!$D$2:$AY$2&amp;LS_previous!$D$3:$AY$3, 0)),SUM(VLOOKUP($A18, LS_previous!$B$4:$AY$137, LS_previous!H$148, FALSE), VLOOKUP('Staging Table'!$A18, LS_previous!$B$4:$AY$137,LS_previous!AF$148, FALSE))/2)</f>
        <v>1442.3398838222001</v>
      </c>
      <c r="Q18" s="102">
        <f t="array" ref="Q18">IF($G18=0, INDEX(LS_previous!$D$4:$AY$137, MATCH('Staging Table'!$A18, LS_previous!$B$4:$B$137, 0), MATCH(Q$4&amp;Q$5, LS_previous!$D$2:$AY$2&amp;LS_previous!$D$3:$AY$3, 0)),SUM(VLOOKUP($A18, LS_previous!$B$4:$AY$137, LS_previous!I$148, FALSE), VLOOKUP('Staging Table'!$A18, LS_previous!$B$4:$AY$137,LS_previous!AG$148, FALSE))/2)</f>
        <v>677.10765534079974</v>
      </c>
      <c r="R18" s="102">
        <f t="array" ref="R18">IF($G18=0, INDEX(LS_previous!$D$4:$AY$137, MATCH('Staging Table'!$A18, LS_previous!$B$4:$B$137, 0), MATCH(R$4&amp;R$5, LS_previous!$D$2:$AY$2&amp;LS_previous!$D$3:$AY$3, 0)),SUM(VLOOKUP($A18, LS_previous!$B$4:$AY$137, LS_previous!J$148, FALSE), VLOOKUP('Staging Table'!$A18, LS_previous!$B$4:$AY$137,LS_previous!AH$148, FALSE))/2)</f>
        <v>1334.3912411070005</v>
      </c>
      <c r="S18" s="102">
        <f t="array" ref="S18">IF($G18=0, INDEX(LS_previous!$D$4:$AY$137, MATCH('Staging Table'!$A18, LS_previous!$B$4:$B$137, 0), MATCH(S$4&amp;S$5, LS_previous!$D$2:$AY$2&amp;LS_previous!$D$3:$AY$3, 0)),SUM(VLOOKUP($A18, LS_previous!$B$4:$AY$137, LS_previous!K$148, FALSE), VLOOKUP('Staging Table'!$A18, LS_previous!$B$4:$AY$137,LS_previous!AI$148, FALSE))/2)</f>
        <v>798.85709006420029</v>
      </c>
      <c r="T18" s="102">
        <f t="array" ref="T18">IF($G18=0, INDEX(LS_previous!$D$4:$AY$137, MATCH('Staging Table'!$A18, LS_previous!$B$4:$B$137, 0), MATCH(T$4&amp;T$5, LS_previous!$D$2:$AY$2&amp;LS_previous!$D$3:$AY$3, 0)),SUM(VLOOKUP($A18, LS_previous!$B$4:$AY$137, LS_previous!L$148, FALSE), VLOOKUP('Staging Table'!$A18, LS_previous!$B$4:$AY$137,LS_previous!AJ$148, FALSE))/2)</f>
        <v>916.41817399420052</v>
      </c>
      <c r="U18" s="102">
        <f t="array" ref="U18">IF($G18=0, INDEX(LS_previous!$D$4:$AY$137, MATCH('Staging Table'!$A18, LS_previous!$B$4:$B$137, 0), MATCH(U$4&amp;U$5, LS_previous!$D$2:$AY$2&amp;LS_previous!$D$3:$AY$3, 0)),SUM(VLOOKUP($A18, LS_previous!$B$4:$AY$137, LS_previous!M$148, FALSE), VLOOKUP('Staging Table'!$A18, LS_previous!$B$4:$AY$137,LS_previous!AK$148, FALSE))/2)</f>
        <v>496.65851117820011</v>
      </c>
      <c r="V18" s="102">
        <f t="array" ref="V18">IF($G18=0, INDEX(LS_previous!$D$4:$AY$137, MATCH('Staging Table'!$A18, LS_previous!$B$4:$B$137, 0), MATCH(V$4&amp;V$5, LS_previous!$D$2:$AY$2&amp;LS_previous!$D$3:$AY$3, 0)),SUM(VLOOKUP($A18, LS_previous!$B$4:$AY$137, LS_previous!N$148, FALSE), VLOOKUP('Staging Table'!$A18, LS_previous!$B$4:$AY$137,LS_previous!AL$148, FALSE))/2)</f>
        <v>598.54129916740021</v>
      </c>
      <c r="W18" s="102">
        <f t="array" ref="W18">IF($G18=0, INDEX(LS_previous!$D$4:$AY$137, MATCH('Staging Table'!$A18, LS_previous!$B$4:$B$137, 0), MATCH(W$4&amp;W$5, LS_previous!$D$2:$AY$2&amp;LS_previous!$D$3:$AY$3, 0)),SUM(VLOOKUP($A18, LS_previous!$B$4:$AY$137, LS_previous!O$148, FALSE), VLOOKUP('Staging Table'!$A18, LS_previous!$B$4:$AY$137,LS_previous!AM$148, FALSE))/2)</f>
        <v>-106.7650534155996</v>
      </c>
      <c r="X18" s="102">
        <f t="array" ref="X18">IF($G18=0, INDEX(LS_previous!$D$4:$AY$137, MATCH('Staging Table'!$A18, LS_previous!$B$4:$B$137, 0), MATCH(X$4&amp;X$5, LS_previous!$D$2:$AY$2&amp;LS_previous!$D$3:$AY$3, 0)),SUM(VLOOKUP($A18, LS_previous!$B$4:$AY$137, LS_previous!P$148, FALSE), VLOOKUP('Staging Table'!$A18, LS_previous!$B$4:$AY$137,LS_previous!AN$148, FALSE))/2)</f>
        <v>13.554529769500277</v>
      </c>
      <c r="Y18" s="102">
        <f t="array" ref="Y18">IF($G18=0, INDEX(LS_previous!$D$4:$AY$137, MATCH('Staging Table'!$A18, LS_previous!$B$4:$B$137, 0), MATCH(Y$4&amp;Y$5, LS_previous!$D$2:$AY$2&amp;LS_previous!$D$3:$AY$3, 0)),SUM(VLOOKUP($A18, LS_previous!$B$4:$AY$137, LS_previous!Q$148, FALSE), VLOOKUP('Staging Table'!$A18, LS_previous!$B$4:$AY$137,LS_previous!AO$148, FALSE))/2)</f>
        <v>-445.30540823984938</v>
      </c>
      <c r="Z18" s="102">
        <f t="array" ref="Z18">IF($G18=0, INDEX(LS_previous!$D$4:$AY$137, MATCH('Staging Table'!$A18, LS_previous!$B$4:$B$137, 0), MATCH(Z$4&amp;Z$5, LS_previous!$D$2:$AY$2&amp;LS_previous!$D$3:$AY$3, 0)),SUM(VLOOKUP($A18, LS_previous!$B$4:$AY$137, LS_previous!R$148, FALSE), VLOOKUP('Staging Table'!$A18, LS_previous!$B$4:$AY$137,LS_previous!AP$148, FALSE))/2)</f>
        <v>-1469.9453363295997</v>
      </c>
      <c r="AA18" s="102">
        <f t="array" ref="AA18">IF($G18=0, INDEX(LS_previous!$D$4:$AY$137, MATCH('Staging Table'!$A18, LS_previous!$B$4:$B$137, 0), MATCH(AA$4&amp;AA$5, LS_previous!$D$2:$AY$2&amp;LS_previous!$D$3:$AY$3, 0)),SUM(VLOOKUP($A18, LS_previous!$B$4:$AY$137, LS_previous!S$148, FALSE), VLOOKUP('Staging Table'!$A18, LS_previous!$B$4:$AY$137,LS_previous!AQ$148, FALSE))/2)</f>
        <v>-1664.7636658767001</v>
      </c>
      <c r="AB18" s="102">
        <f t="array" ref="AB18">IF($G18=0, INDEX(LS_previous!$D$4:$AY$137, MATCH('Staging Table'!$A18, LS_previous!$B$4:$B$137, 0), MATCH(AB$4&amp;AB$5, LS_previous!$D$2:$AY$2&amp;LS_previous!$D$3:$AY$3, 0)),SUM(VLOOKUP($A18, LS_previous!$B$4:$AY$137, LS_previous!T$148, FALSE), VLOOKUP('Staging Table'!$A18, LS_previous!$B$4:$AY$137,LS_previous!AR$148, FALSE))/2)</f>
        <v>-1521.3111046051999</v>
      </c>
      <c r="AC18" s="102">
        <f t="array" ref="AC18">IF($G18=0, INDEX(LS_previous!$D$4:$AY$137, MATCH('Staging Table'!$A18, LS_previous!$B$4:$B$137, 0), MATCH(AC$4&amp;AC$5, LS_previous!$D$2:$AY$2&amp;LS_previous!$D$3:$AY$3, 0)),SUM(VLOOKUP($A18, LS_previous!$B$4:$AY$137, LS_previous!U$148, FALSE), VLOOKUP('Staging Table'!$A18, LS_previous!$B$4:$AY$137,LS_previous!AS$148, FALSE))/2)</f>
        <v>-1599.6706469758999</v>
      </c>
      <c r="AD18" s="102">
        <f t="array" ref="AD18">IF($G18=0, INDEX(LS_previous!$D$4:$AY$137, MATCH('Staging Table'!$A18, LS_previous!$B$4:$B$137, 0), MATCH(AD$4&amp;AD$5, LS_previous!$D$2:$AY$2&amp;LS_previous!$D$3:$AY$3, 0)),SUM(VLOOKUP($A18, LS_previous!$B$4:$AY$137, LS_previous!V$148, FALSE), VLOOKUP('Staging Table'!$A18, LS_previous!$B$4:$AY$137,LS_previous!AT$148, FALSE))/2)</f>
        <v>-462.40986463279978</v>
      </c>
      <c r="AE18" s="102">
        <f t="array" ref="AE18">IF($G18=0, INDEX(LS_previous!$D$4:$AY$137, MATCH('Staging Table'!$A18, LS_previous!$B$4:$B$137, 0), MATCH(AE$4&amp;AE$5, LS_previous!$D$2:$AY$2&amp;LS_previous!$D$3:$AY$3, 0)),SUM(VLOOKUP($A18, LS_previous!$B$4:$AY$137, LS_previous!W$148, FALSE), VLOOKUP('Staging Table'!$A18, LS_previous!$B$4:$AY$137,LS_previous!AU$148, FALSE))/2)</f>
        <v>-836.32136770049965</v>
      </c>
      <c r="AF18" s="102">
        <f t="array" ref="AF18">IF($G18=0, INDEX(LS_previous!$D$4:$AY$137, MATCH('Staging Table'!$A18, LS_previous!$B$4:$B$137, 0), MATCH(AF$4&amp;AF$5, LS_previous!$D$2:$AY$2&amp;LS_previous!$D$3:$AY$3, 0)),SUM(VLOOKUP($A18, LS_previous!$B$4:$AY$137, LS_previous!X$148, FALSE), VLOOKUP('Staging Table'!$A18, LS_previous!$B$4:$AY$137,LS_previous!AV$148, FALSE))/2)</f>
        <v>484.15190991069994</v>
      </c>
      <c r="AG18" s="102">
        <f t="array" ref="AG18">IF($G18=0, INDEX(LS_previous!$D$4:$AY$137, MATCH('Staging Table'!$A18, LS_previous!$B$4:$B$137, 0), MATCH(AG$4&amp;AG$5, LS_previous!$D$2:$AY$2&amp;LS_previous!$D$3:$AY$3, 0)),SUM(VLOOKUP($A18, LS_previous!$B$4:$AY$137, LS_previous!Y$148, FALSE), VLOOKUP('Staging Table'!$A18, LS_previous!$B$4:$AY$137,LS_previous!AW$148, FALSE))/2)</f>
        <v>-226.17326910046995</v>
      </c>
      <c r="AH18" s="102">
        <f t="array" ref="AH18">IF($G18=0, INDEX(LS_previous!$D$4:$AY$137, MATCH('Staging Table'!$A18, LS_previous!$B$4:$B$137, 0), MATCH(AH$4&amp;AH$5, LS_previous!$D$2:$AY$2&amp;LS_previous!$D$3:$AY$3, 0)),SUM(VLOOKUP($A18, LS_previous!$B$4:$AY$137, LS_previous!Z$148, FALSE), VLOOKUP('Staging Table'!$A18, LS_previous!$B$4:$AY$137,LS_previous!AX$148, FALSE))/2)</f>
        <v>529.39454136519998</v>
      </c>
      <c r="AI18" s="102">
        <f t="array" ref="AI18">IF($G18=0, INDEX(LS_previous!$D$4:$AY$137, MATCH('Staging Table'!$A18, LS_previous!$B$4:$B$137, 0), MATCH(AI$4&amp;AI$5, LS_previous!$D$2:$AY$2&amp;LS_previous!$D$3:$AY$3, 0)),SUM(VLOOKUP($A18, LS_previous!$B$4:$AY$137, LS_previous!AA$148, FALSE), VLOOKUP('Staging Table'!$A18, LS_previous!$B$4:$AY$137,LS_previous!AY$148, FALSE))/2)</f>
        <v>-230.03088390080006</v>
      </c>
      <c r="AJ18" s="103">
        <f t="array" ref="AJ18">INDEX(Demand_previous!$D$4:$AY$137, MATCH('Staging Table'!$A18, Demand_previous!$B$4:$B$137, 0), MATCH(AJ$4&amp;AJ$5,Demand_previous!$D$2:$AY$2&amp;Demand_previous!$D$3:$AY$3, 0))/1000</f>
        <v>6.4932692307692275E-2</v>
      </c>
      <c r="AK18" s="103">
        <f t="array" ref="AK18">INDEX(Demand_previous!$D$4:$AY$137, MATCH('Staging Table'!$A18, Demand_previous!$B$4:$B$137, 0), MATCH(AK$4&amp;AK$5,Demand_previous!$D$2:$AY$2&amp;Demand_previous!$D$3:$AY$3, 0))/1000</f>
        <v>1.0194650000000005</v>
      </c>
      <c r="AL18" s="103">
        <f t="array" ref="AL18">INDEX(Demand_previous!$D$4:$AY$137, MATCH('Staging Table'!$A18, Demand_previous!$B$4:$B$137, 0), MATCH(AL$4&amp;AL$5,Demand_previous!$D$2:$AY$2&amp;Demand_previous!$D$3:$AY$3, 0))/1000</f>
        <v>2.5329550000000012</v>
      </c>
      <c r="AM18" s="103">
        <f t="array" ref="AM18">INDEX(Demand_previous!$D$4:$AY$137, MATCH('Staging Table'!$A18, Demand_previous!$B$4:$B$137, 0), MATCH(AM$4&amp;AM$5,Demand_previous!$D$2:$AY$2&amp;Demand_previous!$D$3:$AY$3, 0))/1000</f>
        <v>1.7647572115384613</v>
      </c>
      <c r="AN18" s="103">
        <f t="array" ref="AN18">INDEX(Demand_previous!$D$4:$AY$137, MATCH('Staging Table'!$A18, Demand_previous!$B$4:$B$137, 0), MATCH(AN$4&amp;AN$5,Demand_previous!$D$2:$AY$2&amp;Demand_previous!$D$3:$AY$3, 0))/1000</f>
        <v>3.0463125</v>
      </c>
      <c r="AO18" s="103">
        <f t="array" ref="AO18">INDEX(Demand_previous!$D$4:$AY$137, MATCH('Staging Table'!$A18, Demand_previous!$B$4:$B$137, 0), MATCH(AO$4&amp;AO$5,Demand_previous!$D$2:$AY$2&amp;Demand_previous!$D$3:$AY$3, 0))/1000</f>
        <v>1.1839302884615381</v>
      </c>
      <c r="AP18" s="103">
        <f t="array" ref="AP18">INDEX(Demand_previous!$D$4:$AY$137, MATCH('Staging Table'!$A18, Demand_previous!$B$4:$B$137, 0), MATCH(AP$4&amp;AP$5,Demand_previous!$D$2:$AY$2&amp;Demand_previous!$D$3:$AY$3, 0))/1000</f>
        <v>1.20511298076923</v>
      </c>
      <c r="AQ18" s="103">
        <f t="array" ref="AQ18">INDEX(Demand_previous!$D$4:$AY$137, MATCH('Staging Table'!$A18, Demand_previous!$B$4:$B$137, 0), MATCH(AQ$4&amp;AQ$5,Demand_previous!$D$2:$AY$2&amp;Demand_previous!$D$3:$AY$3, 0))/1000</f>
        <v>0</v>
      </c>
      <c r="AR18" s="103">
        <f t="array" ref="AR18">INDEX(Demand_previous!$D$4:$AY$137, MATCH('Staging Table'!$A18, Demand_previous!$B$4:$B$137, 0), MATCH(AR$4&amp;AR$5,Demand_previous!$D$2:$AY$2&amp;Demand_previous!$D$3:$AY$3, 0))/1000</f>
        <v>5.2982499999999932E-2</v>
      </c>
      <c r="AS18" s="103">
        <f t="array" ref="AS18">INDEX(Demand_previous!$D$4:$AY$137, MATCH('Staging Table'!$A18, Demand_previous!$B$4:$B$137, 0), MATCH(AS$4&amp;AS$5,Demand_previous!$D$2:$AY$2&amp;Demand_previous!$D$3:$AY$3, 0))/1000</f>
        <v>0.7576105769230761</v>
      </c>
      <c r="AT18" s="103">
        <f t="array" ref="AT18">INDEX(Demand_previous!$D$4:$AY$137, MATCH('Staging Table'!$A18, Demand_previous!$B$4:$B$137, 0), MATCH(AT$4&amp;AT$5,Demand_previous!$D$2:$AY$2&amp;Demand_previous!$D$3:$AY$3, 0))/1000</f>
        <v>0.73550231481481521</v>
      </c>
      <c r="AU18" s="103">
        <f t="array" ref="AU18">INDEX(Demand_previous!$D$4:$AY$137, MATCH('Staging Table'!$A18, Demand_previous!$B$4:$B$137, 0), MATCH(AU$4&amp;AU$5,Demand_previous!$D$2:$AY$2&amp;Demand_previous!$D$3:$AY$3, 0))/1000</f>
        <v>0</v>
      </c>
      <c r="AV18" s="102">
        <f>$F18*(VLOOKUP(AV$4, Rates_previous!$G$6:$Q$29, 10, FALSE)+VLOOKUP(AV$4, Rates_previous!$G$6:$Q$29, 11, FALSE))</f>
        <v>3249.3226571073001</v>
      </c>
      <c r="AW18" s="102">
        <f>$F18*(VLOOKUP(AW$4, Rates_previous!$G$6:$Q$29, 10, FALSE)+VLOOKUP(AW$4, Rates_previous!$G$6:$Q$29, 11, FALSE))</f>
        <v>4143.9578616218005</v>
      </c>
      <c r="AX18" s="102">
        <f>$F18*(VLOOKUP(AX$4, Rates_previous!$G$6:$Q$29, 10, FALSE)+VLOOKUP(AX$4, Rates_previous!$G$6:$Q$29, 11, FALSE))</f>
        <v>4472.1504608370005</v>
      </c>
      <c r="AY18" s="102">
        <f>$F18*(VLOOKUP(AY$4, Rates_previous!$G$6:$Q$29, 10, FALSE)+VLOOKUP(AY$4, Rates_previous!$G$6:$Q$29, 11, FALSE))</f>
        <v>4647.2556688287996</v>
      </c>
      <c r="AZ18" s="102">
        <f>$F18*(VLOOKUP(AZ$4, Rates_previous!$G$6:$Q$29, 10, FALSE)+VLOOKUP(AZ$4, Rates_previous!$G$6:$Q$29, 11, FALSE))</f>
        <v>3997.2593148275996</v>
      </c>
      <c r="BA18" s="102">
        <f>$F18*(VLOOKUP(BA$4, Rates_previous!$G$6:$Q$29, 10, FALSE)+VLOOKUP(BA$4, Rates_previous!$G$6:$Q$29, 11, FALSE))</f>
        <v>4364.2157542482</v>
      </c>
      <c r="BB18" s="102">
        <f>$F18*(VLOOKUP(BB$4, Rates_previous!$G$6:$Q$29, 10, FALSE)+VLOOKUP(BB$4, Rates_previous!$G$6:$Q$29, 11, FALSE))</f>
        <v>3444.8128784703495</v>
      </c>
      <c r="BC18" s="102">
        <f>$F18*(VLOOKUP(BC$4, Rates_previous!$G$6:$Q$29, 10, FALSE)+VLOOKUP(BC$4, Rates_previous!$G$6:$Q$29, 11, FALSE))</f>
        <v>4273.7520022062999</v>
      </c>
      <c r="BD18" s="102">
        <f>$F18*(VLOOKUP(BD$4, Rates_previous!$G$6:$Q$29, 10, FALSE)+VLOOKUP(BD$4, Rates_previous!$G$6:$Q$29, 11, FALSE))</f>
        <v>4366.4817515810992</v>
      </c>
      <c r="BE18" s="102">
        <f>$F18*(VLOOKUP(BE$4, Rates_previous!$G$6:$Q$29, 10, FALSE)+VLOOKUP(BE$4, Rates_previous!$G$6:$Q$29, 11, FALSE))</f>
        <v>3790.7352323332998</v>
      </c>
      <c r="BF18" s="102">
        <f>$F18*(VLOOKUP(BF$4, Rates_previous!$G$6:$Q$29, 10, FALSE)+VLOOKUP(BF$4, Rates_previous!$G$6:$Q$29, 11, FALSE))</f>
        <v>3664.6333591897701</v>
      </c>
      <c r="BG18" s="102">
        <f>$F18*(VLOOKUP(BG$4, Rates_previous!$G$6:$Q$29, 10, FALSE)+VLOOKUP(BG$4, Rates_previous!$G$6:$Q$29, 11, FALSE))</f>
        <v>3372.1723425356004</v>
      </c>
      <c r="BH18" s="103">
        <f>IF($D18=0,IF(C18=0, MAX(BJ18 - (VLOOKUP($A18,TOCA_previous!$A$2:$AJ$136,MATCH("RHWM "&amp;Init!$D$1-2,TOCA_previous!$A$2:$AJ$2,0),FALSE)*$F$2*TOCA_previous!C15),0),0), 0)</f>
        <v>1174.4572190448744</v>
      </c>
      <c r="BI18" s="109">
        <f>MIN(VLOOKUP($A18,TOCA_previous!$A$2:$AJ$136,MATCH("TRL - NLSL - Existing Resource "&amp;$F$1,TOCA_previous!$A$2:$AJ$2,0),FALSE)*$F$2,(VLOOKUP($A18,TOCA_previous!$A$2:$AJ$136,MATCH("RHWM "&amp;Init!$D$1-2,TOCA_previous!$A$2:$AJ$2,0),FALSE)*$F$2))</f>
        <v>46730.880000000005</v>
      </c>
      <c r="BJ18" s="261">
        <f>SUM(L18:AI18)+(F18*RT1SC!$C$3*$F$2)</f>
        <v>47905.337219044879</v>
      </c>
      <c r="BK18" s="260">
        <f>VLOOKUP($A18,TOCA_previous!$A$2:$AJ$136,MATCH("Above RHWM Not Served with LS "&amp;$F$1,TOCA_previous!$A$2:$AJ$2,0),FALSE)*$F$2</f>
        <v>15863.904</v>
      </c>
      <c r="BL18" s="261">
        <f t="shared" si="21"/>
        <v>1174.4572190448744</v>
      </c>
      <c r="BM18" s="260">
        <f>(VLOOKUP($A18,TOCA_previous!$A$2:$AJ$136,MATCH("RHWM "&amp;Init!$D$1-2,TOCA_previous!$A$2:$AJ$2,0),FALSE)*$F$2) - $BI18</f>
        <v>0</v>
      </c>
      <c r="BN18" s="261">
        <f t="shared" si="22"/>
        <v>0</v>
      </c>
      <c r="BO18" s="260">
        <f t="shared" si="23"/>
        <v>0</v>
      </c>
      <c r="BP18" s="261">
        <f t="shared" si="24"/>
        <v>0</v>
      </c>
      <c r="BQ18" s="260">
        <f t="shared" si="9"/>
        <v>0</v>
      </c>
      <c r="BR18" s="85">
        <f>VLOOKUP($A18,TOCA_current!$A$2:$ZZ$136,MATCH(BR$4,TOCA_current!$A$2:$ZZ$2,0),FALSE)</f>
        <v>7.5250000000000002E-4</v>
      </c>
      <c r="BS18" s="85">
        <f>VLOOKUP($A18,TOCA_current!$A$2:$ZZ$136,MATCH(BS$4,TOCA_current!$A$2:$ZZ$2,0),FALSE)</f>
        <v>7.5250000000000002E-4</v>
      </c>
      <c r="BT18" s="108">
        <f t="shared" si="25"/>
        <v>0</v>
      </c>
      <c r="BU18" s="85">
        <f>VLOOKUP($A18,TOCA_current!A15:BG149,MATCH(BU$4,TOCA_current!$A$2:$BG$2,0),FALSE)</f>
        <v>0</v>
      </c>
      <c r="BV18" s="85">
        <f t="shared" si="26"/>
        <v>0</v>
      </c>
      <c r="BW18" s="85">
        <f t="shared" si="27"/>
        <v>0</v>
      </c>
      <c r="BX18" s="101">
        <f>VLOOKUP($A18,IRD!$A$4:$G$138, 7, FALSE)</f>
        <v>0</v>
      </c>
      <c r="BY18" s="102">
        <f t="array" ref="BY18">IF($BT18=0, INDEX(LS_current!$D$4:$BW$137, MATCH('Staging Table'!$A18, LS_current!$B$4:$B$137, 0), MATCH(BY$4&amp;BY$5, LS_current!$D$2:$BW$2&amp;LS_current!$D$3:$BW$3, 0)),SUM(VLOOKUP($A18, LS_current!$B$4:$BW$137, LS_current!D$147, FALSE), VLOOKUP($A18, LS_current!$B$4:$BW$137,LS_current!AZ$147, FALSE))/2)</f>
        <v>804.93484356992121</v>
      </c>
      <c r="BZ18" s="102">
        <f t="array" ref="BZ18">IF($BT18=0, INDEX(LS_current!$D$4:$BW$137, MATCH('Staging Table'!$A18, LS_current!$B$4:$B$137, 0), MATCH(BZ$4&amp;BZ$5, LS_current!$D$2:$BW$2&amp;LS_current!$D$3:$BW$3, 0)),SUM(VLOOKUP($A18, LS_current!$B$4:$BW$137, LS_current!E$147, FALSE), VLOOKUP($A18, LS_current!$B$4:$BW$137,LS_current!BA$147, FALSE))/2)</f>
        <v>96.565730900330436</v>
      </c>
      <c r="CA18" s="102">
        <f t="array" ref="CA18">IF($BT18=0, INDEX(LS_current!$D$4:$BW$137, MATCH('Staging Table'!$A18, LS_current!$B$4:$B$137, 0), MATCH(CA$4&amp;CA$5, LS_current!$D$2:$BW$2&amp;LS_current!$D$3:$BW$3, 0)),SUM(VLOOKUP($A18, LS_current!$B$4:$BW$137, LS_current!F$147, FALSE), VLOOKUP($A18, LS_current!$B$4:$BW$137,LS_current!BB$147, FALSE))/2)</f>
        <v>605.88059824745733</v>
      </c>
      <c r="CB18" s="102">
        <f t="array" ref="CB18">IF($BT18=0, INDEX(LS_current!$D$4:$BW$137, MATCH('Staging Table'!$A18, LS_current!$B$4:$B$137, 0), MATCH(CB$4&amp;CB$5, LS_current!$D$2:$BW$2&amp;LS_current!$D$3:$BW$3, 0)),SUM(VLOOKUP($A18, LS_current!$B$4:$BW$137, LS_current!G$147, FALSE), VLOOKUP($A18, LS_current!$B$4:$BW$137,LS_current!BC$147, FALSE))/2)</f>
        <v>-21.752198352416372</v>
      </c>
      <c r="CC18" s="102">
        <f t="array" ref="CC18">IF($BT18=0, INDEX(LS_current!$D$4:$BW$137, MATCH('Staging Table'!$A18, LS_current!$B$4:$B$137, 0), MATCH(CC$4&amp;CC$5, LS_current!$D$2:$BW$2&amp;LS_current!$D$3:$BW$3, 0)),SUM(VLOOKUP($A18, LS_current!$B$4:$BW$137, LS_current!H$147, FALSE), VLOOKUP($A18, LS_current!$B$4:$BW$137,LS_current!BD$147, FALSE))/2)</f>
        <v>1163.4968586127106</v>
      </c>
      <c r="CD18" s="102">
        <f t="array" ref="CD18">IF($BT18=0, INDEX(LS_current!$D$4:$BW$137, MATCH('Staging Table'!$A18, LS_current!$B$4:$B$137, 0), MATCH(CD$4&amp;CD$5, LS_current!$D$2:$BW$2&amp;LS_current!$D$3:$BW$3, 0)),SUM(VLOOKUP($A18, LS_current!$B$4:$BW$137, LS_current!I$147, FALSE), VLOOKUP($A18, LS_current!$B$4:$BW$137,LS_current!BE$147, FALSE))/2)</f>
        <v>796.40004915327381</v>
      </c>
      <c r="CE18" s="102">
        <f t="array" ref="CE18">IF($BT18=0, INDEX(LS_current!$D$4:$BW$137, MATCH('Staging Table'!$A18, LS_current!$B$4:$B$137, 0), MATCH(CE$4&amp;CE$5, LS_current!$D$2:$BW$2&amp;LS_current!$D$3:$BW$3, 0)),SUM(VLOOKUP($A18, LS_current!$B$4:$BW$137, LS_current!J$147, FALSE), VLOOKUP($A18, LS_current!$B$4:$BW$137,LS_current!BF$147, FALSE))/2)</f>
        <v>1141.19566010876</v>
      </c>
      <c r="CF18" s="102">
        <f t="array" ref="CF18">IF($BT18=0, INDEX(LS_current!$D$4:$BW$137, MATCH('Staging Table'!$A18, LS_current!$B$4:$B$137, 0), MATCH(CF$4&amp;CF$5, LS_current!$D$2:$BW$2&amp;LS_current!$D$3:$BW$3, 0)),SUM(VLOOKUP($A18, LS_current!$B$4:$BW$137, LS_current!K$147, FALSE), VLOOKUP($A18, LS_current!$B$4:$BW$137,LS_current!BG$147, FALSE))/2)</f>
        <v>757.58342356041635</v>
      </c>
      <c r="CG18" s="102">
        <f t="array" ref="CG18">IF($BT18=0, INDEX(LS_current!$D$4:$BW$137, MATCH('Staging Table'!$A18, LS_current!$B$4:$B$137, 0), MATCH(CG$4&amp;CG$5, LS_current!$D$2:$BW$2&amp;LS_current!$D$3:$BW$3, 0)),SUM(VLOOKUP($A18, LS_current!$B$4:$BW$137, LS_current!L$147, FALSE), VLOOKUP($A18, LS_current!$B$4:$BW$137,LS_current!BH$147, FALSE))/2)</f>
        <v>1010.5552526089623</v>
      </c>
      <c r="CH18" s="102">
        <f t="array" ref="CH18">IF($BT18=0, INDEX(LS_current!$D$4:$BW$137, MATCH('Staging Table'!$A18, LS_current!$B$4:$B$137, 0), MATCH(CH$4&amp;CH$5, LS_current!$D$2:$BW$2&amp;LS_current!$D$3:$BW$3, 0)),SUM(VLOOKUP($A18, LS_current!$B$4:$BW$137, LS_current!M$147, FALSE), VLOOKUP($A18, LS_current!$B$4:$BW$137,LS_current!BI$147, FALSE))/2)</f>
        <v>543.02228716753484</v>
      </c>
      <c r="CI18" s="102">
        <f t="array" ref="CI18">IF($BT18=0, INDEX(LS_current!$D$4:$BW$137, MATCH('Staging Table'!$A18, LS_current!$B$4:$B$137, 0), MATCH(CI$4&amp;CI$5, LS_current!$D$2:$BW$2&amp;LS_current!$D$3:$BW$3, 0)),SUM(VLOOKUP($A18, LS_current!$B$4:$BW$137, LS_current!N$147, FALSE), VLOOKUP($A18, LS_current!$B$4:$BW$137,LS_current!BJ$147, FALSE))/2)</f>
        <v>490.41175411779977</v>
      </c>
      <c r="CJ18" s="102">
        <f t="array" ref="CJ18">IF($BT18=0, INDEX(LS_current!$D$4:$BW$137, MATCH('Staging Table'!$A18, LS_current!$B$4:$B$137, 0), MATCH(CJ$4&amp;CJ$5, LS_current!$D$2:$BW$2&amp;LS_current!$D$3:$BW$3, 0)),SUM(VLOOKUP($A18, LS_current!$B$4:$BW$137, LS_current!O$147, FALSE), VLOOKUP($A18, LS_current!$B$4:$BW$137,LS_current!BK$147, FALSE))/2)</f>
        <v>100.92996428783204</v>
      </c>
      <c r="CK18" s="102">
        <f t="array" ref="CK18">IF($BT18=0, INDEX(LS_current!$D$4:$BW$137, MATCH('Staging Table'!$A18, LS_current!$B$4:$B$137, 0), MATCH(CK$4&amp;CK$5, LS_current!$D$2:$BW$2&amp;LS_current!$D$3:$BW$3, 0)),SUM(VLOOKUP($A18, LS_current!$B$4:$BW$137, LS_current!P$147, FALSE), VLOOKUP($A18, LS_current!$B$4:$BW$137,LS_current!BL$147, FALSE))/2)</f>
        <v>67.718678629211126</v>
      </c>
      <c r="CL18" s="102">
        <f t="array" ref="CL18">IF($BT18=0, INDEX(LS_current!$D$4:$BW$137, MATCH('Staging Table'!$A18, LS_current!$B$4:$B$137, 0), MATCH(CL$4&amp;CL$5, LS_current!$D$2:$BW$2&amp;LS_current!$D$3:$BW$3, 0)),SUM(VLOOKUP($A18, LS_current!$B$4:$BW$137, LS_current!Q$147, FALSE), VLOOKUP($A18, LS_current!$B$4:$BW$137,LS_current!BM$147, FALSE))/2)</f>
        <v>-377.68031852684635</v>
      </c>
      <c r="CM18" s="102">
        <f t="array" ref="CM18">IF($BT18=0, INDEX(LS_current!$D$4:$BW$137, MATCH('Staging Table'!$A18, LS_current!$B$4:$B$137, 0), MATCH(CM$4&amp;CM$5, LS_current!$D$2:$BW$2&amp;LS_current!$D$3:$BW$3, 0)),SUM(VLOOKUP($A18, LS_current!$B$4:$BW$137, LS_current!R$147, FALSE), VLOOKUP($A18, LS_current!$B$4:$BW$137,LS_current!BN$147, FALSE))/2)</f>
        <v>-1427.8111313322588</v>
      </c>
      <c r="CN18" s="102">
        <f t="array" ref="CN18">IF($BT18=0, INDEX(LS_current!$D$4:$BW$137, MATCH('Staging Table'!$A18, LS_current!$B$4:$B$137, 0), MATCH(CN$4&amp;CN$5, LS_current!$D$2:$BW$2&amp;LS_current!$D$3:$BW$3, 0)),SUM(VLOOKUP($A18, LS_current!$B$4:$BW$137, LS_current!S$147, FALSE), VLOOKUP($A18, LS_current!$B$4:$BW$137,LS_current!BO$147, FALSE))/2)</f>
        <v>-1710.398582183946</v>
      </c>
      <c r="CO18" s="102">
        <f t="array" ref="CO18">IF($BT18=0, INDEX(LS_current!$D$4:$BW$137, MATCH('Staging Table'!$A18, LS_current!$B$4:$B$137, 0), MATCH(CO$4&amp;CO$5, LS_current!$D$2:$BW$2&amp;LS_current!$D$3:$BW$3, 0)),SUM(VLOOKUP($A18, LS_current!$B$4:$BW$137, LS_current!T$147, FALSE), VLOOKUP($A18, LS_current!$B$4:$BW$137,LS_current!BP$147, FALSE))/2)</f>
        <v>-1645.6588192824133</v>
      </c>
      <c r="CP18" s="102">
        <f t="array" ref="CP18">IF($BT18=0, INDEX(LS_current!$D$4:$BW$137, MATCH('Staging Table'!$A18, LS_current!$B$4:$B$137, 0), MATCH(CP$4&amp;CP$5, LS_current!$D$2:$BW$2&amp;LS_current!$D$3:$BW$3, 0)),SUM(VLOOKUP($A18, LS_current!$B$4:$BW$137, LS_current!U$147, FALSE), VLOOKUP($A18, LS_current!$B$4:$BW$137,LS_current!BQ$147, FALSE))/2)</f>
        <v>-1472.4797565895194</v>
      </c>
      <c r="CQ18" s="102">
        <f t="array" ref="CQ18">IF($BT18=0, INDEX(LS_current!$D$4:$BW$137, MATCH('Staging Table'!$A18, LS_current!$B$4:$B$137, 0), MATCH(CQ$4&amp;CQ$5, LS_current!$D$2:$BW$2&amp;LS_current!$D$3:$BW$3, 0)),SUM(VLOOKUP($A18, LS_current!$B$4:$BW$137, LS_current!V$147, FALSE), VLOOKUP($A18, LS_current!$B$4:$BW$137,LS_current!BR$147, FALSE))/2)</f>
        <v>-562.53060705121698</v>
      </c>
      <c r="CR18" s="102">
        <f t="array" ref="CR18">IF($BT18=0, INDEX(LS_current!$D$4:$BW$137, MATCH('Staging Table'!$A18, LS_current!$B$4:$B$137, 0), MATCH(CR$4&amp;CR$5, LS_current!$D$2:$BW$2&amp;LS_current!$D$3:$BW$3, 0)),SUM(VLOOKUP($A18, LS_current!$B$4:$BW$137, LS_current!W$147, FALSE), VLOOKUP($A18, LS_current!$B$4:$BW$137,LS_current!BS$147, FALSE))/2)</f>
        <v>-842.27019223276397</v>
      </c>
      <c r="CS18" s="102">
        <f t="array" ref="CS18">IF($BT18=0, INDEX(LS_current!$D$4:$BW$137, MATCH('Staging Table'!$A18, LS_current!$B$4:$B$137, 0), MATCH(CS$4&amp;CS$5, LS_current!$D$2:$BW$2&amp;LS_current!$D$3:$BW$3, 0)),SUM(VLOOKUP($A18, LS_current!$B$4:$BW$137, LS_current!X$147, FALSE), VLOOKUP($A18, LS_current!$B$4:$BW$137,LS_current!BT$147, FALSE))/2)</f>
        <v>191.93231548209633</v>
      </c>
      <c r="CT18" s="102">
        <f t="array" ref="CT18">IF($BT18=0, INDEX(LS_current!$D$4:$BW$137, MATCH('Staging Table'!$A18, LS_current!$B$4:$B$137, 0), MATCH(CT$4&amp;CT$5, LS_current!$D$2:$BW$2&amp;LS_current!$D$3:$BW$3, 0)),SUM(VLOOKUP($A18, LS_current!$B$4:$BW$137, LS_current!Y$147, FALSE), VLOOKUP($A18, LS_current!$B$4:$BW$137,LS_current!BU$147, FALSE))/2)</f>
        <v>-264.34565213738438</v>
      </c>
      <c r="CU18" s="102">
        <f t="array" ref="CU18">IF($BT18=0, INDEX(LS_current!$D$4:$BW$137, MATCH('Staging Table'!$A18, LS_current!$B$4:$B$137, 0), MATCH(CU$4&amp;CU$5, LS_current!$D$2:$BW$2&amp;LS_current!$D$3:$BW$3, 0)),SUM(VLOOKUP($A18, LS_current!$B$4:$BW$137, LS_current!Z$147, FALSE), VLOOKUP($A18, LS_current!$B$4:$BW$137,LS_current!BV$147, FALSE))/2)</f>
        <v>578.3730200101902</v>
      </c>
      <c r="CV18" s="102">
        <f t="array" ref="CV18">IF($BT18=0, INDEX(LS_current!$D$4:$BW$137, MATCH('Staging Table'!$A18, LS_current!$B$4:$B$137, 0), MATCH(CV$4&amp;CV$5, LS_current!$D$2:$BW$2&amp;LS_current!$D$3:$BW$3, 0)),SUM(VLOOKUP($A18, LS_current!$B$4:$BW$137, LS_current!AA$147, FALSE), VLOOKUP($A18, LS_current!$B$4:$BW$137,LS_current!BW$147, FALSE))/2)</f>
        <v>-27.085241110591596</v>
      </c>
      <c r="CW18" s="103">
        <f t="array" ref="CW18">INDEX(Demand_current!$D$4:$BW$137, MATCH($A18, Demand_current!$B$4:$B$137, 0), MATCH(CW$4&amp;CW$5,Demand_current!$D$2:$BW$2&amp;Demand_current!$D$3:$BW$3, 0))/1000</f>
        <v>0.43545370370370362</v>
      </c>
      <c r="CX18" s="103">
        <f t="array" ref="CX18">INDEX(Demand_current!$D$4:$BW$137, MATCH($A18, Demand_current!$B$4:$B$137, 0), MATCH(CX$4&amp;CX$5,Demand_current!$D$2:$BW$2&amp;Demand_current!$D$3:$BW$3, 0))/1000</f>
        <v>0.5750677083333342</v>
      </c>
      <c r="CY18" s="103">
        <f t="array" ref="CY18">INDEX(Demand_current!$D$4:$BW$137, MATCH($A18, Demand_current!$B$4:$B$137, 0), MATCH(CY$4&amp;CY$5,Demand_current!$D$2:$BW$2&amp;Demand_current!$D$3:$BW$3, 0))/1000</f>
        <v>3.0271105769230768</v>
      </c>
      <c r="CZ18" s="103">
        <f t="array" ref="CZ18">INDEX(Demand_current!$D$4:$BW$137, MATCH($A18, Demand_current!$B$4:$B$137, 0), MATCH(CZ$4&amp;CZ$5,Demand_current!$D$2:$BW$2&amp;Demand_current!$D$3:$BW$3, 0))/1000</f>
        <v>1.7647572115384613</v>
      </c>
      <c r="DA18" s="103">
        <f t="array" ref="DA18">INDEX(Demand_current!$D$4:$BW$137, MATCH($A18, Demand_current!$B$4:$B$137, 0), MATCH(DA$4&amp;DA$5,Demand_current!$D$2:$BW$2&amp;Demand_current!$D$3:$BW$3, 0))/1000</f>
        <v>2.5797005208333319</v>
      </c>
      <c r="DB18" s="103">
        <f t="array" ref="DB18">INDEX(Demand_current!$D$4:$BW$137, MATCH($A18, Demand_current!$B$4:$B$137, 0), MATCH(DB$4&amp;DB$5,Demand_current!$D$2:$BW$2&amp;Demand_current!$D$3:$BW$3, 0))/1000</f>
        <v>1.1839302884615381</v>
      </c>
      <c r="DC18" s="103">
        <f t="array" ref="DC18">INDEX(Demand_current!$D$4:$BW$137, MATCH($A18, Demand_current!$B$4:$B$137, 0), MATCH(DC$4&amp;DC$5,Demand_current!$D$2:$BW$2&amp;Demand_current!$D$3:$BW$3, 0))/1000</f>
        <v>1.2051129807692318</v>
      </c>
      <c r="DD18" s="103">
        <f t="array" ref="DD18">INDEX(Demand_current!$D$4:$BW$137, MATCH($A18, Demand_current!$B$4:$B$137, 0), MATCH(DD$4&amp;DD$5,Demand_current!$D$2:$BW$2&amp;Demand_current!$D$3:$BW$3, 0))/1000</f>
        <v>0</v>
      </c>
      <c r="DE18" s="103">
        <f t="array" ref="DE18">INDEX(Demand_current!$D$4:$BW$137, MATCH($A18, Demand_current!$B$4:$B$137, 0), MATCH(DE$4&amp;DE$5,Demand_current!$D$2:$BW$2&amp;Demand_current!$D$3:$BW$3, 0))/1000</f>
        <v>0.41356009615384548</v>
      </c>
      <c r="DF18" s="103">
        <f t="array" ref="DF18">INDEX(Demand_current!$D$4:$BW$137, MATCH($A18, Demand_current!$B$4:$B$137, 0), MATCH(DF$4&amp;DF$5,Demand_current!$D$2:$BW$2&amp;Demand_current!$D$3:$BW$3, 0))/1000</f>
        <v>0.7576105769230761</v>
      </c>
      <c r="DG18" s="103">
        <f t="array" ref="DG18">INDEX(Demand_current!$D$4:$BW$137, MATCH($A18, Demand_current!$B$4:$B$137, 0), MATCH(DG$4&amp;DG$5,Demand_current!$D$2:$BW$2&amp;Demand_current!$D$3:$BW$3, 0))/1000</f>
        <v>0.37536778846153918</v>
      </c>
      <c r="DH18" s="103">
        <f t="array" ref="DH18">INDEX(Demand_current!$D$4:$BW$137, MATCH($A18, Demand_current!$B$4:$B$137, 0), MATCH(DH$4&amp;DH$5,Demand_current!$D$2:$BW$2&amp;Demand_current!$D$3:$BW$3, 0))/1000</f>
        <v>0</v>
      </c>
      <c r="DI18" s="102">
        <f>$BS18*(VLOOKUP(DI$4, Rates_current!$H$6:$R$41, 10, FALSE)+VLOOKUP(DI$4, Rates_current!$H$6:$R$41, 11, FALSE))</f>
        <v>3123.0914255297489</v>
      </c>
      <c r="DJ18" s="102">
        <f>$BS18*(VLOOKUP(DJ$4, Rates_current!$H$6:$R$41, 10, FALSE)+VLOOKUP(DJ$4, Rates_current!$H$6:$R$41, 11, FALSE))</f>
        <v>3992.7696001049594</v>
      </c>
      <c r="DK18" s="102">
        <f>$BS18*(VLOOKUP(DK$4, Rates_current!$H$6:$R$41, 10, FALSE)+VLOOKUP(DK$4, Rates_current!$H$6:$R$41, 11, FALSE))</f>
        <v>4539.4450922340147</v>
      </c>
      <c r="DL18" s="102">
        <f>$BS18*(VLOOKUP(DL$4, Rates_current!$H$6:$R$41, 10, FALSE)+VLOOKUP(DL$4, Rates_current!$H$6:$R$41, 11, FALSE))</f>
        <v>4789.468916330824</v>
      </c>
      <c r="DM18" s="102">
        <f>$BS18*(VLOOKUP(DM$4, Rates_current!$H$6:$R$41, 10, FALSE)+VLOOKUP(DM$4, Rates_current!$H$6:$R$41, 11, FALSE))</f>
        <v>3816.7744602235034</v>
      </c>
      <c r="DN18" s="102">
        <f>$BS18*(VLOOKUP(DN$4, Rates_current!$H$6:$R$41, 10, FALSE)+VLOOKUP(DN$4, Rates_current!$H$6:$R$41, 11, FALSE))</f>
        <v>4172.5182815943681</v>
      </c>
      <c r="DO18" s="102">
        <f>$BS18*(VLOOKUP(DO$4, Rates_current!$H$6:$R$41, 10, FALSE)+VLOOKUP(DO$4, Rates_current!$H$6:$R$41, 11, FALSE))</f>
        <v>3233.7436398976351</v>
      </c>
      <c r="DP18" s="102">
        <f>$BS18*(VLOOKUP(DP$4, Rates_current!$H$6:$R$41, 10, FALSE)+VLOOKUP(DP$4, Rates_current!$H$6:$R$41, 11, FALSE))</f>
        <v>4184.9967135162042</v>
      </c>
      <c r="DQ18" s="102">
        <f>$BS18*(VLOOKUP(DQ$4, Rates_current!$H$6:$R$41, 10, FALSE)+VLOOKUP(DQ$4, Rates_current!$H$6:$R$41, 11, FALSE))</f>
        <v>4274.3585758719328</v>
      </c>
      <c r="DR18" s="102">
        <f>$BS18*(VLOOKUP(DR$4, Rates_current!$H$6:$R$41, 10, FALSE)+VLOOKUP(DR$4, Rates_current!$H$6:$R$41, 11, FALSE))</f>
        <v>3804.5487992839808</v>
      </c>
      <c r="DS18" s="102">
        <f>$BS18*(VLOOKUP(DS$4, Rates_current!$H$6:$R$41, 10, FALSE)+VLOOKUP(DS$4, Rates_current!$H$6:$R$41, 11, FALSE))</f>
        <v>3902.7693366552876</v>
      </c>
      <c r="DT18" s="102">
        <f>$BS18*(VLOOKUP(DT$4, Rates_current!$H$6:$R$41, 10, FALSE)+VLOOKUP(DT$4, Rates_current!$H$6:$R$41, 11, FALSE))</f>
        <v>3030.9682211004015</v>
      </c>
      <c r="DU18" s="261">
        <f>IF(D18=0,IF(C18=0,MAX(0,DW18 - (VLOOKUP($A18,TOCA_current!$A$2:$AV$136,MATCH("RHWM "&amp;Init!$D$1,TOCA_current!$A$2:$AV$2,0),FALSE)*$BS$2)), 0),0)</f>
        <v>0</v>
      </c>
      <c r="DV18" s="262">
        <f>MIN(VLOOKUP($A18,TOCA_current!$A$2:$AV$136,MATCH("TRL - NLSL - Existing Resource "&amp;$BS$1,TOCA_current!$A$2:$AV$2,0),FALSE)*$BS$2, VLOOKUP($A18,TOCA_current!$A$2:$AV$136,MATCH("RHWM "&amp;Init!$D$1,TOCA_current!$A$2:$AV$2,0),FALSE)*$BS$2)</f>
        <v>46866</v>
      </c>
      <c r="DW18" s="262">
        <f>SUM(BY18:CV18)+(BS18*RT1SC!$C$4*$BS$2)</f>
        <v>46862.443766457145</v>
      </c>
      <c r="DX18" s="262">
        <f>VLOOKUP($A18,TOCA_current!$A$2:$AV$136,MATCH("Above RHWM Not Served with LS "&amp;$BS$1,TOCA_current!$A$2:$AV$2,0),FALSE)*$BS$2</f>
        <v>16906.8</v>
      </c>
      <c r="DY18" s="262">
        <f t="shared" si="28"/>
        <v>-3.5562335428548977</v>
      </c>
      <c r="DZ18" s="262">
        <f>(VLOOKUP($A18,TOCA_current!$A$2:$AV$136,MATCH("RHWM "&amp;Init!$D$1,TOCA_current!$A$2:$AV$2,0),FALSE)*$BS$2) - $DV18</f>
        <v>0</v>
      </c>
      <c r="EA18" s="262">
        <f t="shared" si="29"/>
        <v>0</v>
      </c>
      <c r="EB18" s="262">
        <f t="shared" si="30"/>
        <v>0</v>
      </c>
      <c r="EC18" s="262">
        <f t="shared" si="31"/>
        <v>0</v>
      </c>
      <c r="ED18" s="262">
        <f t="shared" si="32"/>
        <v>0</v>
      </c>
    </row>
    <row r="19" spans="1:134">
      <c r="A19" s="2">
        <v>10064</v>
      </c>
      <c r="B19" s="3" t="s">
        <v>21</v>
      </c>
      <c r="C19">
        <f>VLOOKUP(A19, TOCA_current!$A$3:$D$136, 4, FALSE)</f>
        <v>0</v>
      </c>
      <c r="D19">
        <v>0</v>
      </c>
      <c r="E19" s="84">
        <f>VLOOKUP($A19,TOCA_previous!$A$2:$AJ$136,MATCH(E$4,TOCA_previous!$A$2:$AJ$2,0),FALSE)</f>
        <v>2.0360999999999999E-3</v>
      </c>
      <c r="F19" s="85">
        <f>VLOOKUP($A19,TOCA_previous!$A$2:$AJ$136,MATCH(F$4,TOCA_previous!$A$2:$AJ$2,0),FALSE)</f>
        <v>2.0360999999999999E-3</v>
      </c>
      <c r="G19" s="85">
        <f t="shared" si="18"/>
        <v>0</v>
      </c>
      <c r="H19" s="85">
        <f>VLOOKUP($A19,TOCA_previous!$A$2:$AJ$136,MATCH(H$4,TOCA_previous!$A$2:$AJ$2,0),FALSE)</f>
        <v>0</v>
      </c>
      <c r="I19" s="85">
        <f t="shared" si="19"/>
        <v>0</v>
      </c>
      <c r="J19" s="85">
        <f t="shared" si="20"/>
        <v>0</v>
      </c>
      <c r="K19" s="101">
        <f>VLOOKUP(A19, IRD!$A$5:$C$138, 3, FALSE)</f>
        <v>0</v>
      </c>
      <c r="L19" s="102">
        <f t="array" ref="L19">IF($G19=0, INDEX(LS_previous!$D$4:$AY$137, MATCH('Staging Table'!$A19, LS_previous!$B$4:$B$137, 0), MATCH(L$4&amp;L$5, LS_previous!$D$2:$AY$2&amp;LS_previous!$D$3:$AY$3, 0)),SUM(VLOOKUP($A19, LS_previous!$B$4:$AY$137, LS_previous!D$148, FALSE), VLOOKUP('Staging Table'!$A19, LS_previous!$B$4:$AY$137,LS_previous!AB$148, FALSE))/2)</f>
        <v>2246.926698300399</v>
      </c>
      <c r="M19" s="102">
        <f t="array" ref="M19">IF($G19=0, INDEX(LS_previous!$D$4:$AY$137, MATCH('Staging Table'!$A19, LS_previous!$B$4:$B$137, 0), MATCH(M$4&amp;M$5, LS_previous!$D$2:$AY$2&amp;LS_previous!$D$3:$AY$3, 0)),SUM(VLOOKUP($A19, LS_previous!$B$4:$AY$137, LS_previous!E$148, FALSE), VLOOKUP('Staging Table'!$A19, LS_previous!$B$4:$AY$137,LS_previous!AC$148, FALSE))/2)</f>
        <v>611.11996290945035</v>
      </c>
      <c r="N19" s="102">
        <f t="array" ref="N19">IF($G19=0, INDEX(LS_previous!$D$4:$AY$137, MATCH('Staging Table'!$A19, LS_previous!$B$4:$B$137, 0), MATCH(N$4&amp;N$5, LS_previous!$D$2:$AY$2&amp;LS_previous!$D$3:$AY$3, 0)),SUM(VLOOKUP($A19, LS_previous!$B$4:$AY$137, LS_previous!F$148, FALSE), VLOOKUP('Staging Table'!$A19, LS_previous!$B$4:$AY$137,LS_previous!AD$148, FALSE))/2)</f>
        <v>305.46335145919966</v>
      </c>
      <c r="O19" s="102">
        <f t="array" ref="O19">IF($G19=0, INDEX(LS_previous!$D$4:$AY$137, MATCH('Staging Table'!$A19, LS_previous!$B$4:$B$137, 0), MATCH(O$4&amp;O$5, LS_previous!$D$2:$AY$2&amp;LS_previous!$D$3:$AY$3, 0)),SUM(VLOOKUP($A19, LS_previous!$B$4:$AY$137, LS_previous!G$148, FALSE), VLOOKUP('Staging Table'!$A19, LS_previous!$B$4:$AY$137,LS_previous!AE$148, FALSE))/2)</f>
        <v>503.27451942090011</v>
      </c>
      <c r="P19" s="102">
        <f t="array" ref="P19">IF($G19=0, INDEX(LS_previous!$D$4:$AY$137, MATCH('Staging Table'!$A19, LS_previous!$B$4:$B$137, 0), MATCH(P$4&amp;P$5, LS_previous!$D$2:$AY$2&amp;LS_previous!$D$3:$AY$3, 0)),SUM(VLOOKUP($A19, LS_previous!$B$4:$AY$137, LS_previous!H$148, FALSE), VLOOKUP('Staging Table'!$A19, LS_previous!$B$4:$AY$137,LS_previous!AF$148, FALSE))/2)</f>
        <v>1922.9389868221006</v>
      </c>
      <c r="Q19" s="102">
        <f t="array" ref="Q19">IF($G19=0, INDEX(LS_previous!$D$4:$AY$137, MATCH('Staging Table'!$A19, LS_previous!$B$4:$B$137, 0), MATCH(Q$4&amp;Q$5, LS_previous!$D$2:$AY$2&amp;LS_previous!$D$3:$AY$3, 0)),SUM(VLOOKUP($A19, LS_previous!$B$4:$AY$137, LS_previous!I$148, FALSE), VLOOKUP('Staging Table'!$A19, LS_previous!$B$4:$AY$137,LS_previous!AG$148, FALSE))/2)</f>
        <v>1090.4312355743996</v>
      </c>
      <c r="R19" s="102">
        <f t="array" ref="R19">IF($G19=0, INDEX(LS_previous!$D$4:$AY$137, MATCH('Staging Table'!$A19, LS_previous!$B$4:$B$137, 0), MATCH(R$4&amp;R$5, LS_previous!$D$2:$AY$2&amp;LS_previous!$D$3:$AY$3, 0)),SUM(VLOOKUP($A19, LS_previous!$B$4:$AY$137, LS_previous!J$148, FALSE), VLOOKUP('Staging Table'!$A19, LS_previous!$B$4:$AY$137,LS_previous!AH$148, FALSE))/2)</f>
        <v>1340.6660990885002</v>
      </c>
      <c r="S19" s="102">
        <f t="array" ref="S19">IF($G19=0, INDEX(LS_previous!$D$4:$AY$137, MATCH('Staging Table'!$A19, LS_previous!$B$4:$B$137, 0), MATCH(S$4&amp;S$5, LS_previous!$D$2:$AY$2&amp;LS_previous!$D$3:$AY$3, 0)),SUM(VLOOKUP($A19, LS_previous!$B$4:$AY$137, LS_previous!K$148, FALSE), VLOOKUP('Staging Table'!$A19, LS_previous!$B$4:$AY$137,LS_previous!AI$148, FALSE))/2)</f>
        <v>1167.7101591531</v>
      </c>
      <c r="T19" s="102">
        <f t="array" ref="T19">IF($G19=0, INDEX(LS_previous!$D$4:$AY$137, MATCH('Staging Table'!$A19, LS_previous!$B$4:$B$137, 0), MATCH(T$4&amp;T$5, LS_previous!$D$2:$AY$2&amp;LS_previous!$D$3:$AY$3, 0)),SUM(VLOOKUP($A19, LS_previous!$B$4:$AY$137, LS_previous!L$148, FALSE), VLOOKUP('Staging Table'!$A19, LS_previous!$B$4:$AY$137,LS_previous!AJ$148, FALSE))/2)</f>
        <v>1123.0543907681003</v>
      </c>
      <c r="U19" s="102">
        <f t="array" ref="U19">IF($G19=0, INDEX(LS_previous!$D$4:$AY$137, MATCH('Staging Table'!$A19, LS_previous!$B$4:$B$137, 0), MATCH(U$4&amp;U$5, LS_previous!$D$2:$AY$2&amp;LS_previous!$D$3:$AY$3, 0)),SUM(VLOOKUP($A19, LS_previous!$B$4:$AY$137, LS_previous!M$148, FALSE), VLOOKUP('Staging Table'!$A19, LS_previous!$B$4:$AY$137,LS_previous!AK$148, FALSE))/2)</f>
        <v>931.20462128009967</v>
      </c>
      <c r="V19" s="102">
        <f t="array" ref="V19">IF($G19=0, INDEX(LS_previous!$D$4:$AY$137, MATCH('Staging Table'!$A19, LS_previous!$B$4:$B$137, 0), MATCH(V$4&amp;V$5, LS_previous!$D$2:$AY$2&amp;LS_previous!$D$3:$AY$3, 0)),SUM(VLOOKUP($A19, LS_previous!$B$4:$AY$137, LS_previous!N$148, FALSE), VLOOKUP('Staging Table'!$A19, LS_previous!$B$4:$AY$137,LS_previous!AL$148, FALSE))/2)</f>
        <v>747.72769402070026</v>
      </c>
      <c r="W19" s="102">
        <f t="array" ref="W19">IF($G19=0, INDEX(LS_previous!$D$4:$AY$137, MATCH('Staging Table'!$A19, LS_previous!$B$4:$B$137, 0), MATCH(W$4&amp;W$5, LS_previous!$D$2:$AY$2&amp;LS_previous!$D$3:$AY$3, 0)),SUM(VLOOKUP($A19, LS_previous!$B$4:$AY$137, LS_previous!O$148, FALSE), VLOOKUP('Staging Table'!$A19, LS_previous!$B$4:$AY$137,LS_previous!AM$148, FALSE))/2)</f>
        <v>314.5246178141997</v>
      </c>
      <c r="X19" s="102">
        <f t="array" ref="X19">IF($G19=0, INDEX(LS_previous!$D$4:$AY$137, MATCH('Staging Table'!$A19, LS_previous!$B$4:$B$137, 0), MATCH(X$4&amp;X$5, LS_previous!$D$2:$AY$2&amp;LS_previous!$D$3:$AY$3, 0)),SUM(VLOOKUP($A19, LS_previous!$B$4:$AY$137, LS_previous!P$148, FALSE), VLOOKUP('Staging Table'!$A19, LS_previous!$B$4:$AY$137,LS_previous!AN$148, FALSE))/2)</f>
        <v>1737.7955242322505</v>
      </c>
      <c r="Y19" s="102">
        <f t="array" ref="Y19">IF($G19=0, INDEX(LS_previous!$D$4:$AY$137, MATCH('Staging Table'!$A19, LS_previous!$B$4:$B$137, 0), MATCH(Y$4&amp;Y$5, LS_previous!$D$2:$AY$2&amp;LS_previous!$D$3:$AY$3, 0)),SUM(VLOOKUP($A19, LS_previous!$B$4:$AY$137, LS_previous!Q$148, FALSE), VLOOKUP('Staging Table'!$A19, LS_previous!$B$4:$AY$137,LS_previous!AO$148, FALSE))/2)</f>
        <v>486.08837053082561</v>
      </c>
      <c r="Z19" s="102">
        <f t="array" ref="Z19">IF($G19=0, INDEX(LS_previous!$D$4:$AY$137, MATCH('Staging Table'!$A19, LS_previous!$B$4:$B$137, 0), MATCH(Z$4&amp;Z$5, LS_previous!$D$2:$AY$2&amp;LS_previous!$D$3:$AY$3, 0)),SUM(VLOOKUP($A19, LS_previous!$B$4:$AY$137, LS_previous!R$148, FALSE), VLOOKUP('Staging Table'!$A19, LS_previous!$B$4:$AY$137,LS_previous!AP$148, FALSE))/2)</f>
        <v>-239.06428421280089</v>
      </c>
      <c r="AA19" s="102">
        <f t="array" ref="AA19">IF($G19=0, INDEX(LS_previous!$D$4:$AY$137, MATCH('Staging Table'!$A19, LS_previous!$B$4:$B$137, 0), MATCH(AA$4&amp;AA$5, LS_previous!$D$2:$AY$2&amp;LS_previous!$D$3:$AY$3, 0)),SUM(VLOOKUP($A19, LS_previous!$B$4:$AY$137, LS_previous!S$148, FALSE), VLOOKUP('Staging Table'!$A19, LS_previous!$B$4:$AY$137,LS_previous!AQ$148, FALSE))/2)</f>
        <v>-222.75451362184958</v>
      </c>
      <c r="AB19" s="102">
        <f t="array" ref="AB19">IF($G19=0, INDEX(LS_previous!$D$4:$AY$137, MATCH('Staging Table'!$A19, LS_previous!$B$4:$B$137, 0), MATCH(AB$4&amp;AB$5, LS_previous!$D$2:$AY$2&amp;LS_previous!$D$3:$AY$3, 0)),SUM(VLOOKUP($A19, LS_previous!$B$4:$AY$137, LS_previous!T$148, FALSE), VLOOKUP('Staging Table'!$A19, LS_previous!$B$4:$AY$137,LS_previous!AR$148, FALSE))/2)</f>
        <v>99.091861871400397</v>
      </c>
      <c r="AC19" s="102">
        <f t="array" ref="AC19">IF($G19=0, INDEX(LS_previous!$D$4:$AY$137, MATCH('Staging Table'!$A19, LS_previous!$B$4:$B$137, 0), MATCH(AC$4&amp;AC$5, LS_previous!$D$2:$AY$2&amp;LS_previous!$D$3:$AY$3, 0)),SUM(VLOOKUP($A19, LS_previous!$B$4:$AY$137, LS_previous!U$148, FALSE), VLOOKUP('Staging Table'!$A19, LS_previous!$B$4:$AY$137,LS_previous!AS$148, FALSE))/2)</f>
        <v>-648.3149384674507</v>
      </c>
      <c r="AD19" s="102">
        <f t="array" ref="AD19">IF($G19=0, INDEX(LS_previous!$D$4:$AY$137, MATCH('Staging Table'!$A19, LS_previous!$B$4:$B$137, 0), MATCH(AD$4&amp;AD$5, LS_previous!$D$2:$AY$2&amp;LS_previous!$D$3:$AY$3, 0)),SUM(VLOOKUP($A19, LS_previous!$B$4:$AY$137, LS_previous!V$148, FALSE), VLOOKUP('Staging Table'!$A19, LS_previous!$B$4:$AY$137,LS_previous!AT$148, FALSE))/2)</f>
        <v>1844.4846253195992</v>
      </c>
      <c r="AE19" s="102">
        <f t="array" ref="AE19">IF($G19=0, INDEX(LS_previous!$D$4:$AY$137, MATCH('Staging Table'!$A19, LS_previous!$B$4:$B$137, 0), MATCH(AE$4&amp;AE$5, LS_previous!$D$2:$AY$2&amp;LS_previous!$D$3:$AY$3, 0)),SUM(VLOOKUP($A19, LS_previous!$B$4:$AY$137, LS_previous!W$148, FALSE), VLOOKUP('Staging Table'!$A19, LS_previous!$B$4:$AY$137,LS_previous!AU$148, FALSE))/2)</f>
        <v>619.51325814724987</v>
      </c>
      <c r="AF19" s="102">
        <f t="array" ref="AF19">IF($G19=0, INDEX(LS_previous!$D$4:$AY$137, MATCH('Staging Table'!$A19, LS_previous!$B$4:$B$137, 0), MATCH(AF$4&amp;AF$5, LS_previous!$D$2:$AY$2&amp;LS_previous!$D$3:$AY$3, 0)),SUM(VLOOKUP($A19, LS_previous!$B$4:$AY$137, LS_previous!X$148, FALSE), VLOOKUP('Staging Table'!$A19, LS_previous!$B$4:$AY$137,LS_previous!AV$148, FALSE))/2)</f>
        <v>1807.0883818088487</v>
      </c>
      <c r="AG19" s="102">
        <f t="array" ref="AG19">IF($G19=0, INDEX(LS_previous!$D$4:$AY$137, MATCH('Staging Table'!$A19, LS_previous!$B$4:$B$137, 0), MATCH(AG$4&amp;AG$5, LS_previous!$D$2:$AY$2&amp;LS_previous!$D$3:$AY$3, 0)),SUM(VLOOKUP($A19, LS_previous!$B$4:$AY$137, LS_previous!Y$148, FALSE), VLOOKUP('Staging Table'!$A19, LS_previous!$B$4:$AY$137,LS_previous!AW$148, FALSE))/2)</f>
        <v>775.6922956174144</v>
      </c>
      <c r="AH19" s="102">
        <f t="array" ref="AH19">IF($G19=0, INDEX(LS_previous!$D$4:$AY$137, MATCH('Staging Table'!$A19, LS_previous!$B$4:$B$137, 0), MATCH(AH$4&amp;AH$5, LS_previous!$D$2:$AY$2&amp;LS_previous!$D$3:$AY$3, 0)),SUM(VLOOKUP($A19, LS_previous!$B$4:$AY$137, LS_previous!Z$148, FALSE), VLOOKUP('Staging Table'!$A19, LS_previous!$B$4:$AY$137,LS_previous!AX$148, FALSE))/2)</f>
        <v>1401.1731803085995</v>
      </c>
      <c r="AI19" s="102">
        <f t="array" ref="AI19">IF($G19=0, INDEX(LS_previous!$D$4:$AY$137, MATCH('Staging Table'!$A19, LS_previous!$B$4:$B$137, 0), MATCH(AI$4&amp;AI$5, LS_previous!$D$2:$AY$2&amp;LS_previous!$D$3:$AY$3, 0)),SUM(VLOOKUP($A19, LS_previous!$B$4:$AY$137, LS_previous!AA$148, FALSE), VLOOKUP('Staging Table'!$A19, LS_previous!$B$4:$AY$137,LS_previous!AY$148, FALSE))/2)</f>
        <v>100.95516734559942</v>
      </c>
      <c r="AJ19" s="103">
        <f t="array" ref="AJ19">INDEX(Demand_previous!$D$4:$AY$137, MATCH('Staging Table'!$A19, Demand_previous!$B$4:$B$137, 0), MATCH(AJ$4&amp;AJ$5,Demand_previous!$D$2:$AY$2&amp;Demand_previous!$D$3:$AY$3, 0))/1000</f>
        <v>2.1868701923076941</v>
      </c>
      <c r="AK19" s="103">
        <f t="array" ref="AK19">INDEX(Demand_previous!$D$4:$AY$137, MATCH('Staging Table'!$A19, Demand_previous!$B$4:$B$137, 0), MATCH(AK$4&amp;AK$5,Demand_previous!$D$2:$AY$2&amp;Demand_previous!$D$3:$AY$3, 0))/1000</f>
        <v>1.3252850000000014</v>
      </c>
      <c r="AL19" s="103">
        <f t="array" ref="AL19">INDEX(Demand_previous!$D$4:$AY$137, MATCH('Staging Table'!$A19, Demand_previous!$B$4:$B$137, 0), MATCH(AL$4&amp;AL$5,Demand_previous!$D$2:$AY$2&amp;Demand_previous!$D$3:$AY$3, 0))/1000</f>
        <v>1.4484999999999988</v>
      </c>
      <c r="AM19" s="103">
        <f t="array" ref="AM19">INDEX(Demand_previous!$D$4:$AY$137, MATCH('Staging Table'!$A19, Demand_previous!$B$4:$B$137, 0), MATCH(AM$4&amp;AM$5,Demand_previous!$D$2:$AY$2&amp;Demand_previous!$D$3:$AY$3, 0))/1000</f>
        <v>2.9760096153846165</v>
      </c>
      <c r="AN19" s="103">
        <f t="array" ref="AN19">INDEX(Demand_previous!$D$4:$AY$137, MATCH('Staging Table'!$A19, Demand_previous!$B$4:$B$137, 0), MATCH(AN$4&amp;AN$5,Demand_previous!$D$2:$AY$2&amp;Demand_previous!$D$3:$AY$3, 0))/1000</f>
        <v>2.342560000000002</v>
      </c>
      <c r="AO19" s="103">
        <f t="array" ref="AO19">INDEX(Demand_previous!$D$4:$AY$137, MATCH('Staging Table'!$A19, Demand_previous!$B$4:$B$137, 0), MATCH(AO$4&amp;AO$5,Demand_previous!$D$2:$AY$2&amp;Demand_previous!$D$3:$AY$3, 0))/1000</f>
        <v>2.3590480769230786</v>
      </c>
      <c r="AP19" s="103">
        <f t="array" ref="AP19">INDEX(Demand_previous!$D$4:$AY$137, MATCH('Staging Table'!$A19, Demand_previous!$B$4:$B$137, 0), MATCH(AP$4&amp;AP$5,Demand_previous!$D$2:$AY$2&amp;Demand_previous!$D$3:$AY$3, 0))/1000</f>
        <v>1.542860576923077</v>
      </c>
      <c r="AQ19" s="103">
        <f t="array" ref="AQ19">INDEX(Demand_previous!$D$4:$AY$137, MATCH('Staging Table'!$A19, Demand_previous!$B$4:$B$137, 0), MATCH(AQ$4&amp;AQ$5,Demand_previous!$D$2:$AY$2&amp;Demand_previous!$D$3:$AY$3, 0))/1000</f>
        <v>1.0264134615384624</v>
      </c>
      <c r="AR19" s="103">
        <f t="array" ref="AR19">INDEX(Demand_previous!$D$4:$AY$137, MATCH('Staging Table'!$A19, Demand_previous!$B$4:$B$137, 0), MATCH(AR$4&amp;AR$5,Demand_previous!$D$2:$AY$2&amp;Demand_previous!$D$3:$AY$3, 0))/1000</f>
        <v>2.6329400000000018</v>
      </c>
      <c r="AS19" s="103">
        <f t="array" ref="AS19">INDEX(Demand_previous!$D$4:$AY$137, MATCH('Staging Table'!$A19, Demand_previous!$B$4:$B$137, 0), MATCH(AS$4&amp;AS$5,Demand_previous!$D$2:$AY$2&amp;Demand_previous!$D$3:$AY$3, 0))/1000</f>
        <v>3.5316442307692339</v>
      </c>
      <c r="AT19" s="103">
        <f t="array" ref="AT19">INDEX(Demand_previous!$D$4:$AY$137, MATCH('Staging Table'!$A19, Demand_previous!$B$4:$B$137, 0), MATCH(AT$4&amp;AT$5,Demand_previous!$D$2:$AY$2&amp;Demand_previous!$D$3:$AY$3, 0))/1000</f>
        <v>3.6011365740740713</v>
      </c>
      <c r="AU19" s="103">
        <f t="array" ref="AU19">INDEX(Demand_previous!$D$4:$AY$137, MATCH('Staging Table'!$A19, Demand_previous!$B$4:$B$137, 0), MATCH(AU$4&amp;AU$5,Demand_previous!$D$2:$AY$2&amp;Demand_previous!$D$3:$AY$3, 0))/1000</f>
        <v>0.47780989583333167</v>
      </c>
      <c r="AV19" s="102">
        <f>$F19*(VLOOKUP(AV$4, Rates_previous!$G$6:$Q$29, 10, FALSE)+VLOOKUP(AV$4, Rates_previous!$G$6:$Q$29, 11, FALSE))</f>
        <v>8589.9063387901497</v>
      </c>
      <c r="AW19" s="102">
        <f>$F19*(VLOOKUP(AW$4, Rates_previous!$G$6:$Q$29, 10, FALSE)+VLOOKUP(AW$4, Rates_previous!$G$6:$Q$29, 11, FALSE))</f>
        <v>10954.9631291199</v>
      </c>
      <c r="AX19" s="102">
        <f>$F19*(VLOOKUP(AX$4, Rates_previous!$G$6:$Q$29, 10, FALSE)+VLOOKUP(AX$4, Rates_previous!$G$6:$Q$29, 11, FALSE))</f>
        <v>11822.5727776035</v>
      </c>
      <c r="AY19" s="102">
        <f>$F19*(VLOOKUP(AY$4, Rates_previous!$G$6:$Q$29, 10, FALSE)+VLOOKUP(AY$4, Rates_previous!$G$6:$Q$29, 11, FALSE))</f>
        <v>12285.4807417584</v>
      </c>
      <c r="AZ19" s="102">
        <f>$F19*(VLOOKUP(AZ$4, Rates_previous!$G$6:$Q$29, 10, FALSE)+VLOOKUP(AZ$4, Rates_previous!$G$6:$Q$29, 11, FALSE))</f>
        <v>10567.150987951798</v>
      </c>
      <c r="BA19" s="102">
        <f>$F19*(VLOOKUP(BA$4, Rates_previous!$G$6:$Q$29, 10, FALSE)+VLOOKUP(BA$4, Rates_previous!$G$6:$Q$29, 11, FALSE))</f>
        <v>11537.2366881651</v>
      </c>
      <c r="BB19" s="102">
        <f>$F19*(VLOOKUP(BB$4, Rates_previous!$G$6:$Q$29, 10, FALSE)+VLOOKUP(BB$4, Rates_previous!$G$6:$Q$29, 11, FALSE))</f>
        <v>9106.7041052369241</v>
      </c>
      <c r="BC19" s="102">
        <f>$F19*(VLOOKUP(BC$4, Rates_previous!$G$6:$Q$29, 10, FALSE)+VLOOKUP(BC$4, Rates_previous!$G$6:$Q$29, 11, FALSE))</f>
        <v>11298.08679783465</v>
      </c>
      <c r="BD19" s="102">
        <f>$F19*(VLOOKUP(BD$4, Rates_previous!$G$6:$Q$29, 10, FALSE)+VLOOKUP(BD$4, Rates_previous!$G$6:$Q$29, 11, FALSE))</f>
        <v>11543.227076596049</v>
      </c>
      <c r="BE19" s="102">
        <f>$F19*(VLOOKUP(BE$4, Rates_previous!$G$6:$Q$29, 10, FALSE)+VLOOKUP(BE$4, Rates_previous!$G$6:$Q$29, 11, FALSE))</f>
        <v>10021.18411653315</v>
      </c>
      <c r="BF19" s="102">
        <f>$F19*(VLOOKUP(BF$4, Rates_previous!$G$6:$Q$29, 10, FALSE)+VLOOKUP(BF$4, Rates_previous!$G$6:$Q$29, 11, FALSE))</f>
        <v>9687.8213225737363</v>
      </c>
      <c r="BG19" s="102">
        <f>$F19*(VLOOKUP(BG$4, Rates_previous!$G$6:$Q$29, 10, FALSE)+VLOOKUP(BG$4, Rates_previous!$G$6:$Q$29, 11, FALSE))</f>
        <v>8914.6716523457999</v>
      </c>
      <c r="BH19" s="103">
        <f>IF($D19=0,IF(C19=0, MAX(BJ19 - (VLOOKUP($A19,TOCA_previous!$A$2:$AJ$136,MATCH("RHWM "&amp;Init!$D$1-2,TOCA_previous!$A$2:$AJ$2,0),FALSE)*$F$2*TOCA_previous!C16),0),0), 0)</f>
        <v>22857.621579066821</v>
      </c>
      <c r="BI19" s="109">
        <f>MIN(VLOOKUP($A19,TOCA_previous!$A$2:$AJ$136,MATCH("TRL - NLSL - Existing Resource "&amp;$F$1,TOCA_previous!$A$2:$AJ$2,0),FALSE)*$F$2,(VLOOKUP($A19,TOCA_previous!$A$2:$AJ$136,MATCH("RHWM "&amp;Init!$D$1-2,TOCA_previous!$A$2:$AJ$2,0),FALSE)*$F$2))</f>
        <v>123538.17600000001</v>
      </c>
      <c r="BJ19" s="261">
        <f>SUM(L19:AI19)+(F19*RT1SC!$C$3*$F$2)</f>
        <v>146395.79757906683</v>
      </c>
      <c r="BK19" s="260">
        <f>VLOOKUP($A19,TOCA_previous!$A$2:$AJ$136,MATCH("Above RHWM Not Served with LS "&amp;$F$1,TOCA_previous!$A$2:$AJ$2,0),FALSE)*$F$2</f>
        <v>22223.520000000011</v>
      </c>
      <c r="BL19" s="261">
        <f t="shared" si="21"/>
        <v>22857.621579066821</v>
      </c>
      <c r="BM19" s="260">
        <f>(VLOOKUP($A19,TOCA_previous!$A$2:$AJ$136,MATCH("RHWM "&amp;Init!$D$1-2,TOCA_previous!$A$2:$AJ$2,0),FALSE)*$F$2) - $BI19</f>
        <v>0</v>
      </c>
      <c r="BN19" s="261">
        <f t="shared" si="22"/>
        <v>0</v>
      </c>
      <c r="BO19" s="260">
        <f t="shared" si="23"/>
        <v>0</v>
      </c>
      <c r="BP19" s="261">
        <f t="shared" si="24"/>
        <v>0</v>
      </c>
      <c r="BQ19" s="260">
        <f t="shared" si="9"/>
        <v>0</v>
      </c>
      <c r="BR19" s="85">
        <f>VLOOKUP($A19,TOCA_current!$A$2:$ZZ$136,MATCH(BR$4,TOCA_current!$A$2:$ZZ$2,0),FALSE)</f>
        <v>1.9895999999999998E-3</v>
      </c>
      <c r="BS19" s="85">
        <f>VLOOKUP($A19,TOCA_current!$A$2:$ZZ$136,MATCH(BS$4,TOCA_current!$A$2:$ZZ$2,0),FALSE)</f>
        <v>1.9895999999999998E-3</v>
      </c>
      <c r="BT19" s="108">
        <f t="shared" si="25"/>
        <v>0</v>
      </c>
      <c r="BU19" s="85">
        <f>VLOOKUP($A19,TOCA_current!A16:BG150,MATCH(BU$4,TOCA_current!$A$2:$BG$2,0),FALSE)</f>
        <v>0</v>
      </c>
      <c r="BV19" s="85">
        <f t="shared" si="26"/>
        <v>0</v>
      </c>
      <c r="BW19" s="85">
        <f t="shared" si="27"/>
        <v>0</v>
      </c>
      <c r="BX19" s="101">
        <f>VLOOKUP($A19,IRD!$A$4:$G$138, 7, FALSE)</f>
        <v>0</v>
      </c>
      <c r="BY19" s="102">
        <f t="array" ref="BY19">IF($BT19=0, INDEX(LS_current!$D$4:$BW$137, MATCH('Staging Table'!$A19, LS_current!$B$4:$B$137, 0), MATCH(BY$4&amp;BY$5, LS_current!$D$2:$BW$2&amp;LS_current!$D$3:$BW$3, 0)),SUM(VLOOKUP($A19, LS_current!$B$4:$BW$137, LS_current!D$147, FALSE), VLOOKUP($A19, LS_current!$B$4:$BW$137,LS_current!AZ$147, FALSE))/2)</f>
        <v>1146.3193788262006</v>
      </c>
      <c r="BZ19" s="102">
        <f t="array" ref="BZ19">IF($BT19=0, INDEX(LS_current!$D$4:$BW$137, MATCH('Staging Table'!$A19, LS_current!$B$4:$B$137, 0), MATCH(BZ$4&amp;BZ$5, LS_current!$D$2:$BW$2&amp;LS_current!$D$3:$BW$3, 0)),SUM(VLOOKUP($A19, LS_current!$B$4:$BW$137, LS_current!E$147, FALSE), VLOOKUP($A19, LS_current!$B$4:$BW$137,LS_current!BA$147, FALSE))/2)</f>
        <v>129.165394949232</v>
      </c>
      <c r="CA19" s="102">
        <f t="array" ref="CA19">IF($BT19=0, INDEX(LS_current!$D$4:$BW$137, MATCH('Staging Table'!$A19, LS_current!$B$4:$B$137, 0), MATCH(CA$4&amp;CA$5, LS_current!$D$2:$BW$2&amp;LS_current!$D$3:$BW$3, 0)),SUM(VLOOKUP($A19, LS_current!$B$4:$BW$137, LS_current!F$147, FALSE), VLOOKUP($A19, LS_current!$B$4:$BW$137,LS_current!BB$147, FALSE))/2)</f>
        <v>-373.51017824167138</v>
      </c>
      <c r="CB19" s="102">
        <f t="array" ref="CB19">IF($BT19=0, INDEX(LS_current!$D$4:$BW$137, MATCH('Staging Table'!$A19, LS_current!$B$4:$B$137, 0), MATCH(CB$4&amp;CB$5, LS_current!$D$2:$BW$2&amp;LS_current!$D$3:$BW$3, 0)),SUM(VLOOKUP($A19, LS_current!$B$4:$BW$137, LS_current!G$147, FALSE), VLOOKUP($A19, LS_current!$B$4:$BW$137,LS_current!BC$147, FALSE))/2)</f>
        <v>-275.47258437470737</v>
      </c>
      <c r="CC19" s="102">
        <f t="array" ref="CC19">IF($BT19=0, INDEX(LS_current!$D$4:$BW$137, MATCH('Staging Table'!$A19, LS_current!$B$4:$B$137, 0), MATCH(CC$4&amp;CC$5, LS_current!$D$2:$BW$2&amp;LS_current!$D$3:$BW$3, 0)),SUM(VLOOKUP($A19, LS_current!$B$4:$BW$137, LS_current!H$147, FALSE), VLOOKUP($A19, LS_current!$B$4:$BW$137,LS_current!BD$147, FALSE))/2)</f>
        <v>286.15469115727683</v>
      </c>
      <c r="CD19" s="102">
        <f t="array" ref="CD19">IF($BT19=0, INDEX(LS_current!$D$4:$BW$137, MATCH('Staging Table'!$A19, LS_current!$B$4:$B$137, 0), MATCH(CD$4&amp;CD$5, LS_current!$D$2:$BW$2&amp;LS_current!$D$3:$BW$3, 0)),SUM(VLOOKUP($A19, LS_current!$B$4:$BW$137, LS_current!I$147, FALSE), VLOOKUP($A19, LS_current!$B$4:$BW$137,LS_current!BE$147, FALSE))/2)</f>
        <v>632.49980982771285</v>
      </c>
      <c r="CE19" s="102">
        <f t="array" ref="CE19">IF($BT19=0, INDEX(LS_current!$D$4:$BW$137, MATCH('Staging Table'!$A19, LS_current!$B$4:$B$137, 0), MATCH(CE$4&amp;CE$5, LS_current!$D$2:$BW$2&amp;LS_current!$D$3:$BW$3, 0)),SUM(VLOOKUP($A19, LS_current!$B$4:$BW$137, LS_current!J$147, FALSE), VLOOKUP($A19, LS_current!$B$4:$BW$137,LS_current!BF$147, FALSE))/2)</f>
        <v>-105.65238517954822</v>
      </c>
      <c r="CF19" s="102">
        <f t="array" ref="CF19">IF($BT19=0, INDEX(LS_current!$D$4:$BW$137, MATCH('Staging Table'!$A19, LS_current!$B$4:$B$137, 0), MATCH(CF$4&amp;CF$5, LS_current!$D$2:$BW$2&amp;LS_current!$D$3:$BW$3, 0)),SUM(VLOOKUP($A19, LS_current!$B$4:$BW$137, LS_current!K$147, FALSE), VLOOKUP($A19, LS_current!$B$4:$BW$137,LS_current!BG$147, FALSE))/2)</f>
        <v>321.16121782831124</v>
      </c>
      <c r="CG19" s="102">
        <f t="array" ref="CG19">IF($BT19=0, INDEX(LS_current!$D$4:$BW$137, MATCH('Staging Table'!$A19, LS_current!$B$4:$B$137, 0), MATCH(CG$4&amp;CG$5, LS_current!$D$2:$BW$2&amp;LS_current!$D$3:$BW$3, 0)),SUM(VLOOKUP($A19, LS_current!$B$4:$BW$137, LS_current!L$147, FALSE), VLOOKUP($A19, LS_current!$B$4:$BW$137,LS_current!BH$147, FALSE))/2)</f>
        <v>472.52574430669847</v>
      </c>
      <c r="CH19" s="102">
        <f t="array" ref="CH19">IF($BT19=0, INDEX(LS_current!$D$4:$BW$137, MATCH('Staging Table'!$A19, LS_current!$B$4:$B$137, 0), MATCH(CH$4&amp;CH$5, LS_current!$D$2:$BW$2&amp;LS_current!$D$3:$BW$3, 0)),SUM(VLOOKUP($A19, LS_current!$B$4:$BW$137, LS_current!M$147, FALSE), VLOOKUP($A19, LS_current!$B$4:$BW$137,LS_current!BI$147, FALSE))/2)</f>
        <v>388.37530411764465</v>
      </c>
      <c r="CI19" s="102">
        <f t="array" ref="CI19">IF($BT19=0, INDEX(LS_current!$D$4:$BW$137, MATCH('Staging Table'!$A19, LS_current!$B$4:$B$137, 0), MATCH(CI$4&amp;CI$5, LS_current!$D$2:$BW$2&amp;LS_current!$D$3:$BW$3, 0)),SUM(VLOOKUP($A19, LS_current!$B$4:$BW$137, LS_current!N$147, FALSE), VLOOKUP($A19, LS_current!$B$4:$BW$137,LS_current!BJ$147, FALSE))/2)</f>
        <v>-473.59200000960209</v>
      </c>
      <c r="CJ19" s="102">
        <f t="array" ref="CJ19">IF($BT19=0, INDEX(LS_current!$D$4:$BW$137, MATCH('Staging Table'!$A19, LS_current!$B$4:$B$137, 0), MATCH(CJ$4&amp;CJ$5, LS_current!$D$2:$BW$2&amp;LS_current!$D$3:$BW$3, 0)),SUM(VLOOKUP($A19, LS_current!$B$4:$BW$137, LS_current!O$147, FALSE), VLOOKUP($A19, LS_current!$B$4:$BW$137,LS_current!BK$147, FALSE))/2)</f>
        <v>128.51611222202064</v>
      </c>
      <c r="CK19" s="102">
        <f t="array" ref="CK19">IF($BT19=0, INDEX(LS_current!$D$4:$BW$137, MATCH('Staging Table'!$A19, LS_current!$B$4:$B$137, 0), MATCH(CK$4&amp;CK$5, LS_current!$D$2:$BW$2&amp;LS_current!$D$3:$BW$3, 0)),SUM(VLOOKUP($A19, LS_current!$B$4:$BW$137, LS_current!P$147, FALSE), VLOOKUP($A19, LS_current!$B$4:$BW$137,LS_current!BL$147, FALSE))/2)</f>
        <v>945.79540943611937</v>
      </c>
      <c r="CL19" s="102">
        <f t="array" ref="CL19">IF($BT19=0, INDEX(LS_current!$D$4:$BW$137, MATCH('Staging Table'!$A19, LS_current!$B$4:$B$137, 0), MATCH(CL$4&amp;CL$5, LS_current!$D$2:$BW$2&amp;LS_current!$D$3:$BW$3, 0)),SUM(VLOOKUP($A19, LS_current!$B$4:$BW$137, LS_current!Q$147, FALSE), VLOOKUP($A19, LS_current!$B$4:$BW$137,LS_current!BM$147, FALSE))/2)</f>
        <v>-18.462619988057668</v>
      </c>
      <c r="CM19" s="102">
        <f t="array" ref="CM19">IF($BT19=0, INDEX(LS_current!$D$4:$BW$137, MATCH('Staging Table'!$A19, LS_current!$B$4:$B$137, 0), MATCH(CM$4&amp;CM$5, LS_current!$D$2:$BW$2&amp;LS_current!$D$3:$BW$3, 0)),SUM(VLOOKUP($A19, LS_current!$B$4:$BW$137, LS_current!R$147, FALSE), VLOOKUP($A19, LS_current!$B$4:$BW$137,LS_current!BN$147, FALSE))/2)</f>
        <v>-1063.0476110281224</v>
      </c>
      <c r="CN19" s="102">
        <f t="array" ref="CN19">IF($BT19=0, INDEX(LS_current!$D$4:$BW$137, MATCH('Staging Table'!$A19, LS_current!$B$4:$B$137, 0), MATCH(CN$4&amp;CN$5, LS_current!$D$2:$BW$2&amp;LS_current!$D$3:$BW$3, 0)),SUM(VLOOKUP($A19, LS_current!$B$4:$BW$137, LS_current!S$147, FALSE), VLOOKUP($A19, LS_current!$B$4:$BW$137,LS_current!BO$147, FALSE))/2)</f>
        <v>-1080.8160849344558</v>
      </c>
      <c r="CO19" s="102">
        <f t="array" ref="CO19">IF($BT19=0, INDEX(LS_current!$D$4:$BW$137, MATCH('Staging Table'!$A19, LS_current!$B$4:$B$137, 0), MATCH(CO$4&amp;CO$5, LS_current!$D$2:$BW$2&amp;LS_current!$D$3:$BW$3, 0)),SUM(VLOOKUP($A19, LS_current!$B$4:$BW$137, LS_current!T$147, FALSE), VLOOKUP($A19, LS_current!$B$4:$BW$137,LS_current!BP$147, FALSE))/2)</f>
        <v>-1129.2206857731408</v>
      </c>
      <c r="CP19" s="102">
        <f t="array" ref="CP19">IF($BT19=0, INDEX(LS_current!$D$4:$BW$137, MATCH('Staging Table'!$A19, LS_current!$B$4:$B$137, 0), MATCH(CP$4&amp;CP$5, LS_current!$D$2:$BW$2&amp;LS_current!$D$3:$BW$3, 0)),SUM(VLOOKUP($A19, LS_current!$B$4:$BW$137, LS_current!U$147, FALSE), VLOOKUP($A19, LS_current!$B$4:$BW$137,LS_current!BQ$147, FALSE))/2)</f>
        <v>-1031.4025867249275</v>
      </c>
      <c r="CQ19" s="102">
        <f t="array" ref="CQ19">IF($BT19=0, INDEX(LS_current!$D$4:$BW$137, MATCH('Staging Table'!$A19, LS_current!$B$4:$B$137, 0), MATCH(CQ$4&amp;CQ$5, LS_current!$D$2:$BW$2&amp;LS_current!$D$3:$BW$3, 0)),SUM(VLOOKUP($A19, LS_current!$B$4:$BW$137, LS_current!V$147, FALSE), VLOOKUP($A19, LS_current!$B$4:$BW$137,LS_current!BR$147, FALSE))/2)</f>
        <v>644.45441569554714</v>
      </c>
      <c r="CR19" s="102">
        <f t="array" ref="CR19">IF($BT19=0, INDEX(LS_current!$D$4:$BW$137, MATCH('Staging Table'!$A19, LS_current!$B$4:$B$137, 0), MATCH(CR$4&amp;CR$5, LS_current!$D$2:$BW$2&amp;LS_current!$D$3:$BW$3, 0)),SUM(VLOOKUP($A19, LS_current!$B$4:$BW$137, LS_current!W$147, FALSE), VLOOKUP($A19, LS_current!$B$4:$BW$137,LS_current!BS$147, FALSE))/2)</f>
        <v>-133.50488221436171</v>
      </c>
      <c r="CS19" s="102">
        <f t="array" ref="CS19">IF($BT19=0, INDEX(LS_current!$D$4:$BW$137, MATCH('Staging Table'!$A19, LS_current!$B$4:$B$137, 0), MATCH(CS$4&amp;CS$5, LS_current!$D$2:$BW$2&amp;LS_current!$D$3:$BW$3, 0)),SUM(VLOOKUP($A19, LS_current!$B$4:$BW$137, LS_current!X$147, FALSE), VLOOKUP($A19, LS_current!$B$4:$BW$137,LS_current!BT$147, FALSE))/2)</f>
        <v>63.245272801568717</v>
      </c>
      <c r="CT19" s="102">
        <f t="array" ref="CT19">IF($BT19=0, INDEX(LS_current!$D$4:$BW$137, MATCH('Staging Table'!$A19, LS_current!$B$4:$B$137, 0), MATCH(CT$4&amp;CT$5, LS_current!$D$2:$BW$2&amp;LS_current!$D$3:$BW$3, 0)),SUM(VLOOKUP($A19, LS_current!$B$4:$BW$137, LS_current!Y$147, FALSE), VLOOKUP($A19, LS_current!$B$4:$BW$137,LS_current!BU$147, FALSE))/2)</f>
        <v>-26.569534873806788</v>
      </c>
      <c r="CU19" s="102">
        <f t="array" ref="CU19">IF($BT19=0, INDEX(LS_current!$D$4:$BW$137, MATCH('Staging Table'!$A19, LS_current!$B$4:$B$137, 0), MATCH(CU$4&amp;CU$5, LS_current!$D$2:$BW$2&amp;LS_current!$D$3:$BW$3, 0)),SUM(VLOOKUP($A19, LS_current!$B$4:$BW$137, LS_current!Z$147, FALSE), VLOOKUP($A19, LS_current!$B$4:$BW$137,LS_current!BV$147, FALSE))/2)</f>
        <v>667.35327935185978</v>
      </c>
      <c r="CV19" s="102">
        <f t="array" ref="CV19">IF($BT19=0, INDEX(LS_current!$D$4:$BW$137, MATCH('Staging Table'!$A19, LS_current!$B$4:$B$137, 0), MATCH(CV$4&amp;CV$5, LS_current!$D$2:$BW$2&amp;LS_current!$D$3:$BW$3, 0)),SUM(VLOOKUP($A19, LS_current!$B$4:$BW$137, LS_current!AA$147, FALSE), VLOOKUP($A19, LS_current!$B$4:$BW$137,LS_current!BW$147, FALSE))/2)</f>
        <v>-117.67297729386382</v>
      </c>
      <c r="CW19" s="103">
        <f t="array" ref="CW19">INDEX(Demand_current!$D$4:$BW$137, MATCH($A19, Demand_current!$B$4:$B$137, 0), MATCH(CW$4&amp;CW$5,Demand_current!$D$2:$BW$2&amp;Demand_current!$D$3:$BW$3, 0))/1000</f>
        <v>2.9433194444444446</v>
      </c>
      <c r="CX19" s="103">
        <f t="array" ref="CX19">INDEX(Demand_current!$D$4:$BW$137, MATCH($A19, Demand_current!$B$4:$B$137, 0), MATCH(CX$4&amp;CX$5,Demand_current!$D$2:$BW$2&amp;Demand_current!$D$3:$BW$3, 0))/1000</f>
        <v>0.49567187499999976</v>
      </c>
      <c r="CY19" s="103">
        <f t="array" ref="CY19">INDEX(Demand_current!$D$4:$BW$137, MATCH($A19, Demand_current!$B$4:$B$137, 0), MATCH(CY$4&amp;CY$5,Demand_current!$D$2:$BW$2&amp;Demand_current!$D$3:$BW$3, 0))/1000</f>
        <v>2.4199423076923057</v>
      </c>
      <c r="CZ19" s="103">
        <f t="array" ref="CZ19">INDEX(Demand_current!$D$4:$BW$137, MATCH($A19, Demand_current!$B$4:$B$137, 0), MATCH(CZ$4&amp;CZ$5,Demand_current!$D$2:$BW$2&amp;Demand_current!$D$3:$BW$3, 0))/1000</f>
        <v>2.9760096153846129</v>
      </c>
      <c r="DA19" s="103">
        <f t="array" ref="DA19">INDEX(Demand_current!$D$4:$BW$137, MATCH($A19, Demand_current!$B$4:$B$137, 0), MATCH(DA$4&amp;DA$5,Demand_current!$D$2:$BW$2&amp;Demand_current!$D$3:$BW$3, 0))/1000</f>
        <v>1.4202500000000025</v>
      </c>
      <c r="DB19" s="103">
        <f t="array" ref="DB19">INDEX(Demand_current!$D$4:$BW$137, MATCH($A19, Demand_current!$B$4:$B$137, 0), MATCH(DB$4&amp;DB$5,Demand_current!$D$2:$BW$2&amp;Demand_current!$D$3:$BW$3, 0))/1000</f>
        <v>2.3590480769230786</v>
      </c>
      <c r="DC19" s="103">
        <f t="array" ref="DC19">INDEX(Demand_current!$D$4:$BW$137, MATCH($A19, Demand_current!$B$4:$B$137, 0), MATCH(DC$4&amp;DC$5,Demand_current!$D$2:$BW$2&amp;Demand_current!$D$3:$BW$3, 0))/1000</f>
        <v>1.542860576923077</v>
      </c>
      <c r="DD19" s="103">
        <f t="array" ref="DD19">INDEX(Demand_current!$D$4:$BW$137, MATCH($A19, Demand_current!$B$4:$B$137, 0), MATCH(DD$4&amp;DD$5,Demand_current!$D$2:$BW$2&amp;Demand_current!$D$3:$BW$3, 0))/1000</f>
        <v>0.28807000000000293</v>
      </c>
      <c r="DE19" s="103">
        <f t="array" ref="DE19">INDEX(Demand_current!$D$4:$BW$137, MATCH($A19, Demand_current!$B$4:$B$137, 0), MATCH(DE$4&amp;DE$5,Demand_current!$D$2:$BW$2&amp;Demand_current!$D$3:$BW$3, 0))/1000</f>
        <v>3.4367500000000004</v>
      </c>
      <c r="DF19" s="103">
        <f t="array" ref="DF19">INDEX(Demand_current!$D$4:$BW$137, MATCH($A19, Demand_current!$B$4:$B$137, 0), MATCH(DF$4&amp;DF$5,Demand_current!$D$2:$BW$2&amp;Demand_current!$D$3:$BW$3, 0))/1000</f>
        <v>3.5316442307692339</v>
      </c>
      <c r="DG19" s="103">
        <f t="array" ref="DG19">INDEX(Demand_current!$D$4:$BW$137, MATCH($A19, Demand_current!$B$4:$B$137, 0), MATCH(DG$4&amp;DG$5,Demand_current!$D$2:$BW$2&amp;Demand_current!$D$3:$BW$3, 0))/1000</f>
        <v>2.7957956730769231</v>
      </c>
      <c r="DH19" s="103">
        <f t="array" ref="DH19">INDEX(Demand_current!$D$4:$BW$137, MATCH($A19, Demand_current!$B$4:$B$137, 0), MATCH(DH$4&amp;DH$5,Demand_current!$D$2:$BW$2&amp;Demand_current!$D$3:$BW$3, 0))/1000</f>
        <v>1.2795774999999985</v>
      </c>
      <c r="DI19" s="102">
        <f>$BS19*(VLOOKUP(DI$4, Rates_current!$H$6:$R$41, 10, FALSE)+VLOOKUP(DI$4, Rates_current!$H$6:$R$41, 11, FALSE))</f>
        <v>8257.4122262245673</v>
      </c>
      <c r="DJ19" s="102">
        <f>$BS19*(VLOOKUP(DJ$4, Rates_current!$H$6:$R$41, 10, FALSE)+VLOOKUP(DJ$4, Rates_current!$H$6:$R$41, 11, FALSE))</f>
        <v>10556.82976261638</v>
      </c>
      <c r="DK19" s="102">
        <f>$BS19*(VLOOKUP(DK$4, Rates_current!$H$6:$R$41, 10, FALSE)+VLOOKUP(DK$4, Rates_current!$H$6:$R$41, 11, FALSE))</f>
        <v>12002.23249901501</v>
      </c>
      <c r="DL19" s="102">
        <f>$BS19*(VLOOKUP(DL$4, Rates_current!$H$6:$R$41, 10, FALSE)+VLOOKUP(DL$4, Rates_current!$H$6:$R$41, 11, FALSE))</f>
        <v>12663.292167351237</v>
      </c>
      <c r="DM19" s="102">
        <f>$BS19*(VLOOKUP(DM$4, Rates_current!$H$6:$R$41, 10, FALSE)+VLOOKUP(DM$4, Rates_current!$H$6:$R$41, 11, FALSE))</f>
        <v>10091.500951575657</v>
      </c>
      <c r="DN19" s="102">
        <f>$BS19*(VLOOKUP(DN$4, Rates_current!$H$6:$R$41, 10, FALSE)+VLOOKUP(DN$4, Rates_current!$H$6:$R$41, 11, FALSE))</f>
        <v>11032.082887787579</v>
      </c>
      <c r="DO19" s="102">
        <f>$BS19*(VLOOKUP(DO$4, Rates_current!$H$6:$R$41, 10, FALSE)+VLOOKUP(DO$4, Rates_current!$H$6:$R$41, 11, FALSE))</f>
        <v>8549.9752105519383</v>
      </c>
      <c r="DP19" s="102">
        <f>$BS19*(VLOOKUP(DP$4, Rates_current!$H$6:$R$41, 10, FALSE)+VLOOKUP(DP$4, Rates_current!$H$6:$R$41, 11, FALSE))</f>
        <v>11065.075695962576</v>
      </c>
      <c r="DQ19" s="102">
        <f>$BS19*(VLOOKUP(DQ$4, Rates_current!$H$6:$R$41, 10, FALSE)+VLOOKUP(DQ$4, Rates_current!$H$6:$R$41, 11, FALSE))</f>
        <v>11301.347272498069</v>
      </c>
      <c r="DR19" s="102">
        <f>$BS19*(VLOOKUP(DR$4, Rates_current!$H$6:$R$41, 10, FALSE)+VLOOKUP(DR$4, Rates_current!$H$6:$R$41, 11, FALSE))</f>
        <v>10059.176466518813</v>
      </c>
      <c r="DS19" s="102">
        <f>$BS19*(VLOOKUP(DS$4, Rates_current!$H$6:$R$41, 10, FALSE)+VLOOKUP(DS$4, Rates_current!$H$6:$R$41, 11, FALSE))</f>
        <v>10318.870262072238</v>
      </c>
      <c r="DT19" s="102">
        <f>$BS19*(VLOOKUP(DT$4, Rates_current!$H$6:$R$41, 10, FALSE)+VLOOKUP(DT$4, Rates_current!$H$6:$R$41, 11, FALSE))</f>
        <v>8013.839697942004</v>
      </c>
      <c r="DU19" s="261">
        <f>IF(D19=0,IF(C19=0,MAX(0,DW19 - (VLOOKUP($A19,TOCA_current!$A$2:$AV$136,MATCH("RHWM "&amp;Init!$D$1,TOCA_current!$A$2:$AV$2,0),FALSE)*$BS$2)), 0),0)</f>
        <v>0</v>
      </c>
      <c r="DV19" s="262">
        <f>MIN(VLOOKUP($A19,TOCA_current!$A$2:$AV$136,MATCH("TRL - NLSL - Existing Resource "&amp;$BS$1,TOCA_current!$A$2:$AV$2,0),FALSE)*$BS$2, VLOOKUP($A19,TOCA_current!$A$2:$AV$136,MATCH("RHWM "&amp;Init!$D$1,TOCA_current!$A$2:$AV$2,0),FALSE)*$BS$2)</f>
        <v>123910.2</v>
      </c>
      <c r="DW19" s="262">
        <f>SUM(BY19:CV19)+(BS19*RT1SC!$C$4*$BS$2)</f>
        <v>123908.28431447591</v>
      </c>
      <c r="DX19" s="262">
        <f>VLOOKUP($A19,TOCA_current!$A$2:$AV$136,MATCH("Above RHWM Not Served with LS "&amp;$BS$1,TOCA_current!$A$2:$AV$2,0),FALSE)*$BS$2</f>
        <v>44711.040000000001</v>
      </c>
      <c r="DY19" s="262">
        <f t="shared" si="28"/>
        <v>-1.9156855240871664</v>
      </c>
      <c r="DZ19" s="262">
        <f>(VLOOKUP($A19,TOCA_current!$A$2:$AV$136,MATCH("RHWM "&amp;Init!$D$1,TOCA_current!$A$2:$AV$2,0),FALSE)*$BS$2) - $DV19</f>
        <v>0</v>
      </c>
      <c r="EA19" s="262">
        <f t="shared" si="29"/>
        <v>0</v>
      </c>
      <c r="EB19" s="262">
        <f t="shared" si="30"/>
        <v>0</v>
      </c>
      <c r="EC19" s="262">
        <f t="shared" si="31"/>
        <v>0</v>
      </c>
      <c r="ED19" s="262">
        <f t="shared" si="32"/>
        <v>0</v>
      </c>
    </row>
    <row r="20" spans="1:134">
      <c r="A20" s="2">
        <v>10065</v>
      </c>
      <c r="B20" s="3" t="s">
        <v>22</v>
      </c>
      <c r="C20">
        <f>VLOOKUP(A20, TOCA_current!$A$3:$D$136, 4, FALSE)</f>
        <v>0</v>
      </c>
      <c r="D20">
        <v>0</v>
      </c>
      <c r="E20" s="84">
        <f>VLOOKUP($A20,TOCA_previous!$A$2:$AJ$136,MATCH(E$4,TOCA_previous!$A$2:$AJ$2,0),FALSE)</f>
        <v>3.4430000000000002E-4</v>
      </c>
      <c r="F20" s="85">
        <f>VLOOKUP($A20,TOCA_previous!$A$2:$AJ$136,MATCH(F$4,TOCA_previous!$A$2:$AJ$2,0),FALSE)</f>
        <v>3.4430000000000002E-4</v>
      </c>
      <c r="G20" s="85">
        <f t="shared" si="18"/>
        <v>0</v>
      </c>
      <c r="H20" s="85">
        <f>VLOOKUP($A20,TOCA_previous!$A$2:$AJ$136,MATCH(H$4,TOCA_previous!$A$2:$AJ$2,0),FALSE)</f>
        <v>7.5828427249789748E-2</v>
      </c>
      <c r="I20" s="85">
        <f t="shared" si="19"/>
        <v>0</v>
      </c>
      <c r="J20" s="85">
        <f t="shared" si="20"/>
        <v>0</v>
      </c>
      <c r="K20" s="101">
        <f>VLOOKUP(A20, IRD!$A$5:$C$138, 3, FALSE)</f>
        <v>0</v>
      </c>
      <c r="L20" s="102">
        <f t="array" ref="L20">IF($G20=0, INDEX(LS_previous!$D$4:$AY$137, MATCH('Staging Table'!$A20, LS_previous!$B$4:$B$137, 0), MATCH(L$4&amp;L$5, LS_previous!$D$2:$AY$2&amp;LS_previous!$D$3:$AY$3, 0)),SUM(VLOOKUP($A20, LS_previous!$B$4:$AY$137, LS_previous!D$148, FALSE), VLOOKUP('Staging Table'!$A20, LS_previous!$B$4:$AY$137,LS_previous!AB$148, FALSE))/2)</f>
        <v>307.34751840519982</v>
      </c>
      <c r="M20" s="102">
        <f t="array" ref="M20">IF($G20=0, INDEX(LS_previous!$D$4:$AY$137, MATCH('Staging Table'!$A20, LS_previous!$B$4:$B$137, 0), MATCH(M$4&amp;M$5, LS_previous!$D$2:$AY$2&amp;LS_previous!$D$3:$AY$3, 0)),SUM(VLOOKUP($A20, LS_previous!$B$4:$AY$137, LS_previous!E$148, FALSE), VLOOKUP('Staging Table'!$A20, LS_previous!$B$4:$AY$137,LS_previous!AC$148, FALSE))/2)</f>
        <v>-24.709653489650123</v>
      </c>
      <c r="N20" s="102">
        <f t="array" ref="N20">IF($G20=0, INDEX(LS_previous!$D$4:$AY$137, MATCH('Staging Table'!$A20, LS_previous!$B$4:$B$137, 0), MATCH(N$4&amp;N$5, LS_previous!$D$2:$AY$2&amp;LS_previous!$D$3:$AY$3, 0)),SUM(VLOOKUP($A20, LS_previous!$B$4:$AY$137, LS_previous!F$148, FALSE), VLOOKUP('Staging Table'!$A20, LS_previous!$B$4:$AY$137,LS_previous!AD$148, FALSE))/2)</f>
        <v>250.6000129695999</v>
      </c>
      <c r="O20" s="102">
        <f t="array" ref="O20">IF($G20=0, INDEX(LS_previous!$D$4:$AY$137, MATCH('Staging Table'!$A20, LS_previous!$B$4:$B$137, 0), MATCH(O$4&amp;O$5, LS_previous!$D$2:$AY$2&amp;LS_previous!$D$3:$AY$3, 0)),SUM(VLOOKUP($A20, LS_previous!$B$4:$AY$137, LS_previous!G$148, FALSE), VLOOKUP('Staging Table'!$A20, LS_previous!$B$4:$AY$137,LS_previous!AE$148, FALSE))/2)</f>
        <v>291.98998734669999</v>
      </c>
      <c r="P20" s="102">
        <f t="array" ref="P20">IF($G20=0, INDEX(LS_previous!$D$4:$AY$137, MATCH('Staging Table'!$A20, LS_previous!$B$4:$B$137, 0), MATCH(P$4&amp;P$5, LS_previous!$D$2:$AY$2&amp;LS_previous!$D$3:$AY$3, 0)),SUM(VLOOKUP($A20, LS_previous!$B$4:$AY$137, LS_previous!H$148, FALSE), VLOOKUP('Staging Table'!$A20, LS_previous!$B$4:$AY$137,LS_previous!AF$148, FALSE))/2)</f>
        <v>691.5707600623</v>
      </c>
      <c r="Q20" s="102">
        <f t="array" ref="Q20">IF($G20=0, INDEX(LS_previous!$D$4:$AY$137, MATCH('Staging Table'!$A20, LS_previous!$B$4:$B$137, 0), MATCH(Q$4&amp;Q$5, LS_previous!$D$2:$AY$2&amp;LS_previous!$D$3:$AY$3, 0)),SUM(VLOOKUP($A20, LS_previous!$B$4:$AY$137, LS_previous!I$148, FALSE), VLOOKUP('Staging Table'!$A20, LS_previous!$B$4:$AY$137,LS_previous!AG$148, FALSE))/2)</f>
        <v>362.21337046719987</v>
      </c>
      <c r="R20" s="102">
        <f t="array" ref="R20">IF($G20=0, INDEX(LS_previous!$D$4:$AY$137, MATCH('Staging Table'!$A20, LS_previous!$B$4:$B$137, 0), MATCH(R$4&amp;R$5, LS_previous!$D$2:$AY$2&amp;LS_previous!$D$3:$AY$3, 0)),SUM(VLOOKUP($A20, LS_previous!$B$4:$AY$137, LS_previous!J$148, FALSE), VLOOKUP('Staging Table'!$A20, LS_previous!$B$4:$AY$137,LS_previous!AH$148, FALSE))/2)</f>
        <v>395.37134252550004</v>
      </c>
      <c r="S20" s="102">
        <f t="array" ref="S20">IF($G20=0, INDEX(LS_previous!$D$4:$AY$137, MATCH('Staging Table'!$A20, LS_previous!$B$4:$B$137, 0), MATCH(S$4&amp;S$5, LS_previous!$D$2:$AY$2&amp;LS_previous!$D$3:$AY$3, 0)),SUM(VLOOKUP($A20, LS_previous!$B$4:$AY$137, LS_previous!K$148, FALSE), VLOOKUP('Staging Table'!$A20, LS_previous!$B$4:$AY$137,LS_previous!AI$148, FALSE))/2)</f>
        <v>267.04607661529997</v>
      </c>
      <c r="T20" s="102">
        <f t="array" ref="T20">IF($G20=0, INDEX(LS_previous!$D$4:$AY$137, MATCH('Staging Table'!$A20, LS_previous!$B$4:$B$137, 0), MATCH(T$4&amp;T$5, LS_previous!$D$2:$AY$2&amp;LS_previous!$D$3:$AY$3, 0)),SUM(VLOOKUP($A20, LS_previous!$B$4:$AY$137, LS_previous!L$148, FALSE), VLOOKUP('Staging Table'!$A20, LS_previous!$B$4:$AY$137,LS_previous!AJ$148, FALSE))/2)</f>
        <v>427.73041886030001</v>
      </c>
      <c r="U20" s="102">
        <f t="array" ref="U20">IF($G20=0, INDEX(LS_previous!$D$4:$AY$137, MATCH('Staging Table'!$A20, LS_previous!$B$4:$B$137, 0), MATCH(U$4&amp;U$5, LS_previous!$D$2:$AY$2&amp;LS_previous!$D$3:$AY$3, 0)),SUM(VLOOKUP($A20, LS_previous!$B$4:$AY$137, LS_previous!M$148, FALSE), VLOOKUP('Staging Table'!$A20, LS_previous!$B$4:$AY$137,LS_previous!AK$148, FALSE))/2)</f>
        <v>317.76275551629988</v>
      </c>
      <c r="V20" s="102">
        <f t="array" ref="V20">IF($G20=0, INDEX(LS_previous!$D$4:$AY$137, MATCH('Staging Table'!$A20, LS_previous!$B$4:$B$137, 0), MATCH(V$4&amp;V$5, LS_previous!$D$2:$AY$2&amp;LS_previous!$D$3:$AY$3, 0)),SUM(VLOOKUP($A20, LS_previous!$B$4:$AY$137, LS_previous!N$148, FALSE), VLOOKUP('Staging Table'!$A20, LS_previous!$B$4:$AY$137,LS_previous!AL$148, FALSE))/2)</f>
        <v>442.92384939410022</v>
      </c>
      <c r="W20" s="102">
        <f t="array" ref="W20">IF($G20=0, INDEX(LS_previous!$D$4:$AY$137, MATCH('Staging Table'!$A20, LS_previous!$B$4:$B$137, 0), MATCH(W$4&amp;W$5, LS_previous!$D$2:$AY$2&amp;LS_previous!$D$3:$AY$3, 0)),SUM(VLOOKUP($A20, LS_previous!$B$4:$AY$137, LS_previous!O$148, FALSE), VLOOKUP('Staging Table'!$A20, LS_previous!$B$4:$AY$137,LS_previous!AM$148, FALSE))/2)</f>
        <v>333.66798183459991</v>
      </c>
      <c r="X20" s="102">
        <f t="array" ref="X20">IF($G20=0, INDEX(LS_previous!$D$4:$AY$137, MATCH('Staging Table'!$A20, LS_previous!$B$4:$B$137, 0), MATCH(X$4&amp;X$5, LS_previous!$D$2:$AY$2&amp;LS_previous!$D$3:$AY$3, 0)),SUM(VLOOKUP($A20, LS_previous!$B$4:$AY$137, LS_previous!P$148, FALSE), VLOOKUP('Staging Table'!$A20, LS_previous!$B$4:$AY$137,LS_previous!AN$148, FALSE))/2)</f>
        <v>373.10500220675033</v>
      </c>
      <c r="Y20" s="102">
        <f t="array" ref="Y20">IF($G20=0, INDEX(LS_previous!$D$4:$AY$137, MATCH('Staging Table'!$A20, LS_previous!$B$4:$B$137, 0), MATCH(Y$4&amp;Y$5, LS_previous!$D$2:$AY$2&amp;LS_previous!$D$3:$AY$3, 0)),SUM(VLOOKUP($A20, LS_previous!$B$4:$AY$137, LS_previous!Q$148, FALSE), VLOOKUP('Staging Table'!$A20, LS_previous!$B$4:$AY$137,LS_previous!AO$148, FALSE))/2)</f>
        <v>170.43350511947494</v>
      </c>
      <c r="Z20" s="102">
        <f t="array" ref="Z20">IF($G20=0, INDEX(LS_previous!$D$4:$AY$137, MATCH('Staging Table'!$A20, LS_previous!$B$4:$B$137, 0), MATCH(Z$4&amp;Z$5, LS_previous!$D$2:$AY$2&amp;LS_previous!$D$3:$AY$3, 0)),SUM(VLOOKUP($A20, LS_previous!$B$4:$AY$137, LS_previous!R$148, FALSE), VLOOKUP('Staging Table'!$A20, LS_previous!$B$4:$AY$137,LS_previous!AP$148, FALSE))/2)</f>
        <v>-153.29254076640018</v>
      </c>
      <c r="AA20" s="102">
        <f t="array" ref="AA20">IF($G20=0, INDEX(LS_previous!$D$4:$AY$137, MATCH('Staging Table'!$A20, LS_previous!$B$4:$B$137, 0), MATCH(AA$4&amp;AA$5, LS_previous!$D$2:$AY$2&amp;LS_previous!$D$3:$AY$3, 0)),SUM(VLOOKUP($A20, LS_previous!$B$4:$AY$137, LS_previous!S$148, FALSE), VLOOKUP('Staging Table'!$A20, LS_previous!$B$4:$AY$137,LS_previous!AQ$148, FALSE))/2)</f>
        <v>1.5000887284498958</v>
      </c>
      <c r="AB20" s="102">
        <f t="array" ref="AB20">IF($G20=0, INDEX(LS_previous!$D$4:$AY$137, MATCH('Staging Table'!$A20, LS_previous!$B$4:$B$137, 0), MATCH(AB$4&amp;AB$5, LS_previous!$D$2:$AY$2&amp;LS_previous!$D$3:$AY$3, 0)),SUM(VLOOKUP($A20, LS_previous!$B$4:$AY$137, LS_previous!T$148, FALSE), VLOOKUP('Staging Table'!$A20, LS_previous!$B$4:$AY$137,LS_previous!AR$148, FALSE))/2)</f>
        <v>-104.66672892179986</v>
      </c>
      <c r="AC20" s="102">
        <f t="array" ref="AC20">IF($G20=0, INDEX(LS_previous!$D$4:$AY$137, MATCH('Staging Table'!$A20, LS_previous!$B$4:$B$137, 0), MATCH(AC$4&amp;AC$5, LS_previous!$D$2:$AY$2&amp;LS_previous!$D$3:$AY$3, 0)),SUM(VLOOKUP($A20, LS_previous!$B$4:$AY$137, LS_previous!U$148, FALSE), VLOOKUP('Staging Table'!$A20, LS_previous!$B$4:$AY$137,LS_previous!AS$148, FALSE))/2)</f>
        <v>-132.92940126434996</v>
      </c>
      <c r="AD20" s="102">
        <f t="array" ref="AD20">IF($G20=0, INDEX(LS_previous!$D$4:$AY$137, MATCH('Staging Table'!$A20, LS_previous!$B$4:$B$137, 0), MATCH(AD$4&amp;AD$5, LS_previous!$D$2:$AY$2&amp;LS_previous!$D$3:$AY$3, 0)),SUM(VLOOKUP($A20, LS_previous!$B$4:$AY$137, LS_previous!V$148, FALSE), VLOOKUP('Staging Table'!$A20, LS_previous!$B$4:$AY$137,LS_previous!AT$148, FALSE))/2)</f>
        <v>101.53996365479998</v>
      </c>
      <c r="AE20" s="102">
        <f t="array" ref="AE20">IF($G20=0, INDEX(LS_previous!$D$4:$AY$137, MATCH('Staging Table'!$A20, LS_previous!$B$4:$B$137, 0), MATCH(AE$4&amp;AE$5, LS_previous!$D$2:$AY$2&amp;LS_previous!$D$3:$AY$3, 0)),SUM(VLOOKUP($A20, LS_previous!$B$4:$AY$137, LS_previous!W$148, FALSE), VLOOKUP('Staging Table'!$A20, LS_previous!$B$4:$AY$137,LS_previous!AU$148, FALSE))/2)</f>
        <v>46.891999351750087</v>
      </c>
      <c r="AF20" s="102">
        <f t="array" ref="AF20">IF($G20=0, INDEX(LS_previous!$D$4:$AY$137, MATCH('Staging Table'!$A20, LS_previous!$B$4:$B$137, 0), MATCH(AF$4&amp;AF$5, LS_previous!$D$2:$AY$2&amp;LS_previous!$D$3:$AY$3, 0)),SUM(VLOOKUP($A20, LS_previous!$B$4:$AY$137, LS_previous!X$148, FALSE), VLOOKUP('Staging Table'!$A20, LS_previous!$B$4:$AY$137,LS_previous!AV$148, FALSE))/2)</f>
        <v>-58.728306047450246</v>
      </c>
      <c r="AG20" s="102">
        <f t="array" ref="AG20">IF($G20=0, INDEX(LS_previous!$D$4:$AY$137, MATCH('Staging Table'!$A20, LS_previous!$B$4:$B$137, 0), MATCH(AG$4&amp;AG$5, LS_previous!$D$2:$AY$2&amp;LS_previous!$D$3:$AY$3, 0)),SUM(VLOOKUP($A20, LS_previous!$B$4:$AY$137, LS_previous!Y$148, FALSE), VLOOKUP('Staging Table'!$A20, LS_previous!$B$4:$AY$137,LS_previous!AW$148, FALSE))/2)</f>
        <v>29.737179107645034</v>
      </c>
      <c r="AH20" s="102">
        <f t="array" ref="AH20">IF($G20=0, INDEX(LS_previous!$D$4:$AY$137, MATCH('Staging Table'!$A20, LS_previous!$B$4:$B$137, 0), MATCH(AH$4&amp;AH$5, LS_previous!$D$2:$AY$2&amp;LS_previous!$D$3:$AY$3, 0)),SUM(VLOOKUP($A20, LS_previous!$B$4:$AY$137, LS_previous!Z$148, FALSE), VLOOKUP('Staging Table'!$A20, LS_previous!$B$4:$AY$137,LS_previous!AX$148, FALSE))/2)</f>
        <v>145.6837522617999</v>
      </c>
      <c r="AI20" s="102">
        <f t="array" ref="AI20">IF($G20=0, INDEX(LS_previous!$D$4:$AY$137, MATCH('Staging Table'!$A20, LS_previous!$B$4:$B$137, 0), MATCH(AI$4&amp;AI$5, LS_previous!$D$2:$AY$2&amp;LS_previous!$D$3:$AY$3, 0)),SUM(VLOOKUP($A20, LS_previous!$B$4:$AY$137, LS_previous!AA$148, FALSE), VLOOKUP('Staging Table'!$A20, LS_previous!$B$4:$AY$137,LS_previous!AY$148, FALSE))/2)</f>
        <v>-72.793982507200099</v>
      </c>
      <c r="AJ20" s="103">
        <f t="array" ref="AJ20">INDEX(Demand_previous!$D$4:$AY$137, MATCH('Staging Table'!$A20, Demand_previous!$B$4:$B$137, 0), MATCH(AJ$4&amp;AJ$5,Demand_previous!$D$2:$AY$2&amp;Demand_previous!$D$3:$AY$3, 0))/1000</f>
        <v>0.45666826923076936</v>
      </c>
      <c r="AK20" s="103">
        <f t="array" ref="AK20">INDEX(Demand_previous!$D$4:$AY$137, MATCH('Staging Table'!$A20, Demand_previous!$B$4:$B$137, 0), MATCH(AK$4&amp;AK$5,Demand_previous!$D$2:$AY$2&amp;Demand_previous!$D$3:$AY$3, 0))/1000</f>
        <v>0.59559249999999919</v>
      </c>
      <c r="AL20" s="103">
        <f t="array" ref="AL20">INDEX(Demand_previous!$D$4:$AY$137, MATCH('Staging Table'!$A20, Demand_previous!$B$4:$B$137, 0), MATCH(AL$4&amp;AL$5,Demand_previous!$D$2:$AY$2&amp;Demand_previous!$D$3:$AY$3, 0))/1000</f>
        <v>0.9248149999999995</v>
      </c>
      <c r="AM20" s="103">
        <f t="array" ref="AM20">INDEX(Demand_previous!$D$4:$AY$137, MATCH('Staging Table'!$A20, Demand_previous!$B$4:$B$137, 0), MATCH(AM$4&amp;AM$5,Demand_previous!$D$2:$AY$2&amp;Demand_previous!$D$3:$AY$3, 0))/1000</f>
        <v>0.83076442307692333</v>
      </c>
      <c r="AN20" s="103">
        <f t="array" ref="AN20">INDEX(Demand_previous!$D$4:$AY$137, MATCH('Staging Table'!$A20, Demand_previous!$B$4:$B$137, 0), MATCH(AN$4&amp;AN$5,Demand_previous!$D$2:$AY$2&amp;Demand_previous!$D$3:$AY$3, 0))/1000</f>
        <v>1.6542025000000011</v>
      </c>
      <c r="AO20" s="103">
        <f t="array" ref="AO20">INDEX(Demand_previous!$D$4:$AY$137, MATCH('Staging Table'!$A20, Demand_previous!$B$4:$B$137, 0), MATCH(AO$4&amp;AO$5,Demand_previous!$D$2:$AY$2&amp;Demand_previous!$D$3:$AY$3, 0))/1000</f>
        <v>0.32497355769230746</v>
      </c>
      <c r="AP20" s="103">
        <f t="array" ref="AP20">INDEX(Demand_previous!$D$4:$AY$137, MATCH('Staging Table'!$A20, Demand_previous!$B$4:$B$137, 0), MATCH(AP$4&amp;AP$5,Demand_previous!$D$2:$AY$2&amp;Demand_previous!$D$3:$AY$3, 0))/1000</f>
        <v>1.0379278846153839</v>
      </c>
      <c r="AQ20" s="103">
        <f t="array" ref="AQ20">INDEX(Demand_previous!$D$4:$AY$137, MATCH('Staging Table'!$A20, Demand_previous!$B$4:$B$137, 0), MATCH(AQ$4&amp;AQ$5,Demand_previous!$D$2:$AY$2&amp;Demand_previous!$D$3:$AY$3, 0))/1000</f>
        <v>0.6838269230769235</v>
      </c>
      <c r="AR20" s="103">
        <f t="array" ref="AR20">INDEX(Demand_previous!$D$4:$AY$137, MATCH('Staging Table'!$A20, Demand_previous!$B$4:$B$137, 0), MATCH(AR$4&amp;AR$5,Demand_previous!$D$2:$AY$2&amp;Demand_previous!$D$3:$AY$3, 0))/1000</f>
        <v>0.49238999999999933</v>
      </c>
      <c r="AS20" s="103">
        <f t="array" ref="AS20">INDEX(Demand_previous!$D$4:$AY$137, MATCH('Staging Table'!$A20, Demand_previous!$B$4:$B$137, 0), MATCH(AS$4&amp;AS$5,Demand_previous!$D$2:$AY$2&amp;Demand_previous!$D$3:$AY$3, 0))/1000</f>
        <v>0.37250240384615324</v>
      </c>
      <c r="AT20" s="103">
        <f t="array" ref="AT20">INDEX(Demand_previous!$D$4:$AY$137, MATCH('Staging Table'!$A20, Demand_previous!$B$4:$B$137, 0), MATCH(AT$4&amp;AT$5,Demand_previous!$D$2:$AY$2&amp;Demand_previous!$D$3:$AY$3, 0))/1000</f>
        <v>0.89339583333333383</v>
      </c>
      <c r="AU20" s="103">
        <f t="array" ref="AU20">INDEX(Demand_previous!$D$4:$AY$137, MATCH('Staging Table'!$A20, Demand_previous!$B$4:$B$137, 0), MATCH(AU$4&amp;AU$5,Demand_previous!$D$2:$AY$2&amp;Demand_previous!$D$3:$AY$3, 0))/1000</f>
        <v>0.39002343749999957</v>
      </c>
      <c r="AV20" s="102">
        <f>$F20*(VLOOKUP(AV$4, Rates_previous!$G$6:$Q$29, 10, FALSE)+VLOOKUP(AV$4, Rates_previous!$G$6:$Q$29, 11, FALSE))</f>
        <v>1452.5341350844501</v>
      </c>
      <c r="AW20" s="102">
        <f>$F20*(VLOOKUP(AW$4, Rates_previous!$G$6:$Q$29, 10, FALSE)+VLOOKUP(AW$4, Rates_previous!$G$6:$Q$29, 11, FALSE))</f>
        <v>1852.4599996837003</v>
      </c>
      <c r="AX20" s="102">
        <f>$F20*(VLOOKUP(AX$4, Rates_previous!$G$6:$Q$29, 10, FALSE)+VLOOKUP(AX$4, Rates_previous!$G$6:$Q$29, 11, FALSE))</f>
        <v>1999.1708694705003</v>
      </c>
      <c r="AY20" s="102">
        <f>$F20*(VLOOKUP(AY$4, Rates_previous!$G$6:$Q$29, 10, FALSE)+VLOOKUP(AY$4, Rates_previous!$G$6:$Q$29, 11, FALSE))</f>
        <v>2077.4475808592001</v>
      </c>
      <c r="AZ20" s="102">
        <f>$F20*(VLOOKUP(AZ$4, Rates_previous!$G$6:$Q$29, 10, FALSE)+VLOOKUP(AZ$4, Rates_previous!$G$6:$Q$29, 11, FALSE))</f>
        <v>1786.8818256233999</v>
      </c>
      <c r="BA20" s="102">
        <f>$F20*(VLOOKUP(BA$4, Rates_previous!$G$6:$Q$29, 10, FALSE)+VLOOKUP(BA$4, Rates_previous!$G$6:$Q$29, 11, FALSE))</f>
        <v>1950.9211687713</v>
      </c>
      <c r="BB20" s="102">
        <f>$F20*(VLOOKUP(BB$4, Rates_previous!$G$6:$Q$29, 10, FALSE)+VLOOKUP(BB$4, Rates_previous!$G$6:$Q$29, 11, FALSE))</f>
        <v>1539.9234926737749</v>
      </c>
      <c r="BC20" s="102">
        <f>$F20*(VLOOKUP(BC$4, Rates_previous!$G$6:$Q$29, 10, FALSE)+VLOOKUP(BC$4, Rates_previous!$G$6:$Q$29, 11, FALSE))</f>
        <v>1910.4814520379502</v>
      </c>
      <c r="BD20" s="102">
        <f>$F20*(VLOOKUP(BD$4, Rates_previous!$G$6:$Q$29, 10, FALSE)+VLOOKUP(BD$4, Rates_previous!$G$6:$Q$29, 11, FALSE))</f>
        <v>1951.93413018615</v>
      </c>
      <c r="BE20" s="102">
        <f>$F20*(VLOOKUP(BE$4, Rates_previous!$G$6:$Q$29, 10, FALSE)+VLOOKUP(BE$4, Rates_previous!$G$6:$Q$29, 11, FALSE))</f>
        <v>1694.56003699345</v>
      </c>
      <c r="BF20" s="102">
        <f>$F20*(VLOOKUP(BF$4, Rates_previous!$G$6:$Q$29, 10, FALSE)+VLOOKUP(BF$4, Rates_previous!$G$6:$Q$29, 11, FALSE))</f>
        <v>1638.1891269398052</v>
      </c>
      <c r="BG20" s="102">
        <f>$F20*(VLOOKUP(BG$4, Rates_previous!$G$6:$Q$29, 10, FALSE)+VLOOKUP(BG$4, Rates_previous!$G$6:$Q$29, 11, FALSE))</f>
        <v>1507.4512302454002</v>
      </c>
      <c r="BH20" s="103">
        <f>IF($D20=0,IF(C20=0, MAX(BJ20 - (VLOOKUP($A20,TOCA_previous!$A$2:$AJ$136,MATCH("RHWM "&amp;Init!$D$1-2,TOCA_previous!$A$2:$AJ$2,0),FALSE)*$F$2*TOCA_previous!C17),0),0), 0)</f>
        <v>4883.5980979189189</v>
      </c>
      <c r="BI20" s="109">
        <f>MIN(VLOOKUP($A20,TOCA_previous!$A$2:$AJ$136,MATCH("TRL - NLSL - Existing Resource "&amp;$F$1,TOCA_previous!$A$2:$AJ$2,0),FALSE)*$F$2,(VLOOKUP($A20,TOCA_previous!$A$2:$AJ$136,MATCH("RHWM "&amp;Init!$D$1-2,TOCA_previous!$A$2:$AJ$2,0),FALSE)*$F$2))</f>
        <v>20888.352000000003</v>
      </c>
      <c r="BJ20" s="261">
        <f>SUM(L20:AI20)+(F20*RT1SC!$C$3*$F$2)</f>
        <v>25771.950097918922</v>
      </c>
      <c r="BK20" s="260">
        <f>VLOOKUP($A20,TOCA_previous!$A$2:$AJ$136,MATCH("Above RHWM Not Served with LS "&amp;$F$1,TOCA_previous!$A$2:$AJ$2,0),FALSE)*$F$2</f>
        <v>18709.919999999998</v>
      </c>
      <c r="BL20" s="261">
        <f t="shared" si="21"/>
        <v>4883.5980979189189</v>
      </c>
      <c r="BM20" s="260">
        <f>(VLOOKUP($A20,TOCA_previous!$A$2:$AJ$136,MATCH("RHWM "&amp;Init!$D$1-2,TOCA_previous!$A$2:$AJ$2,0),FALSE)*$F$2) - $BI20</f>
        <v>0</v>
      </c>
      <c r="BN20" s="261">
        <f t="shared" si="22"/>
        <v>0</v>
      </c>
      <c r="BO20" s="260">
        <f t="shared" si="23"/>
        <v>0</v>
      </c>
      <c r="BP20" s="261">
        <f t="shared" si="24"/>
        <v>0</v>
      </c>
      <c r="BQ20" s="260">
        <f t="shared" si="9"/>
        <v>0</v>
      </c>
      <c r="BR20" s="85">
        <f>VLOOKUP($A20,TOCA_current!$A$2:$ZZ$136,MATCH(BR$4,TOCA_current!$A$2:$ZZ$2,0),FALSE)</f>
        <v>3.3629999999999999E-4</v>
      </c>
      <c r="BS20" s="85">
        <f>VLOOKUP($A20,TOCA_current!$A$2:$ZZ$136,MATCH(BS$4,TOCA_current!$A$2:$ZZ$2,0),FALSE)</f>
        <v>3.3629999999999999E-4</v>
      </c>
      <c r="BT20" s="108">
        <f t="shared" si="25"/>
        <v>0</v>
      </c>
      <c r="BU20" s="85">
        <f>VLOOKUP($A20,TOCA_current!A17:BG151,MATCH(BU$4,TOCA_current!$A$2:$BG$2,0),FALSE)</f>
        <v>8.4951902969468862E-2</v>
      </c>
      <c r="BV20" s="85">
        <f t="shared" si="26"/>
        <v>0</v>
      </c>
      <c r="BW20" s="85">
        <f t="shared" si="27"/>
        <v>0</v>
      </c>
      <c r="BX20" s="101">
        <f>VLOOKUP($A20,IRD!$A$4:$G$138, 7, FALSE)</f>
        <v>0</v>
      </c>
      <c r="BY20" s="102">
        <f t="array" ref="BY20">IF($BT20=0, INDEX(LS_current!$D$4:$BW$137, MATCH('Staging Table'!$A20, LS_current!$B$4:$B$137, 0), MATCH(BY$4&amp;BY$5, LS_current!$D$2:$BW$2&amp;LS_current!$D$3:$BW$3, 0)),SUM(VLOOKUP($A20, LS_current!$B$4:$BW$137, LS_current!D$147, FALSE), VLOOKUP($A20, LS_current!$B$4:$BW$137,LS_current!AZ$147, FALSE))/2)</f>
        <v>41.763828960218802</v>
      </c>
      <c r="BZ20" s="102">
        <f t="array" ref="BZ20">IF($BT20=0, INDEX(LS_current!$D$4:$BW$137, MATCH('Staging Table'!$A20, LS_current!$B$4:$B$137, 0), MATCH(BZ$4&amp;BZ$5, LS_current!$D$2:$BW$2&amp;LS_current!$D$3:$BW$3, 0)),SUM(VLOOKUP($A20, LS_current!$B$4:$BW$137, LS_current!E$147, FALSE), VLOOKUP($A20, LS_current!$B$4:$BW$137,LS_current!BA$147, FALSE))/2)</f>
        <v>-116.74155175843055</v>
      </c>
      <c r="CA20" s="102">
        <f t="array" ref="CA20">IF($BT20=0, INDEX(LS_current!$D$4:$BW$137, MATCH('Staging Table'!$A20, LS_current!$B$4:$B$137, 0), MATCH(CA$4&amp;CA$5, LS_current!$D$2:$BW$2&amp;LS_current!$D$3:$BW$3, 0)),SUM(VLOOKUP($A20, LS_current!$B$4:$BW$137, LS_current!F$147, FALSE), VLOOKUP($A20, LS_current!$B$4:$BW$137,LS_current!BB$147, FALSE))/2)</f>
        <v>116.71198736295037</v>
      </c>
      <c r="CB20" s="102">
        <f t="array" ref="CB20">IF($BT20=0, INDEX(LS_current!$D$4:$BW$137, MATCH('Staging Table'!$A20, LS_current!$B$4:$B$137, 0), MATCH(CB$4&amp;CB$5, LS_current!$D$2:$BW$2&amp;LS_current!$D$3:$BW$3, 0)),SUM(VLOOKUP($A20, LS_current!$B$4:$BW$137, LS_current!G$147, FALSE), VLOOKUP($A20, LS_current!$B$4:$BW$137,LS_current!BC$147, FALSE))/2)</f>
        <v>92.331156802767509</v>
      </c>
      <c r="CC20" s="102">
        <f t="array" ref="CC20">IF($BT20=0, INDEX(LS_current!$D$4:$BW$137, MATCH('Staging Table'!$A20, LS_current!$B$4:$B$137, 0), MATCH(CC$4&amp;CC$5, LS_current!$D$2:$BW$2&amp;LS_current!$D$3:$BW$3, 0)),SUM(VLOOKUP($A20, LS_current!$B$4:$BW$137, LS_current!H$147, FALSE), VLOOKUP($A20, LS_current!$B$4:$BW$137,LS_current!BD$147, FALSE))/2)</f>
        <v>337.4440254504384</v>
      </c>
      <c r="CD20" s="102">
        <f t="array" ref="CD20">IF($BT20=0, INDEX(LS_current!$D$4:$BW$137, MATCH('Staging Table'!$A20, LS_current!$B$4:$B$137, 0), MATCH(CD$4&amp;CD$5, LS_current!$D$2:$BW$2&amp;LS_current!$D$3:$BW$3, 0)),SUM(VLOOKUP($A20, LS_current!$B$4:$BW$137, LS_current!I$147, FALSE), VLOOKUP($A20, LS_current!$B$4:$BW$137,LS_current!BE$147, FALSE))/2)</f>
        <v>272.37821107009449</v>
      </c>
      <c r="CE20" s="102">
        <f t="array" ref="CE20">IF($BT20=0, INDEX(LS_current!$D$4:$BW$137, MATCH('Staging Table'!$A20, LS_current!$B$4:$B$137, 0), MATCH(CE$4&amp;CE$5, LS_current!$D$2:$BW$2&amp;LS_current!$D$3:$BW$3, 0)),SUM(VLOOKUP($A20, LS_current!$B$4:$BW$137, LS_current!J$147, FALSE), VLOOKUP($A20, LS_current!$B$4:$BW$137,LS_current!BF$147, FALSE))/2)</f>
        <v>100.70671414561616</v>
      </c>
      <c r="CF20" s="102">
        <f t="array" ref="CF20">IF($BT20=0, INDEX(LS_current!$D$4:$BW$137, MATCH('Staging Table'!$A20, LS_current!$B$4:$B$137, 0), MATCH(CF$4&amp;CF$5, LS_current!$D$2:$BW$2&amp;LS_current!$D$3:$BW$3, 0)),SUM(VLOOKUP($A20, LS_current!$B$4:$BW$137, LS_current!K$147, FALSE), VLOOKUP($A20, LS_current!$B$4:$BW$137,LS_current!BG$147, FALSE))/2)</f>
        <v>84.287300389857819</v>
      </c>
      <c r="CG20" s="102">
        <f t="array" ref="CG20">IF($BT20=0, INDEX(LS_current!$D$4:$BW$137, MATCH('Staging Table'!$A20, LS_current!$B$4:$B$137, 0), MATCH(CG$4&amp;CG$5, LS_current!$D$2:$BW$2&amp;LS_current!$D$3:$BW$3, 0)),SUM(VLOOKUP($A20, LS_current!$B$4:$BW$137, LS_current!L$147, FALSE), VLOOKUP($A20, LS_current!$B$4:$BW$137,LS_current!BH$147, FALSE))/2)</f>
        <v>298.65537867427747</v>
      </c>
      <c r="CH20" s="102">
        <f t="array" ref="CH20">IF($BT20=0, INDEX(LS_current!$D$4:$BW$137, MATCH('Staging Table'!$A20, LS_current!$B$4:$B$137, 0), MATCH(CH$4&amp;CH$5, LS_current!$D$2:$BW$2&amp;LS_current!$D$3:$BW$3, 0)),SUM(VLOOKUP($A20, LS_current!$B$4:$BW$137, LS_current!M$147, FALSE), VLOOKUP($A20, LS_current!$B$4:$BW$137,LS_current!BI$147, FALSE))/2)</f>
        <v>204.77980607899269</v>
      </c>
      <c r="CI20" s="102">
        <f t="array" ref="CI20">IF($BT20=0, INDEX(LS_current!$D$4:$BW$137, MATCH('Staging Table'!$A20, LS_current!$B$4:$B$137, 0), MATCH(CI$4&amp;CI$5, LS_current!$D$2:$BW$2&amp;LS_current!$D$3:$BW$3, 0)),SUM(VLOOKUP($A20, LS_current!$B$4:$BW$137, LS_current!N$147, FALSE), VLOOKUP($A20, LS_current!$B$4:$BW$137,LS_current!BJ$147, FALSE))/2)</f>
        <v>186.25047828547008</v>
      </c>
      <c r="CJ20" s="102">
        <f t="array" ref="CJ20">IF($BT20=0, INDEX(LS_current!$D$4:$BW$137, MATCH('Staging Table'!$A20, LS_current!$B$4:$B$137, 0), MATCH(CJ$4&amp;CJ$5, LS_current!$D$2:$BW$2&amp;LS_current!$D$3:$BW$3, 0)),SUM(VLOOKUP($A20, LS_current!$B$4:$BW$137, LS_current!O$147, FALSE), VLOOKUP($A20, LS_current!$B$4:$BW$137,LS_current!BK$147, FALSE))/2)</f>
        <v>262.67012889036255</v>
      </c>
      <c r="CK20" s="102">
        <f t="array" ref="CK20">IF($BT20=0, INDEX(LS_current!$D$4:$BW$137, MATCH('Staging Table'!$A20, LS_current!$B$4:$B$137, 0), MATCH(CK$4&amp;CK$5, LS_current!$D$2:$BW$2&amp;LS_current!$D$3:$BW$3, 0)),SUM(VLOOKUP($A20, LS_current!$B$4:$BW$137, LS_current!P$147, FALSE), VLOOKUP($A20, LS_current!$B$4:$BW$137,LS_current!BL$147, FALSE))/2)</f>
        <v>188.89710554552039</v>
      </c>
      <c r="CL20" s="102">
        <f t="array" ref="CL20">IF($BT20=0, INDEX(LS_current!$D$4:$BW$137, MATCH('Staging Table'!$A20, LS_current!$B$4:$B$137, 0), MATCH(CL$4&amp;CL$5, LS_current!$D$2:$BW$2&amp;LS_current!$D$3:$BW$3, 0)),SUM(VLOOKUP($A20, LS_current!$B$4:$BW$137, LS_current!Q$147, FALSE), VLOOKUP($A20, LS_current!$B$4:$BW$137,LS_current!BM$147, FALSE))/2)</f>
        <v>48.331557447736259</v>
      </c>
      <c r="CM20" s="102">
        <f t="array" ref="CM20">IF($BT20=0, INDEX(LS_current!$D$4:$BW$137, MATCH('Staging Table'!$A20, LS_current!$B$4:$B$137, 0), MATCH(CM$4&amp;CM$5, LS_current!$D$2:$BW$2&amp;LS_current!$D$3:$BW$3, 0)),SUM(VLOOKUP($A20, LS_current!$B$4:$BW$137, LS_current!R$147, FALSE), VLOOKUP($A20, LS_current!$B$4:$BW$137,LS_current!BN$147, FALSE))/2)</f>
        <v>-313.62708925852303</v>
      </c>
      <c r="CN20" s="102">
        <f t="array" ref="CN20">IF($BT20=0, INDEX(LS_current!$D$4:$BW$137, MATCH('Staging Table'!$A20, LS_current!$B$4:$B$137, 0), MATCH(CN$4&amp;CN$5, LS_current!$D$2:$BW$2&amp;LS_current!$D$3:$BW$3, 0)),SUM(VLOOKUP($A20, LS_current!$B$4:$BW$137, LS_current!S$147, FALSE), VLOOKUP($A20, LS_current!$B$4:$BW$137,LS_current!BO$147, FALSE))/2)</f>
        <v>-212.41004330692488</v>
      </c>
      <c r="CO20" s="102">
        <f t="array" ref="CO20">IF($BT20=0, INDEX(LS_current!$D$4:$BW$137, MATCH('Staging Table'!$A20, LS_current!$B$4:$B$137, 0), MATCH(CO$4&amp;CO$5, LS_current!$D$2:$BW$2&amp;LS_current!$D$3:$BW$3, 0)),SUM(VLOOKUP($A20, LS_current!$B$4:$BW$137, LS_current!T$147, FALSE), VLOOKUP($A20, LS_current!$B$4:$BW$137,LS_current!BP$147, FALSE))/2)</f>
        <v>-389.74437345471802</v>
      </c>
      <c r="CP20" s="102">
        <f t="array" ref="CP20">IF($BT20=0, INDEX(LS_current!$D$4:$BW$137, MATCH('Staging Table'!$A20, LS_current!$B$4:$B$137, 0), MATCH(CP$4&amp;CP$5, LS_current!$D$2:$BW$2&amp;LS_current!$D$3:$BW$3, 0)),SUM(VLOOKUP($A20, LS_current!$B$4:$BW$137, LS_current!U$147, FALSE), VLOOKUP($A20, LS_current!$B$4:$BW$137,LS_current!BQ$147, FALSE))/2)</f>
        <v>-207.2124957356217</v>
      </c>
      <c r="CQ20" s="102">
        <f t="array" ref="CQ20">IF($BT20=0, INDEX(LS_current!$D$4:$BW$137, MATCH('Staging Table'!$A20, LS_current!$B$4:$B$137, 0), MATCH(CQ$4&amp;CQ$5, LS_current!$D$2:$BW$2&amp;LS_current!$D$3:$BW$3, 0)),SUM(VLOOKUP($A20, LS_current!$B$4:$BW$137, LS_current!V$147, FALSE), VLOOKUP($A20, LS_current!$B$4:$BW$137,LS_current!BR$147, FALSE))/2)</f>
        <v>-151.58853136388598</v>
      </c>
      <c r="CR20" s="102">
        <f t="array" ref="CR20">IF($BT20=0, INDEX(LS_current!$D$4:$BW$137, MATCH('Staging Table'!$A20, LS_current!$B$4:$B$137, 0), MATCH(CR$4&amp;CR$5, LS_current!$D$2:$BW$2&amp;LS_current!$D$3:$BW$3, 0)),SUM(VLOOKUP($A20, LS_current!$B$4:$BW$137, LS_current!W$147, FALSE), VLOOKUP($A20, LS_current!$B$4:$BW$137,LS_current!BS$147, FALSE))/2)</f>
        <v>-120.11951009684833</v>
      </c>
      <c r="CS20" s="102">
        <f t="array" ref="CS20">IF($BT20=0, INDEX(LS_current!$D$4:$BW$137, MATCH('Staging Table'!$A20, LS_current!$B$4:$B$137, 0), MATCH(CS$4&amp;CS$5, LS_current!$D$2:$BW$2&amp;LS_current!$D$3:$BW$3, 0)),SUM(VLOOKUP($A20, LS_current!$B$4:$BW$137, LS_current!X$147, FALSE), VLOOKUP($A20, LS_current!$B$4:$BW$137,LS_current!BT$147, FALSE))/2)</f>
        <v>-376.54604797790148</v>
      </c>
      <c r="CT20" s="102">
        <f t="array" ref="CT20">IF($BT20=0, INDEX(LS_current!$D$4:$BW$137, MATCH('Staging Table'!$A20, LS_current!$B$4:$B$137, 0), MATCH(CT$4&amp;CT$5, LS_current!$D$2:$BW$2&amp;LS_current!$D$3:$BW$3, 0)),SUM(VLOOKUP($A20, LS_current!$B$4:$BW$137, LS_current!Y$147, FALSE), VLOOKUP($A20, LS_current!$B$4:$BW$137,LS_current!BU$147, FALSE))/2)</f>
        <v>-172.85176320771063</v>
      </c>
      <c r="CU20" s="102">
        <f t="array" ref="CU20">IF($BT20=0, INDEX(LS_current!$D$4:$BW$137, MATCH('Staging Table'!$A20, LS_current!$B$4:$B$137, 0), MATCH(CU$4&amp;CU$5, LS_current!$D$2:$BW$2&amp;LS_current!$D$3:$BW$3, 0)),SUM(VLOOKUP($A20, LS_current!$B$4:$BW$137, LS_current!Z$147, FALSE), VLOOKUP($A20, LS_current!$B$4:$BW$137,LS_current!BV$147, FALSE))/2)</f>
        <v>-53.992062552256471</v>
      </c>
      <c r="CV20" s="102">
        <f t="array" ref="CV20">IF($BT20=0, INDEX(LS_current!$D$4:$BW$137, MATCH('Staging Table'!$A20, LS_current!$B$4:$B$137, 0), MATCH(CV$4&amp;CV$5, LS_current!$D$2:$BW$2&amp;LS_current!$D$3:$BW$3, 0)),SUM(VLOOKUP($A20, LS_current!$B$4:$BW$137, LS_current!AA$147, FALSE), VLOOKUP($A20, LS_current!$B$4:$BW$137,LS_current!BW$147, FALSE))/2)</f>
        <v>-121.2778514092916</v>
      </c>
      <c r="CW20" s="103">
        <f t="array" ref="CW20">INDEX(Demand_current!$D$4:$BW$137, MATCH($A20, Demand_current!$B$4:$B$137, 0), MATCH(CW$4&amp;CW$5,Demand_current!$D$2:$BW$2&amp;Demand_current!$D$3:$BW$3, 0))/1000</f>
        <v>0.64116203703703745</v>
      </c>
      <c r="CX20" s="103">
        <f t="array" ref="CX20">INDEX(Demand_current!$D$4:$BW$137, MATCH($A20, Demand_current!$B$4:$B$137, 0), MATCH(CX$4&amp;CX$5,Demand_current!$D$2:$BW$2&amp;Demand_current!$D$3:$BW$3, 0))/1000</f>
        <v>0.36365885416666599</v>
      </c>
      <c r="CY20" s="103">
        <f t="array" ref="CY20">INDEX(Demand_current!$D$4:$BW$137, MATCH($A20, Demand_current!$B$4:$B$137, 0), MATCH(CY$4&amp;CY$5,Demand_current!$D$2:$BW$2&amp;Demand_current!$D$3:$BW$3, 0))/1000</f>
        <v>1.1897836538461541</v>
      </c>
      <c r="CZ20" s="103">
        <f t="array" ref="CZ20">INDEX(Demand_current!$D$4:$BW$137, MATCH($A20, Demand_current!$B$4:$B$137, 0), MATCH(CZ$4&amp;CZ$5,Demand_current!$D$2:$BW$2&amp;Demand_current!$D$3:$BW$3, 0))/1000</f>
        <v>0.83076442307692333</v>
      </c>
      <c r="DA20" s="103">
        <f t="array" ref="DA20">INDEX(Demand_current!$D$4:$BW$137, MATCH($A20, Demand_current!$B$4:$B$137, 0), MATCH(DA$4&amp;DA$5,Demand_current!$D$2:$BW$2&amp;Demand_current!$D$3:$BW$3, 0))/1000</f>
        <v>1.4025442708333342</v>
      </c>
      <c r="DB20" s="103">
        <f t="array" ref="DB20">INDEX(Demand_current!$D$4:$BW$137, MATCH($A20, Demand_current!$B$4:$B$137, 0), MATCH(DB$4&amp;DB$5,Demand_current!$D$2:$BW$2&amp;Demand_current!$D$3:$BW$3, 0))/1000</f>
        <v>0.32497355769230746</v>
      </c>
      <c r="DC20" s="103">
        <f t="array" ref="DC20">INDEX(Demand_current!$D$4:$BW$137, MATCH($A20, Demand_current!$B$4:$B$137, 0), MATCH(DC$4&amp;DC$5,Demand_current!$D$2:$BW$2&amp;Demand_current!$D$3:$BW$3, 0))/1000</f>
        <v>1.0379278846153839</v>
      </c>
      <c r="DD20" s="103">
        <f t="array" ref="DD20">INDEX(Demand_current!$D$4:$BW$137, MATCH($A20, Demand_current!$B$4:$B$137, 0), MATCH(DD$4&amp;DD$5,Demand_current!$D$2:$BW$2&amp;Demand_current!$D$3:$BW$3, 0))/1000</f>
        <v>0.50174000000000019</v>
      </c>
      <c r="DE20" s="103">
        <f t="array" ref="DE20">INDEX(Demand_current!$D$4:$BW$137, MATCH($A20, Demand_current!$B$4:$B$137, 0), MATCH(DE$4&amp;DE$5,Demand_current!$D$2:$BW$2&amp;Demand_current!$D$3:$BW$3, 0))/1000</f>
        <v>0.68210576923076871</v>
      </c>
      <c r="DF20" s="103">
        <f t="array" ref="DF20">INDEX(Demand_current!$D$4:$BW$137, MATCH($A20, Demand_current!$B$4:$B$137, 0), MATCH(DF$4&amp;DF$5,Demand_current!$D$2:$BW$2&amp;Demand_current!$D$3:$BW$3, 0))/1000</f>
        <v>0.37250240384615324</v>
      </c>
      <c r="DG20" s="103">
        <f t="array" ref="DG20">INDEX(Demand_current!$D$4:$BW$137, MATCH($A20, Demand_current!$B$4:$B$137, 0), MATCH(DG$4&amp;DG$5,Demand_current!$D$2:$BW$2&amp;Demand_current!$D$3:$BW$3, 0))/1000</f>
        <v>0.7241802884615387</v>
      </c>
      <c r="DH20" s="103">
        <f t="array" ref="DH20">INDEX(Demand_current!$D$4:$BW$137, MATCH($A20, Demand_current!$B$4:$B$137, 0), MATCH(DH$4&amp;DH$5,Demand_current!$D$2:$BW$2&amp;Demand_current!$D$3:$BW$3, 0))/1000</f>
        <v>0.58418250000000027</v>
      </c>
      <c r="DI20" s="102">
        <f>$BS20*(VLOOKUP(DI$4, Rates_current!$H$6:$R$41, 10, FALSE)+VLOOKUP(DI$4, Rates_current!$H$6:$R$41, 11, FALSE))</f>
        <v>1395.7417227982119</v>
      </c>
      <c r="DJ20" s="102">
        <f>$BS20*(VLOOKUP(DJ$4, Rates_current!$H$6:$R$41, 10, FALSE)+VLOOKUP(DJ$4, Rates_current!$H$6:$R$41, 11, FALSE))</f>
        <v>1784.4098558342828</v>
      </c>
      <c r="DK20" s="102">
        <f>$BS20*(VLOOKUP(DK$4, Rates_current!$H$6:$R$41, 10, FALSE)+VLOOKUP(DK$4, Rates_current!$H$6:$R$41, 11, FALSE))</f>
        <v>2028.7247634794671</v>
      </c>
      <c r="DL20" s="102">
        <f>$BS20*(VLOOKUP(DL$4, Rates_current!$H$6:$R$41, 10, FALSE)+VLOOKUP(DL$4, Rates_current!$H$6:$R$41, 11, FALSE))</f>
        <v>2140.4629854645264</v>
      </c>
      <c r="DM20" s="102">
        <f>$BS20*(VLOOKUP(DM$4, Rates_current!$H$6:$R$41, 10, FALSE)+VLOOKUP(DM$4, Rates_current!$H$6:$R$41, 11, FALSE))</f>
        <v>1705.7558152467298</v>
      </c>
      <c r="DN20" s="102">
        <f>$BS20*(VLOOKUP(DN$4, Rates_current!$H$6:$R$41, 10, FALSE)+VLOOKUP(DN$4, Rates_current!$H$6:$R$41, 11, FALSE))</f>
        <v>1864.7413928241674</v>
      </c>
      <c r="DO20" s="102">
        <f>$BS20*(VLOOKUP(DO$4, Rates_current!$H$6:$R$41, 10, FALSE)+VLOOKUP(DO$4, Rates_current!$H$6:$R$41, 11, FALSE))</f>
        <v>1445.1933370067438</v>
      </c>
      <c r="DP20" s="102">
        <f>$BS20*(VLOOKUP(DP$4, Rates_current!$H$6:$R$41, 10, FALSE)+VLOOKUP(DP$4, Rates_current!$H$6:$R$41, 11, FALSE))</f>
        <v>1870.3181325654477</v>
      </c>
      <c r="DQ20" s="102">
        <f>$BS20*(VLOOKUP(DQ$4, Rates_current!$H$6:$R$41, 10, FALSE)+VLOOKUP(DQ$4, Rates_current!$H$6:$R$41, 11, FALSE))</f>
        <v>1910.2548691903401</v>
      </c>
      <c r="DR20" s="102">
        <f>$BS20*(VLOOKUP(DR$4, Rates_current!$H$6:$R$41, 10, FALSE)+VLOOKUP(DR$4, Rates_current!$H$6:$R$41, 11, FALSE))</f>
        <v>1700.2920414607345</v>
      </c>
      <c r="DS20" s="102">
        <f>$BS20*(VLOOKUP(DS$4, Rates_current!$H$6:$R$41, 10, FALSE)+VLOOKUP(DS$4, Rates_current!$H$6:$R$41, 11, FALSE))</f>
        <v>1744.1878111856122</v>
      </c>
      <c r="DT20" s="102">
        <f>$BS20*(VLOOKUP(DT$4, Rates_current!$H$6:$R$41, 10, FALSE)+VLOOKUP(DT$4, Rates_current!$H$6:$R$41, 11, FALSE))</f>
        <v>1354.5709139615481</v>
      </c>
      <c r="DU20" s="261">
        <f>IF(D20=0,IF(C20=0,MAX(0,DW20 - (VLOOKUP($A20,TOCA_current!$A$2:$AV$136,MATCH("RHWM "&amp;Init!$D$1,TOCA_current!$A$2:$AV$2,0),FALSE)*$BS$2)), 0),0)</f>
        <v>0</v>
      </c>
      <c r="DV20" s="262">
        <f>MIN(VLOOKUP($A20,TOCA_current!$A$2:$AV$136,MATCH("TRL - NLSL - Existing Resource "&amp;$BS$1,TOCA_current!$A$2:$AV$2,0),FALSE)*$BS$2, VLOOKUP($A20,TOCA_current!$A$2:$AV$136,MATCH("RHWM "&amp;Init!$D$1,TOCA_current!$A$2:$AV$2,0),FALSE)*$BS$2)</f>
        <v>20945.16</v>
      </c>
      <c r="DW20" s="262">
        <f>SUM(BY20:CV20)+(BS20*RT1SC!$C$4*$BS$2)</f>
        <v>20943.751236358195</v>
      </c>
      <c r="DX20" s="262">
        <f>VLOOKUP($A20,TOCA_current!$A$2:$AV$136,MATCH("Above RHWM Not Served with LS "&amp;$BS$1,TOCA_current!$A$2:$AV$2,0),FALSE)*$BS$2</f>
        <v>23538.12</v>
      </c>
      <c r="DY20" s="262">
        <f t="shared" si="28"/>
        <v>-1.4087636418043985</v>
      </c>
      <c r="DZ20" s="262">
        <f>(VLOOKUP($A20,TOCA_current!$A$2:$AV$136,MATCH("RHWM "&amp;Init!$D$1,TOCA_current!$A$2:$AV$2,0),FALSE)*$BS$2) - $DV20</f>
        <v>0</v>
      </c>
      <c r="EA20" s="262">
        <f t="shared" si="29"/>
        <v>0</v>
      </c>
      <c r="EB20" s="262">
        <f t="shared" si="30"/>
        <v>0</v>
      </c>
      <c r="EC20" s="262">
        <f t="shared" si="31"/>
        <v>0</v>
      </c>
      <c r="ED20" s="262">
        <f t="shared" si="32"/>
        <v>0</v>
      </c>
    </row>
    <row r="21" spans="1:134">
      <c r="A21" s="2">
        <v>10066</v>
      </c>
      <c r="B21" s="3" t="s">
        <v>23</v>
      </c>
      <c r="C21">
        <f>VLOOKUP(A21, TOCA_current!$A$3:$D$136, 4, FALSE)</f>
        <v>0</v>
      </c>
      <c r="D21">
        <v>0</v>
      </c>
      <c r="E21" s="84">
        <f>VLOOKUP($A21,TOCA_previous!$A$2:$AJ$136,MATCH(E$4,TOCA_previous!$A$2:$AJ$2,0),FALSE)</f>
        <v>3.5282E-3</v>
      </c>
      <c r="F21" s="85">
        <f>VLOOKUP($A21,TOCA_previous!$A$2:$AJ$136,MATCH(F$4,TOCA_previous!$A$2:$AJ$2,0),FALSE)</f>
        <v>3.5282E-3</v>
      </c>
      <c r="G21" s="85">
        <f t="shared" si="18"/>
        <v>0</v>
      </c>
      <c r="H21" s="85">
        <f>VLOOKUP($A21,TOCA_previous!$A$2:$AJ$136,MATCH(H$4,TOCA_previous!$A$2:$AJ$2,0),FALSE)</f>
        <v>0</v>
      </c>
      <c r="I21" s="85">
        <f t="shared" si="19"/>
        <v>0</v>
      </c>
      <c r="J21" s="85">
        <f t="shared" si="20"/>
        <v>0</v>
      </c>
      <c r="K21" s="101">
        <f>VLOOKUP(A21, IRD!$A$5:$C$138, 3, FALSE)</f>
        <v>0</v>
      </c>
      <c r="L21" s="102">
        <f t="array" ref="L21">IF($G21=0, INDEX(LS_previous!$D$4:$AY$137, MATCH('Staging Table'!$A21, LS_previous!$B$4:$B$137, 0), MATCH(L$4&amp;L$5, LS_previous!$D$2:$AY$2&amp;LS_previous!$D$3:$AY$3, 0)),SUM(VLOOKUP($A21, LS_previous!$B$4:$AY$137, LS_previous!D$148, FALSE), VLOOKUP('Staging Table'!$A21, LS_previous!$B$4:$AY$137,LS_previous!AB$148, FALSE))/2)</f>
        <v>1704.5529521847984</v>
      </c>
      <c r="M21" s="102">
        <f t="array" ref="M21">IF($G21=0, INDEX(LS_previous!$D$4:$AY$137, MATCH('Staging Table'!$A21, LS_previous!$B$4:$B$137, 0), MATCH(M$4&amp;M$5, LS_previous!$D$2:$AY$2&amp;LS_previous!$D$3:$AY$3, 0)),SUM(VLOOKUP($A21, LS_previous!$B$4:$AY$137, LS_previous!E$148, FALSE), VLOOKUP('Staging Table'!$A21, LS_previous!$B$4:$AY$137,LS_previous!AC$148, FALSE))/2)</f>
        <v>-742.6363835091006</v>
      </c>
      <c r="N21" s="102">
        <f t="array" ref="N21">IF($G21=0, INDEX(LS_previous!$D$4:$AY$137, MATCH('Staging Table'!$A21, LS_previous!$B$4:$B$137, 0), MATCH(N$4&amp;N$5, LS_previous!$D$2:$AY$2&amp;LS_previous!$D$3:$AY$3, 0)),SUM(VLOOKUP($A21, LS_previous!$B$4:$AY$137, LS_previous!F$148, FALSE), VLOOKUP('Staging Table'!$A21, LS_previous!$B$4:$AY$137,LS_previous!AD$148, FALSE))/2)</f>
        <v>1911.7278093503992</v>
      </c>
      <c r="O21" s="102">
        <f t="array" ref="O21">IF($G21=0, INDEX(LS_previous!$D$4:$AY$137, MATCH('Staging Table'!$A21, LS_previous!$B$4:$B$137, 0), MATCH(O$4&amp;O$5, LS_previous!$D$2:$AY$2&amp;LS_previous!$D$3:$AY$3, 0)),SUM(VLOOKUP($A21, LS_previous!$B$4:$AY$137, LS_previous!G$148, FALSE), VLOOKUP('Staging Table'!$A21, LS_previous!$B$4:$AY$137,LS_previous!AE$148, FALSE))/2)</f>
        <v>1490.8280141057994</v>
      </c>
      <c r="P21" s="102">
        <f t="array" ref="P21">IF($G21=0, INDEX(LS_previous!$D$4:$AY$137, MATCH('Staging Table'!$A21, LS_previous!$B$4:$B$137, 0), MATCH(P$4&amp;P$5, LS_previous!$D$2:$AY$2&amp;LS_previous!$D$3:$AY$3, 0)),SUM(VLOOKUP($A21, LS_previous!$B$4:$AY$137, LS_previous!H$148, FALSE), VLOOKUP('Staging Table'!$A21, LS_previous!$B$4:$AY$137,LS_previous!AF$148, FALSE))/2)</f>
        <v>4821.5512156601981</v>
      </c>
      <c r="Q21" s="102">
        <f t="array" ref="Q21">IF($G21=0, INDEX(LS_previous!$D$4:$AY$137, MATCH('Staging Table'!$A21, LS_previous!$B$4:$B$137, 0), MATCH(Q$4&amp;Q$5, LS_previous!$D$2:$AY$2&amp;LS_previous!$D$3:$AY$3, 0)),SUM(VLOOKUP($A21, LS_previous!$B$4:$AY$137, LS_previous!I$148, FALSE), VLOOKUP('Staging Table'!$A21, LS_previous!$B$4:$AY$137,LS_previous!AG$148, FALSE))/2)</f>
        <v>2522.6750417728008</v>
      </c>
      <c r="R21" s="102">
        <f t="array" ref="R21">IF($G21=0, INDEX(LS_previous!$D$4:$AY$137, MATCH('Staging Table'!$A21, LS_previous!$B$4:$B$137, 0), MATCH(R$4&amp;R$5, LS_previous!$D$2:$AY$2&amp;LS_previous!$D$3:$AY$3, 0)),SUM(VLOOKUP($A21, LS_previous!$B$4:$AY$137, LS_previous!J$148, FALSE), VLOOKUP('Staging Table'!$A21, LS_previous!$B$4:$AY$137,LS_previous!AH$148, FALSE))/2)</f>
        <v>4680.318491136999</v>
      </c>
      <c r="S21" s="102">
        <f t="array" ref="S21">IF($G21=0, INDEX(LS_previous!$D$4:$AY$137, MATCH('Staging Table'!$A21, LS_previous!$B$4:$B$137, 0), MATCH(S$4&amp;S$5, LS_previous!$D$2:$AY$2&amp;LS_previous!$D$3:$AY$3, 0)),SUM(VLOOKUP($A21, LS_previous!$B$4:$AY$137, LS_previous!K$148, FALSE), VLOOKUP('Staging Table'!$A21, LS_previous!$B$4:$AY$137,LS_previous!AI$148, FALSE))/2)</f>
        <v>2985.9884060822005</v>
      </c>
      <c r="T21" s="102">
        <f t="array" ref="T21">IF($G21=0, INDEX(LS_previous!$D$4:$AY$137, MATCH('Staging Table'!$A21, LS_previous!$B$4:$B$137, 0), MATCH(T$4&amp;T$5, LS_previous!$D$2:$AY$2&amp;LS_previous!$D$3:$AY$3, 0)),SUM(VLOOKUP($A21, LS_previous!$B$4:$AY$137, LS_previous!L$148, FALSE), VLOOKUP('Staging Table'!$A21, LS_previous!$B$4:$AY$137,LS_previous!AJ$148, FALSE))/2)</f>
        <v>3551.5915397121989</v>
      </c>
      <c r="U21" s="102">
        <f t="array" ref="U21">IF($G21=0, INDEX(LS_previous!$D$4:$AY$137, MATCH('Staging Table'!$A21, LS_previous!$B$4:$B$137, 0), MATCH(U$4&amp;U$5, LS_previous!$D$2:$AY$2&amp;LS_previous!$D$3:$AY$3, 0)),SUM(VLOOKUP($A21, LS_previous!$B$4:$AY$137, LS_previous!M$148, FALSE), VLOOKUP('Staging Table'!$A21, LS_previous!$B$4:$AY$137,LS_previous!AK$148, FALSE))/2)</f>
        <v>2314.1489082562002</v>
      </c>
      <c r="V21" s="102">
        <f t="array" ref="V21">IF($G21=0, INDEX(LS_previous!$D$4:$AY$137, MATCH('Staging Table'!$A21, LS_previous!$B$4:$B$137, 0), MATCH(V$4&amp;V$5, LS_previous!$D$2:$AY$2&amp;LS_previous!$D$3:$AY$3, 0)),SUM(VLOOKUP($A21, LS_previous!$B$4:$AY$137, LS_previous!N$148, FALSE), VLOOKUP('Staging Table'!$A21, LS_previous!$B$4:$AY$137,LS_previous!AL$148, FALSE))/2)</f>
        <v>2733.4383855134001</v>
      </c>
      <c r="W21" s="102">
        <f t="array" ref="W21">IF($G21=0, INDEX(LS_previous!$D$4:$AY$137, MATCH('Staging Table'!$A21, LS_previous!$B$4:$B$137, 0), MATCH(W$4&amp;W$5, LS_previous!$D$2:$AY$2&amp;LS_previous!$D$3:$AY$3, 0)),SUM(VLOOKUP($A21, LS_previous!$B$4:$AY$137, LS_previous!O$148, FALSE), VLOOKUP('Staging Table'!$A21, LS_previous!$B$4:$AY$137,LS_previous!AM$148, FALSE))/2)</f>
        <v>1500.6536828604003</v>
      </c>
      <c r="X21" s="102">
        <f t="array" ref="X21">IF($G21=0, INDEX(LS_previous!$D$4:$AY$137, MATCH('Staging Table'!$A21, LS_previous!$B$4:$B$137, 0), MATCH(X$4&amp;X$5, LS_previous!$D$2:$AY$2&amp;LS_previous!$D$3:$AY$3, 0)),SUM(VLOOKUP($A21, LS_previous!$B$4:$AY$137, LS_previous!P$148, FALSE), VLOOKUP('Staging Table'!$A21, LS_previous!$B$4:$AY$137,LS_previous!AN$148, FALSE))/2)</f>
        <v>2056.0548794245005</v>
      </c>
      <c r="Y21" s="102">
        <f t="array" ref="Y21">IF($G21=0, INDEX(LS_previous!$D$4:$AY$137, MATCH('Staging Table'!$A21, LS_previous!$B$4:$B$137, 0), MATCH(Y$4&amp;Y$5, LS_previous!$D$2:$AY$2&amp;LS_previous!$D$3:$AY$3, 0)),SUM(VLOOKUP($A21, LS_previous!$B$4:$AY$137, LS_previous!Q$148, FALSE), VLOOKUP('Staging Table'!$A21, LS_previous!$B$4:$AY$137,LS_previous!AO$148, FALSE))/2)</f>
        <v>106.83986425365038</v>
      </c>
      <c r="Z21" s="102">
        <f t="array" ref="Z21">IF($G21=0, INDEX(LS_previous!$D$4:$AY$137, MATCH('Staging Table'!$A21, LS_previous!$B$4:$B$137, 0), MATCH(Z$4&amp;Z$5, LS_previous!$D$2:$AY$2&amp;LS_previous!$D$3:$AY$3, 0)),SUM(VLOOKUP($A21, LS_previous!$B$4:$AY$137, LS_previous!R$148, FALSE), VLOOKUP('Staging Table'!$A21, LS_previous!$B$4:$AY$137,LS_previous!AP$148, FALSE))/2)</f>
        <v>-2493.643203113601</v>
      </c>
      <c r="AA21" s="102">
        <f t="array" ref="AA21">IF($G21=0, INDEX(LS_previous!$D$4:$AY$137, MATCH('Staging Table'!$A21, LS_previous!$B$4:$B$137, 0), MATCH(AA$4&amp;AA$5, LS_previous!$D$2:$AY$2&amp;LS_previous!$D$3:$AY$3, 0)),SUM(VLOOKUP($A21, LS_previous!$B$4:$AY$137, LS_previous!S$148, FALSE), VLOOKUP('Staging Table'!$A21, LS_previous!$B$4:$AY$137,LS_previous!AQ$148, FALSE))/2)</f>
        <v>-2077.0834050197</v>
      </c>
      <c r="AB21" s="102">
        <f t="array" ref="AB21">IF($G21=0, INDEX(LS_previous!$D$4:$AY$137, MATCH('Staging Table'!$A21, LS_previous!$B$4:$B$137, 0), MATCH(AB$4&amp;AB$5, LS_previous!$D$2:$AY$2&amp;LS_previous!$D$3:$AY$3, 0)),SUM(VLOOKUP($A21, LS_previous!$B$4:$AY$137, LS_previous!T$148, FALSE), VLOOKUP('Staging Table'!$A21, LS_previous!$B$4:$AY$137,LS_previous!AR$148, FALSE))/2)</f>
        <v>-3287.5769645131986</v>
      </c>
      <c r="AC21" s="102">
        <f t="array" ref="AC21">IF($G21=0, INDEX(LS_previous!$D$4:$AY$137, MATCH('Staging Table'!$A21, LS_previous!$B$4:$B$137, 0), MATCH(AC$4&amp;AC$5, LS_previous!$D$2:$AY$2&amp;LS_previous!$D$3:$AY$3, 0)),SUM(VLOOKUP($A21, LS_previous!$B$4:$AY$137, LS_previous!U$148, FALSE), VLOOKUP('Staging Table'!$A21, LS_previous!$B$4:$AY$137,LS_previous!AS$148, FALSE))/2)</f>
        <v>-2956.5622472869009</v>
      </c>
      <c r="AD21" s="102">
        <f t="array" ref="AD21">IF($G21=0, INDEX(LS_previous!$D$4:$AY$137, MATCH('Staging Table'!$A21, LS_previous!$B$4:$B$137, 0), MATCH(AD$4&amp;AD$5, LS_previous!$D$2:$AY$2&amp;LS_previous!$D$3:$AY$3, 0)),SUM(VLOOKUP($A21, LS_previous!$B$4:$AY$137, LS_previous!V$148, FALSE), VLOOKUP('Staging Table'!$A21, LS_previous!$B$4:$AY$137,LS_previous!AT$148, FALSE))/2)</f>
        <v>-496.68446974479957</v>
      </c>
      <c r="AE21" s="102">
        <f t="array" ref="AE21">IF($G21=0, INDEX(LS_previous!$D$4:$AY$137, MATCH('Staging Table'!$A21, LS_previous!$B$4:$B$137, 0), MATCH(AE$4&amp;AE$5, LS_previous!$D$2:$AY$2&amp;LS_previous!$D$3:$AY$3, 0)),SUM(VLOOKUP($A21, LS_previous!$B$4:$AY$137, LS_previous!W$148, FALSE), VLOOKUP('Staging Table'!$A21, LS_previous!$B$4:$AY$137,LS_previous!AU$148, FALSE))/2)</f>
        <v>-1347.6723743454995</v>
      </c>
      <c r="AF21" s="102">
        <f t="array" ref="AF21">IF($G21=0, INDEX(LS_previous!$D$4:$AY$137, MATCH('Staging Table'!$A21, LS_previous!$B$4:$B$137, 0), MATCH(AF$4&amp;AF$5, LS_previous!$D$2:$AY$2&amp;LS_previous!$D$3:$AY$3, 0)),SUM(VLOOKUP($A21, LS_previous!$B$4:$AY$137, LS_previous!X$148, FALSE), VLOOKUP('Staging Table'!$A21, LS_previous!$B$4:$AY$137,LS_previous!AV$148, FALSE))/2)</f>
        <v>-1670.6843830862999</v>
      </c>
      <c r="AG21" s="102">
        <f t="array" ref="AG21">IF($G21=0, INDEX(LS_previous!$D$4:$AY$137, MATCH('Staging Table'!$A21, LS_previous!$B$4:$B$137, 0), MATCH(AG$4&amp;AG$5, LS_previous!$D$2:$AY$2&amp;LS_previous!$D$3:$AY$3, 0)),SUM(VLOOKUP($A21, LS_previous!$B$4:$AY$137, LS_previous!Y$148, FALSE), VLOOKUP('Staging Table'!$A21, LS_previous!$B$4:$AY$137,LS_previous!AW$148, FALSE))/2)</f>
        <v>-1762.1248933267689</v>
      </c>
      <c r="AH21" s="102">
        <f t="array" ref="AH21">IF($G21=0, INDEX(LS_previous!$D$4:$AY$137, MATCH('Staging Table'!$A21, LS_previous!$B$4:$B$137, 0), MATCH(AH$4&amp;AH$5, LS_previous!$D$2:$AY$2&amp;LS_previous!$D$3:$AY$3, 0)),SUM(VLOOKUP($A21, LS_previous!$B$4:$AY$137, LS_previous!Z$148, FALSE), VLOOKUP('Staging Table'!$A21, LS_previous!$B$4:$AY$137,LS_previous!AX$148, FALSE))/2)</f>
        <v>-916.17021832680075</v>
      </c>
      <c r="AI21" s="102">
        <f t="array" ref="AI21">IF($G21=0, INDEX(LS_previous!$D$4:$AY$137, MATCH('Staging Table'!$A21, LS_previous!$B$4:$B$137, 0), MATCH(AI$4&amp;AI$5, LS_previous!$D$2:$AY$2&amp;LS_previous!$D$3:$AY$3, 0)),SUM(VLOOKUP($A21, LS_previous!$B$4:$AY$137, LS_previous!AA$148, FALSE), VLOOKUP('Staging Table'!$A21, LS_previous!$B$4:$AY$137,LS_previous!AY$148, FALSE))/2)</f>
        <v>-2093.7398727328</v>
      </c>
      <c r="AJ21" s="103">
        <f t="array" ref="AJ21">INDEX(Demand_previous!$D$4:$AY$137, MATCH('Staging Table'!$A21, Demand_previous!$B$4:$B$137, 0), MATCH(AJ$4&amp;AJ$5,Demand_previous!$D$2:$AY$2&amp;Demand_previous!$D$3:$AY$3, 0))/1000</f>
        <v>0</v>
      </c>
      <c r="AK21" s="103">
        <f t="array" ref="AK21">INDEX(Demand_previous!$D$4:$AY$137, MATCH('Staging Table'!$A21, Demand_previous!$B$4:$B$137, 0), MATCH(AK$4&amp;AK$5,Demand_previous!$D$2:$AY$2&amp;Demand_previous!$D$3:$AY$3, 0))/1000</f>
        <v>0</v>
      </c>
      <c r="AL21" s="103">
        <f t="array" ref="AL21">INDEX(Demand_previous!$D$4:$AY$137, MATCH('Staging Table'!$A21, Demand_previous!$B$4:$B$137, 0), MATCH(AL$4&amp;AL$5,Demand_previous!$D$2:$AY$2&amp;Demand_previous!$D$3:$AY$3, 0))/1000</f>
        <v>2.6691775000000044</v>
      </c>
      <c r="AM21" s="103">
        <f t="array" ref="AM21">INDEX(Demand_previous!$D$4:$AY$137, MATCH('Staging Table'!$A21, Demand_previous!$B$4:$B$137, 0), MATCH(AM$4&amp;AM$5,Demand_previous!$D$2:$AY$2&amp;Demand_previous!$D$3:$AY$3, 0))/1000</f>
        <v>0</v>
      </c>
      <c r="AN21" s="103">
        <f t="array" ref="AN21">INDEX(Demand_previous!$D$4:$AY$137, MATCH('Staging Table'!$A21, Demand_previous!$B$4:$B$137, 0), MATCH(AN$4&amp;AN$5,Demand_previous!$D$2:$AY$2&amp;Demand_previous!$D$3:$AY$3, 0))/1000</f>
        <v>6.1569075000000009</v>
      </c>
      <c r="AO21" s="103">
        <f t="array" ref="AO21">INDEX(Demand_previous!$D$4:$AY$137, MATCH('Staging Table'!$A21, Demand_previous!$B$4:$B$137, 0), MATCH(AO$4&amp;AO$5,Demand_previous!$D$2:$AY$2&amp;Demand_previous!$D$3:$AY$3, 0))/1000</f>
        <v>1.8096658653846145</v>
      </c>
      <c r="AP21" s="103">
        <f t="array" ref="AP21">INDEX(Demand_previous!$D$4:$AY$137, MATCH('Staging Table'!$A21, Demand_previous!$B$4:$B$137, 0), MATCH(AP$4&amp;AP$5,Demand_previous!$D$2:$AY$2&amp;Demand_previous!$D$3:$AY$3, 0))/1000</f>
        <v>1.4961971153846143</v>
      </c>
      <c r="AQ21" s="103">
        <f t="array" ref="AQ21">INDEX(Demand_previous!$D$4:$AY$137, MATCH('Staging Table'!$A21, Demand_previous!$B$4:$B$137, 0), MATCH(AQ$4&amp;AQ$5,Demand_previous!$D$2:$AY$2&amp;Demand_previous!$D$3:$AY$3, 0))/1000</f>
        <v>2.9339783653846139</v>
      </c>
      <c r="AR21" s="103">
        <f t="array" ref="AR21">INDEX(Demand_previous!$D$4:$AY$137, MATCH('Staging Table'!$A21, Demand_previous!$B$4:$B$137, 0), MATCH(AR$4&amp;AR$5,Demand_previous!$D$2:$AY$2&amp;Demand_previous!$D$3:$AY$3, 0))/1000</f>
        <v>4.7113924999999961</v>
      </c>
      <c r="AS21" s="103">
        <f t="array" ref="AS21">INDEX(Demand_previous!$D$4:$AY$137, MATCH('Staging Table'!$A21, Demand_previous!$B$4:$B$137, 0), MATCH(AS$4&amp;AS$5,Demand_previous!$D$2:$AY$2&amp;Demand_previous!$D$3:$AY$3, 0))/1000</f>
        <v>2.170189903846155</v>
      </c>
      <c r="AT21" s="103">
        <f t="array" ref="AT21">INDEX(Demand_previous!$D$4:$AY$137, MATCH('Staging Table'!$A21, Demand_previous!$B$4:$B$137, 0), MATCH(AT$4&amp;AT$5,Demand_previous!$D$2:$AY$2&amp;Demand_previous!$D$3:$AY$3, 0))/1000</f>
        <v>10.306039351851851</v>
      </c>
      <c r="AU21" s="103">
        <f t="array" ref="AU21">INDEX(Demand_previous!$D$4:$AY$137, MATCH('Staging Table'!$A21, Demand_previous!$B$4:$B$137, 0), MATCH(AU$4&amp;AU$5,Demand_previous!$D$2:$AY$2&amp;Demand_previous!$D$3:$AY$3, 0))/1000</f>
        <v>0</v>
      </c>
      <c r="AV21" s="102">
        <f>$F21*(VLOOKUP(AV$4, Rates_previous!$G$6:$Q$29, 10, FALSE)+VLOOKUP(AV$4, Rates_previous!$G$6:$Q$29, 11, FALSE))</f>
        <v>14884.7834313243</v>
      </c>
      <c r="AW21" s="102">
        <f>$F21*(VLOOKUP(AW$4, Rates_previous!$G$6:$Q$29, 10, FALSE)+VLOOKUP(AW$4, Rates_previous!$G$6:$Q$29, 11, FALSE))</f>
        <v>18983.007176543804</v>
      </c>
      <c r="AX21" s="102">
        <f>$F21*(VLOOKUP(AX$4, Rates_previous!$G$6:$Q$29, 10, FALSE)+VLOOKUP(AX$4, Rates_previous!$G$6:$Q$29, 11, FALSE))</f>
        <v>20486.420742567003</v>
      </c>
      <c r="AY21" s="102">
        <f>$F21*(VLOOKUP(AY$4, Rates_previous!$G$6:$Q$29, 10, FALSE)+VLOOKUP(AY$4, Rates_previous!$G$6:$Q$29, 11, FALSE))</f>
        <v>21288.5581027808</v>
      </c>
      <c r="AZ21" s="102">
        <f>$F21*(VLOOKUP(AZ$4, Rates_previous!$G$6:$Q$29, 10, FALSE)+VLOOKUP(AZ$4, Rates_previous!$G$6:$Q$29, 11, FALSE))</f>
        <v>18310.997552031597</v>
      </c>
      <c r="BA21" s="102">
        <f>$F21*(VLOOKUP(BA$4, Rates_previous!$G$6:$Q$29, 10, FALSE)+VLOOKUP(BA$4, Rates_previous!$G$6:$Q$29, 11, FALSE))</f>
        <v>19991.983931626201</v>
      </c>
      <c r="BB21" s="102">
        <f>$F21*(VLOOKUP(BB$4, Rates_previous!$G$6:$Q$29, 10, FALSE)+VLOOKUP(BB$4, Rates_previous!$G$6:$Q$29, 11, FALSE))</f>
        <v>15780.302256321849</v>
      </c>
      <c r="BC21" s="102">
        <f>$F21*(VLOOKUP(BC$4, Rates_previous!$G$6:$Q$29, 10, FALSE)+VLOOKUP(BC$4, Rates_previous!$G$6:$Q$29, 11, FALSE))</f>
        <v>19577.579608133299</v>
      </c>
      <c r="BD21" s="102">
        <f>$F21*(VLOOKUP(BD$4, Rates_previous!$G$6:$Q$29, 10, FALSE)+VLOOKUP(BD$4, Rates_previous!$G$6:$Q$29, 11, FALSE))</f>
        <v>20002.364211800097</v>
      </c>
      <c r="BE21" s="102">
        <f>$F21*(VLOOKUP(BE$4, Rates_previous!$G$6:$Q$29, 10, FALSE)+VLOOKUP(BE$4, Rates_previous!$G$6:$Q$29, 11, FALSE))</f>
        <v>17364.933844090301</v>
      </c>
      <c r="BF21" s="102">
        <f>$F21*(VLOOKUP(BF$4, Rates_previous!$G$6:$Q$29, 10, FALSE)+VLOOKUP(BF$4, Rates_previous!$G$6:$Q$29, 11, FALSE))</f>
        <v>16787.275276413071</v>
      </c>
      <c r="BG21" s="102">
        <f>$F21*(VLOOKUP(BG$4, Rates_previous!$G$6:$Q$29, 10, FALSE)+VLOOKUP(BG$4, Rates_previous!$G$6:$Q$29, 11, FALSE))</f>
        <v>15447.544091059603</v>
      </c>
      <c r="BH21" s="103">
        <f>IF($D21=0,IF(C21=0, MAX(BJ21 - (VLOOKUP($A21,TOCA_previous!$A$2:$AJ$136,MATCH("RHWM "&amp;Init!$D$1-2,TOCA_previous!$A$2:$AJ$2,0),FALSE)*$F$2*TOCA_previous!C18),0),0), 0)</f>
        <v>17366.678003420064</v>
      </c>
      <c r="BI21" s="109">
        <f>MIN(VLOOKUP($A21,TOCA_previous!$A$2:$AJ$136,MATCH("TRL - NLSL - Existing Resource "&amp;$F$1,TOCA_previous!$A$2:$AJ$2,0),FALSE)*$F$2,(VLOOKUP($A21,TOCA_previous!$A$2:$AJ$136,MATCH("RHWM "&amp;Init!$D$1-2,TOCA_previous!$A$2:$AJ$2,0),FALSE)*$F$2))</f>
        <v>214074.864</v>
      </c>
      <c r="BJ21" s="261">
        <f>SUM(L21:AI21)+(F21*RT1SC!$C$3*$F$2)</f>
        <v>231441.54200342007</v>
      </c>
      <c r="BK21" s="260">
        <f>VLOOKUP($A21,TOCA_previous!$A$2:$AJ$136,MATCH("Above RHWM Not Served with LS "&amp;$F$1,TOCA_previous!$A$2:$AJ$2,0),FALSE)*$F$2</f>
        <v>0</v>
      </c>
      <c r="BL21" s="261">
        <f t="shared" si="21"/>
        <v>17366.678003420064</v>
      </c>
      <c r="BM21" s="260">
        <f>(VLOOKUP($A21,TOCA_previous!$A$2:$AJ$136,MATCH("RHWM "&amp;Init!$D$1-2,TOCA_previous!$A$2:$AJ$2,0),FALSE)*$F$2) - $BI21</f>
        <v>0</v>
      </c>
      <c r="BN21" s="261">
        <f t="shared" si="22"/>
        <v>0</v>
      </c>
      <c r="BO21" s="260">
        <f t="shared" si="23"/>
        <v>0</v>
      </c>
      <c r="BP21" s="261">
        <f t="shared" si="24"/>
        <v>0</v>
      </c>
      <c r="BQ21" s="260">
        <f t="shared" si="9"/>
        <v>0</v>
      </c>
      <c r="BR21" s="85">
        <f>VLOOKUP($A21,TOCA_current!$A$2:$ZZ$136,MATCH(BR$4,TOCA_current!$A$2:$ZZ$2,0),FALSE)</f>
        <v>3.4478E-3</v>
      </c>
      <c r="BS21" s="85">
        <f>VLOOKUP($A21,TOCA_current!$A$2:$ZZ$136,MATCH(BS$4,TOCA_current!$A$2:$ZZ$2,0),FALSE)</f>
        <v>3.4478E-3</v>
      </c>
      <c r="BT21" s="108">
        <f t="shared" si="25"/>
        <v>0</v>
      </c>
      <c r="BU21" s="85">
        <f>VLOOKUP($A21,TOCA_current!A18:BG152,MATCH(BU$4,TOCA_current!$A$2:$BG$2,0),FALSE)</f>
        <v>0</v>
      </c>
      <c r="BV21" s="85">
        <f t="shared" si="26"/>
        <v>0</v>
      </c>
      <c r="BW21" s="85">
        <f t="shared" si="27"/>
        <v>0</v>
      </c>
      <c r="BX21" s="101">
        <f>VLOOKUP($A21,IRD!$A$4:$G$138, 7, FALSE)</f>
        <v>0</v>
      </c>
      <c r="BY21" s="102">
        <f t="array" ref="BY21">IF($BT21=0, INDEX(LS_current!$D$4:$BW$137, MATCH('Staging Table'!$A21, LS_current!$B$4:$B$137, 0), MATCH(BY$4&amp;BY$5, LS_current!$D$2:$BW$2&amp;LS_current!$D$3:$BW$3, 0)),SUM(VLOOKUP($A21, LS_current!$B$4:$BW$137, LS_current!D$147, FALSE), VLOOKUP($A21, LS_current!$B$4:$BW$137,LS_current!AZ$147, FALSE))/2)</f>
        <v>969.2398658609618</v>
      </c>
      <c r="BZ21" s="102">
        <f t="array" ref="BZ21">IF($BT21=0, INDEX(LS_current!$D$4:$BW$137, MATCH('Staging Table'!$A21, LS_current!$B$4:$B$137, 0), MATCH(BZ$4&amp;BZ$5, LS_current!$D$2:$BW$2&amp;LS_current!$D$3:$BW$3, 0)),SUM(VLOOKUP($A21, LS_current!$B$4:$BW$137, LS_current!E$147, FALSE), VLOOKUP($A21, LS_current!$B$4:$BW$137,LS_current!BA$147, FALSE))/2)</f>
        <v>-852.19748305892608</v>
      </c>
      <c r="CA21" s="102">
        <f t="array" ref="CA21">IF($BT21=0, INDEX(LS_current!$D$4:$BW$137, MATCH('Staging Table'!$A21, LS_current!$B$4:$B$137, 0), MATCH(CA$4&amp;CA$5, LS_current!$D$2:$BW$2&amp;LS_current!$D$3:$BW$3, 0)),SUM(VLOOKUP($A21, LS_current!$B$4:$BW$137, LS_current!F$147, FALSE), VLOOKUP($A21, LS_current!$B$4:$BW$137,LS_current!BB$147, FALSE))/2)</f>
        <v>1644.1710610466234</v>
      </c>
      <c r="CB21" s="102">
        <f t="array" ref="CB21">IF($BT21=0, INDEX(LS_current!$D$4:$BW$137, MATCH('Staging Table'!$A21, LS_current!$B$4:$B$137, 0), MATCH(CB$4&amp;CB$5, LS_current!$D$2:$BW$2&amp;LS_current!$D$3:$BW$3, 0)),SUM(VLOOKUP($A21, LS_current!$B$4:$BW$137, LS_current!G$147, FALSE), VLOOKUP($A21, LS_current!$B$4:$BW$137,LS_current!BC$147, FALSE))/2)</f>
        <v>1070.9550622199849</v>
      </c>
      <c r="CC21" s="102">
        <f t="array" ref="CC21">IF($BT21=0, INDEX(LS_current!$D$4:$BW$137, MATCH('Staging Table'!$A21, LS_current!$B$4:$B$137, 0), MATCH(CC$4&amp;CC$5, LS_current!$D$2:$BW$2&amp;LS_current!$D$3:$BW$3, 0)),SUM(VLOOKUP($A21, LS_current!$B$4:$BW$137, LS_current!H$147, FALSE), VLOOKUP($A21, LS_current!$B$4:$BW$137,LS_current!BD$147, FALSE))/2)</f>
        <v>3116.0922594350886</v>
      </c>
      <c r="CD21" s="102">
        <f t="array" ref="CD21">IF($BT21=0, INDEX(LS_current!$D$4:$BW$137, MATCH('Staging Table'!$A21, LS_current!$B$4:$B$137, 0), MATCH(CD$4&amp;CD$5, LS_current!$D$2:$BW$2&amp;LS_current!$D$3:$BW$3, 0)),SUM(VLOOKUP($A21, LS_current!$B$4:$BW$137, LS_current!I$147, FALSE), VLOOKUP($A21, LS_current!$B$4:$BW$137,LS_current!BE$147, FALSE))/2)</f>
        <v>2495.4563631503761</v>
      </c>
      <c r="CE21" s="102">
        <f t="array" ref="CE21">IF($BT21=0, INDEX(LS_current!$D$4:$BW$137, MATCH('Staging Table'!$A21, LS_current!$B$4:$B$137, 0), MATCH(CE$4&amp;CE$5, LS_current!$D$2:$BW$2&amp;LS_current!$D$3:$BW$3, 0)),SUM(VLOOKUP($A21, LS_current!$B$4:$BW$137, LS_current!J$147, FALSE), VLOOKUP($A21, LS_current!$B$4:$BW$137,LS_current!BF$147, FALSE))/2)</f>
        <v>3234.7328017581149</v>
      </c>
      <c r="CF21" s="102">
        <f t="array" ref="CF21">IF($BT21=0, INDEX(LS_current!$D$4:$BW$137, MATCH('Staging Table'!$A21, LS_current!$B$4:$B$137, 0), MATCH(CF$4&amp;CF$5, LS_current!$D$2:$BW$2&amp;LS_current!$D$3:$BW$3, 0)),SUM(VLOOKUP($A21, LS_current!$B$4:$BW$137, LS_current!K$147, FALSE), VLOOKUP($A21, LS_current!$B$4:$BW$137,LS_current!BG$147, FALSE))/2)</f>
        <v>2355.4761587396715</v>
      </c>
      <c r="CG21" s="102">
        <f t="array" ref="CG21">IF($BT21=0, INDEX(LS_current!$D$4:$BW$137, MATCH('Staging Table'!$A21, LS_current!$B$4:$B$137, 0), MATCH(CG$4&amp;CG$5, LS_current!$D$2:$BW$2&amp;LS_current!$D$3:$BW$3, 0)),SUM(VLOOKUP($A21, LS_current!$B$4:$BW$137, LS_current!L$147, FALSE), VLOOKUP($A21, LS_current!$B$4:$BW$137,LS_current!BH$147, FALSE))/2)</f>
        <v>3333.3208417876103</v>
      </c>
      <c r="CH21" s="102">
        <f t="array" ref="CH21">IF($BT21=0, INDEX(LS_current!$D$4:$BW$137, MATCH('Staging Table'!$A21, LS_current!$B$4:$B$137, 0), MATCH(CH$4&amp;CH$5, LS_current!$D$2:$BW$2&amp;LS_current!$D$3:$BW$3, 0)),SUM(VLOOKUP($A21, LS_current!$B$4:$BW$137, LS_current!M$147, FALSE), VLOOKUP($A21, LS_current!$B$4:$BW$137,LS_current!BI$147, FALSE))/2)</f>
        <v>2072.89476092522</v>
      </c>
      <c r="CI21" s="102">
        <f t="array" ref="CI21">IF($BT21=0, INDEX(LS_current!$D$4:$BW$137, MATCH('Staging Table'!$A21, LS_current!$B$4:$B$137, 0), MATCH(CI$4&amp;CI$5, LS_current!$D$2:$BW$2&amp;LS_current!$D$3:$BW$3, 0)),SUM(VLOOKUP($A21, LS_current!$B$4:$BW$137, LS_current!N$147, FALSE), VLOOKUP($A21, LS_current!$B$4:$BW$137,LS_current!BJ$147, FALSE))/2)</f>
        <v>1677.8071499632551</v>
      </c>
      <c r="CJ21" s="102">
        <f t="array" ref="CJ21">IF($BT21=0, INDEX(LS_current!$D$4:$BW$137, MATCH('Staging Table'!$A21, LS_current!$B$4:$B$137, 0), MATCH(CJ$4&amp;CJ$5, LS_current!$D$2:$BW$2&amp;LS_current!$D$3:$BW$3, 0)),SUM(VLOOKUP($A21, LS_current!$B$4:$BW$137, LS_current!O$147, FALSE), VLOOKUP($A21, LS_current!$B$4:$BW$137,LS_current!BK$147, FALSE))/2)</f>
        <v>2012.2625393642347</v>
      </c>
      <c r="CK21" s="102">
        <f t="array" ref="CK21">IF($BT21=0, INDEX(LS_current!$D$4:$BW$137, MATCH('Staging Table'!$A21, LS_current!$B$4:$B$137, 0), MATCH(CK$4&amp;CK$5, LS_current!$D$2:$BW$2&amp;LS_current!$D$3:$BW$3, 0)),SUM(VLOOKUP($A21, LS_current!$B$4:$BW$137, LS_current!P$147, FALSE), VLOOKUP($A21, LS_current!$B$4:$BW$137,LS_current!BL$147, FALSE))/2)</f>
        <v>1744.5275441565391</v>
      </c>
      <c r="CL21" s="102">
        <f t="array" ref="CL21">IF($BT21=0, INDEX(LS_current!$D$4:$BW$137, MATCH('Staging Table'!$A21, LS_current!$B$4:$B$137, 0), MATCH(CL$4&amp;CL$5, LS_current!$D$2:$BW$2&amp;LS_current!$D$3:$BW$3, 0)),SUM(VLOOKUP($A21, LS_current!$B$4:$BW$137, LS_current!Q$147, FALSE), VLOOKUP($A21, LS_current!$B$4:$BW$137,LS_current!BM$147, FALSE))/2)</f>
        <v>7.8421845623097397</v>
      </c>
      <c r="CM21" s="102">
        <f t="array" ref="CM21">IF($BT21=0, INDEX(LS_current!$D$4:$BW$137, MATCH('Staging Table'!$A21, LS_current!$B$4:$B$137, 0), MATCH(CM$4&amp;CM$5, LS_current!$D$2:$BW$2&amp;LS_current!$D$3:$BW$3, 0)),SUM(VLOOKUP($A21, LS_current!$B$4:$BW$137, LS_current!R$147, FALSE), VLOOKUP($A21, LS_current!$B$4:$BW$137,LS_current!BN$147, FALSE))/2)</f>
        <v>-2971.6841904416779</v>
      </c>
      <c r="CN21" s="102">
        <f t="array" ref="CN21">IF($BT21=0, INDEX(LS_current!$D$4:$BW$137, MATCH('Staging Table'!$A21, LS_current!$B$4:$B$137, 0), MATCH(CN$4&amp;CN$5, LS_current!$D$2:$BW$2&amp;LS_current!$D$3:$BW$3, 0)),SUM(VLOOKUP($A21, LS_current!$B$4:$BW$137, LS_current!S$147, FALSE), VLOOKUP($A21, LS_current!$B$4:$BW$137,LS_current!BO$147, FALSE))/2)</f>
        <v>-2616.5517249884497</v>
      </c>
      <c r="CO21" s="102">
        <f t="array" ref="CO21">IF($BT21=0, INDEX(LS_current!$D$4:$BW$137, MATCH('Staging Table'!$A21, LS_current!$B$4:$B$137, 0), MATCH(CO$4&amp;CO$5, LS_current!$D$2:$BW$2&amp;LS_current!$D$3:$BW$3, 0)),SUM(VLOOKUP($A21, LS_current!$B$4:$BW$137, LS_current!T$147, FALSE), VLOOKUP($A21, LS_current!$B$4:$BW$137,LS_current!BP$147, FALSE))/2)</f>
        <v>-4285.1978076038577</v>
      </c>
      <c r="CP21" s="102">
        <f t="array" ref="CP21">IF($BT21=0, INDEX(LS_current!$D$4:$BW$137, MATCH('Staging Table'!$A21, LS_current!$B$4:$B$137, 0), MATCH(CP$4&amp;CP$5, LS_current!$D$2:$BW$2&amp;LS_current!$D$3:$BW$3, 0)),SUM(VLOOKUP($A21, LS_current!$B$4:$BW$137, LS_current!U$147, FALSE), VLOOKUP($A21, LS_current!$B$4:$BW$137,LS_current!BQ$147, FALSE))/2)</f>
        <v>-2915.2877543778686</v>
      </c>
      <c r="CQ21" s="102">
        <f t="array" ref="CQ21">IF($BT21=0, INDEX(LS_current!$D$4:$BW$137, MATCH('Staging Table'!$A21, LS_current!$B$4:$B$137, 0), MATCH(CQ$4&amp;CQ$5, LS_current!$D$2:$BW$2&amp;LS_current!$D$3:$BW$3, 0)),SUM(VLOOKUP($A21, LS_current!$B$4:$BW$137, LS_current!V$147, FALSE), VLOOKUP($A21, LS_current!$B$4:$BW$137,LS_current!BR$147, FALSE))/2)</f>
        <v>-1515.3538600547326</v>
      </c>
      <c r="CR21" s="102">
        <f t="array" ref="CR21">IF($BT21=0, INDEX(LS_current!$D$4:$BW$137, MATCH('Staging Table'!$A21, LS_current!$B$4:$B$137, 0), MATCH(CR$4&amp;CR$5, LS_current!$D$2:$BW$2&amp;LS_current!$D$3:$BW$3, 0)),SUM(VLOOKUP($A21, LS_current!$B$4:$BW$137, LS_current!W$147, FALSE), VLOOKUP($A21, LS_current!$B$4:$BW$137,LS_current!BS$147, FALSE))/2)</f>
        <v>-1816.0240770499986</v>
      </c>
      <c r="CS21" s="102">
        <f t="array" ref="CS21">IF($BT21=0, INDEX(LS_current!$D$4:$BW$137, MATCH('Staging Table'!$A21, LS_current!$B$4:$B$137, 0), MATCH(CS$4&amp;CS$5, LS_current!$D$2:$BW$2&amp;LS_current!$D$3:$BW$3, 0)),SUM(VLOOKUP($A21, LS_current!$B$4:$BW$137, LS_current!X$147, FALSE), VLOOKUP($A21, LS_current!$B$4:$BW$137,LS_current!BT$147, FALSE))/2)</f>
        <v>-3701.8726551240215</v>
      </c>
      <c r="CT21" s="102">
        <f t="array" ref="CT21">IF($BT21=0, INDEX(LS_current!$D$4:$BW$137, MATCH('Staging Table'!$A21, LS_current!$B$4:$B$137, 0), MATCH(CT$4&amp;CT$5, LS_current!$D$2:$BW$2&amp;LS_current!$D$3:$BW$3, 0)),SUM(VLOOKUP($A21, LS_current!$B$4:$BW$137, LS_current!Y$147, FALSE), VLOOKUP($A21, LS_current!$B$4:$BW$137,LS_current!BU$147, FALSE))/2)</f>
        <v>-2245.6425527432202</v>
      </c>
      <c r="CU21" s="102">
        <f t="array" ref="CU21">IF($BT21=0, INDEX(LS_current!$D$4:$BW$137, MATCH('Staging Table'!$A21, LS_current!$B$4:$B$137, 0), MATCH(CU$4&amp;CU$5, LS_current!$D$2:$BW$2&amp;LS_current!$D$3:$BW$3, 0)),SUM(VLOOKUP($A21, LS_current!$B$4:$BW$137, LS_current!Z$147, FALSE), VLOOKUP($A21, LS_current!$B$4:$BW$137,LS_current!BV$147, FALSE))/2)</f>
        <v>-1097.5329984170985</v>
      </c>
      <c r="CV21" s="102">
        <f t="array" ref="CV21">IF($BT21=0, INDEX(LS_current!$D$4:$BW$137, MATCH('Staging Table'!$A21, LS_current!$B$4:$B$137, 0), MATCH(CV$4&amp;CV$5, LS_current!$D$2:$BW$2&amp;LS_current!$D$3:$BW$3, 0)),SUM(VLOOKUP($A21, LS_current!$B$4:$BW$137, LS_current!AA$147, FALSE), VLOOKUP($A21, LS_current!$B$4:$BW$137,LS_current!BW$147, FALSE))/2)</f>
        <v>-1726.5850716293644</v>
      </c>
      <c r="CW21" s="103">
        <f t="array" ref="CW21">INDEX(Demand_current!$D$4:$BW$137, MATCH($A21, Demand_current!$B$4:$B$137, 0), MATCH(CW$4&amp;CW$5,Demand_current!$D$2:$BW$2&amp;Demand_current!$D$3:$BW$3, 0))/1000</f>
        <v>0</v>
      </c>
      <c r="CX21" s="103">
        <f t="array" ref="CX21">INDEX(Demand_current!$D$4:$BW$137, MATCH($A21, Demand_current!$B$4:$B$137, 0), MATCH(CX$4&amp;CX$5,Demand_current!$D$2:$BW$2&amp;Demand_current!$D$3:$BW$3, 0))/1000</f>
        <v>0</v>
      </c>
      <c r="CY21" s="103">
        <f t="array" ref="CY21">INDEX(Demand_current!$D$4:$BW$137, MATCH($A21, Demand_current!$B$4:$B$137, 0), MATCH(CY$4&amp;CY$5,Demand_current!$D$2:$BW$2&amp;Demand_current!$D$3:$BW$3, 0))/1000</f>
        <v>4.526055288461543</v>
      </c>
      <c r="CZ21" s="103">
        <f t="array" ref="CZ21">INDEX(Demand_current!$D$4:$BW$137, MATCH($A21, Demand_current!$B$4:$B$137, 0), MATCH(CZ$4&amp;CZ$5,Demand_current!$D$2:$BW$2&amp;Demand_current!$D$3:$BW$3, 0))/1000</f>
        <v>0</v>
      </c>
      <c r="DA21" s="103">
        <f t="array" ref="DA21">INDEX(Demand_current!$D$4:$BW$137, MATCH($A21, Demand_current!$B$4:$B$137, 0), MATCH(DA$4&amp;DA$5,Demand_current!$D$2:$BW$2&amp;Demand_current!$D$3:$BW$3, 0))/1000</f>
        <v>4.3634036458333352</v>
      </c>
      <c r="DB21" s="103">
        <f t="array" ref="DB21">INDEX(Demand_current!$D$4:$BW$137, MATCH($A21, Demand_current!$B$4:$B$137, 0), MATCH(DB$4&amp;DB$5,Demand_current!$D$2:$BW$2&amp;Demand_current!$D$3:$BW$3, 0))/1000</f>
        <v>1.8096658653846145</v>
      </c>
      <c r="DC21" s="103">
        <f t="array" ref="DC21">INDEX(Demand_current!$D$4:$BW$137, MATCH($A21, Demand_current!$B$4:$B$137, 0), MATCH(DC$4&amp;DC$5,Demand_current!$D$2:$BW$2&amp;Demand_current!$D$3:$BW$3, 0))/1000</f>
        <v>1.4961971153846143</v>
      </c>
      <c r="DD21" s="103">
        <f t="array" ref="DD21">INDEX(Demand_current!$D$4:$BW$137, MATCH($A21, Demand_current!$B$4:$B$137, 0), MATCH(DD$4&amp;DD$5,Demand_current!$D$2:$BW$2&amp;Demand_current!$D$3:$BW$3, 0))/1000</f>
        <v>1.7914974999999975</v>
      </c>
      <c r="DE21" s="103">
        <f t="array" ref="DE21">INDEX(Demand_current!$D$4:$BW$137, MATCH($A21, Demand_current!$B$4:$B$137, 0), MATCH(DE$4&amp;DE$5,Demand_current!$D$2:$BW$2&amp;Demand_current!$D$3:$BW$3, 0))/1000</f>
        <v>5.8944543269230723</v>
      </c>
      <c r="DF21" s="103">
        <f t="array" ref="DF21">INDEX(Demand_current!$D$4:$BW$137, MATCH($A21, Demand_current!$B$4:$B$137, 0), MATCH(DF$4&amp;DF$5,Demand_current!$D$2:$BW$2&amp;Demand_current!$D$3:$BW$3, 0))/1000</f>
        <v>2.170189903846155</v>
      </c>
      <c r="DG21" s="103">
        <f t="array" ref="DG21">INDEX(Demand_current!$D$4:$BW$137, MATCH($A21, Demand_current!$B$4:$B$137, 0), MATCH(DG$4&amp;DG$5,Demand_current!$D$2:$BW$2&amp;Demand_current!$D$3:$BW$3, 0))/1000</f>
        <v>9.1598100961538478</v>
      </c>
      <c r="DH21" s="103">
        <f t="array" ref="DH21">INDEX(Demand_current!$D$4:$BW$137, MATCH($A21, Demand_current!$B$4:$B$137, 0), MATCH(DH$4&amp;DH$5,Demand_current!$D$2:$BW$2&amp;Demand_current!$D$3:$BW$3, 0))/1000</f>
        <v>0.38336250000000138</v>
      </c>
      <c r="DI21" s="102">
        <f>$BS21*(VLOOKUP(DI$4, Rates_current!$H$6:$R$41, 10, FALSE)+VLOOKUP(DI$4, Rates_current!$H$6:$R$41, 11, FALSE))</f>
        <v>14309.361617197963</v>
      </c>
      <c r="DJ21" s="102">
        <f>$BS21*(VLOOKUP(DJ$4, Rates_current!$H$6:$R$41, 10, FALSE)+VLOOKUP(DJ$4, Rates_current!$H$6:$R$41, 11, FALSE))</f>
        <v>18294.047876733392</v>
      </c>
      <c r="DK21" s="102">
        <f>$BS21*(VLOOKUP(DK$4, Rates_current!$H$6:$R$41, 10, FALSE)+VLOOKUP(DK$4, Rates_current!$H$6:$R$41, 11, FALSE))</f>
        <v>20798.802377414533</v>
      </c>
      <c r="DL21" s="102">
        <f>$BS21*(VLOOKUP(DL$4, Rates_current!$H$6:$R$41, 10, FALSE)+VLOOKUP(DL$4, Rates_current!$H$6:$R$41, 11, FALSE))</f>
        <v>21944.360039502211</v>
      </c>
      <c r="DM21" s="102">
        <f>$BS21*(VLOOKUP(DM$4, Rates_current!$H$6:$R$41, 10, FALSE)+VLOOKUP(DM$4, Rates_current!$H$6:$R$41, 11, FALSE))</f>
        <v>17487.67439728717</v>
      </c>
      <c r="DN21" s="102">
        <f>$BS21*(VLOOKUP(DN$4, Rates_current!$H$6:$R$41, 10, FALSE)+VLOOKUP(DN$4, Rates_current!$H$6:$R$41, 11, FALSE))</f>
        <v>19117.619310672508</v>
      </c>
      <c r="DO21" s="102">
        <f>$BS21*(VLOOKUP(DO$4, Rates_current!$H$6:$R$41, 10, FALSE)+VLOOKUP(DO$4, Rates_current!$H$6:$R$41, 11, FALSE))</f>
        <v>14816.347271281151</v>
      </c>
      <c r="DP21" s="102">
        <f>$BS21*(VLOOKUP(DP$4, Rates_current!$H$6:$R$41, 10, FALSE)+VLOOKUP(DP$4, Rates_current!$H$6:$R$41, 11, FALSE))</f>
        <v>19174.792915430124</v>
      </c>
      <c r="DQ21" s="102">
        <f>$BS21*(VLOOKUP(DQ$4, Rates_current!$H$6:$R$41, 10, FALSE)+VLOOKUP(DQ$4, Rates_current!$H$6:$R$41, 11, FALSE))</f>
        <v>19584.230561981727</v>
      </c>
      <c r="DR21" s="102">
        <f>$BS21*(VLOOKUP(DR$4, Rates_current!$H$6:$R$41, 10, FALSE)+VLOOKUP(DR$4, Rates_current!$H$6:$R$41, 11, FALSE))</f>
        <v>17431.65893710473</v>
      </c>
      <c r="DS21" s="102">
        <f>$BS21*(VLOOKUP(DS$4, Rates_current!$H$6:$R$41, 10, FALSE)+VLOOKUP(DS$4, Rates_current!$H$6:$R$41, 11, FALSE))</f>
        <v>17881.685207867242</v>
      </c>
      <c r="DT21" s="102">
        <f>$BS21*(VLOOKUP(DT$4, Rates_current!$H$6:$R$41, 10, FALSE)+VLOOKUP(DT$4, Rates_current!$H$6:$R$41, 11, FALSE))</f>
        <v>13887.272070046463</v>
      </c>
      <c r="DU21" s="261">
        <f>IF(D21=0,IF(C21=0,MAX(0,DW21 - (VLOOKUP($A21,TOCA_current!$A$2:$AV$136,MATCH("RHWM "&amp;Init!$D$1,TOCA_current!$A$2:$AV$2,0),FALSE)*$BS$2)), 0),0)</f>
        <v>0</v>
      </c>
      <c r="DV21" s="262">
        <f>MIN(VLOOKUP($A21,TOCA_current!$A$2:$AV$136,MATCH("TRL - NLSL - Existing Resource "&amp;$BS$1,TOCA_current!$A$2:$AV$2,0),FALSE)*$BS$2, VLOOKUP($A21,TOCA_current!$A$2:$AV$136,MATCH("RHWM "&amp;Init!$D$1,TOCA_current!$A$2:$AV$2,0),FALSE)*$BS$2)</f>
        <v>214725.12</v>
      </c>
      <c r="DW21" s="262">
        <f>SUM(BY21:CV21)+(BS21*RT1SC!$C$4*$BS$2)</f>
        <v>214718.7136753368</v>
      </c>
      <c r="DX21" s="262">
        <f>VLOOKUP($A21,TOCA_current!$A$2:$AV$136,MATCH("Above RHWM Not Served with LS "&amp;$BS$1,TOCA_current!$A$2:$AV$2,0),FALSE)*$BS$2</f>
        <v>16722.84</v>
      </c>
      <c r="DY21" s="262">
        <f t="shared" si="28"/>
        <v>-6.4063246631994843</v>
      </c>
      <c r="DZ21" s="262">
        <f>(VLOOKUP($A21,TOCA_current!$A$2:$AV$136,MATCH("RHWM "&amp;Init!$D$1,TOCA_current!$A$2:$AV$2,0),FALSE)*$BS$2) - $DV21</f>
        <v>0</v>
      </c>
      <c r="EA21" s="262">
        <f t="shared" si="29"/>
        <v>0</v>
      </c>
      <c r="EB21" s="262">
        <f t="shared" si="30"/>
        <v>0</v>
      </c>
      <c r="EC21" s="262">
        <f t="shared" si="31"/>
        <v>0</v>
      </c>
      <c r="ED21" s="262">
        <f t="shared" si="32"/>
        <v>0</v>
      </c>
    </row>
    <row r="22" spans="1:134">
      <c r="A22" s="2">
        <v>10067</v>
      </c>
      <c r="B22" s="3" t="s">
        <v>24</v>
      </c>
      <c r="C22">
        <f>VLOOKUP(A22, TOCA_current!$A$3:$D$136, 4, FALSE)</f>
        <v>0</v>
      </c>
      <c r="D22">
        <v>0</v>
      </c>
      <c r="E22" s="84">
        <f>VLOOKUP($A22,TOCA_previous!$A$2:$AJ$136,MATCH(E$4,TOCA_previous!$A$2:$AJ$2,0),FALSE)</f>
        <v>2.2897999999999998E-3</v>
      </c>
      <c r="F22" s="85">
        <f>VLOOKUP($A22,TOCA_previous!$A$2:$AJ$136,MATCH(F$4,TOCA_previous!$A$2:$AJ$2,0),FALSE)</f>
        <v>2.2897999999999998E-3</v>
      </c>
      <c r="G22" s="85">
        <f t="shared" si="18"/>
        <v>0</v>
      </c>
      <c r="H22" s="85">
        <f>VLOOKUP($A22,TOCA_previous!$A$2:$AJ$136,MATCH(H$4,TOCA_previous!$A$2:$AJ$2,0),FALSE)</f>
        <v>0</v>
      </c>
      <c r="I22" s="85">
        <f t="shared" si="19"/>
        <v>0</v>
      </c>
      <c r="J22" s="85">
        <f t="shared" si="20"/>
        <v>0</v>
      </c>
      <c r="K22" s="101">
        <f>VLOOKUP(A22, IRD!$A$5:$C$138, 3, FALSE)</f>
        <v>0</v>
      </c>
      <c r="L22" s="102">
        <f t="array" ref="L22">IF($G22=0, INDEX(LS_previous!$D$4:$AY$137, MATCH('Staging Table'!$A22, LS_previous!$B$4:$B$137, 0), MATCH(L$4&amp;L$5, LS_previous!$D$2:$AY$2&amp;LS_previous!$D$3:$AY$3, 0)),SUM(VLOOKUP($A22, LS_previous!$B$4:$AY$137, LS_previous!D$148, FALSE), VLOOKUP('Staging Table'!$A22, LS_previous!$B$4:$AY$137,LS_previous!AB$148, FALSE))/2)</f>
        <v>738.72664636719946</v>
      </c>
      <c r="M22" s="102">
        <f t="array" ref="M22">IF($G22=0, INDEX(LS_previous!$D$4:$AY$137, MATCH('Staging Table'!$A22, LS_previous!$B$4:$B$137, 0), MATCH(M$4&amp;M$5, LS_previous!$D$2:$AY$2&amp;LS_previous!$D$3:$AY$3, 0)),SUM(VLOOKUP($A22, LS_previous!$B$4:$AY$137, LS_previous!E$148, FALSE), VLOOKUP('Staging Table'!$A22, LS_previous!$B$4:$AY$137,LS_previous!AC$148, FALSE))/2)</f>
        <v>-247.78049944989925</v>
      </c>
      <c r="N22" s="102">
        <f t="array" ref="N22">IF($G22=0, INDEX(LS_previous!$D$4:$AY$137, MATCH('Staging Table'!$A22, LS_previous!$B$4:$B$137, 0), MATCH(N$4&amp;N$5, LS_previous!$D$2:$AY$2&amp;LS_previous!$D$3:$AY$3, 0)),SUM(VLOOKUP($A22, LS_previous!$B$4:$AY$137, LS_previous!F$148, FALSE), VLOOKUP('Staging Table'!$A22, LS_previous!$B$4:$AY$137,LS_previous!AD$148, FALSE))/2)</f>
        <v>-887.87508365440044</v>
      </c>
      <c r="O22" s="102">
        <f t="array" ref="O22">IF($G22=0, INDEX(LS_previous!$D$4:$AY$137, MATCH('Staging Table'!$A22, LS_previous!$B$4:$B$137, 0), MATCH(O$4&amp;O$5, LS_previous!$D$2:$AY$2&amp;LS_previous!$D$3:$AY$3, 0)),SUM(VLOOKUP($A22, LS_previous!$B$4:$AY$137, LS_previous!G$148, FALSE), VLOOKUP('Staging Table'!$A22, LS_previous!$B$4:$AY$137,LS_previous!AE$148, FALSE))/2)</f>
        <v>-94.242889263799952</v>
      </c>
      <c r="P22" s="102">
        <f t="array" ref="P22">IF($G22=0, INDEX(LS_previous!$D$4:$AY$137, MATCH('Staging Table'!$A22, LS_previous!$B$4:$B$137, 0), MATCH(P$4&amp;P$5, LS_previous!$D$2:$AY$2&amp;LS_previous!$D$3:$AY$3, 0)),SUM(VLOOKUP($A22, LS_previous!$B$4:$AY$137, LS_previous!H$148, FALSE), VLOOKUP('Staging Table'!$A22, LS_previous!$B$4:$AY$137,LS_previous!AF$148, FALSE))/2)</f>
        <v>388.76775483780148</v>
      </c>
      <c r="Q22" s="102">
        <f t="array" ref="Q22">IF($G22=0, INDEX(LS_previous!$D$4:$AY$137, MATCH('Staging Table'!$A22, LS_previous!$B$4:$B$137, 0), MATCH(Q$4&amp;Q$5, LS_previous!$D$2:$AY$2&amp;LS_previous!$D$3:$AY$3, 0)),SUM(VLOOKUP($A22, LS_previous!$B$4:$AY$137, LS_previous!I$148, FALSE), VLOOKUP('Staging Table'!$A22, LS_previous!$B$4:$AY$137,LS_previous!AG$148, FALSE))/2)</f>
        <v>340.41763489919958</v>
      </c>
      <c r="R22" s="102">
        <f t="array" ref="R22">IF($G22=0, INDEX(LS_previous!$D$4:$AY$137, MATCH('Staging Table'!$A22, LS_previous!$B$4:$B$137, 0), MATCH(R$4&amp;R$5, LS_previous!$D$2:$AY$2&amp;LS_previous!$D$3:$AY$3, 0)),SUM(VLOOKUP($A22, LS_previous!$B$4:$AY$137, LS_previous!J$148, FALSE), VLOOKUP('Staging Table'!$A22, LS_previous!$B$4:$AY$137,LS_previous!AH$148, FALSE))/2)</f>
        <v>200.76211099300053</v>
      </c>
      <c r="S22" s="102">
        <f t="array" ref="S22">IF($G22=0, INDEX(LS_previous!$D$4:$AY$137, MATCH('Staging Table'!$A22, LS_previous!$B$4:$B$137, 0), MATCH(S$4&amp;S$5, LS_previous!$D$2:$AY$2&amp;LS_previous!$D$3:$AY$3, 0)),SUM(VLOOKUP($A22, LS_previous!$B$4:$AY$137, LS_previous!K$148, FALSE), VLOOKUP('Staging Table'!$A22, LS_previous!$B$4:$AY$137,LS_previous!AI$148, FALSE))/2)</f>
        <v>480.88154119580031</v>
      </c>
      <c r="T22" s="102">
        <f t="array" ref="T22">IF($G22=0, INDEX(LS_previous!$D$4:$AY$137, MATCH('Staging Table'!$A22, LS_previous!$B$4:$B$137, 0), MATCH(T$4&amp;T$5, LS_previous!$D$2:$AY$2&amp;LS_previous!$D$3:$AY$3, 0)),SUM(VLOOKUP($A22, LS_previous!$B$4:$AY$137, LS_previous!L$148, FALSE), VLOOKUP('Staging Table'!$A22, LS_previous!$B$4:$AY$137,LS_previous!AJ$148, FALSE))/2)</f>
        <v>-221.95456373419893</v>
      </c>
      <c r="U22" s="102">
        <f t="array" ref="U22">IF($G22=0, INDEX(LS_previous!$D$4:$AY$137, MATCH('Staging Table'!$A22, LS_previous!$B$4:$B$137, 0), MATCH(U$4&amp;U$5, LS_previous!$D$2:$AY$2&amp;LS_previous!$D$3:$AY$3, 0)),SUM(VLOOKUP($A22, LS_previous!$B$4:$AY$137, LS_previous!M$148, FALSE), VLOOKUP('Staging Table'!$A22, LS_previous!$B$4:$AY$137,LS_previous!AK$148, FALSE))/2)</f>
        <v>233.58349428180009</v>
      </c>
      <c r="V22" s="102">
        <f t="array" ref="V22">IF($G22=0, INDEX(LS_previous!$D$4:$AY$137, MATCH('Staging Table'!$A22, LS_previous!$B$4:$B$137, 0), MATCH(V$4&amp;V$5, LS_previous!$D$2:$AY$2&amp;LS_previous!$D$3:$AY$3, 0)),SUM(VLOOKUP($A22, LS_previous!$B$4:$AY$137, LS_previous!N$148, FALSE), VLOOKUP('Staging Table'!$A22, LS_previous!$B$4:$AY$137,LS_previous!AL$148, FALSE))/2)</f>
        <v>-832.32578494739937</v>
      </c>
      <c r="W22" s="102">
        <f t="array" ref="W22">IF($G22=0, INDEX(LS_previous!$D$4:$AY$137, MATCH('Staging Table'!$A22, LS_previous!$B$4:$B$137, 0), MATCH(W$4&amp;W$5, LS_previous!$D$2:$AY$2&amp;LS_previous!$D$3:$AY$3, 0)),SUM(VLOOKUP($A22, LS_previous!$B$4:$AY$137, LS_previous!O$148, FALSE), VLOOKUP('Staging Table'!$A22, LS_previous!$B$4:$AY$137,LS_previous!AM$148, FALSE))/2)</f>
        <v>-482.76758726439948</v>
      </c>
      <c r="X22" s="102">
        <f t="array" ref="X22">IF($G22=0, INDEX(LS_previous!$D$4:$AY$137, MATCH('Staging Table'!$A22, LS_previous!$B$4:$B$137, 0), MATCH(X$4&amp;X$5, LS_previous!$D$2:$AY$2&amp;LS_previous!$D$3:$AY$3, 0)),SUM(VLOOKUP($A22, LS_previous!$B$4:$AY$137, LS_previous!P$148, FALSE), VLOOKUP('Staging Table'!$A22, LS_previous!$B$4:$AY$137,LS_previous!AN$148, FALSE))/2)</f>
        <v>233.64667108050071</v>
      </c>
      <c r="Y22" s="102">
        <f t="array" ref="Y22">IF($G22=0, INDEX(LS_previous!$D$4:$AY$137, MATCH('Staging Table'!$A22, LS_previous!$B$4:$B$137, 0), MATCH(Y$4&amp;Y$5, LS_previous!$D$2:$AY$2&amp;LS_previous!$D$3:$AY$3, 0)),SUM(VLOOKUP($A22, LS_previous!$B$4:$AY$137, LS_previous!Q$148, FALSE), VLOOKUP('Staging Table'!$A22, LS_previous!$B$4:$AY$137,LS_previous!AO$148, FALSE))/2)</f>
        <v>-320.21278471514916</v>
      </c>
      <c r="Z22" s="102">
        <f t="array" ref="Z22">IF($G22=0, INDEX(LS_previous!$D$4:$AY$137, MATCH('Staging Table'!$A22, LS_previous!$B$4:$B$137, 0), MATCH(Z$4&amp;Z$5, LS_previous!$D$2:$AY$2&amp;LS_previous!$D$3:$AY$3, 0)),SUM(VLOOKUP($A22, LS_previous!$B$4:$AY$137, LS_previous!R$148, FALSE), VLOOKUP('Staging Table'!$A22, LS_previous!$B$4:$AY$137,LS_previous!AP$148, FALSE))/2)</f>
        <v>-2034.7812185503999</v>
      </c>
      <c r="AA22" s="102">
        <f t="array" ref="AA22">IF($G22=0, INDEX(LS_previous!$D$4:$AY$137, MATCH('Staging Table'!$A22, LS_previous!$B$4:$B$137, 0), MATCH(AA$4&amp;AA$5, LS_previous!$D$2:$AY$2&amp;LS_previous!$D$3:$AY$3, 0)),SUM(VLOOKUP($A22, LS_previous!$B$4:$AY$137, LS_previous!S$148, FALSE), VLOOKUP('Staging Table'!$A22, LS_previous!$B$4:$AY$137,LS_previous!AQ$148, FALSE))/2)</f>
        <v>-1319.0679591332992</v>
      </c>
      <c r="AB22" s="102">
        <f t="array" ref="AB22">IF($G22=0, INDEX(LS_previous!$D$4:$AY$137, MATCH('Staging Table'!$A22, LS_previous!$B$4:$B$137, 0), MATCH(AB$4&amp;AB$5, LS_previous!$D$2:$AY$2&amp;LS_previous!$D$3:$AY$3, 0)),SUM(VLOOKUP($A22, LS_previous!$B$4:$AY$137, LS_previous!T$148, FALSE), VLOOKUP('Staging Table'!$A22, LS_previous!$B$4:$AY$137,LS_previous!AR$148, FALSE))/2)</f>
        <v>-2208.5451489547995</v>
      </c>
      <c r="AC22" s="102">
        <f t="array" ref="AC22">IF($G22=0, INDEX(LS_previous!$D$4:$AY$137, MATCH('Staging Table'!$A22, LS_previous!$B$4:$B$137, 0), MATCH(AC$4&amp;AC$5, LS_previous!$D$2:$AY$2&amp;LS_previous!$D$3:$AY$3, 0)),SUM(VLOOKUP($A22, LS_previous!$B$4:$AY$137, LS_previous!U$148, FALSE), VLOOKUP('Staging Table'!$A22, LS_previous!$B$4:$AY$137,LS_previous!AS$148, FALSE))/2)</f>
        <v>-1668.4780197941</v>
      </c>
      <c r="AD22" s="102">
        <f t="array" ref="AD22">IF($G22=0, INDEX(LS_previous!$D$4:$AY$137, MATCH('Staging Table'!$A22, LS_previous!$B$4:$B$137, 0), MATCH(AD$4&amp;AD$5, LS_previous!$D$2:$AY$2&amp;LS_previous!$D$3:$AY$3, 0)),SUM(VLOOKUP($A22, LS_previous!$B$4:$AY$137, LS_previous!V$148, FALSE), VLOOKUP('Staging Table'!$A22, LS_previous!$B$4:$AY$137,LS_previous!AT$148, FALSE))/2)</f>
        <v>-709.00133320719942</v>
      </c>
      <c r="AE22" s="102">
        <f t="array" ref="AE22">IF($G22=0, INDEX(LS_previous!$D$4:$AY$137, MATCH('Staging Table'!$A22, LS_previous!$B$4:$B$137, 0), MATCH(AE$4&amp;AE$5, LS_previous!$D$2:$AY$2&amp;LS_previous!$D$3:$AY$3, 0)),SUM(VLOOKUP($A22, LS_previous!$B$4:$AY$137, LS_previous!W$148, FALSE), VLOOKUP('Staging Table'!$A22, LS_previous!$B$4:$AY$137,LS_previous!AU$148, FALSE))/2)</f>
        <v>-593.05187244949957</v>
      </c>
      <c r="AF22" s="102">
        <f t="array" ref="AF22">IF($G22=0, INDEX(LS_previous!$D$4:$AY$137, MATCH('Staging Table'!$A22, LS_previous!$B$4:$B$137, 0), MATCH(AF$4&amp;AF$5, LS_previous!$D$2:$AY$2&amp;LS_previous!$D$3:$AY$3, 0)),SUM(VLOOKUP($A22, LS_previous!$B$4:$AY$137, LS_previous!X$148, FALSE), VLOOKUP('Staging Table'!$A22, LS_previous!$B$4:$AY$137,LS_previous!AV$148, FALSE))/2)</f>
        <v>-670.47683470069933</v>
      </c>
      <c r="AG22" s="102">
        <f t="array" ref="AG22">IF($G22=0, INDEX(LS_previous!$D$4:$AY$137, MATCH('Staging Table'!$A22, LS_previous!$B$4:$B$137, 0), MATCH(AG$4&amp;AG$5, LS_previous!$D$2:$AY$2&amp;LS_previous!$D$3:$AY$3, 0)),SUM(VLOOKUP($A22, LS_previous!$B$4:$AY$137, LS_previous!Y$148, FALSE), VLOOKUP('Staging Table'!$A22, LS_previous!$B$4:$AY$137,LS_previous!AW$148, FALSE))/2)</f>
        <v>-318.3472552405301</v>
      </c>
      <c r="AH22" s="102">
        <f t="array" ref="AH22">IF($G22=0, INDEX(LS_previous!$D$4:$AY$137, MATCH('Staging Table'!$A22, LS_previous!$B$4:$B$137, 0), MATCH(AH$4&amp;AH$5, LS_previous!$D$2:$AY$2&amp;LS_previous!$D$3:$AY$3, 0)),SUM(VLOOKUP($A22, LS_previous!$B$4:$AY$137, LS_previous!Z$148, FALSE), VLOOKUP('Staging Table'!$A22, LS_previous!$B$4:$AY$137,LS_previous!AX$148, FALSE))/2)</f>
        <v>-417.27165980520022</v>
      </c>
      <c r="AI22" s="102">
        <f t="array" ref="AI22">IF($G22=0, INDEX(LS_previous!$D$4:$AY$137, MATCH('Staging Table'!$A22, LS_previous!$B$4:$B$137, 0), MATCH(AI$4&amp;AI$5, LS_previous!$D$2:$AY$2&amp;LS_previous!$D$3:$AY$3, 0)),SUM(VLOOKUP($A22, LS_previous!$B$4:$AY$137, LS_previous!AA$148, FALSE), VLOOKUP('Staging Table'!$A22, LS_previous!$B$4:$AY$137,LS_previous!AY$148, FALSE))/2)</f>
        <v>-824.57657433919985</v>
      </c>
      <c r="AJ22" s="103">
        <f t="array" ref="AJ22">INDEX(Demand_previous!$D$4:$AY$137, MATCH('Staging Table'!$A22, Demand_previous!$B$4:$B$137, 0), MATCH(AJ$4&amp;AJ$5,Demand_previous!$D$2:$AY$2&amp;Demand_previous!$D$3:$AY$3, 0))/1000</f>
        <v>4.4817283653846172</v>
      </c>
      <c r="AK22" s="103">
        <f t="array" ref="AK22">INDEX(Demand_previous!$D$4:$AY$137, MATCH('Staging Table'!$A22, Demand_previous!$B$4:$B$137, 0), MATCH(AK$4&amp;AK$5,Demand_previous!$D$2:$AY$2&amp;Demand_previous!$D$3:$AY$3, 0))/1000</f>
        <v>7.140130000000001</v>
      </c>
      <c r="AL22" s="103">
        <f t="array" ref="AL22">INDEX(Demand_previous!$D$4:$AY$137, MATCH('Staging Table'!$A22, Demand_previous!$B$4:$B$137, 0), MATCH(AL$4&amp;AL$5,Demand_previous!$D$2:$AY$2&amp;Demand_previous!$D$3:$AY$3, 0))/1000</f>
        <v>4.3460600000000014</v>
      </c>
      <c r="AM22" s="103">
        <f t="array" ref="AM22">INDEX(Demand_previous!$D$4:$AY$137, MATCH('Staging Table'!$A22, Demand_previous!$B$4:$B$137, 0), MATCH(AM$4&amp;AM$5,Demand_previous!$D$2:$AY$2&amp;Demand_previous!$D$3:$AY$3, 0))/1000</f>
        <v>7.5519302884615378</v>
      </c>
      <c r="AN22" s="103">
        <f t="array" ref="AN22">INDEX(Demand_previous!$D$4:$AY$137, MATCH('Staging Table'!$A22, Demand_previous!$B$4:$B$137, 0), MATCH(AN$4&amp;AN$5,Demand_previous!$D$2:$AY$2&amp;Demand_previous!$D$3:$AY$3, 0))/1000</f>
        <v>5.3210600000000001</v>
      </c>
      <c r="AO22" s="103">
        <f t="array" ref="AO22">INDEX(Demand_previous!$D$4:$AY$137, MATCH('Staging Table'!$A22, Demand_previous!$B$4:$B$137, 0), MATCH(AO$4&amp;AO$5,Demand_previous!$D$2:$AY$2&amp;Demand_previous!$D$3:$AY$3, 0))/1000</f>
        <v>6.1683004807692283</v>
      </c>
      <c r="AP22" s="103">
        <f t="array" ref="AP22">INDEX(Demand_previous!$D$4:$AY$137, MATCH('Staging Table'!$A22, Demand_previous!$B$4:$B$137, 0), MATCH(AP$4&amp;AP$5,Demand_previous!$D$2:$AY$2&amp;Demand_previous!$D$3:$AY$3, 0))/1000</f>
        <v>6.8663269230769206</v>
      </c>
      <c r="AQ22" s="103">
        <f t="array" ref="AQ22">INDEX(Demand_previous!$D$4:$AY$137, MATCH('Staging Table'!$A22, Demand_previous!$B$4:$B$137, 0), MATCH(AQ$4&amp;AQ$5,Demand_previous!$D$2:$AY$2&amp;Demand_previous!$D$3:$AY$3, 0))/1000</f>
        <v>6.5437187499999983</v>
      </c>
      <c r="AR22" s="103">
        <f t="array" ref="AR22">INDEX(Demand_previous!$D$4:$AY$137, MATCH('Staging Table'!$A22, Demand_previous!$B$4:$B$137, 0), MATCH(AR$4&amp;AR$5,Demand_previous!$D$2:$AY$2&amp;Demand_previous!$D$3:$AY$3, 0))/1000</f>
        <v>4.5820975000000006</v>
      </c>
      <c r="AS22" s="103">
        <f t="array" ref="AS22">INDEX(Demand_previous!$D$4:$AY$137, MATCH('Staging Table'!$A22, Demand_previous!$B$4:$B$137, 0), MATCH(AS$4&amp;AS$5,Demand_previous!$D$2:$AY$2&amp;Demand_previous!$D$3:$AY$3, 0))/1000</f>
        <v>6.750384615384613</v>
      </c>
      <c r="AT22" s="103">
        <f t="array" ref="AT22">INDEX(Demand_previous!$D$4:$AY$137, MATCH('Staging Table'!$A22, Demand_previous!$B$4:$B$137, 0), MATCH(AT$4&amp;AT$5,Demand_previous!$D$2:$AY$2&amp;Demand_previous!$D$3:$AY$3, 0))/1000</f>
        <v>6.5746944444444422</v>
      </c>
      <c r="AU22" s="103">
        <f t="array" ref="AU22">INDEX(Demand_previous!$D$4:$AY$137, MATCH('Staging Table'!$A22, Demand_previous!$B$4:$B$137, 0), MATCH(AU$4&amp;AU$5,Demand_previous!$D$2:$AY$2&amp;Demand_previous!$D$3:$AY$3, 0))/1000</f>
        <v>6.311713541666669</v>
      </c>
      <c r="AV22" s="102">
        <f>$F22*(VLOOKUP(AV$4, Rates_previous!$G$6:$Q$29, 10, FALSE)+VLOOKUP(AV$4, Rates_previous!$G$6:$Q$29, 11, FALSE))</f>
        <v>9660.2168530826984</v>
      </c>
      <c r="AW22" s="102">
        <f>$F22*(VLOOKUP(AW$4, Rates_previous!$G$6:$Q$29, 10, FALSE)+VLOOKUP(AW$4, Rates_previous!$G$6:$Q$29, 11, FALSE))</f>
        <v>12319.961972918201</v>
      </c>
      <c r="AX22" s="102">
        <f>$F22*(VLOOKUP(AX$4, Rates_previous!$G$6:$Q$29, 10, FALSE)+VLOOKUP(AX$4, Rates_previous!$G$6:$Q$29, 11, FALSE))</f>
        <v>13295.676610263001</v>
      </c>
      <c r="AY22" s="102">
        <f>$F22*(VLOOKUP(AY$4, Rates_previous!$G$6:$Q$29, 10, FALSE)+VLOOKUP(AY$4, Rates_previous!$G$6:$Q$29, 11, FALSE))</f>
        <v>13816.263347811198</v>
      </c>
      <c r="AZ22" s="102">
        <f>$F22*(VLOOKUP(AZ$4, Rates_previous!$G$6:$Q$29, 10, FALSE)+VLOOKUP(AZ$4, Rates_previous!$G$6:$Q$29, 11, FALSE))</f>
        <v>11883.828069452398</v>
      </c>
      <c r="BA22" s="102">
        <f>$F22*(VLOOKUP(BA$4, Rates_previous!$G$6:$Q$29, 10, FALSE)+VLOOKUP(BA$4, Rates_previous!$G$6:$Q$29, 11, FALSE))</f>
        <v>12974.787372211798</v>
      </c>
      <c r="BB22" s="102">
        <f>$F22*(VLOOKUP(BB$4, Rates_previous!$G$6:$Q$29, 10, FALSE)+VLOOKUP(BB$4, Rates_previous!$G$6:$Q$29, 11, FALSE))</f>
        <v>10241.408113634649</v>
      </c>
      <c r="BC22" s="102">
        <f>$F22*(VLOOKUP(BC$4, Rates_previous!$G$6:$Q$29, 10, FALSE)+VLOOKUP(BC$4, Rates_previous!$G$6:$Q$29, 11, FALSE))</f>
        <v>12705.8391776837</v>
      </c>
      <c r="BD22" s="102">
        <f>$F22*(VLOOKUP(BD$4, Rates_previous!$G$6:$Q$29, 10, FALSE)+VLOOKUP(BD$4, Rates_previous!$G$6:$Q$29, 11, FALSE))</f>
        <v>12981.524168748898</v>
      </c>
      <c r="BE22" s="102">
        <f>$F22*(VLOOKUP(BE$4, Rates_previous!$G$6:$Q$29, 10, FALSE)+VLOOKUP(BE$4, Rates_previous!$G$6:$Q$29, 11, FALSE))</f>
        <v>11269.8332056567</v>
      </c>
      <c r="BF22" s="102">
        <f>$F22*(VLOOKUP(BF$4, Rates_previous!$G$6:$Q$29, 10, FALSE)+VLOOKUP(BF$4, Rates_previous!$G$6:$Q$29, 11, FALSE))</f>
        <v>10894.933089941231</v>
      </c>
      <c r="BG22" s="102">
        <f>$F22*(VLOOKUP(BG$4, Rates_previous!$G$6:$Q$29, 10, FALSE)+VLOOKUP(BG$4, Rates_previous!$G$6:$Q$29, 11, FALSE))</f>
        <v>10025.4482341444</v>
      </c>
      <c r="BH22" s="103">
        <f>IF($D22=0,IF(C22=0, MAX(BJ22 - (VLOOKUP($A22,TOCA_previous!$A$2:$AJ$136,MATCH("RHWM "&amp;Init!$D$1-2,TOCA_previous!$A$2:$AJ$2,0),FALSE)*$F$2*TOCA_previous!C19),0),0), 0)</f>
        <v>0</v>
      </c>
      <c r="BI22" s="109">
        <f>MIN(VLOOKUP($A22,TOCA_previous!$A$2:$AJ$136,MATCH("TRL - NLSL - Existing Resource "&amp;$F$1,TOCA_previous!$A$2:$AJ$2,0),FALSE)*$F$2,(VLOOKUP($A22,TOCA_previous!$A$2:$AJ$136,MATCH("RHWM "&amp;Init!$D$1-2,TOCA_previous!$A$2:$AJ$2,0),FALSE)*$F$2))</f>
        <v>138936.52799999999</v>
      </c>
      <c r="BJ22" s="261">
        <f>SUM(L22:AI22)+(F22*RT1SC!$C$3*$F$2)</f>
        <v>130835.74965121911</v>
      </c>
      <c r="BK22" s="260">
        <f>VLOOKUP($A22,TOCA_previous!$A$2:$AJ$136,MATCH("Above RHWM Not Served with LS "&amp;$F$1,TOCA_previous!$A$2:$AJ$2,0),FALSE)*$F$2</f>
        <v>14326.704000000002</v>
      </c>
      <c r="BL22" s="261">
        <f t="shared" si="21"/>
        <v>-8100.7783487808774</v>
      </c>
      <c r="BM22" s="260">
        <f>(VLOOKUP($A22,TOCA_previous!$A$2:$AJ$136,MATCH("RHWM "&amp;Init!$D$1-2,TOCA_previous!$A$2:$AJ$2,0),FALSE)*$F$2) - $BI22</f>
        <v>0</v>
      </c>
      <c r="BN22" s="261">
        <f t="shared" si="22"/>
        <v>0</v>
      </c>
      <c r="BO22" s="260">
        <f t="shared" si="23"/>
        <v>0</v>
      </c>
      <c r="BP22" s="261">
        <f t="shared" si="24"/>
        <v>0</v>
      </c>
      <c r="BQ22" s="260">
        <f t="shared" si="9"/>
        <v>0</v>
      </c>
      <c r="BR22" s="85">
        <f>VLOOKUP($A22,TOCA_current!$A$2:$ZZ$136,MATCH(BR$4,TOCA_current!$A$2:$ZZ$2,0),FALSE)</f>
        <v>2.2376000000000002E-3</v>
      </c>
      <c r="BS22" s="85">
        <f>VLOOKUP($A22,TOCA_current!$A$2:$ZZ$136,MATCH(BS$4,TOCA_current!$A$2:$ZZ$2,0),FALSE)</f>
        <v>2.2376000000000002E-3</v>
      </c>
      <c r="BT22" s="108">
        <f t="shared" si="25"/>
        <v>0</v>
      </c>
      <c r="BU22" s="85">
        <f>VLOOKUP($A22,TOCA_current!A19:BG153,MATCH(BU$4,TOCA_current!$A$2:$BG$2,0),FALSE)</f>
        <v>0</v>
      </c>
      <c r="BV22" s="85">
        <f t="shared" si="26"/>
        <v>0</v>
      </c>
      <c r="BW22" s="85">
        <f t="shared" si="27"/>
        <v>0</v>
      </c>
      <c r="BX22" s="101">
        <f>VLOOKUP($A22,IRD!$A$4:$G$138, 7, FALSE)</f>
        <v>0</v>
      </c>
      <c r="BY22" s="102">
        <f t="array" ref="BY22">IF($BT22=0, INDEX(LS_current!$D$4:$BW$137, MATCH('Staging Table'!$A22, LS_current!$B$4:$B$137, 0), MATCH(BY$4&amp;BY$5, LS_current!$D$2:$BW$2&amp;LS_current!$D$3:$BW$3, 0)),SUM(VLOOKUP($A22, LS_current!$B$4:$BW$137, LS_current!D$147, FALSE), VLOOKUP($A22, LS_current!$B$4:$BW$137,LS_current!AZ$147, FALSE))/2)</f>
        <v>1475.279781092433</v>
      </c>
      <c r="BZ22" s="102">
        <f t="array" ref="BZ22">IF($BT22=0, INDEX(LS_current!$D$4:$BW$137, MATCH('Staging Table'!$A22, LS_current!$B$4:$B$137, 0), MATCH(BZ$4&amp;BZ$5, LS_current!$D$2:$BW$2&amp;LS_current!$D$3:$BW$3, 0)),SUM(VLOOKUP($A22, LS_current!$B$4:$BW$137, LS_current!E$147, FALSE), VLOOKUP($A22, LS_current!$B$4:$BW$137,LS_current!BA$147, FALSE))/2)</f>
        <v>602.66366573100186</v>
      </c>
      <c r="CA22" s="102">
        <f t="array" ref="CA22">IF($BT22=0, INDEX(LS_current!$D$4:$BW$137, MATCH('Staging Table'!$A22, LS_current!$B$4:$B$137, 0), MATCH(CA$4&amp;CA$5, LS_current!$D$2:$BW$2&amp;LS_current!$D$3:$BW$3, 0)),SUM(VLOOKUP($A22, LS_current!$B$4:$BW$137, LS_current!F$147, FALSE), VLOOKUP($A22, LS_current!$B$4:$BW$137,LS_current!BB$147, FALSE))/2)</f>
        <v>66.699218921608917</v>
      </c>
      <c r="CB22" s="102">
        <f t="array" ref="CB22">IF($BT22=0, INDEX(LS_current!$D$4:$BW$137, MATCH('Staging Table'!$A22, LS_current!$B$4:$B$137, 0), MATCH(CB$4&amp;CB$5, LS_current!$D$2:$BW$2&amp;LS_current!$D$3:$BW$3, 0)),SUM(VLOOKUP($A22, LS_current!$B$4:$BW$137, LS_current!G$147, FALSE), VLOOKUP($A22, LS_current!$B$4:$BW$137,LS_current!BC$147, FALSE))/2)</f>
        <v>574.3765024141303</v>
      </c>
      <c r="CC22" s="102">
        <f t="array" ref="CC22">IF($BT22=0, INDEX(LS_current!$D$4:$BW$137, MATCH('Staging Table'!$A22, LS_current!$B$4:$B$137, 0), MATCH(CC$4&amp;CC$5, LS_current!$D$2:$BW$2&amp;LS_current!$D$3:$BW$3, 0)),SUM(VLOOKUP($A22, LS_current!$B$4:$BW$137, LS_current!H$147, FALSE), VLOOKUP($A22, LS_current!$B$4:$BW$137,LS_current!BD$147, FALSE))/2)</f>
        <v>449.80385652066798</v>
      </c>
      <c r="CD22" s="102">
        <f t="array" ref="CD22">IF($BT22=0, INDEX(LS_current!$D$4:$BW$137, MATCH('Staging Table'!$A22, LS_current!$B$4:$B$137, 0), MATCH(CD$4&amp;CD$5, LS_current!$D$2:$BW$2&amp;LS_current!$D$3:$BW$3, 0)),SUM(VLOOKUP($A22, LS_current!$B$4:$BW$137, LS_current!I$147, FALSE), VLOOKUP($A22, LS_current!$B$4:$BW$137,LS_current!BE$147, FALSE))/2)</f>
        <v>1290.2333217081268</v>
      </c>
      <c r="CE22" s="102">
        <f t="array" ref="CE22">IF($BT22=0, INDEX(LS_current!$D$4:$BW$137, MATCH('Staging Table'!$A22, LS_current!$B$4:$B$137, 0), MATCH(CE$4&amp;CE$5, LS_current!$D$2:$BW$2&amp;LS_current!$D$3:$BW$3, 0)),SUM(VLOOKUP($A22, LS_current!$B$4:$BW$137, LS_current!J$147, FALSE), VLOOKUP($A22, LS_current!$B$4:$BW$137,LS_current!BF$147, FALSE))/2)</f>
        <v>456.554791175231</v>
      </c>
      <c r="CF22" s="102">
        <f t="array" ref="CF22">IF($BT22=0, INDEX(LS_current!$D$4:$BW$137, MATCH('Staging Table'!$A22, LS_current!$B$4:$B$137, 0), MATCH(CF$4&amp;CF$5, LS_current!$D$2:$BW$2&amp;LS_current!$D$3:$BW$3, 0)),SUM(VLOOKUP($A22, LS_current!$B$4:$BW$137, LS_current!K$147, FALSE), VLOOKUP($A22, LS_current!$B$4:$BW$137,LS_current!BG$147, FALSE))/2)</f>
        <v>1013.0678404767932</v>
      </c>
      <c r="CG22" s="102">
        <f t="array" ref="CG22">IF($BT22=0, INDEX(LS_current!$D$4:$BW$137, MATCH('Staging Table'!$A22, LS_current!$B$4:$B$137, 0), MATCH(CG$4&amp;CG$5, LS_current!$D$2:$BW$2&amp;LS_current!$D$3:$BW$3, 0)),SUM(VLOOKUP($A22, LS_current!$B$4:$BW$137, LS_current!L$147, FALSE), VLOOKUP($A22, LS_current!$B$4:$BW$137,LS_current!BH$147, FALSE))/2)</f>
        <v>764.60681094725896</v>
      </c>
      <c r="CH22" s="102">
        <f t="array" ref="CH22">IF($BT22=0, INDEX(LS_current!$D$4:$BW$137, MATCH('Staging Table'!$A22, LS_current!$B$4:$B$137, 0), MATCH(CH$4&amp;CH$5, LS_current!$D$2:$BW$2&amp;LS_current!$D$3:$BW$3, 0)),SUM(VLOOKUP($A22, LS_current!$B$4:$BW$137, LS_current!M$147, FALSE), VLOOKUP($A22, LS_current!$B$4:$BW$137,LS_current!BI$147, FALSE))/2)</f>
        <v>916.63810640010161</v>
      </c>
      <c r="CI22" s="102">
        <f t="array" ref="CI22">IF($BT22=0, INDEX(LS_current!$D$4:$BW$137, MATCH('Staging Table'!$A22, LS_current!$B$4:$B$137, 0), MATCH(CI$4&amp;CI$5, LS_current!$D$2:$BW$2&amp;LS_current!$D$3:$BW$3, 0)),SUM(VLOOKUP($A22, LS_current!$B$4:$BW$137, LS_current!N$147, FALSE), VLOOKUP($A22, LS_current!$B$4:$BW$137,LS_current!BJ$147, FALSE))/2)</f>
        <v>-323.46115280533104</v>
      </c>
      <c r="CJ22" s="102">
        <f t="array" ref="CJ22">IF($BT22=0, INDEX(LS_current!$D$4:$BW$137, MATCH('Staging Table'!$A22, LS_current!$B$4:$B$137, 0), MATCH(CJ$4&amp;CJ$5, LS_current!$D$2:$BW$2&amp;LS_current!$D$3:$BW$3, 0)),SUM(VLOOKUP($A22, LS_current!$B$4:$BW$137, LS_current!O$147, FALSE), VLOOKUP($A22, LS_current!$B$4:$BW$137,LS_current!BK$147, FALSE))/2)</f>
        <v>787.77631639927222</v>
      </c>
      <c r="CK22" s="102">
        <f t="array" ref="CK22">IF($BT22=0, INDEX(LS_current!$D$4:$BW$137, MATCH('Staging Table'!$A22, LS_current!$B$4:$B$137, 0), MATCH(CK$4&amp;CK$5, LS_current!$D$2:$BW$2&amp;LS_current!$D$3:$BW$3, 0)),SUM(VLOOKUP($A22, LS_current!$B$4:$BW$137, LS_current!P$147, FALSE), VLOOKUP($A22, LS_current!$B$4:$BW$137,LS_current!BL$147, FALSE))/2)</f>
        <v>1225.4147254494665</v>
      </c>
      <c r="CL22" s="102">
        <f t="array" ref="CL22">IF($BT22=0, INDEX(LS_current!$D$4:$BW$137, MATCH('Staging Table'!$A22, LS_current!$B$4:$B$137, 0), MATCH(CL$4&amp;CL$5, LS_current!$D$2:$BW$2&amp;LS_current!$D$3:$BW$3, 0)),SUM(VLOOKUP($A22, LS_current!$B$4:$BW$137, LS_current!Q$147, FALSE), VLOOKUP($A22, LS_current!$B$4:$BW$137,LS_current!BM$147, FALSE))/2)</f>
        <v>488.0332962981106</v>
      </c>
      <c r="CM22" s="102">
        <f t="array" ref="CM22">IF($BT22=0, INDEX(LS_current!$D$4:$BW$137, MATCH('Staging Table'!$A22, LS_current!$B$4:$B$137, 0), MATCH(CM$4&amp;CM$5, LS_current!$D$2:$BW$2&amp;LS_current!$D$3:$BW$3, 0)),SUM(VLOOKUP($A22, LS_current!$B$4:$BW$137, LS_current!R$147, FALSE), VLOOKUP($A22, LS_current!$B$4:$BW$137,LS_current!BN$147, FALSE))/2)</f>
        <v>-1170.8887274007475</v>
      </c>
      <c r="CN22" s="102">
        <f t="array" ref="CN22">IF($BT22=0, INDEX(LS_current!$D$4:$BW$137, MATCH('Staging Table'!$A22, LS_current!$B$4:$B$137, 0), MATCH(CN$4&amp;CN$5, LS_current!$D$2:$BW$2&amp;LS_current!$D$3:$BW$3, 0)),SUM(VLOOKUP($A22, LS_current!$B$4:$BW$137, LS_current!S$147, FALSE), VLOOKUP($A22, LS_current!$B$4:$BW$137,LS_current!BO$147, FALSE))/2)</f>
        <v>-707.97441035853353</v>
      </c>
      <c r="CO22" s="102">
        <f t="array" ref="CO22">IF($BT22=0, INDEX(LS_current!$D$4:$BW$137, MATCH('Staging Table'!$A22, LS_current!$B$4:$B$137, 0), MATCH(CO$4&amp;CO$5, LS_current!$D$2:$BW$2&amp;LS_current!$D$3:$BW$3, 0)),SUM(VLOOKUP($A22, LS_current!$B$4:$BW$137, LS_current!T$147, FALSE), VLOOKUP($A22, LS_current!$B$4:$BW$137,LS_current!BP$147, FALSE))/2)</f>
        <v>-1688.125842825686</v>
      </c>
      <c r="CP22" s="102">
        <f t="array" ref="CP22">IF($BT22=0, INDEX(LS_current!$D$4:$BW$137, MATCH('Staging Table'!$A22, LS_current!$B$4:$B$137, 0), MATCH(CP$4&amp;CP$5, LS_current!$D$2:$BW$2&amp;LS_current!$D$3:$BW$3, 0)),SUM(VLOOKUP($A22, LS_current!$B$4:$BW$137, LS_current!U$147, FALSE), VLOOKUP($A22, LS_current!$B$4:$BW$137,LS_current!BQ$147, FALSE))/2)</f>
        <v>-743.09269122220485</v>
      </c>
      <c r="CQ22" s="102">
        <f t="array" ref="CQ22">IF($BT22=0, INDEX(LS_current!$D$4:$BW$137, MATCH('Staging Table'!$A22, LS_current!$B$4:$B$137, 0), MATCH(CQ$4&amp;CQ$5, LS_current!$D$2:$BW$2&amp;LS_current!$D$3:$BW$3, 0)),SUM(VLOOKUP($A22, LS_current!$B$4:$BW$137, LS_current!V$147, FALSE), VLOOKUP($A22, LS_current!$B$4:$BW$137,LS_current!BR$147, FALSE))/2)</f>
        <v>-176.15671061502144</v>
      </c>
      <c r="CR22" s="102">
        <f t="array" ref="CR22">IF($BT22=0, INDEX(LS_current!$D$4:$BW$137, MATCH('Staging Table'!$A22, LS_current!$B$4:$B$137, 0), MATCH(CR$4&amp;CR$5, LS_current!$D$2:$BW$2&amp;LS_current!$D$3:$BW$3, 0)),SUM(VLOOKUP($A22, LS_current!$B$4:$BW$137, LS_current!W$147, FALSE), VLOOKUP($A22, LS_current!$B$4:$BW$137,LS_current!BS$147, FALSE))/2)</f>
        <v>44.366300943477654</v>
      </c>
      <c r="CS22" s="102">
        <f t="array" ref="CS22">IF($BT22=0, INDEX(LS_current!$D$4:$BW$137, MATCH('Staging Table'!$A22, LS_current!$B$4:$B$137, 0), MATCH(CS$4&amp;CS$5, LS_current!$D$2:$BW$2&amp;LS_current!$D$3:$BW$3, 0)),SUM(VLOOKUP($A22, LS_current!$B$4:$BW$137, LS_current!X$147, FALSE), VLOOKUP($A22, LS_current!$B$4:$BW$137,LS_current!BT$147, FALSE))/2)</f>
        <v>-768.65546641496439</v>
      </c>
      <c r="CT22" s="102">
        <f t="array" ref="CT22">IF($BT22=0, INDEX(LS_current!$D$4:$BW$137, MATCH('Staging Table'!$A22, LS_current!$B$4:$B$137, 0), MATCH(CT$4&amp;CT$5, LS_current!$D$2:$BW$2&amp;LS_current!$D$3:$BW$3, 0)),SUM(VLOOKUP($A22, LS_current!$B$4:$BW$137, LS_current!Y$147, FALSE), VLOOKUP($A22, LS_current!$B$4:$BW$137,LS_current!BU$147, FALSE))/2)</f>
        <v>283.1299046875597</v>
      </c>
      <c r="CU22" s="102">
        <f t="array" ref="CU22">IF($BT22=0, INDEX(LS_current!$D$4:$BW$137, MATCH('Staging Table'!$A22, LS_current!$B$4:$B$137, 0), MATCH(CU$4&amp;CU$5, LS_current!$D$2:$BW$2&amp;LS_current!$D$3:$BW$3, 0)),SUM(VLOOKUP($A22, LS_current!$B$4:$BW$137, LS_current!Z$147, FALSE), VLOOKUP($A22, LS_current!$B$4:$BW$137,LS_current!BV$147, FALSE))/2)</f>
        <v>586.955245415018</v>
      </c>
      <c r="CV22" s="102">
        <f t="array" ref="CV22">IF($BT22=0, INDEX(LS_current!$D$4:$BW$137, MATCH('Staging Table'!$A22, LS_current!$B$4:$B$137, 0), MATCH(CV$4&amp;CV$5, LS_current!$D$2:$BW$2&amp;LS_current!$D$3:$BW$3, 0)),SUM(VLOOKUP($A22, LS_current!$B$4:$BW$137, LS_current!AA$147, FALSE), VLOOKUP($A22, LS_current!$B$4:$BW$137,LS_current!BW$147, FALSE))/2)</f>
        <v>358.21459972218008</v>
      </c>
      <c r="CW22" s="103">
        <f t="array" ref="CW22">INDEX(Demand_current!$D$4:$BW$137, MATCH($A22, Demand_current!$B$4:$B$137, 0), MATCH(CW$4&amp;CW$5,Demand_current!$D$2:$BW$2&amp;Demand_current!$D$3:$BW$3, 0))/1000</f>
        <v>5.128256944444443</v>
      </c>
      <c r="CX22" s="103">
        <f t="array" ref="CX22">INDEX(Demand_current!$D$4:$BW$137, MATCH($A22, Demand_current!$B$4:$B$137, 0), MATCH(CX$4&amp;CX$5,Demand_current!$D$2:$BW$2&amp;Demand_current!$D$3:$BW$3, 0))/1000</f>
        <v>6.3860104166666662</v>
      </c>
      <c r="CY22" s="103">
        <f t="array" ref="CY22">INDEX(Demand_current!$D$4:$BW$137, MATCH($A22, Demand_current!$B$4:$B$137, 0), MATCH(CY$4&amp;CY$5,Demand_current!$D$2:$BW$2&amp;Demand_current!$D$3:$BW$3, 0))/1000</f>
        <v>5.2212884615384603</v>
      </c>
      <c r="CZ22" s="103">
        <f t="array" ref="CZ22">INDEX(Demand_current!$D$4:$BW$137, MATCH($A22, Demand_current!$B$4:$B$137, 0), MATCH(CZ$4&amp;CZ$5,Demand_current!$D$2:$BW$2&amp;Demand_current!$D$3:$BW$3, 0))/1000</f>
        <v>7.5519302884615342</v>
      </c>
      <c r="DA22" s="103">
        <f t="array" ref="DA22">INDEX(Demand_current!$D$4:$BW$137, MATCH($A22, Demand_current!$B$4:$B$137, 0), MATCH(DA$4&amp;DA$5,Demand_current!$D$2:$BW$2&amp;Demand_current!$D$3:$BW$3, 0))/1000</f>
        <v>4.4891041666666682</v>
      </c>
      <c r="DB22" s="103">
        <f t="array" ref="DB22">INDEX(Demand_current!$D$4:$BW$137, MATCH($A22, Demand_current!$B$4:$B$137, 0), MATCH(DB$4&amp;DB$5,Demand_current!$D$2:$BW$2&amp;Demand_current!$D$3:$BW$3, 0))/1000</f>
        <v>6.1683004807692283</v>
      </c>
      <c r="DC22" s="103">
        <f t="array" ref="DC22">INDEX(Demand_current!$D$4:$BW$137, MATCH($A22, Demand_current!$B$4:$B$137, 0), MATCH(DC$4&amp;DC$5,Demand_current!$D$2:$BW$2&amp;Demand_current!$D$3:$BW$3, 0))/1000</f>
        <v>6.8663269230769206</v>
      </c>
      <c r="DD22" s="103">
        <f t="array" ref="DD22">INDEX(Demand_current!$D$4:$BW$137, MATCH($A22, Demand_current!$B$4:$B$137, 0), MATCH(DD$4&amp;DD$5,Demand_current!$D$2:$BW$2&amp;Demand_current!$D$3:$BW$3, 0))/1000</f>
        <v>5.9317474999999984</v>
      </c>
      <c r="DE22" s="103">
        <f t="array" ref="DE22">INDEX(Demand_current!$D$4:$BW$137, MATCH($A22, Demand_current!$B$4:$B$137, 0), MATCH(DE$4&amp;DE$5,Demand_current!$D$2:$BW$2&amp;Demand_current!$D$3:$BW$3, 0))/1000</f>
        <v>5.2162860576923071</v>
      </c>
      <c r="DF22" s="103">
        <f t="array" ref="DF22">INDEX(Demand_current!$D$4:$BW$137, MATCH($A22, Demand_current!$B$4:$B$137, 0), MATCH(DF$4&amp;DF$5,Demand_current!$D$2:$BW$2&amp;Demand_current!$D$3:$BW$3, 0))/1000</f>
        <v>6.750384615384613</v>
      </c>
      <c r="DG22" s="103">
        <f t="array" ref="DG22">INDEX(Demand_current!$D$4:$BW$137, MATCH($A22, Demand_current!$B$4:$B$137, 0), MATCH(DG$4&amp;DG$5,Demand_current!$D$2:$BW$2&amp;Demand_current!$D$3:$BW$3, 0))/1000</f>
        <v>5.9563365384615379</v>
      </c>
      <c r="DH22" s="103">
        <f t="array" ref="DH22">INDEX(Demand_current!$D$4:$BW$137, MATCH($A22, Demand_current!$B$4:$B$137, 0), MATCH(DH$4&amp;DH$5,Demand_current!$D$2:$BW$2&amp;Demand_current!$D$3:$BW$3, 0))/1000</f>
        <v>6.957205000000001</v>
      </c>
      <c r="DI22" s="102">
        <f>$BS22*(VLOOKUP(DI$4, Rates_current!$H$6:$R$41, 10, FALSE)+VLOOKUP(DI$4, Rates_current!$H$6:$R$41, 11, FALSE))</f>
        <v>9286.6835531765664</v>
      </c>
      <c r="DJ22" s="102">
        <f>$BS22*(VLOOKUP(DJ$4, Rates_current!$H$6:$R$41, 10, FALSE)+VLOOKUP(DJ$4, Rates_current!$H$6:$R$41, 11, FALSE))</f>
        <v>11872.719278664263</v>
      </c>
      <c r="DK22" s="102">
        <f>$BS22*(VLOOKUP(DK$4, Rates_current!$H$6:$R$41, 10, FALSE)+VLOOKUP(DK$4, Rates_current!$H$6:$R$41, 11, FALSE))</f>
        <v>13498.288821771204</v>
      </c>
      <c r="DL22" s="102">
        <f>$BS22*(VLOOKUP(DL$4, Rates_current!$H$6:$R$41, 10, FALSE)+VLOOKUP(DL$4, Rates_current!$H$6:$R$41, 11, FALSE))</f>
        <v>14241.748368347977</v>
      </c>
      <c r="DM22" s="102">
        <f>$BS22*(VLOOKUP(DM$4, Rates_current!$H$6:$R$41, 10, FALSE)+VLOOKUP(DM$4, Rates_current!$H$6:$R$41, 11, FALSE))</f>
        <v>11349.38808265264</v>
      </c>
      <c r="DN22" s="102">
        <f>$BS22*(VLOOKUP(DN$4, Rates_current!$H$6:$R$41, 10, FALSE)+VLOOKUP(DN$4, Rates_current!$H$6:$R$41, 11, FALSE))</f>
        <v>12407.211836406059</v>
      </c>
      <c r="DO22" s="102">
        <f>$BS22*(VLOOKUP(DO$4, Rates_current!$H$6:$R$41, 10, FALSE)+VLOOKUP(DO$4, Rates_current!$H$6:$R$41, 11, FALSE))</f>
        <v>9615.7139782524246</v>
      </c>
      <c r="DP22" s="102">
        <f>$BS22*(VLOOKUP(DP$4, Rates_current!$H$6:$R$41, 10, FALSE)+VLOOKUP(DP$4, Rates_current!$H$6:$R$41, 11, FALSE))</f>
        <v>12444.317137759281</v>
      </c>
      <c r="DQ22" s="102">
        <f>$BS22*(VLOOKUP(DQ$4, Rates_current!$H$6:$R$41, 10, FALSE)+VLOOKUP(DQ$4, Rates_current!$H$6:$R$41, 11, FALSE))</f>
        <v>12710.03953404789</v>
      </c>
      <c r="DR22" s="102">
        <f>$BS22*(VLOOKUP(DR$4, Rates_current!$H$6:$R$41, 10, FALSE)+VLOOKUP(DR$4, Rates_current!$H$6:$R$41, 11, FALSE))</f>
        <v>11313.034409671543</v>
      </c>
      <c r="DS22" s="102">
        <f>$BS22*(VLOOKUP(DS$4, Rates_current!$H$6:$R$41, 10, FALSE)+VLOOKUP(DS$4, Rates_current!$H$6:$R$41, 11, FALSE))</f>
        <v>11605.098561727405</v>
      </c>
      <c r="DT22" s="102">
        <f>$BS22*(VLOOKUP(DT$4, Rates_current!$H$6:$R$41, 10, FALSE)+VLOOKUP(DT$4, Rates_current!$H$6:$R$41, 11, FALSE))</f>
        <v>9012.7501548628024</v>
      </c>
      <c r="DU22" s="261">
        <f>IF(D22=0,IF(C22=0,MAX(0,DW22 - (VLOOKUP($A22,TOCA_current!$A$2:$AV$136,MATCH("RHWM "&amp;Init!$D$1,TOCA_current!$A$2:$AV$2,0),FALSE)*$BS$2)), 0),0)</f>
        <v>5808.38122621199</v>
      </c>
      <c r="DV22" s="262">
        <f>MIN(VLOOKUP($A22,TOCA_current!$A$2:$AV$136,MATCH("TRL - NLSL - Existing Resource "&amp;$BS$1,TOCA_current!$A$2:$AV$2,0),FALSE)*$BS$2, VLOOKUP($A22,TOCA_current!$A$2:$AV$136,MATCH("RHWM "&amp;Init!$D$1,TOCA_current!$A$2:$AV$2,0),FALSE)*$BS$2)</f>
        <v>139354.07999999999</v>
      </c>
      <c r="DW22" s="262">
        <f>SUM(BY22:CV22)+(BS22*RT1SC!$C$4*$BS$2)</f>
        <v>145162.46122621198</v>
      </c>
      <c r="DX22" s="262">
        <f>VLOOKUP($A22,TOCA_current!$A$2:$AV$136,MATCH("Above RHWM Not Served with LS "&amp;$BS$1,TOCA_current!$A$2:$AV$2,0),FALSE)*$BS$2</f>
        <v>0</v>
      </c>
      <c r="DY22" s="262">
        <f t="shared" si="28"/>
        <v>5808.38122621199</v>
      </c>
      <c r="DZ22" s="262">
        <f>(VLOOKUP($A22,TOCA_current!$A$2:$AV$136,MATCH("RHWM "&amp;Init!$D$1,TOCA_current!$A$2:$AV$2,0),FALSE)*$BS$2) - $DV22</f>
        <v>0</v>
      </c>
      <c r="EA22" s="262">
        <f t="shared" si="29"/>
        <v>0</v>
      </c>
      <c r="EB22" s="262">
        <f t="shared" si="30"/>
        <v>0</v>
      </c>
      <c r="EC22" s="262">
        <f t="shared" si="31"/>
        <v>0</v>
      </c>
      <c r="ED22" s="262">
        <f t="shared" si="32"/>
        <v>0</v>
      </c>
    </row>
    <row r="23" spans="1:134">
      <c r="A23" s="2">
        <v>10068</v>
      </c>
      <c r="B23" s="3" t="s">
        <v>25</v>
      </c>
      <c r="C23">
        <f>VLOOKUP(A23, TOCA_current!$A$3:$D$136, 4, FALSE)</f>
        <v>0</v>
      </c>
      <c r="D23">
        <v>0</v>
      </c>
      <c r="E23" s="84">
        <f>VLOOKUP($A23,TOCA_previous!$A$2:$AJ$136,MATCH(E$4,TOCA_previous!$A$2:$AJ$2,0),FALSE)</f>
        <v>3.6509999999999998E-4</v>
      </c>
      <c r="F23" s="85">
        <f>VLOOKUP($A23,TOCA_previous!$A$2:$AJ$136,MATCH(F$4,TOCA_previous!$A$2:$AJ$2,0),FALSE)</f>
        <v>3.6509999999999998E-4</v>
      </c>
      <c r="G23" s="85">
        <f t="shared" si="18"/>
        <v>0</v>
      </c>
      <c r="H23" s="85">
        <f>VLOOKUP($A23,TOCA_previous!$A$2:$AJ$136,MATCH(H$4,TOCA_previous!$A$2:$AJ$2,0),FALSE)</f>
        <v>0</v>
      </c>
      <c r="I23" s="85">
        <f t="shared" si="19"/>
        <v>0</v>
      </c>
      <c r="J23" s="85">
        <f t="shared" si="20"/>
        <v>0</v>
      </c>
      <c r="K23" s="101">
        <f>VLOOKUP(A23, IRD!$A$5:$C$138, 3, FALSE)</f>
        <v>0</v>
      </c>
      <c r="L23" s="102">
        <f t="array" ref="L23">IF($G23=0, INDEX(LS_previous!$D$4:$AY$137, MATCH('Staging Table'!$A23, LS_previous!$B$4:$B$137, 0), MATCH(L$4&amp;L$5, LS_previous!$D$2:$AY$2&amp;LS_previous!$D$3:$AY$3, 0)),SUM(VLOOKUP($A23, LS_previous!$B$4:$AY$137, LS_previous!D$148, FALSE), VLOOKUP('Staging Table'!$A23, LS_previous!$B$4:$AY$137,LS_previous!AB$148, FALSE))/2)</f>
        <v>147.09368245639996</v>
      </c>
      <c r="M23" s="102">
        <f t="array" ref="M23">IF($G23=0, INDEX(LS_previous!$D$4:$AY$137, MATCH('Staging Table'!$A23, LS_previous!$B$4:$B$137, 0), MATCH(M$4&amp;M$5, LS_previous!$D$2:$AY$2&amp;LS_previous!$D$3:$AY$3, 0)),SUM(VLOOKUP($A23, LS_previous!$B$4:$AY$137, LS_previous!E$148, FALSE), VLOOKUP('Staging Table'!$A23, LS_previous!$B$4:$AY$137,LS_previous!AC$148, FALSE))/2)</f>
        <v>22.628064219950033</v>
      </c>
      <c r="N23" s="102">
        <f t="array" ref="N23">IF($G23=0, INDEX(LS_previous!$D$4:$AY$137, MATCH('Staging Table'!$A23, LS_previous!$B$4:$B$137, 0), MATCH(N$4&amp;N$5, LS_previous!$D$2:$AY$2&amp;LS_previous!$D$3:$AY$3, 0)),SUM(VLOOKUP($A23, LS_previous!$B$4:$AY$137, LS_previous!F$148, FALSE), VLOOKUP('Staging Table'!$A23, LS_previous!$B$4:$AY$137,LS_previous!AD$148, FALSE))/2)</f>
        <v>-9.000323452800103</v>
      </c>
      <c r="O23" s="102">
        <f t="array" ref="O23">IF($G23=0, INDEX(LS_previous!$D$4:$AY$137, MATCH('Staging Table'!$A23, LS_previous!$B$4:$B$137, 0), MATCH(O$4&amp;O$5, LS_previous!$D$2:$AY$2&amp;LS_previous!$D$3:$AY$3, 0)),SUM(VLOOKUP($A23, LS_previous!$B$4:$AY$137, LS_previous!G$148, FALSE), VLOOKUP('Staging Table'!$A23, LS_previous!$B$4:$AY$137,LS_previous!AE$148, FALSE))/2)</f>
        <v>20.113711821899983</v>
      </c>
      <c r="P23" s="102">
        <f t="array" ref="P23">IF($G23=0, INDEX(LS_previous!$D$4:$AY$137, MATCH('Staging Table'!$A23, LS_previous!$B$4:$B$137, 0), MATCH(P$4&amp;P$5, LS_previous!$D$2:$AY$2&amp;LS_previous!$D$3:$AY$3, 0)),SUM(VLOOKUP($A23, LS_previous!$B$4:$AY$137, LS_previous!H$148, FALSE), VLOOKUP('Staging Table'!$A23, LS_previous!$B$4:$AY$137,LS_previous!AF$148, FALSE))/2)</f>
        <v>192.07365669110004</v>
      </c>
      <c r="Q23" s="102">
        <f t="array" ref="Q23">IF($G23=0, INDEX(LS_previous!$D$4:$AY$137, MATCH('Staging Table'!$A23, LS_previous!$B$4:$B$137, 0), MATCH(Q$4&amp;Q$5, LS_previous!$D$2:$AY$2&amp;LS_previous!$D$3:$AY$3, 0)),SUM(VLOOKUP($A23, LS_previous!$B$4:$AY$137, LS_previous!I$148, FALSE), VLOOKUP('Staging Table'!$A23, LS_previous!$B$4:$AY$137,LS_previous!AG$148, FALSE))/2)</f>
        <v>182.0877015904</v>
      </c>
      <c r="R23" s="102">
        <f t="array" ref="R23">IF($G23=0, INDEX(LS_previous!$D$4:$AY$137, MATCH('Staging Table'!$A23, LS_previous!$B$4:$B$137, 0), MATCH(R$4&amp;R$5, LS_previous!$D$2:$AY$2&amp;LS_previous!$D$3:$AY$3, 0)),SUM(VLOOKUP($A23, LS_previous!$B$4:$AY$137, LS_previous!J$148, FALSE), VLOOKUP('Staging Table'!$A23, LS_previous!$B$4:$AY$137,LS_previous!AH$148, FALSE))/2)</f>
        <v>117.7109548535002</v>
      </c>
      <c r="S23" s="102">
        <f t="array" ref="S23">IF($G23=0, INDEX(LS_previous!$D$4:$AY$137, MATCH('Staging Table'!$A23, LS_previous!$B$4:$B$137, 0), MATCH(S$4&amp;S$5, LS_previous!$D$2:$AY$2&amp;LS_previous!$D$3:$AY$3, 0)),SUM(VLOOKUP($A23, LS_previous!$B$4:$AY$137, LS_previous!K$148, FALSE), VLOOKUP('Staging Table'!$A23, LS_previous!$B$4:$AY$137,LS_previous!AI$148, FALSE))/2)</f>
        <v>167.73080561209997</v>
      </c>
      <c r="T23" s="102">
        <f t="array" ref="T23">IF($G23=0, INDEX(LS_previous!$D$4:$AY$137, MATCH('Staging Table'!$A23, LS_previous!$B$4:$B$137, 0), MATCH(T$4&amp;T$5, LS_previous!$D$2:$AY$2&amp;LS_previous!$D$3:$AY$3, 0)),SUM(VLOOKUP($A23, LS_previous!$B$4:$AY$137, LS_previous!L$148, FALSE), VLOOKUP('Staging Table'!$A23, LS_previous!$B$4:$AY$137,LS_previous!AJ$148, FALSE))/2)</f>
        <v>42.533504577100302</v>
      </c>
      <c r="U23" s="102">
        <f t="array" ref="U23">IF($G23=0, INDEX(LS_previous!$D$4:$AY$137, MATCH('Staging Table'!$A23, LS_previous!$B$4:$B$137, 0), MATCH(U$4&amp;U$5, LS_previous!$D$2:$AY$2&amp;LS_previous!$D$3:$AY$3, 0)),SUM(VLOOKUP($A23, LS_previous!$B$4:$AY$137, LS_previous!M$148, FALSE), VLOOKUP('Staging Table'!$A23, LS_previous!$B$4:$AY$137,LS_previous!AK$148, FALSE))/2)</f>
        <v>90.665794769099989</v>
      </c>
      <c r="V23" s="102">
        <f t="array" ref="V23">IF($G23=0, INDEX(LS_previous!$D$4:$AY$137, MATCH('Staging Table'!$A23, LS_previous!$B$4:$B$137, 0), MATCH(V$4&amp;V$5, LS_previous!$D$2:$AY$2&amp;LS_previous!$D$3:$AY$3, 0)),SUM(VLOOKUP($A23, LS_previous!$B$4:$AY$137, LS_previous!N$148, FALSE), VLOOKUP('Staging Table'!$A23, LS_previous!$B$4:$AY$137,LS_previous!AL$148, FALSE))/2)</f>
        <v>-28.963468156299768</v>
      </c>
      <c r="W23" s="102">
        <f t="array" ref="W23">IF($G23=0, INDEX(LS_previous!$D$4:$AY$137, MATCH('Staging Table'!$A23, LS_previous!$B$4:$B$137, 0), MATCH(W$4&amp;W$5, LS_previous!$D$2:$AY$2&amp;LS_previous!$D$3:$AY$3, 0)),SUM(VLOOKUP($A23, LS_previous!$B$4:$AY$137, LS_previous!O$148, FALSE), VLOOKUP('Staging Table'!$A23, LS_previous!$B$4:$AY$137,LS_previous!AM$148, FALSE))/2)</f>
        <v>-33.732591147800008</v>
      </c>
      <c r="X23" s="102">
        <f t="array" ref="X23">IF($G23=0, INDEX(LS_previous!$D$4:$AY$137, MATCH('Staging Table'!$A23, LS_previous!$B$4:$B$137, 0), MATCH(X$4&amp;X$5, LS_previous!$D$2:$AY$2&amp;LS_previous!$D$3:$AY$3, 0)),SUM(VLOOKUP($A23, LS_previous!$B$4:$AY$137, LS_previous!P$148, FALSE), VLOOKUP('Staging Table'!$A23, LS_previous!$B$4:$AY$137,LS_previous!AN$148, FALSE))/2)</f>
        <v>44.262920434750072</v>
      </c>
      <c r="Y23" s="102">
        <f t="array" ref="Y23">IF($G23=0, INDEX(LS_previous!$D$4:$AY$137, MATCH('Staging Table'!$A23, LS_previous!$B$4:$B$137, 0), MATCH(Y$4&amp;Y$5, LS_previous!$D$2:$AY$2&amp;LS_previous!$D$3:$AY$3, 0)),SUM(VLOOKUP($A23, LS_previous!$B$4:$AY$137, LS_previous!Q$148, FALSE), VLOOKUP('Staging Table'!$A23, LS_previous!$B$4:$AY$137,LS_previous!AO$148, FALSE))/2)</f>
        <v>-3.8399348849249009</v>
      </c>
      <c r="Z23" s="102">
        <f t="array" ref="Z23">IF($G23=0, INDEX(LS_previous!$D$4:$AY$137, MATCH('Staging Table'!$A23, LS_previous!$B$4:$B$137, 0), MATCH(Z$4&amp;Z$5, LS_previous!$D$2:$AY$2&amp;LS_previous!$D$3:$AY$3, 0)),SUM(VLOOKUP($A23, LS_previous!$B$4:$AY$137, LS_previous!R$148, FALSE), VLOOKUP('Staging Table'!$A23, LS_previous!$B$4:$AY$137,LS_previous!AP$148, FALSE))/2)</f>
        <v>-334.37833120479991</v>
      </c>
      <c r="AA23" s="102">
        <f t="array" ref="AA23">IF($G23=0, INDEX(LS_previous!$D$4:$AY$137, MATCH('Staging Table'!$A23, LS_previous!$B$4:$B$137, 0), MATCH(AA$4&amp;AA$5, LS_previous!$D$2:$AY$2&amp;LS_previous!$D$3:$AY$3, 0)),SUM(VLOOKUP($A23, LS_previous!$B$4:$AY$137, LS_previous!S$148, FALSE), VLOOKUP('Staging Table'!$A23, LS_previous!$B$4:$AY$137,LS_previous!AQ$148, FALSE))/2)</f>
        <v>-229.07894976834996</v>
      </c>
      <c r="AB23" s="102">
        <f t="array" ref="AB23">IF($G23=0, INDEX(LS_previous!$D$4:$AY$137, MATCH('Staging Table'!$A23, LS_previous!$B$4:$B$137, 0), MATCH(AB$4&amp;AB$5, LS_previous!$D$2:$AY$2&amp;LS_previous!$D$3:$AY$3, 0)),SUM(VLOOKUP($A23, LS_previous!$B$4:$AY$137, LS_previous!T$148, FALSE), VLOOKUP('Staging Table'!$A23, LS_previous!$B$4:$AY$137,LS_previous!AR$148, FALSE))/2)</f>
        <v>-354.95289378259986</v>
      </c>
      <c r="AC23" s="102">
        <f t="array" ref="AC23">IF($G23=0, INDEX(LS_previous!$D$4:$AY$137, MATCH('Staging Table'!$A23, LS_previous!$B$4:$B$137, 0), MATCH(AC$4&amp;AC$5, LS_previous!$D$2:$AY$2&amp;LS_previous!$D$3:$AY$3, 0)),SUM(VLOOKUP($A23, LS_previous!$B$4:$AY$137, LS_previous!U$148, FALSE), VLOOKUP('Staging Table'!$A23, LS_previous!$B$4:$AY$137,LS_previous!AS$148, FALSE))/2)</f>
        <v>-227.01232239795002</v>
      </c>
      <c r="AD23" s="102">
        <f t="array" ref="AD23">IF($G23=0, INDEX(LS_previous!$D$4:$AY$137, MATCH('Staging Table'!$A23, LS_previous!$B$4:$B$137, 0), MATCH(AD$4&amp;AD$5, LS_previous!$D$2:$AY$2&amp;LS_previous!$D$3:$AY$3, 0)),SUM(VLOOKUP($A23, LS_previous!$B$4:$AY$137, LS_previous!V$148, FALSE), VLOOKUP('Staging Table'!$A23, LS_previous!$B$4:$AY$137,LS_previous!AT$148, FALSE))/2)</f>
        <v>-64.725297036399979</v>
      </c>
      <c r="AE23" s="102">
        <f t="array" ref="AE23">IF($G23=0, INDEX(LS_previous!$D$4:$AY$137, MATCH('Staging Table'!$A23, LS_previous!$B$4:$B$137, 0), MATCH(AE$4&amp;AE$5, LS_previous!$D$2:$AY$2&amp;LS_previous!$D$3:$AY$3, 0)),SUM(VLOOKUP($A23, LS_previous!$B$4:$AY$137, LS_previous!W$148, FALSE), VLOOKUP('Staging Table'!$A23, LS_previous!$B$4:$AY$137,LS_previous!AU$148, FALSE))/2)</f>
        <v>-30.520231300249975</v>
      </c>
      <c r="AF23" s="102">
        <f t="array" ref="AF23">IF($G23=0, INDEX(LS_previous!$D$4:$AY$137, MATCH('Staging Table'!$A23, LS_previous!$B$4:$B$137, 0), MATCH(AF$4&amp;AF$5, LS_previous!$D$2:$AY$2&amp;LS_previous!$D$3:$AY$3, 0)),SUM(VLOOKUP($A23, LS_previous!$B$4:$AY$137, LS_previous!X$148, FALSE), VLOOKUP('Staging Table'!$A23, LS_previous!$B$4:$AY$137,LS_previous!AV$148, FALSE))/2)</f>
        <v>-57.128741614650153</v>
      </c>
      <c r="AG23" s="102">
        <f t="array" ref="AG23">IF($G23=0, INDEX(LS_previous!$D$4:$AY$137, MATCH('Staging Table'!$A23, LS_previous!$B$4:$B$137, 0), MATCH(AG$4&amp;AG$5, LS_previous!$D$2:$AY$2&amp;LS_previous!$D$3:$AY$3, 0)),SUM(VLOOKUP($A23, LS_previous!$B$4:$AY$137, LS_previous!Y$148, FALSE), VLOOKUP('Staging Table'!$A23, LS_previous!$B$4:$AY$137,LS_previous!AW$148, FALSE))/2)</f>
        <v>-54.730372953234905</v>
      </c>
      <c r="AH23" s="102">
        <f t="array" ref="AH23">IF($G23=0, INDEX(LS_previous!$D$4:$AY$137, MATCH('Staging Table'!$A23, LS_previous!$B$4:$B$137, 0), MATCH(AH$4&amp;AH$5, LS_previous!$D$2:$AY$2&amp;LS_previous!$D$3:$AY$3, 0)),SUM(VLOOKUP($A23, LS_previous!$B$4:$AY$137, LS_previous!Z$148, FALSE), VLOOKUP('Staging Table'!$A23, LS_previous!$B$4:$AY$137,LS_previous!AX$148, FALSE))/2)</f>
        <v>-83.016963837399999</v>
      </c>
      <c r="AI23" s="102">
        <f t="array" ref="AI23">IF($G23=0, INDEX(LS_previous!$D$4:$AY$137, MATCH('Staging Table'!$A23, LS_previous!$B$4:$B$137, 0), MATCH(AI$4&amp;AI$5, LS_previous!$D$2:$AY$2&amp;LS_previous!$D$3:$AY$3, 0)),SUM(VLOOKUP($A23, LS_previous!$B$4:$AY$137, LS_previous!AA$148, FALSE), VLOOKUP('Staging Table'!$A23, LS_previous!$B$4:$AY$137,LS_previous!AY$148, FALSE))/2)</f>
        <v>-89.809059870400006</v>
      </c>
      <c r="AJ23" s="103">
        <f t="array" ref="AJ23">INDEX(Demand_previous!$D$4:$AY$137, MATCH('Staging Table'!$A23, Demand_previous!$B$4:$B$137, 0), MATCH(AJ$4&amp;AJ$5,Demand_previous!$D$2:$AY$2&amp;Demand_previous!$D$3:$AY$3, 0))/1000</f>
        <v>0</v>
      </c>
      <c r="AK23" s="103">
        <f t="array" ref="AK23">INDEX(Demand_previous!$D$4:$AY$137, MATCH('Staging Table'!$A23, Demand_previous!$B$4:$B$137, 0), MATCH(AK$4&amp;AK$5,Demand_previous!$D$2:$AY$2&amp;Demand_previous!$D$3:$AY$3, 0))/1000</f>
        <v>0.50783999999999985</v>
      </c>
      <c r="AL23" s="103">
        <f t="array" ref="AL23">INDEX(Demand_previous!$D$4:$AY$137, MATCH('Staging Table'!$A23, Demand_previous!$B$4:$B$137, 0), MATCH(AL$4&amp;AL$5,Demand_previous!$D$2:$AY$2&amp;Demand_previous!$D$3:$AY$3, 0))/1000</f>
        <v>0.54649250000000016</v>
      </c>
      <c r="AM23" s="103">
        <f t="array" ref="AM23">INDEX(Demand_previous!$D$4:$AY$137, MATCH('Staging Table'!$A23, Demand_previous!$B$4:$B$137, 0), MATCH(AM$4&amp;AM$5,Demand_previous!$D$2:$AY$2&amp;Demand_previous!$D$3:$AY$3, 0))/1000</f>
        <v>0.88043269230769261</v>
      </c>
      <c r="AN23" s="103">
        <f t="array" ref="AN23">INDEX(Demand_previous!$D$4:$AY$137, MATCH('Staging Table'!$A23, Demand_previous!$B$4:$B$137, 0), MATCH(AN$4&amp;AN$5,Demand_previous!$D$2:$AY$2&amp;Demand_previous!$D$3:$AY$3, 0))/1000</f>
        <v>0.65959499999999993</v>
      </c>
      <c r="AO23" s="103">
        <f t="array" ref="AO23">INDEX(Demand_previous!$D$4:$AY$137, MATCH('Staging Table'!$A23, Demand_previous!$B$4:$B$137, 0), MATCH(AO$4&amp;AO$5,Demand_previous!$D$2:$AY$2&amp;Demand_previous!$D$3:$AY$3, 0))/1000</f>
        <v>0.53882211538461511</v>
      </c>
      <c r="AP23" s="103">
        <f t="array" ref="AP23">INDEX(Demand_previous!$D$4:$AY$137, MATCH('Staging Table'!$A23, Demand_previous!$B$4:$B$137, 0), MATCH(AP$4&amp;AP$5,Demand_previous!$D$2:$AY$2&amp;Demand_previous!$D$3:$AY$3, 0))/1000</f>
        <v>0.73629326923076954</v>
      </c>
      <c r="AQ23" s="103">
        <f t="array" ref="AQ23">INDEX(Demand_previous!$D$4:$AY$137, MATCH('Staging Table'!$A23, Demand_previous!$B$4:$B$137, 0), MATCH(AQ$4&amp;AQ$5,Demand_previous!$D$2:$AY$2&amp;Demand_previous!$D$3:$AY$3, 0))/1000</f>
        <v>0.57453846153846166</v>
      </c>
      <c r="AR23" s="103">
        <f t="array" ref="AR23">INDEX(Demand_previous!$D$4:$AY$137, MATCH('Staging Table'!$A23, Demand_previous!$B$4:$B$137, 0), MATCH(AR$4&amp;AR$5,Demand_previous!$D$2:$AY$2&amp;Demand_previous!$D$3:$AY$3, 0))/1000</f>
        <v>0.43798500000000018</v>
      </c>
      <c r="AS23" s="103">
        <f t="array" ref="AS23">INDEX(Demand_previous!$D$4:$AY$137, MATCH('Staging Table'!$A23, Demand_previous!$B$4:$B$137, 0), MATCH(AS$4&amp;AS$5,Demand_previous!$D$2:$AY$2&amp;Demand_previous!$D$3:$AY$3, 0))/1000</f>
        <v>1.096826923076923</v>
      </c>
      <c r="AT23" s="103">
        <f t="array" ref="AT23">INDEX(Demand_previous!$D$4:$AY$137, MATCH('Staging Table'!$A23, Demand_previous!$B$4:$B$137, 0), MATCH(AT$4&amp;AT$5,Demand_previous!$D$2:$AY$2&amp;Demand_previous!$D$3:$AY$3, 0))/1000</f>
        <v>0.98536805555555573</v>
      </c>
      <c r="AU23" s="103">
        <f t="array" ref="AU23">INDEX(Demand_previous!$D$4:$AY$137, MATCH('Staging Table'!$A23, Demand_previous!$B$4:$B$137, 0), MATCH(AU$4&amp;AU$5,Demand_previous!$D$2:$AY$2&amp;Demand_previous!$D$3:$AY$3, 0))/1000</f>
        <v>0.50995572916666676</v>
      </c>
      <c r="AV23" s="102">
        <f>$F23*(VLOOKUP(AV$4, Rates_previous!$G$6:$Q$29, 10, FALSE)+VLOOKUP(AV$4, Rates_previous!$G$6:$Q$29, 11, FALSE))</f>
        <v>1540.2852533236498</v>
      </c>
      <c r="AW23" s="102">
        <f>$F23*(VLOOKUP(AW$4, Rates_previous!$G$6:$Q$29, 10, FALSE)+VLOOKUP(AW$4, Rates_previous!$G$6:$Q$29, 11, FALSE))</f>
        <v>1964.3716116309001</v>
      </c>
      <c r="AX23" s="102">
        <f>$F23*(VLOOKUP(AX$4, Rates_previous!$G$6:$Q$29, 10, FALSE)+VLOOKUP(AX$4, Rates_previous!$G$6:$Q$29, 11, FALSE))</f>
        <v>2119.9456417185002</v>
      </c>
      <c r="AY23" s="102">
        <f>$F23*(VLOOKUP(AY$4, Rates_previous!$G$6:$Q$29, 10, FALSE)+VLOOKUP(AY$4, Rates_previous!$G$6:$Q$29, 11, FALSE))</f>
        <v>2202.9512395344</v>
      </c>
      <c r="AZ23" s="102">
        <f>$F23*(VLOOKUP(AZ$4, Rates_previous!$G$6:$Q$29, 10, FALSE)+VLOOKUP(AZ$4, Rates_previous!$G$6:$Q$29, 11, FALSE))</f>
        <v>1894.8317006537998</v>
      </c>
      <c r="BA23" s="102">
        <f>$F23*(VLOOKUP(BA$4, Rates_previous!$G$6:$Q$29, 10, FALSE)+VLOOKUP(BA$4, Rates_previous!$G$6:$Q$29, 11, FALSE))</f>
        <v>2068.7810593040999</v>
      </c>
      <c r="BB23" s="102">
        <f>$F23*(VLOOKUP(BB$4, Rates_previous!$G$6:$Q$29, 10, FALSE)+VLOOKUP(BB$4, Rates_previous!$G$6:$Q$29, 11, FALSE))</f>
        <v>1632.9540144501748</v>
      </c>
      <c r="BC23" s="102">
        <f>$F23*(VLOOKUP(BC$4, Rates_previous!$G$6:$Q$29, 10, FALSE)+VLOOKUP(BC$4, Rates_previous!$G$6:$Q$29, 11, FALSE))</f>
        <v>2025.8982809731499</v>
      </c>
      <c r="BD23" s="102">
        <f>$F23*(VLOOKUP(BD$4, Rates_previous!$G$6:$Q$29, 10, FALSE)+VLOOKUP(BD$4, Rates_previous!$G$6:$Q$29, 11, FALSE))</f>
        <v>2069.8552161805496</v>
      </c>
      <c r="BE23" s="102">
        <f>$F23*(VLOOKUP(BE$4, Rates_previous!$G$6:$Q$29, 10, FALSE)+VLOOKUP(BE$4, Rates_previous!$G$6:$Q$29, 11, FALSE))</f>
        <v>1796.93252833665</v>
      </c>
      <c r="BF23" s="102">
        <f>$F23*(VLOOKUP(BF$4, Rates_previous!$G$6:$Q$29, 10, FALSE)+VLOOKUP(BF$4, Rates_previous!$G$6:$Q$29, 11, FALSE))</f>
        <v>1737.1561145678852</v>
      </c>
      <c r="BG23" s="102">
        <f>$F23*(VLOOKUP(BG$4, Rates_previous!$G$6:$Q$29, 10, FALSE)+VLOOKUP(BG$4, Rates_previous!$G$6:$Q$29, 11, FALSE))</f>
        <v>1598.5200237078002</v>
      </c>
      <c r="BH23" s="103">
        <f>IF($D23=0,IF(C23=0, MAX(BJ23 - (VLOOKUP($A23,TOCA_previous!$A$2:$AJ$136,MATCH("RHWM "&amp;Init!$D$1-2,TOCA_previous!$A$2:$AJ$2,0),FALSE)*$F$2*TOCA_previous!C20),0),0), 0)</f>
        <v>0</v>
      </c>
      <c r="BI23" s="109">
        <f>MIN(VLOOKUP($A23,TOCA_previous!$A$2:$AJ$136,MATCH("TRL - NLSL - Existing Resource "&amp;$F$1,TOCA_previous!$A$2:$AJ$2,0),FALSE)*$F$2,(VLOOKUP($A23,TOCA_previous!$A$2:$AJ$136,MATCH("RHWM "&amp;Init!$D$1-2,TOCA_previous!$A$2:$AJ$2,0),FALSE)*$F$2))</f>
        <v>22153.248</v>
      </c>
      <c r="BJ23" s="261">
        <f>SUM(L23:AI23)+(F23*RT1SC!$C$3*$F$2)</f>
        <v>22078.49410383444</v>
      </c>
      <c r="BK23" s="260">
        <f>VLOOKUP($A23,TOCA_previous!$A$2:$AJ$136,MATCH("Above RHWM Not Served with LS "&amp;$F$1,TOCA_previous!$A$2:$AJ$2,0),FALSE)*$F$2</f>
        <v>0</v>
      </c>
      <c r="BL23" s="261">
        <f t="shared" si="21"/>
        <v>-74.753896165559127</v>
      </c>
      <c r="BM23" s="260">
        <f>(VLOOKUP($A23,TOCA_previous!$A$2:$AJ$136,MATCH("RHWM "&amp;Init!$D$1-2,TOCA_previous!$A$2:$AJ$2,0),FALSE)*$F$2) - $BI23</f>
        <v>2178.4320000000007</v>
      </c>
      <c r="BN23" s="261">
        <f t="shared" si="22"/>
        <v>0</v>
      </c>
      <c r="BO23" s="260">
        <f t="shared" si="23"/>
        <v>74.753896165559127</v>
      </c>
      <c r="BP23" s="261">
        <f t="shared" si="24"/>
        <v>0</v>
      </c>
      <c r="BQ23" s="260">
        <f t="shared" si="9"/>
        <v>74.753896165559127</v>
      </c>
      <c r="BR23" s="85">
        <f>VLOOKUP($A23,TOCA_current!$A$2:$ZZ$136,MATCH(BR$4,TOCA_current!$A$2:$ZZ$2,0),FALSE)</f>
        <v>3.545E-4</v>
      </c>
      <c r="BS23" s="85">
        <f>VLOOKUP($A23,TOCA_current!$A$2:$ZZ$136,MATCH(BS$4,TOCA_current!$A$2:$ZZ$2,0),FALSE)</f>
        <v>3.545E-4</v>
      </c>
      <c r="BT23" s="108">
        <f t="shared" si="25"/>
        <v>0</v>
      </c>
      <c r="BU23" s="85">
        <f>VLOOKUP($A23,TOCA_current!A20:BG154,MATCH(BU$4,TOCA_current!$A$2:$BG$2,0),FALSE)</f>
        <v>0</v>
      </c>
      <c r="BV23" s="85">
        <f t="shared" si="26"/>
        <v>0</v>
      </c>
      <c r="BW23" s="85">
        <f t="shared" si="27"/>
        <v>0</v>
      </c>
      <c r="BX23" s="101">
        <f>VLOOKUP($A23,IRD!$A$4:$G$138, 7, FALSE)</f>
        <v>0</v>
      </c>
      <c r="BY23" s="102">
        <f t="array" ref="BY23">IF($BT23=0, INDEX(LS_current!$D$4:$BW$137, MATCH('Staging Table'!$A23, LS_current!$B$4:$B$137, 0), MATCH(BY$4&amp;BY$5, LS_current!$D$2:$BW$2&amp;LS_current!$D$3:$BW$3, 0)),SUM(VLOOKUP($A23, LS_current!$B$4:$BW$137, LS_current!D$147, FALSE), VLOOKUP($A23, LS_current!$B$4:$BW$137,LS_current!AZ$147, FALSE))/2)</f>
        <v>162.23885122330512</v>
      </c>
      <c r="BZ23" s="102">
        <f t="array" ref="BZ23">IF($BT23=0, INDEX(LS_current!$D$4:$BW$137, MATCH('Staging Table'!$A23, LS_current!$B$4:$B$137, 0), MATCH(BZ$4&amp;BZ$5, LS_current!$D$2:$BW$2&amp;LS_current!$D$3:$BW$3, 0)),SUM(VLOOKUP($A23, LS_current!$B$4:$BW$137, LS_current!E$147, FALSE), VLOOKUP($A23, LS_current!$B$4:$BW$137,LS_current!BA$147, FALSE))/2)</f>
        <v>76.491191500554237</v>
      </c>
      <c r="CA23" s="102">
        <f t="array" ref="CA23">IF($BT23=0, INDEX(LS_current!$D$4:$BW$137, MATCH('Staging Table'!$A23, LS_current!$B$4:$B$137, 0), MATCH(CA$4&amp;CA$5, LS_current!$D$2:$BW$2&amp;LS_current!$D$3:$BW$3, 0)),SUM(VLOOKUP($A23, LS_current!$B$4:$BW$137, LS_current!F$147, FALSE), VLOOKUP($A23, LS_current!$B$4:$BW$137,LS_current!BB$147, FALSE))/2)</f>
        <v>46.479081832191014</v>
      </c>
      <c r="CB23" s="102">
        <f t="array" ref="CB23">IF($BT23=0, INDEX(LS_current!$D$4:$BW$137, MATCH('Staging Table'!$A23, LS_current!$B$4:$B$137, 0), MATCH(CB$4&amp;CB$5, LS_current!$D$2:$BW$2&amp;LS_current!$D$3:$BW$3, 0)),SUM(VLOOKUP($A23, LS_current!$B$4:$BW$137, LS_current!G$147, FALSE), VLOOKUP($A23, LS_current!$B$4:$BW$137,LS_current!BC$147, FALSE))/2)</f>
        <v>48.026751075173934</v>
      </c>
      <c r="CC23" s="102">
        <f t="array" ref="CC23">IF($BT23=0, INDEX(LS_current!$D$4:$BW$137, MATCH('Staging Table'!$A23, LS_current!$B$4:$B$137, 0), MATCH(CC$4&amp;CC$5, LS_current!$D$2:$BW$2&amp;LS_current!$D$3:$BW$3, 0)),SUM(VLOOKUP($A23, LS_current!$B$4:$BW$137, LS_current!H$147, FALSE), VLOOKUP($A23, LS_current!$B$4:$BW$137,LS_current!BD$147, FALSE))/2)</f>
        <v>106.58747226339688</v>
      </c>
      <c r="CD23" s="102">
        <f t="array" ref="CD23">IF($BT23=0, INDEX(LS_current!$D$4:$BW$137, MATCH('Staging Table'!$A23, LS_current!$B$4:$B$137, 0), MATCH(CD$4&amp;CD$5, LS_current!$D$2:$BW$2&amp;LS_current!$D$3:$BW$3, 0)),SUM(VLOOKUP($A23, LS_current!$B$4:$BW$137, LS_current!I$147, FALSE), VLOOKUP($A23, LS_current!$B$4:$BW$137,LS_current!BE$147, FALSE))/2)</f>
        <v>249.00353411938283</v>
      </c>
      <c r="CE23" s="102">
        <f t="array" ref="CE23">IF($BT23=0, INDEX(LS_current!$D$4:$BW$137, MATCH('Staging Table'!$A23, LS_current!$B$4:$B$137, 0), MATCH(CE$4&amp;CE$5, LS_current!$D$2:$BW$2&amp;LS_current!$D$3:$BW$3, 0)),SUM(VLOOKUP($A23, LS_current!$B$4:$BW$137, LS_current!J$147, FALSE), VLOOKUP($A23, LS_current!$B$4:$BW$137,LS_current!BF$147, FALSE))/2)</f>
        <v>59.446877087781331</v>
      </c>
      <c r="CF23" s="102">
        <f t="array" ref="CF23">IF($BT23=0, INDEX(LS_current!$D$4:$BW$137, MATCH('Staging Table'!$A23, LS_current!$B$4:$B$137, 0), MATCH(CF$4&amp;CF$5, LS_current!$D$2:$BW$2&amp;LS_current!$D$3:$BW$3, 0)),SUM(VLOOKUP($A23, LS_current!$B$4:$BW$137, LS_current!K$147, FALSE), VLOOKUP($A23, LS_current!$B$4:$BW$137,LS_current!BG$147, FALSE))/2)</f>
        <v>172.6448194713189</v>
      </c>
      <c r="CG23" s="102">
        <f t="array" ref="CG23">IF($BT23=0, INDEX(LS_current!$D$4:$BW$137, MATCH('Staging Table'!$A23, LS_current!$B$4:$B$137, 0), MATCH(CG$4&amp;CG$5, LS_current!$D$2:$BW$2&amp;LS_current!$D$3:$BW$3, 0)),SUM(VLOOKUP($A23, LS_current!$B$4:$BW$137, LS_current!L$147, FALSE), VLOOKUP($A23, LS_current!$B$4:$BW$137,LS_current!BH$147, FALSE))/2)</f>
        <v>103.16331501644777</v>
      </c>
      <c r="CH23" s="102">
        <f t="array" ref="CH23">IF($BT23=0, INDEX(LS_current!$D$4:$BW$137, MATCH('Staging Table'!$A23, LS_current!$B$4:$B$137, 0), MATCH(CH$4&amp;CH$5, LS_current!$D$2:$BW$2&amp;LS_current!$D$3:$BW$3, 0)),SUM(VLOOKUP($A23, LS_current!$B$4:$BW$137, LS_current!M$147, FALSE), VLOOKUP($A23, LS_current!$B$4:$BW$137,LS_current!BI$147, FALSE))/2)</f>
        <v>126.79918511746337</v>
      </c>
      <c r="CI23" s="102">
        <f t="array" ref="CI23">IF($BT23=0, INDEX(LS_current!$D$4:$BW$137, MATCH('Staging Table'!$A23, LS_current!$B$4:$B$137, 0), MATCH(CI$4&amp;CI$5, LS_current!$D$2:$BW$2&amp;LS_current!$D$3:$BW$3, 0)),SUM(VLOOKUP($A23, LS_current!$B$4:$BW$137, LS_current!N$147, FALSE), VLOOKUP($A23, LS_current!$B$4:$BW$137,LS_current!BJ$147, FALSE))/2)</f>
        <v>-47.799549056797332</v>
      </c>
      <c r="CJ23" s="102">
        <f t="array" ref="CJ23">IF($BT23=0, INDEX(LS_current!$D$4:$BW$137, MATCH('Staging Table'!$A23, LS_current!$B$4:$B$137, 0), MATCH(CJ$4&amp;CJ$5, LS_current!$D$2:$BW$2&amp;LS_current!$D$3:$BW$3, 0)),SUM(VLOOKUP($A23, LS_current!$B$4:$BW$137, LS_current!O$147, FALSE), VLOOKUP($A23, LS_current!$B$4:$BW$137,LS_current!BK$147, FALSE))/2)</f>
        <v>88.226435003370625</v>
      </c>
      <c r="CK23" s="102">
        <f t="array" ref="CK23">IF($BT23=0, INDEX(LS_current!$D$4:$BW$137, MATCH('Staging Table'!$A23, LS_current!$B$4:$B$137, 0), MATCH(CK$4&amp;CK$5, LS_current!$D$2:$BW$2&amp;LS_current!$D$3:$BW$3, 0)),SUM(VLOOKUP($A23, LS_current!$B$4:$BW$137, LS_current!P$147, FALSE), VLOOKUP($A23, LS_current!$B$4:$BW$137,LS_current!BL$147, FALSE))/2)</f>
        <v>100.23746986585445</v>
      </c>
      <c r="CL23" s="102">
        <f t="array" ref="CL23">IF($BT23=0, INDEX(LS_current!$D$4:$BW$137, MATCH('Staging Table'!$A23, LS_current!$B$4:$B$137, 0), MATCH(CL$4&amp;CL$5, LS_current!$D$2:$BW$2&amp;LS_current!$D$3:$BW$3, 0)),SUM(VLOOKUP($A23, LS_current!$B$4:$BW$137, LS_current!Q$147, FALSE), VLOOKUP($A23, LS_current!$B$4:$BW$137,LS_current!BM$147, FALSE))/2)</f>
        <v>49.734719046156783</v>
      </c>
      <c r="CM23" s="102">
        <f t="array" ref="CM23">IF($BT23=0, INDEX(LS_current!$D$4:$BW$137, MATCH('Staging Table'!$A23, LS_current!$B$4:$B$137, 0), MATCH(CM$4&amp;CM$5, LS_current!$D$2:$BW$2&amp;LS_current!$D$3:$BW$3, 0)),SUM(VLOOKUP($A23, LS_current!$B$4:$BW$137, LS_current!R$147, FALSE), VLOOKUP($A23, LS_current!$B$4:$BW$137,LS_current!BN$147, FALSE))/2)</f>
        <v>-297.1497994116753</v>
      </c>
      <c r="CN23" s="102">
        <f t="array" ref="CN23">IF($BT23=0, INDEX(LS_current!$D$4:$BW$137, MATCH('Staging Table'!$A23, LS_current!$B$4:$B$137, 0), MATCH(CN$4&amp;CN$5, LS_current!$D$2:$BW$2&amp;LS_current!$D$3:$BW$3, 0)),SUM(VLOOKUP($A23, LS_current!$B$4:$BW$137, LS_current!S$147, FALSE), VLOOKUP($A23, LS_current!$B$4:$BW$137,LS_current!BO$147, FALSE))/2)</f>
        <v>-211.94585831788538</v>
      </c>
      <c r="CO23" s="102">
        <f t="array" ref="CO23">IF($BT23=0, INDEX(LS_current!$D$4:$BW$137, MATCH('Staging Table'!$A23, LS_current!$B$4:$B$137, 0), MATCH(CO$4&amp;CO$5, LS_current!$D$2:$BW$2&amp;LS_current!$D$3:$BW$3, 0)),SUM(VLOOKUP($A23, LS_current!$B$4:$BW$137, LS_current!T$147, FALSE), VLOOKUP($A23, LS_current!$B$4:$BW$137,LS_current!BP$147, FALSE))/2)</f>
        <v>-367.56751885131621</v>
      </c>
      <c r="CP23" s="102">
        <f t="array" ref="CP23">IF($BT23=0, INDEX(LS_current!$D$4:$BW$137, MATCH('Staging Table'!$A23, LS_current!$B$4:$B$137, 0), MATCH(CP$4&amp;CP$5, LS_current!$D$2:$BW$2&amp;LS_current!$D$3:$BW$3, 0)),SUM(VLOOKUP($A23, LS_current!$B$4:$BW$137, LS_current!U$147, FALSE), VLOOKUP($A23, LS_current!$B$4:$BW$137,LS_current!BQ$147, FALSE))/2)</f>
        <v>-158.17718566243821</v>
      </c>
      <c r="CQ23" s="102">
        <f t="array" ref="CQ23">IF($BT23=0, INDEX(LS_current!$D$4:$BW$137, MATCH('Staging Table'!$A23, LS_current!$B$4:$B$137, 0), MATCH(CQ$4&amp;CQ$5, LS_current!$D$2:$BW$2&amp;LS_current!$D$3:$BW$3, 0)),SUM(VLOOKUP($A23, LS_current!$B$4:$BW$137, LS_current!V$147, FALSE), VLOOKUP($A23, LS_current!$B$4:$BW$137,LS_current!BR$147, FALSE))/2)</f>
        <v>-80.654396278613149</v>
      </c>
      <c r="CR23" s="102">
        <f t="array" ref="CR23">IF($BT23=0, INDEX(LS_current!$D$4:$BW$137, MATCH('Staging Table'!$A23, LS_current!$B$4:$B$137, 0), MATCH(CR$4&amp;CR$5, LS_current!$D$2:$BW$2&amp;LS_current!$D$3:$BW$3, 0)),SUM(VLOOKUP($A23, LS_current!$B$4:$BW$137, LS_current!W$147, FALSE), VLOOKUP($A23, LS_current!$B$4:$BW$137,LS_current!BS$147, FALSE))/2)</f>
        <v>-9.9676393973619497</v>
      </c>
      <c r="CS23" s="102">
        <f t="array" ref="CS23">IF($BT23=0, INDEX(LS_current!$D$4:$BW$137, MATCH('Staging Table'!$A23, LS_current!$B$4:$B$137, 0), MATCH(CS$4&amp;CS$5, LS_current!$D$2:$BW$2&amp;LS_current!$D$3:$BW$3, 0)),SUM(VLOOKUP($A23, LS_current!$B$4:$BW$137, LS_current!X$147, FALSE), VLOOKUP($A23, LS_current!$B$4:$BW$137,LS_current!BT$147, FALSE))/2)</f>
        <v>-177.2779417429856</v>
      </c>
      <c r="CT23" s="102">
        <f t="array" ref="CT23">IF($BT23=0, INDEX(LS_current!$D$4:$BW$137, MATCH('Staging Table'!$A23, LS_current!$B$4:$B$137, 0), MATCH(CT$4&amp;CT$5, LS_current!$D$2:$BW$2&amp;LS_current!$D$3:$BW$3, 0)),SUM(VLOOKUP($A23, LS_current!$B$4:$BW$137, LS_current!Y$147, FALSE), VLOOKUP($A23, LS_current!$B$4:$BW$137,LS_current!BU$147, FALSE))/2)</f>
        <v>-36.005430143126546</v>
      </c>
      <c r="CU23" s="102">
        <f t="array" ref="CU23">IF($BT23=0, INDEX(LS_current!$D$4:$BW$137, MATCH('Staging Table'!$A23, LS_current!$B$4:$B$137, 0), MATCH(CU$4&amp;CU$5, LS_current!$D$2:$BW$2&amp;LS_current!$D$3:$BW$3, 0)),SUM(VLOOKUP($A23, LS_current!$B$4:$BW$137, LS_current!Z$147, FALSE), VLOOKUP($A23, LS_current!$B$4:$BW$137,LS_current!BV$147, FALSE))/2)</f>
        <v>-17.050272300847269</v>
      </c>
      <c r="CV23" s="102">
        <f t="array" ref="CV23">IF($BT23=0, INDEX(LS_current!$D$4:$BW$137, MATCH('Staging Table'!$A23, LS_current!$B$4:$B$137, 0), MATCH(CV$4&amp;CV$5, LS_current!$D$2:$BW$2&amp;LS_current!$D$3:$BW$3, 0)),SUM(VLOOKUP($A23, LS_current!$B$4:$BW$137, LS_current!AA$147, FALSE), VLOOKUP($A23, LS_current!$B$4:$BW$137,LS_current!BW$147, FALSE))/2)</f>
        <v>14.86621996849874</v>
      </c>
      <c r="CW23" s="103">
        <f t="array" ref="CW23">INDEX(Demand_current!$D$4:$BW$137, MATCH($A23, Demand_current!$B$4:$B$137, 0), MATCH(CW$4&amp;CW$5,Demand_current!$D$2:$BW$2&amp;Demand_current!$D$3:$BW$3, 0))/1000</f>
        <v>0</v>
      </c>
      <c r="CX23" s="103">
        <f t="array" ref="CX23">INDEX(Demand_current!$D$4:$BW$137, MATCH($A23, Demand_current!$B$4:$B$137, 0), MATCH(CX$4&amp;CX$5,Demand_current!$D$2:$BW$2&amp;Demand_current!$D$3:$BW$3, 0))/1000</f>
        <v>0.38462499999999977</v>
      </c>
      <c r="CY23" s="103">
        <f t="array" ref="CY23">INDEX(Demand_current!$D$4:$BW$137, MATCH($A23, Demand_current!$B$4:$B$137, 0), MATCH(CY$4&amp;CY$5,Demand_current!$D$2:$BW$2&amp;Demand_current!$D$3:$BW$3, 0))/1000</f>
        <v>0.68855048076923075</v>
      </c>
      <c r="CZ23" s="103">
        <f t="array" ref="CZ23">INDEX(Demand_current!$D$4:$BW$137, MATCH($A23, Demand_current!$B$4:$B$137, 0), MATCH(CZ$4&amp;CZ$5,Demand_current!$D$2:$BW$2&amp;Demand_current!$D$3:$BW$3, 0))/1000</f>
        <v>0.88043269230769261</v>
      </c>
      <c r="DA23" s="103">
        <f t="array" ref="DA23">INDEX(Demand_current!$D$4:$BW$137, MATCH($A23, Demand_current!$B$4:$B$137, 0), MATCH(DA$4&amp;DA$5,Demand_current!$D$2:$BW$2&amp;Demand_current!$D$3:$BW$3, 0))/1000</f>
        <v>0.529661458333333</v>
      </c>
      <c r="DB23" s="103">
        <f t="array" ref="DB23">INDEX(Demand_current!$D$4:$BW$137, MATCH($A23, Demand_current!$B$4:$B$137, 0), MATCH(DB$4&amp;DB$5,Demand_current!$D$2:$BW$2&amp;Demand_current!$D$3:$BW$3, 0))/1000</f>
        <v>0.53882211538461511</v>
      </c>
      <c r="DC23" s="103">
        <f t="array" ref="DC23">INDEX(Demand_current!$D$4:$BW$137, MATCH($A23, Demand_current!$B$4:$B$137, 0), MATCH(DC$4&amp;DC$5,Demand_current!$D$2:$BW$2&amp;Demand_current!$D$3:$BW$3, 0))/1000</f>
        <v>0.73629326923076954</v>
      </c>
      <c r="DD23" s="103">
        <f t="array" ref="DD23">INDEX(Demand_current!$D$4:$BW$137, MATCH($A23, Demand_current!$B$4:$B$137, 0), MATCH(DD$4&amp;DD$5,Demand_current!$D$2:$BW$2&amp;Demand_current!$D$3:$BW$3, 0))/1000</f>
        <v>0.48831999999999992</v>
      </c>
      <c r="DE23" s="103">
        <f t="array" ref="DE23">INDEX(Demand_current!$D$4:$BW$137, MATCH($A23, Demand_current!$B$4:$B$137, 0), MATCH(DE$4&amp;DE$5,Demand_current!$D$2:$BW$2&amp;Demand_current!$D$3:$BW$3, 0))/1000</f>
        <v>0.52883173076923062</v>
      </c>
      <c r="DF23" s="103">
        <f t="array" ref="DF23">INDEX(Demand_current!$D$4:$BW$137, MATCH($A23, Demand_current!$B$4:$B$137, 0), MATCH(DF$4&amp;DF$5,Demand_current!$D$2:$BW$2&amp;Demand_current!$D$3:$BW$3, 0))/1000</f>
        <v>1.096826923076923</v>
      </c>
      <c r="DG23" s="103">
        <f t="array" ref="DG23">INDEX(Demand_current!$D$4:$BW$137, MATCH($A23, Demand_current!$B$4:$B$137, 0), MATCH(DG$4&amp;DG$5,Demand_current!$D$2:$BW$2&amp;Demand_current!$D$3:$BW$3, 0))/1000</f>
        <v>0.89234375000000044</v>
      </c>
      <c r="DH23" s="103">
        <f t="array" ref="DH23">INDEX(Demand_current!$D$4:$BW$137, MATCH($A23, Demand_current!$B$4:$B$137, 0), MATCH(DH$4&amp;DH$5,Demand_current!$D$2:$BW$2&amp;Demand_current!$D$3:$BW$3, 0))/1000</f>
        <v>0.60075750000000028</v>
      </c>
      <c r="DI23" s="102">
        <f>$BS23*(VLOOKUP(DI$4, Rates_current!$H$6:$R$41, 10, FALSE)+VLOOKUP(DI$4, Rates_current!$H$6:$R$41, 11, FALSE))</f>
        <v>1471.2769572761406</v>
      </c>
      <c r="DJ23" s="102">
        <f>$BS23*(VLOOKUP(DJ$4, Rates_current!$H$6:$R$41, 10, FALSE)+VLOOKUP(DJ$4, Rates_current!$H$6:$R$41, 11, FALSE))</f>
        <v>1880.9791670926352</v>
      </c>
      <c r="DK23" s="102">
        <f>$BS23*(VLOOKUP(DK$4, Rates_current!$H$6:$R$41, 10, FALSE)+VLOOKUP(DK$4, Rates_current!$H$6:$R$41, 11, FALSE))</f>
        <v>2138.5159936172204</v>
      </c>
      <c r="DL23" s="102">
        <f>$BS23*(VLOOKUP(DL$4, Rates_current!$H$6:$R$41, 10, FALSE)+VLOOKUP(DL$4, Rates_current!$H$6:$R$41, 11, FALSE))</f>
        <v>2256.3013034408996</v>
      </c>
      <c r="DM23" s="102">
        <f>$BS23*(VLOOKUP(DM$4, Rates_current!$H$6:$R$41, 10, FALSE)+VLOOKUP(DM$4, Rates_current!$H$6:$R$41, 11, FALSE))</f>
        <v>1798.068499866089</v>
      </c>
      <c r="DN23" s="102">
        <f>$BS23*(VLOOKUP(DN$4, Rates_current!$H$6:$R$41, 10, FALSE)+VLOOKUP(DN$4, Rates_current!$H$6:$R$41, 11, FALSE))</f>
        <v>1965.6581140534265</v>
      </c>
      <c r="DO23" s="102">
        <f>$BS23*(VLOOKUP(DO$4, Rates_current!$H$6:$R$41, 10, FALSE)+VLOOKUP(DO$4, Rates_current!$H$6:$R$41, 11, FALSE))</f>
        <v>1523.4048110879889</v>
      </c>
      <c r="DP23" s="102">
        <f>$BS23*(VLOOKUP(DP$4, Rates_current!$H$6:$R$41, 10, FALSE)+VLOOKUP(DP$4, Rates_current!$H$6:$R$41, 11, FALSE))</f>
        <v>1971.5366577295606</v>
      </c>
      <c r="DQ23" s="102">
        <f>$BS23*(VLOOKUP(DQ$4, Rates_current!$H$6:$R$41, 10, FALSE)+VLOOKUP(DQ$4, Rates_current!$H$6:$R$41, 11, FALSE))</f>
        <v>2013.6347045137543</v>
      </c>
      <c r="DR23" s="102">
        <f>$BS23*(VLOOKUP(DR$4, Rates_current!$H$6:$R$41, 10, FALSE)+VLOOKUP(DR$4, Rates_current!$H$6:$R$41, 11, FALSE))</f>
        <v>1792.3090356759749</v>
      </c>
      <c r="DS23" s="102">
        <f>$BS23*(VLOOKUP(DS$4, Rates_current!$H$6:$R$41, 10, FALSE)+VLOOKUP(DS$4, Rates_current!$H$6:$R$41, 11, FALSE))</f>
        <v>1838.5803718861123</v>
      </c>
      <c r="DT23" s="102">
        <f>$BS23*(VLOOKUP(DT$4, Rates_current!$H$6:$R$41, 10, FALSE)+VLOOKUP(DT$4, Rates_current!$H$6:$R$41, 11, FALSE))</f>
        <v>1427.8780523323485</v>
      </c>
      <c r="DU23" s="261">
        <f>IF(D23=0,IF(C23=0,MAX(0,DW23 - (VLOOKUP($A23,TOCA_current!$A$2:$AV$136,MATCH("RHWM "&amp;Init!$D$1,TOCA_current!$A$2:$AV$2,0),FALSE)*$BS$2)), 0),0)</f>
        <v>0</v>
      </c>
      <c r="DV23" s="262">
        <f>MIN(VLOOKUP($A23,TOCA_current!$A$2:$AV$136,MATCH("TRL - NLSL - Existing Resource "&amp;$BS$1,TOCA_current!$A$2:$AV$2,0),FALSE)*$BS$2, VLOOKUP($A23,TOCA_current!$A$2:$AV$136,MATCH("RHWM "&amp;Init!$D$1,TOCA_current!$A$2:$AV$2,0),FALSE)*$BS$2)</f>
        <v>22075.200000000001</v>
      </c>
      <c r="DW23" s="262">
        <f>SUM(BY23:CV23)+(BS23*RT1SC!$C$4*$BS$2)</f>
        <v>22078.49530326785</v>
      </c>
      <c r="DX23" s="262">
        <f>VLOOKUP($A23,TOCA_current!$A$2:$AV$136,MATCH("Above RHWM Not Served with LS "&amp;$BS$1,TOCA_current!$A$2:$AV$2,0),FALSE)*$BS$2</f>
        <v>0</v>
      </c>
      <c r="DY23" s="262">
        <f t="shared" si="28"/>
        <v>3.2953032678487943</v>
      </c>
      <c r="DZ23" s="262">
        <f>(VLOOKUP($A23,TOCA_current!$A$2:$AV$136,MATCH("RHWM "&amp;Init!$D$1,TOCA_current!$A$2:$AV$2,0),FALSE)*$BS$2) - $DV23</f>
        <v>2330.16</v>
      </c>
      <c r="EA23" s="262">
        <f t="shared" si="29"/>
        <v>-3.2953032678487943</v>
      </c>
      <c r="EB23" s="262">
        <f t="shared" si="30"/>
        <v>0</v>
      </c>
      <c r="EC23" s="262">
        <f t="shared" si="31"/>
        <v>0</v>
      </c>
      <c r="ED23" s="262">
        <f t="shared" si="32"/>
        <v>-3.2953032678487943</v>
      </c>
    </row>
    <row r="24" spans="1:134">
      <c r="A24" s="2">
        <v>10070</v>
      </c>
      <c r="B24" s="3" t="s">
        <v>26</v>
      </c>
      <c r="C24">
        <f>VLOOKUP(A24, TOCA_current!$A$3:$D$136, 4, FALSE)</f>
        <v>0</v>
      </c>
      <c r="D24">
        <v>0</v>
      </c>
      <c r="E24" s="84">
        <f>VLOOKUP($A24,TOCA_previous!$A$2:$AJ$136,MATCH(E$4,TOCA_previous!$A$2:$AJ$2,0),FALSE)</f>
        <v>5.1999999999999997E-5</v>
      </c>
      <c r="F24" s="85">
        <f>VLOOKUP($A24,TOCA_previous!$A$2:$AJ$136,MATCH(F$4,TOCA_previous!$A$2:$AJ$2,0),FALSE)</f>
        <v>5.1999999999999997E-5</v>
      </c>
      <c r="G24" s="85">
        <f t="shared" si="18"/>
        <v>0</v>
      </c>
      <c r="H24" s="85">
        <f>VLOOKUP($A24,TOCA_previous!$A$2:$AJ$136,MATCH(H$4,TOCA_previous!$A$2:$AJ$2,0),FALSE)</f>
        <v>0</v>
      </c>
      <c r="I24" s="85">
        <f t="shared" si="19"/>
        <v>0</v>
      </c>
      <c r="J24" s="85">
        <f t="shared" si="20"/>
        <v>0</v>
      </c>
      <c r="K24" s="101">
        <f>VLOOKUP(A24, IRD!$A$5:$C$138, 3, FALSE)</f>
        <v>0</v>
      </c>
      <c r="L24" s="102">
        <f t="array" ref="L24">IF($G24=0, INDEX(LS_previous!$D$4:$AY$137, MATCH('Staging Table'!$A24, LS_previous!$B$4:$B$137, 0), MATCH(L$4&amp;L$5, LS_previous!$D$2:$AY$2&amp;LS_previous!$D$3:$AY$3, 0)),SUM(VLOOKUP($A24, LS_previous!$B$4:$AY$137, LS_previous!D$148, FALSE), VLOOKUP('Staging Table'!$A24, LS_previous!$B$4:$AY$137,LS_previous!AB$148, FALSE))/2)</f>
        <v>47.961910127999971</v>
      </c>
      <c r="M24" s="102">
        <f t="array" ref="M24">IF($G24=0, INDEX(LS_previous!$D$4:$AY$137, MATCH('Staging Table'!$A24, LS_previous!$B$4:$B$137, 0), MATCH(M$4&amp;M$5, LS_previous!$D$2:$AY$2&amp;LS_previous!$D$3:$AY$3, 0)),SUM(VLOOKUP($A24, LS_previous!$B$4:$AY$137, LS_previous!E$148, FALSE), VLOOKUP('Staging Table'!$A24, LS_previous!$B$4:$AY$137,LS_previous!AC$148, FALSE))/2)</f>
        <v>17.272294274000004</v>
      </c>
      <c r="N24" s="102">
        <f t="array" ref="N24">IF($G24=0, INDEX(LS_previous!$D$4:$AY$137, MATCH('Staging Table'!$A24, LS_previous!$B$4:$B$137, 0), MATCH(N$4&amp;N$5, LS_previous!$D$2:$AY$2&amp;LS_previous!$D$3:$AY$3, 0)),SUM(VLOOKUP($A24, LS_previous!$B$4:$AY$137, LS_previous!F$148, FALSE), VLOOKUP('Staging Table'!$A24, LS_previous!$B$4:$AY$137,LS_previous!AD$148, FALSE))/2)</f>
        <v>9.7826589439999907</v>
      </c>
      <c r="O24" s="102">
        <f t="array" ref="O24">IF($G24=0, INDEX(LS_previous!$D$4:$AY$137, MATCH('Staging Table'!$A24, LS_previous!$B$4:$B$137, 0), MATCH(O$4&amp;O$5, LS_previous!$D$2:$AY$2&amp;LS_previous!$D$3:$AY$3, 0)),SUM(VLOOKUP($A24, LS_previous!$B$4:$AY$137, LS_previous!G$148, FALSE), VLOOKUP('Staging Table'!$A24, LS_previous!$B$4:$AY$137,LS_previous!AE$148, FALSE))/2)</f>
        <v>23.567311187999991</v>
      </c>
      <c r="P24" s="102">
        <f t="array" ref="P24">IF($G24=0, INDEX(LS_previous!$D$4:$AY$137, MATCH('Staging Table'!$A24, LS_previous!$B$4:$B$137, 0), MATCH(P$4&amp;P$5, LS_previous!$D$2:$AY$2&amp;LS_previous!$D$3:$AY$3, 0)),SUM(VLOOKUP($A24, LS_previous!$B$4:$AY$137, LS_previous!H$148, FALSE), VLOOKUP('Staging Table'!$A24, LS_previous!$B$4:$AY$137,LS_previous!AF$148, FALSE))/2)</f>
        <v>54.794741572000021</v>
      </c>
      <c r="Q24" s="102">
        <f t="array" ref="Q24">IF($G24=0, INDEX(LS_previous!$D$4:$AY$137, MATCH('Staging Table'!$A24, LS_previous!$B$4:$B$137, 0), MATCH(Q$4&amp;Q$5, LS_previous!$D$2:$AY$2&amp;LS_previous!$D$3:$AY$3, 0)),SUM(VLOOKUP($A24, LS_previous!$B$4:$AY$137, LS_previous!I$148, FALSE), VLOOKUP('Staging Table'!$A24, LS_previous!$B$4:$AY$137,LS_previous!AG$148, FALSE))/2)</f>
        <v>48.155327807999996</v>
      </c>
      <c r="R24" s="102">
        <f t="array" ref="R24">IF($G24=0, INDEX(LS_previous!$D$4:$AY$137, MATCH('Staging Table'!$A24, LS_previous!$B$4:$B$137, 0), MATCH(R$4&amp;R$5, LS_previous!$D$2:$AY$2&amp;LS_previous!$D$3:$AY$3, 0)),SUM(VLOOKUP($A24, LS_previous!$B$4:$AY$137, LS_previous!J$148, FALSE), VLOOKUP('Staging Table'!$A24, LS_previous!$B$4:$AY$137,LS_previous!AH$148, FALSE))/2)</f>
        <v>46.299030820000013</v>
      </c>
      <c r="S24" s="102">
        <f t="array" ref="S24">IF($G24=0, INDEX(LS_previous!$D$4:$AY$137, MATCH('Staging Table'!$A24, LS_previous!$B$4:$B$137, 0), MATCH(S$4&amp;S$5, LS_previous!$D$2:$AY$2&amp;LS_previous!$D$3:$AY$3, 0)),SUM(VLOOKUP($A24, LS_previous!$B$4:$AY$137, LS_previous!K$148, FALSE), VLOOKUP('Staging Table'!$A24, LS_previous!$B$4:$AY$137,LS_previous!AI$148, FALSE))/2)</f>
        <v>47.531822492000003</v>
      </c>
      <c r="T24" s="102">
        <f t="array" ref="T24">IF($G24=0, INDEX(LS_previous!$D$4:$AY$137, MATCH('Staging Table'!$A24, LS_previous!$B$4:$B$137, 0), MATCH(T$4&amp;T$5, LS_previous!$D$2:$AY$2&amp;LS_previous!$D$3:$AY$3, 0)),SUM(VLOOKUP($A24, LS_previous!$B$4:$AY$137, LS_previous!L$148, FALSE), VLOOKUP('Staging Table'!$A24, LS_previous!$B$4:$AY$137,LS_previous!AJ$148, FALSE))/2)</f>
        <v>29.752214292000019</v>
      </c>
      <c r="U24" s="102">
        <f t="array" ref="U24">IF($G24=0, INDEX(LS_previous!$D$4:$AY$137, MATCH('Staging Table'!$A24, LS_previous!$B$4:$B$137, 0), MATCH(U$4&amp;U$5, LS_previous!$D$2:$AY$2&amp;LS_previous!$D$3:$AY$3, 0)),SUM(VLOOKUP($A24, LS_previous!$B$4:$AY$137, LS_previous!M$148, FALSE), VLOOKUP('Staging Table'!$A24, LS_previous!$B$4:$AY$137,LS_previous!AK$148, FALSE))/2)</f>
        <v>33.428098132000002</v>
      </c>
      <c r="V24" s="102">
        <f t="array" ref="V24">IF($G24=0, INDEX(LS_previous!$D$4:$AY$137, MATCH('Staging Table'!$A24, LS_previous!$B$4:$B$137, 0), MATCH(V$4&amp;V$5, LS_previous!$D$2:$AY$2&amp;LS_previous!$D$3:$AY$3, 0)),SUM(VLOOKUP($A24, LS_previous!$B$4:$AY$137, LS_previous!N$148, FALSE), VLOOKUP('Staging Table'!$A24, LS_previous!$B$4:$AY$137,LS_previous!AL$148, FALSE))/2)</f>
        <v>9.2202061240000432</v>
      </c>
      <c r="W24" s="102">
        <f t="array" ref="W24">IF($G24=0, INDEX(LS_previous!$D$4:$AY$137, MATCH('Staging Table'!$A24, LS_previous!$B$4:$B$137, 0), MATCH(W$4&amp;W$5, LS_previous!$D$2:$AY$2&amp;LS_previous!$D$3:$AY$3, 0)),SUM(VLOOKUP($A24, LS_previous!$B$4:$AY$137, LS_previous!O$148, FALSE), VLOOKUP('Staging Table'!$A24, LS_previous!$B$4:$AY$137,LS_previous!AM$148, FALSE))/2)</f>
        <v>16.194067544000021</v>
      </c>
      <c r="X24" s="102">
        <f t="array" ref="X24">IF($G24=0, INDEX(LS_previous!$D$4:$AY$137, MATCH('Staging Table'!$A24, LS_previous!$B$4:$B$137, 0), MATCH(X$4&amp;X$5, LS_previous!$D$2:$AY$2&amp;LS_previous!$D$3:$AY$3, 0)),SUM(VLOOKUP($A24, LS_previous!$B$4:$AY$137, LS_previous!P$148, FALSE), VLOOKUP('Staging Table'!$A24, LS_previous!$B$4:$AY$137,LS_previous!AN$148, FALSE))/2)</f>
        <v>34.570795570000001</v>
      </c>
      <c r="Y24" s="102">
        <f t="array" ref="Y24">IF($G24=0, INDEX(LS_previous!$D$4:$AY$137, MATCH('Staging Table'!$A24, LS_previous!$B$4:$B$137, 0), MATCH(Y$4&amp;Y$5, LS_previous!$D$2:$AY$2&amp;LS_previous!$D$3:$AY$3, 0)),SUM(VLOOKUP($A24, LS_previous!$B$4:$AY$137, LS_previous!Q$148, FALSE), VLOOKUP('Staging Table'!$A24, LS_previous!$B$4:$AY$137,LS_previous!AO$148, FALSE))/2)</f>
        <v>16.862899989000013</v>
      </c>
      <c r="Z24" s="102">
        <f t="array" ref="Z24">IF($G24=0, INDEX(LS_previous!$D$4:$AY$137, MATCH('Staging Table'!$A24, LS_previous!$B$4:$B$137, 0), MATCH(Z$4&amp;Z$5, LS_previous!$D$2:$AY$2&amp;LS_previous!$D$3:$AY$3, 0)),SUM(VLOOKUP($A24, LS_previous!$B$4:$AY$137, LS_previous!R$148, FALSE), VLOOKUP('Staging Table'!$A24, LS_previous!$B$4:$AY$137,LS_previous!AP$148, FALSE))/2)</f>
        <v>-18.88947609600001</v>
      </c>
      <c r="AA24" s="102">
        <f t="array" ref="AA24">IF($G24=0, INDEX(LS_previous!$D$4:$AY$137, MATCH('Staging Table'!$A24, LS_previous!$B$4:$B$137, 0), MATCH(AA$4&amp;AA$5, LS_previous!$D$2:$AY$2&amp;LS_previous!$D$3:$AY$3, 0)),SUM(VLOOKUP($A24, LS_previous!$B$4:$AY$137, LS_previous!S$148, FALSE), VLOOKUP('Staging Table'!$A24, LS_previous!$B$4:$AY$137,LS_previous!AQ$148, FALSE))/2)</f>
        <v>-4.0305962419999872</v>
      </c>
      <c r="AB24" s="102">
        <f t="array" ref="AB24">IF($G24=0, INDEX(LS_previous!$D$4:$AY$137, MATCH('Staging Table'!$A24, LS_previous!$B$4:$B$137, 0), MATCH(AB$4&amp;AB$5, LS_previous!$D$2:$AY$2&amp;LS_previous!$D$3:$AY$3, 0)),SUM(VLOOKUP($A24, LS_previous!$B$4:$AY$137, LS_previous!T$148, FALSE), VLOOKUP('Staging Table'!$A24, LS_previous!$B$4:$AY$137,LS_previous!AR$148, FALSE))/2)</f>
        <v>-24.951412151999989</v>
      </c>
      <c r="AC24" s="102">
        <f t="array" ref="AC24">IF($G24=0, INDEX(LS_previous!$D$4:$AY$137, MATCH('Staging Table'!$A24, LS_previous!$B$4:$B$137, 0), MATCH(AC$4&amp;AC$5, LS_previous!$D$2:$AY$2&amp;LS_previous!$D$3:$AY$3, 0)),SUM(VLOOKUP($A24, LS_previous!$B$4:$AY$137, LS_previous!U$148, FALSE), VLOOKUP('Staging Table'!$A24, LS_previous!$B$4:$AY$137,LS_previous!AS$148, FALSE))/2)</f>
        <v>-12.104302833999995</v>
      </c>
      <c r="AD24" s="102">
        <f t="array" ref="AD24">IF($G24=0, INDEX(LS_previous!$D$4:$AY$137, MATCH('Staging Table'!$A24, LS_previous!$B$4:$B$137, 0), MATCH(AD$4&amp;AD$5, LS_previous!$D$2:$AY$2&amp;LS_previous!$D$3:$AY$3, 0)),SUM(VLOOKUP($A24, LS_previous!$B$4:$AY$137, LS_previous!V$148, FALSE), VLOOKUP('Staging Table'!$A24, LS_previous!$B$4:$AY$137,LS_previous!AT$148, FALSE))/2)</f>
        <v>18.394348272000002</v>
      </c>
      <c r="AE24" s="102">
        <f t="array" ref="AE24">IF($G24=0, INDEX(LS_previous!$D$4:$AY$137, MATCH('Staging Table'!$A24, LS_previous!$B$4:$B$137, 0), MATCH(AE$4&amp;AE$5, LS_previous!$D$2:$AY$2&amp;LS_previous!$D$3:$AY$3, 0)),SUM(VLOOKUP($A24, LS_previous!$B$4:$AY$137, LS_previous!W$148, FALSE), VLOOKUP('Staging Table'!$A24, LS_previous!$B$4:$AY$137,LS_previous!AU$148, FALSE))/2)</f>
        <v>13.271423370000008</v>
      </c>
      <c r="AF24" s="102">
        <f t="array" ref="AF24">IF($G24=0, INDEX(LS_previous!$D$4:$AY$137, MATCH('Staging Table'!$A24, LS_previous!$B$4:$B$137, 0), MATCH(AF$4&amp;AF$5, LS_previous!$D$2:$AY$2&amp;LS_previous!$D$3:$AY$3, 0)),SUM(VLOOKUP($A24, LS_previous!$B$4:$AY$137, LS_previous!X$148, FALSE), VLOOKUP('Staging Table'!$A24, LS_previous!$B$4:$AY$137,LS_previous!AV$148, FALSE))/2)</f>
        <v>20.116911082000001</v>
      </c>
      <c r="AG24" s="102">
        <f t="array" ref="AG24">IF($G24=0, INDEX(LS_previous!$D$4:$AY$137, MATCH('Staging Table'!$A24, LS_previous!$B$4:$B$137, 0), MATCH(AG$4&amp;AG$5, LS_previous!$D$2:$AY$2&amp;LS_previous!$D$3:$AY$3, 0)),SUM(VLOOKUP($A24, LS_previous!$B$4:$AY$137, LS_previous!Y$148, FALSE), VLOOKUP('Staging Table'!$A24, LS_previous!$B$4:$AY$137,LS_previous!AW$148, FALSE))/2)</f>
        <v>16.530619847800011</v>
      </c>
      <c r="AH24" s="102">
        <f t="array" ref="AH24">IF($G24=0, INDEX(LS_previous!$D$4:$AY$137, MATCH('Staging Table'!$A24, LS_previous!$B$4:$B$137, 0), MATCH(AH$4&amp;AH$5, LS_previous!$D$2:$AY$2&amp;LS_previous!$D$3:$AY$3, 0)),SUM(VLOOKUP($A24, LS_previous!$B$4:$AY$137, LS_previous!Z$148, FALSE), VLOOKUP('Staging Table'!$A24, LS_previous!$B$4:$AY$137,LS_previous!AX$148, FALSE))/2)</f>
        <v>25.186209751999996</v>
      </c>
      <c r="AI24" s="102">
        <f t="array" ref="AI24">IF($G24=0, INDEX(LS_previous!$D$4:$AY$137, MATCH('Staging Table'!$A24, LS_previous!$B$4:$B$137, 0), MATCH(AI$4&amp;AI$5, LS_previous!$D$2:$AY$2&amp;LS_previous!$D$3:$AY$3, 0)),SUM(VLOOKUP($A24, LS_previous!$B$4:$AY$137, LS_previous!AA$148, FALSE), VLOOKUP('Staging Table'!$A24, LS_previous!$B$4:$AY$137,LS_previous!AY$148, FALSE))/2)</f>
        <v>5.4358065920000058</v>
      </c>
      <c r="AJ24" s="103">
        <f t="array" ref="AJ24">INDEX(Demand_previous!$D$4:$AY$137, MATCH('Staging Table'!$A24, Demand_previous!$B$4:$B$137, 0), MATCH(AJ$4&amp;AJ$5,Demand_previous!$D$2:$AY$2&amp;Demand_previous!$D$3:$AY$3, 0))/1000</f>
        <v>0.15465144230769229</v>
      </c>
      <c r="AK24" s="103">
        <f t="array" ref="AK24">INDEX(Demand_previous!$D$4:$AY$137, MATCH('Staging Table'!$A24, Demand_previous!$B$4:$B$137, 0), MATCH(AK$4&amp;AK$5,Demand_previous!$D$2:$AY$2&amp;Demand_previous!$D$3:$AY$3, 0))/1000</f>
        <v>9.5159999999999939E-2</v>
      </c>
      <c r="AL24" s="103">
        <f t="array" ref="AL24">INDEX(Demand_previous!$D$4:$AY$137, MATCH('Staging Table'!$A24, Demand_previous!$B$4:$B$137, 0), MATCH(AL$4&amp;AL$5,Demand_previous!$D$2:$AY$2&amp;Demand_previous!$D$3:$AY$3, 0))/1000</f>
        <v>0.12334999999999996</v>
      </c>
      <c r="AM24" s="103">
        <f t="array" ref="AM24">INDEX(Demand_previous!$D$4:$AY$137, MATCH('Staging Table'!$A24, Demand_previous!$B$4:$B$137, 0), MATCH(AM$4&amp;AM$5,Demand_previous!$D$2:$AY$2&amp;Demand_previous!$D$3:$AY$3, 0))/1000</f>
        <v>0.14774278846153843</v>
      </c>
      <c r="AN24" s="103">
        <f t="array" ref="AN24">INDEX(Demand_previous!$D$4:$AY$137, MATCH('Staging Table'!$A24, Demand_previous!$B$4:$B$137, 0), MATCH(AN$4&amp;AN$5,Demand_previous!$D$2:$AY$2&amp;Demand_previous!$D$3:$AY$3, 0))/1000</f>
        <v>0.12961999999999999</v>
      </c>
      <c r="AO24" s="103">
        <f t="array" ref="AO24">INDEX(Demand_previous!$D$4:$AY$137, MATCH('Staging Table'!$A24, Demand_previous!$B$4:$B$137, 0), MATCH(AO$4&amp;AO$5,Demand_previous!$D$2:$AY$2&amp;Demand_previous!$D$3:$AY$3, 0))/1000</f>
        <v>0.14359615384615376</v>
      </c>
      <c r="AP24" s="103">
        <f t="array" ref="AP24">INDEX(Demand_previous!$D$4:$AY$137, MATCH('Staging Table'!$A24, Demand_previous!$B$4:$B$137, 0), MATCH(AP$4&amp;AP$5,Demand_previous!$D$2:$AY$2&amp;Demand_previous!$D$3:$AY$3, 0))/1000</f>
        <v>0.10559615384615392</v>
      </c>
      <c r="AQ24" s="103">
        <f t="array" ref="AQ24">INDEX(Demand_previous!$D$4:$AY$137, MATCH('Staging Table'!$A24, Demand_previous!$B$4:$B$137, 0), MATCH(AQ$4&amp;AQ$5,Demand_previous!$D$2:$AY$2&amp;Demand_previous!$D$3:$AY$3, 0))/1000</f>
        <v>8.2930288461538465E-2</v>
      </c>
      <c r="AR24" s="103">
        <f t="array" ref="AR24">INDEX(Demand_previous!$D$4:$AY$137, MATCH('Staging Table'!$A24, Demand_previous!$B$4:$B$137, 0), MATCH(AR$4&amp;AR$5,Demand_previous!$D$2:$AY$2&amp;Demand_previous!$D$3:$AY$3, 0))/1000</f>
        <v>0.20257749999999994</v>
      </c>
      <c r="AS24" s="103">
        <f t="array" ref="AS24">INDEX(Demand_previous!$D$4:$AY$137, MATCH('Staging Table'!$A24, Demand_previous!$B$4:$B$137, 0), MATCH(AS$4&amp;AS$5,Demand_previous!$D$2:$AY$2&amp;Demand_previous!$D$3:$AY$3, 0))/1000</f>
        <v>0.23040384615384618</v>
      </c>
      <c r="AT24" s="103">
        <f t="array" ref="AT24">INDEX(Demand_previous!$D$4:$AY$137, MATCH('Staging Table'!$A24, Demand_previous!$B$4:$B$137, 0), MATCH(AT$4&amp;AT$5,Demand_previous!$D$2:$AY$2&amp;Demand_previous!$D$3:$AY$3, 0))/1000</f>
        <v>0.25712037037037039</v>
      </c>
      <c r="AU24" s="103">
        <f t="array" ref="AU24">INDEX(Demand_previous!$D$4:$AY$137, MATCH('Staging Table'!$A24, Demand_previous!$B$4:$B$137, 0), MATCH(AU$4&amp;AU$5,Demand_previous!$D$2:$AY$2&amp;Demand_previous!$D$3:$AY$3, 0))/1000</f>
        <v>0.25130468750000001</v>
      </c>
      <c r="AV24" s="102">
        <f>$F24*(VLOOKUP(AV$4, Rates_previous!$G$6:$Q$29, 10, FALSE)+VLOOKUP(AV$4, Rates_previous!$G$6:$Q$29, 11, FALSE))</f>
        <v>219.37779559799998</v>
      </c>
      <c r="AW24" s="102">
        <f>$F24*(VLOOKUP(AW$4, Rates_previous!$G$6:$Q$29, 10, FALSE)+VLOOKUP(AW$4, Rates_previous!$G$6:$Q$29, 11, FALSE))</f>
        <v>279.77902986800001</v>
      </c>
      <c r="AX24" s="102">
        <f>$F24*(VLOOKUP(AX$4, Rates_previous!$G$6:$Q$29, 10, FALSE)+VLOOKUP(AX$4, Rates_previous!$G$6:$Q$29, 11, FALSE))</f>
        <v>301.93693062</v>
      </c>
      <c r="AY24" s="102">
        <f>$F24*(VLOOKUP(AY$4, Rates_previous!$G$6:$Q$29, 10, FALSE)+VLOOKUP(AY$4, Rates_previous!$G$6:$Q$29, 11, FALSE))</f>
        <v>313.75914668799999</v>
      </c>
      <c r="AZ24" s="102">
        <f>$F24*(VLOOKUP(AZ$4, Rates_previous!$G$6:$Q$29, 10, FALSE)+VLOOKUP(AZ$4, Rates_previous!$G$6:$Q$29, 11, FALSE))</f>
        <v>269.87468757599999</v>
      </c>
      <c r="BA24" s="102">
        <f>$F24*(VLOOKUP(BA$4, Rates_previous!$G$6:$Q$29, 10, FALSE)+VLOOKUP(BA$4, Rates_previous!$G$6:$Q$29, 11, FALSE))</f>
        <v>294.649726332</v>
      </c>
      <c r="BB24" s="102">
        <f>$F24*(VLOOKUP(BB$4, Rates_previous!$G$6:$Q$29, 10, FALSE)+VLOOKUP(BB$4, Rates_previous!$G$6:$Q$29, 11, FALSE))</f>
        <v>232.57630444099996</v>
      </c>
      <c r="BC24" s="102">
        <f>$F24*(VLOOKUP(BC$4, Rates_previous!$G$6:$Q$29, 10, FALSE)+VLOOKUP(BC$4, Rates_previous!$G$6:$Q$29, 11, FALSE))</f>
        <v>288.54207233799997</v>
      </c>
      <c r="BD24" s="102">
        <f>$F24*(VLOOKUP(BD$4, Rates_previous!$G$6:$Q$29, 10, FALSE)+VLOOKUP(BD$4, Rates_previous!$G$6:$Q$29, 11, FALSE))</f>
        <v>294.80271498599996</v>
      </c>
      <c r="BE24" s="102">
        <f>$F24*(VLOOKUP(BE$4, Rates_previous!$G$6:$Q$29, 10, FALSE)+VLOOKUP(BE$4, Rates_previous!$G$6:$Q$29, 11, FALSE))</f>
        <v>255.93122835799997</v>
      </c>
      <c r="BF24" s="102">
        <f>$F24*(VLOOKUP(BF$4, Rates_previous!$G$6:$Q$29, 10, FALSE)+VLOOKUP(BF$4, Rates_previous!$G$6:$Q$29, 11, FALSE))</f>
        <v>247.41746907020001</v>
      </c>
      <c r="BG24" s="102">
        <f>$F24*(VLOOKUP(BG$4, Rates_previous!$G$6:$Q$29, 10, FALSE)+VLOOKUP(BG$4, Rates_previous!$G$6:$Q$29, 11, FALSE))</f>
        <v>227.67198365600001</v>
      </c>
      <c r="BH24" s="103">
        <f>IF($D24=0,IF(C24=0, MAX(BJ24 - (VLOOKUP($A24,TOCA_previous!$A$2:$AJ$136,MATCH("RHWM "&amp;Init!$D$1-2,TOCA_previous!$A$2:$AJ$2,0),FALSE)*$F$2*TOCA_previous!C21),0),0), 0)</f>
        <v>547.21601478880029</v>
      </c>
      <c r="BI24" s="109">
        <f>MIN(VLOOKUP($A24,TOCA_previous!$A$2:$AJ$136,MATCH("TRL - NLSL - Existing Resource "&amp;$F$1,TOCA_previous!$A$2:$AJ$2,0),FALSE)*$F$2,(VLOOKUP($A24,TOCA_previous!$A$2:$AJ$136,MATCH("RHWM "&amp;Init!$D$1-2,TOCA_previous!$A$2:$AJ$2,0),FALSE)*$F$2))</f>
        <v>3153.4559999999997</v>
      </c>
      <c r="BJ24" s="261">
        <f>SUM(L24:AI24)+(F24*RT1SC!$C$3*$F$2)</f>
        <v>3700.6720147888</v>
      </c>
      <c r="BK24" s="260">
        <f>VLOOKUP($A24,TOCA_previous!$A$2:$AJ$136,MATCH("Above RHWM Not Served with LS "&amp;$F$1,TOCA_previous!$A$2:$AJ$2,0),FALSE)*$F$2</f>
        <v>0</v>
      </c>
      <c r="BL24" s="261">
        <f t="shared" si="21"/>
        <v>547.21601478880029</v>
      </c>
      <c r="BM24" s="260">
        <f>(VLOOKUP($A24,TOCA_previous!$A$2:$AJ$136,MATCH("RHWM "&amp;Init!$D$1-2,TOCA_previous!$A$2:$AJ$2,0),FALSE)*$F$2) - $BI24</f>
        <v>0</v>
      </c>
      <c r="BN24" s="261">
        <f t="shared" si="22"/>
        <v>0</v>
      </c>
      <c r="BO24" s="260">
        <f t="shared" si="23"/>
        <v>0</v>
      </c>
      <c r="BP24" s="261">
        <f t="shared" si="24"/>
        <v>0</v>
      </c>
      <c r="BQ24" s="260">
        <f t="shared" si="9"/>
        <v>0</v>
      </c>
      <c r="BR24" s="85">
        <f>VLOOKUP($A24,TOCA_current!$A$2:$ZZ$136,MATCH(BR$4,TOCA_current!$A$2:$ZZ$2,0),FALSE)</f>
        <v>5.0800000000000002E-5</v>
      </c>
      <c r="BS24" s="85">
        <f>VLOOKUP($A24,TOCA_current!$A$2:$ZZ$136,MATCH(BS$4,TOCA_current!$A$2:$ZZ$2,0),FALSE)</f>
        <v>5.0800000000000002E-5</v>
      </c>
      <c r="BT24" s="108">
        <f t="shared" si="25"/>
        <v>0</v>
      </c>
      <c r="BU24" s="85">
        <f>VLOOKUP($A24,TOCA_current!A21:BG155,MATCH(BU$4,TOCA_current!$A$2:$BG$2,0),FALSE)</f>
        <v>0</v>
      </c>
      <c r="BV24" s="85">
        <f t="shared" si="26"/>
        <v>0</v>
      </c>
      <c r="BW24" s="85">
        <f t="shared" si="27"/>
        <v>0</v>
      </c>
      <c r="BX24" s="101">
        <f>VLOOKUP($A24,IRD!$A$4:$G$138, 7, FALSE)</f>
        <v>0</v>
      </c>
      <c r="BY24" s="102">
        <f t="array" ref="BY24">IF($BT24=0, INDEX(LS_current!$D$4:$BW$137, MATCH('Staging Table'!$A24, LS_current!$B$4:$B$137, 0), MATCH(BY$4&amp;BY$5, LS_current!$D$2:$BW$2&amp;LS_current!$D$3:$BW$3, 0)),SUM(VLOOKUP($A24, LS_current!$B$4:$BW$137, LS_current!D$147, FALSE), VLOOKUP($A24, LS_current!$B$4:$BW$137,LS_current!AZ$147, FALSE))/2)</f>
        <v>49.318029173889698</v>
      </c>
      <c r="BZ24" s="102">
        <f t="array" ref="BZ24">IF($BT24=0, INDEX(LS_current!$D$4:$BW$137, MATCH('Staging Table'!$A24, LS_current!$B$4:$B$137, 0), MATCH(BZ$4&amp;BZ$5, LS_current!$D$2:$BW$2&amp;LS_current!$D$3:$BW$3, 0)),SUM(VLOOKUP($A24, LS_current!$B$4:$BW$137, LS_current!E$147, FALSE), VLOOKUP($A24, LS_current!$B$4:$BW$137,LS_current!BA$147, FALSE))/2)</f>
        <v>24.459360305298034</v>
      </c>
      <c r="CA24" s="102">
        <f t="array" ref="CA24">IF($BT24=0, INDEX(LS_current!$D$4:$BW$137, MATCH('Staging Table'!$A24, LS_current!$B$4:$B$137, 0), MATCH(CA$4&amp;CA$5, LS_current!$D$2:$BW$2&amp;LS_current!$D$3:$BW$3, 0)),SUM(VLOOKUP($A24, LS_current!$B$4:$BW$137, LS_current!F$147, FALSE), VLOOKUP($A24, LS_current!$B$4:$BW$137,LS_current!BB$147, FALSE))/2)</f>
        <v>16.691560386672222</v>
      </c>
      <c r="CB24" s="102">
        <f t="array" ref="CB24">IF($BT24=0, INDEX(LS_current!$D$4:$BW$137, MATCH('Staging Table'!$A24, LS_current!$B$4:$B$137, 0), MATCH(CB$4&amp;CB$5, LS_current!$D$2:$BW$2&amp;LS_current!$D$3:$BW$3, 0)),SUM(VLOOKUP($A24, LS_current!$B$4:$BW$137, LS_current!G$147, FALSE), VLOOKUP($A24, LS_current!$B$4:$BW$137,LS_current!BC$147, FALSE))/2)</f>
        <v>26.892329068036204</v>
      </c>
      <c r="CC24" s="102">
        <f t="array" ref="CC24">IF($BT24=0, INDEX(LS_current!$D$4:$BW$137, MATCH('Staging Table'!$A24, LS_current!$B$4:$B$137, 0), MATCH(CC$4&amp;CC$5, LS_current!$D$2:$BW$2&amp;LS_current!$D$3:$BW$3, 0)),SUM(VLOOKUP($A24, LS_current!$B$4:$BW$137, LS_current!H$147, FALSE), VLOOKUP($A24, LS_current!$B$4:$BW$137,LS_current!BD$147, FALSE))/2)</f>
        <v>41.421554840565761</v>
      </c>
      <c r="CD24" s="102">
        <f t="array" ref="CD24">IF($BT24=0, INDEX(LS_current!$D$4:$BW$137, MATCH('Staging Table'!$A24, LS_current!$B$4:$B$137, 0), MATCH(CD$4&amp;CD$5, LS_current!$D$2:$BW$2&amp;LS_current!$D$3:$BW$3, 0)),SUM(VLOOKUP($A24, LS_current!$B$4:$BW$137, LS_current!I$147, FALSE), VLOOKUP($A24, LS_current!$B$4:$BW$137,LS_current!BE$147, FALSE))/2)</f>
        <v>57.015198401310698</v>
      </c>
      <c r="CE24" s="102">
        <f t="array" ref="CE24">IF($BT24=0, INDEX(LS_current!$D$4:$BW$137, MATCH('Staging Table'!$A24, LS_current!$B$4:$B$137, 0), MATCH(CE$4&amp;CE$5, LS_current!$D$2:$BW$2&amp;LS_current!$D$3:$BW$3, 0)),SUM(VLOOKUP($A24, LS_current!$B$4:$BW$137, LS_current!J$147, FALSE), VLOOKUP($A24, LS_current!$B$4:$BW$137,LS_current!BF$147, FALSE))/2)</f>
        <v>36.758136124285727</v>
      </c>
      <c r="CF24" s="102">
        <f t="array" ref="CF24">IF($BT24=0, INDEX(LS_current!$D$4:$BW$137, MATCH('Staging Table'!$A24, LS_current!$B$4:$B$137, 0), MATCH(CF$4&amp;CF$5, LS_current!$D$2:$BW$2&amp;LS_current!$D$3:$BW$3, 0)),SUM(VLOOKUP($A24, LS_current!$B$4:$BW$137, LS_current!K$147, FALSE), VLOOKUP($A24, LS_current!$B$4:$BW$137,LS_current!BG$147, FALSE))/2)</f>
        <v>47.502932381221441</v>
      </c>
      <c r="CG24" s="102">
        <f t="array" ref="CG24">IF($BT24=0, INDEX(LS_current!$D$4:$BW$137, MATCH('Staging Table'!$A24, LS_current!$B$4:$B$137, 0), MATCH(CG$4&amp;CG$5, LS_current!$D$2:$BW$2&amp;LS_current!$D$3:$BW$3, 0)),SUM(VLOOKUP($A24, LS_current!$B$4:$BW$137, LS_current!L$147, FALSE), VLOOKUP($A24, LS_current!$B$4:$BW$137,LS_current!BH$147, FALSE))/2)</f>
        <v>37.387844295727916</v>
      </c>
      <c r="CH24" s="102">
        <f t="array" ref="CH24">IF($BT24=0, INDEX(LS_current!$D$4:$BW$137, MATCH('Staging Table'!$A24, LS_current!$B$4:$B$137, 0), MATCH(CH$4&amp;CH$5, LS_current!$D$2:$BW$2&amp;LS_current!$D$3:$BW$3, 0)),SUM(VLOOKUP($A24, LS_current!$B$4:$BW$137, LS_current!M$147, FALSE), VLOOKUP($A24, LS_current!$B$4:$BW$137,LS_current!BI$147, FALSE))/2)</f>
        <v>38.003178854632267</v>
      </c>
      <c r="CI24" s="102">
        <f t="array" ref="CI24">IF($BT24=0, INDEX(LS_current!$D$4:$BW$137, MATCH('Staging Table'!$A24, LS_current!$B$4:$B$137, 0), MATCH(CI$4&amp;CI$5, LS_current!$D$2:$BW$2&amp;LS_current!$D$3:$BW$3, 0)),SUM(VLOOKUP($A24, LS_current!$B$4:$BW$137, LS_current!N$147, FALSE), VLOOKUP($A24, LS_current!$B$4:$BW$137,LS_current!BJ$147, FALSE))/2)</f>
        <v>5.4205170886169185</v>
      </c>
      <c r="CJ24" s="102">
        <f t="array" ref="CJ24">IF($BT24=0, INDEX(LS_current!$D$4:$BW$137, MATCH('Staging Table'!$A24, LS_current!$B$4:$B$137, 0), MATCH(CJ$4&amp;CJ$5, LS_current!$D$2:$BW$2&amp;LS_current!$D$3:$BW$3, 0)),SUM(VLOOKUP($A24, LS_current!$B$4:$BW$137, LS_current!O$147, FALSE), VLOOKUP($A24, LS_current!$B$4:$BW$137,LS_current!BK$147, FALSE))/2)</f>
        <v>32.963843436308125</v>
      </c>
      <c r="CK24" s="102">
        <f t="array" ref="CK24">IF($BT24=0, INDEX(LS_current!$D$4:$BW$137, MATCH('Staging Table'!$A24, LS_current!$B$4:$B$137, 0), MATCH(CK$4&amp;CK$5, LS_current!$D$2:$BW$2&amp;LS_current!$D$3:$BW$3, 0)),SUM(VLOOKUP($A24, LS_current!$B$4:$BW$137, LS_current!P$147, FALSE), VLOOKUP($A24, LS_current!$B$4:$BW$137,LS_current!BL$147, FALSE))/2)</f>
        <v>41.723566344669678</v>
      </c>
      <c r="CL24" s="102">
        <f t="array" ref="CL24">IF($BT24=0, INDEX(LS_current!$D$4:$BW$137, MATCH('Staging Table'!$A24, LS_current!$B$4:$B$137, 0), MATCH(CL$4&amp;CL$5, LS_current!$D$2:$BW$2&amp;LS_current!$D$3:$BW$3, 0)),SUM(VLOOKUP($A24, LS_current!$B$4:$BW$137, LS_current!Q$147, FALSE), VLOOKUP($A24, LS_current!$B$4:$BW$137,LS_current!BM$147, FALSE))/2)</f>
        <v>23.981879626360396</v>
      </c>
      <c r="CM24" s="102">
        <f t="array" ref="CM24">IF($BT24=0, INDEX(LS_current!$D$4:$BW$137, MATCH('Staging Table'!$A24, LS_current!$B$4:$B$137, 0), MATCH(CM$4&amp;CM$5, LS_current!$D$2:$BW$2&amp;LS_current!$D$3:$BW$3, 0)),SUM(VLOOKUP($A24, LS_current!$B$4:$BW$137, LS_current!R$147, FALSE), VLOOKUP($A24, LS_current!$B$4:$BW$137,LS_current!BN$147, FALSE))/2)</f>
        <v>-14.630168998908658</v>
      </c>
      <c r="CN24" s="102">
        <f t="array" ref="CN24">IF($BT24=0, INDEX(LS_current!$D$4:$BW$137, MATCH('Staging Table'!$A24, LS_current!$B$4:$B$137, 0), MATCH(CN$4&amp;CN$5, LS_current!$D$2:$BW$2&amp;LS_current!$D$3:$BW$3, 0)),SUM(VLOOKUP($A24, LS_current!$B$4:$BW$137, LS_current!S$147, FALSE), VLOOKUP($A24, LS_current!$B$4:$BW$137,LS_current!BO$147, FALSE))/2)</f>
        <v>-2.2698682723514167</v>
      </c>
      <c r="CO24" s="102">
        <f t="array" ref="CO24">IF($BT24=0, INDEX(LS_current!$D$4:$BW$137, MATCH('Staging Table'!$A24, LS_current!$B$4:$B$137, 0), MATCH(CO$4&amp;CO$5, LS_current!$D$2:$BW$2&amp;LS_current!$D$3:$BW$3, 0)),SUM(VLOOKUP($A24, LS_current!$B$4:$BW$137, LS_current!T$147, FALSE), VLOOKUP($A24, LS_current!$B$4:$BW$137,LS_current!BP$147, FALSE))/2)</f>
        <v>-27.894680557536986</v>
      </c>
      <c r="CP24" s="102">
        <f t="array" ref="CP24">IF($BT24=0, INDEX(LS_current!$D$4:$BW$137, MATCH('Staging Table'!$A24, LS_current!$B$4:$B$137, 0), MATCH(CP$4&amp;CP$5, LS_current!$D$2:$BW$2&amp;LS_current!$D$3:$BW$3, 0)),SUM(VLOOKUP($A24, LS_current!$B$4:$BW$137, LS_current!U$147, FALSE), VLOOKUP($A24, LS_current!$B$4:$BW$137,LS_current!BQ$147, FALSE))/2)</f>
        <v>-2.9130246308938155</v>
      </c>
      <c r="CQ24" s="102">
        <f t="array" ref="CQ24">IF($BT24=0, INDEX(LS_current!$D$4:$BW$137, MATCH('Staging Table'!$A24, LS_current!$B$4:$B$137, 0), MATCH(CQ$4&amp;CQ$5, LS_current!$D$2:$BW$2&amp;LS_current!$D$3:$BW$3, 0)),SUM(VLOOKUP($A24, LS_current!$B$4:$BW$137, LS_current!V$147, FALSE), VLOOKUP($A24, LS_current!$B$4:$BW$137,LS_current!BR$147, FALSE))/2)</f>
        <v>15.133366062190277</v>
      </c>
      <c r="CR24" s="102">
        <f t="array" ref="CR24">IF($BT24=0, INDEX(LS_current!$D$4:$BW$137, MATCH('Staging Table'!$A24, LS_current!$B$4:$B$137, 0), MATCH(CR$4&amp;CR$5, LS_current!$D$2:$BW$2&amp;LS_current!$D$3:$BW$3, 0)),SUM(VLOOKUP($A24, LS_current!$B$4:$BW$137, LS_current!W$147, FALSE), VLOOKUP($A24, LS_current!$B$4:$BW$137,LS_current!BS$147, FALSE))/2)</f>
        <v>15.624990743622035</v>
      </c>
      <c r="CS24" s="102">
        <f t="array" ref="CS24">IF($BT24=0, INDEX(LS_current!$D$4:$BW$137, MATCH('Staging Table'!$A24, LS_current!$B$4:$B$137, 0), MATCH(CS$4&amp;CS$5, LS_current!$D$2:$BW$2&amp;LS_current!$D$3:$BW$3, 0)),SUM(VLOOKUP($A24, LS_current!$B$4:$BW$137, LS_current!X$147, FALSE), VLOOKUP($A24, LS_current!$B$4:$BW$137,LS_current!BT$147, FALSE))/2)</f>
        <v>1.9366921282266105</v>
      </c>
      <c r="CT24" s="102">
        <f t="array" ref="CT24">IF($BT24=0, INDEX(LS_current!$D$4:$BW$137, MATCH('Staging Table'!$A24, LS_current!$B$4:$B$137, 0), MATCH(CT$4&amp;CT$5, LS_current!$D$2:$BW$2&amp;LS_current!$D$3:$BW$3, 0)),SUM(VLOOKUP($A24, LS_current!$B$4:$BW$137, LS_current!Y$147, FALSE), VLOOKUP($A24, LS_current!$B$4:$BW$137,LS_current!BU$147, FALSE))/2)</f>
        <v>18.658962619828415</v>
      </c>
      <c r="CU24" s="102">
        <f t="array" ref="CU24">IF($BT24=0, INDEX(LS_current!$D$4:$BW$137, MATCH('Staging Table'!$A24, LS_current!$B$4:$B$137, 0), MATCH(CU$4&amp;CU$5, LS_current!$D$2:$BW$2&amp;LS_current!$D$3:$BW$3, 0)),SUM(VLOOKUP($A24, LS_current!$B$4:$BW$137, LS_current!Z$147, FALSE), VLOOKUP($A24, LS_current!$B$4:$BW$137,LS_current!BV$147, FALSE))/2)</f>
        <v>33.805139822614848</v>
      </c>
      <c r="CV24" s="102">
        <f t="array" ref="CV24">IF($BT24=0, INDEX(LS_current!$D$4:$BW$137, MATCH('Staging Table'!$A24, LS_current!$B$4:$B$137, 0), MATCH(CV$4&amp;CV$5, LS_current!$D$2:$BW$2&amp;LS_current!$D$3:$BW$3, 0)),SUM(VLOOKUP($A24, LS_current!$B$4:$BW$137, LS_current!AA$147, FALSE), VLOOKUP($A24, LS_current!$B$4:$BW$137,LS_current!BW$147, FALSE))/2)</f>
        <v>19.873331098447778</v>
      </c>
      <c r="CW24" s="103">
        <f t="array" ref="CW24">INDEX(Demand_current!$D$4:$BW$137, MATCH($A24, Demand_current!$B$4:$B$137, 0), MATCH(CW$4&amp;CW$5,Demand_current!$D$2:$BW$2&amp;Demand_current!$D$3:$BW$3, 0))/1000</f>
        <v>0.17073842592592592</v>
      </c>
      <c r="CX24" s="103">
        <f t="array" ref="CX24">INDEX(Demand_current!$D$4:$BW$137, MATCH($A24, Demand_current!$B$4:$B$137, 0), MATCH(CX$4&amp;CX$5,Demand_current!$D$2:$BW$2&amp;Demand_current!$D$3:$BW$3, 0))/1000</f>
        <v>7.6458333333333267E-2</v>
      </c>
      <c r="CY24" s="103">
        <f t="array" ref="CY24">INDEX(Demand_current!$D$4:$BW$137, MATCH($A24, Demand_current!$B$4:$B$137, 0), MATCH(CY$4&amp;CY$5,Demand_current!$D$2:$BW$2&amp;Demand_current!$D$3:$BW$3, 0))/1000</f>
        <v>0.14622115384615375</v>
      </c>
      <c r="CZ24" s="103">
        <f t="array" ref="CZ24">INDEX(Demand_current!$D$4:$BW$137, MATCH($A24, Demand_current!$B$4:$B$137, 0), MATCH(CZ$4&amp;CZ$5,Demand_current!$D$2:$BW$2&amp;Demand_current!$D$3:$BW$3, 0))/1000</f>
        <v>0.14774278846153843</v>
      </c>
      <c r="DA24" s="103">
        <f t="array" ref="DA24">INDEX(Demand_current!$D$4:$BW$137, MATCH($A24, Demand_current!$B$4:$B$137, 0), MATCH(DA$4&amp;DA$5,Demand_current!$D$2:$BW$2&amp;Demand_current!$D$3:$BW$3, 0))/1000</f>
        <v>0.10864583333333336</v>
      </c>
      <c r="DB24" s="103">
        <f t="array" ref="DB24">INDEX(Demand_current!$D$4:$BW$137, MATCH($A24, Demand_current!$B$4:$B$137, 0), MATCH(DB$4&amp;DB$5,Demand_current!$D$2:$BW$2&amp;Demand_current!$D$3:$BW$3, 0))/1000</f>
        <v>0.14359615384615376</v>
      </c>
      <c r="DC24" s="103">
        <f t="array" ref="DC24">INDEX(Demand_current!$D$4:$BW$137, MATCH($A24, Demand_current!$B$4:$B$137, 0), MATCH(DC$4&amp;DC$5,Demand_current!$D$2:$BW$2&amp;Demand_current!$D$3:$BW$3, 0))/1000</f>
        <v>0.10559615384615392</v>
      </c>
      <c r="DD24" s="103">
        <f t="array" ref="DD24">INDEX(Demand_current!$D$4:$BW$137, MATCH($A24, Demand_current!$B$4:$B$137, 0), MATCH(DD$4&amp;DD$5,Demand_current!$D$2:$BW$2&amp;Demand_current!$D$3:$BW$3, 0))/1000</f>
        <v>6.7887500000000017E-2</v>
      </c>
      <c r="DE24" s="103">
        <f t="array" ref="DE24">INDEX(Demand_current!$D$4:$BW$137, MATCH($A24, Demand_current!$B$4:$B$137, 0), MATCH(DE$4&amp;DE$5,Demand_current!$D$2:$BW$2&amp;Demand_current!$D$3:$BW$3, 0))/1000</f>
        <v>0.21797836538461532</v>
      </c>
      <c r="DF24" s="103">
        <f t="array" ref="DF24">INDEX(Demand_current!$D$4:$BW$137, MATCH($A24, Demand_current!$B$4:$B$137, 0), MATCH(DF$4&amp;DF$5,Demand_current!$D$2:$BW$2&amp;Demand_current!$D$3:$BW$3, 0))/1000</f>
        <v>0.23040384615384618</v>
      </c>
      <c r="DG24" s="103">
        <f t="array" ref="DG24">INDEX(Demand_current!$D$4:$BW$137, MATCH($A24, Demand_current!$B$4:$B$137, 0), MATCH(DG$4&amp;DG$5,Demand_current!$D$2:$BW$2&amp;Demand_current!$D$3:$BW$3, 0))/1000</f>
        <v>0.24135576923076923</v>
      </c>
      <c r="DH24" s="103">
        <f t="array" ref="DH24">INDEX(Demand_current!$D$4:$BW$137, MATCH($A24, Demand_current!$B$4:$B$137, 0), MATCH(DH$4&amp;DH$5,Demand_current!$D$2:$BW$2&amp;Demand_current!$D$3:$BW$3, 0))/1000</f>
        <v>0.26809250000000001</v>
      </c>
      <c r="DI24" s="102">
        <f>$BS24*(VLOOKUP(DI$4, Rates_current!$H$6:$R$41, 10, FALSE)+VLOOKUP(DI$4, Rates_current!$H$6:$R$41, 11, FALSE))</f>
        <v>210.83461052081228</v>
      </c>
      <c r="DJ24" s="102">
        <f>$BS24*(VLOOKUP(DJ$4, Rates_current!$H$6:$R$41, 10, FALSE)+VLOOKUP(DJ$4, Rates_current!$H$6:$R$41, 11, FALSE))</f>
        <v>269.54511054529161</v>
      </c>
      <c r="DK24" s="102">
        <f>$BS24*(VLOOKUP(DK$4, Rates_current!$H$6:$R$41, 10, FALSE)+VLOOKUP(DK$4, Rates_current!$H$6:$R$41, 11, FALSE))</f>
        <v>306.45024675812351</v>
      </c>
      <c r="DL24" s="102">
        <f>$BS24*(VLOOKUP(DL$4, Rates_current!$H$6:$R$41, 10, FALSE)+VLOOKUP(DL$4, Rates_current!$H$6:$R$41, 11, FALSE))</f>
        <v>323.32893149449285</v>
      </c>
      <c r="DM24" s="102">
        <f>$BS24*(VLOOKUP(DM$4, Rates_current!$H$6:$R$41, 10, FALSE)+VLOOKUP(DM$4, Rates_current!$H$6:$R$41, 11, FALSE))</f>
        <v>257.66397684963982</v>
      </c>
      <c r="DN24" s="102">
        <f>$BS24*(VLOOKUP(DN$4, Rates_current!$H$6:$R$41, 10, FALSE)+VLOOKUP(DN$4, Rates_current!$H$6:$R$41, 11, FALSE))</f>
        <v>281.67963947507496</v>
      </c>
      <c r="DO24" s="102">
        <f>$BS24*(VLOOKUP(DO$4, Rates_current!$H$6:$R$41, 10, FALSE)+VLOOKUP(DO$4, Rates_current!$H$6:$R$41, 11, FALSE))</f>
        <v>218.30455402896993</v>
      </c>
      <c r="DP24" s="102">
        <f>$BS24*(VLOOKUP(DP$4, Rates_current!$H$6:$R$41, 10, FALSE)+VLOOKUP(DP$4, Rates_current!$H$6:$R$41, 11, FALSE))</f>
        <v>282.52203727126005</v>
      </c>
      <c r="DQ24" s="102">
        <f>$BS24*(VLOOKUP(DQ$4, Rates_current!$H$6:$R$41, 10, FALSE)+VLOOKUP(DQ$4, Rates_current!$H$6:$R$41, 11, FALSE))</f>
        <v>288.55470518843083</v>
      </c>
      <c r="DR24" s="102">
        <f>$BS24*(VLOOKUP(DR$4, Rates_current!$H$6:$R$41, 10, FALSE)+VLOOKUP(DR$4, Rates_current!$H$6:$R$41, 11, FALSE))</f>
        <v>256.83864319418768</v>
      </c>
      <c r="DS24" s="102">
        <f>$BS24*(VLOOKUP(DS$4, Rates_current!$H$6:$R$41, 10, FALSE)+VLOOKUP(DS$4, Rates_current!$H$6:$R$41, 11, FALSE))</f>
        <v>263.46934525194501</v>
      </c>
      <c r="DT24" s="102">
        <f>$BS24*(VLOOKUP(DT$4, Rates_current!$H$6:$R$41, 10, FALSE)+VLOOKUP(DT$4, Rates_current!$H$6:$R$41, 11, FALSE))</f>
        <v>204.61552907893739</v>
      </c>
      <c r="DU24" s="261">
        <f>IF(D24=0,IF(C24=0,MAX(0,DW24 - (VLOOKUP($A24,TOCA_current!$A$2:$AV$136,MATCH("RHWM "&amp;Init!$D$1,TOCA_current!$A$2:$AV$2,0),FALSE)*$BS$2)), 0),0)</f>
        <v>538.31218675883474</v>
      </c>
      <c r="DV24" s="262">
        <f>MIN(VLOOKUP($A24,TOCA_current!$A$2:$AV$136,MATCH("TRL - NLSL - Existing Resource "&amp;$BS$1,TOCA_current!$A$2:$AV$2,0),FALSE)*$BS$2, VLOOKUP($A24,TOCA_current!$A$2:$AV$136,MATCH("RHWM "&amp;Init!$D$1,TOCA_current!$A$2:$AV$2,0),FALSE)*$BS$2)</f>
        <v>3162.3599999999997</v>
      </c>
      <c r="DW24" s="262">
        <f>SUM(BY24:CV24)+(BS24*RT1SC!$C$4*$BS$2)</f>
        <v>3700.6721867588344</v>
      </c>
      <c r="DX24" s="262">
        <f>VLOOKUP($A24,TOCA_current!$A$2:$AV$136,MATCH("Above RHWM Not Served with LS "&amp;$BS$1,TOCA_current!$A$2:$AV$2,0),FALSE)*$BS$2</f>
        <v>0</v>
      </c>
      <c r="DY24" s="262">
        <f t="shared" si="28"/>
        <v>538.31218675883474</v>
      </c>
      <c r="DZ24" s="262">
        <f>(VLOOKUP($A24,TOCA_current!$A$2:$AV$136,MATCH("RHWM "&amp;Init!$D$1,TOCA_current!$A$2:$AV$2,0),FALSE)*$BS$2) - $DV24</f>
        <v>0</v>
      </c>
      <c r="EA24" s="262">
        <f t="shared" si="29"/>
        <v>0</v>
      </c>
      <c r="EB24" s="262">
        <f t="shared" si="30"/>
        <v>0</v>
      </c>
      <c r="EC24" s="262">
        <f t="shared" si="31"/>
        <v>0</v>
      </c>
      <c r="ED24" s="262">
        <f t="shared" si="32"/>
        <v>0</v>
      </c>
    </row>
    <row r="25" spans="1:134">
      <c r="A25" s="2">
        <v>10071</v>
      </c>
      <c r="B25" s="3" t="s">
        <v>27</v>
      </c>
      <c r="C25">
        <f>VLOOKUP(A25, TOCA_current!$A$3:$D$136, 4, FALSE)</f>
        <v>0</v>
      </c>
      <c r="D25">
        <v>0</v>
      </c>
      <c r="E25" s="84">
        <f>VLOOKUP($A25,TOCA_previous!$A$2:$AJ$136,MATCH(E$4,TOCA_previous!$A$2:$AJ$2,0),FALSE)</f>
        <v>2.7E-4</v>
      </c>
      <c r="F25" s="85">
        <f>VLOOKUP($A25,TOCA_previous!$A$2:$AJ$136,MATCH(F$4,TOCA_previous!$A$2:$AJ$2,0),FALSE)</f>
        <v>2.7E-4</v>
      </c>
      <c r="G25" s="85">
        <f t="shared" si="18"/>
        <v>0</v>
      </c>
      <c r="H25" s="85">
        <f>VLOOKUP($A25,TOCA_previous!$A$2:$AJ$136,MATCH(H$4,TOCA_previous!$A$2:$AJ$2,0),FALSE)</f>
        <v>0</v>
      </c>
      <c r="I25" s="85">
        <f t="shared" si="19"/>
        <v>0</v>
      </c>
      <c r="J25" s="85">
        <f t="shared" si="20"/>
        <v>0</v>
      </c>
      <c r="K25" s="101">
        <f>VLOOKUP(A25, IRD!$A$5:$C$138, 3, FALSE)</f>
        <v>0</v>
      </c>
      <c r="L25" s="102">
        <f t="array" ref="L25">IF($G25=0, INDEX(LS_previous!$D$4:$AY$137, MATCH('Staging Table'!$A25, LS_previous!$B$4:$B$137, 0), MATCH(L$4&amp;L$5, LS_previous!$D$2:$AY$2&amp;LS_previous!$D$3:$AY$3, 0)),SUM(VLOOKUP($A25, LS_previous!$B$4:$AY$137, LS_previous!D$148, FALSE), VLOOKUP('Staging Table'!$A25, LS_previous!$B$4:$AY$137,LS_previous!AB$148, FALSE))/2)</f>
        <v>132.60411027999987</v>
      </c>
      <c r="M25" s="102">
        <f t="array" ref="M25">IF($G25=0, INDEX(LS_previous!$D$4:$AY$137, MATCH('Staging Table'!$A25, LS_previous!$B$4:$B$137, 0), MATCH(M$4&amp;M$5, LS_previous!$D$2:$AY$2&amp;LS_previous!$D$3:$AY$3, 0)),SUM(VLOOKUP($A25, LS_previous!$B$4:$AY$137, LS_previous!E$148, FALSE), VLOOKUP('Staging Table'!$A25, LS_previous!$B$4:$AY$137,LS_previous!AC$148, FALSE))/2)</f>
        <v>14.14587411499997</v>
      </c>
      <c r="N25" s="102">
        <f t="array" ref="N25">IF($G25=0, INDEX(LS_previous!$D$4:$AY$137, MATCH('Staging Table'!$A25, LS_previous!$B$4:$B$137, 0), MATCH(N$4&amp;N$5, LS_previous!$D$2:$AY$2&amp;LS_previous!$D$3:$AY$3, 0)),SUM(VLOOKUP($A25, LS_previous!$B$4:$AY$137, LS_previous!F$148, FALSE), VLOOKUP('Staging Table'!$A25, LS_previous!$B$4:$AY$137,LS_previous!AD$148, FALSE))/2)</f>
        <v>-79.61857856000006</v>
      </c>
      <c r="O25" s="102">
        <f t="array" ref="O25">IF($G25=0, INDEX(LS_previous!$D$4:$AY$137, MATCH('Staging Table'!$A25, LS_previous!$B$4:$B$137, 0), MATCH(O$4&amp;O$5, LS_previous!$D$2:$AY$2&amp;LS_previous!$D$3:$AY$3, 0)),SUM(VLOOKUP($A25, LS_previous!$B$4:$AY$137, LS_previous!G$148, FALSE), VLOOKUP('Staging Table'!$A25, LS_previous!$B$4:$AY$137,LS_previous!AE$148, FALSE))/2)</f>
        <v>3.8497696299999689</v>
      </c>
      <c r="P25" s="102">
        <f t="array" ref="P25">IF($G25=0, INDEX(LS_previous!$D$4:$AY$137, MATCH('Staging Table'!$A25, LS_previous!$B$4:$B$137, 0), MATCH(P$4&amp;P$5, LS_previous!$D$2:$AY$2&amp;LS_previous!$D$3:$AY$3, 0)),SUM(VLOOKUP($A25, LS_previous!$B$4:$AY$137, LS_previous!H$148, FALSE), VLOOKUP('Staging Table'!$A25, LS_previous!$B$4:$AY$137,LS_previous!AF$148, FALSE))/2)</f>
        <v>237.59485046999998</v>
      </c>
      <c r="Q25" s="102">
        <f t="array" ref="Q25">IF($G25=0, INDEX(LS_previous!$D$4:$AY$137, MATCH('Staging Table'!$A25, LS_previous!$B$4:$B$137, 0), MATCH(Q$4&amp;Q$5, LS_previous!$D$2:$AY$2&amp;LS_previous!$D$3:$AY$3, 0)),SUM(VLOOKUP($A25, LS_previous!$B$4:$AY$137, LS_previous!I$148, FALSE), VLOOKUP('Staging Table'!$A25, LS_previous!$B$4:$AY$137,LS_previous!AG$148, FALSE))/2)</f>
        <v>132.87770207999995</v>
      </c>
      <c r="R25" s="102">
        <f t="array" ref="R25">IF($G25=0, INDEX(LS_previous!$D$4:$AY$137, MATCH('Staging Table'!$A25, LS_previous!$B$4:$B$137, 0), MATCH(R$4&amp;R$5, LS_previous!$D$2:$AY$2&amp;LS_previous!$D$3:$AY$3, 0)),SUM(VLOOKUP($A25, LS_previous!$B$4:$AY$137, LS_previous!J$148, FALSE), VLOOKUP('Staging Table'!$A25, LS_previous!$B$4:$AY$137,LS_previous!AH$148, FALSE))/2)</f>
        <v>188.32023695000009</v>
      </c>
      <c r="S25" s="102">
        <f t="array" ref="S25">IF($G25=0, INDEX(LS_previous!$D$4:$AY$137, MATCH('Staging Table'!$A25, LS_previous!$B$4:$B$137, 0), MATCH(S$4&amp;S$5, LS_previous!$D$2:$AY$2&amp;LS_previous!$D$3:$AY$3, 0)),SUM(VLOOKUP($A25, LS_previous!$B$4:$AY$137, LS_previous!K$148, FALSE), VLOOKUP('Staging Table'!$A25, LS_previous!$B$4:$AY$137,LS_previous!AI$148, FALSE))/2)</f>
        <v>144.80073216999995</v>
      </c>
      <c r="T25" s="102">
        <f t="array" ref="T25">IF($G25=0, INDEX(LS_previous!$D$4:$AY$137, MATCH('Staging Table'!$A25, LS_previous!$B$4:$B$137, 0), MATCH(T$4&amp;T$5, LS_previous!$D$2:$AY$2&amp;LS_previous!$D$3:$AY$3, 0)),SUM(VLOOKUP($A25, LS_previous!$B$4:$AY$137, LS_previous!L$148, FALSE), VLOOKUP('Staging Table'!$A25, LS_previous!$B$4:$AY$137,LS_previous!AJ$148, FALSE))/2)</f>
        <v>50.018112670000164</v>
      </c>
      <c r="U25" s="102">
        <f t="array" ref="U25">IF($G25=0, INDEX(LS_previous!$D$4:$AY$137, MATCH('Staging Table'!$A25, LS_previous!$B$4:$B$137, 0), MATCH(U$4&amp;U$5, LS_previous!$D$2:$AY$2&amp;LS_previous!$D$3:$AY$3, 0)),SUM(VLOOKUP($A25, LS_previous!$B$4:$AY$137, LS_previous!M$148, FALSE), VLOOKUP('Staging Table'!$A25, LS_previous!$B$4:$AY$137,LS_previous!AK$148, FALSE))/2)</f>
        <v>79.64047106999999</v>
      </c>
      <c r="V25" s="102">
        <f t="array" ref="V25">IF($G25=0, INDEX(LS_previous!$D$4:$AY$137, MATCH('Staging Table'!$A25, LS_previous!$B$4:$B$137, 0), MATCH(V$4&amp;V$5, LS_previous!$D$2:$AY$2&amp;LS_previous!$D$3:$AY$3, 0)),SUM(VLOOKUP($A25, LS_previous!$B$4:$AY$137, LS_previous!N$148, FALSE), VLOOKUP('Staging Table'!$A25, LS_previous!$B$4:$AY$137,LS_previous!AL$148, FALSE))/2)</f>
        <v>45.38583949000008</v>
      </c>
      <c r="W25" s="102">
        <f t="array" ref="W25">IF($G25=0, INDEX(LS_previous!$D$4:$AY$137, MATCH('Staging Table'!$A25, LS_previous!$B$4:$B$137, 0), MATCH(W$4&amp;W$5, LS_previous!$D$2:$AY$2&amp;LS_previous!$D$3:$AY$3, 0)),SUM(VLOOKUP($A25, LS_previous!$B$4:$AY$137, LS_previous!O$148, FALSE), VLOOKUP('Staging Table'!$A25, LS_previous!$B$4:$AY$137,LS_previous!AM$148, FALSE))/2)</f>
        <v>50.053119939999988</v>
      </c>
      <c r="X25" s="102">
        <f t="array" ref="X25">IF($G25=0, INDEX(LS_previous!$D$4:$AY$137, MATCH('Staging Table'!$A25, LS_previous!$B$4:$B$137, 0), MATCH(X$4&amp;X$5, LS_previous!$D$2:$AY$2&amp;LS_previous!$D$3:$AY$3, 0)),SUM(VLOOKUP($A25, LS_previous!$B$4:$AY$137, LS_previous!P$148, FALSE), VLOOKUP('Staging Table'!$A25, LS_previous!$B$4:$AY$137,LS_previous!AN$148, FALSE))/2)</f>
        <v>131.64990007500012</v>
      </c>
      <c r="Y25" s="102">
        <f t="array" ref="Y25">IF($G25=0, INDEX(LS_previous!$D$4:$AY$137, MATCH('Staging Table'!$A25, LS_previous!$B$4:$B$137, 0), MATCH(Y$4&amp;Y$5, LS_previous!$D$2:$AY$2&amp;LS_previous!$D$3:$AY$3, 0)),SUM(VLOOKUP($A25, LS_previous!$B$4:$AY$137, LS_previous!Q$148, FALSE), VLOOKUP('Staging Table'!$A25, LS_previous!$B$4:$AY$137,LS_previous!AO$148, FALSE))/2)</f>
        <v>44.548365327500051</v>
      </c>
      <c r="Z25" s="102">
        <f t="array" ref="Z25">IF($G25=0, INDEX(LS_previous!$D$4:$AY$137, MATCH('Staging Table'!$A25, LS_previous!$B$4:$B$137, 0), MATCH(Z$4&amp;Z$5, LS_previous!$D$2:$AY$2&amp;LS_previous!$D$3:$AY$3, 0)),SUM(VLOOKUP($A25, LS_previous!$B$4:$AY$137, LS_previous!R$148, FALSE), VLOOKUP('Staging Table'!$A25, LS_previous!$B$4:$AY$137,LS_previous!AP$148, FALSE))/2)</f>
        <v>-208.53354896000008</v>
      </c>
      <c r="AA25" s="102">
        <f t="array" ref="AA25">IF($G25=0, INDEX(LS_previous!$D$4:$AY$137, MATCH('Staging Table'!$A25, LS_previous!$B$4:$B$137, 0), MATCH(AA$4&amp;AA$5, LS_previous!$D$2:$AY$2&amp;LS_previous!$D$3:$AY$3, 0)),SUM(VLOOKUP($A25, LS_previous!$B$4:$AY$137, LS_previous!S$148, FALSE), VLOOKUP('Staging Table'!$A25, LS_previous!$B$4:$AY$137,LS_previous!AQ$148, FALSE))/2)</f>
        <v>-123.52567279499999</v>
      </c>
      <c r="AB25" s="102">
        <f t="array" ref="AB25">IF($G25=0, INDEX(LS_previous!$D$4:$AY$137, MATCH('Staging Table'!$A25, LS_previous!$B$4:$B$137, 0), MATCH(AB$4&amp;AB$5, LS_previous!$D$2:$AY$2&amp;LS_previous!$D$3:$AY$3, 0)),SUM(VLOOKUP($A25, LS_previous!$B$4:$AY$137, LS_previous!T$148, FALSE), VLOOKUP('Staging Table'!$A25, LS_previous!$B$4:$AY$137,LS_previous!AR$148, FALSE))/2)</f>
        <v>-250.72614002</v>
      </c>
      <c r="AC25" s="102">
        <f t="array" ref="AC25">IF($G25=0, INDEX(LS_previous!$D$4:$AY$137, MATCH('Staging Table'!$A25, LS_previous!$B$4:$B$137, 0), MATCH(AC$4&amp;AC$5, LS_previous!$D$2:$AY$2&amp;LS_previous!$D$3:$AY$3, 0)),SUM(VLOOKUP($A25, LS_previous!$B$4:$AY$137, LS_previous!U$148, FALSE), VLOOKUP('Staging Table'!$A25, LS_previous!$B$4:$AY$137,LS_previous!AS$148, FALSE))/2)</f>
        <v>-184.94026471499996</v>
      </c>
      <c r="AD25" s="102">
        <f t="array" ref="AD25">IF($G25=0, INDEX(LS_previous!$D$4:$AY$137, MATCH('Staging Table'!$A25, LS_previous!$B$4:$B$137, 0), MATCH(AD$4&amp;AD$5, LS_previous!$D$2:$AY$2&amp;LS_previous!$D$3:$AY$3, 0)),SUM(VLOOKUP($A25, LS_previous!$B$4:$AY$137, LS_previous!V$148, FALSE), VLOOKUP('Staging Table'!$A25, LS_previous!$B$4:$AY$137,LS_previous!AT$148, FALSE))/2)</f>
        <v>-118.65857627999992</v>
      </c>
      <c r="AE25" s="102">
        <f t="array" ref="AE25">IF($G25=0, INDEX(LS_previous!$D$4:$AY$137, MATCH('Staging Table'!$A25, LS_previous!$B$4:$B$137, 0), MATCH(AE$4&amp;AE$5, LS_previous!$D$2:$AY$2&amp;LS_previous!$D$3:$AY$3, 0)),SUM(VLOOKUP($A25, LS_previous!$B$4:$AY$137, LS_previous!W$148, FALSE), VLOOKUP('Staging Table'!$A25, LS_previous!$B$4:$AY$137,LS_previous!AU$148, FALSE))/2)</f>
        <v>-93.740109424999957</v>
      </c>
      <c r="AF25" s="102">
        <f t="array" ref="AF25">IF($G25=0, INDEX(LS_previous!$D$4:$AY$137, MATCH('Staging Table'!$A25, LS_previous!$B$4:$B$137, 0), MATCH(AF$4&amp;AF$5, LS_previous!$D$2:$AY$2&amp;LS_previous!$D$3:$AY$3, 0)),SUM(VLOOKUP($A25, LS_previous!$B$4:$AY$137, LS_previous!X$148, FALSE), VLOOKUP('Staging Table'!$A25, LS_previous!$B$4:$AY$137,LS_previous!AV$148, FALSE))/2)</f>
        <v>-104.67234630500013</v>
      </c>
      <c r="AG25" s="102">
        <f t="array" ref="AG25">IF($G25=0, INDEX(LS_previous!$D$4:$AY$137, MATCH('Staging Table'!$A25, LS_previous!$B$4:$B$137, 0), MATCH(AG$4&amp;AG$5, LS_previous!$D$2:$AY$2&amp;LS_previous!$D$3:$AY$3, 0)),SUM(VLOOKUP($A25, LS_previous!$B$4:$AY$137, LS_previous!Y$148, FALSE), VLOOKUP('Staging Table'!$A25, LS_previous!$B$4:$AY$137,LS_previous!AW$148, FALSE))/2)</f>
        <v>-54.29628155949996</v>
      </c>
      <c r="AH25" s="102">
        <f t="array" ref="AH25">IF($G25=0, INDEX(LS_previous!$D$4:$AY$137, MATCH('Staging Table'!$A25, LS_previous!$B$4:$B$137, 0), MATCH(AH$4&amp;AH$5, LS_previous!$D$2:$AY$2&amp;LS_previous!$D$3:$AY$3, 0)),SUM(VLOOKUP($A25, LS_previous!$B$4:$AY$137, LS_previous!Z$148, FALSE), VLOOKUP('Staging Table'!$A25, LS_previous!$B$4:$AY$137,LS_previous!AX$148, FALSE))/2)</f>
        <v>-57.752333980000117</v>
      </c>
      <c r="AI25" s="102">
        <f t="array" ref="AI25">IF($G25=0, INDEX(LS_previous!$D$4:$AY$137, MATCH('Staging Table'!$A25, LS_previous!$B$4:$B$137, 0), MATCH(AI$4&amp;AI$5, LS_previous!$D$2:$AY$2&amp;LS_previous!$D$3:$AY$3, 0)),SUM(VLOOKUP($A25, LS_previous!$B$4:$AY$137, LS_previous!AA$148, FALSE), VLOOKUP('Staging Table'!$A25, LS_previous!$B$4:$AY$137,LS_previous!AY$148, FALSE))/2)</f>
        <v>-93.346658080000054</v>
      </c>
      <c r="AJ25" s="103">
        <f t="array" ref="AJ25">INDEX(Demand_previous!$D$4:$AY$137, MATCH('Staging Table'!$A25, Demand_previous!$B$4:$B$137, 0), MATCH(AJ$4&amp;AJ$5,Demand_previous!$D$2:$AY$2&amp;Demand_previous!$D$3:$AY$3, 0))/1000</f>
        <v>6.0605769230769435E-2</v>
      </c>
      <c r="AK25" s="103">
        <f t="array" ref="AK25">INDEX(Demand_previous!$D$4:$AY$137, MATCH('Staging Table'!$A25, Demand_previous!$B$4:$B$137, 0), MATCH(AK$4&amp;AK$5,Demand_previous!$D$2:$AY$2&amp;Demand_previous!$D$3:$AY$3, 0))/1000</f>
        <v>0.30651749999999989</v>
      </c>
      <c r="AL25" s="103">
        <f t="array" ref="AL25">INDEX(Demand_previous!$D$4:$AY$137, MATCH('Staging Table'!$A25, Demand_previous!$B$4:$B$137, 0), MATCH(AL$4&amp;AL$5,Demand_previous!$D$2:$AY$2&amp;Demand_previous!$D$3:$AY$3, 0))/1000</f>
        <v>0.1746850000000002</v>
      </c>
      <c r="AM25" s="103">
        <f t="array" ref="AM25">INDEX(Demand_previous!$D$4:$AY$137, MATCH('Staging Table'!$A25, Demand_previous!$B$4:$B$137, 0), MATCH(AM$4&amp;AM$5,Demand_previous!$D$2:$AY$2&amp;Demand_previous!$D$3:$AY$3, 0))/1000</f>
        <v>0.34069951923076891</v>
      </c>
      <c r="AN25" s="103">
        <f t="array" ref="AN25">INDEX(Demand_previous!$D$4:$AY$137, MATCH('Staging Table'!$A25, Demand_previous!$B$4:$B$137, 0), MATCH(AN$4&amp;AN$5,Demand_previous!$D$2:$AY$2&amp;Demand_previous!$D$3:$AY$3, 0))/1000</f>
        <v>0.36045749999999999</v>
      </c>
      <c r="AO25" s="103">
        <f t="array" ref="AO25">INDEX(Demand_previous!$D$4:$AY$137, MATCH('Staging Table'!$A25, Demand_previous!$B$4:$B$137, 0), MATCH(AO$4&amp;AO$5,Demand_previous!$D$2:$AY$2&amp;Demand_previous!$D$3:$AY$3, 0))/1000</f>
        <v>0.45776923076923048</v>
      </c>
      <c r="AP25" s="103">
        <f t="array" ref="AP25">INDEX(Demand_previous!$D$4:$AY$137, MATCH('Staging Table'!$A25, Demand_previous!$B$4:$B$137, 0), MATCH(AP$4&amp;AP$5,Demand_previous!$D$2:$AY$2&amp;Demand_previous!$D$3:$AY$3, 0))/1000</f>
        <v>0.38958653846153823</v>
      </c>
      <c r="AQ25" s="103">
        <f t="array" ref="AQ25">INDEX(Demand_previous!$D$4:$AY$137, MATCH('Staging Table'!$A25, Demand_previous!$B$4:$B$137, 0), MATCH(AQ$4&amp;AQ$5,Demand_previous!$D$2:$AY$2&amp;Demand_previous!$D$3:$AY$3, 0))/1000</f>
        <v>3.8437500000000346E-3</v>
      </c>
      <c r="AR25" s="103">
        <f t="array" ref="AR25">INDEX(Demand_previous!$D$4:$AY$137, MATCH('Staging Table'!$A25, Demand_previous!$B$4:$B$137, 0), MATCH(AR$4&amp;AR$5,Demand_previous!$D$2:$AY$2&amp;Demand_previous!$D$3:$AY$3, 0))/1000</f>
        <v>4.0809999999999902E-2</v>
      </c>
      <c r="AS25" s="103">
        <f t="array" ref="AS25">INDEX(Demand_previous!$D$4:$AY$137, MATCH('Staging Table'!$A25, Demand_previous!$B$4:$B$137, 0), MATCH(AS$4&amp;AS$5,Demand_previous!$D$2:$AY$2&amp;Demand_previous!$D$3:$AY$3, 0))/1000</f>
        <v>0.17861538461538451</v>
      </c>
      <c r="AT25" s="103">
        <f t="array" ref="AT25">INDEX(Demand_previous!$D$4:$AY$137, MATCH('Staging Table'!$A25, Demand_previous!$B$4:$B$137, 0), MATCH(AT$4&amp;AT$5,Demand_previous!$D$2:$AY$2&amp;Demand_previous!$D$3:$AY$3, 0))/1000</f>
        <v>0.45186574074074087</v>
      </c>
      <c r="AU25" s="103">
        <f t="array" ref="AU25">INDEX(Demand_previous!$D$4:$AY$137, MATCH('Staging Table'!$A25, Demand_previous!$B$4:$B$137, 0), MATCH(AU$4&amp;AU$5,Demand_previous!$D$2:$AY$2&amp;Demand_previous!$D$3:$AY$3, 0))/1000</f>
        <v>0</v>
      </c>
      <c r="AV25" s="102">
        <f>$F25*(VLOOKUP(AV$4, Rates_previous!$G$6:$Q$29, 10, FALSE)+VLOOKUP(AV$4, Rates_previous!$G$6:$Q$29, 11, FALSE))</f>
        <v>1139.077015605</v>
      </c>
      <c r="AW25" s="102">
        <f>$F25*(VLOOKUP(AW$4, Rates_previous!$G$6:$Q$29, 10, FALSE)+VLOOKUP(AW$4, Rates_previous!$G$6:$Q$29, 11, FALSE))</f>
        <v>1452.6988089300003</v>
      </c>
      <c r="AX25" s="102">
        <f>$F25*(VLOOKUP(AX$4, Rates_previous!$G$6:$Q$29, 10, FALSE)+VLOOKUP(AX$4, Rates_previous!$G$6:$Q$29, 11, FALSE))</f>
        <v>1567.7494474500002</v>
      </c>
      <c r="AY25" s="102">
        <f>$F25*(VLOOKUP(AY$4, Rates_previous!$G$6:$Q$29, 10, FALSE)+VLOOKUP(AY$4, Rates_previous!$G$6:$Q$29, 11, FALSE))</f>
        <v>1629.13403088</v>
      </c>
      <c r="AZ25" s="102">
        <f>$F25*(VLOOKUP(AZ$4, Rates_previous!$G$6:$Q$29, 10, FALSE)+VLOOKUP(AZ$4, Rates_previous!$G$6:$Q$29, 11, FALSE))</f>
        <v>1401.27241626</v>
      </c>
      <c r="BA25" s="102">
        <f>$F25*(VLOOKUP(BA$4, Rates_previous!$G$6:$Q$29, 10, FALSE)+VLOOKUP(BA$4, Rates_previous!$G$6:$Q$29, 11, FALSE))</f>
        <v>1529.91204057</v>
      </c>
      <c r="BB25" s="102">
        <f>$F25*(VLOOKUP(BB$4, Rates_previous!$G$6:$Q$29, 10, FALSE)+VLOOKUP(BB$4, Rates_previous!$G$6:$Q$29, 11, FALSE))</f>
        <v>1207.6077345975</v>
      </c>
      <c r="BC25" s="102">
        <f>$F25*(VLOOKUP(BC$4, Rates_previous!$G$6:$Q$29, 10, FALSE)+VLOOKUP(BC$4, Rates_previous!$G$6:$Q$29, 11, FALSE))</f>
        <v>1498.1992217550001</v>
      </c>
      <c r="BD25" s="102">
        <f>$F25*(VLOOKUP(BD$4, Rates_previous!$G$6:$Q$29, 10, FALSE)+VLOOKUP(BD$4, Rates_previous!$G$6:$Q$29, 11, FALSE))</f>
        <v>1530.706404735</v>
      </c>
      <c r="BE25" s="102">
        <f>$F25*(VLOOKUP(BE$4, Rates_previous!$G$6:$Q$29, 10, FALSE)+VLOOKUP(BE$4, Rates_previous!$G$6:$Q$29, 11, FALSE))</f>
        <v>1328.8736857050001</v>
      </c>
      <c r="BF25" s="102">
        <f>$F25*(VLOOKUP(BF$4, Rates_previous!$G$6:$Q$29, 10, FALSE)+VLOOKUP(BF$4, Rates_previous!$G$6:$Q$29, 11, FALSE))</f>
        <v>1284.6676278645002</v>
      </c>
      <c r="BG25" s="102">
        <f>$F25*(VLOOKUP(BG$4, Rates_previous!$G$6:$Q$29, 10, FALSE)+VLOOKUP(BG$4, Rates_previous!$G$6:$Q$29, 11, FALSE))</f>
        <v>1182.1429920600001</v>
      </c>
      <c r="BH25" s="103">
        <f>IF($D25=0,IF(C25=0, MAX(BJ25 - (VLOOKUP($A25,TOCA_previous!$A$2:$AJ$136,MATCH("RHWM "&amp;Init!$D$1-2,TOCA_previous!$A$2:$AJ$2,0),FALSE)*$F$2*TOCA_previous!C22),0),0), 0)</f>
        <v>0</v>
      </c>
      <c r="BI25" s="109">
        <f>MIN(VLOOKUP($A25,TOCA_previous!$A$2:$AJ$136,MATCH("TRL - NLSL - Existing Resource "&amp;$F$1,TOCA_previous!$A$2:$AJ$2,0),FALSE)*$F$2,(VLOOKUP($A25,TOCA_previous!$A$2:$AJ$136,MATCH("RHWM "&amp;Init!$D$1-2,TOCA_previous!$A$2:$AJ$2,0),FALSE)*$F$2))</f>
        <v>16382.16</v>
      </c>
      <c r="BJ25" s="261">
        <f>SUM(L25:AI25)+(F25*RT1SC!$C$3*$F$2)</f>
        <v>16637.720076788002</v>
      </c>
      <c r="BK25" s="260">
        <f>VLOOKUP($A25,TOCA_previous!$A$2:$AJ$136,MATCH("Above RHWM Not Served with LS "&amp;$F$1,TOCA_previous!$A$2:$AJ$2,0),FALSE)*$F$2</f>
        <v>0</v>
      </c>
      <c r="BL25" s="261">
        <f t="shared" si="21"/>
        <v>255.56007678800233</v>
      </c>
      <c r="BM25" s="260">
        <f>(VLOOKUP($A25,TOCA_previous!$A$2:$AJ$136,MATCH("RHWM "&amp;Init!$D$1-2,TOCA_previous!$A$2:$AJ$2,0),FALSE)*$F$2) - $BI25</f>
        <v>430.41600000000108</v>
      </c>
      <c r="BN25" s="261">
        <f t="shared" si="22"/>
        <v>-255.56007678800233</v>
      </c>
      <c r="BO25" s="260">
        <f t="shared" si="23"/>
        <v>0</v>
      </c>
      <c r="BP25" s="261">
        <f t="shared" si="24"/>
        <v>0</v>
      </c>
      <c r="BQ25" s="260">
        <f t="shared" si="9"/>
        <v>-255.56007678800233</v>
      </c>
      <c r="BR25" s="85">
        <f>VLOOKUP($A25,TOCA_current!$A$2:$ZZ$136,MATCH(BR$4,TOCA_current!$A$2:$ZZ$2,0),FALSE)</f>
        <v>2.6709999999999999E-4</v>
      </c>
      <c r="BS25" s="85">
        <f>VLOOKUP($A25,TOCA_current!$A$2:$ZZ$136,MATCH(BS$4,TOCA_current!$A$2:$ZZ$2,0),FALSE)</f>
        <v>2.6709999999999999E-4</v>
      </c>
      <c r="BT25" s="108">
        <f t="shared" si="25"/>
        <v>0</v>
      </c>
      <c r="BU25" s="85">
        <f>VLOOKUP($A25,TOCA_current!A22:BG156,MATCH(BU$4,TOCA_current!$A$2:$BG$2,0),FALSE)</f>
        <v>0</v>
      </c>
      <c r="BV25" s="85">
        <f t="shared" si="26"/>
        <v>0</v>
      </c>
      <c r="BW25" s="85">
        <f t="shared" si="27"/>
        <v>0</v>
      </c>
      <c r="BX25" s="101">
        <f>VLOOKUP($A25,IRD!$A$4:$G$138, 7, FALSE)</f>
        <v>0</v>
      </c>
      <c r="BY25" s="102">
        <f t="array" ref="BY25">IF($BT25=0, INDEX(LS_current!$D$4:$BW$137, MATCH('Staging Table'!$A25, LS_current!$B$4:$B$137, 0), MATCH(BY$4&amp;BY$5, LS_current!$D$2:$BW$2&amp;LS_current!$D$3:$BW$3, 0)),SUM(VLOOKUP($A25, LS_current!$B$4:$BW$137, LS_current!D$147, FALSE), VLOOKUP($A25, LS_current!$B$4:$BW$137,LS_current!AZ$147, FALSE))/2)</f>
        <v>131.03198606980209</v>
      </c>
      <c r="BZ25" s="102">
        <f t="array" ref="BZ25">IF($BT25=0, INDEX(LS_current!$D$4:$BW$137, MATCH('Staging Table'!$A25, LS_current!$B$4:$B$137, 0), MATCH(BZ$4&amp;BZ$5, LS_current!$D$2:$BW$2&amp;LS_current!$D$3:$BW$3, 0)),SUM(VLOOKUP($A25, LS_current!$B$4:$BW$137, LS_current!E$147, FALSE), VLOOKUP($A25, LS_current!$B$4:$BW$137,LS_current!BA$147, FALSE))/2)</f>
        <v>46.253193652462699</v>
      </c>
      <c r="CA25" s="102">
        <f t="array" ref="CA25">IF($BT25=0, INDEX(LS_current!$D$4:$BW$137, MATCH('Staging Table'!$A25, LS_current!$B$4:$B$137, 0), MATCH(CA$4&amp;CA$5, LS_current!$D$2:$BW$2&amp;LS_current!$D$3:$BW$3, 0)),SUM(VLOOKUP($A25, LS_current!$B$4:$BW$137, LS_current!F$147, FALSE), VLOOKUP($A25, LS_current!$B$4:$BW$137,LS_current!BB$147, FALSE))/2)</f>
        <v>-54.422547651965488</v>
      </c>
      <c r="CB25" s="102">
        <f t="array" ref="CB25">IF($BT25=0, INDEX(LS_current!$D$4:$BW$137, MATCH('Staging Table'!$A25, LS_current!$B$4:$B$137, 0), MATCH(CB$4&amp;CB$5, LS_current!$D$2:$BW$2&amp;LS_current!$D$3:$BW$3, 0)),SUM(VLOOKUP($A25, LS_current!$B$4:$BW$137, LS_current!G$147, FALSE), VLOOKUP($A25, LS_current!$B$4:$BW$137,LS_current!BC$147, FALSE))/2)</f>
        <v>14.118314843946337</v>
      </c>
      <c r="CC25" s="102">
        <f t="array" ref="CC25">IF($BT25=0, INDEX(LS_current!$D$4:$BW$137, MATCH('Staging Table'!$A25, LS_current!$B$4:$B$137, 0), MATCH(CC$4&amp;CC$5, LS_current!$D$2:$BW$2&amp;LS_current!$D$3:$BW$3, 0)),SUM(VLOOKUP($A25, LS_current!$B$4:$BW$137, LS_current!H$147, FALSE), VLOOKUP($A25, LS_current!$B$4:$BW$137,LS_current!BD$147, FALSE))/2)</f>
        <v>155.277403502266</v>
      </c>
      <c r="CD25" s="102">
        <f t="array" ref="CD25">IF($BT25=0, INDEX(LS_current!$D$4:$BW$137, MATCH('Staging Table'!$A25, LS_current!$B$4:$B$137, 0), MATCH(CD$4&amp;CD$5, LS_current!$D$2:$BW$2&amp;LS_current!$D$3:$BW$3, 0)),SUM(VLOOKUP($A25, LS_current!$B$4:$BW$137, LS_current!I$147, FALSE), VLOOKUP($A25, LS_current!$B$4:$BW$137,LS_current!BE$147, FALSE))/2)</f>
        <v>171.66780694862393</v>
      </c>
      <c r="CE25" s="102">
        <f t="array" ref="CE25">IF($BT25=0, INDEX(LS_current!$D$4:$BW$137, MATCH('Staging Table'!$A25, LS_current!$B$4:$B$137, 0), MATCH(CE$4&amp;CE$5, LS_current!$D$2:$BW$2&amp;LS_current!$D$3:$BW$3, 0)),SUM(VLOOKUP($A25, LS_current!$B$4:$BW$137, LS_current!J$147, FALSE), VLOOKUP($A25, LS_current!$B$4:$BW$137,LS_current!BF$147, FALSE))/2)</f>
        <v>125.41876493694326</v>
      </c>
      <c r="CF25" s="102">
        <f t="array" ref="CF25">IF($BT25=0, INDEX(LS_current!$D$4:$BW$137, MATCH('Staging Table'!$A25, LS_current!$B$4:$B$137, 0), MATCH(CF$4&amp;CF$5, LS_current!$D$2:$BW$2&amp;LS_current!$D$3:$BW$3, 0)),SUM(VLOOKUP($A25, LS_current!$B$4:$BW$137, LS_current!K$147, FALSE), VLOOKUP($A25, LS_current!$B$4:$BW$137,LS_current!BG$147, FALSE))/2)</f>
        <v>136.81344761858759</v>
      </c>
      <c r="CG25" s="102">
        <f t="array" ref="CG25">IF($BT25=0, INDEX(LS_current!$D$4:$BW$137, MATCH('Staging Table'!$A25, LS_current!$B$4:$B$137, 0), MATCH(CG$4&amp;CG$5, LS_current!$D$2:$BW$2&amp;LS_current!$D$3:$BW$3, 0)),SUM(VLOOKUP($A25, LS_current!$B$4:$BW$137, LS_current!L$147, FALSE), VLOOKUP($A25, LS_current!$B$4:$BW$137,LS_current!BH$147, FALSE))/2)</f>
        <v>78.914126208443577</v>
      </c>
      <c r="CH25" s="102">
        <f t="array" ref="CH25">IF($BT25=0, INDEX(LS_current!$D$4:$BW$137, MATCH('Staging Table'!$A25, LS_current!$B$4:$B$137, 0), MATCH(CH$4&amp;CH$5, LS_current!$D$2:$BW$2&amp;LS_current!$D$3:$BW$3, 0)),SUM(VLOOKUP($A25, LS_current!$B$4:$BW$137, LS_current!M$147, FALSE), VLOOKUP($A25, LS_current!$B$4:$BW$137,LS_current!BI$147, FALSE))/2)</f>
        <v>97.252145119533054</v>
      </c>
      <c r="CI25" s="102">
        <f t="array" ref="CI25">IF($BT25=0, INDEX(LS_current!$D$4:$BW$137, MATCH('Staging Table'!$A25, LS_current!$B$4:$B$137, 0), MATCH(CI$4&amp;CI$5, LS_current!$D$2:$BW$2&amp;LS_current!$D$3:$BW$3, 0)),SUM(VLOOKUP($A25, LS_current!$B$4:$BW$137, LS_current!N$147, FALSE), VLOOKUP($A25, LS_current!$B$4:$BW$137,LS_current!BJ$147, FALSE))/2)</f>
        <v>13.645230597826412</v>
      </c>
      <c r="CJ25" s="102">
        <f t="array" ref="CJ25">IF($BT25=0, INDEX(LS_current!$D$4:$BW$137, MATCH('Staging Table'!$A25, LS_current!$B$4:$B$137, 0), MATCH(CJ$4&amp;CJ$5, LS_current!$D$2:$BW$2&amp;LS_current!$D$3:$BW$3, 0)),SUM(VLOOKUP($A25, LS_current!$B$4:$BW$137, LS_current!O$147, FALSE), VLOOKUP($A25, LS_current!$B$4:$BW$137,LS_current!BK$147, FALSE))/2)</f>
        <v>130.66971224090355</v>
      </c>
      <c r="CK25" s="102">
        <f t="array" ref="CK25">IF($BT25=0, INDEX(LS_current!$D$4:$BW$137, MATCH('Staging Table'!$A25, LS_current!$B$4:$B$137, 0), MATCH(CK$4&amp;CK$5, LS_current!$D$2:$BW$2&amp;LS_current!$D$3:$BW$3, 0)),SUM(VLOOKUP($A25, LS_current!$B$4:$BW$137, LS_current!P$147, FALSE), VLOOKUP($A25, LS_current!$B$4:$BW$137,LS_current!BL$147, FALSE))/2)</f>
        <v>159.97635769018268</v>
      </c>
      <c r="CL25" s="102">
        <f t="array" ref="CL25">IF($BT25=0, INDEX(LS_current!$D$4:$BW$137, MATCH('Staging Table'!$A25, LS_current!$B$4:$B$137, 0), MATCH(CL$4&amp;CL$5, LS_current!$D$2:$BW$2&amp;LS_current!$D$3:$BW$3, 0)),SUM(VLOOKUP($A25, LS_current!$B$4:$BW$137, LS_current!Q$147, FALSE), VLOOKUP($A25, LS_current!$B$4:$BW$137,LS_current!BM$147, FALSE))/2)</f>
        <v>76.011800161434337</v>
      </c>
      <c r="CM25" s="102">
        <f t="array" ref="CM25">IF($BT25=0, INDEX(LS_current!$D$4:$BW$137, MATCH('Staging Table'!$A25, LS_current!$B$4:$B$137, 0), MATCH(CM$4&amp;CM$5, LS_current!$D$2:$BW$2&amp;LS_current!$D$3:$BW$3, 0)),SUM(VLOOKUP($A25, LS_current!$B$4:$BW$137, LS_current!R$147, FALSE), VLOOKUP($A25, LS_current!$B$4:$BW$137,LS_current!BN$147, FALSE))/2)</f>
        <v>-197.63468581906488</v>
      </c>
      <c r="CN25" s="102">
        <f t="array" ref="CN25">IF($BT25=0, INDEX(LS_current!$D$4:$BW$137, MATCH('Staging Table'!$A25, LS_current!$B$4:$B$137, 0), MATCH(CN$4&amp;CN$5, LS_current!$D$2:$BW$2&amp;LS_current!$D$3:$BW$3, 0)),SUM(VLOOKUP($A25, LS_current!$B$4:$BW$137, LS_current!S$147, FALSE), VLOOKUP($A25, LS_current!$B$4:$BW$137,LS_current!BO$147, FALSE))/2)</f>
        <v>-121.69059282569015</v>
      </c>
      <c r="CO25" s="102">
        <f t="array" ref="CO25">IF($BT25=0, INDEX(LS_current!$D$4:$BW$137, MATCH('Staging Table'!$A25, LS_current!$B$4:$B$137, 0), MATCH(CO$4&amp;CO$5, LS_current!$D$2:$BW$2&amp;LS_current!$D$3:$BW$3, 0)),SUM(VLOOKUP($A25, LS_current!$B$4:$BW$137, LS_current!T$147, FALSE), VLOOKUP($A25, LS_current!$B$4:$BW$137,LS_current!BP$147, FALSE))/2)</f>
        <v>-278.33913930941196</v>
      </c>
      <c r="CP25" s="102">
        <f t="array" ref="CP25">IF($BT25=0, INDEX(LS_current!$D$4:$BW$137, MATCH('Staging Table'!$A25, LS_current!$B$4:$B$137, 0), MATCH(CP$4&amp;CP$5, LS_current!$D$2:$BW$2&amp;LS_current!$D$3:$BW$3, 0)),SUM(VLOOKUP($A25, LS_current!$B$4:$BW$137, LS_current!U$147, FALSE), VLOOKUP($A25, LS_current!$B$4:$BW$137,LS_current!BQ$147, FALSE))/2)</f>
        <v>-143.80514722267191</v>
      </c>
      <c r="CQ25" s="102">
        <f t="array" ref="CQ25">IF($BT25=0, INDEX(LS_current!$D$4:$BW$137, MATCH('Staging Table'!$A25, LS_current!$B$4:$B$137, 0), MATCH(CQ$4&amp;CQ$5, LS_current!$D$2:$BW$2&amp;LS_current!$D$3:$BW$3, 0)),SUM(VLOOKUP($A25, LS_current!$B$4:$BW$137, LS_current!V$147, FALSE), VLOOKUP($A25, LS_current!$B$4:$BW$137,LS_current!BR$147, FALSE))/2)</f>
        <v>-146.2612977320664</v>
      </c>
      <c r="CR25" s="102">
        <f t="array" ref="CR25">IF($BT25=0, INDEX(LS_current!$D$4:$BW$137, MATCH('Staging Table'!$A25, LS_current!$B$4:$B$137, 0), MATCH(CR$4&amp;CR$5, LS_current!$D$2:$BW$2&amp;LS_current!$D$3:$BW$3, 0)),SUM(VLOOKUP($A25, LS_current!$B$4:$BW$137, LS_current!W$147, FALSE), VLOOKUP($A25, LS_current!$B$4:$BW$137,LS_current!BS$147, FALSE))/2)</f>
        <v>-87.688930558632876</v>
      </c>
      <c r="CS25" s="102">
        <f t="array" ref="CS25">IF($BT25=0, INDEX(LS_current!$D$4:$BW$137, MATCH('Staging Table'!$A25, LS_current!$B$4:$B$137, 0), MATCH(CS$4&amp;CS$5, LS_current!$D$2:$BW$2&amp;LS_current!$D$3:$BW$3, 0)),SUM(VLOOKUP($A25, LS_current!$B$4:$BW$137, LS_current!X$147, FALSE), VLOOKUP($A25, LS_current!$B$4:$BW$137,LS_current!BT$147, FALSE))/2)</f>
        <v>-210.55235300296602</v>
      </c>
      <c r="CT25" s="102">
        <f t="array" ref="CT25">IF($BT25=0, INDEX(LS_current!$D$4:$BW$137, MATCH('Staging Table'!$A25, LS_current!$B$4:$B$137, 0), MATCH(CT$4&amp;CT$5, LS_current!$D$2:$BW$2&amp;LS_current!$D$3:$BW$3, 0)),SUM(VLOOKUP($A25, LS_current!$B$4:$BW$137, LS_current!Y$147, FALSE), VLOOKUP($A25, LS_current!$B$4:$BW$137,LS_current!BU$147, FALSE))/2)</f>
        <v>-49.037271343382486</v>
      </c>
      <c r="CU25" s="102">
        <f t="array" ref="CU25">IF($BT25=0, INDEX(LS_current!$D$4:$BW$137, MATCH('Staging Table'!$A25, LS_current!$B$4:$B$137, 0), MATCH(CU$4&amp;CU$5, LS_current!$D$2:$BW$2&amp;LS_current!$D$3:$BW$3, 0)),SUM(VLOOKUP($A25, LS_current!$B$4:$BW$137, LS_current!Z$147, FALSE), VLOOKUP($A25, LS_current!$B$4:$BW$137,LS_current!BV$147, FALSE))/2)</f>
        <v>-21.350583727944468</v>
      </c>
      <c r="CV25" s="102">
        <f t="array" ref="CV25">IF($BT25=0, INDEX(LS_current!$D$4:$BW$137, MATCH('Staging Table'!$A25, LS_current!$B$4:$B$137, 0), MATCH(CV$4&amp;CV$5, LS_current!$D$2:$BW$2&amp;LS_current!$D$3:$BW$3, 0)),SUM(VLOOKUP($A25, LS_current!$B$4:$BW$137, LS_current!AA$147, FALSE), VLOOKUP($A25, LS_current!$B$4:$BW$137,LS_current!BW$147, FALSE))/2)</f>
        <v>-23.448089834736209</v>
      </c>
      <c r="CW25" s="103">
        <f t="array" ref="CW25">INDEX(Demand_current!$D$4:$BW$137, MATCH($A25, Demand_current!$B$4:$B$137, 0), MATCH(CW$4&amp;CW$5,Demand_current!$D$2:$BW$2&amp;Demand_current!$D$3:$BW$3, 0))/1000</f>
        <v>0.13376851851851856</v>
      </c>
      <c r="CX25" s="103">
        <f t="array" ref="CX25">INDEX(Demand_current!$D$4:$BW$137, MATCH($A25, Demand_current!$B$4:$B$137, 0), MATCH(CX$4&amp;CX$5,Demand_current!$D$2:$BW$2&amp;Demand_current!$D$3:$BW$3, 0))/1000</f>
        <v>0.222997395833333</v>
      </c>
      <c r="CY25" s="103">
        <f t="array" ref="CY25">INDEX(Demand_current!$D$4:$BW$137, MATCH($A25, Demand_current!$B$4:$B$137, 0), MATCH(CY$4&amp;CY$5,Demand_current!$D$2:$BW$2&amp;Demand_current!$D$3:$BW$3, 0))/1000</f>
        <v>0.28892788461538466</v>
      </c>
      <c r="CZ25" s="103">
        <f t="array" ref="CZ25">INDEX(Demand_current!$D$4:$BW$137, MATCH($A25, Demand_current!$B$4:$B$137, 0), MATCH(CZ$4&amp;CZ$5,Demand_current!$D$2:$BW$2&amp;Demand_current!$D$3:$BW$3, 0))/1000</f>
        <v>0.34069951923076891</v>
      </c>
      <c r="DA25" s="103">
        <f t="array" ref="DA25">INDEX(Demand_current!$D$4:$BW$137, MATCH($A25, Demand_current!$B$4:$B$137, 0), MATCH(DA$4&amp;DA$5,Demand_current!$D$2:$BW$2&amp;Demand_current!$D$3:$BW$3, 0))/1000</f>
        <v>0.26243489583333324</v>
      </c>
      <c r="DB25" s="103">
        <f t="array" ref="DB25">INDEX(Demand_current!$D$4:$BW$137, MATCH($A25, Demand_current!$B$4:$B$137, 0), MATCH(DB$4&amp;DB$5,Demand_current!$D$2:$BW$2&amp;Demand_current!$D$3:$BW$3, 0))/1000</f>
        <v>0.45776923076923048</v>
      </c>
      <c r="DC25" s="103">
        <f t="array" ref="DC25">INDEX(Demand_current!$D$4:$BW$137, MATCH($A25, Demand_current!$B$4:$B$137, 0), MATCH(DC$4&amp;DC$5,Demand_current!$D$2:$BW$2&amp;Demand_current!$D$3:$BW$3, 0))/1000</f>
        <v>0.38958653846153823</v>
      </c>
      <c r="DD25" s="103">
        <f t="array" ref="DD25">INDEX(Demand_current!$D$4:$BW$137, MATCH($A25, Demand_current!$B$4:$B$137, 0), MATCH(DD$4&amp;DD$5,Demand_current!$D$2:$BW$2&amp;Demand_current!$D$3:$BW$3, 0))/1000</f>
        <v>0</v>
      </c>
      <c r="DE25" s="103">
        <f t="array" ref="DE25">INDEX(Demand_current!$D$4:$BW$137, MATCH($A25, Demand_current!$B$4:$B$137, 0), MATCH(DE$4&amp;DE$5,Demand_current!$D$2:$BW$2&amp;Demand_current!$D$3:$BW$3, 0))/1000</f>
        <v>0.10912499999999981</v>
      </c>
      <c r="DF25" s="103">
        <f t="array" ref="DF25">INDEX(Demand_current!$D$4:$BW$137, MATCH($A25, Demand_current!$B$4:$B$137, 0), MATCH(DF$4&amp;DF$5,Demand_current!$D$2:$BW$2&amp;Demand_current!$D$3:$BW$3, 0))/1000</f>
        <v>0.17861538461538451</v>
      </c>
      <c r="DG25" s="103">
        <f t="array" ref="DG25">INDEX(Demand_current!$D$4:$BW$137, MATCH($A25, Demand_current!$B$4:$B$137, 0), MATCH(DG$4&amp;DG$5,Demand_current!$D$2:$BW$2&amp;Demand_current!$D$3:$BW$3, 0))/1000</f>
        <v>0.38862980769230776</v>
      </c>
      <c r="DH25" s="103">
        <f t="array" ref="DH25">INDEX(Demand_current!$D$4:$BW$137, MATCH($A25, Demand_current!$B$4:$B$137, 0), MATCH(DH$4&amp;DH$5,Demand_current!$D$2:$BW$2&amp;Demand_current!$D$3:$BW$3, 0))/1000</f>
        <v>2.1297499999999858E-2</v>
      </c>
      <c r="DI25" s="102">
        <f>$BS25*(VLOOKUP(DI$4, Rates_current!$H$6:$R$41, 10, FALSE)+VLOOKUP(DI$4, Rates_current!$H$6:$R$41, 11, FALSE))</f>
        <v>1108.5418202777353</v>
      </c>
      <c r="DJ25" s="102">
        <f>$BS25*(VLOOKUP(DJ$4, Rates_current!$H$6:$R$41, 10, FALSE)+VLOOKUP(DJ$4, Rates_current!$H$6:$R$41, 11, FALSE))</f>
        <v>1417.2342328080192</v>
      </c>
      <c r="DK25" s="102">
        <f>$BS25*(VLOOKUP(DK$4, Rates_current!$H$6:$R$41, 10, FALSE)+VLOOKUP(DK$4, Rates_current!$H$6:$R$41, 11, FALSE))</f>
        <v>1611.2767895491099</v>
      </c>
      <c r="DL25" s="102">
        <f>$BS25*(VLOOKUP(DL$4, Rates_current!$H$6:$R$41, 10, FALSE)+VLOOKUP(DL$4, Rates_current!$H$6:$R$41, 11, FALSE))</f>
        <v>1700.022787444469</v>
      </c>
      <c r="DM25" s="102">
        <f>$BS25*(VLOOKUP(DM$4, Rates_current!$H$6:$R$41, 10, FALSE)+VLOOKUP(DM$4, Rates_current!$H$6:$R$41, 11, FALSE))</f>
        <v>1354.7647286720235</v>
      </c>
      <c r="DN25" s="102">
        <f>$BS25*(VLOOKUP(DN$4, Rates_current!$H$6:$R$41, 10, FALSE)+VLOOKUP(DN$4, Rates_current!$H$6:$R$41, 11, FALSE))</f>
        <v>1481.03605716127</v>
      </c>
      <c r="DO25" s="102">
        <f>$BS25*(VLOOKUP(DO$4, Rates_current!$H$6:$R$41, 10, FALSE)+VLOOKUP(DO$4, Rates_current!$H$6:$R$41, 11, FALSE))</f>
        <v>1147.8178421483831</v>
      </c>
      <c r="DP25" s="102">
        <f>$BS25*(VLOOKUP(DP$4, Rates_current!$H$6:$R$41, 10, FALSE)+VLOOKUP(DP$4, Rates_current!$H$6:$R$41, 11, FALSE))</f>
        <v>1485.465278644755</v>
      </c>
      <c r="DQ25" s="102">
        <f>$BS25*(VLOOKUP(DQ$4, Rates_current!$H$6:$R$41, 10, FALSE)+VLOOKUP(DQ$4, Rates_current!$H$6:$R$41, 11, FALSE))</f>
        <v>1517.1842865320839</v>
      </c>
      <c r="DR25" s="102">
        <f>$BS25*(VLOOKUP(DR$4, Rates_current!$H$6:$R$41, 10, FALSE)+VLOOKUP(DR$4, Rates_current!$H$6:$R$41, 11, FALSE))</f>
        <v>1350.4252282906994</v>
      </c>
      <c r="DS25" s="102">
        <f>$BS25*(VLOOKUP(DS$4, Rates_current!$H$6:$R$41, 10, FALSE)+VLOOKUP(DS$4, Rates_current!$H$6:$R$41, 11, FALSE))</f>
        <v>1385.2886243463486</v>
      </c>
      <c r="DT25" s="102">
        <f>$BS25*(VLOOKUP(DT$4, Rates_current!$H$6:$R$41, 10, FALSE)+VLOOKUP(DT$4, Rates_current!$H$6:$R$41, 11, FALSE))</f>
        <v>1075.8426735626806</v>
      </c>
      <c r="DU25" s="261">
        <f>IF(D25=0,IF(C25=0,MAX(0,DW25 - (VLOOKUP($A25,TOCA_current!$A$2:$AV$136,MATCH("RHWM "&amp;Init!$D$1,TOCA_current!$A$2:$AV$2,0),FALSE)*$BS$2)), 0),0)</f>
        <v>0</v>
      </c>
      <c r="DV25" s="262">
        <f>MIN(VLOOKUP($A25,TOCA_current!$A$2:$AV$136,MATCH("TRL - NLSL - Existing Resource "&amp;$BS$1,TOCA_current!$A$2:$AV$2,0),FALSE)*$BS$2, VLOOKUP($A25,TOCA_current!$A$2:$AV$136,MATCH("RHWM "&amp;Init!$D$1,TOCA_current!$A$2:$AV$2,0),FALSE)*$BS$2)</f>
        <v>16635.240000000002</v>
      </c>
      <c r="DW25" s="262">
        <f>SUM(BY25:CV25)+(BS25*RT1SC!$C$4*$BS$2)</f>
        <v>16637.720981954422</v>
      </c>
      <c r="DX25" s="262">
        <f>VLOOKUP($A25,TOCA_current!$A$2:$AV$136,MATCH("Above RHWM Not Served with LS "&amp;$BS$1,TOCA_current!$A$2:$AV$2,0),FALSE)*$BS$2</f>
        <v>0</v>
      </c>
      <c r="DY25" s="262">
        <f t="shared" si="28"/>
        <v>2.480981954420713</v>
      </c>
      <c r="DZ25" s="262">
        <f>(VLOOKUP($A25,TOCA_current!$A$2:$AV$136,MATCH("RHWM "&amp;Init!$D$1,TOCA_current!$A$2:$AV$2,0),FALSE)*$BS$2) - $DV25</f>
        <v>227.7599999999984</v>
      </c>
      <c r="EA25" s="262">
        <f t="shared" si="29"/>
        <v>-2.480981954420713</v>
      </c>
      <c r="EB25" s="262">
        <f t="shared" si="30"/>
        <v>0</v>
      </c>
      <c r="EC25" s="262">
        <f t="shared" si="31"/>
        <v>0</v>
      </c>
      <c r="ED25" s="262">
        <f t="shared" si="32"/>
        <v>-2.480981954420713</v>
      </c>
    </row>
    <row r="26" spans="1:134">
      <c r="A26" s="2">
        <v>10072</v>
      </c>
      <c r="B26" s="3" t="s">
        <v>28</v>
      </c>
      <c r="C26">
        <f>VLOOKUP(A26, TOCA_current!$A$3:$D$136, 4, FALSE)</f>
        <v>0</v>
      </c>
      <c r="D26">
        <v>0</v>
      </c>
      <c r="E26" s="84">
        <f>VLOOKUP($A26,TOCA_previous!$A$2:$AJ$136,MATCH(E$4,TOCA_previous!$A$2:$AJ$2,0),FALSE)</f>
        <v>3.4719E-3</v>
      </c>
      <c r="F26" s="85">
        <f>VLOOKUP($A26,TOCA_previous!$A$2:$AJ$136,MATCH(F$4,TOCA_previous!$A$2:$AJ$2,0),FALSE)</f>
        <v>3.4719E-3</v>
      </c>
      <c r="G26" s="85">
        <f t="shared" si="18"/>
        <v>0</v>
      </c>
      <c r="H26" s="85">
        <f>VLOOKUP($A26,TOCA_previous!$A$2:$AJ$136,MATCH(H$4,TOCA_previous!$A$2:$AJ$2,0),FALSE)</f>
        <v>0</v>
      </c>
      <c r="I26" s="85">
        <f t="shared" si="19"/>
        <v>0</v>
      </c>
      <c r="J26" s="85">
        <f t="shared" si="20"/>
        <v>0</v>
      </c>
      <c r="K26" s="101">
        <f>VLOOKUP(A26, IRD!$A$5:$C$138, 3, FALSE)</f>
        <v>0</v>
      </c>
      <c r="L26" s="102">
        <f t="array" ref="L26">IF($G26=0, INDEX(LS_previous!$D$4:$AY$137, MATCH('Staging Table'!$A26, LS_previous!$B$4:$B$137, 0), MATCH(L$4&amp;L$5, LS_previous!$D$2:$AY$2&amp;LS_previous!$D$3:$AY$3, 0)),SUM(VLOOKUP($A26, LS_previous!$B$4:$AY$137, LS_previous!D$148, FALSE), VLOOKUP('Staging Table'!$A26, LS_previous!$B$4:$AY$137,LS_previous!AB$148, FALSE))/2)</f>
        <v>2368.2805514115989</v>
      </c>
      <c r="M26" s="102">
        <f t="array" ref="M26">IF($G26=0, INDEX(LS_previous!$D$4:$AY$137, MATCH('Staging Table'!$A26, LS_previous!$B$4:$B$137, 0), MATCH(M$4&amp;M$5, LS_previous!$D$2:$AY$2&amp;LS_previous!$D$3:$AY$3, 0)),SUM(VLOOKUP($A26, LS_previous!$B$4:$AY$137, LS_previous!E$148, FALSE), VLOOKUP('Staging Table'!$A26, LS_previous!$B$4:$AY$137,LS_previous!AC$148, FALSE))/2)</f>
        <v>700.52466903655022</v>
      </c>
      <c r="N26" s="102">
        <f t="array" ref="N26">IF($G26=0, INDEX(LS_previous!$D$4:$AY$137, MATCH('Staging Table'!$A26, LS_previous!$B$4:$B$137, 0), MATCH(N$4&amp;N$5, LS_previous!$D$2:$AY$2&amp;LS_previous!$D$3:$AY$3, 0)),SUM(VLOOKUP($A26, LS_previous!$B$4:$AY$137, LS_previous!F$148, FALSE), VLOOKUP('Staging Table'!$A26, LS_previous!$B$4:$AY$137,LS_previous!AD$148, FALSE))/2)</f>
        <v>-286.8935540832008</v>
      </c>
      <c r="O26" s="102">
        <f t="array" ref="O26">IF($G26=0, INDEX(LS_previous!$D$4:$AY$137, MATCH('Staging Table'!$A26, LS_previous!$B$4:$B$137, 0), MATCH(O$4&amp;O$5, LS_previous!$D$2:$AY$2&amp;LS_previous!$D$3:$AY$3, 0)),SUM(VLOOKUP($A26, LS_previous!$B$4:$AY$137, LS_previous!G$148, FALSE), VLOOKUP('Staging Table'!$A26, LS_previous!$B$4:$AY$137,LS_previous!AE$148, FALSE))/2)</f>
        <v>-66.72301896890076</v>
      </c>
      <c r="P26" s="102">
        <f t="array" ref="P26">IF($G26=0, INDEX(LS_previous!$D$4:$AY$137, MATCH('Staging Table'!$A26, LS_previous!$B$4:$B$137, 0), MATCH(P$4&amp;P$5, LS_previous!$D$2:$AY$2&amp;LS_previous!$D$3:$AY$3, 0)),SUM(VLOOKUP($A26, LS_previous!$B$4:$AY$137, LS_previous!H$148, FALSE), VLOOKUP('Staging Table'!$A26, LS_previous!$B$4:$AY$137,LS_previous!AF$148, FALSE))/2)</f>
        <v>1580.1315627659005</v>
      </c>
      <c r="Q26" s="102">
        <f t="array" ref="Q26">IF($G26=0, INDEX(LS_previous!$D$4:$AY$137, MATCH('Staging Table'!$A26, LS_previous!$B$4:$B$137, 0), MATCH(Q$4&amp;Q$5, LS_previous!$D$2:$AY$2&amp;LS_previous!$D$3:$AY$3, 0)),SUM(VLOOKUP($A26, LS_previous!$B$4:$AY$137, LS_previous!I$148, FALSE), VLOOKUP('Staging Table'!$A26, LS_previous!$B$4:$AY$137,LS_previous!AG$148, FALSE))/2)</f>
        <v>1689.7744868576001</v>
      </c>
      <c r="R26" s="102">
        <f t="array" ref="R26">IF($G26=0, INDEX(LS_previous!$D$4:$AY$137, MATCH('Staging Table'!$A26, LS_previous!$B$4:$B$137, 0), MATCH(R$4&amp;R$5, LS_previous!$D$2:$AY$2&amp;LS_previous!$D$3:$AY$3, 0)),SUM(VLOOKUP($A26, LS_previous!$B$4:$AY$137, LS_previous!J$148, FALSE), VLOOKUP('Staging Table'!$A26, LS_previous!$B$4:$AY$137,LS_previous!AH$148, FALSE))/2)</f>
        <v>1432.8279346915006</v>
      </c>
      <c r="S26" s="102">
        <f t="array" ref="S26">IF($G26=0, INDEX(LS_previous!$D$4:$AY$137, MATCH('Staging Table'!$A26, LS_previous!$B$4:$B$137, 0), MATCH(S$4&amp;S$5, LS_previous!$D$2:$AY$2&amp;LS_previous!$D$3:$AY$3, 0)),SUM(VLOOKUP($A26, LS_previous!$B$4:$AY$137, LS_previous!K$148, FALSE), VLOOKUP('Staging Table'!$A26, LS_previous!$B$4:$AY$137,LS_previous!AI$148, FALSE))/2)</f>
        <v>1876.8395771149007</v>
      </c>
      <c r="T26" s="102">
        <f t="array" ref="T26">IF($G26=0, INDEX(LS_previous!$D$4:$AY$137, MATCH('Staging Table'!$A26, LS_previous!$B$4:$B$137, 0), MATCH(T$4&amp;T$5, LS_previous!$D$2:$AY$2&amp;LS_previous!$D$3:$AY$3, 0)),SUM(VLOOKUP($A26, LS_previous!$B$4:$AY$137, LS_previous!L$148, FALSE), VLOOKUP('Staging Table'!$A26, LS_previous!$B$4:$AY$137,LS_previous!AJ$148, FALSE))/2)</f>
        <v>-143.66069230009816</v>
      </c>
      <c r="U26" s="102">
        <f t="array" ref="U26">IF($G26=0, INDEX(LS_previous!$D$4:$AY$137, MATCH('Staging Table'!$A26, LS_previous!$B$4:$B$137, 0), MATCH(U$4&amp;U$5, LS_previous!$D$2:$AY$2&amp;LS_previous!$D$3:$AY$3, 0)),SUM(VLOOKUP($A26, LS_previous!$B$4:$AY$137, LS_previous!M$148, FALSE), VLOOKUP('Staging Table'!$A26, LS_previous!$B$4:$AY$137,LS_previous!AK$148, FALSE))/2)</f>
        <v>268.9433885478993</v>
      </c>
      <c r="V26" s="102">
        <f t="array" ref="V26">IF($G26=0, INDEX(LS_previous!$D$4:$AY$137, MATCH('Staging Table'!$A26, LS_previous!$B$4:$B$137, 0), MATCH(V$4&amp;V$5, LS_previous!$D$2:$AY$2&amp;LS_previous!$D$3:$AY$3, 0)),SUM(VLOOKUP($A26, LS_previous!$B$4:$AY$137, LS_previous!N$148, FALSE), VLOOKUP('Staging Table'!$A26, LS_previous!$B$4:$AY$137,LS_previous!AL$148, FALSE))/2)</f>
        <v>-395.43616842469964</v>
      </c>
      <c r="W26" s="102">
        <f t="array" ref="W26">IF($G26=0, INDEX(LS_previous!$D$4:$AY$137, MATCH('Staging Table'!$A26, LS_previous!$B$4:$B$137, 0), MATCH(W$4&amp;W$5, LS_previous!$D$2:$AY$2&amp;LS_previous!$D$3:$AY$3, 0)),SUM(VLOOKUP($A26, LS_previous!$B$4:$AY$137, LS_previous!O$148, FALSE), VLOOKUP('Staging Table'!$A26, LS_previous!$B$4:$AY$137,LS_previous!AM$148, FALSE))/2)</f>
        <v>-529.91477103819943</v>
      </c>
      <c r="X26" s="102">
        <f t="array" ref="X26">IF($G26=0, INDEX(LS_previous!$D$4:$AY$137, MATCH('Staging Table'!$A26, LS_previous!$B$4:$B$137, 0), MATCH(X$4&amp;X$5, LS_previous!$D$2:$AY$2&amp;LS_previous!$D$3:$AY$3, 0)),SUM(VLOOKUP($A26, LS_previous!$B$4:$AY$137, LS_previous!P$148, FALSE), VLOOKUP('Staging Table'!$A26, LS_previous!$B$4:$AY$137,LS_previous!AN$148, FALSE))/2)</f>
        <v>1002.2814372977518</v>
      </c>
      <c r="Y26" s="102">
        <f t="array" ref="Y26">IF($G26=0, INDEX(LS_previous!$D$4:$AY$137, MATCH('Staging Table'!$A26, LS_previous!$B$4:$B$137, 0), MATCH(Y$4&amp;Y$5, LS_previous!$D$2:$AY$2&amp;LS_previous!$D$3:$AY$3, 0)),SUM(VLOOKUP($A26, LS_previous!$B$4:$AY$137, LS_previous!Q$148, FALSE), VLOOKUP('Staging Table'!$A26, LS_previous!$B$4:$AY$137,LS_previous!AO$148, FALSE))/2)</f>
        <v>240.76488215017616</v>
      </c>
      <c r="Z26" s="102">
        <f t="array" ref="Z26">IF($G26=0, INDEX(LS_previous!$D$4:$AY$137, MATCH('Staging Table'!$A26, LS_previous!$B$4:$B$137, 0), MATCH(Z$4&amp;Z$5, LS_previous!$D$2:$AY$2&amp;LS_previous!$D$3:$AY$3, 0)),SUM(VLOOKUP($A26, LS_previous!$B$4:$AY$137, LS_previous!R$148, FALSE), VLOOKUP('Staging Table'!$A26, LS_previous!$B$4:$AY$137,LS_previous!AP$148, FALSE))/2)</f>
        <v>-2354.0889145712008</v>
      </c>
      <c r="AA26" s="102">
        <f t="array" ref="AA26">IF($G26=0, INDEX(LS_previous!$D$4:$AY$137, MATCH('Staging Table'!$A26, LS_previous!$B$4:$B$137, 0), MATCH(AA$4&amp;AA$5, LS_previous!$D$2:$AY$2&amp;LS_previous!$D$3:$AY$3, 0)),SUM(VLOOKUP($A26, LS_previous!$B$4:$AY$137, LS_previous!S$148, FALSE), VLOOKUP('Staging Table'!$A26, LS_previous!$B$4:$AY$137,LS_previous!AQ$148, FALSE))/2)</f>
        <v>-1718.2994113961495</v>
      </c>
      <c r="AB26" s="102">
        <f t="array" ref="AB26">IF($G26=0, INDEX(LS_previous!$D$4:$AY$137, MATCH('Staging Table'!$A26, LS_previous!$B$4:$B$137, 0), MATCH(AB$4&amp;AB$5, LS_previous!$D$2:$AY$2&amp;LS_previous!$D$3:$AY$3, 0)),SUM(VLOOKUP($A26, LS_previous!$B$4:$AY$137, LS_previous!T$148, FALSE), VLOOKUP('Staging Table'!$A26, LS_previous!$B$4:$AY$137,LS_previous!AR$148, FALSE))/2)</f>
        <v>-2909.7955182793994</v>
      </c>
      <c r="AC26" s="102">
        <f t="array" ref="AC26">IF($G26=0, INDEX(LS_previous!$D$4:$AY$137, MATCH('Staging Table'!$A26, LS_previous!$B$4:$B$137, 0), MATCH(AC$4&amp;AC$5, LS_previous!$D$2:$AY$2&amp;LS_previous!$D$3:$AY$3, 0)),SUM(VLOOKUP($A26, LS_previous!$B$4:$AY$137, LS_previous!U$148, FALSE), VLOOKUP('Staging Table'!$A26, LS_previous!$B$4:$AY$137,LS_previous!AS$148, FALSE))/2)</f>
        <v>-1950.5800617185505</v>
      </c>
      <c r="AD26" s="102">
        <f t="array" ref="AD26">IF($G26=0, INDEX(LS_previous!$D$4:$AY$137, MATCH('Staging Table'!$A26, LS_previous!$B$4:$B$137, 0), MATCH(AD$4&amp;AD$5, LS_previous!$D$2:$AY$2&amp;LS_previous!$D$3:$AY$3, 0)),SUM(VLOOKUP($A26, LS_previous!$B$4:$AY$137, LS_previous!V$148, FALSE), VLOOKUP('Staging Table'!$A26, LS_previous!$B$4:$AY$137,LS_previous!AT$148, FALSE))/2)</f>
        <v>-532.8465814316005</v>
      </c>
      <c r="AE26" s="102">
        <f t="array" ref="AE26">IF($G26=0, INDEX(LS_previous!$D$4:$AY$137, MATCH('Staging Table'!$A26, LS_previous!$B$4:$B$137, 0), MATCH(AE$4&amp;AE$5, LS_previous!$D$2:$AY$2&amp;LS_previous!$D$3:$AY$3, 0)),SUM(VLOOKUP($A26, LS_previous!$B$4:$AY$137, LS_previous!W$148, FALSE), VLOOKUP('Staging Table'!$A26, LS_previous!$B$4:$AY$137,LS_previous!AU$148, FALSE))/2)</f>
        <v>-191.78949041724991</v>
      </c>
      <c r="AF26" s="102">
        <f t="array" ref="AF26">IF($G26=0, INDEX(LS_previous!$D$4:$AY$137, MATCH('Staging Table'!$A26, LS_previous!$B$4:$B$137, 0), MATCH(AF$4&amp;AF$5, LS_previous!$D$2:$AY$2&amp;LS_previous!$D$3:$AY$3, 0)),SUM(VLOOKUP($A26, LS_previous!$B$4:$AY$137, LS_previous!X$148, FALSE), VLOOKUP('Staging Table'!$A26, LS_previous!$B$4:$AY$137,LS_previous!AV$148, FALSE))/2)</f>
        <v>-9.9226464308521827</v>
      </c>
      <c r="AG26" s="102">
        <f t="array" ref="AG26">IF($G26=0, INDEX(LS_previous!$D$4:$AY$137, MATCH('Staging Table'!$A26, LS_previous!$B$4:$B$137, 0), MATCH(AG$4&amp;AG$5, LS_previous!$D$2:$AY$2&amp;LS_previous!$D$3:$AY$3, 0)),SUM(VLOOKUP($A26, LS_previous!$B$4:$AY$137, LS_previous!Y$148, FALSE), VLOOKUP('Staging Table'!$A26, LS_previous!$B$4:$AY$137,LS_previous!AW$148, FALSE))/2)</f>
        <v>-293.01363943121487</v>
      </c>
      <c r="AH26" s="102">
        <f t="array" ref="AH26">IF($G26=0, INDEX(LS_previous!$D$4:$AY$137, MATCH('Staging Table'!$A26, LS_previous!$B$4:$B$137, 0), MATCH(AH$4&amp;AH$5, LS_previous!$D$2:$AY$2&amp;LS_previous!$D$3:$AY$3, 0)),SUM(VLOOKUP($A26, LS_previous!$B$4:$AY$137, LS_previous!Z$148, FALSE), VLOOKUP('Staging Table'!$A26, LS_previous!$B$4:$AY$137,LS_previous!AX$148, FALSE))/2)</f>
        <v>481.54180649939917</v>
      </c>
      <c r="AI26" s="102">
        <f t="array" ref="AI26">IF($G26=0, INDEX(LS_previous!$D$4:$AY$137, MATCH('Staging Table'!$A26, LS_previous!$B$4:$B$137, 0), MATCH(AI$4&amp;AI$5, LS_previous!$D$2:$AY$2&amp;LS_previous!$D$3:$AY$3, 0)),SUM(VLOOKUP($A26, LS_previous!$B$4:$AY$137, LS_previous!AA$148, FALSE), VLOOKUP('Staging Table'!$A26, LS_previous!$B$4:$AY$137,LS_previous!AY$148, FALSE))/2)</f>
        <v>-56.463192177599922</v>
      </c>
      <c r="AJ26" s="103">
        <f t="array" ref="AJ26">INDEX(Demand_previous!$D$4:$AY$137, MATCH('Staging Table'!$A26, Demand_previous!$B$4:$B$137, 0), MATCH(AJ$4&amp;AJ$5,Demand_previous!$D$2:$AY$2&amp;Demand_previous!$D$3:$AY$3, 0))/1000</f>
        <v>4.9025408653846139</v>
      </c>
      <c r="AK26" s="103">
        <f t="array" ref="AK26">INDEX(Demand_previous!$D$4:$AY$137, MATCH('Staging Table'!$A26, Demand_previous!$B$4:$B$137, 0), MATCH(AK$4&amp;AK$5,Demand_previous!$D$2:$AY$2&amp;Demand_previous!$D$3:$AY$3, 0))/1000</f>
        <v>5.7883000000000067</v>
      </c>
      <c r="AL26" s="103">
        <f t="array" ref="AL26">INDEX(Demand_previous!$D$4:$AY$137, MATCH('Staging Table'!$A26, Demand_previous!$B$4:$B$137, 0), MATCH(AL$4&amp;AL$5,Demand_previous!$D$2:$AY$2&amp;Demand_previous!$D$3:$AY$3, 0))/1000</f>
        <v>6.2997349999999992</v>
      </c>
      <c r="AM26" s="103">
        <f t="array" ref="AM26">INDEX(Demand_previous!$D$4:$AY$137, MATCH('Staging Table'!$A26, Demand_previous!$B$4:$B$137, 0), MATCH(AM$4&amp;AM$5,Demand_previous!$D$2:$AY$2&amp;Demand_previous!$D$3:$AY$3, 0))/1000</f>
        <v>9.6709423076923073</v>
      </c>
      <c r="AN26" s="103">
        <f t="array" ref="AN26">INDEX(Demand_previous!$D$4:$AY$137, MATCH('Staging Table'!$A26, Demand_previous!$B$4:$B$137, 0), MATCH(AN$4&amp;AN$5,Demand_previous!$D$2:$AY$2&amp;Demand_previous!$D$3:$AY$3, 0))/1000</f>
        <v>9.0160125000000004</v>
      </c>
      <c r="AO26" s="103">
        <f t="array" ref="AO26">INDEX(Demand_previous!$D$4:$AY$137, MATCH('Staging Table'!$A26, Demand_previous!$B$4:$B$137, 0), MATCH(AO$4&amp;AO$5,Demand_previous!$D$2:$AY$2&amp;Demand_previous!$D$3:$AY$3, 0))/1000</f>
        <v>6.8358413461538508</v>
      </c>
      <c r="AP26" s="103">
        <f t="array" ref="AP26">INDEX(Demand_previous!$D$4:$AY$137, MATCH('Staging Table'!$A26, Demand_previous!$B$4:$B$137, 0), MATCH(AP$4&amp;AP$5,Demand_previous!$D$2:$AY$2&amp;Demand_previous!$D$3:$AY$3, 0))/1000</f>
        <v>8.0046899038461525</v>
      </c>
      <c r="AQ26" s="103">
        <f t="array" ref="AQ26">INDEX(Demand_previous!$D$4:$AY$137, MATCH('Staging Table'!$A26, Demand_previous!$B$4:$B$137, 0), MATCH(AQ$4&amp;AQ$5,Demand_previous!$D$2:$AY$2&amp;Demand_previous!$D$3:$AY$3, 0))/1000</f>
        <v>9.3809759615384625</v>
      </c>
      <c r="AR26" s="103">
        <f t="array" ref="AR26">INDEX(Demand_previous!$D$4:$AY$137, MATCH('Staging Table'!$A26, Demand_previous!$B$4:$B$137, 0), MATCH(AR$4&amp;AR$5,Demand_previous!$D$2:$AY$2&amp;Demand_previous!$D$3:$AY$3, 0))/1000</f>
        <v>10.289510000000007</v>
      </c>
      <c r="AS26" s="103">
        <f t="array" ref="AS26">INDEX(Demand_previous!$D$4:$AY$137, MATCH('Staging Table'!$A26, Demand_previous!$B$4:$B$137, 0), MATCH(AS$4&amp;AS$5,Demand_previous!$D$2:$AY$2&amp;Demand_previous!$D$3:$AY$3, 0))/1000</f>
        <v>11.06969951923077</v>
      </c>
      <c r="AT26" s="103">
        <f t="array" ref="AT26">INDEX(Demand_previous!$D$4:$AY$137, MATCH('Staging Table'!$A26, Demand_previous!$B$4:$B$137, 0), MATCH(AT$4&amp;AT$5,Demand_previous!$D$2:$AY$2&amp;Demand_previous!$D$3:$AY$3, 0))/1000</f>
        <v>16.404557870370372</v>
      </c>
      <c r="AU26" s="103">
        <f t="array" ref="AU26">INDEX(Demand_previous!$D$4:$AY$137, MATCH('Staging Table'!$A26, Demand_previous!$B$4:$B$137, 0), MATCH(AU$4&amp;AU$5,Demand_previous!$D$2:$AY$2&amp;Demand_previous!$D$3:$AY$3, 0))/1000</f>
        <v>8.9542656250000014</v>
      </c>
      <c r="AV26" s="102">
        <f>$F26*(VLOOKUP(AV$4, Rates_previous!$G$6:$Q$29, 10, FALSE)+VLOOKUP(AV$4, Rates_previous!$G$6:$Q$29, 11, FALSE))</f>
        <v>14647.26477955185</v>
      </c>
      <c r="AW26" s="102">
        <f>$F26*(VLOOKUP(AW$4, Rates_previous!$G$6:$Q$29, 10, FALSE)+VLOOKUP(AW$4, Rates_previous!$G$6:$Q$29, 11, FALSE))</f>
        <v>18680.092573052101</v>
      </c>
      <c r="AX26" s="102">
        <f>$F26*(VLOOKUP(AX$4, Rates_previous!$G$6:$Q$29, 10, FALSE)+VLOOKUP(AX$4, Rates_previous!$G$6:$Q$29, 11, FALSE))</f>
        <v>20159.515950376503</v>
      </c>
      <c r="AY26" s="102">
        <f>$F26*(VLOOKUP(AY$4, Rates_previous!$G$6:$Q$29, 10, FALSE)+VLOOKUP(AY$4, Rates_previous!$G$6:$Q$29, 11, FALSE))</f>
        <v>20948.853488193599</v>
      </c>
      <c r="AZ26" s="102">
        <f>$F26*(VLOOKUP(AZ$4, Rates_previous!$G$6:$Q$29, 10, FALSE)+VLOOKUP(AZ$4, Rates_previous!$G$6:$Q$29, 11, FALSE))</f>
        <v>18018.806303752197</v>
      </c>
      <c r="BA26" s="102">
        <f>$F26*(VLOOKUP(BA$4, Rates_previous!$G$6:$Q$29, 10, FALSE)+VLOOKUP(BA$4, Rates_previous!$G$6:$Q$29, 11, FALSE))</f>
        <v>19672.968939462899</v>
      </c>
      <c r="BB26" s="102">
        <f>$F26*(VLOOKUP(BB$4, Rates_previous!$G$6:$Q$29, 10, FALSE)+VLOOKUP(BB$4, Rates_previous!$G$6:$Q$29, 11, FALSE))</f>
        <v>15528.493680552074</v>
      </c>
      <c r="BC26" s="102">
        <f>$F26*(VLOOKUP(BC$4, Rates_previous!$G$6:$Q$29, 10, FALSE)+VLOOKUP(BC$4, Rates_previous!$G$6:$Q$29, 11, FALSE))</f>
        <v>19265.17732596735</v>
      </c>
      <c r="BD26" s="102">
        <f>$F26*(VLOOKUP(BD$4, Rates_previous!$G$6:$Q$29, 10, FALSE)+VLOOKUP(BD$4, Rates_previous!$G$6:$Q$29, 11, FALSE))</f>
        <v>19683.183579997949</v>
      </c>
      <c r="BE26" s="102">
        <f>$F26*(VLOOKUP(BE$4, Rates_previous!$G$6:$Q$29, 10, FALSE)+VLOOKUP(BE$4, Rates_previous!$G$6:$Q$29, 11, FALSE))</f>
        <v>17087.839071848848</v>
      </c>
      <c r="BF26" s="102">
        <f>$F26*(VLOOKUP(BF$4, Rates_previous!$G$6:$Q$29, 10, FALSE)+VLOOKUP(BF$4, Rates_previous!$G$6:$Q$29, 11, FALSE))</f>
        <v>16519.398285862066</v>
      </c>
      <c r="BG26" s="102">
        <f>$F26*(VLOOKUP(BG$4, Rates_previous!$G$6:$Q$29, 10, FALSE)+VLOOKUP(BG$4, Rates_previous!$G$6:$Q$29, 11, FALSE))</f>
        <v>15201.045385678202</v>
      </c>
      <c r="BH26" s="103">
        <f>IF($D26=0,IF(C26=0, MAX(BJ26 - (VLOOKUP($A26,TOCA_previous!$A$2:$AJ$136,MATCH("RHWM "&amp;Init!$D$1-2,TOCA_previous!$A$2:$AJ$2,0),FALSE)*$F$2*TOCA_previous!C23),0),0), 0)</f>
        <v>4957.2349874083593</v>
      </c>
      <c r="BI26" s="109">
        <f>MIN(VLOOKUP($A26,TOCA_previous!$A$2:$AJ$136,MATCH("TRL - NLSL - Existing Resource "&amp;$F$1,TOCA_previous!$A$2:$AJ$2,0),FALSE)*$F$2,(VLOOKUP($A26,TOCA_previous!$A$2:$AJ$136,MATCH("RHWM "&amp;Init!$D$1-2,TOCA_previous!$A$2:$AJ$2,0),FALSE)*$F$2))</f>
        <v>210657.88800000001</v>
      </c>
      <c r="BJ26" s="261">
        <f>SUM(L26:AI26)+(F26*RT1SC!$C$3*$F$2)</f>
        <v>215615.12298740837</v>
      </c>
      <c r="BK26" s="260">
        <f>VLOOKUP($A26,TOCA_previous!$A$2:$AJ$136,MATCH("Above RHWM Not Served with LS "&amp;$F$1,TOCA_previous!$A$2:$AJ$2,0),FALSE)*$F$2</f>
        <v>13413.168</v>
      </c>
      <c r="BL26" s="261">
        <f t="shared" si="21"/>
        <v>4957.2349874083593</v>
      </c>
      <c r="BM26" s="260">
        <f>(VLOOKUP($A26,TOCA_previous!$A$2:$AJ$136,MATCH("RHWM "&amp;Init!$D$1-2,TOCA_previous!$A$2:$AJ$2,0),FALSE)*$F$2) - $BI26</f>
        <v>0</v>
      </c>
      <c r="BN26" s="261">
        <f t="shared" si="22"/>
        <v>0</v>
      </c>
      <c r="BO26" s="260">
        <f t="shared" si="23"/>
        <v>0</v>
      </c>
      <c r="BP26" s="261">
        <f t="shared" si="24"/>
        <v>0</v>
      </c>
      <c r="BQ26" s="260">
        <f t="shared" si="9"/>
        <v>0</v>
      </c>
      <c r="BR26" s="85">
        <f>VLOOKUP($A26,TOCA_current!$A$2:$ZZ$136,MATCH(BR$4,TOCA_current!$A$2:$ZZ$2,0),FALSE)</f>
        <v>3.3926E-3</v>
      </c>
      <c r="BS26" s="85">
        <f>VLOOKUP($A26,TOCA_current!$A$2:$ZZ$136,MATCH(BS$4,TOCA_current!$A$2:$ZZ$2,0),FALSE)</f>
        <v>3.3926E-3</v>
      </c>
      <c r="BT26" s="108">
        <f t="shared" si="25"/>
        <v>0</v>
      </c>
      <c r="BU26" s="85">
        <f>VLOOKUP($A26,TOCA_current!A23:BG157,MATCH(BU$4,TOCA_current!$A$2:$BG$2,0),FALSE)</f>
        <v>0</v>
      </c>
      <c r="BV26" s="85">
        <f t="shared" si="26"/>
        <v>0</v>
      </c>
      <c r="BW26" s="85">
        <f t="shared" si="27"/>
        <v>0</v>
      </c>
      <c r="BX26" s="101">
        <f>VLOOKUP($A26,IRD!$A$4:$G$138, 7, FALSE)</f>
        <v>0</v>
      </c>
      <c r="BY26" s="102">
        <f t="array" ref="BY26">IF($BT26=0, INDEX(LS_current!$D$4:$BW$137, MATCH('Staging Table'!$A26, LS_current!$B$4:$B$137, 0), MATCH(BY$4&amp;BY$5, LS_current!$D$2:$BW$2&amp;LS_current!$D$3:$BW$3, 0)),SUM(VLOOKUP($A26, LS_current!$B$4:$BW$137, LS_current!D$147, FALSE), VLOOKUP($A26, LS_current!$B$4:$BW$137,LS_current!AZ$147, FALSE))/2)</f>
        <v>2217.1344247113848</v>
      </c>
      <c r="BZ26" s="102">
        <f t="array" ref="BZ26">IF($BT26=0, INDEX(LS_current!$D$4:$BW$137, MATCH('Staging Table'!$A26, LS_current!$B$4:$B$137, 0), MATCH(BZ$4&amp;BZ$5, LS_current!$D$2:$BW$2&amp;LS_current!$D$3:$BW$3, 0)),SUM(VLOOKUP($A26, LS_current!$B$4:$BW$137, LS_current!E$147, FALSE), VLOOKUP($A26, LS_current!$B$4:$BW$137,LS_current!BA$147, FALSE))/2)</f>
        <v>1048.1578340896476</v>
      </c>
      <c r="CA26" s="102">
        <f t="array" ref="CA26">IF($BT26=0, INDEX(LS_current!$D$4:$BW$137, MATCH('Staging Table'!$A26, LS_current!$B$4:$B$137, 0), MATCH(CA$4&amp;CA$5, LS_current!$D$2:$BW$2&amp;LS_current!$D$3:$BW$3, 0)),SUM(VLOOKUP($A26, LS_current!$B$4:$BW$137, LS_current!F$147, FALSE), VLOOKUP($A26, LS_current!$B$4:$BW$137,LS_current!BB$147, FALSE))/2)</f>
        <v>4.9641371618927224</v>
      </c>
      <c r="CB26" s="102">
        <f t="array" ref="CB26">IF($BT26=0, INDEX(LS_current!$D$4:$BW$137, MATCH('Staging Table'!$A26, LS_current!$B$4:$B$137, 0), MATCH(CB$4&amp;CB$5, LS_current!$D$2:$BW$2&amp;LS_current!$D$3:$BW$3, 0)),SUM(VLOOKUP($A26, LS_current!$B$4:$BW$137, LS_current!G$147, FALSE), VLOOKUP($A26, LS_current!$B$4:$BW$137,LS_current!BC$147, FALSE))/2)</f>
        <v>-38.702476452368501</v>
      </c>
      <c r="CC26" s="102">
        <f t="array" ref="CC26">IF($BT26=0, INDEX(LS_current!$D$4:$BW$137, MATCH('Staging Table'!$A26, LS_current!$B$4:$B$137, 0), MATCH(CC$4&amp;CC$5, LS_current!$D$2:$BW$2&amp;LS_current!$D$3:$BW$3, 0)),SUM(VLOOKUP($A26, LS_current!$B$4:$BW$137, LS_current!H$147, FALSE), VLOOKUP($A26, LS_current!$B$4:$BW$137,LS_current!BD$147, FALSE))/2)</f>
        <v>452.46605811227164</v>
      </c>
      <c r="CD26" s="102">
        <f t="array" ref="CD26">IF($BT26=0, INDEX(LS_current!$D$4:$BW$137, MATCH('Staging Table'!$A26, LS_current!$B$4:$B$137, 0), MATCH(CD$4&amp;CD$5, LS_current!$D$2:$BW$2&amp;LS_current!$D$3:$BW$3, 0)),SUM(VLOOKUP($A26, LS_current!$B$4:$BW$137, LS_current!I$147, FALSE), VLOOKUP($A26, LS_current!$B$4:$BW$137,LS_current!BE$147, FALSE))/2)</f>
        <v>2140.6347459898952</v>
      </c>
      <c r="CE26" s="102">
        <f t="array" ref="CE26">IF($BT26=0, INDEX(LS_current!$D$4:$BW$137, MATCH('Staging Table'!$A26, LS_current!$B$4:$B$137, 0), MATCH(CE$4&amp;CE$5, LS_current!$D$2:$BW$2&amp;LS_current!$D$3:$BW$3, 0)),SUM(VLOOKUP($A26, LS_current!$B$4:$BW$137, LS_current!J$147, FALSE), VLOOKUP($A26, LS_current!$B$4:$BW$137,LS_current!BF$147, FALSE))/2)</f>
        <v>585.34736250495553</v>
      </c>
      <c r="CF26" s="102">
        <f t="array" ref="CF26">IF($BT26=0, INDEX(LS_current!$D$4:$BW$137, MATCH('Staging Table'!$A26, LS_current!$B$4:$B$137, 0), MATCH(CF$4&amp;CF$5, LS_current!$D$2:$BW$2&amp;LS_current!$D$3:$BW$3, 0)),SUM(VLOOKUP($A26, LS_current!$B$4:$BW$137, LS_current!K$147, FALSE), VLOOKUP($A26, LS_current!$B$4:$BW$137,LS_current!BG$147, FALSE))/2)</f>
        <v>1709.6353975695256</v>
      </c>
      <c r="CG26" s="102">
        <f t="array" ref="CG26">IF($BT26=0, INDEX(LS_current!$D$4:$BW$137, MATCH('Staging Table'!$A26, LS_current!$B$4:$B$137, 0), MATCH(CG$4&amp;CG$5, LS_current!$D$2:$BW$2&amp;LS_current!$D$3:$BW$3, 0)),SUM(VLOOKUP($A26, LS_current!$B$4:$BW$137, LS_current!L$147, FALSE), VLOOKUP($A26, LS_current!$B$4:$BW$137,LS_current!BH$147, FALSE))/2)</f>
        <v>196.70061727729444</v>
      </c>
      <c r="CH26" s="102">
        <f t="array" ref="CH26">IF($BT26=0, INDEX(LS_current!$D$4:$BW$137, MATCH('Staging Table'!$A26, LS_current!$B$4:$B$137, 0), MATCH(CH$4&amp;CH$5, LS_current!$D$2:$BW$2&amp;LS_current!$D$3:$BW$3, 0)),SUM(VLOOKUP($A26, LS_current!$B$4:$BW$137, LS_current!M$147, FALSE), VLOOKUP($A26, LS_current!$B$4:$BW$137,LS_current!BI$147, FALSE))/2)</f>
        <v>441.6873146107373</v>
      </c>
      <c r="CI26" s="102">
        <f t="array" ref="CI26">IF($BT26=0, INDEX(LS_current!$D$4:$BW$137, MATCH('Staging Table'!$A26, LS_current!$B$4:$B$137, 0), MATCH(CI$4&amp;CI$5, LS_current!$D$2:$BW$2&amp;LS_current!$D$3:$BW$3, 0)),SUM(VLOOKUP($A26, LS_current!$B$4:$BW$137, LS_current!N$147, FALSE), VLOOKUP($A26, LS_current!$B$4:$BW$137,LS_current!BJ$147, FALSE))/2)</f>
        <v>-859.25904183382409</v>
      </c>
      <c r="CJ26" s="102">
        <f t="array" ref="CJ26">IF($BT26=0, INDEX(LS_current!$D$4:$BW$137, MATCH('Staging Table'!$A26, LS_current!$B$4:$B$137, 0), MATCH(CJ$4&amp;CJ$5, LS_current!$D$2:$BW$2&amp;LS_current!$D$3:$BW$3, 0)),SUM(VLOOKUP($A26, LS_current!$B$4:$BW$137, LS_current!O$147, FALSE), VLOOKUP($A26, LS_current!$B$4:$BW$137,LS_current!BK$147, FALSE))/2)</f>
        <v>425.32081972478227</v>
      </c>
      <c r="CK26" s="102">
        <f t="array" ref="CK26">IF($BT26=0, INDEX(LS_current!$D$4:$BW$137, MATCH('Staging Table'!$A26, LS_current!$B$4:$B$137, 0), MATCH(CK$4&amp;CK$5, LS_current!$D$2:$BW$2&amp;LS_current!$D$3:$BW$3, 0)),SUM(VLOOKUP($A26, LS_current!$B$4:$BW$137, LS_current!P$147, FALSE), VLOOKUP($A26, LS_current!$B$4:$BW$137,LS_current!BL$147, FALSE))/2)</f>
        <v>1270.512999624536</v>
      </c>
      <c r="CL26" s="102">
        <f t="array" ref="CL26">IF($BT26=0, INDEX(LS_current!$D$4:$BW$137, MATCH('Staging Table'!$A26, LS_current!$B$4:$B$137, 0), MATCH(CL$4&amp;CL$5, LS_current!$D$2:$BW$2&amp;LS_current!$D$3:$BW$3, 0)),SUM(VLOOKUP($A26, LS_current!$B$4:$BW$137, LS_current!Q$147, FALSE), VLOOKUP($A26, LS_current!$B$4:$BW$137,LS_current!BM$147, FALSE))/2)</f>
        <v>563.33255158248539</v>
      </c>
      <c r="CM26" s="102">
        <f t="array" ref="CM26">IF($BT26=0, INDEX(LS_current!$D$4:$BW$137, MATCH('Staging Table'!$A26, LS_current!$B$4:$B$137, 0), MATCH(CM$4&amp;CM$5, LS_current!$D$2:$BW$2&amp;LS_current!$D$3:$BW$3, 0)),SUM(VLOOKUP($A26, LS_current!$B$4:$BW$137, LS_current!R$147, FALSE), VLOOKUP($A26, LS_current!$B$4:$BW$137,LS_current!BN$147, FALSE))/2)</f>
        <v>-2247.2384871200265</v>
      </c>
      <c r="CN26" s="102">
        <f t="array" ref="CN26">IF($BT26=0, INDEX(LS_current!$D$4:$BW$137, MATCH('Staging Table'!$A26, LS_current!$B$4:$B$137, 0), MATCH(CN$4&amp;CN$5, LS_current!$D$2:$BW$2&amp;LS_current!$D$3:$BW$3, 0)),SUM(VLOOKUP($A26, LS_current!$B$4:$BW$137, LS_current!S$147, FALSE), VLOOKUP($A26, LS_current!$B$4:$BW$137,LS_current!BO$147, FALSE))/2)</f>
        <v>-1798.2849783618003</v>
      </c>
      <c r="CO26" s="102">
        <f t="array" ref="CO26">IF($BT26=0, INDEX(LS_current!$D$4:$BW$137, MATCH('Staging Table'!$A26, LS_current!$B$4:$B$137, 0), MATCH(CO$4&amp;CO$5, LS_current!$D$2:$BW$2&amp;LS_current!$D$3:$BW$3, 0)),SUM(VLOOKUP($A26, LS_current!$B$4:$BW$137, LS_current!T$147, FALSE), VLOOKUP($A26, LS_current!$B$4:$BW$137,LS_current!BP$147, FALSE))/2)</f>
        <v>-3340.948146840552</v>
      </c>
      <c r="CP26" s="102">
        <f t="array" ref="CP26">IF($BT26=0, INDEX(LS_current!$D$4:$BW$137, MATCH('Staging Table'!$A26, LS_current!$B$4:$B$137, 0), MATCH(CP$4&amp;CP$5, LS_current!$D$2:$BW$2&amp;LS_current!$D$3:$BW$3, 0)),SUM(VLOOKUP($A26, LS_current!$B$4:$BW$137, LS_current!U$147, FALSE), VLOOKUP($A26, LS_current!$B$4:$BW$137,LS_current!BQ$147, FALSE))/2)</f>
        <v>-1465.4867827316993</v>
      </c>
      <c r="CQ26" s="102">
        <f t="array" ref="CQ26">IF($BT26=0, INDEX(LS_current!$D$4:$BW$137, MATCH('Staging Table'!$A26, LS_current!$B$4:$B$137, 0), MATCH(CQ$4&amp;CQ$5, LS_current!$D$2:$BW$2&amp;LS_current!$D$3:$BW$3, 0)),SUM(VLOOKUP($A26, LS_current!$B$4:$BW$137, LS_current!V$147, FALSE), VLOOKUP($A26, LS_current!$B$4:$BW$137,LS_current!BR$147, FALSE))/2)</f>
        <v>-960.37106097270225</v>
      </c>
      <c r="CR26" s="102">
        <f t="array" ref="CR26">IF($BT26=0, INDEX(LS_current!$D$4:$BW$137, MATCH('Staging Table'!$A26, LS_current!$B$4:$B$137, 0), MATCH(CR$4&amp;CR$5, LS_current!$D$2:$BW$2&amp;LS_current!$D$3:$BW$3, 0)),SUM(VLOOKUP($A26, LS_current!$B$4:$BW$137, LS_current!W$147, FALSE), VLOOKUP($A26, LS_current!$B$4:$BW$137,LS_current!BS$147, FALSE))/2)</f>
        <v>-199.51236620448526</v>
      </c>
      <c r="CS26" s="102">
        <f t="array" ref="CS26">IF($BT26=0, INDEX(LS_current!$D$4:$BW$137, MATCH('Staging Table'!$A26, LS_current!$B$4:$B$137, 0), MATCH(CS$4&amp;CS$5, LS_current!$D$2:$BW$2&amp;LS_current!$D$3:$BW$3, 0)),SUM(VLOOKUP($A26, LS_current!$B$4:$BW$137, LS_current!X$147, FALSE), VLOOKUP($A26, LS_current!$B$4:$BW$137,LS_current!BT$147, FALSE))/2)</f>
        <v>-1409.3324938145361</v>
      </c>
      <c r="CT26" s="102">
        <f t="array" ref="CT26">IF($BT26=0, INDEX(LS_current!$D$4:$BW$137, MATCH('Staging Table'!$A26, LS_current!$B$4:$B$137, 0), MATCH(CT$4&amp;CT$5, LS_current!$D$2:$BW$2&amp;LS_current!$D$3:$BW$3, 0)),SUM(VLOOKUP($A26, LS_current!$B$4:$BW$137, LS_current!Y$147, FALSE), VLOOKUP($A26, LS_current!$B$4:$BW$137,LS_current!BU$147, FALSE))/2)</f>
        <v>-340.1131892907506</v>
      </c>
      <c r="CU26" s="102">
        <f t="array" ref="CU26">IF($BT26=0, INDEX(LS_current!$D$4:$BW$137, MATCH('Staging Table'!$A26, LS_current!$B$4:$B$137, 0), MATCH(CU$4&amp;CU$5, LS_current!$D$2:$BW$2&amp;LS_current!$D$3:$BW$3, 0)),SUM(VLOOKUP($A26, LS_current!$B$4:$BW$137, LS_current!Z$147, FALSE), VLOOKUP($A26, LS_current!$B$4:$BW$137,LS_current!BV$147, FALSE))/2)</f>
        <v>831.3148575236828</v>
      </c>
      <c r="CV26" s="102">
        <f t="array" ref="CV26">IF($BT26=0, INDEX(LS_current!$D$4:$BW$137, MATCH('Staging Table'!$A26, LS_current!$B$4:$B$137, 0), MATCH(CV$4&amp;CV$5, LS_current!$D$2:$BW$2&amp;LS_current!$D$3:$BW$3, 0)),SUM(VLOOKUP($A26, LS_current!$B$4:$BW$137, LS_current!AA$147, FALSE), VLOOKUP($A26, LS_current!$B$4:$BW$137,LS_current!BW$147, FALSE))/2)</f>
        <v>771.31520638964503</v>
      </c>
      <c r="CW26" s="103">
        <f t="array" ref="CW26">INDEX(Demand_current!$D$4:$BW$137, MATCH($A26, Demand_current!$B$4:$B$137, 0), MATCH(CW$4&amp;CW$5,Demand_current!$D$2:$BW$2&amp;Demand_current!$D$3:$BW$3, 0))/1000</f>
        <v>5.9589282407407369</v>
      </c>
      <c r="CX26" s="103">
        <f t="array" ref="CX26">INDEX(Demand_current!$D$4:$BW$137, MATCH($A26, Demand_current!$B$4:$B$137, 0), MATCH(CX$4&amp;CX$5,Demand_current!$D$2:$BW$2&amp;Demand_current!$D$3:$BW$3, 0))/1000</f>
        <v>4.5739375000000067</v>
      </c>
      <c r="CY26" s="103">
        <f t="array" ref="CY26">INDEX(Demand_current!$D$4:$BW$137, MATCH($A26, Demand_current!$B$4:$B$137, 0), MATCH(CY$4&amp;CY$5,Demand_current!$D$2:$BW$2&amp;Demand_current!$D$3:$BW$3, 0))/1000</f>
        <v>7.6856682692307672</v>
      </c>
      <c r="CZ26" s="103">
        <f t="array" ref="CZ26">INDEX(Demand_current!$D$4:$BW$137, MATCH($A26, Demand_current!$B$4:$B$137, 0), MATCH(CZ$4&amp;CZ$5,Demand_current!$D$2:$BW$2&amp;Demand_current!$D$3:$BW$3, 0))/1000</f>
        <v>9.6709423076923073</v>
      </c>
      <c r="DA26" s="103">
        <f t="array" ref="DA26">INDEX(Demand_current!$D$4:$BW$137, MATCH($A26, Demand_current!$B$4:$B$137, 0), MATCH(DA$4&amp;DA$5,Demand_current!$D$2:$BW$2&amp;Demand_current!$D$3:$BW$3, 0))/1000</f>
        <v>7.773888020833331</v>
      </c>
      <c r="DB26" s="103">
        <f t="array" ref="DB26">INDEX(Demand_current!$D$4:$BW$137, MATCH($A26, Demand_current!$B$4:$B$137, 0), MATCH(DB$4&amp;DB$5,Demand_current!$D$2:$BW$2&amp;Demand_current!$D$3:$BW$3, 0))/1000</f>
        <v>6.8358413461538508</v>
      </c>
      <c r="DC26" s="103">
        <f t="array" ref="DC26">INDEX(Demand_current!$D$4:$BW$137, MATCH($A26, Demand_current!$B$4:$B$137, 0), MATCH(DC$4&amp;DC$5,Demand_current!$D$2:$BW$2&amp;Demand_current!$D$3:$BW$3, 0))/1000</f>
        <v>8.0046899038461525</v>
      </c>
      <c r="DD26" s="103">
        <f t="array" ref="DD26">INDEX(Demand_current!$D$4:$BW$137, MATCH($A26, Demand_current!$B$4:$B$137, 0), MATCH(DD$4&amp;DD$5,Demand_current!$D$2:$BW$2&amp;Demand_current!$D$3:$BW$3, 0))/1000</f>
        <v>8.4206149999999997</v>
      </c>
      <c r="DE26" s="103">
        <f t="array" ref="DE26">INDEX(Demand_current!$D$4:$BW$137, MATCH($A26, Demand_current!$B$4:$B$137, 0), MATCH(DE$4&amp;DE$5,Demand_current!$D$2:$BW$2&amp;Demand_current!$D$3:$BW$3, 0))/1000</f>
        <v>11.256913461538467</v>
      </c>
      <c r="DF26" s="103">
        <f t="array" ref="DF26">INDEX(Demand_current!$D$4:$BW$137, MATCH($A26, Demand_current!$B$4:$B$137, 0), MATCH(DF$4&amp;DF$5,Demand_current!$D$2:$BW$2&amp;Demand_current!$D$3:$BW$3, 0))/1000</f>
        <v>11.06969951923077</v>
      </c>
      <c r="DG26" s="103">
        <f t="array" ref="DG26">INDEX(Demand_current!$D$4:$BW$137, MATCH($A26, Demand_current!$B$4:$B$137, 0), MATCH(DG$4&amp;DG$5,Demand_current!$D$2:$BW$2&amp;Demand_current!$D$3:$BW$3, 0))/1000</f>
        <v>15.413733173076924</v>
      </c>
      <c r="DH26" s="103">
        <f t="array" ref="DH26">INDEX(Demand_current!$D$4:$BW$137, MATCH($A26, Demand_current!$B$4:$B$137, 0), MATCH(DH$4&amp;DH$5,Demand_current!$D$2:$BW$2&amp;Demand_current!$D$3:$BW$3, 0))/1000</f>
        <v>10.011215</v>
      </c>
      <c r="DI26" s="102">
        <f>$BS26*(VLOOKUP(DI$4, Rates_current!$H$6:$R$41, 10, FALSE)+VLOOKUP(DI$4, Rates_current!$H$6:$R$41, 11, FALSE))</f>
        <v>14080.265741198969</v>
      </c>
      <c r="DJ26" s="102">
        <f>$BS26*(VLOOKUP(DJ$4, Rates_current!$H$6:$R$41, 10, FALSE)+VLOOKUP(DJ$4, Rates_current!$H$6:$R$41, 11, FALSE))</f>
        <v>18001.156339290479</v>
      </c>
      <c r="DK26" s="102">
        <f>$BS26*(VLOOKUP(DK$4, Rates_current!$H$6:$R$41, 10, FALSE)+VLOOKUP(DK$4, Rates_current!$H$6:$R$41, 11, FALSE))</f>
        <v>20465.809195897829</v>
      </c>
      <c r="DL26" s="102">
        <f>$BS26*(VLOOKUP(DL$4, Rates_current!$H$6:$R$41, 10, FALSE)+VLOOKUP(DL$4, Rates_current!$H$6:$R$41, 11, FALSE))</f>
        <v>21593.026239925519</v>
      </c>
      <c r="DM26" s="102">
        <f>$BS26*(VLOOKUP(DM$4, Rates_current!$H$6:$R$41, 10, FALSE)+VLOOKUP(DM$4, Rates_current!$H$6:$R$41, 11, FALSE))</f>
        <v>17207.69306811197</v>
      </c>
      <c r="DN26" s="102">
        <f>$BS26*(VLOOKUP(DN$4, Rates_current!$H$6:$R$41, 10, FALSE)+VLOOKUP(DN$4, Rates_current!$H$6:$R$41, 11, FALSE))</f>
        <v>18811.542222109041</v>
      </c>
      <c r="DO26" s="102">
        <f>$BS26*(VLOOKUP(DO$4, Rates_current!$H$6:$R$41, 10, FALSE)+VLOOKUP(DO$4, Rates_current!$H$6:$R$41, 11, FALSE))</f>
        <v>14579.134448792978</v>
      </c>
      <c r="DP26" s="102">
        <f>$BS26*(VLOOKUP(DP$4, Rates_current!$H$6:$R$41, 10, FALSE)+VLOOKUP(DP$4, Rates_current!$H$6:$R$41, 11, FALSE))</f>
        <v>18867.800465481825</v>
      </c>
      <c r="DQ26" s="102">
        <f>$BS26*(VLOOKUP(DQ$4, Rates_current!$H$6:$R$41, 10, FALSE)+VLOOKUP(DQ$4, Rates_current!$H$6:$R$41, 11, FALSE))</f>
        <v>19270.682929572253</v>
      </c>
      <c r="DR26" s="102">
        <f>$BS26*(VLOOKUP(DR$4, Rates_current!$H$6:$R$41, 10, FALSE)+VLOOKUP(DR$4, Rates_current!$H$6:$R$41, 11, FALSE))</f>
        <v>17152.574427177187</v>
      </c>
      <c r="DS26" s="102">
        <f>$BS26*(VLOOKUP(DS$4, Rates_current!$H$6:$R$41, 10, FALSE)+VLOOKUP(DS$4, Rates_current!$H$6:$R$41, 11, FALSE))</f>
        <v>17595.395683105286</v>
      </c>
      <c r="DT26" s="102">
        <f>$BS26*(VLOOKUP(DT$4, Rates_current!$H$6:$R$41, 10, FALSE)+VLOOKUP(DT$4, Rates_current!$H$6:$R$41, 11, FALSE))</f>
        <v>13664.933936086672</v>
      </c>
      <c r="DU26" s="261">
        <f>IF(D26=0,IF(C26=0,MAX(0,DW26 - (VLOOKUP($A26,TOCA_current!$A$2:$AV$136,MATCH("RHWM "&amp;Init!$D$1,TOCA_current!$A$2:$AV$2,0),FALSE)*$BS$2)), 0),0)</f>
        <v>0</v>
      </c>
      <c r="DV26" s="262">
        <f>MIN(VLOOKUP($A26,TOCA_current!$A$2:$AV$136,MATCH("TRL - NLSL - Existing Resource "&amp;$BS$1,TOCA_current!$A$2:$AV$2,0),FALSE)*$BS$2, VLOOKUP($A26,TOCA_current!$A$2:$AV$136,MATCH("RHWM "&amp;Init!$D$1,TOCA_current!$A$2:$AV$2,0),FALSE)*$BS$2)</f>
        <v>211291.2</v>
      </c>
      <c r="DW26" s="262">
        <f>SUM(BY26:CV26)+(BS26*RT1SC!$C$4*$BS$2)</f>
        <v>211289.30247240202</v>
      </c>
      <c r="DX26" s="262">
        <f>VLOOKUP($A26,TOCA_current!$A$2:$AV$136,MATCH("Above RHWM Not Served with LS "&amp;$BS$1,TOCA_current!$A$2:$AV$2,0),FALSE)*$BS$2</f>
        <v>17739</v>
      </c>
      <c r="DY26" s="262">
        <f t="shared" si="28"/>
        <v>-1.8975275979901198</v>
      </c>
      <c r="DZ26" s="262">
        <f>(VLOOKUP($A26,TOCA_current!$A$2:$AV$136,MATCH("RHWM "&amp;Init!$D$1,TOCA_current!$A$2:$AV$2,0),FALSE)*$BS$2) - $DV26</f>
        <v>0</v>
      </c>
      <c r="EA26" s="262">
        <f t="shared" si="29"/>
        <v>0</v>
      </c>
      <c r="EB26" s="262">
        <f t="shared" si="30"/>
        <v>0</v>
      </c>
      <c r="EC26" s="262">
        <f t="shared" si="31"/>
        <v>0</v>
      </c>
      <c r="ED26" s="262">
        <f t="shared" si="32"/>
        <v>0</v>
      </c>
    </row>
    <row r="27" spans="1:134">
      <c r="A27" s="2">
        <v>10074</v>
      </c>
      <c r="B27" s="3" t="s">
        <v>29</v>
      </c>
      <c r="C27">
        <f>VLOOKUP(A27, TOCA_current!$A$3:$D$136, 4, FALSE)</f>
        <v>0</v>
      </c>
      <c r="D27">
        <v>0</v>
      </c>
      <c r="E27" s="84">
        <f>VLOOKUP($A27,TOCA_previous!$A$2:$AJ$136,MATCH(E$4,TOCA_previous!$A$2:$AJ$2,0),FALSE)</f>
        <v>3.8628E-3</v>
      </c>
      <c r="F27" s="85">
        <f>VLOOKUP($A27,TOCA_previous!$A$2:$AJ$136,MATCH(F$4,TOCA_previous!$A$2:$AJ$2,0),FALSE)</f>
        <v>3.8628E-3</v>
      </c>
      <c r="G27" s="85">
        <f t="shared" si="18"/>
        <v>0</v>
      </c>
      <c r="H27" s="85">
        <f>VLOOKUP($A27,TOCA_previous!$A$2:$AJ$136,MATCH(H$4,TOCA_previous!$A$2:$AJ$2,0),FALSE)</f>
        <v>0</v>
      </c>
      <c r="I27" s="85">
        <f t="shared" si="19"/>
        <v>0</v>
      </c>
      <c r="J27" s="85">
        <f t="shared" si="20"/>
        <v>0</v>
      </c>
      <c r="K27" s="101">
        <f>VLOOKUP(A27, IRD!$A$5:$C$138, 3, FALSE)</f>
        <v>0</v>
      </c>
      <c r="L27" s="102">
        <f t="array" ref="L27">IF($G27=0, INDEX(LS_previous!$D$4:$AY$137, MATCH('Staging Table'!$A27, LS_previous!$B$4:$B$137, 0), MATCH(L$4&amp;L$5, LS_previous!$D$2:$AY$2&amp;LS_previous!$D$3:$AY$3, 0)),SUM(VLOOKUP($A27, LS_previous!$B$4:$AY$137, LS_previous!D$148, FALSE), VLOOKUP('Staging Table'!$A27, LS_previous!$B$4:$AY$137,LS_previous!AB$148, FALSE))/2)</f>
        <v>3779.9181777391987</v>
      </c>
      <c r="M27" s="102">
        <f t="array" ref="M27">IF($G27=0, INDEX(LS_previous!$D$4:$AY$137, MATCH('Staging Table'!$A27, LS_previous!$B$4:$B$137, 0), MATCH(M$4&amp;M$5, LS_previous!$D$2:$AY$2&amp;LS_previous!$D$3:$AY$3, 0)),SUM(VLOOKUP($A27, LS_previous!$B$4:$AY$137, LS_previous!E$148, FALSE), VLOOKUP('Staging Table'!$A27, LS_previous!$B$4:$AY$137,LS_previous!AC$148, FALSE))/2)</f>
        <v>483.15965233860061</v>
      </c>
      <c r="N27" s="102">
        <f t="array" ref="N27">IF($G27=0, INDEX(LS_previous!$D$4:$AY$137, MATCH('Staging Table'!$A27, LS_previous!$B$4:$B$137, 0), MATCH(N$4&amp;N$5, LS_previous!$D$2:$AY$2&amp;LS_previous!$D$3:$AY$3, 0)),SUM(VLOOKUP($A27, LS_previous!$B$4:$AY$137, LS_previous!F$148, FALSE), VLOOKUP('Staging Table'!$A27, LS_previous!$B$4:$AY$137,LS_previous!AD$148, FALSE))/2)</f>
        <v>232.45234940159753</v>
      </c>
      <c r="O27" s="102">
        <f t="array" ref="O27">IF($G27=0, INDEX(LS_previous!$D$4:$AY$137, MATCH('Staging Table'!$A27, LS_previous!$B$4:$B$137, 0), MATCH(O$4&amp;O$5, LS_previous!$D$2:$AY$2&amp;LS_previous!$D$3:$AY$3, 0)),SUM(VLOOKUP($A27, LS_previous!$B$4:$AY$137, LS_previous!G$148, FALSE), VLOOKUP('Staging Table'!$A27, LS_previous!$B$4:$AY$137,LS_previous!AE$148, FALSE))/2)</f>
        <v>331.75402417319947</v>
      </c>
      <c r="P27" s="102">
        <f t="array" ref="P27">IF($G27=0, INDEX(LS_previous!$D$4:$AY$137, MATCH('Staging Table'!$A27, LS_previous!$B$4:$B$137, 0), MATCH(P$4&amp;P$5, LS_previous!$D$2:$AY$2&amp;LS_previous!$D$3:$AY$3, 0)),SUM(VLOOKUP($A27, LS_previous!$B$4:$AY$137, LS_previous!H$148, FALSE), VLOOKUP('Staging Table'!$A27, LS_previous!$B$4:$AY$137,LS_previous!AF$148, FALSE))/2)</f>
        <v>2151.5566873907974</v>
      </c>
      <c r="Q27" s="102">
        <f t="array" ref="Q27">IF($G27=0, INDEX(LS_previous!$D$4:$AY$137, MATCH('Staging Table'!$A27, LS_previous!$B$4:$B$137, 0), MATCH(Q$4&amp;Q$5, LS_previous!$D$2:$AY$2&amp;LS_previous!$D$3:$AY$3, 0)),SUM(VLOOKUP($A27, LS_previous!$B$4:$AY$137, LS_previous!I$148, FALSE), VLOOKUP('Staging Table'!$A27, LS_previous!$B$4:$AY$137,LS_previous!AG$148, FALSE))/2)</f>
        <v>547.97655109120024</v>
      </c>
      <c r="R27" s="102">
        <f t="array" ref="R27">IF($G27=0, INDEX(LS_previous!$D$4:$AY$137, MATCH('Staging Table'!$A27, LS_previous!$B$4:$B$137, 0), MATCH(R$4&amp;R$5, LS_previous!$D$2:$AY$2&amp;LS_previous!$D$3:$AY$3, 0)),SUM(VLOOKUP($A27, LS_previous!$B$4:$AY$137, LS_previous!J$148, FALSE), VLOOKUP('Staging Table'!$A27, LS_previous!$B$4:$AY$137,LS_previous!AH$148, FALSE))/2)</f>
        <v>1127.6360432980018</v>
      </c>
      <c r="S27" s="102">
        <f t="array" ref="S27">IF($G27=0, INDEX(LS_previous!$D$4:$AY$137, MATCH('Staging Table'!$A27, LS_previous!$B$4:$B$137, 0), MATCH(S$4&amp;S$5, LS_previous!$D$2:$AY$2&amp;LS_previous!$D$3:$AY$3, 0)),SUM(VLOOKUP($A27, LS_previous!$B$4:$AY$137, LS_previous!K$148, FALSE), VLOOKUP('Staging Table'!$A27, LS_previous!$B$4:$AY$137,LS_previous!AI$148, FALSE))/2)</f>
        <v>536.49442157880003</v>
      </c>
      <c r="T27" s="102">
        <f t="array" ref="T27">IF($G27=0, INDEX(LS_previous!$D$4:$AY$137, MATCH('Staging Table'!$A27, LS_previous!$B$4:$B$137, 0), MATCH(T$4&amp;T$5, LS_previous!$D$2:$AY$2&amp;LS_previous!$D$3:$AY$3, 0)),SUM(VLOOKUP($A27, LS_previous!$B$4:$AY$137, LS_previous!L$148, FALSE), VLOOKUP('Staging Table'!$A27, LS_previous!$B$4:$AY$137,LS_previous!AJ$148, FALSE))/2)</f>
        <v>2234.1829185988008</v>
      </c>
      <c r="U27" s="102">
        <f t="array" ref="U27">IF($G27=0, INDEX(LS_previous!$D$4:$AY$137, MATCH('Staging Table'!$A27, LS_previous!$B$4:$B$137, 0), MATCH(U$4&amp;U$5, LS_previous!$D$2:$AY$2&amp;LS_previous!$D$3:$AY$3, 0)),SUM(VLOOKUP($A27, LS_previous!$B$4:$AY$137, LS_previous!M$148, FALSE), VLOOKUP('Staging Table'!$A27, LS_previous!$B$4:$AY$137,LS_previous!AK$148, FALSE))/2)</f>
        <v>1222.4647127747985</v>
      </c>
      <c r="V27" s="102">
        <f t="array" ref="V27">IF($G27=0, INDEX(LS_previous!$D$4:$AY$137, MATCH('Staging Table'!$A27, LS_previous!$B$4:$B$137, 0), MATCH(V$4&amp;V$5, LS_previous!$D$2:$AY$2&amp;LS_previous!$D$3:$AY$3, 0)),SUM(VLOOKUP($A27, LS_previous!$B$4:$AY$137, LS_previous!N$148, FALSE), VLOOKUP('Staging Table'!$A27, LS_previous!$B$4:$AY$137,LS_previous!AL$148, FALSE))/2)</f>
        <v>1495.4674503036022</v>
      </c>
      <c r="W27" s="102">
        <f t="array" ref="W27">IF($G27=0, INDEX(LS_previous!$D$4:$AY$137, MATCH('Staging Table'!$A27, LS_previous!$B$4:$B$137, 0), MATCH(W$4&amp;W$5, LS_previous!$D$2:$AY$2&amp;LS_previous!$D$3:$AY$3, 0)),SUM(VLOOKUP($A27, LS_previous!$B$4:$AY$137, LS_previous!O$148, FALSE), VLOOKUP('Staging Table'!$A27, LS_previous!$B$4:$AY$137,LS_previous!AM$148, FALSE))/2)</f>
        <v>441.52195594160003</v>
      </c>
      <c r="X27" s="102">
        <f t="array" ref="X27">IF($G27=0, INDEX(LS_previous!$D$4:$AY$137, MATCH('Staging Table'!$A27, LS_previous!$B$4:$B$137, 0), MATCH(X$4&amp;X$5, LS_previous!$D$2:$AY$2&amp;LS_previous!$D$3:$AY$3, 0)),SUM(VLOOKUP($A27, LS_previous!$B$4:$AY$137, LS_previous!P$148, FALSE), VLOOKUP('Staging Table'!$A27, LS_previous!$B$4:$AY$137,LS_previous!AN$148, FALSE))/2)</f>
        <v>3204.9172370730012</v>
      </c>
      <c r="Y27" s="102">
        <f t="array" ref="Y27">IF($G27=0, INDEX(LS_previous!$D$4:$AY$137, MATCH('Staging Table'!$A27, LS_previous!$B$4:$B$137, 0), MATCH(Y$4&amp;Y$5, LS_previous!$D$2:$AY$2&amp;LS_previous!$D$3:$AY$3, 0)),SUM(VLOOKUP($A27, LS_previous!$B$4:$AY$137, LS_previous!Q$148, FALSE), VLOOKUP('Staging Table'!$A27, LS_previous!$B$4:$AY$137,LS_previous!AO$148, FALSE))/2)</f>
        <v>707.72143995210081</v>
      </c>
      <c r="Z27" s="102">
        <f t="array" ref="Z27">IF($G27=0, INDEX(LS_previous!$D$4:$AY$137, MATCH('Staging Table'!$A27, LS_previous!$B$4:$B$137, 0), MATCH(Z$4&amp;Z$5, LS_previous!$D$2:$AY$2&amp;LS_previous!$D$3:$AY$3, 0)),SUM(VLOOKUP($A27, LS_previous!$B$4:$AY$137, LS_previous!R$148, FALSE), VLOOKUP('Staging Table'!$A27, LS_previous!$B$4:$AY$137,LS_previous!AP$148, FALSE))/2)</f>
        <v>-2103.7801204544012</v>
      </c>
      <c r="AA27" s="102">
        <f t="array" ref="AA27">IF($G27=0, INDEX(LS_previous!$D$4:$AY$137, MATCH('Staging Table'!$A27, LS_previous!$B$4:$B$137, 0), MATCH(AA$4&amp;AA$5, LS_previous!$D$2:$AY$2&amp;LS_previous!$D$3:$AY$3, 0)),SUM(VLOOKUP($A27, LS_previous!$B$4:$AY$137, LS_previous!S$148, FALSE), VLOOKUP('Staging Table'!$A27, LS_previous!$B$4:$AY$137,LS_previous!AQ$148, FALSE))/2)</f>
        <v>-1850.8817454537984</v>
      </c>
      <c r="AB27" s="102">
        <f t="array" ref="AB27">IF($G27=0, INDEX(LS_previous!$D$4:$AY$137, MATCH('Staging Table'!$A27, LS_previous!$B$4:$B$137, 0), MATCH(AB$4&amp;AB$5, LS_previous!$D$2:$AY$2&amp;LS_previous!$D$3:$AY$3, 0)),SUM(VLOOKUP($A27, LS_previous!$B$4:$AY$137, LS_previous!T$148, FALSE), VLOOKUP('Staging Table'!$A27, LS_previous!$B$4:$AY$137,LS_previous!AR$148, FALSE))/2)</f>
        <v>-2526.7266165527999</v>
      </c>
      <c r="AC27" s="102">
        <f t="array" ref="AC27">IF($G27=0, INDEX(LS_previous!$D$4:$AY$137, MATCH('Staging Table'!$A27, LS_previous!$B$4:$B$137, 0), MATCH(AC$4&amp;AC$5, LS_previous!$D$2:$AY$2&amp;LS_previous!$D$3:$AY$3, 0)),SUM(VLOOKUP($A27, LS_previous!$B$4:$AY$137, LS_previous!U$148, FALSE), VLOOKUP('Staging Table'!$A27, LS_previous!$B$4:$AY$137,LS_previous!AS$148, FALSE))/2)</f>
        <v>-2637.1046805226006</v>
      </c>
      <c r="AD27" s="102">
        <f t="array" ref="AD27">IF($G27=0, INDEX(LS_previous!$D$4:$AY$137, MATCH('Staging Table'!$A27, LS_previous!$B$4:$B$137, 0), MATCH(AD$4&amp;AD$5, LS_previous!$D$2:$AY$2&amp;LS_previous!$D$3:$AY$3, 0)),SUM(VLOOKUP($A27, LS_previous!$B$4:$AY$137, LS_previous!V$148, FALSE), VLOOKUP('Staging Table'!$A27, LS_previous!$B$4:$AY$137,LS_previous!AT$148, FALSE))/2)</f>
        <v>923.06970202080083</v>
      </c>
      <c r="AE27" s="102">
        <f t="array" ref="AE27">IF($G27=0, INDEX(LS_previous!$D$4:$AY$137, MATCH('Staging Table'!$A27, LS_previous!$B$4:$B$137, 0), MATCH(AE$4&amp;AE$5, LS_previous!$D$2:$AY$2&amp;LS_previous!$D$3:$AY$3, 0)),SUM(VLOOKUP($A27, LS_previous!$B$4:$AY$137, LS_previous!W$148, FALSE), VLOOKUP('Staging Table'!$A27, LS_previous!$B$4:$AY$137,LS_previous!AU$148, FALSE))/2)</f>
        <v>-399.91156550699907</v>
      </c>
      <c r="AF27" s="102">
        <f t="array" ref="AF27">IF($G27=0, INDEX(LS_previous!$D$4:$AY$137, MATCH('Staging Table'!$A27, LS_previous!$B$4:$B$137, 0), MATCH(AF$4&amp;AF$5, LS_previous!$D$2:$AY$2&amp;LS_previous!$D$3:$AY$3, 0)),SUM(VLOOKUP($A27, LS_previous!$B$4:$AY$137, LS_previous!X$148, FALSE), VLOOKUP('Staging Table'!$A27, LS_previous!$B$4:$AY$137,LS_previous!AV$148, FALSE))/2)</f>
        <v>1411.9297255297988</v>
      </c>
      <c r="AG27" s="102">
        <f t="array" ref="AG27">IF($G27=0, INDEX(LS_previous!$D$4:$AY$137, MATCH('Staging Table'!$A27, LS_previous!$B$4:$B$137, 0), MATCH(AG$4&amp;AG$5, LS_previous!$D$2:$AY$2&amp;LS_previous!$D$3:$AY$3, 0)),SUM(VLOOKUP($A27, LS_previous!$B$4:$AY$137, LS_previous!Y$148, FALSE), VLOOKUP('Staging Table'!$A27, LS_previous!$B$4:$AY$137,LS_previous!AW$148, FALSE))/2)</f>
        <v>302.90374515542135</v>
      </c>
      <c r="AH27" s="102">
        <f t="array" ref="AH27">IF($G27=0, INDEX(LS_previous!$D$4:$AY$137, MATCH('Staging Table'!$A27, LS_previous!$B$4:$B$137, 0), MATCH(AH$4&amp;AH$5, LS_previous!$D$2:$AY$2&amp;LS_previous!$D$3:$AY$3, 0)),SUM(VLOOKUP($A27, LS_previous!$B$4:$AY$137, LS_previous!Z$148, FALSE), VLOOKUP('Staging Table'!$A27, LS_previous!$B$4:$AY$137,LS_previous!AX$148, FALSE))/2)</f>
        <v>1634.9814351927998</v>
      </c>
      <c r="AI27" s="102">
        <f t="array" ref="AI27">IF($G27=0, INDEX(LS_previous!$D$4:$AY$137, MATCH('Staging Table'!$A27, LS_previous!$B$4:$B$137, 0), MATCH(AI$4&amp;AI$5, LS_previous!$D$2:$AY$2&amp;LS_previous!$D$3:$AY$3, 0)),SUM(VLOOKUP($A27, LS_previous!$B$4:$AY$137, LS_previous!AA$148, FALSE), VLOOKUP('Staging Table'!$A27, LS_previous!$B$4:$AY$137,LS_previous!AY$148, FALSE))/2)</f>
        <v>-417.26617493120011</v>
      </c>
      <c r="AJ27" s="103">
        <f t="array" ref="AJ27">INDEX(Demand_previous!$D$4:$AY$137, MATCH('Staging Table'!$A27, Demand_previous!$B$4:$B$137, 0), MATCH(AJ$4&amp;AJ$5,Demand_previous!$D$2:$AY$2&amp;Demand_previous!$D$3:$AY$3, 0))/1000</f>
        <v>0</v>
      </c>
      <c r="AK27" s="103">
        <f t="array" ref="AK27">INDEX(Demand_previous!$D$4:$AY$137, MATCH('Staging Table'!$A27, Demand_previous!$B$4:$B$137, 0), MATCH(AK$4&amp;AK$5,Demand_previous!$D$2:$AY$2&amp;Demand_previous!$D$3:$AY$3, 0))/1000</f>
        <v>4.2252149999999933</v>
      </c>
      <c r="AL27" s="103">
        <f t="array" ref="AL27">INDEX(Demand_previous!$D$4:$AY$137, MATCH('Staging Table'!$A27, Demand_previous!$B$4:$B$137, 0), MATCH(AL$4&amp;AL$5,Demand_previous!$D$2:$AY$2&amp;Demand_previous!$D$3:$AY$3, 0))/1000</f>
        <v>4.1412774999999993</v>
      </c>
      <c r="AM27" s="103">
        <f t="array" ref="AM27">INDEX(Demand_previous!$D$4:$AY$137, MATCH('Staging Table'!$A27, Demand_previous!$B$4:$B$137, 0), MATCH(AM$4&amp;AM$5,Demand_previous!$D$2:$AY$2&amp;Demand_previous!$D$3:$AY$3, 0))/1000</f>
        <v>3.1792451923076914</v>
      </c>
      <c r="AN27" s="103">
        <f t="array" ref="AN27">INDEX(Demand_previous!$D$4:$AY$137, MATCH('Staging Table'!$A27, Demand_previous!$B$4:$B$137, 0), MATCH(AN$4&amp;AN$5,Demand_previous!$D$2:$AY$2&amp;Demand_previous!$D$3:$AY$3, 0))/1000</f>
        <v>1.2119824999999995</v>
      </c>
      <c r="AO27" s="103">
        <f t="array" ref="AO27">INDEX(Demand_previous!$D$4:$AY$137, MATCH('Staging Table'!$A27, Demand_previous!$B$4:$B$137, 0), MATCH(AO$4&amp;AO$5,Demand_previous!$D$2:$AY$2&amp;Demand_previous!$D$3:$AY$3, 0))/1000</f>
        <v>4.1292331730769183</v>
      </c>
      <c r="AP27" s="103">
        <f t="array" ref="AP27">INDEX(Demand_previous!$D$4:$AY$137, MATCH('Staging Table'!$A27, Demand_previous!$B$4:$B$137, 0), MATCH(AP$4&amp;AP$5,Demand_previous!$D$2:$AY$2&amp;Demand_previous!$D$3:$AY$3, 0))/1000</f>
        <v>0.98237980769230759</v>
      </c>
      <c r="AQ27" s="103">
        <f t="array" ref="AQ27">INDEX(Demand_previous!$D$4:$AY$137, MATCH('Staging Table'!$A27, Demand_previous!$B$4:$B$137, 0), MATCH(AQ$4&amp;AQ$5,Demand_previous!$D$2:$AY$2&amp;Demand_previous!$D$3:$AY$3, 0))/1000</f>
        <v>6.0365336538461554</v>
      </c>
      <c r="AR27" s="103">
        <f t="array" ref="AR27">INDEX(Demand_previous!$D$4:$AY$137, MATCH('Staging Table'!$A27, Demand_previous!$B$4:$B$137, 0), MATCH(AR$4&amp;AR$5,Demand_previous!$D$2:$AY$2&amp;Demand_previous!$D$3:$AY$3, 0))/1000</f>
        <v>8.8933199999999992</v>
      </c>
      <c r="AS27" s="103">
        <f t="array" ref="AS27">INDEX(Demand_previous!$D$4:$AY$137, MATCH('Staging Table'!$A27, Demand_previous!$B$4:$B$137, 0), MATCH(AS$4&amp;AS$5,Demand_previous!$D$2:$AY$2&amp;Demand_previous!$D$3:$AY$3, 0))/1000</f>
        <v>9.0996923076923046</v>
      </c>
      <c r="AT27" s="103">
        <f t="array" ref="AT27">INDEX(Demand_previous!$D$4:$AY$137, MATCH('Staging Table'!$A27, Demand_previous!$B$4:$B$137, 0), MATCH(AT$4&amp;AT$5,Demand_previous!$D$2:$AY$2&amp;Demand_previous!$D$3:$AY$3, 0))/1000</f>
        <v>15.516988425925931</v>
      </c>
      <c r="AU27" s="103">
        <f t="array" ref="AU27">INDEX(Demand_previous!$D$4:$AY$137, MATCH('Staging Table'!$A27, Demand_previous!$B$4:$B$137, 0), MATCH(AU$4&amp;AU$5,Demand_previous!$D$2:$AY$2&amp;Demand_previous!$D$3:$AY$3, 0))/1000</f>
        <v>7.6533411458333358</v>
      </c>
      <c r="AV27" s="102">
        <f>$F27*(VLOOKUP(AV$4, Rates_previous!$G$6:$Q$29, 10, FALSE)+VLOOKUP(AV$4, Rates_previous!$G$6:$Q$29, 11, FALSE))</f>
        <v>16296.3951699222</v>
      </c>
      <c r="AW27" s="102">
        <f>$F27*(VLOOKUP(AW$4, Rates_previous!$G$6:$Q$29, 10, FALSE)+VLOOKUP(AW$4, Rates_previous!$G$6:$Q$29, 11, FALSE))</f>
        <v>20783.277626425202</v>
      </c>
      <c r="AX27" s="102">
        <f>$F27*(VLOOKUP(AX$4, Rates_previous!$G$6:$Q$29, 10, FALSE)+VLOOKUP(AX$4, Rates_previous!$G$6:$Q$29, 11, FALSE))</f>
        <v>22429.268761518</v>
      </c>
      <c r="AY27" s="102">
        <f>$F27*(VLOOKUP(AY$4, Rates_previous!$G$6:$Q$29, 10, FALSE)+VLOOKUP(AY$4, Rates_previous!$G$6:$Q$29, 11, FALSE))</f>
        <v>23307.477535123198</v>
      </c>
      <c r="AZ27" s="102">
        <f>$F27*(VLOOKUP(AZ$4, Rates_previous!$G$6:$Q$29, 10, FALSE)+VLOOKUP(AZ$4, Rates_previous!$G$6:$Q$29, 11, FALSE))</f>
        <v>20047.537368626399</v>
      </c>
      <c r="BA27" s="102">
        <f>$F27*(VLOOKUP(BA$4, Rates_previous!$G$6:$Q$29, 10, FALSE)+VLOOKUP(BA$4, Rates_previous!$G$6:$Q$29, 11, FALSE))</f>
        <v>21887.9415937548</v>
      </c>
      <c r="BB27" s="102">
        <f>$F27*(VLOOKUP(BB$4, Rates_previous!$G$6:$Q$29, 10, FALSE)+VLOOKUP(BB$4, Rates_previous!$G$6:$Q$29, 11, FALSE))</f>
        <v>17276.841322974899</v>
      </c>
      <c r="BC27" s="102">
        <f>$F27*(VLOOKUP(BC$4, Rates_previous!$G$6:$Q$29, 10, FALSE)+VLOOKUP(BC$4, Rates_previous!$G$6:$Q$29, 11, FALSE))</f>
        <v>21434.236865908202</v>
      </c>
      <c r="BD27" s="102">
        <f>$F27*(VLOOKUP(BD$4, Rates_previous!$G$6:$Q$29, 10, FALSE)+VLOOKUP(BD$4, Rates_previous!$G$6:$Q$29, 11, FALSE))</f>
        <v>21899.3062970754</v>
      </c>
      <c r="BE27" s="102">
        <f>$F27*(VLOOKUP(BE$4, Rates_previous!$G$6:$Q$29, 10, FALSE)+VLOOKUP(BE$4, Rates_previous!$G$6:$Q$29, 11, FALSE))</f>
        <v>19011.752863486199</v>
      </c>
      <c r="BF27" s="102">
        <f>$F27*(VLOOKUP(BF$4, Rates_previous!$G$6:$Q$29, 10, FALSE)+VLOOKUP(BF$4, Rates_previous!$G$6:$Q$29, 11, FALSE))</f>
        <v>18379.311529314782</v>
      </c>
      <c r="BG27" s="102">
        <f>$F27*(VLOOKUP(BG$4, Rates_previous!$G$6:$Q$29, 10, FALSE)+VLOOKUP(BG$4, Rates_previous!$G$6:$Q$29, 11, FALSE))</f>
        <v>16912.525739738401</v>
      </c>
      <c r="BH27" s="103">
        <f>IF($D27=0,IF(C27=0, MAX(BJ27 - (VLOOKUP($A27,TOCA_previous!$A$2:$AJ$136,MATCH("RHWM "&amp;Init!$D$1-2,TOCA_previous!$A$2:$AJ$2,0),FALSE)*$F$2*TOCA_previous!C24),0),0), 0)</f>
        <v>18125.623098580341</v>
      </c>
      <c r="BI27" s="109">
        <f>MIN(VLOOKUP($A27,TOCA_previous!$A$2:$AJ$136,MATCH("TRL - NLSL - Existing Resource "&amp;$F$1,TOCA_previous!$A$2:$AJ$2,0),FALSE)*$F$2,(VLOOKUP($A27,TOCA_previous!$A$2:$AJ$136,MATCH("RHWM "&amp;Init!$D$1-2,TOCA_previous!$A$2:$AJ$2,0),FALSE)*$F$2))</f>
        <v>234374.68799999999</v>
      </c>
      <c r="BJ27" s="261">
        <f>SUM(L27:AI27)+(F27*RT1SC!$C$3*$F$2)</f>
        <v>252500.31109858034</v>
      </c>
      <c r="BK27" s="260">
        <f>VLOOKUP($A27,TOCA_previous!$A$2:$AJ$136,MATCH("Above RHWM Not Served with LS "&amp;$F$1,TOCA_previous!$A$2:$AJ$2,0),FALSE)*$F$2</f>
        <v>23260.032000000003</v>
      </c>
      <c r="BL27" s="261">
        <f t="shared" si="21"/>
        <v>18125.623098580341</v>
      </c>
      <c r="BM27" s="260">
        <f>(VLOOKUP($A27,TOCA_previous!$A$2:$AJ$136,MATCH("RHWM "&amp;Init!$D$1-2,TOCA_previous!$A$2:$AJ$2,0),FALSE)*$F$2) - $BI27</f>
        <v>0</v>
      </c>
      <c r="BN27" s="261">
        <f t="shared" si="22"/>
        <v>0</v>
      </c>
      <c r="BO27" s="260">
        <f t="shared" si="23"/>
        <v>0</v>
      </c>
      <c r="BP27" s="261">
        <f t="shared" si="24"/>
        <v>0</v>
      </c>
      <c r="BQ27" s="260">
        <f t="shared" si="9"/>
        <v>0</v>
      </c>
      <c r="BR27" s="85">
        <f>VLOOKUP($A27,TOCA_current!$A$2:$ZZ$136,MATCH(BR$4,TOCA_current!$A$2:$ZZ$2,0),FALSE)</f>
        <v>3.7745999999999999E-3</v>
      </c>
      <c r="BS27" s="85">
        <f>VLOOKUP($A27,TOCA_current!$A$2:$ZZ$136,MATCH(BS$4,TOCA_current!$A$2:$ZZ$2,0),FALSE)</f>
        <v>3.7745999999999999E-3</v>
      </c>
      <c r="BT27" s="108">
        <f t="shared" si="25"/>
        <v>0</v>
      </c>
      <c r="BU27" s="85">
        <f>VLOOKUP($A27,TOCA_current!A24:BG158,MATCH(BU$4,TOCA_current!$A$2:$BG$2,0),FALSE)</f>
        <v>0</v>
      </c>
      <c r="BV27" s="85">
        <f t="shared" si="26"/>
        <v>0</v>
      </c>
      <c r="BW27" s="85">
        <f t="shared" si="27"/>
        <v>0</v>
      </c>
      <c r="BX27" s="101">
        <f>VLOOKUP($A27,IRD!$A$4:$G$138, 7, FALSE)</f>
        <v>0</v>
      </c>
      <c r="BY27" s="102">
        <f t="array" ref="BY27">IF($BT27=0, INDEX(LS_current!$D$4:$BW$137, MATCH('Staging Table'!$A27, LS_current!$B$4:$B$137, 0), MATCH(BY$4&amp;BY$5, LS_current!$D$2:$BW$2&amp;LS_current!$D$3:$BW$3, 0)),SUM(VLOOKUP($A27, LS_current!$B$4:$BW$137, LS_current!D$147, FALSE), VLOOKUP($A27, LS_current!$B$4:$BW$137,LS_current!AZ$147, FALSE))/2)</f>
        <v>2974.0141007827569</v>
      </c>
      <c r="BZ27" s="102">
        <f t="array" ref="BZ27">IF($BT27=0, INDEX(LS_current!$D$4:$BW$137, MATCH('Staging Table'!$A27, LS_current!$B$4:$B$137, 0), MATCH(BZ$4&amp;BZ$5, LS_current!$D$2:$BW$2&amp;LS_current!$D$3:$BW$3, 0)),SUM(VLOOKUP($A27, LS_current!$B$4:$BW$137, LS_current!E$147, FALSE), VLOOKUP($A27, LS_current!$B$4:$BW$137,LS_current!BA$147, FALSE))/2)</f>
        <v>435.50329150350353</v>
      </c>
      <c r="CA27" s="102">
        <f t="array" ref="CA27">IF($BT27=0, INDEX(LS_current!$D$4:$BW$137, MATCH('Staging Table'!$A27, LS_current!$B$4:$B$137, 0), MATCH(CA$4&amp;CA$5, LS_current!$D$2:$BW$2&amp;LS_current!$D$3:$BW$3, 0)),SUM(VLOOKUP($A27, LS_current!$B$4:$BW$137, LS_current!F$147, FALSE), VLOOKUP($A27, LS_current!$B$4:$BW$137,LS_current!BB$147, FALSE))/2)</f>
        <v>18.947240856947246</v>
      </c>
      <c r="CB27" s="102">
        <f t="array" ref="CB27">IF($BT27=0, INDEX(LS_current!$D$4:$BW$137, MATCH('Staging Table'!$A27, LS_current!$B$4:$B$137, 0), MATCH(CB$4&amp;CB$5, LS_current!$D$2:$BW$2&amp;LS_current!$D$3:$BW$3, 0)),SUM(VLOOKUP($A27, LS_current!$B$4:$BW$137, LS_current!G$147, FALSE), VLOOKUP($A27, LS_current!$B$4:$BW$137,LS_current!BC$147, FALSE))/2)</f>
        <v>-137.90891535020819</v>
      </c>
      <c r="CC27" s="102">
        <f t="array" ref="CC27">IF($BT27=0, INDEX(LS_current!$D$4:$BW$137, MATCH('Staging Table'!$A27, LS_current!$B$4:$B$137, 0), MATCH(CC$4&amp;CC$5, LS_current!$D$2:$BW$2&amp;LS_current!$D$3:$BW$3, 0)),SUM(VLOOKUP($A27, LS_current!$B$4:$BW$137, LS_current!H$147, FALSE), VLOOKUP($A27, LS_current!$B$4:$BW$137,LS_current!BD$147, FALSE))/2)</f>
        <v>282.20582088975061</v>
      </c>
      <c r="CD27" s="102">
        <f t="array" ref="CD27">IF($BT27=0, INDEX(LS_current!$D$4:$BW$137, MATCH('Staging Table'!$A27, LS_current!$B$4:$B$137, 0), MATCH(CD$4&amp;CD$5, LS_current!$D$2:$BW$2&amp;LS_current!$D$3:$BW$3, 0)),SUM(VLOOKUP($A27, LS_current!$B$4:$BW$137, LS_current!I$147, FALSE), VLOOKUP($A27, LS_current!$B$4:$BW$137,LS_current!BE$147, FALSE))/2)</f>
        <v>592.09764735408316</v>
      </c>
      <c r="CE27" s="102">
        <f t="array" ref="CE27">IF($BT27=0, INDEX(LS_current!$D$4:$BW$137, MATCH('Staging Table'!$A27, LS_current!$B$4:$B$137, 0), MATCH(CE$4&amp;CE$5, LS_current!$D$2:$BW$2&amp;LS_current!$D$3:$BW$3, 0)),SUM(VLOOKUP($A27, LS_current!$B$4:$BW$137, LS_current!J$147, FALSE), VLOOKUP($A27, LS_current!$B$4:$BW$137,LS_current!BF$147, FALSE))/2)</f>
        <v>-414.80286585179238</v>
      </c>
      <c r="CF27" s="102">
        <f t="array" ref="CF27">IF($BT27=0, INDEX(LS_current!$D$4:$BW$137, MATCH('Staging Table'!$A27, LS_current!$B$4:$B$137, 0), MATCH(CF$4&amp;CF$5, LS_current!$D$2:$BW$2&amp;LS_current!$D$3:$BW$3, 0)),SUM(VLOOKUP($A27, LS_current!$B$4:$BW$137, LS_current!K$147, FALSE), VLOOKUP($A27, LS_current!$B$4:$BW$137,LS_current!BG$147, FALSE))/2)</f>
        <v>-122.22710302837731</v>
      </c>
      <c r="CG27" s="102">
        <f t="array" ref="CG27">IF($BT27=0, INDEX(LS_current!$D$4:$BW$137, MATCH('Staging Table'!$A27, LS_current!$B$4:$B$137, 0), MATCH(CG$4&amp;CG$5, LS_current!$D$2:$BW$2&amp;LS_current!$D$3:$BW$3, 0)),SUM(VLOOKUP($A27, LS_current!$B$4:$BW$137, LS_current!L$147, FALSE), VLOOKUP($A27, LS_current!$B$4:$BW$137,LS_current!BH$147, FALSE))/2)</f>
        <v>2074.6418086349331</v>
      </c>
      <c r="CH27" s="102">
        <f t="array" ref="CH27">IF($BT27=0, INDEX(LS_current!$D$4:$BW$137, MATCH('Staging Table'!$A27, LS_current!$B$4:$B$137, 0), MATCH(CH$4&amp;CH$5, LS_current!$D$2:$BW$2&amp;LS_current!$D$3:$BW$3, 0)),SUM(VLOOKUP($A27, LS_current!$B$4:$BW$137, LS_current!M$147, FALSE), VLOOKUP($A27, LS_current!$B$4:$BW$137,LS_current!BI$147, FALSE))/2)</f>
        <v>1007.2101713522634</v>
      </c>
      <c r="CI27" s="102">
        <f t="array" ref="CI27">IF($BT27=0, INDEX(LS_current!$D$4:$BW$137, MATCH('Staging Table'!$A27, LS_current!$B$4:$B$137, 0), MATCH(CI$4&amp;CI$5, LS_current!$D$2:$BW$2&amp;LS_current!$D$3:$BW$3, 0)),SUM(VLOOKUP($A27, LS_current!$B$4:$BW$137, LS_current!N$147, FALSE), VLOOKUP($A27, LS_current!$B$4:$BW$137,LS_current!BJ$147, FALSE))/2)</f>
        <v>379.89362603727386</v>
      </c>
      <c r="CJ27" s="102">
        <f t="array" ref="CJ27">IF($BT27=0, INDEX(LS_current!$D$4:$BW$137, MATCH('Staging Table'!$A27, LS_current!$B$4:$B$137, 0), MATCH(CJ$4&amp;CJ$5, LS_current!$D$2:$BW$2&amp;LS_current!$D$3:$BW$3, 0)),SUM(VLOOKUP($A27, LS_current!$B$4:$BW$137, LS_current!O$147, FALSE), VLOOKUP($A27, LS_current!$B$4:$BW$137,LS_current!BK$147, FALSE))/2)</f>
        <v>1033.0679809978083</v>
      </c>
      <c r="CK27" s="102">
        <f t="array" ref="CK27">IF($BT27=0, INDEX(LS_current!$D$4:$BW$137, MATCH('Staging Table'!$A27, LS_current!$B$4:$B$137, 0), MATCH(CK$4&amp;CK$5, LS_current!$D$2:$BW$2&amp;LS_current!$D$3:$BW$3, 0)),SUM(VLOOKUP($A27, LS_current!$B$4:$BW$137, LS_current!P$147, FALSE), VLOOKUP($A27, LS_current!$B$4:$BW$137,LS_current!BL$147, FALSE))/2)</f>
        <v>2903.8468331612257</v>
      </c>
      <c r="CL27" s="102">
        <f t="array" ref="CL27">IF($BT27=0, INDEX(LS_current!$D$4:$BW$137, MATCH('Staging Table'!$A27, LS_current!$B$4:$B$137, 0), MATCH(CL$4&amp;CL$5, LS_current!$D$2:$BW$2&amp;LS_current!$D$3:$BW$3, 0)),SUM(VLOOKUP($A27, LS_current!$B$4:$BW$137, LS_current!Q$147, FALSE), VLOOKUP($A27, LS_current!$B$4:$BW$137,LS_current!BM$147, FALSE))/2)</f>
        <v>628.51722908779539</v>
      </c>
      <c r="CM27" s="102">
        <f t="array" ref="CM27">IF($BT27=0, INDEX(LS_current!$D$4:$BW$137, MATCH('Staging Table'!$A27, LS_current!$B$4:$B$137, 0), MATCH(CM$4&amp;CM$5, LS_current!$D$2:$BW$2&amp;LS_current!$D$3:$BW$3, 0)),SUM(VLOOKUP($A27, LS_current!$B$4:$BW$137, LS_current!R$147, FALSE), VLOOKUP($A27, LS_current!$B$4:$BW$137,LS_current!BN$147, FALSE))/2)</f>
        <v>-2546.1818760488313</v>
      </c>
      <c r="CN27" s="102">
        <f t="array" ref="CN27">IF($BT27=0, INDEX(LS_current!$D$4:$BW$137, MATCH('Staging Table'!$A27, LS_current!$B$4:$B$137, 0), MATCH(CN$4&amp;CN$5, LS_current!$D$2:$BW$2&amp;LS_current!$D$3:$BW$3, 0)),SUM(VLOOKUP($A27, LS_current!$B$4:$BW$137, LS_current!S$147, FALSE), VLOOKUP($A27, LS_current!$B$4:$BW$137,LS_current!BO$147, FALSE))/2)</f>
        <v>-2450.8003263940473</v>
      </c>
      <c r="CO27" s="102">
        <f t="array" ref="CO27">IF($BT27=0, INDEX(LS_current!$D$4:$BW$137, MATCH('Staging Table'!$A27, LS_current!$B$4:$B$137, 0), MATCH(CO$4&amp;CO$5, LS_current!$D$2:$BW$2&amp;LS_current!$D$3:$BW$3, 0)),SUM(VLOOKUP($A27, LS_current!$B$4:$BW$137, LS_current!T$147, FALSE), VLOOKUP($A27, LS_current!$B$4:$BW$137,LS_current!BP$147, FALSE))/2)</f>
        <v>-3621.1397919779338</v>
      </c>
      <c r="CP27" s="102">
        <f t="array" ref="CP27">IF($BT27=0, INDEX(LS_current!$D$4:$BW$137, MATCH('Staging Table'!$A27, LS_current!$B$4:$B$137, 0), MATCH(CP$4&amp;CP$5, LS_current!$D$2:$BW$2&amp;LS_current!$D$3:$BW$3, 0)),SUM(VLOOKUP($A27, LS_current!$B$4:$BW$137, LS_current!U$147, FALSE), VLOOKUP($A27, LS_current!$B$4:$BW$137,LS_current!BQ$147, FALSE))/2)</f>
        <v>-2520.3086372396019</v>
      </c>
      <c r="CQ27" s="102">
        <f t="array" ref="CQ27">IF($BT27=0, INDEX(LS_current!$D$4:$BW$137, MATCH('Staging Table'!$A27, LS_current!$B$4:$B$137, 0), MATCH(CQ$4&amp;CQ$5, LS_current!$D$2:$BW$2&amp;LS_current!$D$3:$BW$3, 0)),SUM(VLOOKUP($A27, LS_current!$B$4:$BW$137, LS_current!V$147, FALSE), VLOOKUP($A27, LS_current!$B$4:$BW$137,LS_current!BR$147, FALSE))/2)</f>
        <v>-152.10748940268786</v>
      </c>
      <c r="CR27" s="102">
        <f t="array" ref="CR27">IF($BT27=0, INDEX(LS_current!$D$4:$BW$137, MATCH('Staging Table'!$A27, LS_current!$B$4:$B$137, 0), MATCH(CR$4&amp;CR$5, LS_current!$D$2:$BW$2&amp;LS_current!$D$3:$BW$3, 0)),SUM(VLOOKUP($A27, LS_current!$B$4:$BW$137, LS_current!W$147, FALSE), VLOOKUP($A27, LS_current!$B$4:$BW$137,LS_current!BS$147, FALSE))/2)</f>
        <v>-881.18164053394139</v>
      </c>
      <c r="CS27" s="102">
        <f t="array" ref="CS27">IF($BT27=0, INDEX(LS_current!$D$4:$BW$137, MATCH('Staging Table'!$A27, LS_current!$B$4:$B$137, 0), MATCH(CS$4&amp;CS$5, LS_current!$D$2:$BW$2&amp;LS_current!$D$3:$BW$3, 0)),SUM(VLOOKUP($A27, LS_current!$B$4:$BW$137, LS_current!X$147, FALSE), VLOOKUP($A27, LS_current!$B$4:$BW$137,LS_current!BT$147, FALSE))/2)</f>
        <v>-729.37876954322564</v>
      </c>
      <c r="CT27" s="102">
        <f t="array" ref="CT27">IF($BT27=0, INDEX(LS_current!$D$4:$BW$137, MATCH('Staging Table'!$A27, LS_current!$B$4:$B$137, 0), MATCH(CT$4&amp;CT$5, LS_current!$D$2:$BW$2&amp;LS_current!$D$3:$BW$3, 0)),SUM(VLOOKUP($A27, LS_current!$B$4:$BW$137, LS_current!Y$147, FALSE), VLOOKUP($A27, LS_current!$B$4:$BW$137,LS_current!BU$147, FALSE))/2)</f>
        <v>-237.35840738574188</v>
      </c>
      <c r="CU27" s="102">
        <f t="array" ref="CU27">IF($BT27=0, INDEX(LS_current!$D$4:$BW$137, MATCH('Staging Table'!$A27, LS_current!$B$4:$B$137, 0), MATCH(CU$4&amp;CU$5, LS_current!$D$2:$BW$2&amp;LS_current!$D$3:$BW$3, 0)),SUM(VLOOKUP($A27, LS_current!$B$4:$BW$137, LS_current!Z$147, FALSE), VLOOKUP($A27, LS_current!$B$4:$BW$137,LS_current!BV$147, FALSE))/2)</f>
        <v>1432.506861701615</v>
      </c>
      <c r="CV27" s="102">
        <f t="array" ref="CV27">IF($BT27=0, INDEX(LS_current!$D$4:$BW$137, MATCH('Staging Table'!$A27, LS_current!$B$4:$B$137, 0), MATCH(CV$4&amp;CV$5, LS_current!$D$2:$BW$2&amp;LS_current!$D$3:$BW$3, 0)),SUM(VLOOKUP($A27, LS_current!$B$4:$BW$137, LS_current!AA$147, FALSE), VLOOKUP($A27, LS_current!$B$4:$BW$137,LS_current!BW$147, FALSE))/2)</f>
        <v>57.755869374034774</v>
      </c>
      <c r="CW27" s="103">
        <f t="array" ref="CW27">INDEX(Demand_current!$D$4:$BW$137, MATCH($A27, Demand_current!$B$4:$B$137, 0), MATCH(CW$4&amp;CW$5,Demand_current!$D$2:$BW$2&amp;Demand_current!$D$3:$BW$3, 0))/1000</f>
        <v>0</v>
      </c>
      <c r="CX27" s="103">
        <f t="array" ref="CX27">INDEX(Demand_current!$D$4:$BW$137, MATCH($A27, Demand_current!$B$4:$B$137, 0), MATCH(CX$4&amp;CX$5,Demand_current!$D$2:$BW$2&amp;Demand_current!$D$3:$BW$3, 0))/1000</f>
        <v>2.6599322916666654</v>
      </c>
      <c r="CY27" s="103">
        <f t="array" ref="CY27">INDEX(Demand_current!$D$4:$BW$137, MATCH($A27, Demand_current!$B$4:$B$137, 0), MATCH(CY$4&amp;CY$5,Demand_current!$D$2:$BW$2&amp;Demand_current!$D$3:$BW$3, 0))/1000</f>
        <v>5.910574519230769</v>
      </c>
      <c r="CZ27" s="103">
        <f t="array" ref="CZ27">INDEX(Demand_current!$D$4:$BW$137, MATCH($A27, Demand_current!$B$4:$B$137, 0), MATCH(CZ$4&amp;CZ$5,Demand_current!$D$2:$BW$2&amp;Demand_current!$D$3:$BW$3, 0))/1000</f>
        <v>3.1792451923076914</v>
      </c>
      <c r="DA27" s="103">
        <f t="array" ref="DA27">INDEX(Demand_current!$D$4:$BW$137, MATCH($A27, Demand_current!$B$4:$B$137, 0), MATCH(DA$4&amp;DA$5,Demand_current!$D$2:$BW$2&amp;Demand_current!$D$3:$BW$3, 0))/1000</f>
        <v>0</v>
      </c>
      <c r="DB27" s="103">
        <f t="array" ref="DB27">INDEX(Demand_current!$D$4:$BW$137, MATCH($A27, Demand_current!$B$4:$B$137, 0), MATCH(DB$4&amp;DB$5,Demand_current!$D$2:$BW$2&amp;Demand_current!$D$3:$BW$3, 0))/1000</f>
        <v>4.1292331730769183</v>
      </c>
      <c r="DC27" s="103">
        <f t="array" ref="DC27">INDEX(Demand_current!$D$4:$BW$137, MATCH($A27, Demand_current!$B$4:$B$137, 0), MATCH(DC$4&amp;DC$5,Demand_current!$D$2:$BW$2&amp;Demand_current!$D$3:$BW$3, 0))/1000</f>
        <v>0.98237980769230759</v>
      </c>
      <c r="DD27" s="103">
        <f t="array" ref="DD27">INDEX(Demand_current!$D$4:$BW$137, MATCH($A27, Demand_current!$B$4:$B$137, 0), MATCH(DD$4&amp;DD$5,Demand_current!$D$2:$BW$2&amp;Demand_current!$D$3:$BW$3, 0))/1000</f>
        <v>4.7813950000000025</v>
      </c>
      <c r="DE27" s="103">
        <f t="array" ref="DE27">INDEX(Demand_current!$D$4:$BW$137, MATCH($A27, Demand_current!$B$4:$B$137, 0), MATCH(DE$4&amp;DE$5,Demand_current!$D$2:$BW$2&amp;Demand_current!$D$3:$BW$3, 0))/1000</f>
        <v>10.223038461538462</v>
      </c>
      <c r="DF27" s="103">
        <f t="array" ref="DF27">INDEX(Demand_current!$D$4:$BW$137, MATCH($A27, Demand_current!$B$4:$B$137, 0), MATCH(DF$4&amp;DF$5,Demand_current!$D$2:$BW$2&amp;Demand_current!$D$3:$BW$3, 0))/1000</f>
        <v>9.0996923076923046</v>
      </c>
      <c r="DG27" s="103">
        <f t="array" ref="DG27">INDEX(Demand_current!$D$4:$BW$137, MATCH($A27, Demand_current!$B$4:$B$137, 0), MATCH(DG$4&amp;DG$5,Demand_current!$D$2:$BW$2&amp;Demand_current!$D$3:$BW$3, 0))/1000</f>
        <v>14.131757211538464</v>
      </c>
      <c r="DH27" s="103">
        <f t="array" ref="DH27">INDEX(Demand_current!$D$4:$BW$137, MATCH($A27, Demand_current!$B$4:$B$137, 0), MATCH(DH$4&amp;DH$5,Demand_current!$D$2:$BW$2&amp;Demand_current!$D$3:$BW$3, 0))/1000</f>
        <v>9.0780074999999965</v>
      </c>
      <c r="DI27" s="102">
        <f>$BS27*(VLOOKUP(DI$4, Rates_current!$H$6:$R$41, 10, FALSE)+VLOOKUP(DI$4, Rates_current!$H$6:$R$41, 11, FALSE))</f>
        <v>15665.67560771374</v>
      </c>
      <c r="DJ27" s="102">
        <f>$BS27*(VLOOKUP(DJ$4, Rates_current!$H$6:$R$41, 10, FALSE)+VLOOKUP(DJ$4, Rates_current!$H$6:$R$41, 11, FALSE))</f>
        <v>20028.050674493261</v>
      </c>
      <c r="DK27" s="102">
        <f>$BS27*(VLOOKUP(DK$4, Rates_current!$H$6:$R$41, 10, FALSE)+VLOOKUP(DK$4, Rates_current!$H$6:$R$41, 11, FALSE))</f>
        <v>22770.21853175616</v>
      </c>
      <c r="DL27" s="102">
        <f>$BS27*(VLOOKUP(DL$4, Rates_current!$H$6:$R$41, 10, FALSE)+VLOOKUP(DL$4, Rates_current!$H$6:$R$41, 11, FALSE))</f>
        <v>24024.357968880169</v>
      </c>
      <c r="DM27" s="102">
        <f>$BS27*(VLOOKUP(DM$4, Rates_current!$H$6:$R$41, 10, FALSE)+VLOOKUP(DM$4, Rates_current!$H$6:$R$41, 11, FALSE))</f>
        <v>19145.245020012804</v>
      </c>
      <c r="DN27" s="102">
        <f>$BS27*(VLOOKUP(DN$4, Rates_current!$H$6:$R$41, 10, FALSE)+VLOOKUP(DN$4, Rates_current!$H$6:$R$41, 11, FALSE))</f>
        <v>20929.684392964919</v>
      </c>
      <c r="DO27" s="102">
        <f>$BS27*(VLOOKUP(DO$4, Rates_current!$H$6:$R$41, 10, FALSE)+VLOOKUP(DO$4, Rates_current!$H$6:$R$41, 11, FALSE))</f>
        <v>16220.715937750982</v>
      </c>
      <c r="DP27" s="102">
        <f>$BS27*(VLOOKUP(DP$4, Rates_current!$H$6:$R$41, 10, FALSE)+VLOOKUP(DP$4, Rates_current!$H$6:$R$41, 11, FALSE))</f>
        <v>20992.277202442874</v>
      </c>
      <c r="DQ27" s="102">
        <f>$BS27*(VLOOKUP(DQ$4, Rates_current!$H$6:$R$41, 10, FALSE)+VLOOKUP(DQ$4, Rates_current!$H$6:$R$41, 11, FALSE))</f>
        <v>21440.523429217537</v>
      </c>
      <c r="DR27" s="102">
        <f>$BS27*(VLOOKUP(DR$4, Rates_current!$H$6:$R$41, 10, FALSE)+VLOOKUP(DR$4, Rates_current!$H$6:$R$41, 11, FALSE))</f>
        <v>19083.920129936629</v>
      </c>
      <c r="DS27" s="102">
        <f>$BS27*(VLOOKUP(DS$4, Rates_current!$H$6:$R$41, 10, FALSE)+VLOOKUP(DS$4, Rates_current!$H$6:$R$41, 11, FALSE))</f>
        <v>19576.602176928969</v>
      </c>
      <c r="DT27" s="102">
        <f>$BS27*(VLOOKUP(DT$4, Rates_current!$H$6:$R$41, 10, FALSE)+VLOOKUP(DT$4, Rates_current!$H$6:$R$41, 11, FALSE))</f>
        <v>15203.578268924352</v>
      </c>
      <c r="DU27" s="261">
        <f>IF(D27=0,IF(C27=0,MAX(0,DW27 - (VLOOKUP($A27,TOCA_current!$A$2:$AV$136,MATCH("RHWM "&amp;Init!$D$1,TOCA_current!$A$2:$AV$2,0),FALSE)*$BS$2)), 0),0)</f>
        <v>4.3158767696295399</v>
      </c>
      <c r="DV27" s="262">
        <f>MIN(VLOOKUP($A27,TOCA_current!$A$2:$AV$136,MATCH("TRL - NLSL - Existing Resource "&amp;$BS$1,TOCA_current!$A$2:$AV$2,0),FALSE)*$BS$2, VLOOKUP($A27,TOCA_current!$A$2:$AV$136,MATCH("RHWM "&amp;Init!$D$1,TOCA_current!$A$2:$AV$2,0),FALSE)*$BS$2)</f>
        <v>235083.36</v>
      </c>
      <c r="DW27" s="262">
        <f>SUM(BY27:CV27)+(BS27*RT1SC!$C$4*$BS$2)</f>
        <v>235087.67587676962</v>
      </c>
      <c r="DX27" s="262">
        <f>VLOOKUP($A27,TOCA_current!$A$2:$AV$136,MATCH("Above RHWM Not Served with LS "&amp;$BS$1,TOCA_current!$A$2:$AV$2,0),FALSE)*$BS$2</f>
        <v>40672.68</v>
      </c>
      <c r="DY27" s="262">
        <f t="shared" si="28"/>
        <v>4.3158767696295399</v>
      </c>
      <c r="DZ27" s="262">
        <f>(VLOOKUP($A27,TOCA_current!$A$2:$AV$136,MATCH("RHWM "&amp;Init!$D$1,TOCA_current!$A$2:$AV$2,0),FALSE)*$BS$2) - $DV27</f>
        <v>0</v>
      </c>
      <c r="EA27" s="262">
        <f t="shared" si="29"/>
        <v>0</v>
      </c>
      <c r="EB27" s="262">
        <f t="shared" si="30"/>
        <v>0</v>
      </c>
      <c r="EC27" s="262">
        <f t="shared" si="31"/>
        <v>0</v>
      </c>
      <c r="ED27" s="262">
        <f t="shared" si="32"/>
        <v>0</v>
      </c>
    </row>
    <row r="28" spans="1:134">
      <c r="A28" s="2">
        <v>10076</v>
      </c>
      <c r="B28" s="3" t="s">
        <v>30</v>
      </c>
      <c r="C28">
        <f>VLOOKUP(A28, TOCA_current!$A$3:$D$136, 4, FALSE)</f>
        <v>0</v>
      </c>
      <c r="D28">
        <v>0</v>
      </c>
      <c r="E28" s="84">
        <f>VLOOKUP($A28,TOCA_previous!$A$2:$AJ$136,MATCH(E$4,TOCA_previous!$A$2:$AJ$2,0),FALSE)</f>
        <v>6.9740000000000004E-4</v>
      </c>
      <c r="F28" s="85">
        <f>VLOOKUP($A28,TOCA_previous!$A$2:$AJ$136,MATCH(F$4,TOCA_previous!$A$2:$AJ$2,0),FALSE)</f>
        <v>6.9740000000000004E-4</v>
      </c>
      <c r="G28" s="85">
        <f t="shared" si="18"/>
        <v>0</v>
      </c>
      <c r="H28" s="85">
        <f>VLOOKUP($A28,TOCA_previous!$A$2:$AJ$136,MATCH(H$4,TOCA_previous!$A$2:$AJ$2,0),FALSE)</f>
        <v>0</v>
      </c>
      <c r="I28" s="85">
        <f t="shared" si="19"/>
        <v>0</v>
      </c>
      <c r="J28" s="85">
        <f t="shared" si="20"/>
        <v>0</v>
      </c>
      <c r="K28" s="101">
        <f>VLOOKUP(A28, IRD!$A$5:$C$138, 3, FALSE)</f>
        <v>0</v>
      </c>
      <c r="L28" s="102">
        <f t="array" ref="L28">IF($G28=0, INDEX(LS_previous!$D$4:$AY$137, MATCH('Staging Table'!$A28, LS_previous!$B$4:$B$137, 0), MATCH(L$4&amp;L$5, LS_previous!$D$2:$AY$2&amp;LS_previous!$D$3:$AY$3, 0)),SUM(VLOOKUP($A28, LS_previous!$B$4:$AY$137, LS_previous!D$148, FALSE), VLOOKUP('Staging Table'!$A28, LS_previous!$B$4:$AY$137,LS_previous!AB$148, FALSE))/2)</f>
        <v>171.5545292935999</v>
      </c>
      <c r="M28" s="102">
        <f t="array" ref="M28">IF($G28=0, INDEX(LS_previous!$D$4:$AY$137, MATCH('Staging Table'!$A28, LS_previous!$B$4:$B$137, 0), MATCH(M$4&amp;M$5, LS_previous!$D$2:$AY$2&amp;LS_previous!$D$3:$AY$3, 0)),SUM(VLOOKUP($A28, LS_previous!$B$4:$AY$137, LS_previous!E$148, FALSE), VLOOKUP('Staging Table'!$A28, LS_previous!$B$4:$AY$137,LS_previous!AC$148, FALSE))/2)</f>
        <v>-40.757272563699871</v>
      </c>
      <c r="N28" s="102">
        <f t="array" ref="N28">IF($G28=0, INDEX(LS_previous!$D$4:$AY$137, MATCH('Staging Table'!$A28, LS_previous!$B$4:$B$137, 0), MATCH(N$4&amp;N$5, LS_previous!$D$2:$AY$2&amp;LS_previous!$D$3:$AY$3, 0)),SUM(VLOOKUP($A28, LS_previous!$B$4:$AY$137, LS_previous!F$148, FALSE), VLOOKUP('Staging Table'!$A28, LS_previous!$B$4:$AY$137,LS_previous!AD$148, FALSE))/2)</f>
        <v>-500.90946254720029</v>
      </c>
      <c r="O28" s="102">
        <f t="array" ref="O28">IF($G28=0, INDEX(LS_previous!$D$4:$AY$137, MATCH('Staging Table'!$A28, LS_previous!$B$4:$B$137, 0), MATCH(O$4&amp;O$5, LS_previous!$D$2:$AY$2&amp;LS_previous!$D$3:$AY$3, 0)),SUM(VLOOKUP($A28, LS_previous!$B$4:$AY$137, LS_previous!G$148, FALSE), VLOOKUP('Staging Table'!$A28, LS_previous!$B$4:$AY$137,LS_previous!AE$148, FALSE))/2)</f>
        <v>18.139242740600139</v>
      </c>
      <c r="P28" s="102">
        <f t="array" ref="P28">IF($G28=0, INDEX(LS_previous!$D$4:$AY$137, MATCH('Staging Table'!$A28, LS_previous!$B$4:$B$137, 0), MATCH(P$4&amp;P$5, LS_previous!$D$2:$AY$2&amp;LS_previous!$D$3:$AY$3, 0)),SUM(VLOOKUP($A28, LS_previous!$B$4:$AY$137, LS_previous!H$148, FALSE), VLOOKUP('Staging Table'!$A28, LS_previous!$B$4:$AY$137,LS_previous!AF$148, FALSE))/2)</f>
        <v>102.39524562139968</v>
      </c>
      <c r="Q28" s="102">
        <f t="array" ref="Q28">IF($G28=0, INDEX(LS_previous!$D$4:$AY$137, MATCH('Staging Table'!$A28, LS_previous!$B$4:$B$137, 0), MATCH(Q$4&amp;Q$5, LS_previous!$D$2:$AY$2&amp;LS_previous!$D$3:$AY$3, 0)),SUM(VLOOKUP($A28, LS_previous!$B$4:$AY$137, LS_previous!I$148, FALSE), VLOOKUP('Staging Table'!$A28, LS_previous!$B$4:$AY$137,LS_previous!AG$148, FALSE))/2)</f>
        <v>112.61799640959998</v>
      </c>
      <c r="R28" s="102">
        <f t="array" ref="R28">IF($G28=0, INDEX(LS_previous!$D$4:$AY$137, MATCH('Staging Table'!$A28, LS_previous!$B$4:$B$137, 0), MATCH(R$4&amp;R$5, LS_previous!$D$2:$AY$2&amp;LS_previous!$D$3:$AY$3, 0)),SUM(VLOOKUP($A28, LS_previous!$B$4:$AY$137, LS_previous!J$148, FALSE), VLOOKUP('Staging Table'!$A28, LS_previous!$B$4:$AY$137,LS_previous!AH$148, FALSE))/2)</f>
        <v>-92.852402041000005</v>
      </c>
      <c r="S28" s="102">
        <f t="array" ref="S28">IF($G28=0, INDEX(LS_previous!$D$4:$AY$137, MATCH('Staging Table'!$A28, LS_previous!$B$4:$B$137, 0), MATCH(S$4&amp;S$5, LS_previous!$D$2:$AY$2&amp;LS_previous!$D$3:$AY$3, 0)),SUM(VLOOKUP($A28, LS_previous!$B$4:$AY$137, LS_previous!K$148, FALSE), VLOOKUP('Staging Table'!$A28, LS_previous!$B$4:$AY$137,LS_previous!AI$148, FALSE))/2)</f>
        <v>231.42353857539979</v>
      </c>
      <c r="T28" s="102">
        <f t="array" ref="T28">IF($G28=0, INDEX(LS_previous!$D$4:$AY$137, MATCH('Staging Table'!$A28, LS_previous!$B$4:$B$137, 0), MATCH(T$4&amp;T$5, LS_previous!$D$2:$AY$2&amp;LS_previous!$D$3:$AY$3, 0)),SUM(VLOOKUP($A28, LS_previous!$B$4:$AY$137, LS_previous!L$148, FALSE), VLOOKUP('Staging Table'!$A28, LS_previous!$B$4:$AY$137,LS_previous!AJ$148, FALSE))/2)</f>
        <v>-250.11312601459986</v>
      </c>
      <c r="U28" s="102">
        <f t="array" ref="U28">IF($G28=0, INDEX(LS_previous!$D$4:$AY$137, MATCH('Staging Table'!$A28, LS_previous!$B$4:$B$137, 0), MATCH(U$4&amp;U$5, LS_previous!$D$2:$AY$2&amp;LS_previous!$D$3:$AY$3, 0)),SUM(VLOOKUP($A28, LS_previous!$B$4:$AY$137, LS_previous!M$148, FALSE), VLOOKUP('Staging Table'!$A28, LS_previous!$B$4:$AY$137,LS_previous!AK$148, FALSE))/2)</f>
        <v>110.75937379339985</v>
      </c>
      <c r="V28" s="102">
        <f t="array" ref="V28">IF($G28=0, INDEX(LS_previous!$D$4:$AY$137, MATCH('Staging Table'!$A28, LS_previous!$B$4:$B$137, 0), MATCH(V$4&amp;V$5, LS_previous!$D$2:$AY$2&amp;LS_previous!$D$3:$AY$3, 0)),SUM(VLOOKUP($A28, LS_previous!$B$4:$AY$137, LS_previous!N$148, FALSE), VLOOKUP('Staging Table'!$A28, LS_previous!$B$4:$AY$137,LS_previous!AL$148, FALSE))/2)</f>
        <v>-403.63458940619989</v>
      </c>
      <c r="W28" s="102">
        <f t="array" ref="W28">IF($G28=0, INDEX(LS_previous!$D$4:$AY$137, MATCH('Staging Table'!$A28, LS_previous!$B$4:$B$137, 0), MATCH(W$4&amp;W$5, LS_previous!$D$2:$AY$2&amp;LS_previous!$D$3:$AY$3, 0)),SUM(VLOOKUP($A28, LS_previous!$B$4:$AY$137, LS_previous!O$148, FALSE), VLOOKUP('Staging Table'!$A28, LS_previous!$B$4:$AY$137,LS_previous!AM$148, FALSE))/2)</f>
        <v>-107.84554797720011</v>
      </c>
      <c r="X28" s="102">
        <f t="array" ref="X28">IF($G28=0, INDEX(LS_previous!$D$4:$AY$137, MATCH('Staging Table'!$A28, LS_previous!$B$4:$B$137, 0), MATCH(X$4&amp;X$5, LS_previous!$D$2:$AY$2&amp;LS_previous!$D$3:$AY$3, 0)),SUM(VLOOKUP($A28, LS_previous!$B$4:$AY$137, LS_previous!P$148, FALSE), VLOOKUP('Staging Table'!$A28, LS_previous!$B$4:$AY$137,LS_previous!AN$148, FALSE))/2)</f>
        <v>-99.239184028499722</v>
      </c>
      <c r="Y28" s="102">
        <f t="array" ref="Y28">IF($G28=0, INDEX(LS_previous!$D$4:$AY$137, MATCH('Staging Table'!$A28, LS_previous!$B$4:$B$137, 0), MATCH(Y$4&amp;Y$5, LS_previous!$D$2:$AY$2&amp;LS_previous!$D$3:$AY$3, 0)),SUM(VLOOKUP($A28, LS_previous!$B$4:$AY$137, LS_previous!Q$148, FALSE), VLOOKUP('Staging Table'!$A28, LS_previous!$B$4:$AY$137,LS_previous!AO$148, FALSE))/2)</f>
        <v>-72.843868224449807</v>
      </c>
      <c r="Z28" s="102">
        <f t="array" ref="Z28">IF($G28=0, INDEX(LS_previous!$D$4:$AY$137, MATCH('Staging Table'!$A28, LS_previous!$B$4:$B$137, 0), MATCH(Z$4&amp;Z$5, LS_previous!$D$2:$AY$2&amp;LS_previous!$D$3:$AY$3, 0)),SUM(VLOOKUP($A28, LS_previous!$B$4:$AY$137, LS_previous!R$148, FALSE), VLOOKUP('Staging Table'!$A28, LS_previous!$B$4:$AY$137,LS_previous!AP$148, FALSE))/2)</f>
        <v>-743.4940697952004</v>
      </c>
      <c r="AA28" s="102">
        <f t="array" ref="AA28">IF($G28=0, INDEX(LS_previous!$D$4:$AY$137, MATCH('Staging Table'!$A28, LS_previous!$B$4:$B$137, 0), MATCH(AA$4&amp;AA$5, LS_previous!$D$2:$AY$2&amp;LS_previous!$D$3:$AY$3, 0)),SUM(VLOOKUP($A28, LS_previous!$B$4:$AY$137, LS_previous!S$148, FALSE), VLOOKUP('Staging Table'!$A28, LS_previous!$B$4:$AY$137,LS_previous!AQ$148, FALSE))/2)</f>
        <v>-289.68003113789973</v>
      </c>
      <c r="AB28" s="102">
        <f t="array" ref="AB28">IF($G28=0, INDEX(LS_previous!$D$4:$AY$137, MATCH('Staging Table'!$A28, LS_previous!$B$4:$B$137, 0), MATCH(AB$4&amp;AB$5, LS_previous!$D$2:$AY$2&amp;LS_previous!$D$3:$AY$3, 0)),SUM(VLOOKUP($A28, LS_previous!$B$4:$AY$137, LS_previous!T$148, FALSE), VLOOKUP('Staging Table'!$A28, LS_previous!$B$4:$AY$137,LS_previous!AR$148, FALSE))/2)</f>
        <v>-587.9185275924001</v>
      </c>
      <c r="AC28" s="102">
        <f t="array" ref="AC28">IF($G28=0, INDEX(LS_previous!$D$4:$AY$137, MATCH('Staging Table'!$A28, LS_previous!$B$4:$B$137, 0), MATCH(AC$4&amp;AC$5, LS_previous!$D$2:$AY$2&amp;LS_previous!$D$3:$AY$3, 0)),SUM(VLOOKUP($A28, LS_previous!$B$4:$AY$137, LS_previous!U$148, FALSE), VLOOKUP('Staging Table'!$A28, LS_previous!$B$4:$AY$137,LS_previous!AS$148, FALSE))/2)</f>
        <v>-433.35142300829989</v>
      </c>
      <c r="AD28" s="102">
        <f t="array" ref="AD28">IF($G28=0, INDEX(LS_previous!$D$4:$AY$137, MATCH('Staging Table'!$A28, LS_previous!$B$4:$B$137, 0), MATCH(AD$4&amp;AD$5, LS_previous!$D$2:$AY$2&amp;LS_previous!$D$3:$AY$3, 0)),SUM(VLOOKUP($A28, LS_previous!$B$4:$AY$137, LS_previous!V$148, FALSE), VLOOKUP('Staging Table'!$A28, LS_previous!$B$4:$AY$137,LS_previous!AT$148, FALSE))/2)</f>
        <v>-137.05095221360011</v>
      </c>
      <c r="AE28" s="102">
        <f t="array" ref="AE28">IF($G28=0, INDEX(LS_previous!$D$4:$AY$137, MATCH('Staging Table'!$A28, LS_previous!$B$4:$B$137, 0), MATCH(AE$4&amp;AE$5, LS_previous!$D$2:$AY$2&amp;LS_previous!$D$3:$AY$3, 0)),SUM(VLOOKUP($A28, LS_previous!$B$4:$AY$137, LS_previous!W$148, FALSE), VLOOKUP('Staging Table'!$A28, LS_previous!$B$4:$AY$137,LS_previous!AU$148, FALSE))/2)</f>
        <v>-62.957560418499725</v>
      </c>
      <c r="AF28" s="102">
        <f t="array" ref="AF28">IF($G28=0, INDEX(LS_previous!$D$4:$AY$137, MATCH('Staging Table'!$A28, LS_previous!$B$4:$B$137, 0), MATCH(AF$4&amp;AF$5, LS_previous!$D$2:$AY$2&amp;LS_previous!$D$3:$AY$3, 0)),SUM(VLOOKUP($A28, LS_previous!$B$4:$AY$137, LS_previous!X$148, FALSE), VLOOKUP('Staging Table'!$A28, LS_previous!$B$4:$AY$137,LS_previous!AV$148, FALSE))/2)</f>
        <v>-373.73756560410015</v>
      </c>
      <c r="AG28" s="102">
        <f t="array" ref="AG28">IF($G28=0, INDEX(LS_previous!$D$4:$AY$137, MATCH('Staging Table'!$A28, LS_previous!$B$4:$B$137, 0), MATCH(AG$4&amp;AG$5, LS_previous!$D$2:$AY$2&amp;LS_previous!$D$3:$AY$3, 0)),SUM(VLOOKUP($A28, LS_previous!$B$4:$AY$137, LS_previous!Y$148, FALSE), VLOOKUP('Staging Table'!$A28, LS_previous!$B$4:$AY$137,LS_previous!AW$148, FALSE))/2)</f>
        <v>-89.684336887390145</v>
      </c>
      <c r="AH28" s="102">
        <f t="array" ref="AH28">IF($G28=0, INDEX(LS_previous!$D$4:$AY$137, MATCH('Staging Table'!$A28, LS_previous!$B$4:$B$137, 0), MATCH(AH$4&amp;AH$5, LS_previous!$D$2:$AY$2&amp;LS_previous!$D$3:$AY$3, 0)),SUM(VLOOKUP($A28, LS_previous!$B$4:$AY$137, LS_previous!Z$148, FALSE), VLOOKUP('Staging Table'!$A28, LS_previous!$B$4:$AY$137,LS_previous!AX$148, FALSE))/2)</f>
        <v>-191.28995228760027</v>
      </c>
      <c r="AI28" s="102">
        <f t="array" ref="AI28">IF($G28=0, INDEX(LS_previous!$D$4:$AY$137, MATCH('Staging Table'!$A28, LS_previous!$B$4:$B$137, 0), MATCH(AI$4&amp;AI$5, LS_previous!$D$2:$AY$2&amp;LS_previous!$D$3:$AY$3, 0)),SUM(VLOOKUP($A28, LS_previous!$B$4:$AY$137, LS_previous!AA$148, FALSE), VLOOKUP('Staging Table'!$A28, LS_previous!$B$4:$AY$137,LS_previous!AY$148, FALSE))/2)</f>
        <v>-276.58361312960028</v>
      </c>
      <c r="AJ28" s="103">
        <f t="array" ref="AJ28">INDEX(Demand_previous!$D$4:$AY$137, MATCH('Staging Table'!$A28, Demand_previous!$B$4:$B$137, 0), MATCH(AJ$4&amp;AJ$5,Demand_previous!$D$2:$AY$2&amp;Demand_previous!$D$3:$AY$3, 0))/1000</f>
        <v>0.86258413461538386</v>
      </c>
      <c r="AK28" s="103">
        <f t="array" ref="AK28">INDEX(Demand_previous!$D$4:$AY$137, MATCH('Staging Table'!$A28, Demand_previous!$B$4:$B$137, 0), MATCH(AK$4&amp;AK$5,Demand_previous!$D$2:$AY$2&amp;Demand_previous!$D$3:$AY$3, 0))/1000</f>
        <v>0.58164000000000082</v>
      </c>
      <c r="AL28" s="103">
        <f t="array" ref="AL28">INDEX(Demand_previous!$D$4:$AY$137, MATCH('Staging Table'!$A28, Demand_previous!$B$4:$B$137, 0), MATCH(AL$4&amp;AL$5,Demand_previous!$D$2:$AY$2&amp;Demand_previous!$D$3:$AY$3, 0))/1000</f>
        <v>0.72404499999999983</v>
      </c>
      <c r="AM28" s="103">
        <f t="array" ref="AM28">INDEX(Demand_previous!$D$4:$AY$137, MATCH('Staging Table'!$A28, Demand_previous!$B$4:$B$137, 0), MATCH(AM$4&amp;AM$5,Demand_previous!$D$2:$AY$2&amp;Demand_previous!$D$3:$AY$3, 0))/1000</f>
        <v>0.85353124999999885</v>
      </c>
      <c r="AN28" s="103">
        <f t="array" ref="AN28">INDEX(Demand_previous!$D$4:$AY$137, MATCH('Staging Table'!$A28, Demand_previous!$B$4:$B$137, 0), MATCH(AN$4&amp;AN$5,Demand_previous!$D$2:$AY$2&amp;Demand_previous!$D$3:$AY$3, 0))/1000</f>
        <v>0.86973999999999929</v>
      </c>
      <c r="AO28" s="103">
        <f t="array" ref="AO28">INDEX(Demand_previous!$D$4:$AY$137, MATCH('Staging Table'!$A28, Demand_previous!$B$4:$B$137, 0), MATCH(AO$4&amp;AO$5,Demand_previous!$D$2:$AY$2&amp;Demand_previous!$D$3:$AY$3, 0))/1000</f>
        <v>0.71068509615384468</v>
      </c>
      <c r="AP28" s="103">
        <f t="array" ref="AP28">INDEX(Demand_previous!$D$4:$AY$137, MATCH('Staging Table'!$A28, Demand_previous!$B$4:$B$137, 0), MATCH(AP$4&amp;AP$5,Demand_previous!$D$2:$AY$2&amp;Demand_previous!$D$3:$AY$3, 0))/1000</f>
        <v>0.74459615384615274</v>
      </c>
      <c r="AQ28" s="103">
        <f t="array" ref="AQ28">INDEX(Demand_previous!$D$4:$AY$137, MATCH('Staging Table'!$A28, Demand_previous!$B$4:$B$137, 0), MATCH(AQ$4&amp;AQ$5,Demand_previous!$D$2:$AY$2&amp;Demand_previous!$D$3:$AY$3, 0))/1000</f>
        <v>1.0805889423076935</v>
      </c>
      <c r="AR28" s="103">
        <f t="array" ref="AR28">INDEX(Demand_previous!$D$4:$AY$137, MATCH('Staging Table'!$A28, Demand_previous!$B$4:$B$137, 0), MATCH(AR$4&amp;AR$5,Demand_previous!$D$2:$AY$2&amp;Demand_previous!$D$3:$AY$3, 0))/1000</f>
        <v>1.1409224999999998</v>
      </c>
      <c r="AS28" s="103">
        <f t="array" ref="AS28">INDEX(Demand_previous!$D$4:$AY$137, MATCH('Staging Table'!$A28, Demand_previous!$B$4:$B$137, 0), MATCH(AS$4&amp;AS$5,Demand_previous!$D$2:$AY$2&amp;Demand_previous!$D$3:$AY$3, 0))/1000</f>
        <v>1.2687475961538448</v>
      </c>
      <c r="AT28" s="103">
        <f t="array" ref="AT28">INDEX(Demand_previous!$D$4:$AY$137, MATCH('Staging Table'!$A28, Demand_previous!$B$4:$B$137, 0), MATCH(AT$4&amp;AT$5,Demand_previous!$D$2:$AY$2&amp;Demand_previous!$D$3:$AY$3, 0))/1000</f>
        <v>1.5865509259259252</v>
      </c>
      <c r="AU28" s="103">
        <f t="array" ref="AU28">INDEX(Demand_previous!$D$4:$AY$137, MATCH('Staging Table'!$A28, Demand_previous!$B$4:$B$137, 0), MATCH(AU$4&amp;AU$5,Demand_previous!$D$2:$AY$2&amp;Demand_previous!$D$3:$AY$3, 0))/1000</f>
        <v>0.95504166666666701</v>
      </c>
      <c r="AV28" s="102">
        <f>$F28*(VLOOKUP(AV$4, Rates_previous!$G$6:$Q$29, 10, FALSE)+VLOOKUP(AV$4, Rates_previous!$G$6:$Q$29, 11, FALSE))</f>
        <v>2942.1937432701002</v>
      </c>
      <c r="AW28" s="102">
        <f>$F28*(VLOOKUP(AW$4, Rates_previous!$G$6:$Q$29, 10, FALSE)+VLOOKUP(AW$4, Rates_previous!$G$6:$Q$29, 11, FALSE))</f>
        <v>3752.2672198066007</v>
      </c>
      <c r="AX28" s="102">
        <f>$F28*(VLOOKUP(AX$4, Rates_previous!$G$6:$Q$29, 10, FALSE)+VLOOKUP(AX$4, Rates_previous!$G$6:$Q$29, 11, FALSE))</f>
        <v>4049.4387579690006</v>
      </c>
      <c r="AY28" s="102">
        <f>$F28*(VLOOKUP(AY$4, Rates_previous!$G$6:$Q$29, 10, FALSE)+VLOOKUP(AY$4, Rates_previous!$G$6:$Q$29, 11, FALSE))</f>
        <v>4207.9928634655998</v>
      </c>
      <c r="AZ28" s="102">
        <f>$F28*(VLOOKUP(AZ$4, Rates_previous!$G$6:$Q$29, 10, FALSE)+VLOOKUP(AZ$4, Rates_previous!$G$6:$Q$29, 11, FALSE))</f>
        <v>3619.4347522211997</v>
      </c>
      <c r="BA28" s="102">
        <f>$F28*(VLOOKUP(BA$4, Rates_previous!$G$6:$Q$29, 10, FALSE)+VLOOKUP(BA$4, Rates_previous!$G$6:$Q$29, 11, FALSE))</f>
        <v>3951.7061373833999</v>
      </c>
      <c r="BB28" s="102">
        <f>$F28*(VLOOKUP(BB$4, Rates_previous!$G$6:$Q$29, 10, FALSE)+VLOOKUP(BB$4, Rates_previous!$G$6:$Q$29, 11, FALSE))</f>
        <v>3119.20605225295</v>
      </c>
      <c r="BC28" s="102">
        <f>$F28*(VLOOKUP(BC$4, Rates_previous!$G$6:$Q$29, 10, FALSE)+VLOOKUP(BC$4, Rates_previous!$G$6:$Q$29, 11, FALSE))</f>
        <v>3869.7931009331005</v>
      </c>
      <c r="BD28" s="102">
        <f>$F28*(VLOOKUP(BD$4, Rates_previous!$G$6:$Q$29, 10, FALSE)+VLOOKUP(BD$4, Rates_previous!$G$6:$Q$29, 11, FALSE))</f>
        <v>3953.7579506007</v>
      </c>
      <c r="BE28" s="102">
        <f>$F28*(VLOOKUP(BE$4, Rates_previous!$G$6:$Q$29, 10, FALSE)+VLOOKUP(BE$4, Rates_previous!$G$6:$Q$29, 11, FALSE))</f>
        <v>3432.4315126321003</v>
      </c>
      <c r="BF28" s="102">
        <f>$F28*(VLOOKUP(BF$4, Rates_previous!$G$6:$Q$29, 10, FALSE)+VLOOKUP(BF$4, Rates_previous!$G$6:$Q$29, 11, FALSE))</f>
        <v>3318.2489024914908</v>
      </c>
      <c r="BG28" s="102">
        <f>$F28*(VLOOKUP(BG$4, Rates_previous!$G$6:$Q$29, 10, FALSE)+VLOOKUP(BG$4, Rates_previous!$G$6:$Q$29, 11, FALSE))</f>
        <v>3053.4315654172005</v>
      </c>
      <c r="BH28" s="103">
        <f>IF($D28=0,IF(C28=0, MAX(BJ28 - (VLOOKUP($A28,TOCA_previous!$A$2:$AJ$136,MATCH("RHWM "&amp;Init!$D$1-2,TOCA_previous!$A$2:$AJ$2,0),FALSE)*$F$2*TOCA_previous!C25),0),0), 0)</f>
        <v>0</v>
      </c>
      <c r="BI28" s="109">
        <f>MIN(VLOOKUP($A28,TOCA_previous!$A$2:$AJ$136,MATCH("TRL - NLSL - Existing Resource "&amp;$F$1,TOCA_previous!$A$2:$AJ$2,0),FALSE)*$F$2,(VLOOKUP($A28,TOCA_previous!$A$2:$AJ$136,MATCH("RHWM "&amp;Init!$D$1-2,TOCA_previous!$A$2:$AJ$2,0),FALSE)*$F$2))</f>
        <v>42312.527999999998</v>
      </c>
      <c r="BJ28" s="261">
        <f>SUM(L28:AI28)+(F28*RT1SC!$C$3*$F$2)</f>
        <v>39262.849198340562</v>
      </c>
      <c r="BK28" s="260">
        <f>VLOOKUP($A28,TOCA_previous!$A$2:$AJ$136,MATCH("Above RHWM Not Served with LS "&amp;$F$1,TOCA_previous!$A$2:$AJ$2,0),FALSE)*$F$2</f>
        <v>28275.696</v>
      </c>
      <c r="BL28" s="261">
        <f t="shared" si="21"/>
        <v>-3049.6788016594364</v>
      </c>
      <c r="BM28" s="260">
        <f>(VLOOKUP($A28,TOCA_previous!$A$2:$AJ$136,MATCH("RHWM "&amp;Init!$D$1-2,TOCA_previous!$A$2:$AJ$2,0),FALSE)*$F$2) - $BI28</f>
        <v>0</v>
      </c>
      <c r="BN28" s="261">
        <f t="shared" si="22"/>
        <v>0</v>
      </c>
      <c r="BO28" s="260">
        <f t="shared" si="23"/>
        <v>0</v>
      </c>
      <c r="BP28" s="261">
        <f t="shared" si="24"/>
        <v>0</v>
      </c>
      <c r="BQ28" s="260">
        <f t="shared" si="9"/>
        <v>0</v>
      </c>
      <c r="BR28" s="85">
        <f>VLOOKUP($A28,TOCA_current!$A$2:$ZZ$136,MATCH(BR$4,TOCA_current!$A$2:$ZZ$2,0),FALSE)</f>
        <v>6.8150000000000003E-4</v>
      </c>
      <c r="BS28" s="85">
        <f>VLOOKUP($A28,TOCA_current!$A$2:$ZZ$136,MATCH(BS$4,TOCA_current!$A$2:$ZZ$2,0),FALSE)</f>
        <v>6.8150000000000003E-4</v>
      </c>
      <c r="BT28" s="108">
        <f t="shared" si="25"/>
        <v>0</v>
      </c>
      <c r="BU28" s="85">
        <f>VLOOKUP($A28,TOCA_current!A25:BG159,MATCH(BU$4,TOCA_current!$A$2:$BG$2,0),FALSE)</f>
        <v>0</v>
      </c>
      <c r="BV28" s="85">
        <f t="shared" si="26"/>
        <v>0</v>
      </c>
      <c r="BW28" s="85">
        <f t="shared" si="27"/>
        <v>0</v>
      </c>
      <c r="BX28" s="101">
        <f>VLOOKUP($A28,IRD!$A$4:$G$138, 7, FALSE)</f>
        <v>0</v>
      </c>
      <c r="BY28" s="102">
        <f t="array" ref="BY28">IF($BT28=0, INDEX(LS_current!$D$4:$BW$137, MATCH('Staging Table'!$A28, LS_current!$B$4:$B$137, 0), MATCH(BY$4&amp;BY$5, LS_current!$D$2:$BW$2&amp;LS_current!$D$3:$BW$3, 0)),SUM(VLOOKUP($A28, LS_current!$B$4:$BW$137, LS_current!D$147, FALSE), VLOOKUP($A28, LS_current!$B$4:$BW$137,LS_current!AZ$147, FALSE))/2)</f>
        <v>290.66487759853999</v>
      </c>
      <c r="BZ28" s="102">
        <f t="array" ref="BZ28">IF($BT28=0, INDEX(LS_current!$D$4:$BW$137, MATCH('Staging Table'!$A28, LS_current!$B$4:$B$137, 0), MATCH(BZ$4&amp;BZ$5, LS_current!$D$2:$BW$2&amp;LS_current!$D$3:$BW$3, 0)),SUM(VLOOKUP($A28, LS_current!$B$4:$BW$137, LS_current!E$147, FALSE), VLOOKUP($A28, LS_current!$B$4:$BW$137,LS_current!BA$147, FALSE))/2)</f>
        <v>217.28111708780716</v>
      </c>
      <c r="CA28" s="102">
        <f t="array" ref="CA28">IF($BT28=0, INDEX(LS_current!$D$4:$BW$137, MATCH('Staging Table'!$A28, LS_current!$B$4:$B$137, 0), MATCH(CA$4&amp;CA$5, LS_current!$D$2:$BW$2&amp;LS_current!$D$3:$BW$3, 0)),SUM(VLOOKUP($A28, LS_current!$B$4:$BW$137, LS_current!F$147, FALSE), VLOOKUP($A28, LS_current!$B$4:$BW$137,LS_current!BB$147, FALSE))/2)</f>
        <v>-221.4318581984819</v>
      </c>
      <c r="CB28" s="102">
        <f t="array" ref="CB28">IF($BT28=0, INDEX(LS_current!$D$4:$BW$137, MATCH('Staging Table'!$A28, LS_current!$B$4:$B$137, 0), MATCH(CB$4&amp;CB$5, LS_current!$D$2:$BW$2&amp;LS_current!$D$3:$BW$3, 0)),SUM(VLOOKUP($A28, LS_current!$B$4:$BW$137, LS_current!G$147, FALSE), VLOOKUP($A28, LS_current!$B$4:$BW$137,LS_current!BC$147, FALSE))/2)</f>
        <v>130.11969212335975</v>
      </c>
      <c r="CC28" s="102">
        <f t="array" ref="CC28">IF($BT28=0, INDEX(LS_current!$D$4:$BW$137, MATCH('Staging Table'!$A28, LS_current!$B$4:$B$137, 0), MATCH(CC$4&amp;CC$5, LS_current!$D$2:$BW$2&amp;LS_current!$D$3:$BW$3, 0)),SUM(VLOOKUP($A28, LS_current!$B$4:$BW$137, LS_current!H$147, FALSE), VLOOKUP($A28, LS_current!$B$4:$BW$137,LS_current!BD$147, FALSE))/2)</f>
        <v>18.050654012707582</v>
      </c>
      <c r="CD28" s="102">
        <f t="array" ref="CD28">IF($BT28=0, INDEX(LS_current!$D$4:$BW$137, MATCH('Staging Table'!$A28, LS_current!$B$4:$B$137, 0), MATCH(CD$4&amp;CD$5, LS_current!$D$2:$BW$2&amp;LS_current!$D$3:$BW$3, 0)),SUM(VLOOKUP($A28, LS_current!$B$4:$BW$137, LS_current!I$147, FALSE), VLOOKUP($A28, LS_current!$B$4:$BW$137,LS_current!BE$147, FALSE))/2)</f>
        <v>398.63870099396172</v>
      </c>
      <c r="CE28" s="102">
        <f t="array" ref="CE28">IF($BT28=0, INDEX(LS_current!$D$4:$BW$137, MATCH('Staging Table'!$A28, LS_current!$B$4:$B$137, 0), MATCH(CE$4&amp;CE$5, LS_current!$D$2:$BW$2&amp;LS_current!$D$3:$BW$3, 0)),SUM(VLOOKUP($A28, LS_current!$B$4:$BW$137, LS_current!J$147, FALSE), VLOOKUP($A28, LS_current!$B$4:$BW$137,LS_current!BF$147, FALSE))/2)</f>
        <v>-74.324140379907476</v>
      </c>
      <c r="CF28" s="102">
        <f t="array" ref="CF28">IF($BT28=0, INDEX(LS_current!$D$4:$BW$137, MATCH('Staging Table'!$A28, LS_current!$B$4:$B$137, 0), MATCH(CF$4&amp;CF$5, LS_current!$D$2:$BW$2&amp;LS_current!$D$3:$BW$3, 0)),SUM(VLOOKUP($A28, LS_current!$B$4:$BW$137, LS_current!K$147, FALSE), VLOOKUP($A28, LS_current!$B$4:$BW$137,LS_current!BG$147, FALSE))/2)</f>
        <v>346.69195901185844</v>
      </c>
      <c r="CG28" s="102">
        <f t="array" ref="CG28">IF($BT28=0, INDEX(LS_current!$D$4:$BW$137, MATCH('Staging Table'!$A28, LS_current!$B$4:$B$137, 0), MATCH(CG$4&amp;CG$5, LS_current!$D$2:$BW$2&amp;LS_current!$D$3:$BW$3, 0)),SUM(VLOOKUP($A28, LS_current!$B$4:$BW$137, LS_current!L$147, FALSE), VLOOKUP($A28, LS_current!$B$4:$BW$137,LS_current!BH$147, FALSE))/2)</f>
        <v>39.106753691703943</v>
      </c>
      <c r="CH28" s="102">
        <f t="array" ref="CH28">IF($BT28=0, INDEX(LS_current!$D$4:$BW$137, MATCH('Staging Table'!$A28, LS_current!$B$4:$B$137, 0), MATCH(CH$4&amp;CH$5, LS_current!$D$2:$BW$2&amp;LS_current!$D$3:$BW$3, 0)),SUM(VLOOKUP($A28, LS_current!$B$4:$BW$137, LS_current!M$147, FALSE), VLOOKUP($A28, LS_current!$B$4:$BW$137,LS_current!BI$147, FALSE))/2)</f>
        <v>299.46469861086393</v>
      </c>
      <c r="CI28" s="102">
        <f t="array" ref="CI28">IF($BT28=0, INDEX(LS_current!$D$4:$BW$137, MATCH('Staging Table'!$A28, LS_current!$B$4:$B$137, 0), MATCH(CI$4&amp;CI$5, LS_current!$D$2:$BW$2&amp;LS_current!$D$3:$BW$3, 0)),SUM(VLOOKUP($A28, LS_current!$B$4:$BW$137, LS_current!N$147, FALSE), VLOOKUP($A28, LS_current!$B$4:$BW$137,LS_current!BJ$147, FALSE))/2)</f>
        <v>-308.02931504148773</v>
      </c>
      <c r="CJ28" s="102">
        <f t="array" ref="CJ28">IF($BT28=0, INDEX(LS_current!$D$4:$BW$137, MATCH('Staging Table'!$A28, LS_current!$B$4:$B$137, 0), MATCH(CJ$4&amp;CJ$5, LS_current!$D$2:$BW$2&amp;LS_current!$D$3:$BW$3, 0)),SUM(VLOOKUP($A28, LS_current!$B$4:$BW$137, LS_current!O$147, FALSE), VLOOKUP($A28, LS_current!$B$4:$BW$137,LS_current!BK$147, FALSE))/2)</f>
        <v>232.44514373708625</v>
      </c>
      <c r="CK28" s="102">
        <f t="array" ref="CK28">IF($BT28=0, INDEX(LS_current!$D$4:$BW$137, MATCH('Staging Table'!$A28, LS_current!$B$4:$B$137, 0), MATCH(CK$4&amp;CK$5, LS_current!$D$2:$BW$2&amp;LS_current!$D$3:$BW$3, 0)),SUM(VLOOKUP($A28, LS_current!$B$4:$BW$137, LS_current!P$147, FALSE), VLOOKUP($A28, LS_current!$B$4:$BW$137,LS_current!BL$147, FALSE))/2)</f>
        <v>143.44157606087401</v>
      </c>
      <c r="CL28" s="102">
        <f t="array" ref="CL28">IF($BT28=0, INDEX(LS_current!$D$4:$BW$137, MATCH('Staging Table'!$A28, LS_current!$B$4:$B$137, 0), MATCH(CL$4&amp;CL$5, LS_current!$D$2:$BW$2&amp;LS_current!$D$3:$BW$3, 0)),SUM(VLOOKUP($A28, LS_current!$B$4:$BW$137, LS_current!Q$147, FALSE), VLOOKUP($A28, LS_current!$B$4:$BW$137,LS_current!BM$147, FALSE))/2)</f>
        <v>129.92847963316171</v>
      </c>
      <c r="CM28" s="102">
        <f t="array" ref="CM28">IF($BT28=0, INDEX(LS_current!$D$4:$BW$137, MATCH('Staging Table'!$A28, LS_current!$B$4:$B$137, 0), MATCH(CM$4&amp;CM$5, LS_current!$D$2:$BW$2&amp;LS_current!$D$3:$BW$3, 0)),SUM(VLOOKUP($A28, LS_current!$B$4:$BW$137, LS_current!R$147, FALSE), VLOOKUP($A28, LS_current!$B$4:$BW$137,LS_current!BN$147, FALSE))/2)</f>
        <v>-493.91900930622523</v>
      </c>
      <c r="CN28" s="102">
        <f t="array" ref="CN28">IF($BT28=0, INDEX(LS_current!$D$4:$BW$137, MATCH('Staging Table'!$A28, LS_current!$B$4:$B$137, 0), MATCH(CN$4&amp;CN$5, LS_current!$D$2:$BW$2&amp;LS_current!$D$3:$BW$3, 0)),SUM(VLOOKUP($A28, LS_current!$B$4:$BW$137, LS_current!S$147, FALSE), VLOOKUP($A28, LS_current!$B$4:$BW$137,LS_current!BO$147, FALSE))/2)</f>
        <v>-196.2192269214072</v>
      </c>
      <c r="CO28" s="102">
        <f t="array" ref="CO28">IF($BT28=0, INDEX(LS_current!$D$4:$BW$137, MATCH('Staging Table'!$A28, LS_current!$B$4:$B$137, 0), MATCH(CO$4&amp;CO$5, LS_current!$D$2:$BW$2&amp;LS_current!$D$3:$BW$3, 0)),SUM(VLOOKUP($A28, LS_current!$B$4:$BW$137, LS_current!T$147, FALSE), VLOOKUP($A28, LS_current!$B$4:$BW$137,LS_current!BP$147, FALSE))/2)</f>
        <v>-532.34991141656428</v>
      </c>
      <c r="CP28" s="102">
        <f t="array" ref="CP28">IF($BT28=0, INDEX(LS_current!$D$4:$BW$137, MATCH('Staging Table'!$A28, LS_current!$B$4:$B$137, 0), MATCH(CP$4&amp;CP$5, LS_current!$D$2:$BW$2&amp;LS_current!$D$3:$BW$3, 0)),SUM(VLOOKUP($A28, LS_current!$B$4:$BW$137, LS_current!U$147, FALSE), VLOOKUP($A28, LS_current!$B$4:$BW$137,LS_current!BQ$147, FALSE))/2)</f>
        <v>-151.34570247941201</v>
      </c>
      <c r="CQ28" s="102">
        <f t="array" ref="CQ28">IF($BT28=0, INDEX(LS_current!$D$4:$BW$137, MATCH('Staging Table'!$A28, LS_current!$B$4:$B$137, 0), MATCH(CQ$4&amp;CQ$5, LS_current!$D$2:$BW$2&amp;LS_current!$D$3:$BW$3, 0)),SUM(VLOOKUP($A28, LS_current!$B$4:$BW$137, LS_current!V$147, FALSE), VLOOKUP($A28, LS_current!$B$4:$BW$137,LS_current!BR$147, FALSE))/2)</f>
        <v>-34.142760405853096</v>
      </c>
      <c r="CR28" s="102">
        <f t="array" ref="CR28">IF($BT28=0, INDEX(LS_current!$D$4:$BW$137, MATCH('Staging Table'!$A28, LS_current!$B$4:$B$137, 0), MATCH(CR$4&amp;CR$5, LS_current!$D$2:$BW$2&amp;LS_current!$D$3:$BW$3, 0)),SUM(VLOOKUP($A28, LS_current!$B$4:$BW$137, LS_current!W$147, FALSE), VLOOKUP($A28, LS_current!$B$4:$BW$137,LS_current!BS$147, FALSE))/2)</f>
        <v>84.360356137370673</v>
      </c>
      <c r="CS28" s="102">
        <f t="array" ref="CS28">IF($BT28=0, INDEX(LS_current!$D$4:$BW$137, MATCH('Staging Table'!$A28, LS_current!$B$4:$B$137, 0), MATCH(CS$4&amp;CS$5, LS_current!$D$2:$BW$2&amp;LS_current!$D$3:$BW$3, 0)),SUM(VLOOKUP($A28, LS_current!$B$4:$BW$137, LS_current!X$147, FALSE), VLOOKUP($A28, LS_current!$B$4:$BW$137,LS_current!BT$147, FALSE))/2)</f>
        <v>-419.46254950026741</v>
      </c>
      <c r="CT28" s="102">
        <f t="array" ref="CT28">IF($BT28=0, INDEX(LS_current!$D$4:$BW$137, MATCH('Staging Table'!$A28, LS_current!$B$4:$B$137, 0), MATCH(CT$4&amp;CT$5, LS_current!$D$2:$BW$2&amp;LS_current!$D$3:$BW$3, 0)),SUM(VLOOKUP($A28, LS_current!$B$4:$BW$137, LS_current!Y$147, FALSE), VLOOKUP($A28, LS_current!$B$4:$BW$137,LS_current!BU$147, FALSE))/2)</f>
        <v>3.1309276656113525</v>
      </c>
      <c r="CU28" s="102">
        <f t="array" ref="CU28">IF($BT28=0, INDEX(LS_current!$D$4:$BW$137, MATCH('Staging Table'!$A28, LS_current!$B$4:$B$137, 0), MATCH(CU$4&amp;CU$5, LS_current!$D$2:$BW$2&amp;LS_current!$D$3:$BW$3, 0)),SUM(VLOOKUP($A28, LS_current!$B$4:$BW$137, LS_current!Z$147, FALSE), VLOOKUP($A28, LS_current!$B$4:$BW$137,LS_current!BV$147, FALSE))/2)</f>
        <v>13.913178919527581</v>
      </c>
      <c r="CV28" s="102">
        <f t="array" ref="CV28">IF($BT28=0, INDEX(LS_current!$D$4:$BW$137, MATCH('Staging Table'!$A28, LS_current!$B$4:$B$137, 0), MATCH(CV$4&amp;CV$5, LS_current!$D$2:$BW$2&amp;LS_current!$D$3:$BW$3, 0)),SUM(VLOOKUP($A28, LS_current!$B$4:$BW$137, LS_current!AA$147, FALSE), VLOOKUP($A28, LS_current!$B$4:$BW$137,LS_current!BW$147, FALSE))/2)</f>
        <v>81.534996921105176</v>
      </c>
      <c r="CW28" s="103">
        <f t="array" ref="CW28">INDEX(Demand_current!$D$4:$BW$137, MATCH($A28, Demand_current!$B$4:$B$137, 0), MATCH(CW$4&amp;CW$5,Demand_current!$D$2:$BW$2&amp;Demand_current!$D$3:$BW$3, 0))/1000</f>
        <v>1.1555624999999994</v>
      </c>
      <c r="CX28" s="103">
        <f t="array" ref="CX28">INDEX(Demand_current!$D$4:$BW$137, MATCH($A28, Demand_current!$B$4:$B$137, 0), MATCH(CX$4&amp;CX$5,Demand_current!$D$2:$BW$2&amp;Demand_current!$D$3:$BW$3, 0))/1000</f>
        <v>0.26254166666666712</v>
      </c>
      <c r="CY28" s="103">
        <f t="array" ref="CY28">INDEX(Demand_current!$D$4:$BW$137, MATCH($A28, Demand_current!$B$4:$B$137, 0), MATCH(CY$4&amp;CY$5,Demand_current!$D$2:$BW$2&amp;Demand_current!$D$3:$BW$3, 0))/1000</f>
        <v>1.0937740384615391</v>
      </c>
      <c r="CZ28" s="103">
        <f t="array" ref="CZ28">INDEX(Demand_current!$D$4:$BW$137, MATCH($A28, Demand_current!$B$4:$B$137, 0), MATCH(CZ$4&amp;CZ$5,Demand_current!$D$2:$BW$2&amp;Demand_current!$D$3:$BW$3, 0))/1000</f>
        <v>0.85353124999999885</v>
      </c>
      <c r="DA28" s="103">
        <f t="array" ref="DA28">INDEX(Demand_current!$D$4:$BW$137, MATCH($A28, Demand_current!$B$4:$B$137, 0), MATCH(DA$4&amp;DA$5,Demand_current!$D$2:$BW$2&amp;Demand_current!$D$3:$BW$3, 0))/1000</f>
        <v>0.52193750000000083</v>
      </c>
      <c r="DB28" s="103">
        <f t="array" ref="DB28">INDEX(Demand_current!$D$4:$BW$137, MATCH($A28, Demand_current!$B$4:$B$137, 0), MATCH(DB$4&amp;DB$5,Demand_current!$D$2:$BW$2&amp;Demand_current!$D$3:$BW$3, 0))/1000</f>
        <v>0.71068509615384468</v>
      </c>
      <c r="DC28" s="103">
        <f t="array" ref="DC28">INDEX(Demand_current!$D$4:$BW$137, MATCH($A28, Demand_current!$B$4:$B$137, 0), MATCH(DC$4&amp;DC$5,Demand_current!$D$2:$BW$2&amp;Demand_current!$D$3:$BW$3, 0))/1000</f>
        <v>0.74459615384615274</v>
      </c>
      <c r="DD28" s="103">
        <f t="array" ref="DD28">INDEX(Demand_current!$D$4:$BW$137, MATCH($A28, Demand_current!$B$4:$B$137, 0), MATCH(DD$4&amp;DD$5,Demand_current!$D$2:$BW$2&amp;Demand_current!$D$3:$BW$3, 0))/1000</f>
        <v>0.79721250000000121</v>
      </c>
      <c r="DE28" s="103">
        <f t="array" ref="DE28">INDEX(Demand_current!$D$4:$BW$137, MATCH($A28, Demand_current!$B$4:$B$137, 0), MATCH(DE$4&amp;DE$5,Demand_current!$D$2:$BW$2&amp;Demand_current!$D$3:$BW$3, 0))/1000</f>
        <v>1.4469254807692304</v>
      </c>
      <c r="DF28" s="103">
        <f t="array" ref="DF28">INDEX(Demand_current!$D$4:$BW$137, MATCH($A28, Demand_current!$B$4:$B$137, 0), MATCH(DF$4&amp;DF$5,Demand_current!$D$2:$BW$2&amp;Demand_current!$D$3:$BW$3, 0))/1000</f>
        <v>1.2687475961538448</v>
      </c>
      <c r="DG28" s="103">
        <f t="array" ref="DG28">INDEX(Demand_current!$D$4:$BW$137, MATCH($A28, Demand_current!$B$4:$B$137, 0), MATCH(DG$4&amp;DG$5,Demand_current!$D$2:$BW$2&amp;Demand_current!$D$3:$BW$3, 0))/1000</f>
        <v>1.3086105769230763</v>
      </c>
      <c r="DH28" s="103">
        <f t="array" ref="DH28">INDEX(Demand_current!$D$4:$BW$137, MATCH($A28, Demand_current!$B$4:$B$137, 0), MATCH(DH$4&amp;DH$5,Demand_current!$D$2:$BW$2&amp;Demand_current!$D$3:$BW$3, 0))/1000</f>
        <v>1.253840000000001</v>
      </c>
      <c r="DI28" s="102">
        <f>$BS28*(VLOOKUP(DI$4, Rates_current!$H$6:$R$41, 10, FALSE)+VLOOKUP(DI$4, Rates_current!$H$6:$R$41, 11, FALSE))</f>
        <v>2828.421005313653</v>
      </c>
      <c r="DJ28" s="102">
        <f>$BS28*(VLOOKUP(DJ$4, Rates_current!$H$6:$R$41, 10, FALSE)+VLOOKUP(DJ$4, Rates_current!$H$6:$R$41, 11, FALSE))</f>
        <v>3616.0431660751228</v>
      </c>
      <c r="DK28" s="102">
        <f>$BS28*(VLOOKUP(DK$4, Rates_current!$H$6:$R$41, 10, FALSE)+VLOOKUP(DK$4, Rates_current!$H$6:$R$41, 11, FALSE))</f>
        <v>4111.1386449933307</v>
      </c>
      <c r="DL28" s="102">
        <f>$BS28*(VLOOKUP(DL$4, Rates_current!$H$6:$R$41, 10, FALSE)+VLOOKUP(DL$4, Rates_current!$H$6:$R$41, 11, FALSE))</f>
        <v>4337.5721813680484</v>
      </c>
      <c r="DM28" s="102">
        <f>$BS28*(VLOOKUP(DM$4, Rates_current!$H$6:$R$41, 10, FALSE)+VLOOKUP(DM$4, Rates_current!$H$6:$R$41, 11, FALSE))</f>
        <v>3456.6535476974323</v>
      </c>
      <c r="DN28" s="102">
        <f>$BS28*(VLOOKUP(DN$4, Rates_current!$H$6:$R$41, 10, FALSE)+VLOOKUP(DN$4, Rates_current!$H$6:$R$41, 11, FALSE))</f>
        <v>3778.8321713044011</v>
      </c>
      <c r="DO28" s="102">
        <f>$BS28*(VLOOKUP(DO$4, Rates_current!$H$6:$R$41, 10, FALSE)+VLOOKUP(DO$4, Rates_current!$H$6:$R$41, 11, FALSE))</f>
        <v>2928.6329443059649</v>
      </c>
      <c r="DP28" s="102">
        <f>$BS28*(VLOOKUP(DP$4, Rates_current!$H$6:$R$41, 10, FALSE)+VLOOKUP(DP$4, Rates_current!$H$6:$R$41, 11, FALSE))</f>
        <v>3790.1332362276321</v>
      </c>
      <c r="DQ28" s="102">
        <f>$BS28*(VLOOKUP(DQ$4, Rates_current!$H$6:$R$41, 10, FALSE)+VLOOKUP(DQ$4, Rates_current!$H$6:$R$41, 11, FALSE))</f>
        <v>3871.0636138959767</v>
      </c>
      <c r="DR28" s="102">
        <f>$BS28*(VLOOKUP(DR$4, Rates_current!$H$6:$R$41, 10, FALSE)+VLOOKUP(DR$4, Rates_current!$H$6:$R$41, 11, FALSE))</f>
        <v>3445.5814042684824</v>
      </c>
      <c r="DS28" s="102">
        <f>$BS28*(VLOOKUP(DS$4, Rates_current!$H$6:$R$41, 10, FALSE)+VLOOKUP(DS$4, Rates_current!$H$6:$R$41, 11, FALSE))</f>
        <v>3534.5346218346558</v>
      </c>
      <c r="DT28" s="102">
        <f>$BS28*(VLOOKUP(DT$4, Rates_current!$H$6:$R$41, 10, FALSE)+VLOOKUP(DT$4, Rates_current!$H$6:$R$41, 11, FALSE))</f>
        <v>2744.9898241593669</v>
      </c>
      <c r="DU28" s="261">
        <f>IF(D28=0,IF(C28=0,MAX(0,DW28 - (VLOOKUP($A28,TOCA_current!$A$2:$AV$136,MATCH("RHWM "&amp;Init!$D$1,TOCA_current!$A$2:$AV$2,0),FALSE)*$BS$2)), 0),0)</f>
        <v>0</v>
      </c>
      <c r="DV28" s="262">
        <f>MIN(VLOOKUP($A28,TOCA_current!$A$2:$AV$136,MATCH("TRL - NLSL - Existing Resource "&amp;$BS$1,TOCA_current!$A$2:$AV$2,0),FALSE)*$BS$2, VLOOKUP($A28,TOCA_current!$A$2:$AV$136,MATCH("RHWM "&amp;Init!$D$1,TOCA_current!$A$2:$AV$2,0),FALSE)*$BS$2)</f>
        <v>42442.2</v>
      </c>
      <c r="DW28" s="262">
        <f>SUM(BY28:CV28)+(BS28*RT1SC!$C$4*$BS$2)</f>
        <v>42441.14750543594</v>
      </c>
      <c r="DX28" s="262">
        <f>VLOOKUP($A28,TOCA_current!$A$2:$AV$136,MATCH("Above RHWM Not Served with LS "&amp;$BS$1,TOCA_current!$A$2:$AV$2,0),FALSE)*$BS$2</f>
        <v>25097.4</v>
      </c>
      <c r="DY28" s="262">
        <f t="shared" si="28"/>
        <v>-1.0524945640572696</v>
      </c>
      <c r="DZ28" s="262">
        <f>(VLOOKUP($A28,TOCA_current!$A$2:$AV$136,MATCH("RHWM "&amp;Init!$D$1,TOCA_current!$A$2:$AV$2,0),FALSE)*$BS$2) - $DV28</f>
        <v>0</v>
      </c>
      <c r="EA28" s="262">
        <f t="shared" si="29"/>
        <v>0</v>
      </c>
      <c r="EB28" s="262">
        <f t="shared" si="30"/>
        <v>0</v>
      </c>
      <c r="EC28" s="262">
        <f t="shared" si="31"/>
        <v>0</v>
      </c>
      <c r="ED28" s="262">
        <f t="shared" si="32"/>
        <v>0</v>
      </c>
    </row>
    <row r="29" spans="1:134">
      <c r="A29" s="2">
        <v>10078</v>
      </c>
      <c r="B29" s="3" t="s">
        <v>31</v>
      </c>
      <c r="C29">
        <f>VLOOKUP(A29, TOCA_current!$A$3:$D$136, 4, FALSE)</f>
        <v>0</v>
      </c>
      <c r="D29">
        <v>0</v>
      </c>
      <c r="E29" s="84">
        <f>VLOOKUP($A29,TOCA_previous!$A$2:$AJ$136,MATCH(E$4,TOCA_previous!$A$2:$AJ$2,0),FALSE)</f>
        <v>5.3830000000000002E-4</v>
      </c>
      <c r="F29" s="85">
        <f>VLOOKUP($A29,TOCA_previous!$A$2:$AJ$136,MATCH(F$4,TOCA_previous!$A$2:$AJ$2,0),FALSE)</f>
        <v>5.3830000000000002E-4</v>
      </c>
      <c r="G29" s="85">
        <f t="shared" si="18"/>
        <v>0</v>
      </c>
      <c r="H29" s="85">
        <f>VLOOKUP($A29,TOCA_previous!$A$2:$AJ$136,MATCH(H$4,TOCA_previous!$A$2:$AJ$2,0),FALSE)</f>
        <v>0</v>
      </c>
      <c r="I29" s="85">
        <f t="shared" si="19"/>
        <v>0</v>
      </c>
      <c r="J29" s="85">
        <f t="shared" si="20"/>
        <v>0</v>
      </c>
      <c r="K29" s="101">
        <f>VLOOKUP(A29, IRD!$A$5:$C$138, 3, FALSE)</f>
        <v>0</v>
      </c>
      <c r="L29" s="102">
        <f t="array" ref="L29">IF($G29=0, INDEX(LS_previous!$D$4:$AY$137, MATCH('Staging Table'!$A29, LS_previous!$B$4:$B$137, 0), MATCH(L$4&amp;L$5, LS_previous!$D$2:$AY$2&amp;LS_previous!$D$3:$AY$3, 0)),SUM(VLOOKUP($A29, LS_previous!$B$4:$AY$137, LS_previous!D$148, FALSE), VLOOKUP('Staging Table'!$A29, LS_previous!$B$4:$AY$137,LS_previous!AB$148, FALSE))/2)</f>
        <v>456.84437542119986</v>
      </c>
      <c r="M29" s="102">
        <f t="array" ref="M29">IF($G29=0, INDEX(LS_previous!$D$4:$AY$137, MATCH('Staging Table'!$A29, LS_previous!$B$4:$B$137, 0), MATCH(M$4&amp;M$5, LS_previous!$D$2:$AY$2&amp;LS_previous!$D$3:$AY$3, 0)),SUM(VLOOKUP($A29, LS_previous!$B$4:$AY$137, LS_previous!E$148, FALSE), VLOOKUP('Staging Table'!$A29, LS_previous!$B$4:$AY$137,LS_previous!AC$148, FALSE))/2)</f>
        <v>-49.267440236649918</v>
      </c>
      <c r="N29" s="102">
        <f t="array" ref="N29">IF($G29=0, INDEX(LS_previous!$D$4:$AY$137, MATCH('Staging Table'!$A29, LS_previous!$B$4:$B$137, 0), MATCH(N$4&amp;N$5, LS_previous!$D$2:$AY$2&amp;LS_previous!$D$3:$AY$3, 0)),SUM(VLOOKUP($A29, LS_previous!$B$4:$AY$137, LS_previous!F$148, FALSE), VLOOKUP('Staging Table'!$A29, LS_previous!$B$4:$AY$137,LS_previous!AD$148, FALSE))/2)</f>
        <v>140.56347133759982</v>
      </c>
      <c r="O29" s="102">
        <f t="array" ref="O29">IF($G29=0, INDEX(LS_previous!$D$4:$AY$137, MATCH('Staging Table'!$A29, LS_previous!$B$4:$B$137, 0), MATCH(O$4&amp;O$5, LS_previous!$D$2:$AY$2&amp;LS_previous!$D$3:$AY$3, 0)),SUM(VLOOKUP($A29, LS_previous!$B$4:$AY$137, LS_previous!G$148, FALSE), VLOOKUP('Staging Table'!$A29, LS_previous!$B$4:$AY$137,LS_previous!AE$148, FALSE))/2)</f>
        <v>8.0865329327000381</v>
      </c>
      <c r="P29" s="102">
        <f t="array" ref="P29">IF($G29=0, INDEX(LS_previous!$D$4:$AY$137, MATCH('Staging Table'!$A29, LS_previous!$B$4:$B$137, 0), MATCH(P$4&amp;P$5, LS_previous!$D$2:$AY$2&amp;LS_previous!$D$3:$AY$3, 0)),SUM(VLOOKUP($A29, LS_previous!$B$4:$AY$137, LS_previous!H$148, FALSE), VLOOKUP('Staging Table'!$A29, LS_previous!$B$4:$AY$137,LS_previous!AF$148, FALSE))/2)</f>
        <v>424.50952669629987</v>
      </c>
      <c r="Q29" s="102">
        <f t="array" ref="Q29">IF($G29=0, INDEX(LS_previous!$D$4:$AY$137, MATCH('Staging Table'!$A29, LS_previous!$B$4:$B$137, 0), MATCH(Q$4&amp;Q$5, LS_previous!$D$2:$AY$2&amp;LS_previous!$D$3:$AY$3, 0)),SUM(VLOOKUP($A29, LS_previous!$B$4:$AY$137, LS_previous!I$148, FALSE), VLOOKUP('Staging Table'!$A29, LS_previous!$B$4:$AY$137,LS_previous!AG$148, FALSE))/2)</f>
        <v>83.331593443200063</v>
      </c>
      <c r="R29" s="102">
        <f t="array" ref="R29">IF($G29=0, INDEX(LS_previous!$D$4:$AY$137, MATCH('Staging Table'!$A29, LS_previous!$B$4:$B$137, 0), MATCH(R$4&amp;R$5, LS_previous!$D$2:$AY$2&amp;LS_previous!$D$3:$AY$3, 0)),SUM(VLOOKUP($A29, LS_previous!$B$4:$AY$137, LS_previous!J$148, FALSE), VLOOKUP('Staging Table'!$A29, LS_previous!$B$4:$AY$137,LS_previous!AH$148, FALSE))/2)</f>
        <v>199.20414981549993</v>
      </c>
      <c r="S29" s="102">
        <f t="array" ref="S29">IF($G29=0, INDEX(LS_previous!$D$4:$AY$137, MATCH('Staging Table'!$A29, LS_previous!$B$4:$B$137, 0), MATCH(S$4&amp;S$5, LS_previous!$D$2:$AY$2&amp;LS_previous!$D$3:$AY$3, 0)),SUM(VLOOKUP($A29, LS_previous!$B$4:$AY$137, LS_previous!K$148, FALSE), VLOOKUP('Staging Table'!$A29, LS_previous!$B$4:$AY$137,LS_previous!AI$148, FALSE))/2)</f>
        <v>-18.583701010700224</v>
      </c>
      <c r="T29" s="102">
        <f t="array" ref="T29">IF($G29=0, INDEX(LS_previous!$D$4:$AY$137, MATCH('Staging Table'!$A29, LS_previous!$B$4:$B$137, 0), MATCH(T$4&amp;T$5, LS_previous!$D$2:$AY$2&amp;LS_previous!$D$3:$AY$3, 0)),SUM(VLOOKUP($A29, LS_previous!$B$4:$AY$137, LS_previous!L$148, FALSE), VLOOKUP('Staging Table'!$A29, LS_previous!$B$4:$AY$137,LS_previous!AJ$148, FALSE))/2)</f>
        <v>244.96721833430001</v>
      </c>
      <c r="U29" s="102">
        <f t="array" ref="U29">IF($G29=0, INDEX(LS_previous!$D$4:$AY$137, MATCH('Staging Table'!$A29, LS_previous!$B$4:$B$137, 0), MATCH(U$4&amp;U$5, LS_previous!$D$2:$AY$2&amp;LS_previous!$D$3:$AY$3, 0)),SUM(VLOOKUP($A29, LS_previous!$B$4:$AY$137, LS_previous!M$148, FALSE), VLOOKUP('Staging Table'!$A29, LS_previous!$B$4:$AY$137,LS_previous!AK$148, FALSE))/2)</f>
        <v>81.758775470300066</v>
      </c>
      <c r="V29" s="102">
        <f t="array" ref="V29">IF($G29=0, INDEX(LS_previous!$D$4:$AY$137, MATCH('Staging Table'!$A29, LS_previous!$B$4:$B$137, 0), MATCH(V$4&amp;V$5, LS_previous!$D$2:$AY$2&amp;LS_previous!$D$3:$AY$3, 0)),SUM(VLOOKUP($A29, LS_previous!$B$4:$AY$137, LS_previous!N$148, FALSE), VLOOKUP('Staging Table'!$A29, LS_previous!$B$4:$AY$137,LS_previous!AL$148, FALSE))/2)</f>
        <v>204.54654147209999</v>
      </c>
      <c r="W29" s="102">
        <f t="array" ref="W29">IF($G29=0, INDEX(LS_previous!$D$4:$AY$137, MATCH('Staging Table'!$A29, LS_previous!$B$4:$B$137, 0), MATCH(W$4&amp;W$5, LS_previous!$D$2:$AY$2&amp;LS_previous!$D$3:$AY$3, 0)),SUM(VLOOKUP($A29, LS_previous!$B$4:$AY$137, LS_previous!O$148, FALSE), VLOOKUP('Staging Table'!$A29, LS_previous!$B$4:$AY$137,LS_previous!AM$148, FALSE))/2)</f>
        <v>-35.400843097399957</v>
      </c>
      <c r="X29" s="102">
        <f t="array" ref="X29">IF($G29=0, INDEX(LS_previous!$D$4:$AY$137, MATCH('Staging Table'!$A29, LS_previous!$B$4:$B$137, 0), MATCH(X$4&amp;X$5, LS_previous!$D$2:$AY$2&amp;LS_previous!$D$3:$AY$3, 0)),SUM(VLOOKUP($A29, LS_previous!$B$4:$AY$137, LS_previous!P$148, FALSE), VLOOKUP('Staging Table'!$A29, LS_previous!$B$4:$AY$137,LS_previous!AN$148, FALSE))/2)</f>
        <v>348.95989337175001</v>
      </c>
      <c r="Y29" s="102">
        <f t="array" ref="Y29">IF($G29=0, INDEX(LS_previous!$D$4:$AY$137, MATCH('Staging Table'!$A29, LS_previous!$B$4:$B$137, 0), MATCH(Y$4&amp;Y$5, LS_previous!$D$2:$AY$2&amp;LS_previous!$D$3:$AY$3, 0)),SUM(VLOOKUP($A29, LS_previous!$B$4:$AY$137, LS_previous!Q$148, FALSE), VLOOKUP('Staging Table'!$A29, LS_previous!$B$4:$AY$137,LS_previous!AO$148, FALSE))/2)</f>
        <v>-32.408906460024923</v>
      </c>
      <c r="Z29" s="102">
        <f t="array" ref="Z29">IF($G29=0, INDEX(LS_previous!$D$4:$AY$137, MATCH('Staging Table'!$A29, LS_previous!$B$4:$B$137, 0), MATCH(Z$4&amp;Z$5, LS_previous!$D$2:$AY$2&amp;LS_previous!$D$3:$AY$3, 0)),SUM(VLOOKUP($A29, LS_previous!$B$4:$AY$137, LS_previous!R$148, FALSE), VLOOKUP('Staging Table'!$A29, LS_previous!$B$4:$AY$137,LS_previous!AP$148, FALSE))/2)</f>
        <v>-334.48100927840028</v>
      </c>
      <c r="AA29" s="102">
        <f t="array" ref="AA29">IF($G29=0, INDEX(LS_previous!$D$4:$AY$137, MATCH('Staging Table'!$A29, LS_previous!$B$4:$B$137, 0), MATCH(AA$4&amp;AA$5, LS_previous!$D$2:$AY$2&amp;LS_previous!$D$3:$AY$3, 0)),SUM(VLOOKUP($A29, LS_previous!$B$4:$AY$137, LS_previous!S$148, FALSE), VLOOKUP('Staging Table'!$A29, LS_previous!$B$4:$AY$137,LS_previous!AQ$148, FALSE))/2)</f>
        <v>-379.67732802055002</v>
      </c>
      <c r="AB29" s="102">
        <f t="array" ref="AB29">IF($G29=0, INDEX(LS_previous!$D$4:$AY$137, MATCH('Staging Table'!$A29, LS_previous!$B$4:$B$137, 0), MATCH(AB$4&amp;AB$5, LS_previous!$D$2:$AY$2&amp;LS_previous!$D$3:$AY$3, 0)),SUM(VLOOKUP($A29, LS_previous!$B$4:$AY$137, LS_previous!T$148, FALSE), VLOOKUP('Staging Table'!$A29, LS_previous!$B$4:$AY$137,LS_previous!AR$148, FALSE))/2)</f>
        <v>-456.35026656580021</v>
      </c>
      <c r="AC29" s="102">
        <f t="array" ref="AC29">IF($G29=0, INDEX(LS_previous!$D$4:$AY$137, MATCH('Staging Table'!$A29, LS_previous!$B$4:$B$137, 0), MATCH(AC$4&amp;AC$5, LS_previous!$D$2:$AY$2&amp;LS_previous!$D$3:$AY$3, 0)),SUM(VLOOKUP($A29, LS_previous!$B$4:$AY$137, LS_previous!U$148, FALSE), VLOOKUP('Staging Table'!$A29, LS_previous!$B$4:$AY$137,LS_previous!AS$148, FALSE))/2)</f>
        <v>-486.25076183734996</v>
      </c>
      <c r="AD29" s="102">
        <f t="array" ref="AD29">IF($G29=0, INDEX(LS_previous!$D$4:$AY$137, MATCH('Staging Table'!$A29, LS_previous!$B$4:$B$137, 0), MATCH(AD$4&amp;AD$5, LS_previous!$D$2:$AY$2&amp;LS_previous!$D$3:$AY$3, 0)),SUM(VLOOKUP($A29, LS_previous!$B$4:$AY$137, LS_previous!V$148, FALSE), VLOOKUP('Staging Table'!$A29, LS_previous!$B$4:$AY$137,LS_previous!AT$148, FALSE))/2)</f>
        <v>-235.84219856119989</v>
      </c>
      <c r="AE29" s="102">
        <f t="array" ref="AE29">IF($G29=0, INDEX(LS_previous!$D$4:$AY$137, MATCH('Staging Table'!$A29, LS_previous!$B$4:$B$137, 0), MATCH(AE$4&amp;AE$5, LS_previous!$D$2:$AY$2&amp;LS_previous!$D$3:$AY$3, 0)),SUM(VLOOKUP($A29, LS_previous!$B$4:$AY$137, LS_previous!W$148, FALSE), VLOOKUP('Staging Table'!$A29, LS_previous!$B$4:$AY$137,LS_previous!AU$148, FALSE))/2)</f>
        <v>-331.85319038325008</v>
      </c>
      <c r="AF29" s="102">
        <f t="array" ref="AF29">IF($G29=0, INDEX(LS_previous!$D$4:$AY$137, MATCH('Staging Table'!$A29, LS_previous!$B$4:$B$137, 0), MATCH(AF$4&amp;AF$5, LS_previous!$D$2:$AY$2&amp;LS_previous!$D$3:$AY$3, 0)),SUM(VLOOKUP($A29, LS_previous!$B$4:$AY$137, LS_previous!X$148, FALSE), VLOOKUP('Staging Table'!$A29, LS_previous!$B$4:$AY$137,LS_previous!AV$148, FALSE))/2)</f>
        <v>-153.56559931845004</v>
      </c>
      <c r="AG29" s="102">
        <f t="array" ref="AG29">IF($G29=0, INDEX(LS_previous!$D$4:$AY$137, MATCH('Staging Table'!$A29, LS_previous!$B$4:$B$137, 0), MATCH(AG$4&amp;AG$5, LS_previous!$D$2:$AY$2&amp;LS_previous!$D$3:$AY$3, 0)),SUM(VLOOKUP($A29, LS_previous!$B$4:$AY$137, LS_previous!Y$148, FALSE), VLOOKUP('Staging Table'!$A29, LS_previous!$B$4:$AY$137,LS_previous!AW$148, FALSE))/2)</f>
        <v>-240.97600838325502</v>
      </c>
      <c r="AH29" s="102">
        <f t="array" ref="AH29">IF($G29=0, INDEX(LS_previous!$D$4:$AY$137, MATCH('Staging Table'!$A29, LS_previous!$B$4:$B$137, 0), MATCH(AH$4&amp;AH$5, LS_previous!$D$2:$AY$2&amp;LS_previous!$D$3:$AY$3, 0)),SUM(VLOOKUP($A29, LS_previous!$B$4:$AY$137, LS_previous!Z$148, FALSE), VLOOKUP('Staging Table'!$A29, LS_previous!$B$4:$AY$137,LS_previous!AX$148, FALSE))/2)</f>
        <v>19.063727105799671</v>
      </c>
      <c r="AI29" s="102">
        <f t="array" ref="AI29">IF($G29=0, INDEX(LS_previous!$D$4:$AY$137, MATCH('Staging Table'!$A29, LS_previous!$B$4:$B$137, 0), MATCH(AI$4&amp;AI$5, LS_previous!$D$2:$AY$2&amp;LS_previous!$D$3:$AY$3, 0)),SUM(VLOOKUP($A29, LS_previous!$B$4:$AY$137, LS_previous!AA$148, FALSE), VLOOKUP('Staging Table'!$A29, LS_previous!$B$4:$AY$137,LS_previous!AY$148, FALSE))/2)</f>
        <v>-269.36258868319999</v>
      </c>
      <c r="AJ29" s="103">
        <f t="array" ref="AJ29">INDEX(Demand_previous!$D$4:$AY$137, MATCH('Staging Table'!$A29, Demand_previous!$B$4:$B$137, 0), MATCH(AJ$4&amp;AJ$5,Demand_previous!$D$2:$AY$2&amp;Demand_previous!$D$3:$AY$3, 0))/1000</f>
        <v>0.97997836538461547</v>
      </c>
      <c r="AK29" s="103">
        <f t="array" ref="AK29">INDEX(Demand_previous!$D$4:$AY$137, MATCH('Staging Table'!$A29, Demand_previous!$B$4:$B$137, 0), MATCH(AK$4&amp;AK$5,Demand_previous!$D$2:$AY$2&amp;Demand_previous!$D$3:$AY$3, 0))/1000</f>
        <v>1.6104075000000004</v>
      </c>
      <c r="AL29" s="103">
        <f t="array" ref="AL29">INDEX(Demand_previous!$D$4:$AY$137, MATCH('Staging Table'!$A29, Demand_previous!$B$4:$B$137, 0), MATCH(AL$4&amp;AL$5,Demand_previous!$D$2:$AY$2&amp;Demand_previous!$D$3:$AY$3, 0))/1000</f>
        <v>1.1160324999999998</v>
      </c>
      <c r="AM29" s="103">
        <f t="array" ref="AM29">INDEX(Demand_previous!$D$4:$AY$137, MATCH('Staging Table'!$A29, Demand_previous!$B$4:$B$137, 0), MATCH(AM$4&amp;AM$5,Demand_previous!$D$2:$AY$2&amp;Demand_previous!$D$3:$AY$3, 0))/1000</f>
        <v>0.84919471153846193</v>
      </c>
      <c r="AN29" s="103">
        <f t="array" ref="AN29">INDEX(Demand_previous!$D$4:$AY$137, MATCH('Staging Table'!$A29, Demand_previous!$B$4:$B$137, 0), MATCH(AN$4&amp;AN$5,Demand_previous!$D$2:$AY$2&amp;Demand_previous!$D$3:$AY$3, 0))/1000</f>
        <v>2.1036125000000001</v>
      </c>
      <c r="AO29" s="103">
        <f t="array" ref="AO29">INDEX(Demand_previous!$D$4:$AY$137, MATCH('Staging Table'!$A29, Demand_previous!$B$4:$B$137, 0), MATCH(AO$4&amp;AO$5,Demand_previous!$D$2:$AY$2&amp;Demand_previous!$D$3:$AY$3, 0))/1000</f>
        <v>1.3601394230769233</v>
      </c>
      <c r="AP29" s="103">
        <f t="array" ref="AP29">INDEX(Demand_previous!$D$4:$AY$137, MATCH('Staging Table'!$A29, Demand_previous!$B$4:$B$137, 0), MATCH(AP$4&amp;AP$5,Demand_previous!$D$2:$AY$2&amp;Demand_previous!$D$3:$AY$3, 0))/1000</f>
        <v>1.1303846153846151</v>
      </c>
      <c r="AQ29" s="103">
        <f t="array" ref="AQ29">INDEX(Demand_previous!$D$4:$AY$137, MATCH('Staging Table'!$A29, Demand_previous!$B$4:$B$137, 0), MATCH(AQ$4&amp;AQ$5,Demand_previous!$D$2:$AY$2&amp;Demand_previous!$D$3:$AY$3, 0))/1000</f>
        <v>1.1519423076923077</v>
      </c>
      <c r="AR29" s="103">
        <f t="array" ref="AR29">INDEX(Demand_previous!$D$4:$AY$137, MATCH('Staging Table'!$A29, Demand_previous!$B$4:$B$137, 0), MATCH(AR$4&amp;AR$5,Demand_previous!$D$2:$AY$2&amp;Demand_previous!$D$3:$AY$3, 0))/1000</f>
        <v>0.45199500000000059</v>
      </c>
      <c r="AS29" s="103">
        <f t="array" ref="AS29">INDEX(Demand_previous!$D$4:$AY$137, MATCH('Staging Table'!$A29, Demand_previous!$B$4:$B$137, 0), MATCH(AS$4&amp;AS$5,Demand_previous!$D$2:$AY$2&amp;Demand_previous!$D$3:$AY$3, 0))/1000</f>
        <v>0.32921875000000034</v>
      </c>
      <c r="AT29" s="103">
        <f t="array" ref="AT29">INDEX(Demand_previous!$D$4:$AY$137, MATCH('Staging Table'!$A29, Demand_previous!$B$4:$B$137, 0), MATCH(AT$4&amp;AT$5,Demand_previous!$D$2:$AY$2&amp;Demand_previous!$D$3:$AY$3, 0))/1000</f>
        <v>1.1164907407407412</v>
      </c>
      <c r="AU29" s="103">
        <f t="array" ref="AU29">INDEX(Demand_previous!$D$4:$AY$137, MATCH('Staging Table'!$A29, Demand_previous!$B$4:$B$137, 0), MATCH(AU$4&amp;AU$5,Demand_previous!$D$2:$AY$2&amp;Demand_previous!$D$3:$AY$3, 0))/1000</f>
        <v>0.48467447916666662</v>
      </c>
      <c r="AV29" s="102">
        <f>$F29*(VLOOKUP(AV$4, Rates_previous!$G$6:$Q$29, 10, FALSE)+VLOOKUP(AV$4, Rates_previous!$G$6:$Q$29, 11, FALSE))</f>
        <v>2270.98206481545</v>
      </c>
      <c r="AW29" s="102">
        <f>$F29*(VLOOKUP(AW$4, Rates_previous!$G$6:$Q$29, 10, FALSE)+VLOOKUP(AW$4, Rates_previous!$G$6:$Q$29, 11, FALSE))</f>
        <v>2896.2509957297007</v>
      </c>
      <c r="AX29" s="102">
        <f>$F29*(VLOOKUP(AX$4, Rates_previous!$G$6:$Q$29, 10, FALSE)+VLOOKUP(AX$4, Rates_previous!$G$6:$Q$29, 11, FALSE))</f>
        <v>3125.6278798605003</v>
      </c>
      <c r="AY29" s="102">
        <f>$F29*(VLOOKUP(AY$4, Rates_previous!$G$6:$Q$29, 10, FALSE)+VLOOKUP(AY$4, Rates_previous!$G$6:$Q$29, 11, FALSE))</f>
        <v>3248.0105511952002</v>
      </c>
      <c r="AZ29" s="102">
        <f>$F29*(VLOOKUP(AZ$4, Rates_previous!$G$6:$Q$29, 10, FALSE)+VLOOKUP(AZ$4, Rates_previous!$G$6:$Q$29, 11, FALSE))</f>
        <v>2793.7220061953999</v>
      </c>
      <c r="BA29" s="102">
        <f>$F29*(VLOOKUP(BA$4, Rates_previous!$G$6:$Q$29, 10, FALSE)+VLOOKUP(BA$4, Rates_previous!$G$6:$Q$29, 11, FALSE))</f>
        <v>3050.1913016253002</v>
      </c>
      <c r="BB29" s="102">
        <f>$F29*(VLOOKUP(BB$4, Rates_previous!$G$6:$Q$29, 10, FALSE)+VLOOKUP(BB$4, Rates_previous!$G$6:$Q$29, 11, FALSE))</f>
        <v>2407.612013088275</v>
      </c>
      <c r="BC29" s="102">
        <f>$F29*(VLOOKUP(BC$4, Rates_previous!$G$6:$Q$29, 10, FALSE)+VLOOKUP(BC$4, Rates_previous!$G$6:$Q$29, 11, FALSE))</f>
        <v>2986.9653372989501</v>
      </c>
      <c r="BD29" s="102">
        <f>$F29*(VLOOKUP(BD$4, Rates_previous!$G$6:$Q$29, 10, FALSE)+VLOOKUP(BD$4, Rates_previous!$G$6:$Q$29, 11, FALSE))</f>
        <v>3051.7750284031499</v>
      </c>
      <c r="BE29" s="102">
        <f>$F29*(VLOOKUP(BE$4, Rates_previous!$G$6:$Q$29, 10, FALSE)+VLOOKUP(BE$4, Rates_previous!$G$6:$Q$29, 11, FALSE))</f>
        <v>2649.3803889444503</v>
      </c>
      <c r="BF29" s="102">
        <f>$F29*(VLOOKUP(BF$4, Rates_previous!$G$6:$Q$29, 10, FALSE)+VLOOKUP(BF$4, Rates_previous!$G$6:$Q$29, 11, FALSE))</f>
        <v>2561.2466077017052</v>
      </c>
      <c r="BG29" s="102">
        <f>$F29*(VLOOKUP(BG$4, Rates_previous!$G$6:$Q$29, 10, FALSE)+VLOOKUP(BG$4, Rates_previous!$G$6:$Q$29, 11, FALSE))</f>
        <v>2356.8428615774005</v>
      </c>
      <c r="BH29" s="103">
        <f>IF($D29=0,IF(C29=0, MAX(BJ29 - (VLOOKUP($A29,TOCA_previous!$A$2:$AJ$136,MATCH("RHWM "&amp;Init!$D$1-2,TOCA_previous!$A$2:$AJ$2,0),FALSE)*$F$2*TOCA_previous!C26),0),0), 0)</f>
        <v>0</v>
      </c>
      <c r="BI29" s="109">
        <f>MIN(VLOOKUP($A29,TOCA_previous!$A$2:$AJ$136,MATCH("TRL - NLSL - Existing Resource "&amp;$F$1,TOCA_previous!$A$2:$AJ$2,0),FALSE)*$F$2,(VLOOKUP($A29,TOCA_previous!$A$2:$AJ$136,MATCH("RHWM "&amp;Init!$D$1-2,TOCA_previous!$A$2:$AJ$2,0),FALSE)*$F$2))</f>
        <v>32658.912</v>
      </c>
      <c r="BJ29" s="261">
        <f>SUM(L29:AI29)+(F29*RT1SC!$C$3*$F$2)</f>
        <v>32586.423153092517</v>
      </c>
      <c r="BK29" s="260">
        <f>VLOOKUP($A29,TOCA_previous!$A$2:$AJ$136,MATCH("Above RHWM Not Served with LS "&amp;$F$1,TOCA_previous!$A$2:$AJ$2,0),FALSE)*$F$2</f>
        <v>0</v>
      </c>
      <c r="BL29" s="261">
        <f t="shared" si="21"/>
        <v>-72.488846907483094</v>
      </c>
      <c r="BM29" s="260">
        <f>(VLOOKUP($A29,TOCA_previous!$A$2:$AJ$136,MATCH("RHWM "&amp;Init!$D$1-2,TOCA_previous!$A$2:$AJ$2,0),FALSE)*$F$2) - $BI29</f>
        <v>0</v>
      </c>
      <c r="BN29" s="261">
        <f t="shared" si="22"/>
        <v>0</v>
      </c>
      <c r="BO29" s="260">
        <f t="shared" si="23"/>
        <v>72.488846907483094</v>
      </c>
      <c r="BP29" s="261">
        <f t="shared" si="24"/>
        <v>0</v>
      </c>
      <c r="BQ29" s="260">
        <f t="shared" si="9"/>
        <v>72.488846907483094</v>
      </c>
      <c r="BR29" s="85">
        <f>VLOOKUP($A29,TOCA_current!$A$2:$ZZ$136,MATCH(BR$4,TOCA_current!$A$2:$ZZ$2,0),FALSE)</f>
        <v>5.2320000000000003E-4</v>
      </c>
      <c r="BS29" s="85">
        <f>VLOOKUP($A29,TOCA_current!$A$2:$ZZ$136,MATCH(BS$4,TOCA_current!$A$2:$ZZ$2,0),FALSE)</f>
        <v>5.2320000000000003E-4</v>
      </c>
      <c r="BT29" s="108">
        <f t="shared" si="25"/>
        <v>0</v>
      </c>
      <c r="BU29" s="85">
        <f>VLOOKUP($A29,TOCA_current!A26:BG160,MATCH(BU$4,TOCA_current!$A$2:$BG$2,0),FALSE)</f>
        <v>0</v>
      </c>
      <c r="BV29" s="85">
        <f t="shared" si="26"/>
        <v>0</v>
      </c>
      <c r="BW29" s="85">
        <f t="shared" si="27"/>
        <v>0</v>
      </c>
      <c r="BX29" s="101">
        <f>VLOOKUP($A29,IRD!$A$4:$G$138, 7, FALSE)</f>
        <v>0</v>
      </c>
      <c r="BY29" s="102">
        <f t="array" ref="BY29">IF($BT29=0, INDEX(LS_current!$D$4:$BW$137, MATCH('Staging Table'!$A29, LS_current!$B$4:$B$137, 0), MATCH(BY$4&amp;BY$5, LS_current!$D$2:$BW$2&amp;LS_current!$D$3:$BW$3, 0)),SUM(VLOOKUP($A29, LS_current!$B$4:$BW$137, LS_current!D$147, FALSE), VLOOKUP($A29, LS_current!$B$4:$BW$137,LS_current!AZ$147, FALSE))/2)</f>
        <v>477.80744220037582</v>
      </c>
      <c r="BZ29" s="102">
        <f t="array" ref="BZ29">IF($BT29=0, INDEX(LS_current!$D$4:$BW$137, MATCH('Staging Table'!$A29, LS_current!$B$4:$B$137, 0), MATCH(BZ$4&amp;BZ$5, LS_current!$D$2:$BW$2&amp;LS_current!$D$3:$BW$3, 0)),SUM(VLOOKUP($A29, LS_current!$B$4:$BW$137, LS_current!E$147, FALSE), VLOOKUP($A29, LS_current!$B$4:$BW$137,LS_current!BA$147, FALSE))/2)</f>
        <v>29.32108093960494</v>
      </c>
      <c r="CA29" s="102">
        <f t="array" ref="CA29">IF($BT29=0, INDEX(LS_current!$D$4:$BW$137, MATCH('Staging Table'!$A29, LS_current!$B$4:$B$137, 0), MATCH(CA$4&amp;CA$5, LS_current!$D$2:$BW$2&amp;LS_current!$D$3:$BW$3, 0)),SUM(VLOOKUP($A29, LS_current!$B$4:$BW$137, LS_current!F$147, FALSE), VLOOKUP($A29, LS_current!$B$4:$BW$137,LS_current!BB$147, FALSE))/2)</f>
        <v>220.66749595092324</v>
      </c>
      <c r="CB29" s="102">
        <f t="array" ref="CB29">IF($BT29=0, INDEX(LS_current!$D$4:$BW$137, MATCH('Staging Table'!$A29, LS_current!$B$4:$B$137, 0), MATCH(CB$4&amp;CB$5, LS_current!$D$2:$BW$2&amp;LS_current!$D$3:$BW$3, 0)),SUM(VLOOKUP($A29, LS_current!$B$4:$BW$137, LS_current!G$147, FALSE), VLOOKUP($A29, LS_current!$B$4:$BW$137,LS_current!BC$147, FALSE))/2)</f>
        <v>48.131105677097366</v>
      </c>
      <c r="CC29" s="102">
        <f t="array" ref="CC29">IF($BT29=0, INDEX(LS_current!$D$4:$BW$137, MATCH('Staging Table'!$A29, LS_current!$B$4:$B$137, 0), MATCH(CC$4&amp;CC$5, LS_current!$D$2:$BW$2&amp;LS_current!$D$3:$BW$3, 0)),SUM(VLOOKUP($A29, LS_current!$B$4:$BW$137, LS_current!H$147, FALSE), VLOOKUP($A29, LS_current!$B$4:$BW$137,LS_current!BD$147, FALSE))/2)</f>
        <v>296.42569079889745</v>
      </c>
      <c r="CD29" s="102">
        <f t="array" ref="CD29">IF($BT29=0, INDEX(LS_current!$D$4:$BW$137, MATCH('Staging Table'!$A29, LS_current!$B$4:$B$137, 0), MATCH(CD$4&amp;CD$5, LS_current!$D$2:$BW$2&amp;LS_current!$D$3:$BW$3, 0)),SUM(VLOOKUP($A29, LS_current!$B$4:$BW$137, LS_current!I$147, FALSE), VLOOKUP($A29, LS_current!$B$4:$BW$137,LS_current!BE$147, FALSE))/2)</f>
        <v>180.84706699932599</v>
      </c>
      <c r="CE29" s="102">
        <f t="array" ref="CE29">IF($BT29=0, INDEX(LS_current!$D$4:$BW$137, MATCH('Staging Table'!$A29, LS_current!$B$4:$B$137, 0), MATCH(CE$4&amp;CE$5, LS_current!$D$2:$BW$2&amp;LS_current!$D$3:$BW$3, 0)),SUM(VLOOKUP($A29, LS_current!$B$4:$BW$137, LS_current!J$147, FALSE), VLOOKUP($A29, LS_current!$B$4:$BW$137,LS_current!BF$147, FALSE))/2)</f>
        <v>111.17977205169836</v>
      </c>
      <c r="CF29" s="102">
        <f t="array" ref="CF29">IF($BT29=0, INDEX(LS_current!$D$4:$BW$137, MATCH('Staging Table'!$A29, LS_current!$B$4:$B$137, 0), MATCH(CF$4&amp;CF$5, LS_current!$D$2:$BW$2&amp;LS_current!$D$3:$BW$3, 0)),SUM(VLOOKUP($A29, LS_current!$B$4:$BW$137, LS_current!K$147, FALSE), VLOOKUP($A29, LS_current!$B$4:$BW$137,LS_current!BG$147, FALSE))/2)</f>
        <v>-12.582176735136727</v>
      </c>
      <c r="CG29" s="102">
        <f t="array" ref="CG29">IF($BT29=0, INDEX(LS_current!$D$4:$BW$137, MATCH('Staging Table'!$A29, LS_current!$B$4:$B$137, 0), MATCH(CG$4&amp;CG$5, LS_current!$D$2:$BW$2&amp;LS_current!$D$3:$BW$3, 0)),SUM(VLOOKUP($A29, LS_current!$B$4:$BW$137, LS_current!L$147, FALSE), VLOOKUP($A29, LS_current!$B$4:$BW$137,LS_current!BH$147, FALSE))/2)</f>
        <v>332.65330188041025</v>
      </c>
      <c r="CH29" s="102">
        <f t="array" ref="CH29">IF($BT29=0, INDEX(LS_current!$D$4:$BW$137, MATCH('Staging Table'!$A29, LS_current!$B$4:$B$137, 0), MATCH(CH$4&amp;CH$5, LS_current!$D$2:$BW$2&amp;LS_current!$D$3:$BW$3, 0)),SUM(VLOOKUP($A29, LS_current!$B$4:$BW$137, LS_current!M$147, FALSE), VLOOKUP($A29, LS_current!$B$4:$BW$137,LS_current!BI$147, FALSE))/2)</f>
        <v>134.05862158944103</v>
      </c>
      <c r="CI29" s="102">
        <f t="array" ref="CI29">IF($BT29=0, INDEX(LS_current!$D$4:$BW$137, MATCH('Staging Table'!$A29, LS_current!$B$4:$B$137, 0), MATCH(CI$4&amp;CI$5, LS_current!$D$2:$BW$2&amp;LS_current!$D$3:$BW$3, 0)),SUM(VLOOKUP($A29, LS_current!$B$4:$BW$137, LS_current!N$147, FALSE), VLOOKUP($A29, LS_current!$B$4:$BW$137,LS_current!BJ$147, FALSE))/2)</f>
        <v>174.86877442449531</v>
      </c>
      <c r="CJ29" s="102">
        <f t="array" ref="CJ29">IF($BT29=0, INDEX(LS_current!$D$4:$BW$137, MATCH('Staging Table'!$A29, LS_current!$B$4:$B$137, 0), MATCH(CJ$4&amp;CJ$5, LS_current!$D$2:$BW$2&amp;LS_current!$D$3:$BW$3, 0)),SUM(VLOOKUP($A29, LS_current!$B$4:$BW$137, LS_current!O$147, FALSE), VLOOKUP($A29, LS_current!$B$4:$BW$137,LS_current!BK$147, FALSE))/2)</f>
        <v>143.389733973945</v>
      </c>
      <c r="CK29" s="102">
        <f t="array" ref="CK29">IF($BT29=0, INDEX(LS_current!$D$4:$BW$137, MATCH('Staging Table'!$A29, LS_current!$B$4:$B$137, 0), MATCH(CK$4&amp;CK$5, LS_current!$D$2:$BW$2&amp;LS_current!$D$3:$BW$3, 0)),SUM(VLOOKUP($A29, LS_current!$B$4:$BW$137, LS_current!P$147, FALSE), VLOOKUP($A29, LS_current!$B$4:$BW$137,LS_current!BL$147, FALSE))/2)</f>
        <v>430.08976991203122</v>
      </c>
      <c r="CL29" s="102">
        <f t="array" ref="CL29">IF($BT29=0, INDEX(LS_current!$D$4:$BW$137, MATCH('Staging Table'!$A29, LS_current!$B$4:$B$137, 0), MATCH(CL$4&amp;CL$5, LS_current!$D$2:$BW$2&amp;LS_current!$D$3:$BW$3, 0)),SUM(VLOOKUP($A29, LS_current!$B$4:$BW$137, LS_current!Q$147, FALSE), VLOOKUP($A29, LS_current!$B$4:$BW$137,LS_current!BM$147, FALSE))/2)</f>
        <v>45.708216939207773</v>
      </c>
      <c r="CM29" s="102">
        <f t="array" ref="CM29">IF($BT29=0, INDEX(LS_current!$D$4:$BW$137, MATCH('Staging Table'!$A29, LS_current!$B$4:$B$137, 0), MATCH(CM$4&amp;CM$5, LS_current!$D$2:$BW$2&amp;LS_current!$D$3:$BW$3, 0)),SUM(VLOOKUP($A29, LS_current!$B$4:$BW$137, LS_current!R$147, FALSE), VLOOKUP($A29, LS_current!$B$4:$BW$137,LS_current!BN$147, FALSE))/2)</f>
        <v>-281.37153583127974</v>
      </c>
      <c r="CN29" s="102">
        <f t="array" ref="CN29">IF($BT29=0, INDEX(LS_current!$D$4:$BW$137, MATCH('Staging Table'!$A29, LS_current!$B$4:$B$137, 0), MATCH(CN$4&amp;CN$5, LS_current!$D$2:$BW$2&amp;LS_current!$D$3:$BW$3, 0)),SUM(VLOOKUP($A29, LS_current!$B$4:$BW$137, LS_current!S$147, FALSE), VLOOKUP($A29, LS_current!$B$4:$BW$137,LS_current!BO$147, FALSE))/2)</f>
        <v>-355.57598976563509</v>
      </c>
      <c r="CO29" s="102">
        <f t="array" ref="CO29">IF($BT29=0, INDEX(LS_current!$D$4:$BW$137, MATCH('Staging Table'!$A29, LS_current!$B$4:$B$137, 0), MATCH(CO$4&amp;CO$5, LS_current!$D$2:$BW$2&amp;LS_current!$D$3:$BW$3, 0)),SUM(VLOOKUP($A29, LS_current!$B$4:$BW$137, LS_current!T$147, FALSE), VLOOKUP($A29, LS_current!$B$4:$BW$137,LS_current!BP$147, FALSE))/2)</f>
        <v>-476.90582810439696</v>
      </c>
      <c r="CP29" s="102">
        <f t="array" ref="CP29">IF($BT29=0, INDEX(LS_current!$D$4:$BW$137, MATCH('Staging Table'!$A29, LS_current!$B$4:$B$137, 0), MATCH(CP$4&amp;CP$5, LS_current!$D$2:$BW$2&amp;LS_current!$D$3:$BW$3, 0)),SUM(VLOOKUP($A29, LS_current!$B$4:$BW$137, LS_current!U$147, FALSE), VLOOKUP($A29, LS_current!$B$4:$BW$137,LS_current!BQ$147, FALSE))/2)</f>
        <v>-385.80642690715831</v>
      </c>
      <c r="CQ29" s="102">
        <f t="array" ref="CQ29">IF($BT29=0, INDEX(LS_current!$D$4:$BW$137, MATCH('Staging Table'!$A29, LS_current!$B$4:$B$137, 0), MATCH(CQ$4&amp;CQ$5, LS_current!$D$2:$BW$2&amp;LS_current!$D$3:$BW$3, 0)),SUM(VLOOKUP($A29, LS_current!$B$4:$BW$137, LS_current!V$147, FALSE), VLOOKUP($A29, LS_current!$B$4:$BW$137,LS_current!BR$147, FALSE))/2)</f>
        <v>-261.02118260358361</v>
      </c>
      <c r="CR29" s="102">
        <f t="array" ref="CR29">IF($BT29=0, INDEX(LS_current!$D$4:$BW$137, MATCH('Staging Table'!$A29, LS_current!$B$4:$B$137, 0), MATCH(CR$4&amp;CR$5, LS_current!$D$2:$BW$2&amp;LS_current!$D$3:$BW$3, 0)),SUM(VLOOKUP($A29, LS_current!$B$4:$BW$137, LS_current!W$147, FALSE), VLOOKUP($A29, LS_current!$B$4:$BW$137,LS_current!BS$147, FALSE))/2)</f>
        <v>-302.52960714442816</v>
      </c>
      <c r="CS29" s="102">
        <f t="array" ref="CS29">IF($BT29=0, INDEX(LS_current!$D$4:$BW$137, MATCH('Staging Table'!$A29, LS_current!$B$4:$B$137, 0), MATCH(CS$4&amp;CS$5, LS_current!$D$2:$BW$2&amp;LS_current!$D$3:$BW$3, 0)),SUM(VLOOKUP($A29, LS_current!$B$4:$BW$137, LS_current!X$147, FALSE), VLOOKUP($A29, LS_current!$B$4:$BW$137,LS_current!BT$147, FALSE))/2)</f>
        <v>-332.53457241165052</v>
      </c>
      <c r="CT29" s="102">
        <f t="array" ref="CT29">IF($BT29=0, INDEX(LS_current!$D$4:$BW$137, MATCH('Staging Table'!$A29, LS_current!$B$4:$B$137, 0), MATCH(CT$4&amp;CT$5, LS_current!$D$2:$BW$2&amp;LS_current!$D$3:$BW$3, 0)),SUM(VLOOKUP($A29, LS_current!$B$4:$BW$137, LS_current!Y$147, FALSE), VLOOKUP($A29, LS_current!$B$4:$BW$137,LS_current!BU$147, FALSE))/2)</f>
        <v>-214.28722750601924</v>
      </c>
      <c r="CU29" s="102">
        <f t="array" ref="CU29">IF($BT29=0, INDEX(LS_current!$D$4:$BW$137, MATCH('Staging Table'!$A29, LS_current!$B$4:$B$137, 0), MATCH(CU$4&amp;CU$5, LS_current!$D$2:$BW$2&amp;LS_current!$D$3:$BW$3, 0)),SUM(VLOOKUP($A29, LS_current!$B$4:$BW$137, LS_current!Z$147, FALSE), VLOOKUP($A29, LS_current!$B$4:$BW$137,LS_current!BV$147, FALSE))/2)</f>
        <v>114.99932195259998</v>
      </c>
      <c r="CV29" s="102">
        <f t="array" ref="CV29">IF($BT29=0, INDEX(LS_current!$D$4:$BW$137, MATCH('Staging Table'!$A29, LS_current!$B$4:$B$137, 0), MATCH(CV$4&amp;CV$5, LS_current!$D$2:$BW$2&amp;LS_current!$D$3:$BW$3, 0)),SUM(VLOOKUP($A29, LS_current!$B$4:$BW$137, LS_current!AA$147, FALSE), VLOOKUP($A29, LS_current!$B$4:$BW$137,LS_current!BW$147, FALSE))/2)</f>
        <v>-115.83415687582919</v>
      </c>
      <c r="CW29" s="103">
        <f t="array" ref="CW29">INDEX(Demand_current!$D$4:$BW$137, MATCH($A29, Demand_current!$B$4:$B$137, 0), MATCH(CW$4&amp;CW$5,Demand_current!$D$2:$BW$2&amp;Demand_current!$D$3:$BW$3, 0))/1000</f>
        <v>1.1429791666666662</v>
      </c>
      <c r="CX29" s="103">
        <f t="array" ref="CX29">INDEX(Demand_current!$D$4:$BW$137, MATCH($A29, Demand_current!$B$4:$B$137, 0), MATCH(CX$4&amp;CX$5,Demand_current!$D$2:$BW$2&amp;Demand_current!$D$3:$BW$3, 0))/1000</f>
        <v>1.412716145833333</v>
      </c>
      <c r="CY29" s="103">
        <f t="array" ref="CY29">INDEX(Demand_current!$D$4:$BW$137, MATCH($A29, Demand_current!$B$4:$B$137, 0), MATCH(CY$4&amp;CY$5,Demand_current!$D$2:$BW$2&amp;Demand_current!$D$3:$BW$3, 0))/1000</f>
        <v>1.3390697115384609</v>
      </c>
      <c r="CZ29" s="103">
        <f t="array" ref="CZ29">INDEX(Demand_current!$D$4:$BW$137, MATCH($A29, Demand_current!$B$4:$B$137, 0), MATCH(CZ$4&amp;CZ$5,Demand_current!$D$2:$BW$2&amp;Demand_current!$D$3:$BW$3, 0))/1000</f>
        <v>0.84919471153846193</v>
      </c>
      <c r="DA29" s="103">
        <f t="array" ref="DA29">INDEX(Demand_current!$D$4:$BW$137, MATCH($A29, Demand_current!$B$4:$B$137, 0), MATCH(DA$4&amp;DA$5,Demand_current!$D$2:$BW$2&amp;Demand_current!$D$3:$BW$3, 0))/1000</f>
        <v>1.8930546875000007</v>
      </c>
      <c r="DB29" s="103">
        <f t="array" ref="DB29">INDEX(Demand_current!$D$4:$BW$137, MATCH($A29, Demand_current!$B$4:$B$137, 0), MATCH(DB$4&amp;DB$5,Demand_current!$D$2:$BW$2&amp;Demand_current!$D$3:$BW$3, 0))/1000</f>
        <v>1.3601394230769233</v>
      </c>
      <c r="DC29" s="103">
        <f t="array" ref="DC29">INDEX(Demand_current!$D$4:$BW$137, MATCH($A29, Demand_current!$B$4:$B$137, 0), MATCH(DC$4&amp;DC$5,Demand_current!$D$2:$BW$2&amp;Demand_current!$D$3:$BW$3, 0))/1000</f>
        <v>1.1303846153846151</v>
      </c>
      <c r="DD29" s="103">
        <f t="array" ref="DD29">INDEX(Demand_current!$D$4:$BW$137, MATCH($A29, Demand_current!$B$4:$B$137, 0), MATCH(DD$4&amp;DD$5,Demand_current!$D$2:$BW$2&amp;Demand_current!$D$3:$BW$3, 0))/1000</f>
        <v>1.0095799999999997</v>
      </c>
      <c r="DE29" s="103">
        <f t="array" ref="DE29">INDEX(Demand_current!$D$4:$BW$137, MATCH($A29, Demand_current!$B$4:$B$137, 0), MATCH(DE$4&amp;DE$5,Demand_current!$D$2:$BW$2&amp;Demand_current!$D$3:$BW$3, 0))/1000</f>
        <v>0.59237980769230791</v>
      </c>
      <c r="DF29" s="103">
        <f t="array" ref="DF29">INDEX(Demand_current!$D$4:$BW$137, MATCH($A29, Demand_current!$B$4:$B$137, 0), MATCH(DF$4&amp;DF$5,Demand_current!$D$2:$BW$2&amp;Demand_current!$D$3:$BW$3, 0))/1000</f>
        <v>0.32921875000000034</v>
      </c>
      <c r="DG29" s="103">
        <f t="array" ref="DG29">INDEX(Demand_current!$D$4:$BW$137, MATCH($A29, Demand_current!$B$4:$B$137, 0), MATCH(DG$4&amp;DG$5,Demand_current!$D$2:$BW$2&amp;Demand_current!$D$3:$BW$3, 0))/1000</f>
        <v>0.9855096153846159</v>
      </c>
      <c r="DH29" s="103">
        <f t="array" ref="DH29">INDEX(Demand_current!$D$4:$BW$137, MATCH($A29, Demand_current!$B$4:$B$137, 0), MATCH(DH$4&amp;DH$5,Demand_current!$D$2:$BW$2&amp;Demand_current!$D$3:$BW$3, 0))/1000</f>
        <v>0.6332875</v>
      </c>
      <c r="DI29" s="102">
        <f>$BS29*(VLOOKUP(DI$4, Rates_current!$H$6:$R$41, 10, FALSE)+VLOOKUP(DI$4, Rates_current!$H$6:$R$41, 11, FALSE))</f>
        <v>2171.4304768600196</v>
      </c>
      <c r="DJ29" s="102">
        <f>$BS29*(VLOOKUP(DJ$4, Rates_current!$H$6:$R$41, 10, FALSE)+VLOOKUP(DJ$4, Rates_current!$H$6:$R$41, 11, FALSE))</f>
        <v>2776.1023983719797</v>
      </c>
      <c r="DK29" s="102">
        <f>$BS29*(VLOOKUP(DK$4, Rates_current!$H$6:$R$41, 10, FALSE)+VLOOKUP(DK$4, Rates_current!$H$6:$R$41, 11, FALSE))</f>
        <v>3156.1962422017764</v>
      </c>
      <c r="DL29" s="102">
        <f>$BS29*(VLOOKUP(DL$4, Rates_current!$H$6:$R$41, 10, FALSE)+VLOOKUP(DL$4, Rates_current!$H$6:$R$41, 11, FALSE))</f>
        <v>3330.0334046834382</v>
      </c>
      <c r="DM29" s="102">
        <f>$BS29*(VLOOKUP(DM$4, Rates_current!$H$6:$R$41, 10, FALSE)+VLOOKUP(DM$4, Rates_current!$H$6:$R$41, 11, FALSE))</f>
        <v>2653.7360765301491</v>
      </c>
      <c r="DN29" s="102">
        <f>$BS29*(VLOOKUP(DN$4, Rates_current!$H$6:$R$41, 10, FALSE)+VLOOKUP(DN$4, Rates_current!$H$6:$R$41, 11, FALSE))</f>
        <v>2901.0784916015596</v>
      </c>
      <c r="DO29" s="102">
        <f>$BS29*(VLOOKUP(DO$4, Rates_current!$H$6:$R$41, 10, FALSE)+VLOOKUP(DO$4, Rates_current!$H$6:$R$41, 11, FALSE))</f>
        <v>2248.3650131487611</v>
      </c>
      <c r="DP29" s="102">
        <f>$BS29*(VLOOKUP(DP$4, Rates_current!$H$6:$R$41, 10, FALSE)+VLOOKUP(DP$4, Rates_current!$H$6:$R$41, 11, FALSE))</f>
        <v>2909.7545255969144</v>
      </c>
      <c r="DQ29" s="102">
        <f>$BS29*(VLOOKUP(DQ$4, Rates_current!$H$6:$R$41, 10, FALSE)+VLOOKUP(DQ$4, Rates_current!$H$6:$R$41, 11, FALSE))</f>
        <v>2971.8862550115555</v>
      </c>
      <c r="DR29" s="102">
        <f>$BS29*(VLOOKUP(DR$4, Rates_current!$H$6:$R$41, 10, FALSE)+VLOOKUP(DR$4, Rates_current!$H$6:$R$41, 11, FALSE))</f>
        <v>2645.2357897480119</v>
      </c>
      <c r="DS29" s="102">
        <f>$BS29*(VLOOKUP(DS$4, Rates_current!$H$6:$R$41, 10, FALSE)+VLOOKUP(DS$4, Rates_current!$H$6:$R$41, 11, FALSE))</f>
        <v>2713.5267999176699</v>
      </c>
      <c r="DT29" s="102">
        <f>$BS29*(VLOOKUP(DT$4, Rates_current!$H$6:$R$41, 10, FALSE)+VLOOKUP(DT$4, Rates_current!$H$6:$R$41, 11, FALSE))</f>
        <v>2107.3788349232295</v>
      </c>
      <c r="DU29" s="261">
        <f>IF(D29=0,IF(C29=0,MAX(0,DW29 - (VLOOKUP($A29,TOCA_current!$A$2:$AV$136,MATCH("RHWM "&amp;Init!$D$1,TOCA_current!$A$2:$AV$2,0),FALSE)*$BS$2)), 0),0)</f>
        <v>0</v>
      </c>
      <c r="DV29" s="262">
        <f>MIN(VLOOKUP($A29,TOCA_current!$A$2:$AV$136,MATCH("TRL - NLSL - Existing Resource "&amp;$BS$1,TOCA_current!$A$2:$AV$2,0),FALSE)*$BS$2, VLOOKUP($A29,TOCA_current!$A$2:$AV$136,MATCH("RHWM "&amp;Init!$D$1,TOCA_current!$A$2:$AV$2,0),FALSE)*$BS$2)</f>
        <v>32587.200000000001</v>
      </c>
      <c r="DW29" s="262">
        <f>SUM(BY29:CV29)+(BS29*RT1SC!$C$4*$BS$2)</f>
        <v>32586.424923468941</v>
      </c>
      <c r="DX29" s="262">
        <f>VLOOKUP($A29,TOCA_current!$A$2:$AV$136,MATCH("Above RHWM Not Served with LS "&amp;$BS$1,TOCA_current!$A$2:$AV$2,0),FALSE)*$BS$2</f>
        <v>0</v>
      </c>
      <c r="DY29" s="262">
        <f t="shared" si="28"/>
        <v>-0.7750765310593124</v>
      </c>
      <c r="DZ29" s="262">
        <f>(VLOOKUP($A29,TOCA_current!$A$2:$AV$136,MATCH("RHWM "&amp;Init!$D$1,TOCA_current!$A$2:$AV$2,0),FALSE)*$BS$2) - $DV29</f>
        <v>166.43999999999869</v>
      </c>
      <c r="EA29" s="262">
        <f t="shared" si="29"/>
        <v>0</v>
      </c>
      <c r="EB29" s="262">
        <f t="shared" si="30"/>
        <v>0.7750765310593124</v>
      </c>
      <c r="EC29" s="262">
        <f t="shared" si="31"/>
        <v>0</v>
      </c>
      <c r="ED29" s="262">
        <f t="shared" si="32"/>
        <v>0.7750765310593124</v>
      </c>
    </row>
    <row r="30" spans="1:134">
      <c r="A30" s="2">
        <v>10079</v>
      </c>
      <c r="B30" s="3" t="s">
        <v>32</v>
      </c>
      <c r="C30">
        <f>VLOOKUP(A30, TOCA_current!$A$3:$D$136, 4, FALSE)</f>
        <v>0</v>
      </c>
      <c r="D30">
        <v>0</v>
      </c>
      <c r="E30" s="84">
        <f>VLOOKUP($A30,TOCA_previous!$A$2:$AJ$136,MATCH(E$4,TOCA_previous!$A$2:$AJ$2,0),FALSE)</f>
        <v>1.18383E-2</v>
      </c>
      <c r="F30" s="85">
        <f>VLOOKUP($A30,TOCA_previous!$A$2:$AJ$136,MATCH(F$4,TOCA_previous!$A$2:$AJ$2,0),FALSE)</f>
        <v>1.18383E-2</v>
      </c>
      <c r="G30" s="85">
        <f t="shared" si="18"/>
        <v>0</v>
      </c>
      <c r="H30" s="85">
        <f>VLOOKUP($A30,TOCA_previous!$A$2:$AJ$136,MATCH(H$4,TOCA_previous!$A$2:$AJ$2,0),FALSE)</f>
        <v>0</v>
      </c>
      <c r="I30" s="85">
        <f t="shared" si="19"/>
        <v>0</v>
      </c>
      <c r="J30" s="85">
        <f t="shared" si="20"/>
        <v>0</v>
      </c>
      <c r="K30" s="101">
        <f>VLOOKUP(A30, IRD!$A$5:$C$138, 3, FALSE)</f>
        <v>0</v>
      </c>
      <c r="L30" s="102">
        <f t="array" ref="L30">IF($G30=0, INDEX(LS_previous!$D$4:$AY$137, MATCH('Staging Table'!$A30, LS_previous!$B$4:$B$137, 0), MATCH(L$4&amp;L$5, LS_previous!$D$2:$AY$2&amp;LS_previous!$D$3:$AY$3, 0)),SUM(VLOOKUP($A30, LS_previous!$B$4:$AY$137, LS_previous!D$148, FALSE), VLOOKUP('Staging Table'!$A30, LS_previous!$B$4:$AY$137,LS_previous!AB$148, FALSE))/2)</f>
        <v>9482.5897686212011</v>
      </c>
      <c r="M30" s="102">
        <f t="array" ref="M30">IF($G30=0, INDEX(LS_previous!$D$4:$AY$137, MATCH('Staging Table'!$A30, LS_previous!$B$4:$B$137, 0), MATCH(M$4&amp;M$5, LS_previous!$D$2:$AY$2&amp;LS_previous!$D$3:$AY$3, 0)),SUM(VLOOKUP($A30, LS_previous!$B$4:$AY$137, LS_previous!E$148, FALSE), VLOOKUP('Staging Table'!$A30, LS_previous!$B$4:$AY$137,LS_previous!AC$148, FALSE))/2)</f>
        <v>1808.9036616133526</v>
      </c>
      <c r="N30" s="102">
        <f t="array" ref="N30">IF($G30=0, INDEX(LS_previous!$D$4:$AY$137, MATCH('Staging Table'!$A30, LS_previous!$B$4:$B$137, 0), MATCH(N$4&amp;N$5, LS_previous!$D$2:$AY$2&amp;LS_previous!$D$3:$AY$3, 0)),SUM(VLOOKUP($A30, LS_previous!$B$4:$AY$137, LS_previous!F$148, FALSE), VLOOKUP('Staging Table'!$A30, LS_previous!$B$4:$AY$137,LS_previous!AD$148, FALSE))/2)</f>
        <v>-1243.9293350623993</v>
      </c>
      <c r="O30" s="102">
        <f t="array" ref="O30">IF($G30=0, INDEX(LS_previous!$D$4:$AY$137, MATCH('Staging Table'!$A30, LS_previous!$B$4:$B$137, 0), MATCH(O$4&amp;O$5, LS_previous!$D$2:$AY$2&amp;LS_previous!$D$3:$AY$3, 0)),SUM(VLOOKUP($A30, LS_previous!$B$4:$AY$137, LS_previous!G$148, FALSE), VLOOKUP('Staging Table'!$A30, LS_previous!$B$4:$AY$137,LS_previous!AE$148, FALSE))/2)</f>
        <v>-873.34899736729858</v>
      </c>
      <c r="P30" s="102">
        <f t="array" ref="P30">IF($G30=0, INDEX(LS_previous!$D$4:$AY$137, MATCH('Staging Table'!$A30, LS_previous!$B$4:$B$137, 0), MATCH(P$4&amp;P$5, LS_previous!$D$2:$AY$2&amp;LS_previous!$D$3:$AY$3, 0)),SUM(VLOOKUP($A30, LS_previous!$B$4:$AY$137, LS_previous!H$148, FALSE), VLOOKUP('Staging Table'!$A30, LS_previous!$B$4:$AY$137,LS_previous!AF$148, FALSE))/2)</f>
        <v>1589.7856759963033</v>
      </c>
      <c r="Q30" s="102">
        <f t="array" ref="Q30">IF($G30=0, INDEX(LS_previous!$D$4:$AY$137, MATCH('Staging Table'!$A30, LS_previous!$B$4:$B$137, 0), MATCH(Q$4&amp;Q$5, LS_previous!$D$2:$AY$2&amp;LS_previous!$D$3:$AY$3, 0)),SUM(VLOOKUP($A30, LS_previous!$B$4:$AY$137, LS_previous!I$148, FALSE), VLOOKUP('Staging Table'!$A30, LS_previous!$B$4:$AY$137,LS_previous!AG$148, FALSE))/2)</f>
        <v>-635.3101713567994</v>
      </c>
      <c r="R30" s="102">
        <f t="array" ref="R30">IF($G30=0, INDEX(LS_previous!$D$4:$AY$137, MATCH('Staging Table'!$A30, LS_previous!$B$4:$B$137, 0), MATCH(R$4&amp;R$5, LS_previous!$D$2:$AY$2&amp;LS_previous!$D$3:$AY$3, 0)),SUM(VLOOKUP($A30, LS_previous!$B$4:$AY$137, LS_previous!J$148, FALSE), VLOOKUP('Staging Table'!$A30, LS_previous!$B$4:$AY$137,LS_previous!AH$148, FALSE))/2)</f>
        <v>-1609.2472296845008</v>
      </c>
      <c r="S30" s="102">
        <f t="array" ref="S30">IF($G30=0, INDEX(LS_previous!$D$4:$AY$137, MATCH('Staging Table'!$A30, LS_previous!$B$4:$B$137, 0), MATCH(S$4&amp;S$5, LS_previous!$D$2:$AY$2&amp;LS_previous!$D$3:$AY$3, 0)),SUM(VLOOKUP($A30, LS_previous!$B$4:$AY$137, LS_previous!K$148, FALSE), VLOOKUP('Staging Table'!$A30, LS_previous!$B$4:$AY$137,LS_previous!AI$148, FALSE))/2)</f>
        <v>-1291.0084287106984</v>
      </c>
      <c r="T30" s="102">
        <f t="array" ref="T30">IF($G30=0, INDEX(LS_previous!$D$4:$AY$137, MATCH('Staging Table'!$A30, LS_previous!$B$4:$B$137, 0), MATCH(T$4&amp;T$5, LS_previous!$D$2:$AY$2&amp;LS_previous!$D$3:$AY$3, 0)),SUM(VLOOKUP($A30, LS_previous!$B$4:$AY$137, LS_previous!L$148, FALSE), VLOOKUP('Staging Table'!$A30, LS_previous!$B$4:$AY$137,LS_previous!AJ$148, FALSE))/2)</f>
        <v>2040.2637856343063</v>
      </c>
      <c r="U30" s="102">
        <f t="array" ref="U30">IF($G30=0, INDEX(LS_previous!$D$4:$AY$137, MATCH('Staging Table'!$A30, LS_previous!$B$4:$B$137, 0), MATCH(U$4&amp;U$5, LS_previous!$D$2:$AY$2&amp;LS_previous!$D$3:$AY$3, 0)),SUM(VLOOKUP($A30, LS_previous!$B$4:$AY$137, LS_previous!M$148, FALSE), VLOOKUP('Staging Table'!$A30, LS_previous!$B$4:$AY$137,LS_previous!AK$148, FALSE))/2)</f>
        <v>1812.5466387703018</v>
      </c>
      <c r="V30" s="102">
        <f t="array" ref="V30">IF($G30=0, INDEX(LS_previous!$D$4:$AY$137, MATCH('Staging Table'!$A30, LS_previous!$B$4:$B$137, 0), MATCH(V$4&amp;V$5, LS_previous!$D$2:$AY$2&amp;LS_previous!$D$3:$AY$3, 0)),SUM(VLOOKUP($A30, LS_previous!$B$4:$AY$137, LS_previous!N$148, FALSE), VLOOKUP('Staging Table'!$A30, LS_previous!$B$4:$AY$137,LS_previous!AL$148, FALSE))/2)</f>
        <v>471.81856457210233</v>
      </c>
      <c r="W30" s="102">
        <f t="array" ref="W30">IF($G30=0, INDEX(LS_previous!$D$4:$AY$137, MATCH('Staging Table'!$A30, LS_previous!$B$4:$B$137, 0), MATCH(W$4&amp;W$5, LS_previous!$D$2:$AY$2&amp;LS_previous!$D$3:$AY$3, 0)),SUM(VLOOKUP($A30, LS_previous!$B$4:$AY$137, LS_previous!O$148, FALSE), VLOOKUP('Staging Table'!$A30, LS_previous!$B$4:$AY$137,LS_previous!AM$148, FALSE))/2)</f>
        <v>-651.74393449740091</v>
      </c>
      <c r="X30" s="102">
        <f t="array" ref="X30">IF($G30=0, INDEX(LS_previous!$D$4:$AY$137, MATCH('Staging Table'!$A30, LS_previous!$B$4:$B$137, 0), MATCH(X$4&amp;X$5, LS_previous!$D$2:$AY$2&amp;LS_previous!$D$3:$AY$3, 0)),SUM(VLOOKUP($A30, LS_previous!$B$4:$AY$137, LS_previous!P$148, FALSE), VLOOKUP('Staging Table'!$A30, LS_previous!$B$4:$AY$137,LS_previous!AN$148, FALSE))/2)</f>
        <v>5923.7380076217523</v>
      </c>
      <c r="Y30" s="102">
        <f t="array" ref="Y30">IF($G30=0, INDEX(LS_previous!$D$4:$AY$137, MATCH('Staging Table'!$A30, LS_previous!$B$4:$B$137, 0), MATCH(Y$4&amp;Y$5, LS_previous!$D$2:$AY$2&amp;LS_previous!$D$3:$AY$3, 0)),SUM(VLOOKUP($A30, LS_previous!$B$4:$AY$137, LS_previous!Q$148, FALSE), VLOOKUP('Staging Table'!$A30, LS_previous!$B$4:$AY$137,LS_previous!AO$148, FALSE))/2)</f>
        <v>798.67797576497833</v>
      </c>
      <c r="Z30" s="102">
        <f t="array" ref="Z30">IF($G30=0, INDEX(LS_previous!$D$4:$AY$137, MATCH('Staging Table'!$A30, LS_previous!$B$4:$B$137, 0), MATCH(Z$4&amp;Z$5, LS_previous!$D$2:$AY$2&amp;LS_previous!$D$3:$AY$3, 0)),SUM(VLOOKUP($A30, LS_previous!$B$4:$AY$137, LS_previous!R$148, FALSE), VLOOKUP('Staging Table'!$A30, LS_previous!$B$4:$AY$137,LS_previous!AP$148, FALSE))/2)</f>
        <v>-5872.4343916784055</v>
      </c>
      <c r="AA30" s="102">
        <f t="array" ref="AA30">IF($G30=0, INDEX(LS_previous!$D$4:$AY$137, MATCH('Staging Table'!$A30, LS_previous!$B$4:$B$137, 0), MATCH(AA$4&amp;AA$5, LS_previous!$D$2:$AY$2&amp;LS_previous!$D$3:$AY$3, 0)),SUM(VLOOKUP($A30, LS_previous!$B$4:$AY$137, LS_previous!S$148, FALSE), VLOOKUP('Staging Table'!$A30, LS_previous!$B$4:$AY$137,LS_previous!AQ$148, FALSE))/2)</f>
        <v>-4684.5538190705483</v>
      </c>
      <c r="AB30" s="102">
        <f t="array" ref="AB30">IF($G30=0, INDEX(LS_previous!$D$4:$AY$137, MATCH('Staging Table'!$A30, LS_previous!$B$4:$B$137, 0), MATCH(AB$4&amp;AB$5, LS_previous!$D$2:$AY$2&amp;LS_previous!$D$3:$AY$3, 0)),SUM(VLOOKUP($A30, LS_previous!$B$4:$AY$137, LS_previous!T$148, FALSE), VLOOKUP('Staging Table'!$A30, LS_previous!$B$4:$AY$137,LS_previous!AR$148, FALSE))/2)</f>
        <v>-6069.5868303657917</v>
      </c>
      <c r="AC30" s="102">
        <f t="array" ref="AC30">IF($G30=0, INDEX(LS_previous!$D$4:$AY$137, MATCH('Staging Table'!$A30, LS_previous!$B$4:$B$137, 0), MATCH(AC$4&amp;AC$5, LS_previous!$D$2:$AY$2&amp;LS_previous!$D$3:$AY$3, 0)),SUM(VLOOKUP($A30, LS_previous!$B$4:$AY$137, LS_previous!U$148, FALSE), VLOOKUP('Staging Table'!$A30, LS_previous!$B$4:$AY$137,LS_previous!AS$148, FALSE))/2)</f>
        <v>-5413.8988776873521</v>
      </c>
      <c r="AD30" s="102">
        <f t="array" ref="AD30">IF($G30=0, INDEX(LS_previous!$D$4:$AY$137, MATCH('Staging Table'!$A30, LS_previous!$B$4:$B$137, 0), MATCH(AD$4&amp;AD$5, LS_previous!$D$2:$AY$2&amp;LS_previous!$D$3:$AY$3, 0)),SUM(VLOOKUP($A30, LS_previous!$B$4:$AY$137, LS_previous!V$148, FALSE), VLOOKUP('Staging Table'!$A30, LS_previous!$B$4:$AY$137,LS_previous!AT$148, FALSE))/2)</f>
        <v>197.5738682388037</v>
      </c>
      <c r="AE30" s="102">
        <f t="array" ref="AE30">IF($G30=0, INDEX(LS_previous!$D$4:$AY$137, MATCH('Staging Table'!$A30, LS_previous!$B$4:$B$137, 0), MATCH(AE$4&amp;AE$5, LS_previous!$D$2:$AY$2&amp;LS_previous!$D$3:$AY$3, 0)),SUM(VLOOKUP($A30, LS_previous!$B$4:$AY$137, LS_previous!W$148, FALSE), VLOOKUP('Staging Table'!$A30, LS_previous!$B$4:$AY$137,LS_previous!AU$148, FALSE))/2)</f>
        <v>-1540.0188811332482</v>
      </c>
      <c r="AF30" s="102">
        <f t="array" ref="AF30">IF($G30=0, INDEX(LS_previous!$D$4:$AY$137, MATCH('Staging Table'!$A30, LS_previous!$B$4:$B$137, 0), MATCH(AF$4&amp;AF$5, LS_previous!$D$2:$AY$2&amp;LS_previous!$D$3:$AY$3, 0)),SUM(VLOOKUP($A30, LS_previous!$B$4:$AY$137, LS_previous!X$148, FALSE), VLOOKUP('Staging Table'!$A30, LS_previous!$B$4:$AY$137,LS_previous!AV$148, FALSE))/2)</f>
        <v>4053.10646273155</v>
      </c>
      <c r="AG30" s="102">
        <f t="array" ref="AG30">IF($G30=0, INDEX(LS_previous!$D$4:$AY$137, MATCH('Staging Table'!$A30, LS_previous!$B$4:$B$137, 0), MATCH(AG$4&amp;AG$5, LS_previous!$D$2:$AY$2&amp;LS_previous!$D$3:$AY$3, 0)),SUM(VLOOKUP($A30, LS_previous!$B$4:$AY$137, LS_previous!Y$148, FALSE), VLOOKUP('Staging Table'!$A30, LS_previous!$B$4:$AY$137,LS_previous!AW$148, FALSE))/2)</f>
        <v>2400.1536893117482</v>
      </c>
      <c r="AH30" s="102">
        <f t="array" ref="AH30">IF($G30=0, INDEX(LS_previous!$D$4:$AY$137, MATCH('Staging Table'!$A30, LS_previous!$B$4:$B$137, 0), MATCH(AH$4&amp;AH$5, LS_previous!$D$2:$AY$2&amp;LS_previous!$D$3:$AY$3, 0)),SUM(VLOOKUP($A30, LS_previous!$B$4:$AY$137, LS_previous!Z$148, FALSE), VLOOKUP('Staging Table'!$A30, LS_previous!$B$4:$AY$137,LS_previous!AX$148, FALSE))/2)</f>
        <v>3966.0562309058005</v>
      </c>
      <c r="AI30" s="102">
        <f t="array" ref="AI30">IF($G30=0, INDEX(LS_previous!$D$4:$AY$137, MATCH('Staging Table'!$A30, LS_previous!$B$4:$B$137, 0), MATCH(AI$4&amp;AI$5, LS_previous!$D$2:$AY$2&amp;LS_previous!$D$3:$AY$3, 0)),SUM(VLOOKUP($A30, LS_previous!$B$4:$AY$137, LS_previous!AA$148, FALSE), VLOOKUP('Staging Table'!$A30, LS_previous!$B$4:$AY$137,LS_previous!AY$148, FALSE))/2)</f>
        <v>-282.56946388319921</v>
      </c>
      <c r="AJ30" s="103">
        <f t="array" ref="AJ30">INDEX(Demand_previous!$D$4:$AY$137, MATCH('Staging Table'!$A30, Demand_previous!$B$4:$B$137, 0), MATCH(AJ$4&amp;AJ$5,Demand_previous!$D$2:$AY$2&amp;Demand_previous!$D$3:$AY$3, 0))/1000</f>
        <v>12.929759615384597</v>
      </c>
      <c r="AK30" s="103">
        <f t="array" ref="AK30">INDEX(Demand_previous!$D$4:$AY$137, MATCH('Staging Table'!$A30, Demand_previous!$B$4:$B$137, 0), MATCH(AK$4&amp;AK$5,Demand_previous!$D$2:$AY$2&amp;Demand_previous!$D$3:$AY$3, 0))/1000</f>
        <v>28.841372500000006</v>
      </c>
      <c r="AL30" s="103">
        <f t="array" ref="AL30">INDEX(Demand_previous!$D$4:$AY$137, MATCH('Staging Table'!$A30, Demand_previous!$B$4:$B$137, 0), MATCH(AL$4&amp;AL$5,Demand_previous!$D$2:$AY$2&amp;Demand_previous!$D$3:$AY$3, 0))/1000</f>
        <v>18.946620000000003</v>
      </c>
      <c r="AM30" s="103">
        <f t="array" ref="AM30">INDEX(Demand_previous!$D$4:$AY$137, MATCH('Staging Table'!$A30, Demand_previous!$B$4:$B$137, 0), MATCH(AM$4&amp;AM$5,Demand_previous!$D$2:$AY$2&amp;Demand_previous!$D$3:$AY$3, 0))/1000</f>
        <v>25.271076923076933</v>
      </c>
      <c r="AN30" s="103">
        <f t="array" ref="AN30">INDEX(Demand_previous!$D$4:$AY$137, MATCH('Staging Table'!$A30, Demand_previous!$B$4:$B$137, 0), MATCH(AN$4&amp;AN$5,Demand_previous!$D$2:$AY$2&amp;Demand_previous!$D$3:$AY$3, 0))/1000</f>
        <v>2.0339874999999878</v>
      </c>
      <c r="AO30" s="103">
        <f t="array" ref="AO30">INDEX(Demand_previous!$D$4:$AY$137, MATCH('Staging Table'!$A30, Demand_previous!$B$4:$B$137, 0), MATCH(AO$4&amp;AO$5,Demand_previous!$D$2:$AY$2&amp;Demand_previous!$D$3:$AY$3, 0))/1000</f>
        <v>24.6015096153846</v>
      </c>
      <c r="AP30" s="103">
        <f t="array" ref="AP30">INDEX(Demand_previous!$D$4:$AY$137, MATCH('Staging Table'!$A30, Demand_previous!$B$4:$B$137, 0), MATCH(AP$4&amp;AP$5,Demand_previous!$D$2:$AY$2&amp;Demand_previous!$D$3:$AY$3, 0))/1000</f>
        <v>21.140091346153838</v>
      </c>
      <c r="AQ30" s="103">
        <f t="array" ref="AQ30">INDEX(Demand_previous!$D$4:$AY$137, MATCH('Staging Table'!$A30, Demand_previous!$B$4:$B$137, 0), MATCH(AQ$4&amp;AQ$5,Demand_previous!$D$2:$AY$2&amp;Demand_previous!$D$3:$AY$3, 0))/1000</f>
        <v>31.099747596153868</v>
      </c>
      <c r="AR30" s="103">
        <f t="array" ref="AR30">INDEX(Demand_previous!$D$4:$AY$137, MATCH('Staging Table'!$A30, Demand_previous!$B$4:$B$137, 0), MATCH(AR$4&amp;AR$5,Demand_previous!$D$2:$AY$2&amp;Demand_previous!$D$3:$AY$3, 0))/1000</f>
        <v>23.534362500000007</v>
      </c>
      <c r="AS30" s="103">
        <f t="array" ref="AS30">INDEX(Demand_previous!$D$4:$AY$137, MATCH('Staging Table'!$A30, Demand_previous!$B$4:$B$137, 0), MATCH(AS$4&amp;AS$5,Demand_previous!$D$2:$AY$2&amp;Demand_previous!$D$3:$AY$3, 0))/1000</f>
        <v>20.318923076923056</v>
      </c>
      <c r="AT30" s="103">
        <f t="array" ref="AT30">INDEX(Demand_previous!$D$4:$AY$137, MATCH('Staging Table'!$A30, Demand_previous!$B$4:$B$137, 0), MATCH(AT$4&amp;AT$5,Demand_previous!$D$2:$AY$2&amp;Demand_previous!$D$3:$AY$3, 0))/1000</f>
        <v>28.94706712962963</v>
      </c>
      <c r="AU30" s="103">
        <f t="array" ref="AU30">INDEX(Demand_previous!$D$4:$AY$137, MATCH('Staging Table'!$A30, Demand_previous!$B$4:$B$137, 0), MATCH(AU$4&amp;AU$5,Demand_previous!$D$2:$AY$2&amp;Demand_previous!$D$3:$AY$3, 0))/1000</f>
        <v>18.716791666666666</v>
      </c>
      <c r="AV30" s="102">
        <f>$F30*(VLOOKUP(AV$4, Rates_previous!$G$6:$Q$29, 10, FALSE)+VLOOKUP(AV$4, Rates_previous!$G$6:$Q$29, 11, FALSE))</f>
        <v>49943.464569765449</v>
      </c>
      <c r="AW30" s="102">
        <f>$F30*(VLOOKUP(AW$4, Rates_previous!$G$6:$Q$29, 10, FALSE)+VLOOKUP(AW$4, Rates_previous!$G$6:$Q$29, 11, FALSE))</f>
        <v>63694.386332429705</v>
      </c>
      <c r="AX30" s="102">
        <f>$F30*(VLOOKUP(AX$4, Rates_previous!$G$6:$Q$29, 10, FALSE)+VLOOKUP(AX$4, Rates_previous!$G$6:$Q$29, 11, FALSE))</f>
        <v>68738.845495360511</v>
      </c>
      <c r="AY30" s="102">
        <f>$F30*(VLOOKUP(AY$4, Rates_previous!$G$6:$Q$29, 10, FALSE)+VLOOKUP(AY$4, Rates_previous!$G$6:$Q$29, 11, FALSE))</f>
        <v>71430.286658395198</v>
      </c>
      <c r="AZ30" s="102">
        <f>$F30*(VLOOKUP(AZ$4, Rates_previous!$G$6:$Q$29, 10, FALSE)+VLOOKUP(AZ$4, Rates_previous!$G$6:$Q$29, 11, FALSE))</f>
        <v>61439.567575595393</v>
      </c>
      <c r="BA30" s="102">
        <f>$F30*(VLOOKUP(BA$4, Rates_previous!$G$6:$Q$29, 10, FALSE)+VLOOKUP(BA$4, Rates_previous!$G$6:$Q$29, 11, FALSE))</f>
        <v>67079.843369925293</v>
      </c>
      <c r="BB30" s="102">
        <f>$F30*(VLOOKUP(BB$4, Rates_previous!$G$6:$Q$29, 10, FALSE)+VLOOKUP(BB$4, Rates_previous!$G$6:$Q$29, 11, FALSE))</f>
        <v>52948.23201661327</v>
      </c>
      <c r="BC30" s="102">
        <f>$F30*(VLOOKUP(BC$4, Rates_previous!$G$6:$Q$29, 10, FALSE)+VLOOKUP(BC$4, Rates_previous!$G$6:$Q$29, 11, FALSE))</f>
        <v>65689.377210748949</v>
      </c>
      <c r="BD30" s="102">
        <f>$F30*(VLOOKUP(BD$4, Rates_previous!$G$6:$Q$29, 10, FALSE)+VLOOKUP(BD$4, Rates_previous!$G$6:$Q$29, 11, FALSE))</f>
        <v>67114.672708053142</v>
      </c>
      <c r="BE30" s="102">
        <f>$F30*(VLOOKUP(BE$4, Rates_previous!$G$6:$Q$29, 10, FALSE)+VLOOKUP(BE$4, Rates_previous!$G$6:$Q$29, 11, FALSE))</f>
        <v>58265.205012894447</v>
      </c>
      <c r="BF30" s="102">
        <f>$F30*(VLOOKUP(BF$4, Rates_previous!$G$6:$Q$29, 10, FALSE)+VLOOKUP(BF$4, Rates_previous!$G$6:$Q$29, 11, FALSE))</f>
        <v>56326.965847956708</v>
      </c>
      <c r="BG30" s="102">
        <f>$F30*(VLOOKUP(BG$4, Rates_previous!$G$6:$Q$29, 10, FALSE)+VLOOKUP(BG$4, Rates_previous!$G$6:$Q$29, 11, FALSE))</f>
        <v>51831.716232977407</v>
      </c>
      <c r="BH30" s="103">
        <f>IF($D30=0,IF(C30=0, MAX(BJ30 - (VLOOKUP($A30,TOCA_previous!$A$2:$AJ$136,MATCH("RHWM "&amp;Init!$D$1-2,TOCA_previous!$A$2:$AJ$2,0),FALSE)*$F$2*TOCA_previous!C27),0),0), 0)</f>
        <v>0</v>
      </c>
      <c r="BI30" s="109">
        <f>MIN(VLOOKUP($A30,TOCA_previous!$A$2:$AJ$136,MATCH("TRL - NLSL - Existing Resource "&amp;$F$1,TOCA_previous!$A$2:$AJ$2,0),FALSE)*$F$2,(VLOOKUP($A30,TOCA_previous!$A$2:$AJ$136,MATCH("RHWM "&amp;Init!$D$1-2,TOCA_previous!$A$2:$AJ$2,0),FALSE)*$F$2))</f>
        <v>718294.03200000001</v>
      </c>
      <c r="BJ30" s="261">
        <f>SUM(L30:AI30)+(F30*RT1SC!$C$3*$F$2)</f>
        <v>738880.13036681246</v>
      </c>
      <c r="BK30" s="260">
        <f>VLOOKUP($A30,TOCA_previous!$A$2:$AJ$136,MATCH("Above RHWM Not Served with LS "&amp;$F$1,TOCA_previous!$A$2:$AJ$2,0),FALSE)*$F$2</f>
        <v>0</v>
      </c>
      <c r="BL30" s="261">
        <f t="shared" si="21"/>
        <v>20586.098366812454</v>
      </c>
      <c r="BM30" s="260">
        <f>(VLOOKUP($A30,TOCA_previous!$A$2:$AJ$136,MATCH("RHWM "&amp;Init!$D$1-2,TOCA_previous!$A$2:$AJ$2,0),FALSE)*$F$2) - $BI30</f>
        <v>56270.304000000004</v>
      </c>
      <c r="BN30" s="261">
        <f t="shared" si="22"/>
        <v>-20586.098366812454</v>
      </c>
      <c r="BO30" s="260">
        <f t="shared" si="23"/>
        <v>0</v>
      </c>
      <c r="BP30" s="261">
        <f t="shared" si="24"/>
        <v>0</v>
      </c>
      <c r="BQ30" s="260">
        <f t="shared" si="9"/>
        <v>-20586.098366812454</v>
      </c>
      <c r="BR30" s="85">
        <f>VLOOKUP($A30,TOCA_current!$A$2:$ZZ$136,MATCH(BR$4,TOCA_current!$A$2:$ZZ$2,0),FALSE)</f>
        <v>1.18639E-2</v>
      </c>
      <c r="BS30" s="85">
        <f>VLOOKUP($A30,TOCA_current!$A$2:$ZZ$136,MATCH(BS$4,TOCA_current!$A$2:$ZZ$2,0),FALSE)</f>
        <v>1.18639E-2</v>
      </c>
      <c r="BT30" s="108">
        <f t="shared" si="25"/>
        <v>0</v>
      </c>
      <c r="BU30" s="85">
        <f>VLOOKUP($A30,TOCA_current!A27:BG161,MATCH(BU$4,TOCA_current!$A$2:$BG$2,0),FALSE)</f>
        <v>0</v>
      </c>
      <c r="BV30" s="85">
        <f t="shared" si="26"/>
        <v>0</v>
      </c>
      <c r="BW30" s="85">
        <f t="shared" si="27"/>
        <v>0</v>
      </c>
      <c r="BX30" s="101">
        <f>VLOOKUP($A30,IRD!$A$4:$G$138, 7, FALSE)</f>
        <v>0</v>
      </c>
      <c r="BY30" s="102">
        <f t="array" ref="BY30">IF($BT30=0, INDEX(LS_current!$D$4:$BW$137, MATCH('Staging Table'!$A30, LS_current!$B$4:$B$137, 0), MATCH(BY$4&amp;BY$5, LS_current!$D$2:$BW$2&amp;LS_current!$D$3:$BW$3, 0)),SUM(VLOOKUP($A30, LS_current!$B$4:$BW$137, LS_current!D$147, FALSE), VLOOKUP($A30, LS_current!$B$4:$BW$137,LS_current!AZ$147, FALSE))/2)</f>
        <v>9018.6356223643743</v>
      </c>
      <c r="BZ30" s="102">
        <f t="array" ref="BZ30">IF($BT30=0, INDEX(LS_current!$D$4:$BW$137, MATCH('Staging Table'!$A30, LS_current!$B$4:$B$137, 0), MATCH(BZ$4&amp;BZ$5, LS_current!$D$2:$BW$2&amp;LS_current!$D$3:$BW$3, 0)),SUM(VLOOKUP($A30, LS_current!$B$4:$BW$137, LS_current!E$147, FALSE), VLOOKUP($A30, LS_current!$B$4:$BW$137,LS_current!BA$147, FALSE))/2)</f>
        <v>2977.7252170477441</v>
      </c>
      <c r="CA30" s="102">
        <f t="array" ref="CA30">IF($BT30=0, INDEX(LS_current!$D$4:$BW$137, MATCH('Staging Table'!$A30, LS_current!$B$4:$B$137, 0), MATCH(CA$4&amp;CA$5, LS_current!$D$2:$BW$2&amp;LS_current!$D$3:$BW$3, 0)),SUM(VLOOKUP($A30, LS_current!$B$4:$BW$137, LS_current!F$147, FALSE), VLOOKUP($A30, LS_current!$B$4:$BW$137,LS_current!BB$147, FALSE))/2)</f>
        <v>-628.85740804250963</v>
      </c>
      <c r="CB30" s="102">
        <f t="array" ref="CB30">IF($BT30=0, INDEX(LS_current!$D$4:$BW$137, MATCH('Staging Table'!$A30, LS_current!$B$4:$B$137, 0), MATCH(CB$4&amp;CB$5, LS_current!$D$2:$BW$2&amp;LS_current!$D$3:$BW$3, 0)),SUM(VLOOKUP($A30, LS_current!$B$4:$BW$137, LS_current!G$147, FALSE), VLOOKUP($A30, LS_current!$B$4:$BW$137,LS_current!BC$147, FALSE))/2)</f>
        <v>-743.96051712057306</v>
      </c>
      <c r="CC30" s="102">
        <f t="array" ref="CC30">IF($BT30=0, INDEX(LS_current!$D$4:$BW$137, MATCH('Staging Table'!$A30, LS_current!$B$4:$B$137, 0), MATCH(CC$4&amp;CC$5, LS_current!$D$2:$BW$2&amp;LS_current!$D$3:$BW$3, 0)),SUM(VLOOKUP($A30, LS_current!$B$4:$BW$137, LS_current!H$147, FALSE), VLOOKUP($A30, LS_current!$B$4:$BW$137,LS_current!BD$147, FALSE))/2)</f>
        <v>-2610.1454316340969</v>
      </c>
      <c r="CD30" s="102">
        <f t="array" ref="CD30">IF($BT30=0, INDEX(LS_current!$D$4:$BW$137, MATCH('Staging Table'!$A30, LS_current!$B$4:$B$137, 0), MATCH(CD$4&amp;CD$5, LS_current!$D$2:$BW$2&amp;LS_current!$D$3:$BW$3, 0)),SUM(VLOOKUP($A30, LS_current!$B$4:$BW$137, LS_current!I$147, FALSE), VLOOKUP($A30, LS_current!$B$4:$BW$137,LS_current!BE$147, FALSE))/2)</f>
        <v>734.6655947502004</v>
      </c>
      <c r="CE30" s="102">
        <f t="array" ref="CE30">IF($BT30=0, INDEX(LS_current!$D$4:$BW$137, MATCH('Staging Table'!$A30, LS_current!$B$4:$B$137, 0), MATCH(CE$4&amp;CE$5, LS_current!$D$2:$BW$2&amp;LS_current!$D$3:$BW$3, 0)),SUM(VLOOKUP($A30, LS_current!$B$4:$BW$137, LS_current!J$147, FALSE), VLOOKUP($A30, LS_current!$B$4:$BW$137,LS_current!BF$147, FALSE))/2)</f>
        <v>-4980.0003884859616</v>
      </c>
      <c r="CF30" s="102">
        <f t="array" ref="CF30">IF($BT30=0, INDEX(LS_current!$D$4:$BW$137, MATCH('Staging Table'!$A30, LS_current!$B$4:$B$137, 0), MATCH(CF$4&amp;CF$5, LS_current!$D$2:$BW$2&amp;LS_current!$D$3:$BW$3, 0)),SUM(VLOOKUP($A30, LS_current!$B$4:$BW$137, LS_current!K$147, FALSE), VLOOKUP($A30, LS_current!$B$4:$BW$137,LS_current!BG$147, FALSE))/2)</f>
        <v>-2000.6400752446243</v>
      </c>
      <c r="CG30" s="102">
        <f t="array" ref="CG30">IF($BT30=0, INDEX(LS_current!$D$4:$BW$137, MATCH('Staging Table'!$A30, LS_current!$B$4:$B$137, 0), MATCH(CG$4&amp;CG$5, LS_current!$D$2:$BW$2&amp;LS_current!$D$3:$BW$3, 0)),SUM(VLOOKUP($A30, LS_current!$B$4:$BW$137, LS_current!L$147, FALSE), VLOOKUP($A30, LS_current!$B$4:$BW$137,LS_current!BH$147, FALSE))/2)</f>
        <v>2814.1965972457983</v>
      </c>
      <c r="CH30" s="102">
        <f t="array" ref="CH30">IF($BT30=0, INDEX(LS_current!$D$4:$BW$137, MATCH('Staging Table'!$A30, LS_current!$B$4:$B$137, 0), MATCH(CH$4&amp;CH$5, LS_current!$D$2:$BW$2&amp;LS_current!$D$3:$BW$3, 0)),SUM(VLOOKUP($A30, LS_current!$B$4:$BW$137, LS_current!M$147, FALSE), VLOOKUP($A30, LS_current!$B$4:$BW$137,LS_current!BI$147, FALSE))/2)</f>
        <v>2302.9913447533836</v>
      </c>
      <c r="CI30" s="102">
        <f t="array" ref="CI30">IF($BT30=0, INDEX(LS_current!$D$4:$BW$137, MATCH('Staging Table'!$A30, LS_current!$B$4:$B$137, 0), MATCH(CI$4&amp;CI$5, LS_current!$D$2:$BW$2&amp;LS_current!$D$3:$BW$3, 0)),SUM(VLOOKUP($A30, LS_current!$B$4:$BW$137, LS_current!N$147, FALSE), VLOOKUP($A30, LS_current!$B$4:$BW$137,LS_current!BJ$147, FALSE))/2)</f>
        <v>-1470.7223014243646</v>
      </c>
      <c r="CJ30" s="102">
        <f t="array" ref="CJ30">IF($BT30=0, INDEX(LS_current!$D$4:$BW$137, MATCH('Staging Table'!$A30, LS_current!$B$4:$B$137, 0), MATCH(CJ$4&amp;CJ$5, LS_current!$D$2:$BW$2&amp;LS_current!$D$3:$BW$3, 0)),SUM(VLOOKUP($A30, LS_current!$B$4:$BW$137, LS_current!O$147, FALSE), VLOOKUP($A30, LS_current!$B$4:$BW$137,LS_current!BK$147, FALSE))/2)</f>
        <v>2586.8002469294443</v>
      </c>
      <c r="CK30" s="102">
        <f t="array" ref="CK30">IF($BT30=0, INDEX(LS_current!$D$4:$BW$137, MATCH('Staging Table'!$A30, LS_current!$B$4:$B$137, 0), MATCH(CK$4&amp;CK$5, LS_current!$D$2:$BW$2&amp;LS_current!$D$3:$BW$3, 0)),SUM(VLOOKUP($A30, LS_current!$B$4:$BW$137, LS_current!P$147, FALSE), VLOOKUP($A30, LS_current!$B$4:$BW$137,LS_current!BL$147, FALSE))/2)</f>
        <v>6761.5583219788714</v>
      </c>
      <c r="CL30" s="102">
        <f t="array" ref="CL30">IF($BT30=0, INDEX(LS_current!$D$4:$BW$137, MATCH('Staging Table'!$A30, LS_current!$B$4:$B$137, 0), MATCH(CL$4&amp;CL$5, LS_current!$D$2:$BW$2&amp;LS_current!$D$3:$BW$3, 0)),SUM(VLOOKUP($A30, LS_current!$B$4:$BW$137, LS_current!Q$147, FALSE), VLOOKUP($A30, LS_current!$B$4:$BW$137,LS_current!BM$147, FALSE))/2)</f>
        <v>1925.9519114011237</v>
      </c>
      <c r="CM30" s="102">
        <f t="array" ref="CM30">IF($BT30=0, INDEX(LS_current!$D$4:$BW$137, MATCH('Staging Table'!$A30, LS_current!$B$4:$B$137, 0), MATCH(CM$4&amp;CM$5, LS_current!$D$2:$BW$2&amp;LS_current!$D$3:$BW$3, 0)),SUM(VLOOKUP($A30, LS_current!$B$4:$BW$137, LS_current!R$147, FALSE), VLOOKUP($A30, LS_current!$B$4:$BW$137,LS_current!BN$147, FALSE))/2)</f>
        <v>-5908.9789662628391</v>
      </c>
      <c r="CN30" s="102">
        <f t="array" ref="CN30">IF($BT30=0, INDEX(LS_current!$D$4:$BW$137, MATCH('Staging Table'!$A30, LS_current!$B$4:$B$137, 0), MATCH(CN$4&amp;CN$5, LS_current!$D$2:$BW$2&amp;LS_current!$D$3:$BW$3, 0)),SUM(VLOOKUP($A30, LS_current!$B$4:$BW$137, LS_current!S$147, FALSE), VLOOKUP($A30, LS_current!$B$4:$BW$137,LS_current!BO$147, FALSE))/2)</f>
        <v>-4939.2067971722463</v>
      </c>
      <c r="CO30" s="102">
        <f t="array" ref="CO30">IF($BT30=0, INDEX(LS_current!$D$4:$BW$137, MATCH('Staging Table'!$A30, LS_current!$B$4:$B$137, 0), MATCH(CO$4&amp;CO$5, LS_current!$D$2:$BW$2&amp;LS_current!$D$3:$BW$3, 0)),SUM(VLOOKUP($A30, LS_current!$B$4:$BW$137, LS_current!T$147, FALSE), VLOOKUP($A30, LS_current!$B$4:$BW$137,LS_current!BP$147, FALSE))/2)</f>
        <v>-7845.7886961921831</v>
      </c>
      <c r="CP30" s="102">
        <f t="array" ref="CP30">IF($BT30=0, INDEX(LS_current!$D$4:$BW$137, MATCH('Staging Table'!$A30, LS_current!$B$4:$B$137, 0), MATCH(CP$4&amp;CP$5, LS_current!$D$2:$BW$2&amp;LS_current!$D$3:$BW$3, 0)),SUM(VLOOKUP($A30, LS_current!$B$4:$BW$137, LS_current!U$147, FALSE), VLOOKUP($A30, LS_current!$B$4:$BW$137,LS_current!BQ$147, FALSE))/2)</f>
        <v>-3912.476407843722</v>
      </c>
      <c r="CQ30" s="102">
        <f t="array" ref="CQ30">IF($BT30=0, INDEX(LS_current!$D$4:$BW$137, MATCH('Staging Table'!$A30, LS_current!$B$4:$B$137, 0), MATCH(CQ$4&amp;CQ$5, LS_current!$D$2:$BW$2&amp;LS_current!$D$3:$BW$3, 0)),SUM(VLOOKUP($A30, LS_current!$B$4:$BW$137, LS_current!V$147, FALSE), VLOOKUP($A30, LS_current!$B$4:$BW$137,LS_current!BR$147, FALSE))/2)</f>
        <v>-1502.0507396610337</v>
      </c>
      <c r="CR30" s="102">
        <f t="array" ref="CR30">IF($BT30=0, INDEX(LS_current!$D$4:$BW$137, MATCH('Staging Table'!$A30, LS_current!$B$4:$B$137, 0), MATCH(CR$4&amp;CR$5, LS_current!$D$2:$BW$2&amp;LS_current!$D$3:$BW$3, 0)),SUM(VLOOKUP($A30, LS_current!$B$4:$BW$137, LS_current!W$147, FALSE), VLOOKUP($A30, LS_current!$B$4:$BW$137,LS_current!BS$147, FALSE))/2)</f>
        <v>-1557.6297916681578</v>
      </c>
      <c r="CS30" s="102">
        <f t="array" ref="CS30">IF($BT30=0, INDEX(LS_current!$D$4:$BW$137, MATCH('Staging Table'!$A30, LS_current!$B$4:$B$137, 0), MATCH(CS$4&amp;CS$5, LS_current!$D$2:$BW$2&amp;LS_current!$D$3:$BW$3, 0)),SUM(VLOOKUP($A30, LS_current!$B$4:$BW$137, LS_current!X$147, FALSE), VLOOKUP($A30, LS_current!$B$4:$BW$137,LS_current!BT$147, FALSE))/2)</f>
        <v>-1115.8690681089065</v>
      </c>
      <c r="CT30" s="102">
        <f t="array" ref="CT30">IF($BT30=0, INDEX(LS_current!$D$4:$BW$137, MATCH('Staging Table'!$A30, LS_current!$B$4:$B$137, 0), MATCH(CT$4&amp;CT$5, LS_current!$D$2:$BW$2&amp;LS_current!$D$3:$BW$3, 0)),SUM(VLOOKUP($A30, LS_current!$B$4:$BW$137, LS_current!Y$147, FALSE), VLOOKUP($A30, LS_current!$B$4:$BW$137,LS_current!BU$147, FALSE))/2)</f>
        <v>2365.1115024681567</v>
      </c>
      <c r="CU30" s="102">
        <f t="array" ref="CU30">IF($BT30=0, INDEX(LS_current!$D$4:$BW$137, MATCH('Staging Table'!$A30, LS_current!$B$4:$B$137, 0), MATCH(CU$4&amp;CU$5, LS_current!$D$2:$BW$2&amp;LS_current!$D$3:$BW$3, 0)),SUM(VLOOKUP($A30, LS_current!$B$4:$BW$137, LS_current!Z$147, FALSE), VLOOKUP($A30, LS_current!$B$4:$BW$137,LS_current!BV$147, FALSE))/2)</f>
        <v>5179.1548551480373</v>
      </c>
      <c r="CV30" s="102">
        <f t="array" ref="CV30">IF($BT30=0, INDEX(LS_current!$D$4:$BW$137, MATCH('Staging Table'!$A30, LS_current!$B$4:$B$137, 0), MATCH(CV$4&amp;CV$5, LS_current!$D$2:$BW$2&amp;LS_current!$D$3:$BW$3, 0)),SUM(VLOOKUP($A30, LS_current!$B$4:$BW$137, LS_current!AA$147, FALSE), VLOOKUP($A30, LS_current!$B$4:$BW$137,LS_current!BW$147, FALSE))/2)</f>
        <v>2549.8635889542275</v>
      </c>
      <c r="CW30" s="103">
        <f t="array" ref="CW30">INDEX(Demand_current!$D$4:$BW$137, MATCH($A30, Demand_current!$B$4:$B$137, 0), MATCH(CW$4&amp;CW$5,Demand_current!$D$2:$BW$2&amp;Demand_current!$D$3:$BW$3, 0))/1000</f>
        <v>16.563768518518501</v>
      </c>
      <c r="CX30" s="103">
        <f t="array" ref="CX30">INDEX(Demand_current!$D$4:$BW$137, MATCH($A30, Demand_current!$B$4:$B$137, 0), MATCH(CX$4&amp;CX$5,Demand_current!$D$2:$BW$2&amp;Demand_current!$D$3:$BW$3, 0))/1000</f>
        <v>24.828138020833336</v>
      </c>
      <c r="CY30" s="103">
        <f t="array" ref="CY30">INDEX(Demand_current!$D$4:$BW$137, MATCH($A30, Demand_current!$B$4:$B$137, 0), MATCH(CY$4&amp;CY$5,Demand_current!$D$2:$BW$2&amp;Demand_current!$D$3:$BW$3, 0))/1000</f>
        <v>23.259826923076922</v>
      </c>
      <c r="CZ30" s="103">
        <f t="array" ref="CZ30">INDEX(Demand_current!$D$4:$BW$137, MATCH($A30, Demand_current!$B$4:$B$137, 0), MATCH(CZ$4&amp;CZ$5,Demand_current!$D$2:$BW$2&amp;Demand_current!$D$3:$BW$3, 0))/1000</f>
        <v>25.271076923076933</v>
      </c>
      <c r="DA30" s="103">
        <f t="array" ref="DA30">INDEX(Demand_current!$D$4:$BW$137, MATCH($A30, Demand_current!$B$4:$B$137, 0), MATCH(DA$4&amp;DA$5,Demand_current!$D$2:$BW$2&amp;Demand_current!$D$3:$BW$3, 0))/1000</f>
        <v>0</v>
      </c>
      <c r="DB30" s="103">
        <f t="array" ref="DB30">INDEX(Demand_current!$D$4:$BW$137, MATCH($A30, Demand_current!$B$4:$B$137, 0), MATCH(DB$4&amp;DB$5,Demand_current!$D$2:$BW$2&amp;Demand_current!$D$3:$BW$3, 0))/1000</f>
        <v>24.6015096153846</v>
      </c>
      <c r="DC30" s="103">
        <f t="array" ref="DC30">INDEX(Demand_current!$D$4:$BW$137, MATCH($A30, Demand_current!$B$4:$B$137, 0), MATCH(DC$4&amp;DC$5,Demand_current!$D$2:$BW$2&amp;Demand_current!$D$3:$BW$3, 0))/1000</f>
        <v>21.140091346153838</v>
      </c>
      <c r="DD30" s="103">
        <f t="array" ref="DD30">INDEX(Demand_current!$D$4:$BW$137, MATCH($A30, Demand_current!$B$4:$B$137, 0), MATCH(DD$4&amp;DD$5,Demand_current!$D$2:$BW$2&amp;Demand_current!$D$3:$BW$3, 0))/1000</f>
        <v>27.727137500000019</v>
      </c>
      <c r="DE30" s="103">
        <f t="array" ref="DE30">INDEX(Demand_current!$D$4:$BW$137, MATCH($A30, Demand_current!$B$4:$B$137, 0), MATCH(DE$4&amp;DE$5,Demand_current!$D$2:$BW$2&amp;Demand_current!$D$3:$BW$3, 0))/1000</f>
        <v>27.151656250000009</v>
      </c>
      <c r="DF30" s="103">
        <f t="array" ref="DF30">INDEX(Demand_current!$D$4:$BW$137, MATCH($A30, Demand_current!$B$4:$B$137, 0), MATCH(DF$4&amp;DF$5,Demand_current!$D$2:$BW$2&amp;Demand_current!$D$3:$BW$3, 0))/1000</f>
        <v>20.318923076923056</v>
      </c>
      <c r="DG30" s="103">
        <f t="array" ref="DG30">INDEX(Demand_current!$D$4:$BW$137, MATCH($A30, Demand_current!$B$4:$B$137, 0), MATCH(DG$4&amp;DG$5,Demand_current!$D$2:$BW$2&amp;Demand_current!$D$3:$BW$3, 0))/1000</f>
        <v>25.285338942307689</v>
      </c>
      <c r="DH30" s="103">
        <f t="array" ref="DH30">INDEX(Demand_current!$D$4:$BW$137, MATCH($A30, Demand_current!$B$4:$B$137, 0), MATCH(DH$4&amp;DH$5,Demand_current!$D$2:$BW$2&amp;Demand_current!$D$3:$BW$3, 0))/1000</f>
        <v>22.450800000000001</v>
      </c>
      <c r="DI30" s="102">
        <f>$BS30*(VLOOKUP(DI$4, Rates_current!$H$6:$R$41, 10, FALSE)+VLOOKUP(DI$4, Rates_current!$H$6:$R$41, 11, FALSE))</f>
        <v>49238.597160587888</v>
      </c>
      <c r="DJ30" s="102">
        <f>$BS30*(VLOOKUP(DJ$4, Rates_current!$H$6:$R$41, 10, FALSE)+VLOOKUP(DJ$4, Rates_current!$H$6:$R$41, 11, FALSE))</f>
        <v>62949.925925163087</v>
      </c>
      <c r="DK30" s="102">
        <f>$BS30*(VLOOKUP(DK$4, Rates_current!$H$6:$R$41, 10, FALSE)+VLOOKUP(DK$4, Rates_current!$H$6:$R$41, 11, FALSE))</f>
        <v>71568.800836883893</v>
      </c>
      <c r="DL30" s="102">
        <f>$BS30*(VLOOKUP(DL$4, Rates_current!$H$6:$R$41, 10, FALSE)+VLOOKUP(DL$4, Rates_current!$H$6:$R$41, 11, FALSE))</f>
        <v>75510.671463730585</v>
      </c>
      <c r="DM30" s="102">
        <f>$BS30*(VLOOKUP(DM$4, Rates_current!$H$6:$R$41, 10, FALSE)+VLOOKUP(DM$4, Rates_current!$H$6:$R$41, 11, FALSE))</f>
        <v>60175.19005800083</v>
      </c>
      <c r="DN30" s="102">
        <f>$BS30*(VLOOKUP(DN$4, Rates_current!$H$6:$R$41, 10, FALSE)+VLOOKUP(DN$4, Rates_current!$H$6:$R$41, 11, FALSE))</f>
        <v>65783.840054494911</v>
      </c>
      <c r="DO30" s="102">
        <f>$BS30*(VLOOKUP(DO$4, Rates_current!$H$6:$R$41, 10, FALSE)+VLOOKUP(DO$4, Rates_current!$H$6:$R$41, 11, FALSE))</f>
        <v>50983.137766620006</v>
      </c>
      <c r="DP30" s="102">
        <f>$BS30*(VLOOKUP(DP$4, Rates_current!$H$6:$R$41, 10, FALSE)+VLOOKUP(DP$4, Rates_current!$H$6:$R$41, 11, FALSE))</f>
        <v>65980.57476343507</v>
      </c>
      <c r="DQ30" s="102">
        <f>$BS30*(VLOOKUP(DQ$4, Rates_current!$H$6:$R$41, 10, FALSE)+VLOOKUP(DQ$4, Rates_current!$H$6:$R$41, 11, FALSE))</f>
        <v>67389.45210403591</v>
      </c>
      <c r="DR30" s="102">
        <f>$BS30*(VLOOKUP(DR$4, Rates_current!$H$6:$R$41, 10, FALSE)+VLOOKUP(DR$4, Rates_current!$H$6:$R$41, 11, FALSE))</f>
        <v>59982.440531329194</v>
      </c>
      <c r="DS30" s="102">
        <f>$BS30*(VLOOKUP(DS$4, Rates_current!$H$6:$R$41, 10, FALSE)+VLOOKUP(DS$4, Rates_current!$H$6:$R$41, 11, FALSE))</f>
        <v>61530.983565640752</v>
      </c>
      <c r="DT30" s="102">
        <f>$BS30*(VLOOKUP(DT$4, Rates_current!$H$6:$R$41, 10, FALSE)+VLOOKUP(DT$4, Rates_current!$H$6:$R$41, 11, FALSE))</f>
        <v>47786.184555897744</v>
      </c>
      <c r="DU30" s="261">
        <f>IF(D30=0,IF(C30=0,MAX(0,DW30 - (VLOOKUP($A30,TOCA_current!$A$2:$AV$136,MATCH("RHWM "&amp;Init!$D$1,TOCA_current!$A$2:$AV$2,0),FALSE)*$BS$2)), 0),0)</f>
        <v>0</v>
      </c>
      <c r="DV30" s="262">
        <f>MIN(VLOOKUP($A30,TOCA_current!$A$2:$AV$136,MATCH("TRL - NLSL - Existing Resource "&amp;$BS$1,TOCA_current!$A$2:$AV$2,0),FALSE)*$BS$2, VLOOKUP($A30,TOCA_current!$A$2:$AV$136,MATCH("RHWM "&amp;Init!$D$1,TOCA_current!$A$2:$AV$2,0),FALSE)*$BS$2)</f>
        <v>738879.72</v>
      </c>
      <c r="DW30" s="262">
        <f>SUM(BY30:CV30)+(BS30*RT1SC!$C$4*$BS$2)</f>
        <v>738880.17061590834</v>
      </c>
      <c r="DX30" s="262">
        <f>VLOOKUP($A30,TOCA_current!$A$2:$AV$136,MATCH("Above RHWM Not Served with LS "&amp;$BS$1,TOCA_current!$A$2:$AV$2,0),FALSE)*$BS$2</f>
        <v>0</v>
      </c>
      <c r="DY30" s="262">
        <f t="shared" si="28"/>
        <v>0.45061590836849064</v>
      </c>
      <c r="DZ30" s="262">
        <f>(VLOOKUP($A30,TOCA_current!$A$2:$AV$136,MATCH("RHWM "&amp;Init!$D$1,TOCA_current!$A$2:$AV$2,0),FALSE)*$BS$2) - $DV30</f>
        <v>38018.400000000023</v>
      </c>
      <c r="EA30" s="262">
        <f t="shared" si="29"/>
        <v>-0.45061590836849064</v>
      </c>
      <c r="EB30" s="262">
        <f t="shared" si="30"/>
        <v>0</v>
      </c>
      <c r="EC30" s="262">
        <f t="shared" si="31"/>
        <v>0</v>
      </c>
      <c r="ED30" s="262">
        <f t="shared" si="32"/>
        <v>-0.45061590836849064</v>
      </c>
    </row>
    <row r="31" spans="1:134">
      <c r="A31" s="2">
        <v>10080</v>
      </c>
      <c r="B31" s="3" t="s">
        <v>33</v>
      </c>
      <c r="C31">
        <f>VLOOKUP(A31, TOCA_current!$A$3:$D$136, 4, FALSE)</f>
        <v>0</v>
      </c>
      <c r="D31">
        <v>0</v>
      </c>
      <c r="E31" s="84">
        <f>VLOOKUP($A31,TOCA_previous!$A$2:$AJ$136,MATCH(E$4,TOCA_previous!$A$2:$AJ$2,0),FALSE)</f>
        <v>9.5660000000000005E-4</v>
      </c>
      <c r="F31" s="85">
        <f>VLOOKUP($A31,TOCA_previous!$A$2:$AJ$136,MATCH(F$4,TOCA_previous!$A$2:$AJ$2,0),FALSE)</f>
        <v>9.5660000000000005E-4</v>
      </c>
      <c r="G31" s="85">
        <f t="shared" si="18"/>
        <v>0</v>
      </c>
      <c r="H31" s="85">
        <f>VLOOKUP($A31,TOCA_previous!$A$2:$AJ$136,MATCH(H$4,TOCA_previous!$A$2:$AJ$2,0),FALSE)</f>
        <v>0</v>
      </c>
      <c r="I31" s="85">
        <f t="shared" si="19"/>
        <v>0</v>
      </c>
      <c r="J31" s="85">
        <f t="shared" si="20"/>
        <v>0</v>
      </c>
      <c r="K31" s="101">
        <f>VLOOKUP(A31, IRD!$A$5:$C$138, 3, FALSE)</f>
        <v>0</v>
      </c>
      <c r="L31" s="102">
        <f t="array" ref="L31">IF($G31=0, INDEX(LS_previous!$D$4:$AY$137, MATCH('Staging Table'!$A31, LS_previous!$B$4:$B$137, 0), MATCH(L$4&amp;L$5, LS_previous!$D$2:$AY$2&amp;LS_previous!$D$3:$AY$3, 0)),SUM(VLOOKUP($A31, LS_previous!$B$4:$AY$137, LS_previous!D$148, FALSE), VLOOKUP('Staging Table'!$A31, LS_previous!$B$4:$AY$137,LS_previous!AB$148, FALSE))/2)</f>
        <v>657.48203516239982</v>
      </c>
      <c r="M31" s="102">
        <f t="array" ref="M31">IF($G31=0, INDEX(LS_previous!$D$4:$AY$137, MATCH('Staging Table'!$A31, LS_previous!$B$4:$B$137, 0), MATCH(M$4&amp;M$5, LS_previous!$D$2:$AY$2&amp;LS_previous!$D$3:$AY$3, 0)),SUM(VLOOKUP($A31, LS_previous!$B$4:$AY$137, LS_previous!E$148, FALSE), VLOOKUP('Staging Table'!$A31, LS_previous!$B$4:$AY$137,LS_previous!AC$148, FALSE))/2)</f>
        <v>192.28928658669997</v>
      </c>
      <c r="N31" s="102">
        <f t="array" ref="N31">IF($G31=0, INDEX(LS_previous!$D$4:$AY$137, MATCH('Staging Table'!$A31, LS_previous!$B$4:$B$137, 0), MATCH(N$4&amp;N$5, LS_previous!$D$2:$AY$2&amp;LS_previous!$D$3:$AY$3, 0)),SUM(VLOOKUP($A31, LS_previous!$B$4:$AY$137, LS_previous!F$148, FALSE), VLOOKUP('Staging Table'!$A31, LS_previous!$B$4:$AY$137,LS_previous!AD$148, FALSE))/2)</f>
        <v>139.99542203519968</v>
      </c>
      <c r="O31" s="102">
        <f t="array" ref="O31">IF($G31=0, INDEX(LS_previous!$D$4:$AY$137, MATCH('Staging Table'!$A31, LS_previous!$B$4:$B$137, 0), MATCH(O$4&amp;O$5, LS_previous!$D$2:$AY$2&amp;LS_previous!$D$3:$AY$3, 0)),SUM(VLOOKUP($A31, LS_previous!$B$4:$AY$137, LS_previous!G$148, FALSE), VLOOKUP('Staging Table'!$A31, LS_previous!$B$4:$AY$137,LS_previous!AE$148, FALSE))/2)</f>
        <v>343.03350158540002</v>
      </c>
      <c r="P31" s="102">
        <f t="array" ref="P31">IF($G31=0, INDEX(LS_previous!$D$4:$AY$137, MATCH('Staging Table'!$A31, LS_previous!$B$4:$B$137, 0), MATCH(P$4&amp;P$5, LS_previous!$D$2:$AY$2&amp;LS_previous!$D$3:$AY$3, 0)),SUM(VLOOKUP($A31, LS_previous!$B$4:$AY$137, LS_previous!H$148, FALSE), VLOOKUP('Staging Table'!$A31, LS_previous!$B$4:$AY$137,LS_previous!AF$148, FALSE))/2)</f>
        <v>480.09434207259983</v>
      </c>
      <c r="Q31" s="102">
        <f t="array" ref="Q31">IF($G31=0, INDEX(LS_previous!$D$4:$AY$137, MATCH('Staging Table'!$A31, LS_previous!$B$4:$B$137, 0), MATCH(Q$4&amp;Q$5, LS_previous!$D$2:$AY$2&amp;LS_previous!$D$3:$AY$3, 0)),SUM(VLOOKUP($A31, LS_previous!$B$4:$AY$137, LS_previous!I$148, FALSE), VLOOKUP('Staging Table'!$A31, LS_previous!$B$4:$AY$137,LS_previous!AG$148, FALSE))/2)</f>
        <v>313.13843040639995</v>
      </c>
      <c r="R31" s="102">
        <f t="array" ref="R31">IF($G31=0, INDEX(LS_previous!$D$4:$AY$137, MATCH('Staging Table'!$A31, LS_previous!$B$4:$B$137, 0), MATCH(R$4&amp;R$5, LS_previous!$D$2:$AY$2&amp;LS_previous!$D$3:$AY$3, 0)),SUM(VLOOKUP($A31, LS_previous!$B$4:$AY$137, LS_previous!J$148, FALSE), VLOOKUP('Staging Table'!$A31, LS_previous!$B$4:$AY$137,LS_previous!AH$148, FALSE))/2)</f>
        <v>357.10430543099983</v>
      </c>
      <c r="S31" s="102">
        <f t="array" ref="S31">IF($G31=0, INDEX(LS_previous!$D$4:$AY$137, MATCH('Staging Table'!$A31, LS_previous!$B$4:$B$137, 0), MATCH(S$4&amp;S$5, LS_previous!$D$2:$AY$2&amp;LS_previous!$D$3:$AY$3, 0)),SUM(VLOOKUP($A31, LS_previous!$B$4:$AY$137, LS_previous!K$148, FALSE), VLOOKUP('Staging Table'!$A31, LS_previous!$B$4:$AY$137,LS_previous!AI$148, FALSE))/2)</f>
        <v>385.91316145859992</v>
      </c>
      <c r="T31" s="102">
        <f t="array" ref="T31">IF($G31=0, INDEX(LS_previous!$D$4:$AY$137, MATCH('Staging Table'!$A31, LS_previous!$B$4:$B$137, 0), MATCH(T$4&amp;T$5, LS_previous!$D$2:$AY$2&amp;LS_previous!$D$3:$AY$3, 0)),SUM(VLOOKUP($A31, LS_previous!$B$4:$AY$137, LS_previous!L$148, FALSE), VLOOKUP('Staging Table'!$A31, LS_previous!$B$4:$AY$137,LS_previous!AJ$148, FALSE))/2)</f>
        <v>244.49394214860013</v>
      </c>
      <c r="U31" s="102">
        <f t="array" ref="U31">IF($G31=0, INDEX(LS_previous!$D$4:$AY$137, MATCH('Staging Table'!$A31, LS_previous!$B$4:$B$137, 0), MATCH(U$4&amp;U$5, LS_previous!$D$2:$AY$2&amp;LS_previous!$D$3:$AY$3, 0)),SUM(VLOOKUP($A31, LS_previous!$B$4:$AY$137, LS_previous!M$148, FALSE), VLOOKUP('Staging Table'!$A31, LS_previous!$B$4:$AY$137,LS_previous!AK$148, FALSE))/2)</f>
        <v>319.69478602059962</v>
      </c>
      <c r="V31" s="102">
        <f t="array" ref="V31">IF($G31=0, INDEX(LS_previous!$D$4:$AY$137, MATCH('Staging Table'!$A31, LS_previous!$B$4:$B$137, 0), MATCH(V$4&amp;V$5, LS_previous!$D$2:$AY$2&amp;LS_previous!$D$3:$AY$3, 0)),SUM(VLOOKUP($A31, LS_previous!$B$4:$AY$137, LS_previous!N$148, FALSE), VLOOKUP('Staging Table'!$A31, LS_previous!$B$4:$AY$137,LS_previous!AL$148, FALSE))/2)</f>
        <v>-34.148623495800166</v>
      </c>
      <c r="W31" s="102">
        <f t="array" ref="W31">IF($G31=0, INDEX(LS_previous!$D$4:$AY$137, MATCH('Staging Table'!$A31, LS_previous!$B$4:$B$137, 0), MATCH(W$4&amp;W$5, LS_previous!$D$2:$AY$2&amp;LS_previous!$D$3:$AY$3, 0)),SUM(VLOOKUP($A31, LS_previous!$B$4:$AY$137, LS_previous!O$148, FALSE), VLOOKUP('Staging Table'!$A31, LS_previous!$B$4:$AY$137,LS_previous!AM$148, FALSE))/2)</f>
        <v>39.356927165199522</v>
      </c>
      <c r="X31" s="102">
        <f t="array" ref="X31">IF($G31=0, INDEX(LS_previous!$D$4:$AY$137, MATCH('Staging Table'!$A31, LS_previous!$B$4:$B$137, 0), MATCH(X$4&amp;X$5, LS_previous!$D$2:$AY$2&amp;LS_previous!$D$3:$AY$3, 0)),SUM(VLOOKUP($A31, LS_previous!$B$4:$AY$137, LS_previous!P$148, FALSE), VLOOKUP('Staging Table'!$A31, LS_previous!$B$4:$AY$137,LS_previous!AN$148, FALSE))/2)</f>
        <v>335.12772004349972</v>
      </c>
      <c r="Y31" s="102">
        <f t="array" ref="Y31">IF($G31=0, INDEX(LS_previous!$D$4:$AY$137, MATCH('Staging Table'!$A31, LS_previous!$B$4:$B$137, 0), MATCH(Y$4&amp;Y$5, LS_previous!$D$2:$AY$2&amp;LS_previous!$D$3:$AY$3, 0)),SUM(VLOOKUP($A31, LS_previous!$B$4:$AY$137, LS_previous!Q$148, FALSE), VLOOKUP('Staging Table'!$A31, LS_previous!$B$4:$AY$137,LS_previous!AO$148, FALSE))/2)</f>
        <v>100.22080248995007</v>
      </c>
      <c r="Z31" s="102">
        <f t="array" ref="Z31">IF($G31=0, INDEX(LS_previous!$D$4:$AY$137, MATCH('Staging Table'!$A31, LS_previous!$B$4:$B$137, 0), MATCH(Z$4&amp;Z$5, LS_previous!$D$2:$AY$2&amp;LS_previous!$D$3:$AY$3, 0)),SUM(VLOOKUP($A31, LS_previous!$B$4:$AY$137, LS_previous!R$148, FALSE), VLOOKUP('Staging Table'!$A31, LS_previous!$B$4:$AY$137,LS_previous!AP$148, FALSE))/2)</f>
        <v>-913.11999679680048</v>
      </c>
      <c r="AA31" s="102">
        <f t="array" ref="AA31">IF($G31=0, INDEX(LS_previous!$D$4:$AY$137, MATCH('Staging Table'!$A31, LS_previous!$B$4:$B$137, 0), MATCH(AA$4&amp;AA$5, LS_previous!$D$2:$AY$2&amp;LS_previous!$D$3:$AY$3, 0)),SUM(VLOOKUP($A31, LS_previous!$B$4:$AY$137, LS_previous!S$148, FALSE), VLOOKUP('Staging Table'!$A31, LS_previous!$B$4:$AY$137,LS_previous!AQ$148, FALSE))/2)</f>
        <v>-463.12435702109997</v>
      </c>
      <c r="AB31" s="102">
        <f t="array" ref="AB31">IF($G31=0, INDEX(LS_previous!$D$4:$AY$137, MATCH('Staging Table'!$A31, LS_previous!$B$4:$B$137, 0), MATCH(AB$4&amp;AB$5, LS_previous!$D$2:$AY$2&amp;LS_previous!$D$3:$AY$3, 0)),SUM(VLOOKUP($A31, LS_previous!$B$4:$AY$137, LS_previous!T$148, FALSE), VLOOKUP('Staging Table'!$A31, LS_previous!$B$4:$AY$137,LS_previous!AR$148, FALSE))/2)</f>
        <v>-1125.6055820115998</v>
      </c>
      <c r="AC31" s="102">
        <f t="array" ref="AC31">IF($G31=0, INDEX(LS_previous!$D$4:$AY$137, MATCH('Staging Table'!$A31, LS_previous!$B$4:$B$137, 0), MATCH(AC$4&amp;AC$5, LS_previous!$D$2:$AY$2&amp;LS_previous!$D$3:$AY$3, 0)),SUM(VLOOKUP($A31, LS_previous!$B$4:$AY$137, LS_previous!U$148, FALSE), VLOOKUP('Staging Table'!$A31, LS_previous!$B$4:$AY$137,LS_previous!AS$148, FALSE))/2)</f>
        <v>-676.84251713470007</v>
      </c>
      <c r="AD31" s="102">
        <f t="array" ref="AD31">IF($G31=0, INDEX(LS_previous!$D$4:$AY$137, MATCH('Staging Table'!$A31, LS_previous!$B$4:$B$137, 0), MATCH(AD$4&amp;AD$5, LS_previous!$D$2:$AY$2&amp;LS_previous!$D$3:$AY$3, 0)),SUM(VLOOKUP($A31, LS_previous!$B$4:$AY$137, LS_previous!V$148, FALSE), VLOOKUP('Staging Table'!$A31, LS_previous!$B$4:$AY$137,LS_previous!AT$148, FALSE))/2)</f>
        <v>-478.34758544240049</v>
      </c>
      <c r="AE31" s="102">
        <f t="array" ref="AE31">IF($G31=0, INDEX(LS_previous!$D$4:$AY$137, MATCH('Staging Table'!$A31, LS_previous!$B$4:$B$137, 0), MATCH(AE$4&amp;AE$5, LS_previous!$D$2:$AY$2&amp;LS_previous!$D$3:$AY$3, 0)),SUM(VLOOKUP($A31, LS_previous!$B$4:$AY$137, LS_previous!W$148, FALSE), VLOOKUP('Staging Table'!$A31, LS_previous!$B$4:$AY$137,LS_previous!AU$148, FALSE))/2)</f>
        <v>-210.96666546649999</v>
      </c>
      <c r="AF31" s="102">
        <f t="array" ref="AF31">IF($G31=0, INDEX(LS_previous!$D$4:$AY$137, MATCH('Staging Table'!$A31, LS_previous!$B$4:$B$137, 0), MATCH(AF$4&amp;AF$5, LS_previous!$D$2:$AY$2&amp;LS_previous!$D$3:$AY$3, 0)),SUM(VLOOKUP($A31, LS_previous!$B$4:$AY$137, LS_previous!X$148, FALSE), VLOOKUP('Staging Table'!$A31, LS_previous!$B$4:$AY$137,LS_previous!AV$148, FALSE))/2)</f>
        <v>-421.64037805690032</v>
      </c>
      <c r="AG31" s="102">
        <f t="array" ref="AG31">IF($G31=0, INDEX(LS_previous!$D$4:$AY$137, MATCH('Staging Table'!$A31, LS_previous!$B$4:$B$137, 0), MATCH(AG$4&amp;AG$5, LS_previous!$D$2:$AY$2&amp;LS_previous!$D$3:$AY$3, 0)),SUM(VLOOKUP($A31, LS_previous!$B$4:$AY$137, LS_previous!Y$148, FALSE), VLOOKUP('Staging Table'!$A31, LS_previous!$B$4:$AY$137,LS_previous!AW$148, FALSE))/2)</f>
        <v>-100.00544718450988</v>
      </c>
      <c r="AH31" s="102">
        <f t="array" ref="AH31">IF($G31=0, INDEX(LS_previous!$D$4:$AY$137, MATCH('Staging Table'!$A31, LS_previous!$B$4:$B$137, 0), MATCH(AH$4&amp;AH$5, LS_previous!$D$2:$AY$2&amp;LS_previous!$D$3:$AY$3, 0)),SUM(VLOOKUP($A31, LS_previous!$B$4:$AY$137, LS_previous!Z$148, FALSE), VLOOKUP('Staging Table'!$A31, LS_previous!$B$4:$AY$137,LS_previous!AX$148, FALSE))/2)</f>
        <v>-211.82995290840063</v>
      </c>
      <c r="AI31" s="102">
        <f t="array" ref="AI31">IF($G31=0, INDEX(LS_previous!$D$4:$AY$137, MATCH('Staging Table'!$A31, LS_previous!$B$4:$B$137, 0), MATCH(AI$4&amp;AI$5, LS_previous!$D$2:$AY$2&amp;LS_previous!$D$3:$AY$3, 0)),SUM(VLOOKUP($A31, LS_previous!$B$4:$AY$137, LS_previous!AA$148, FALSE), VLOOKUP('Staging Table'!$A31, LS_previous!$B$4:$AY$137,LS_previous!AY$148, FALSE))/2)</f>
        <v>-238.09388488640025</v>
      </c>
      <c r="AJ31" s="103">
        <f t="array" ref="AJ31">INDEX(Demand_previous!$D$4:$AY$137, MATCH('Staging Table'!$A31, Demand_previous!$B$4:$B$137, 0), MATCH(AJ$4&amp;AJ$5,Demand_previous!$D$2:$AY$2&amp;Demand_previous!$D$3:$AY$3, 0))/1000</f>
        <v>0</v>
      </c>
      <c r="AK31" s="103">
        <f t="array" ref="AK31">INDEX(Demand_previous!$D$4:$AY$137, MATCH('Staging Table'!$A31, Demand_previous!$B$4:$B$137, 0), MATCH(AK$4&amp;AK$5,Demand_previous!$D$2:$AY$2&amp;Demand_previous!$D$3:$AY$3, 0))/1000</f>
        <v>0</v>
      </c>
      <c r="AL31" s="103">
        <f t="array" ref="AL31">INDEX(Demand_previous!$D$4:$AY$137, MATCH('Staging Table'!$A31, Demand_previous!$B$4:$B$137, 0), MATCH(AL$4&amp;AL$5,Demand_previous!$D$2:$AY$2&amp;Demand_previous!$D$3:$AY$3, 0))/1000</f>
        <v>1.1255225</v>
      </c>
      <c r="AM31" s="103">
        <f t="array" ref="AM31">INDEX(Demand_previous!$D$4:$AY$137, MATCH('Staging Table'!$A31, Demand_previous!$B$4:$B$137, 0), MATCH(AM$4&amp;AM$5,Demand_previous!$D$2:$AY$2&amp;Demand_previous!$D$3:$AY$3, 0))/1000</f>
        <v>1.3252812500000011</v>
      </c>
      <c r="AN31" s="103">
        <f t="array" ref="AN31">INDEX(Demand_previous!$D$4:$AY$137, MATCH('Staging Table'!$A31, Demand_previous!$B$4:$B$137, 0), MATCH(AN$4&amp;AN$5,Demand_previous!$D$2:$AY$2&amp;Demand_previous!$D$3:$AY$3, 0))/1000</f>
        <v>0.80982500000000002</v>
      </c>
      <c r="AO31" s="103">
        <f t="array" ref="AO31">INDEX(Demand_previous!$D$4:$AY$137, MATCH('Staging Table'!$A31, Demand_previous!$B$4:$B$137, 0), MATCH(AO$4&amp;AO$5,Demand_previous!$D$2:$AY$2&amp;Demand_previous!$D$3:$AY$3, 0))/1000</f>
        <v>9.1932692307693076E-2</v>
      </c>
      <c r="AP31" s="103">
        <f t="array" ref="AP31">INDEX(Demand_previous!$D$4:$AY$137, MATCH('Staging Table'!$A31, Demand_previous!$B$4:$B$137, 0), MATCH(AP$4&amp;AP$5,Demand_previous!$D$2:$AY$2&amp;Demand_previous!$D$3:$AY$3, 0))/1000</f>
        <v>0.48217548076923156</v>
      </c>
      <c r="AQ31" s="103">
        <f t="array" ref="AQ31">INDEX(Demand_previous!$D$4:$AY$137, MATCH('Staging Table'!$A31, Demand_previous!$B$4:$B$137, 0), MATCH(AQ$4&amp;AQ$5,Demand_previous!$D$2:$AY$2&amp;Demand_previous!$D$3:$AY$3, 0))/1000</f>
        <v>1.3034423076923072</v>
      </c>
      <c r="AR31" s="103">
        <f t="array" ref="AR31">INDEX(Demand_previous!$D$4:$AY$137, MATCH('Staging Table'!$A31, Demand_previous!$B$4:$B$137, 0), MATCH(AR$4&amp;AR$5,Demand_previous!$D$2:$AY$2&amp;Demand_previous!$D$3:$AY$3, 0))/1000</f>
        <v>1.6332550000000001</v>
      </c>
      <c r="AS31" s="103">
        <f t="array" ref="AS31">INDEX(Demand_previous!$D$4:$AY$137, MATCH('Staging Table'!$A31, Demand_previous!$B$4:$B$137, 0), MATCH(AS$4&amp;AS$5,Demand_previous!$D$2:$AY$2&amp;Demand_previous!$D$3:$AY$3, 0))/1000</f>
        <v>1.5851754807692318</v>
      </c>
      <c r="AT31" s="103">
        <f t="array" ref="AT31">INDEX(Demand_previous!$D$4:$AY$137, MATCH('Staging Table'!$A31, Demand_previous!$B$4:$B$137, 0), MATCH(AT$4&amp;AT$5,Demand_previous!$D$2:$AY$2&amp;Demand_previous!$D$3:$AY$3, 0))/1000</f>
        <v>2.0494629629629624</v>
      </c>
      <c r="AU31" s="103">
        <f t="array" ref="AU31">INDEX(Demand_previous!$D$4:$AY$137, MATCH('Staging Table'!$A31, Demand_previous!$B$4:$B$137, 0), MATCH(AU$4&amp;AU$5,Demand_previous!$D$2:$AY$2&amp;Demand_previous!$D$3:$AY$3, 0))/1000</f>
        <v>0.90044791666666724</v>
      </c>
      <c r="AV31" s="102">
        <f>$F31*(VLOOKUP(AV$4, Rates_previous!$G$6:$Q$29, 10, FALSE)+VLOOKUP(AV$4, Rates_previous!$G$6:$Q$29, 11, FALSE))</f>
        <v>4035.7076782509002</v>
      </c>
      <c r="AW31" s="102">
        <f>$F31*(VLOOKUP(AW$4, Rates_previous!$G$6:$Q$29, 10, FALSE)+VLOOKUP(AW$4, Rates_previous!$G$6:$Q$29, 11, FALSE))</f>
        <v>5146.8580763794007</v>
      </c>
      <c r="AX31" s="102">
        <f>$F31*(VLOOKUP(AX$4, Rates_previous!$G$6:$Q$29, 10, FALSE)+VLOOKUP(AX$4, Rates_previous!$G$6:$Q$29, 11, FALSE))</f>
        <v>5554.4782275210009</v>
      </c>
      <c r="AY31" s="102">
        <f>$F31*(VLOOKUP(AY$4, Rates_previous!$G$6:$Q$29, 10, FALSE)+VLOOKUP(AY$4, Rates_previous!$G$6:$Q$29, 11, FALSE))</f>
        <v>5771.9615331104005</v>
      </c>
      <c r="AZ31" s="102">
        <f>$F31*(VLOOKUP(AZ$4, Rates_previous!$G$6:$Q$29, 10, FALSE)+VLOOKUP(AZ$4, Rates_previous!$G$6:$Q$29, 11, FALSE))</f>
        <v>4964.6562718307996</v>
      </c>
      <c r="BA31" s="102">
        <f>$F31*(VLOOKUP(BA$4, Rates_previous!$G$6:$Q$29, 10, FALSE)+VLOOKUP(BA$4, Rates_previous!$G$6:$Q$29, 11, FALSE))</f>
        <v>5420.4216963305998</v>
      </c>
      <c r="BB31" s="102">
        <f>$F31*(VLOOKUP(BB$4, Rates_previous!$G$6:$Q$29, 10, FALSE)+VLOOKUP(BB$4, Rates_previous!$G$6:$Q$29, 11, FALSE))</f>
        <v>4278.5094774665495</v>
      </c>
      <c r="BC31" s="102">
        <f>$F31*(VLOOKUP(BC$4, Rates_previous!$G$6:$Q$29, 10, FALSE)+VLOOKUP(BC$4, Rates_previous!$G$6:$Q$29, 11, FALSE))</f>
        <v>5308.0643538179002</v>
      </c>
      <c r="BD31" s="102">
        <f>$F31*(VLOOKUP(BD$4, Rates_previous!$G$6:$Q$29, 10, FALSE)+VLOOKUP(BD$4, Rates_previous!$G$6:$Q$29, 11, FALSE))</f>
        <v>5423.2360991463001</v>
      </c>
      <c r="BE31" s="102">
        <f>$F31*(VLOOKUP(BE$4, Rates_previous!$G$6:$Q$29, 10, FALSE)+VLOOKUP(BE$4, Rates_previous!$G$6:$Q$29, 11, FALSE))</f>
        <v>4708.1502509089005</v>
      </c>
      <c r="BF31" s="102">
        <f>$F31*(VLOOKUP(BF$4, Rates_previous!$G$6:$Q$29, 10, FALSE)+VLOOKUP(BF$4, Rates_previous!$G$6:$Q$29, 11, FALSE))</f>
        <v>4551.5298252414104</v>
      </c>
      <c r="BG31" s="102">
        <f>$F31*(VLOOKUP(BG$4, Rates_previous!$G$6:$Q$29, 10, FALSE)+VLOOKUP(BG$4, Rates_previous!$G$6:$Q$29, 11, FALSE))</f>
        <v>4188.2888377948011</v>
      </c>
      <c r="BH31" s="103">
        <f>IF($D31=0,IF(C31=0, MAX(BJ31 - (VLOOKUP($A31,TOCA_previous!$A$2:$AJ$136,MATCH("RHWM "&amp;Init!$D$1-2,TOCA_previous!$A$2:$AJ$2,0),FALSE)*$F$2*TOCA_previous!C28),0),0), 0)</f>
        <v>0</v>
      </c>
      <c r="BI31" s="109">
        <f>MIN(VLOOKUP($A31,TOCA_previous!$A$2:$AJ$136,MATCH("TRL - NLSL - Existing Resource "&amp;$F$1,TOCA_previous!$A$2:$AJ$2,0),FALSE)*$F$2,(VLOOKUP($A31,TOCA_previous!$A$2:$AJ$136,MATCH("RHWM "&amp;Init!$D$1-2,TOCA_previous!$A$2:$AJ$2,0),FALSE)*$F$2))</f>
        <v>58044.671999999999</v>
      </c>
      <c r="BJ31" s="261">
        <f>SUM(L31:AI31)+(F31*RT1SC!$C$3*$F$2)</f>
        <v>58386.082272057029</v>
      </c>
      <c r="BK31" s="260">
        <f>VLOOKUP($A31,TOCA_previous!$A$2:$AJ$136,MATCH("Above RHWM Not Served with LS "&amp;$F$1,TOCA_previous!$A$2:$AJ$2,0),FALSE)*$F$2</f>
        <v>0</v>
      </c>
      <c r="BL31" s="261">
        <f t="shared" si="21"/>
        <v>341.41027205702994</v>
      </c>
      <c r="BM31" s="260">
        <f>(VLOOKUP($A31,TOCA_previous!$A$2:$AJ$136,MATCH("RHWM "&amp;Init!$D$1-2,TOCA_previous!$A$2:$AJ$2,0),FALSE)*$F$2) - $BI31</f>
        <v>7281.9360000000015</v>
      </c>
      <c r="BN31" s="261">
        <f t="shared" si="22"/>
        <v>-341.41027205702994</v>
      </c>
      <c r="BO31" s="260">
        <f t="shared" si="23"/>
        <v>0</v>
      </c>
      <c r="BP31" s="261">
        <f t="shared" si="24"/>
        <v>0</v>
      </c>
      <c r="BQ31" s="260">
        <f t="shared" si="9"/>
        <v>-341.41027205702994</v>
      </c>
      <c r="BR31" s="85">
        <f>VLOOKUP($A31,TOCA_current!$A$2:$ZZ$136,MATCH(BR$4,TOCA_current!$A$2:$ZZ$2,0),FALSE)</f>
        <v>9.3749999999999997E-4</v>
      </c>
      <c r="BS31" s="85">
        <f>VLOOKUP($A31,TOCA_current!$A$2:$ZZ$136,MATCH(BS$4,TOCA_current!$A$2:$ZZ$2,0),FALSE)</f>
        <v>9.3749999999999997E-4</v>
      </c>
      <c r="BT31" s="108">
        <f t="shared" si="25"/>
        <v>0</v>
      </c>
      <c r="BU31" s="85">
        <f>VLOOKUP($A31,TOCA_current!A28:BG162,MATCH(BU$4,TOCA_current!$A$2:$BG$2,0),FALSE)</f>
        <v>0</v>
      </c>
      <c r="BV31" s="85">
        <f t="shared" si="26"/>
        <v>0</v>
      </c>
      <c r="BW31" s="85">
        <f t="shared" si="27"/>
        <v>0</v>
      </c>
      <c r="BX31" s="101">
        <f>VLOOKUP($A31,IRD!$A$4:$G$138, 7, FALSE)</f>
        <v>0</v>
      </c>
      <c r="BY31" s="102">
        <f t="array" ref="BY31">IF($BT31=0, INDEX(LS_current!$D$4:$BW$137, MATCH('Staging Table'!$A31, LS_current!$B$4:$B$137, 0), MATCH(BY$4&amp;BY$5, LS_current!$D$2:$BW$2&amp;LS_current!$D$3:$BW$3, 0)),SUM(VLOOKUP($A31, LS_current!$B$4:$BW$137, LS_current!D$147, FALSE), VLOOKUP($A31, LS_current!$B$4:$BW$137,LS_current!AZ$147, FALSE))/2)</f>
        <v>674.73493800239385</v>
      </c>
      <c r="BZ31" s="102">
        <f t="array" ref="BZ31">IF($BT31=0, INDEX(LS_current!$D$4:$BW$137, MATCH('Staging Table'!$A31, LS_current!$B$4:$B$137, 0), MATCH(BZ$4&amp;BZ$5, LS_current!$D$2:$BW$2&amp;LS_current!$D$3:$BW$3, 0)),SUM(VLOOKUP($A31, LS_current!$B$4:$BW$137, LS_current!E$147, FALSE), VLOOKUP($A31, LS_current!$B$4:$BW$137,LS_current!BA$147, FALSE))/2)</f>
        <v>319.84942886253771</v>
      </c>
      <c r="CA31" s="102">
        <f t="array" ref="CA31">IF($BT31=0, INDEX(LS_current!$D$4:$BW$137, MATCH('Staging Table'!$A31, LS_current!$B$4:$B$137, 0), MATCH(CA$4&amp;CA$5, LS_current!$D$2:$BW$2&amp;LS_current!$D$3:$BW$3, 0)),SUM(VLOOKUP($A31, LS_current!$B$4:$BW$137, LS_current!F$147, FALSE), VLOOKUP($A31, LS_current!$B$4:$BW$137,LS_current!BB$147, FALSE))/2)</f>
        <v>257.55474532490598</v>
      </c>
      <c r="CB31" s="102">
        <f t="array" ref="CB31">IF($BT31=0, INDEX(LS_current!$D$4:$BW$137, MATCH('Staging Table'!$A31, LS_current!$B$4:$B$137, 0), MATCH(CB$4&amp;CB$5, LS_current!$D$2:$BW$2&amp;LS_current!$D$3:$BW$3, 0)),SUM(VLOOKUP($A31, LS_current!$B$4:$BW$137, LS_current!G$147, FALSE), VLOOKUP($A31, LS_current!$B$4:$BW$137,LS_current!BC$147, FALSE))/2)</f>
        <v>397.95152364732212</v>
      </c>
      <c r="CC31" s="102">
        <f t="array" ref="CC31">IF($BT31=0, INDEX(LS_current!$D$4:$BW$137, MATCH('Staging Table'!$A31, LS_current!$B$4:$B$137, 0), MATCH(CC$4&amp;CC$5, LS_current!$D$2:$BW$2&amp;LS_current!$D$3:$BW$3, 0)),SUM(VLOOKUP($A31, LS_current!$B$4:$BW$137, LS_current!H$147, FALSE), VLOOKUP($A31, LS_current!$B$4:$BW$137,LS_current!BD$147, FALSE))/2)</f>
        <v>222.57363116201577</v>
      </c>
      <c r="CD31" s="102">
        <f t="array" ref="CD31">IF($BT31=0, INDEX(LS_current!$D$4:$BW$137, MATCH('Staging Table'!$A31, LS_current!$B$4:$B$137, 0), MATCH(CD$4&amp;CD$5, LS_current!$D$2:$BW$2&amp;LS_current!$D$3:$BW$3, 0)),SUM(VLOOKUP($A31, LS_current!$B$4:$BW$137, LS_current!I$147, FALSE), VLOOKUP($A31, LS_current!$B$4:$BW$137,LS_current!BE$147, FALSE))/2)</f>
        <v>469.68251970922847</v>
      </c>
      <c r="CE31" s="102">
        <f t="array" ref="CE31">IF($BT31=0, INDEX(LS_current!$D$4:$BW$137, MATCH('Staging Table'!$A31, LS_current!$B$4:$B$137, 0), MATCH(CE$4&amp;CE$5, LS_current!$D$2:$BW$2&amp;LS_current!$D$3:$BW$3, 0)),SUM(VLOOKUP($A31, LS_current!$B$4:$BW$137, LS_current!J$147, FALSE), VLOOKUP($A31, LS_current!$B$4:$BW$137,LS_current!BF$147, FALSE))/2)</f>
        <v>169.65204166373724</v>
      </c>
      <c r="CF31" s="102">
        <f t="array" ref="CF31">IF($BT31=0, INDEX(LS_current!$D$4:$BW$137, MATCH('Staging Table'!$A31, LS_current!$B$4:$B$137, 0), MATCH(CF$4&amp;CF$5, LS_current!$D$2:$BW$2&amp;LS_current!$D$3:$BW$3, 0)),SUM(VLOOKUP($A31, LS_current!$B$4:$BW$137, LS_current!K$147, FALSE), VLOOKUP($A31, LS_current!$B$4:$BW$137,LS_current!BG$147, FALSE))/2)</f>
        <v>378.3806340038409</v>
      </c>
      <c r="CG31" s="102">
        <f t="array" ref="CG31">IF($BT31=0, INDEX(LS_current!$D$4:$BW$137, MATCH('Staging Table'!$A31, LS_current!$B$4:$B$137, 0), MATCH(CG$4&amp;CG$5, LS_current!$D$2:$BW$2&amp;LS_current!$D$3:$BW$3, 0)),SUM(VLOOKUP($A31, LS_current!$B$4:$BW$137, LS_current!L$147, FALSE), VLOOKUP($A31, LS_current!$B$4:$BW$137,LS_current!BH$147, FALSE))/2)</f>
        <v>375.35669344970347</v>
      </c>
      <c r="CH31" s="102">
        <f t="array" ref="CH31">IF($BT31=0, INDEX(LS_current!$D$4:$BW$137, MATCH('Staging Table'!$A31, LS_current!$B$4:$B$137, 0), MATCH(CH$4&amp;CH$5, LS_current!$D$2:$BW$2&amp;LS_current!$D$3:$BW$3, 0)),SUM(VLOOKUP($A31, LS_current!$B$4:$BW$137, LS_current!M$147, FALSE), VLOOKUP($A31, LS_current!$B$4:$BW$137,LS_current!BI$147, FALSE))/2)</f>
        <v>398.37062354759337</v>
      </c>
      <c r="CI31" s="102">
        <f t="array" ref="CI31">IF($BT31=0, INDEX(LS_current!$D$4:$BW$137, MATCH('Staging Table'!$A31, LS_current!$B$4:$B$137, 0), MATCH(CI$4&amp;CI$5, LS_current!$D$2:$BW$2&amp;LS_current!$D$3:$BW$3, 0)),SUM(VLOOKUP($A31, LS_current!$B$4:$BW$137, LS_current!N$147, FALSE), VLOOKUP($A31, LS_current!$B$4:$BW$137,LS_current!BJ$147, FALSE))/2)</f>
        <v>-114.77815018546562</v>
      </c>
      <c r="CJ31" s="102">
        <f t="array" ref="CJ31">IF($BT31=0, INDEX(LS_current!$D$4:$BW$137, MATCH('Staging Table'!$A31, LS_current!$B$4:$B$137, 0), MATCH(CJ$4&amp;CJ$5, LS_current!$D$2:$BW$2&amp;LS_current!$D$3:$BW$3, 0)),SUM(VLOOKUP($A31, LS_current!$B$4:$BW$137, LS_current!O$147, FALSE), VLOOKUP($A31, LS_current!$B$4:$BW$137,LS_current!BK$147, FALSE))/2)</f>
        <v>342.08803192005621</v>
      </c>
      <c r="CK31" s="102">
        <f t="array" ref="CK31">IF($BT31=0, INDEX(LS_current!$D$4:$BW$137, MATCH('Staging Table'!$A31, LS_current!$B$4:$B$137, 0), MATCH(CK$4&amp;CK$5, LS_current!$D$2:$BW$2&amp;LS_current!$D$3:$BW$3, 0)),SUM(VLOOKUP($A31, LS_current!$B$4:$BW$137, LS_current!P$147, FALSE), VLOOKUP($A31, LS_current!$B$4:$BW$137,LS_current!BL$147, FALSE))/2)</f>
        <v>458.83857968755592</v>
      </c>
      <c r="CL31" s="102">
        <f t="array" ref="CL31">IF($BT31=0, INDEX(LS_current!$D$4:$BW$137, MATCH('Staging Table'!$A31, LS_current!$B$4:$B$137, 0), MATCH(CL$4&amp;CL$5, LS_current!$D$2:$BW$2&amp;LS_current!$D$3:$BW$3, 0)),SUM(VLOOKUP($A31, LS_current!$B$4:$BW$137, LS_current!Q$147, FALSE), VLOOKUP($A31, LS_current!$B$4:$BW$137,LS_current!BM$147, FALSE))/2)</f>
        <v>226.26903838017461</v>
      </c>
      <c r="CM31" s="102">
        <f t="array" ref="CM31">IF($BT31=0, INDEX(LS_current!$D$4:$BW$137, MATCH('Staging Table'!$A31, LS_current!$B$4:$B$137, 0), MATCH(CM$4&amp;CM$5, LS_current!$D$2:$BW$2&amp;LS_current!$D$3:$BW$3, 0)),SUM(VLOOKUP($A31, LS_current!$B$4:$BW$137, LS_current!R$147, FALSE), VLOOKUP($A31, LS_current!$B$4:$BW$137,LS_current!BN$147, FALSE))/2)</f>
        <v>-844.78509717474071</v>
      </c>
      <c r="CN31" s="102">
        <f t="array" ref="CN31">IF($BT31=0, INDEX(LS_current!$D$4:$BW$137, MATCH('Staging Table'!$A31, LS_current!$B$4:$B$137, 0), MATCH(CN$4&amp;CN$5, LS_current!$D$2:$BW$2&amp;LS_current!$D$3:$BW$3, 0)),SUM(VLOOKUP($A31, LS_current!$B$4:$BW$137, LS_current!S$147, FALSE), VLOOKUP($A31, LS_current!$B$4:$BW$137,LS_current!BO$147, FALSE))/2)</f>
        <v>-437.26124026239086</v>
      </c>
      <c r="CO31" s="102">
        <f t="array" ref="CO31">IF($BT31=0, INDEX(LS_current!$D$4:$BW$137, MATCH('Staging Table'!$A31, LS_current!$B$4:$B$137, 0), MATCH(CO$4&amp;CO$5, LS_current!$D$2:$BW$2&amp;LS_current!$D$3:$BW$3, 0)),SUM(VLOOKUP($A31, LS_current!$B$4:$BW$137, LS_current!T$147, FALSE), VLOOKUP($A31, LS_current!$B$4:$BW$137,LS_current!BP$147, FALSE))/2)</f>
        <v>-1190.7653961159626</v>
      </c>
      <c r="CP31" s="102">
        <f t="array" ref="CP31">IF($BT31=0, INDEX(LS_current!$D$4:$BW$137, MATCH('Staging Table'!$A31, LS_current!$B$4:$B$137, 0), MATCH(CP$4&amp;CP$5, LS_current!$D$2:$BW$2&amp;LS_current!$D$3:$BW$3, 0)),SUM(VLOOKUP($A31, LS_current!$B$4:$BW$137, LS_current!U$147, FALSE), VLOOKUP($A31, LS_current!$B$4:$BW$137,LS_current!BQ$147, FALSE))/2)</f>
        <v>-513.64416518627831</v>
      </c>
      <c r="CQ31" s="102">
        <f t="array" ref="CQ31">IF($BT31=0, INDEX(LS_current!$D$4:$BW$137, MATCH('Staging Table'!$A31, LS_current!$B$4:$B$137, 0), MATCH(CQ$4&amp;CQ$5, LS_current!$D$2:$BW$2&amp;LS_current!$D$3:$BW$3, 0)),SUM(VLOOKUP($A31, LS_current!$B$4:$BW$137, LS_current!V$147, FALSE), VLOOKUP($A31, LS_current!$B$4:$BW$137,LS_current!BR$147, FALSE))/2)</f>
        <v>-547.86927788772891</v>
      </c>
      <c r="CR31" s="102">
        <f t="array" ref="CR31">IF($BT31=0, INDEX(LS_current!$D$4:$BW$137, MATCH('Staging Table'!$A31, LS_current!$B$4:$B$137, 0), MATCH(CR$4&amp;CR$5, LS_current!$D$2:$BW$2&amp;LS_current!$D$3:$BW$3, 0)),SUM(VLOOKUP($A31, LS_current!$B$4:$BW$137, LS_current!W$147, FALSE), VLOOKUP($A31, LS_current!$B$4:$BW$137,LS_current!BS$147, FALSE))/2)</f>
        <v>-173.1810999577624</v>
      </c>
      <c r="CS31" s="102">
        <f t="array" ref="CS31">IF($BT31=0, INDEX(LS_current!$D$4:$BW$137, MATCH('Staging Table'!$A31, LS_current!$B$4:$B$137, 0), MATCH(CS$4&amp;CS$5, LS_current!$D$2:$BW$2&amp;LS_current!$D$3:$BW$3, 0)),SUM(VLOOKUP($A31, LS_current!$B$4:$BW$137, LS_current!X$147, FALSE), VLOOKUP($A31, LS_current!$B$4:$BW$137,LS_current!BT$147, FALSE))/2)</f>
        <v>-766.34402223991265</v>
      </c>
      <c r="CT31" s="102">
        <f t="array" ref="CT31">IF($BT31=0, INDEX(LS_current!$D$4:$BW$137, MATCH('Staging Table'!$A31, LS_current!$B$4:$B$137, 0), MATCH(CT$4&amp;CT$5, LS_current!$D$2:$BW$2&amp;LS_current!$D$3:$BW$3, 0)),SUM(VLOOKUP($A31, LS_current!$B$4:$BW$137, LS_current!Y$147, FALSE), VLOOKUP($A31, LS_current!$B$4:$BW$137,LS_current!BU$147, FALSE))/2)</f>
        <v>-66.02613472265466</v>
      </c>
      <c r="CU31" s="102">
        <f t="array" ref="CU31">IF($BT31=0, INDEX(LS_current!$D$4:$BW$137, MATCH('Staging Table'!$A31, LS_current!$B$4:$B$137, 0), MATCH(CU$4&amp;CU$5, LS_current!$D$2:$BW$2&amp;LS_current!$D$3:$BW$3, 0)),SUM(VLOOKUP($A31, LS_current!$B$4:$BW$137, LS_current!Z$147, FALSE), VLOOKUP($A31, LS_current!$B$4:$BW$137,LS_current!BV$147, FALSE))/2)</f>
        <v>-60.734210950759461</v>
      </c>
      <c r="CV31" s="102">
        <f t="array" ref="CV31">IF($BT31=0, INDEX(LS_current!$D$4:$BW$137, MATCH('Staging Table'!$A31, LS_current!$B$4:$B$137, 0), MATCH(CV$4&amp;CV$5, LS_current!$D$2:$BW$2&amp;LS_current!$D$3:$BW$3, 0)),SUM(VLOOKUP($A31, LS_current!$B$4:$BW$137, LS_current!AA$147, FALSE), VLOOKUP($A31, LS_current!$B$4:$BW$137,LS_current!BW$147, FALSE))/2)</f>
        <v>22.976011905409223</v>
      </c>
      <c r="CW31" s="103">
        <f t="array" ref="CW31">INDEX(Demand_current!$D$4:$BW$137, MATCH($A31, Demand_current!$B$4:$B$137, 0), MATCH(CW$4&amp;CW$5,Demand_current!$D$2:$BW$2&amp;Demand_current!$D$3:$BW$3, 0))/1000</f>
        <v>0</v>
      </c>
      <c r="CX31" s="103">
        <f t="array" ref="CX31">INDEX(Demand_current!$D$4:$BW$137, MATCH($A31, Demand_current!$B$4:$B$137, 0), MATCH(CX$4&amp;CX$5,Demand_current!$D$2:$BW$2&amp;Demand_current!$D$3:$BW$3, 0))/1000</f>
        <v>0</v>
      </c>
      <c r="CY31" s="103">
        <f t="array" ref="CY31">INDEX(Demand_current!$D$4:$BW$137, MATCH($A31, Demand_current!$B$4:$B$137, 0), MATCH(CY$4&amp;CY$5,Demand_current!$D$2:$BW$2&amp;Demand_current!$D$3:$BW$3, 0))/1000</f>
        <v>1.4955024038461542</v>
      </c>
      <c r="CZ31" s="103">
        <f t="array" ref="CZ31">INDEX(Demand_current!$D$4:$BW$137, MATCH($A31, Demand_current!$B$4:$B$137, 0), MATCH(CZ$4&amp;CZ$5,Demand_current!$D$2:$BW$2&amp;Demand_current!$D$3:$BW$3, 0))/1000</f>
        <v>1.3252812500000011</v>
      </c>
      <c r="DA31" s="103">
        <f t="array" ref="DA31">INDEX(Demand_current!$D$4:$BW$137, MATCH($A31, Demand_current!$B$4:$B$137, 0), MATCH(DA$4&amp;DA$5,Demand_current!$D$2:$BW$2&amp;Demand_current!$D$3:$BW$3, 0))/1000</f>
        <v>0.45552604166666733</v>
      </c>
      <c r="DB31" s="103">
        <f t="array" ref="DB31">INDEX(Demand_current!$D$4:$BW$137, MATCH($A31, Demand_current!$B$4:$B$137, 0), MATCH(DB$4&amp;DB$5,Demand_current!$D$2:$BW$2&amp;Demand_current!$D$3:$BW$3, 0))/1000</f>
        <v>9.1932692307693076E-2</v>
      </c>
      <c r="DC31" s="103">
        <f t="array" ref="DC31">INDEX(Demand_current!$D$4:$BW$137, MATCH($A31, Demand_current!$B$4:$B$137, 0), MATCH(DC$4&amp;DC$5,Demand_current!$D$2:$BW$2&amp;Demand_current!$D$3:$BW$3, 0))/1000</f>
        <v>0.48217548076923156</v>
      </c>
      <c r="DD31" s="103">
        <f t="array" ref="DD31">INDEX(Demand_current!$D$4:$BW$137, MATCH($A31, Demand_current!$B$4:$B$137, 0), MATCH(DD$4&amp;DD$5,Demand_current!$D$2:$BW$2&amp;Demand_current!$D$3:$BW$3, 0))/1000</f>
        <v>1.0810999999999997</v>
      </c>
      <c r="DE31" s="103">
        <f t="array" ref="DE31">INDEX(Demand_current!$D$4:$BW$137, MATCH($A31, Demand_current!$B$4:$B$137, 0), MATCH(DE$4&amp;DE$5,Demand_current!$D$2:$BW$2&amp;Demand_current!$D$3:$BW$3, 0))/1000</f>
        <v>1.8524759615384614</v>
      </c>
      <c r="DF31" s="103">
        <f t="array" ref="DF31">INDEX(Demand_current!$D$4:$BW$137, MATCH($A31, Demand_current!$B$4:$B$137, 0), MATCH(DF$4&amp;DF$5,Demand_current!$D$2:$BW$2&amp;Demand_current!$D$3:$BW$3, 0))/1000</f>
        <v>1.5851754807692318</v>
      </c>
      <c r="DG31" s="103">
        <f t="array" ref="DG31">INDEX(Demand_current!$D$4:$BW$137, MATCH($A31, Demand_current!$B$4:$B$137, 0), MATCH(DG$4&amp;DG$5,Demand_current!$D$2:$BW$2&amp;Demand_current!$D$3:$BW$3, 0))/1000</f>
        <v>1.8299423076923071</v>
      </c>
      <c r="DH31" s="103">
        <f t="array" ref="DH31">INDEX(Demand_current!$D$4:$BW$137, MATCH($A31, Demand_current!$B$4:$B$137, 0), MATCH(DH$4&amp;DH$5,Demand_current!$D$2:$BW$2&amp;Demand_current!$D$3:$BW$3, 0))/1000</f>
        <v>1.1389499999999999</v>
      </c>
      <c r="DI31" s="102">
        <f>$BS31*(VLOOKUP(DI$4, Rates_current!$H$6:$R$41, 10, FALSE)+VLOOKUP(DI$4, Rates_current!$H$6:$R$41, 11, FALSE))</f>
        <v>3890.8946331350689</v>
      </c>
      <c r="DJ31" s="102">
        <f>$BS31*(VLOOKUP(DJ$4, Rates_current!$H$6:$R$41, 10, FALSE)+VLOOKUP(DJ$4, Rates_current!$H$6:$R$41, 11, FALSE))</f>
        <v>4974.3807310277725</v>
      </c>
      <c r="DK31" s="102">
        <f>$BS31*(VLOOKUP(DK$4, Rates_current!$H$6:$R$41, 10, FALSE)+VLOOKUP(DK$4, Rates_current!$H$6:$R$41, 11, FALSE))</f>
        <v>5655.4548491287551</v>
      </c>
      <c r="DL31" s="102">
        <f>$BS31*(VLOOKUP(DL$4, Rates_current!$H$6:$R$41, 10, FALSE)+VLOOKUP(DL$4, Rates_current!$H$6:$R$41, 11, FALSE))</f>
        <v>5966.9463243324217</v>
      </c>
      <c r="DM31" s="102">
        <f>$BS31*(VLOOKUP(DM$4, Rates_current!$H$6:$R$41, 10, FALSE)+VLOOKUP(DM$4, Rates_current!$H$6:$R$41, 11, FALSE))</f>
        <v>4755.1176830027034</v>
      </c>
      <c r="DN31" s="102">
        <f>$BS31*(VLOOKUP(DN$4, Rates_current!$H$6:$R$41, 10, FALSE)+VLOOKUP(DN$4, Rates_current!$H$6:$R$41, 11, FALSE))</f>
        <v>5198.3201182654084</v>
      </c>
      <c r="DO31" s="102">
        <f>$BS31*(VLOOKUP(DO$4, Rates_current!$H$6:$R$41, 10, FALSE)+VLOOKUP(DO$4, Rates_current!$H$6:$R$41, 11, FALSE))</f>
        <v>4028.7503819322696</v>
      </c>
      <c r="DP31" s="102">
        <f>$BS31*(VLOOKUP(DP$4, Rates_current!$H$6:$R$41, 10, FALSE)+VLOOKUP(DP$4, Rates_current!$H$6:$R$41, 11, FALSE))</f>
        <v>5213.8663374371308</v>
      </c>
      <c r="DQ31" s="102">
        <f>$BS31*(VLOOKUP(DQ$4, Rates_current!$H$6:$R$41, 10, FALSE)+VLOOKUP(DQ$4, Rates_current!$H$6:$R$41, 11, FALSE))</f>
        <v>5325.1975613022414</v>
      </c>
      <c r="DR31" s="102">
        <f>$BS31*(VLOOKUP(DR$4, Rates_current!$H$6:$R$41, 10, FALSE)+VLOOKUP(DR$4, Rates_current!$H$6:$R$41, 11, FALSE))</f>
        <v>4739.8863778454906</v>
      </c>
      <c r="DS31" s="102">
        <f>$BS31*(VLOOKUP(DS$4, Rates_current!$H$6:$R$41, 10, FALSE)+VLOOKUP(DS$4, Rates_current!$H$6:$R$41, 11, FALSE))</f>
        <v>4862.2541569625673</v>
      </c>
      <c r="DT31" s="102">
        <f>$BS31*(VLOOKUP(DT$4, Rates_current!$H$6:$R$41, 10, FALSE)+VLOOKUP(DT$4, Rates_current!$H$6:$R$41, 11, FALSE))</f>
        <v>3776.1231990453502</v>
      </c>
      <c r="DU31" s="261">
        <f>IF(D31=0,IF(C31=0,MAX(0,DW31 - (VLOOKUP($A31,TOCA_current!$A$2:$AV$136,MATCH("RHWM "&amp;Init!$D$1,TOCA_current!$A$2:$AV$2,0),FALSE)*$BS$2)), 0),0)</f>
        <v>0</v>
      </c>
      <c r="DV31" s="262">
        <f>MIN(VLOOKUP($A31,TOCA_current!$A$2:$AV$136,MATCH("TRL - NLSL - Existing Resource "&amp;$BS$1,TOCA_current!$A$2:$AV$2,0),FALSE)*$BS$2, VLOOKUP($A31,TOCA_current!$A$2:$AV$136,MATCH("RHWM "&amp;Init!$D$1,TOCA_current!$A$2:$AV$2,0),FALSE)*$BS$2)</f>
        <v>58385.4</v>
      </c>
      <c r="DW31" s="262">
        <f>SUM(BY31:CV31)+(BS31*RT1SC!$C$4*$BS$2)</f>
        <v>58386.085446582816</v>
      </c>
      <c r="DX31" s="262">
        <f>VLOOKUP($A31,TOCA_current!$A$2:$AV$136,MATCH("Above RHWM Not Served with LS "&amp;$BS$1,TOCA_current!$A$2:$AV$2,0),FALSE)*$BS$2</f>
        <v>0</v>
      </c>
      <c r="DY31" s="262">
        <f t="shared" si="28"/>
        <v>0.68544658281462034</v>
      </c>
      <c r="DZ31" s="262">
        <f>(VLOOKUP($A31,TOCA_current!$A$2:$AV$136,MATCH("RHWM "&amp;Init!$D$1,TOCA_current!$A$2:$AV$2,0),FALSE)*$BS$2) - $DV31</f>
        <v>7139.4000000000015</v>
      </c>
      <c r="EA31" s="262">
        <f t="shared" si="29"/>
        <v>-0.68544658281462034</v>
      </c>
      <c r="EB31" s="262">
        <f t="shared" si="30"/>
        <v>0</v>
      </c>
      <c r="EC31" s="262">
        <f t="shared" si="31"/>
        <v>0</v>
      </c>
      <c r="ED31" s="262">
        <f t="shared" si="32"/>
        <v>-0.68544658281462034</v>
      </c>
    </row>
    <row r="32" spans="1:134">
      <c r="A32" s="2">
        <v>10081</v>
      </c>
      <c r="B32" s="3" t="s">
        <v>34</v>
      </c>
      <c r="C32">
        <f>VLOOKUP(A32, TOCA_current!$A$3:$D$136, 4, FALSE)</f>
        <v>0</v>
      </c>
      <c r="D32">
        <v>0</v>
      </c>
      <c r="E32" s="84">
        <f>VLOOKUP($A32,TOCA_previous!$A$2:$AJ$136,MATCH(E$4,TOCA_previous!$A$2:$AJ$2,0),FALSE)</f>
        <v>1.3193E-3</v>
      </c>
      <c r="F32" s="85">
        <f>VLOOKUP($A32,TOCA_previous!$A$2:$AJ$136,MATCH(F$4,TOCA_previous!$A$2:$AJ$2,0),FALSE)</f>
        <v>1.3193E-3</v>
      </c>
      <c r="G32" s="85">
        <f t="shared" si="18"/>
        <v>0</v>
      </c>
      <c r="H32" s="85">
        <f>VLOOKUP($A32,TOCA_previous!$A$2:$AJ$136,MATCH(H$4,TOCA_previous!$A$2:$AJ$2,0),FALSE)</f>
        <v>0</v>
      </c>
      <c r="I32" s="85">
        <f t="shared" si="19"/>
        <v>0</v>
      </c>
      <c r="J32" s="85">
        <f t="shared" si="20"/>
        <v>0</v>
      </c>
      <c r="K32" s="101">
        <f>VLOOKUP(A32, IRD!$A$5:$C$138, 3, FALSE)</f>
        <v>0</v>
      </c>
      <c r="L32" s="102">
        <f t="array" ref="L32">IF($G32=0, INDEX(LS_previous!$D$4:$AY$137, MATCH('Staging Table'!$A32, LS_previous!$B$4:$B$137, 0), MATCH(L$4&amp;L$5, LS_previous!$D$2:$AY$2&amp;LS_previous!$D$3:$AY$3, 0)),SUM(VLOOKUP($A32, LS_previous!$B$4:$AY$137, LS_previous!D$148, FALSE), VLOOKUP('Staging Table'!$A32, LS_previous!$B$4:$AY$137,LS_previous!AB$148, FALSE))/2)</f>
        <v>414.63058330519925</v>
      </c>
      <c r="M32" s="102">
        <f t="array" ref="M32">IF($G32=0, INDEX(LS_previous!$D$4:$AY$137, MATCH('Staging Table'!$A32, LS_previous!$B$4:$B$137, 0), MATCH(M$4&amp;M$5, LS_previous!$D$2:$AY$2&amp;LS_previous!$D$3:$AY$3, 0)),SUM(VLOOKUP($A32, LS_previous!$B$4:$AY$137, LS_previous!E$148, FALSE), VLOOKUP('Staging Table'!$A32, LS_previous!$B$4:$AY$137,LS_previous!AC$148, FALSE))/2)</f>
        <v>-275.11138585214985</v>
      </c>
      <c r="N32" s="102">
        <f t="array" ref="N32">IF($G32=0, INDEX(LS_previous!$D$4:$AY$137, MATCH('Staging Table'!$A32, LS_previous!$B$4:$B$137, 0), MATCH(N$4&amp;N$5, LS_previous!$D$2:$AY$2&amp;LS_previous!$D$3:$AY$3, 0)),SUM(VLOOKUP($A32, LS_previous!$B$4:$AY$137, LS_previous!F$148, FALSE), VLOOKUP('Staging Table'!$A32, LS_previous!$B$4:$AY$137,LS_previous!AD$148, FALSE))/2)</f>
        <v>-194.13713183039999</v>
      </c>
      <c r="O32" s="102">
        <f t="array" ref="O32">IF($G32=0, INDEX(LS_previous!$D$4:$AY$137, MATCH('Staging Table'!$A32, LS_previous!$B$4:$B$137, 0), MATCH(O$4&amp;O$5, LS_previous!$D$2:$AY$2&amp;LS_previous!$D$3:$AY$3, 0)),SUM(VLOOKUP($A32, LS_previous!$B$4:$AY$137, LS_previous!G$148, FALSE), VLOOKUP('Staging Table'!$A32, LS_previous!$B$4:$AY$137,LS_previous!AE$148, FALSE))/2)</f>
        <v>117.8343221217001</v>
      </c>
      <c r="P32" s="102">
        <f t="array" ref="P32">IF($G32=0, INDEX(LS_previous!$D$4:$AY$137, MATCH('Staging Table'!$A32, LS_previous!$B$4:$B$137, 0), MATCH(P$4&amp;P$5, LS_previous!$D$2:$AY$2&amp;LS_previous!$D$3:$AY$3, 0)),SUM(VLOOKUP($A32, LS_previous!$B$4:$AY$137, LS_previous!H$148, FALSE), VLOOKUP('Staging Table'!$A32, LS_previous!$B$4:$AY$137,LS_previous!AF$148, FALSE))/2)</f>
        <v>1164.1191645373001</v>
      </c>
      <c r="Q32" s="102">
        <f t="array" ref="Q32">IF($G32=0, INDEX(LS_previous!$D$4:$AY$137, MATCH('Staging Table'!$A32, LS_previous!$B$4:$B$137, 0), MATCH(Q$4&amp;Q$5, LS_previous!$D$2:$AY$2&amp;LS_previous!$D$3:$AY$3, 0)),SUM(VLOOKUP($A32, LS_previous!$B$4:$AY$137, LS_previous!I$148, FALSE), VLOOKUP('Staging Table'!$A32, LS_previous!$B$4:$AY$137,LS_previous!AG$148, FALSE))/2)</f>
        <v>736.95951686719991</v>
      </c>
      <c r="R32" s="102">
        <f t="array" ref="R32">IF($G32=0, INDEX(LS_previous!$D$4:$AY$137, MATCH('Staging Table'!$A32, LS_previous!$B$4:$B$137, 0), MATCH(R$4&amp;R$5, LS_previous!$D$2:$AY$2&amp;LS_previous!$D$3:$AY$3, 0)),SUM(VLOOKUP($A32, LS_previous!$B$4:$AY$137, LS_previous!J$148, FALSE), VLOOKUP('Staging Table'!$A32, LS_previous!$B$4:$AY$137,LS_previous!AH$148, FALSE))/2)</f>
        <v>908.09792040049979</v>
      </c>
      <c r="S32" s="102">
        <f t="array" ref="S32">IF($G32=0, INDEX(LS_previous!$D$4:$AY$137, MATCH('Staging Table'!$A32, LS_previous!$B$4:$B$137, 0), MATCH(S$4&amp;S$5, LS_previous!$D$2:$AY$2&amp;LS_previous!$D$3:$AY$3, 0)),SUM(VLOOKUP($A32, LS_previous!$B$4:$AY$137, LS_previous!K$148, FALSE), VLOOKUP('Staging Table'!$A32, LS_previous!$B$4:$AY$137,LS_previous!AI$148, FALSE))/2)</f>
        <v>762.92849834029994</v>
      </c>
      <c r="T32" s="102">
        <f t="array" ref="T32">IF($G32=0, INDEX(LS_previous!$D$4:$AY$137, MATCH('Staging Table'!$A32, LS_previous!$B$4:$B$137, 0), MATCH(T$4&amp;T$5, LS_previous!$D$2:$AY$2&amp;LS_previous!$D$3:$AY$3, 0)),SUM(VLOOKUP($A32, LS_previous!$B$4:$AY$137, LS_previous!L$148, FALSE), VLOOKUP('Staging Table'!$A32, LS_previous!$B$4:$AY$137,LS_previous!AJ$148, FALSE))/2)</f>
        <v>272.09743683530087</v>
      </c>
      <c r="U32" s="102">
        <f t="array" ref="U32">IF($G32=0, INDEX(LS_previous!$D$4:$AY$137, MATCH('Staging Table'!$A32, LS_previous!$B$4:$B$137, 0), MATCH(U$4&amp;U$5, LS_previous!$D$2:$AY$2&amp;LS_previous!$D$3:$AY$3, 0)),SUM(VLOOKUP($A32, LS_previous!$B$4:$AY$137, LS_previous!M$148, FALSE), VLOOKUP('Staging Table'!$A32, LS_previous!$B$4:$AY$137,LS_previous!AK$148, FALSE))/2)</f>
        <v>422.50334549130002</v>
      </c>
      <c r="V32" s="102">
        <f t="array" ref="V32">IF($G32=0, INDEX(LS_previous!$D$4:$AY$137, MATCH('Staging Table'!$A32, LS_previous!$B$4:$B$137, 0), MATCH(V$4&amp;V$5, LS_previous!$D$2:$AY$2&amp;LS_previous!$D$3:$AY$3, 0)),SUM(VLOOKUP($A32, LS_previous!$B$4:$AY$137, LS_previous!N$148, FALSE), VLOOKUP('Staging Table'!$A32, LS_previous!$B$4:$AY$137,LS_previous!AL$148, FALSE))/2)</f>
        <v>-267.87028578089939</v>
      </c>
      <c r="W32" s="102">
        <f t="array" ref="W32">IF($G32=0, INDEX(LS_previous!$D$4:$AY$137, MATCH('Staging Table'!$A32, LS_previous!$B$4:$B$137, 0), MATCH(W$4&amp;W$5, LS_previous!$D$2:$AY$2&amp;LS_previous!$D$3:$AY$3, 0)),SUM(VLOOKUP($A32, LS_previous!$B$4:$AY$137, LS_previous!O$148, FALSE), VLOOKUP('Staging Table'!$A32, LS_previous!$B$4:$AY$137,LS_previous!AM$148, FALSE))/2)</f>
        <v>-76.537251715399634</v>
      </c>
      <c r="X32" s="102">
        <f t="array" ref="X32">IF($G32=0, INDEX(LS_previous!$D$4:$AY$137, MATCH('Staging Table'!$A32, LS_previous!$B$4:$B$137, 0), MATCH(X$4&amp;X$5, LS_previous!$D$2:$AY$2&amp;LS_previous!$D$3:$AY$3, 0)),SUM(VLOOKUP($A32, LS_previous!$B$4:$AY$137, LS_previous!P$148, FALSE), VLOOKUP('Staging Table'!$A32, LS_previous!$B$4:$AY$137,LS_previous!AN$148, FALSE))/2)</f>
        <v>683.93541914425032</v>
      </c>
      <c r="Y32" s="102">
        <f t="array" ref="Y32">IF($G32=0, INDEX(LS_previous!$D$4:$AY$137, MATCH('Staging Table'!$A32, LS_previous!$B$4:$B$137, 0), MATCH(Y$4&amp;Y$5, LS_previous!$D$2:$AY$2&amp;LS_previous!$D$3:$AY$3, 0)),SUM(VLOOKUP($A32, LS_previous!$B$4:$AY$137, LS_previous!Q$148, FALSE), VLOOKUP('Staging Table'!$A32, LS_previous!$B$4:$AY$137,LS_previous!AO$148, FALSE))/2)</f>
        <v>99.838379913225253</v>
      </c>
      <c r="Z32" s="102">
        <f t="array" ref="Z32">IF($G32=0, INDEX(LS_previous!$D$4:$AY$137, MATCH('Staging Table'!$A32, LS_previous!$B$4:$B$137, 0), MATCH(Z$4&amp;Z$5, LS_previous!$D$2:$AY$2&amp;LS_previous!$D$3:$AY$3, 0)),SUM(VLOOKUP($A32, LS_previous!$B$4:$AY$137, LS_previous!R$148, FALSE), VLOOKUP('Staging Table'!$A32, LS_previous!$B$4:$AY$137,LS_previous!AP$148, FALSE))/2)</f>
        <v>-1340.7999675664005</v>
      </c>
      <c r="AA32" s="102">
        <f t="array" ref="AA32">IF($G32=0, INDEX(LS_previous!$D$4:$AY$137, MATCH('Staging Table'!$A32, LS_previous!$B$4:$B$137, 0), MATCH(AA$4&amp;AA$5, LS_previous!$D$2:$AY$2&amp;LS_previous!$D$3:$AY$3, 0)),SUM(VLOOKUP($A32, LS_previous!$B$4:$AY$137, LS_previous!S$148, FALSE), VLOOKUP('Staging Table'!$A32, LS_previous!$B$4:$AY$137,LS_previous!AQ$148, FALSE))/2)</f>
        <v>-1082.2593408090502</v>
      </c>
      <c r="AB32" s="102">
        <f t="array" ref="AB32">IF($G32=0, INDEX(LS_previous!$D$4:$AY$137, MATCH('Staging Table'!$A32, LS_previous!$B$4:$B$137, 0), MATCH(AB$4&amp;AB$5, LS_previous!$D$2:$AY$2&amp;LS_previous!$D$3:$AY$3, 0)),SUM(VLOOKUP($A32, LS_previous!$B$4:$AY$137, LS_previous!T$148, FALSE), VLOOKUP('Staging Table'!$A32, LS_previous!$B$4:$AY$137,LS_previous!AR$148, FALSE))/2)</f>
        <v>-1477.2924567718001</v>
      </c>
      <c r="AC32" s="102">
        <f t="array" ref="AC32">IF($G32=0, INDEX(LS_previous!$D$4:$AY$137, MATCH('Staging Table'!$A32, LS_previous!$B$4:$B$137, 0), MATCH(AC$4&amp;AC$5, LS_previous!$D$2:$AY$2&amp;LS_previous!$D$3:$AY$3, 0)),SUM(VLOOKUP($A32, LS_previous!$B$4:$AY$137, LS_previous!U$148, FALSE), VLOOKUP('Staging Table'!$A32, LS_previous!$B$4:$AY$137,LS_previous!AS$148, FALSE))/2)</f>
        <v>-1443.6855794018502</v>
      </c>
      <c r="AD32" s="102">
        <f t="array" ref="AD32">IF($G32=0, INDEX(LS_previous!$D$4:$AY$137, MATCH('Staging Table'!$A32, LS_previous!$B$4:$B$137, 0), MATCH(AD$4&amp;AD$5, LS_previous!$D$2:$AY$2&amp;LS_previous!$D$3:$AY$3, 0)),SUM(VLOOKUP($A32, LS_previous!$B$4:$AY$137, LS_previous!V$148, FALSE), VLOOKUP('Staging Table'!$A32, LS_previous!$B$4:$AY$137,LS_previous!AT$148, FALSE))/2)</f>
        <v>651.52299375480015</v>
      </c>
      <c r="AE32" s="102">
        <f t="array" ref="AE32">IF($G32=0, INDEX(LS_previous!$D$4:$AY$137, MATCH('Staging Table'!$A32, LS_previous!$B$4:$B$137, 0), MATCH(AE$4&amp;AE$5, LS_previous!$D$2:$AY$2&amp;LS_previous!$D$3:$AY$3, 0)),SUM(VLOOKUP($A32, LS_previous!$B$4:$AY$137, LS_previous!W$148, FALSE), VLOOKUP('Staging Table'!$A32, LS_previous!$B$4:$AY$137,LS_previous!AU$148, FALSE))/2)</f>
        <v>-143.25856246075</v>
      </c>
      <c r="AF32" s="102">
        <f t="array" ref="AF32">IF($G32=0, INDEX(LS_previous!$D$4:$AY$137, MATCH('Staging Table'!$A32, LS_previous!$B$4:$B$137, 0), MATCH(AF$4&amp;AF$5, LS_previous!$D$2:$AY$2&amp;LS_previous!$D$3:$AY$3, 0)),SUM(VLOOKUP($A32, LS_previous!$B$4:$AY$137, LS_previous!X$148, FALSE), VLOOKUP('Staging Table'!$A32, LS_previous!$B$4:$AY$137,LS_previous!AV$148, FALSE))/2)</f>
        <v>455.43777674004969</v>
      </c>
      <c r="AG32" s="102">
        <f t="array" ref="AG32">IF($G32=0, INDEX(LS_previous!$D$4:$AY$137, MATCH('Staging Table'!$A32, LS_previous!$B$4:$B$137, 0), MATCH(AG$4&amp;AG$5, LS_previous!$D$2:$AY$2&amp;LS_previous!$D$3:$AY$3, 0)),SUM(VLOOKUP($A32, LS_previous!$B$4:$AY$137, LS_previous!Y$148, FALSE), VLOOKUP('Staging Table'!$A32, LS_previous!$B$4:$AY$137,LS_previous!AW$148, FALSE))/2)</f>
        <v>-81.402448746105165</v>
      </c>
      <c r="AH32" s="102">
        <f t="array" ref="AH32">IF($G32=0, INDEX(LS_previous!$D$4:$AY$137, MATCH('Staging Table'!$A32, LS_previous!$B$4:$B$137, 0), MATCH(AH$4&amp;AH$5, LS_previous!$D$2:$AY$2&amp;LS_previous!$D$3:$AY$3, 0)),SUM(VLOOKUP($A32, LS_previous!$B$4:$AY$137, LS_previous!Z$148, FALSE), VLOOKUP('Staging Table'!$A32, LS_previous!$B$4:$AY$137,LS_previous!AX$148, FALSE))/2)</f>
        <v>88.898935111799801</v>
      </c>
      <c r="AI32" s="102">
        <f t="array" ref="AI32">IF($G32=0, INDEX(LS_previous!$D$4:$AY$137, MATCH('Staging Table'!$A32, LS_previous!$B$4:$B$137, 0), MATCH(AI$4&amp;AI$5, LS_previous!$D$2:$AY$2&amp;LS_previous!$D$3:$AY$3, 0)),SUM(VLOOKUP($A32, LS_previous!$B$4:$AY$137, LS_previous!AA$148, FALSE), VLOOKUP('Staging Table'!$A32, LS_previous!$B$4:$AY$137,LS_previous!AY$148, FALSE))/2)</f>
        <v>-394.40185890720022</v>
      </c>
      <c r="AJ32" s="103">
        <f t="array" ref="AJ32">INDEX(Demand_previous!$D$4:$AY$137, MATCH('Staging Table'!$A32, Demand_previous!$B$4:$B$137, 0), MATCH(AJ$4&amp;AJ$5,Demand_previous!$D$2:$AY$2&amp;Demand_previous!$D$3:$AY$3, 0))/1000</f>
        <v>0</v>
      </c>
      <c r="AK32" s="103">
        <f t="array" ref="AK32">INDEX(Demand_previous!$D$4:$AY$137, MATCH('Staging Table'!$A32, Demand_previous!$B$4:$B$137, 0), MATCH(AK$4&amp;AK$5,Demand_previous!$D$2:$AY$2&amp;Demand_previous!$D$3:$AY$3, 0))/1000</f>
        <v>9.0747499999999967E-2</v>
      </c>
      <c r="AL32" s="103">
        <f t="array" ref="AL32">INDEX(Demand_previous!$D$4:$AY$137, MATCH('Staging Table'!$A32, Demand_previous!$B$4:$B$137, 0), MATCH(AL$4&amp;AL$5,Demand_previous!$D$2:$AY$2&amp;Demand_previous!$D$3:$AY$3, 0))/1000</f>
        <v>2.8467600000000002</v>
      </c>
      <c r="AM32" s="103">
        <f t="array" ref="AM32">INDEX(Demand_previous!$D$4:$AY$137, MATCH('Staging Table'!$A32, Demand_previous!$B$4:$B$137, 0), MATCH(AM$4&amp;AM$5,Demand_previous!$D$2:$AY$2&amp;Demand_previous!$D$3:$AY$3, 0))/1000</f>
        <v>0.44268269230769075</v>
      </c>
      <c r="AN32" s="103">
        <f t="array" ref="AN32">INDEX(Demand_previous!$D$4:$AY$137, MATCH('Staging Table'!$A32, Demand_previous!$B$4:$B$137, 0), MATCH(AN$4&amp;AN$5,Demand_previous!$D$2:$AY$2&amp;Demand_previous!$D$3:$AY$3, 0))/1000</f>
        <v>0.90204500000000021</v>
      </c>
      <c r="AO32" s="103">
        <f t="array" ref="AO32">INDEX(Demand_previous!$D$4:$AY$137, MATCH('Staging Table'!$A32, Demand_previous!$B$4:$B$137, 0), MATCH(AO$4&amp;AO$5,Demand_previous!$D$2:$AY$2&amp;Demand_previous!$D$3:$AY$3, 0))/1000</f>
        <v>2.042461538461537</v>
      </c>
      <c r="AP32" s="103">
        <f t="array" ref="AP32">INDEX(Demand_previous!$D$4:$AY$137, MATCH('Staging Table'!$A32, Demand_previous!$B$4:$B$137, 0), MATCH(AP$4&amp;AP$5,Demand_previous!$D$2:$AY$2&amp;Demand_previous!$D$3:$AY$3, 0))/1000</f>
        <v>0.68173076923076881</v>
      </c>
      <c r="AQ32" s="103">
        <f t="array" ref="AQ32">INDEX(Demand_previous!$D$4:$AY$137, MATCH('Staging Table'!$A32, Demand_previous!$B$4:$B$137, 0), MATCH(AQ$4&amp;AQ$5,Demand_previous!$D$2:$AY$2&amp;Demand_previous!$D$3:$AY$3, 0))/1000</f>
        <v>0.3073509615384622</v>
      </c>
      <c r="AR32" s="103">
        <f t="array" ref="AR32">INDEX(Demand_previous!$D$4:$AY$137, MATCH('Staging Table'!$A32, Demand_previous!$B$4:$B$137, 0), MATCH(AR$4&amp;AR$5,Demand_previous!$D$2:$AY$2&amp;Demand_previous!$D$3:$AY$3, 0))/1000</f>
        <v>2.5569349999999975</v>
      </c>
      <c r="AS32" s="103">
        <f t="array" ref="AS32">INDEX(Demand_previous!$D$4:$AY$137, MATCH('Staging Table'!$A32, Demand_previous!$B$4:$B$137, 0), MATCH(AS$4&amp;AS$5,Demand_previous!$D$2:$AY$2&amp;Demand_previous!$D$3:$AY$3, 0))/1000</f>
        <v>1.2968413461538448</v>
      </c>
      <c r="AT32" s="103">
        <f t="array" ref="AT32">INDEX(Demand_previous!$D$4:$AY$137, MATCH('Staging Table'!$A32, Demand_previous!$B$4:$B$137, 0), MATCH(AT$4&amp;AT$5,Demand_previous!$D$2:$AY$2&amp;Demand_previous!$D$3:$AY$3, 0))/1000</f>
        <v>2.2539722222222238</v>
      </c>
      <c r="AU32" s="103">
        <f t="array" ref="AU32">INDEX(Demand_previous!$D$4:$AY$137, MATCH('Staging Table'!$A32, Demand_previous!$B$4:$B$137, 0), MATCH(AU$4&amp;AU$5,Demand_previous!$D$2:$AY$2&amp;Demand_previous!$D$3:$AY$3, 0))/1000</f>
        <v>0.61315885416666571</v>
      </c>
      <c r="AV32" s="102">
        <f>$F32*(VLOOKUP(AV$4, Rates_previous!$G$6:$Q$29, 10, FALSE)+VLOOKUP(AV$4, Rates_previous!$G$6:$Q$29, 11, FALSE))</f>
        <v>5565.8678025469499</v>
      </c>
      <c r="AW32" s="102">
        <f>$F32*(VLOOKUP(AW$4, Rates_previous!$G$6:$Q$29, 10, FALSE)+VLOOKUP(AW$4, Rates_previous!$G$6:$Q$29, 11, FALSE))</f>
        <v>7098.3168097087009</v>
      </c>
      <c r="AX32" s="102">
        <f>$F32*(VLOOKUP(AX$4, Rates_previous!$G$6:$Q$29, 10, FALSE)+VLOOKUP(AX$4, Rates_previous!$G$6:$Q$29, 11, FALSE))</f>
        <v>7660.4883185955005</v>
      </c>
      <c r="AY32" s="102">
        <f>$F32*(VLOOKUP(AY$4, Rates_previous!$G$6:$Q$29, 10, FALSE)+VLOOKUP(AY$4, Rates_previous!$G$6:$Q$29, 11, FALSE))</f>
        <v>7960.4315812592004</v>
      </c>
      <c r="AZ32" s="102">
        <f>$F32*(VLOOKUP(AZ$4, Rates_previous!$G$6:$Q$29, 10, FALSE)+VLOOKUP(AZ$4, Rates_previous!$G$6:$Q$29, 11, FALSE))</f>
        <v>6847.0322176733998</v>
      </c>
      <c r="BA32" s="102">
        <f>$F32*(VLOOKUP(BA$4, Rates_previous!$G$6:$Q$29, 10, FALSE)+VLOOKUP(BA$4, Rates_previous!$G$6:$Q$29, 11, FALSE))</f>
        <v>7475.6035374963003</v>
      </c>
      <c r="BB32" s="102">
        <f>$F32*(VLOOKUP(BB$4, Rates_previous!$G$6:$Q$29, 10, FALSE)+VLOOKUP(BB$4, Rates_previous!$G$6:$Q$29, 11, FALSE))</f>
        <v>5900.7292009425246</v>
      </c>
      <c r="BC32" s="102">
        <f>$F32*(VLOOKUP(BC$4, Rates_previous!$G$6:$Q$29, 10, FALSE)+VLOOKUP(BC$4, Rates_previous!$G$6:$Q$29, 11, FALSE))</f>
        <v>7320.6453083754504</v>
      </c>
      <c r="BD32" s="102">
        <f>$F32*(VLOOKUP(BD$4, Rates_previous!$G$6:$Q$29, 10, FALSE)+VLOOKUP(BD$4, Rates_previous!$G$6:$Q$29, 11, FALSE))</f>
        <v>7479.4850361736499</v>
      </c>
      <c r="BE32" s="102">
        <f>$F32*(VLOOKUP(BE$4, Rates_previous!$G$6:$Q$29, 10, FALSE)+VLOOKUP(BE$4, Rates_previous!$G$6:$Q$29, 11, FALSE))</f>
        <v>6493.2705687059497</v>
      </c>
      <c r="BF32" s="102">
        <f>$F32*(VLOOKUP(BF$4, Rates_previous!$G$6:$Q$29, 10, FALSE)+VLOOKUP(BF$4, Rates_previous!$G$6:$Q$29, 11, FALSE))</f>
        <v>6277.2666720060561</v>
      </c>
      <c r="BG32" s="102">
        <f>$F32*(VLOOKUP(BG$4, Rates_previous!$G$6:$Q$29, 10, FALSE)+VLOOKUP(BG$4, Rates_previous!$G$6:$Q$29, 11, FALSE))</f>
        <v>5776.3009237954011</v>
      </c>
      <c r="BH32" s="103">
        <f>IF($D32=0,IF(C32=0, MAX(BJ32 - (VLOOKUP($A32,TOCA_previous!$A$2:$AJ$136,MATCH("RHWM "&amp;Init!$D$1-2,TOCA_previous!$A$2:$AJ$2,0),FALSE)*$F$2*TOCA_previous!C29),0),0), 0)</f>
        <v>0</v>
      </c>
      <c r="BI32" s="109">
        <f>MIN(VLOOKUP($A32,TOCA_previous!$A$2:$AJ$136,MATCH("TRL - NLSL - Existing Resource "&amp;$F$1,TOCA_previous!$A$2:$AJ$2,0),FALSE)*$F$2,(VLOOKUP($A32,TOCA_previous!$A$2:$AJ$136,MATCH("RHWM "&amp;Init!$D$1-2,TOCA_previous!$A$2:$AJ$2,0),FALSE)*$F$2))</f>
        <v>80048.59199999999</v>
      </c>
      <c r="BJ32" s="261">
        <f>SUM(L32:AI32)+(F32*RT1SC!$C$3*$F$2)</f>
        <v>81857.486375208915</v>
      </c>
      <c r="BK32" s="260">
        <f>VLOOKUP($A32,TOCA_previous!$A$2:$AJ$136,MATCH("Above RHWM Not Served with LS "&amp;$F$1,TOCA_previous!$A$2:$AJ$2,0),FALSE)*$F$2</f>
        <v>0</v>
      </c>
      <c r="BL32" s="261">
        <f t="shared" si="21"/>
        <v>1808.8943752089253</v>
      </c>
      <c r="BM32" s="260">
        <f>(VLOOKUP($A32,TOCA_previous!$A$2:$AJ$136,MATCH("RHWM "&amp;Init!$D$1-2,TOCA_previous!$A$2:$AJ$2,0),FALSE)*$F$2) - $BI32</f>
        <v>11788.128000000012</v>
      </c>
      <c r="BN32" s="261">
        <f t="shared" si="22"/>
        <v>-1808.8943752089253</v>
      </c>
      <c r="BO32" s="260">
        <f t="shared" si="23"/>
        <v>0</v>
      </c>
      <c r="BP32" s="261">
        <f t="shared" si="24"/>
        <v>0</v>
      </c>
      <c r="BQ32" s="260">
        <f t="shared" si="9"/>
        <v>-1808.8943752089253</v>
      </c>
      <c r="BR32" s="85">
        <f>VLOOKUP($A32,TOCA_current!$A$2:$ZZ$136,MATCH(BR$4,TOCA_current!$A$2:$ZZ$2,0),FALSE)</f>
        <v>1.3143E-3</v>
      </c>
      <c r="BS32" s="85">
        <f>VLOOKUP($A32,TOCA_current!$A$2:$ZZ$136,MATCH(BS$4,TOCA_current!$A$2:$ZZ$2,0),FALSE)</f>
        <v>1.3143E-3</v>
      </c>
      <c r="BT32" s="108">
        <f t="shared" si="25"/>
        <v>0</v>
      </c>
      <c r="BU32" s="85">
        <f>VLOOKUP($A32,TOCA_current!A29:BG163,MATCH(BU$4,TOCA_current!$A$2:$BG$2,0),FALSE)</f>
        <v>0</v>
      </c>
      <c r="BV32" s="85">
        <f t="shared" si="26"/>
        <v>0</v>
      </c>
      <c r="BW32" s="85">
        <f t="shared" si="27"/>
        <v>0</v>
      </c>
      <c r="BX32" s="101">
        <f>VLOOKUP($A32,IRD!$A$4:$G$138, 7, FALSE)</f>
        <v>0</v>
      </c>
      <c r="BY32" s="102">
        <f t="array" ref="BY32">IF($BT32=0, INDEX(LS_current!$D$4:$BW$137, MATCH('Staging Table'!$A32, LS_current!$B$4:$B$137, 0), MATCH(BY$4&amp;BY$5, LS_current!$D$2:$BW$2&amp;LS_current!$D$3:$BW$3, 0)),SUM(VLOOKUP($A32, LS_current!$B$4:$BW$137, LS_current!D$147, FALSE), VLOOKUP($A32, LS_current!$B$4:$BW$137,LS_current!AZ$147, FALSE))/2)</f>
        <v>383.23403628431561</v>
      </c>
      <c r="BZ32" s="102">
        <f t="array" ref="BZ32">IF($BT32=0, INDEX(LS_current!$D$4:$BW$137, MATCH('Staging Table'!$A32, LS_current!$B$4:$B$137, 0), MATCH(BZ$4&amp;BZ$5, LS_current!$D$2:$BW$2&amp;LS_current!$D$3:$BW$3, 0)),SUM(VLOOKUP($A32, LS_current!$B$4:$BW$137, LS_current!E$147, FALSE), VLOOKUP($A32, LS_current!$B$4:$BW$137,LS_current!BA$147, FALSE))/2)</f>
        <v>-132.57004036903118</v>
      </c>
      <c r="CA32" s="102">
        <f t="array" ref="CA32">IF($BT32=0, INDEX(LS_current!$D$4:$BW$137, MATCH('Staging Table'!$A32, LS_current!$B$4:$B$137, 0), MATCH(CA$4&amp;CA$5, LS_current!$D$2:$BW$2&amp;LS_current!$D$3:$BW$3, 0)),SUM(VLOOKUP($A32, LS_current!$B$4:$BW$137, LS_current!F$147, FALSE), VLOOKUP($A32, LS_current!$B$4:$BW$137,LS_current!BB$147, FALSE))/2)</f>
        <v>-100.41803511410853</v>
      </c>
      <c r="CB32" s="102">
        <f t="array" ref="CB32">IF($BT32=0, INDEX(LS_current!$D$4:$BW$137, MATCH('Staging Table'!$A32, LS_current!$B$4:$B$137, 0), MATCH(CB$4&amp;CB$5, LS_current!$D$2:$BW$2&amp;LS_current!$D$3:$BW$3, 0)),SUM(VLOOKUP($A32, LS_current!$B$4:$BW$137, LS_current!G$147, FALSE), VLOOKUP($A32, LS_current!$B$4:$BW$137,LS_current!BC$147, FALSE))/2)</f>
        <v>148.74820067165365</v>
      </c>
      <c r="CC32" s="102">
        <f t="array" ref="CC32">IF($BT32=0, INDEX(LS_current!$D$4:$BW$137, MATCH('Staging Table'!$A32, LS_current!$B$4:$B$137, 0), MATCH(CC$4&amp;CC$5, LS_current!$D$2:$BW$2&amp;LS_current!$D$3:$BW$3, 0)),SUM(VLOOKUP($A32, LS_current!$B$4:$BW$137, LS_current!H$147, FALSE), VLOOKUP($A32, LS_current!$B$4:$BW$137,LS_current!BD$147, FALSE))/2)</f>
        <v>726.4312662786524</v>
      </c>
      <c r="CD32" s="102">
        <f t="array" ref="CD32">IF($BT32=0, INDEX(LS_current!$D$4:$BW$137, MATCH('Staging Table'!$A32, LS_current!$B$4:$B$137, 0), MATCH(CD$4&amp;CD$5, LS_current!$D$2:$BW$2&amp;LS_current!$D$3:$BW$3, 0)),SUM(VLOOKUP($A32, LS_current!$B$4:$BW$137, LS_current!I$147, FALSE), VLOOKUP($A32, LS_current!$B$4:$BW$137,LS_current!BE$147, FALSE))/2)</f>
        <v>906.64047163076111</v>
      </c>
      <c r="CE32" s="102">
        <f t="array" ref="CE32">IF($BT32=0, INDEX(LS_current!$D$4:$BW$137, MATCH('Staging Table'!$A32, LS_current!$B$4:$B$137, 0), MATCH(CE$4&amp;CE$5, LS_current!$D$2:$BW$2&amp;LS_current!$D$3:$BW$3, 0)),SUM(VLOOKUP($A32, LS_current!$B$4:$BW$137, LS_current!J$147, FALSE), VLOOKUP($A32, LS_current!$B$4:$BW$137,LS_current!BF$147, FALSE))/2)</f>
        <v>563.95390960922578</v>
      </c>
      <c r="CF32" s="102">
        <f t="array" ref="CF32">IF($BT32=0, INDEX(LS_current!$D$4:$BW$137, MATCH('Staging Table'!$A32, LS_current!$B$4:$B$137, 0), MATCH(CF$4&amp;CF$5, LS_current!$D$2:$BW$2&amp;LS_current!$D$3:$BW$3, 0)),SUM(VLOOKUP($A32, LS_current!$B$4:$BW$137, LS_current!K$147, FALSE), VLOOKUP($A32, LS_current!$B$4:$BW$137,LS_current!BG$147, FALSE))/2)</f>
        <v>702.32269938266427</v>
      </c>
      <c r="CG32" s="102">
        <f t="array" ref="CG32">IF($BT32=0, INDEX(LS_current!$D$4:$BW$137, MATCH('Staging Table'!$A32, LS_current!$B$4:$B$137, 0), MATCH(CG$4&amp;CG$5, LS_current!$D$2:$BW$2&amp;LS_current!$D$3:$BW$3, 0)),SUM(VLOOKUP($A32, LS_current!$B$4:$BW$137, LS_current!L$147, FALSE), VLOOKUP($A32, LS_current!$B$4:$BW$137,LS_current!BH$147, FALSE))/2)</f>
        <v>383.6936172810083</v>
      </c>
      <c r="CH32" s="102">
        <f t="array" ref="CH32">IF($BT32=0, INDEX(LS_current!$D$4:$BW$137, MATCH('Staging Table'!$A32, LS_current!$B$4:$B$137, 0), MATCH(CH$4&amp;CH$5, LS_current!$D$2:$BW$2&amp;LS_current!$D$3:$BW$3, 0)),SUM(VLOOKUP($A32, LS_current!$B$4:$BW$137, LS_current!M$147, FALSE), VLOOKUP($A32, LS_current!$B$4:$BW$137,LS_current!BI$147, FALSE))/2)</f>
        <v>491.64480056384264</v>
      </c>
      <c r="CI32" s="102">
        <f t="array" ref="CI32">IF($BT32=0, INDEX(LS_current!$D$4:$BW$137, MATCH('Staging Table'!$A32, LS_current!$B$4:$B$137, 0), MATCH(CI$4&amp;CI$5, LS_current!$D$2:$BW$2&amp;LS_current!$D$3:$BW$3, 0)),SUM(VLOOKUP($A32, LS_current!$B$4:$BW$137, LS_current!N$147, FALSE), VLOOKUP($A32, LS_current!$B$4:$BW$137,LS_current!BJ$147, FALSE))/2)</f>
        <v>-456.03418878800767</v>
      </c>
      <c r="CJ32" s="102">
        <f t="array" ref="CJ32">IF($BT32=0, INDEX(LS_current!$D$4:$BW$137, MATCH('Staging Table'!$A32, LS_current!$B$4:$B$137, 0), MATCH(CJ$4&amp;CJ$5, LS_current!$D$2:$BW$2&amp;LS_current!$D$3:$BW$3, 0)),SUM(VLOOKUP($A32, LS_current!$B$4:$BW$137, LS_current!O$147, FALSE), VLOOKUP($A32, LS_current!$B$4:$BW$137,LS_current!BK$147, FALSE))/2)</f>
        <v>299.6012485893657</v>
      </c>
      <c r="CK32" s="102">
        <f t="array" ref="CK32">IF($BT32=0, INDEX(LS_current!$D$4:$BW$137, MATCH('Staging Table'!$A32, LS_current!$B$4:$B$137, 0), MATCH(CK$4&amp;CK$5, LS_current!$D$2:$BW$2&amp;LS_current!$D$3:$BW$3, 0)),SUM(VLOOKUP($A32, LS_current!$B$4:$BW$137, LS_current!P$147, FALSE), VLOOKUP($A32, LS_current!$B$4:$BW$137,LS_current!BL$147, FALSE))/2)</f>
        <v>798.08316627557861</v>
      </c>
      <c r="CL32" s="102">
        <f t="array" ref="CL32">IF($BT32=0, INDEX(LS_current!$D$4:$BW$137, MATCH('Staging Table'!$A32, LS_current!$B$4:$B$137, 0), MATCH(CL$4&amp;CL$5, LS_current!$D$2:$BW$2&amp;LS_current!$D$3:$BW$3, 0)),SUM(VLOOKUP($A32, LS_current!$B$4:$BW$137, LS_current!Q$147, FALSE), VLOOKUP($A32, LS_current!$B$4:$BW$137,LS_current!BM$147, FALSE))/2)</f>
        <v>238.4340982859344</v>
      </c>
      <c r="CM32" s="102">
        <f t="array" ref="CM32">IF($BT32=0, INDEX(LS_current!$D$4:$BW$137, MATCH('Staging Table'!$A32, LS_current!$B$4:$B$137, 0), MATCH(CM$4&amp;CM$5, LS_current!$D$2:$BW$2&amp;LS_current!$D$3:$BW$3, 0)),SUM(VLOOKUP($A32, LS_current!$B$4:$BW$137, LS_current!R$147, FALSE), VLOOKUP($A32, LS_current!$B$4:$BW$137,LS_current!BN$147, FALSE))/2)</f>
        <v>-1318.4268546312132</v>
      </c>
      <c r="CN32" s="102">
        <f t="array" ref="CN32">IF($BT32=0, INDEX(LS_current!$D$4:$BW$137, MATCH('Staging Table'!$A32, LS_current!$B$4:$B$137, 0), MATCH(CN$4&amp;CN$5, LS_current!$D$2:$BW$2&amp;LS_current!$D$3:$BW$3, 0)),SUM(VLOOKUP($A32, LS_current!$B$4:$BW$137, LS_current!S$147, FALSE), VLOOKUP($A32, LS_current!$B$4:$BW$137,LS_current!BO$147, FALSE))/2)</f>
        <v>-1093.4106411486509</v>
      </c>
      <c r="CO32" s="102">
        <f t="array" ref="CO32">IF($BT32=0, INDEX(LS_current!$D$4:$BW$137, MATCH('Staging Table'!$A32, LS_current!$B$4:$B$137, 0), MATCH(CO$4&amp;CO$5, LS_current!$D$2:$BW$2&amp;LS_current!$D$3:$BW$3, 0)),SUM(VLOOKUP($A32, LS_current!$B$4:$BW$137, LS_current!T$147, FALSE), VLOOKUP($A32, LS_current!$B$4:$BW$137,LS_current!BP$147, FALSE))/2)</f>
        <v>-1646.1664282828906</v>
      </c>
      <c r="CP32" s="102">
        <f t="array" ref="CP32">IF($BT32=0, INDEX(LS_current!$D$4:$BW$137, MATCH('Staging Table'!$A32, LS_current!$B$4:$B$137, 0), MATCH(CP$4&amp;CP$5, LS_current!$D$2:$BW$2&amp;LS_current!$D$3:$BW$3, 0)),SUM(VLOOKUP($A32, LS_current!$B$4:$BW$137, LS_current!U$147, FALSE), VLOOKUP($A32, LS_current!$B$4:$BW$137,LS_current!BQ$147, FALSE))/2)</f>
        <v>-1260.8275368579475</v>
      </c>
      <c r="CQ32" s="102">
        <f t="array" ref="CQ32">IF($BT32=0, INDEX(LS_current!$D$4:$BW$137, MATCH('Staging Table'!$A32, LS_current!$B$4:$B$137, 0), MATCH(CQ$4&amp;CQ$5, LS_current!$D$2:$BW$2&amp;LS_current!$D$3:$BW$3, 0)),SUM(VLOOKUP($A32, LS_current!$B$4:$BW$137, LS_current!V$147, FALSE), VLOOKUP($A32, LS_current!$B$4:$BW$137,LS_current!BR$147, FALSE))/2)</f>
        <v>487.26939794363534</v>
      </c>
      <c r="CR32" s="102">
        <f t="array" ref="CR32">IF($BT32=0, INDEX(LS_current!$D$4:$BW$137, MATCH('Staging Table'!$A32, LS_current!$B$4:$B$137, 0), MATCH(CR$4&amp;CR$5, LS_current!$D$2:$BW$2&amp;LS_current!$D$3:$BW$3, 0)),SUM(VLOOKUP($A32, LS_current!$B$4:$BW$137, LS_current!W$147, FALSE), VLOOKUP($A32, LS_current!$B$4:$BW$137,LS_current!BS$147, FALSE))/2)</f>
        <v>-130.67590877278644</v>
      </c>
      <c r="CS32" s="102">
        <f t="array" ref="CS32">IF($BT32=0, INDEX(LS_current!$D$4:$BW$137, MATCH('Staging Table'!$A32, LS_current!$B$4:$B$137, 0), MATCH(CS$4&amp;CS$5, LS_current!$D$2:$BW$2&amp;LS_current!$D$3:$BW$3, 0)),SUM(VLOOKUP($A32, LS_current!$B$4:$BW$137, LS_current!X$147, FALSE), VLOOKUP($A32, LS_current!$B$4:$BW$137,LS_current!BT$147, FALSE))/2)</f>
        <v>-93.537471178578926</v>
      </c>
      <c r="CT32" s="102">
        <f t="array" ref="CT32">IF($BT32=0, INDEX(LS_current!$D$4:$BW$137, MATCH('Staging Table'!$A32, LS_current!$B$4:$B$137, 0), MATCH(CT$4&amp;CT$5, LS_current!$D$2:$BW$2&amp;LS_current!$D$3:$BW$3, 0)),SUM(VLOOKUP($A32, LS_current!$B$4:$BW$137, LS_current!Y$147, FALSE), VLOOKUP($A32, LS_current!$B$4:$BW$137,LS_current!BU$147, FALSE))/2)</f>
        <v>-71.651876550384259</v>
      </c>
      <c r="CU32" s="102">
        <f t="array" ref="CU32">IF($BT32=0, INDEX(LS_current!$D$4:$BW$137, MATCH('Staging Table'!$A32, LS_current!$B$4:$B$137, 0), MATCH(CU$4&amp;CU$5, LS_current!$D$2:$BW$2&amp;LS_current!$D$3:$BW$3, 0)),SUM(VLOOKUP($A32, LS_current!$B$4:$BW$137, LS_current!Z$147, FALSE), VLOOKUP($A32, LS_current!$B$4:$BW$137,LS_current!BV$147, FALSE))/2)</f>
        <v>243.77842458391115</v>
      </c>
      <c r="CV32" s="102">
        <f t="array" ref="CV32">IF($BT32=0, INDEX(LS_current!$D$4:$BW$137, MATCH('Staging Table'!$A32, LS_current!$B$4:$B$137, 0), MATCH(CV$4&amp;CV$5, LS_current!$D$2:$BW$2&amp;LS_current!$D$3:$BW$3, 0)),SUM(VLOOKUP($A32, LS_current!$B$4:$BW$137, LS_current!AA$147, FALSE), VLOOKUP($A32, LS_current!$B$4:$BW$137,LS_current!BW$147, FALSE))/2)</f>
        <v>-66.803059789568579</v>
      </c>
      <c r="CW32" s="103">
        <f t="array" ref="CW32">INDEX(Demand_current!$D$4:$BW$137, MATCH($A32, Demand_current!$B$4:$B$137, 0), MATCH(CW$4&amp;CW$5,Demand_current!$D$2:$BW$2&amp;Demand_current!$D$3:$BW$3, 0))/1000</f>
        <v>0</v>
      </c>
      <c r="CX32" s="103">
        <f t="array" ref="CX32">INDEX(Demand_current!$D$4:$BW$137, MATCH($A32, Demand_current!$B$4:$B$137, 0), MATCH(CX$4&amp;CX$5,Demand_current!$D$2:$BW$2&amp;Demand_current!$D$3:$BW$3, 0))/1000</f>
        <v>0</v>
      </c>
      <c r="CY32" s="103">
        <f t="array" ref="CY32">INDEX(Demand_current!$D$4:$BW$137, MATCH($A32, Demand_current!$B$4:$B$137, 0), MATCH(CY$4&amp;CY$5,Demand_current!$D$2:$BW$2&amp;Demand_current!$D$3:$BW$3, 0))/1000</f>
        <v>3.558269230769231</v>
      </c>
      <c r="CZ32" s="103">
        <f t="array" ref="CZ32">INDEX(Demand_current!$D$4:$BW$137, MATCH($A32, Demand_current!$B$4:$B$137, 0), MATCH(CZ$4&amp;CZ$5,Demand_current!$D$2:$BW$2&amp;Demand_current!$D$3:$BW$3, 0))/1000</f>
        <v>0.44268269230769075</v>
      </c>
      <c r="DA32" s="103">
        <f t="array" ref="DA32">INDEX(Demand_current!$D$4:$BW$137, MATCH($A32, Demand_current!$B$4:$B$137, 0), MATCH(DA$4&amp;DA$5,Demand_current!$D$2:$BW$2&amp;Demand_current!$D$3:$BW$3, 0))/1000</f>
        <v>0.32071354166666577</v>
      </c>
      <c r="DB32" s="103">
        <f t="array" ref="DB32">INDEX(Demand_current!$D$4:$BW$137, MATCH($A32, Demand_current!$B$4:$B$137, 0), MATCH(DB$4&amp;DB$5,Demand_current!$D$2:$BW$2&amp;Demand_current!$D$3:$BW$3, 0))/1000</f>
        <v>2.042461538461537</v>
      </c>
      <c r="DC32" s="103">
        <f t="array" ref="DC32">INDEX(Demand_current!$D$4:$BW$137, MATCH($A32, Demand_current!$B$4:$B$137, 0), MATCH(DC$4&amp;DC$5,Demand_current!$D$2:$BW$2&amp;Demand_current!$D$3:$BW$3, 0))/1000</f>
        <v>0.68173076923076881</v>
      </c>
      <c r="DD32" s="103">
        <f t="array" ref="DD32">INDEX(Demand_current!$D$4:$BW$137, MATCH($A32, Demand_current!$B$4:$B$137, 0), MATCH(DD$4&amp;DD$5,Demand_current!$D$2:$BW$2&amp;Demand_current!$D$3:$BW$3, 0))/1000</f>
        <v>0</v>
      </c>
      <c r="DE32" s="103">
        <f t="array" ref="DE32">INDEX(Demand_current!$D$4:$BW$137, MATCH($A32, Demand_current!$B$4:$B$137, 0), MATCH(DE$4&amp;DE$5,Demand_current!$D$2:$BW$2&amp;Demand_current!$D$3:$BW$3, 0))/1000</f>
        <v>3.0150528846153826</v>
      </c>
      <c r="DF32" s="103">
        <f t="array" ref="DF32">INDEX(Demand_current!$D$4:$BW$137, MATCH($A32, Demand_current!$B$4:$B$137, 0), MATCH(DF$4&amp;DF$5,Demand_current!$D$2:$BW$2&amp;Demand_current!$D$3:$BW$3, 0))/1000</f>
        <v>1.2968413461538448</v>
      </c>
      <c r="DG32" s="103">
        <f t="array" ref="DG32">INDEX(Demand_current!$D$4:$BW$137, MATCH($A32, Demand_current!$B$4:$B$137, 0), MATCH(DG$4&amp;DG$5,Demand_current!$D$2:$BW$2&amp;Demand_current!$D$3:$BW$3, 0))/1000</f>
        <v>1.7392403846153854</v>
      </c>
      <c r="DH32" s="103">
        <f t="array" ref="DH32">INDEX(Demand_current!$D$4:$BW$137, MATCH($A32, Demand_current!$B$4:$B$137, 0), MATCH(DH$4&amp;DH$5,Demand_current!$D$2:$BW$2&amp;Demand_current!$D$3:$BW$3, 0))/1000</f>
        <v>1.0780324999999999</v>
      </c>
      <c r="DI32" s="102">
        <f>$BS32*(VLOOKUP(DI$4, Rates_current!$H$6:$R$41, 10, FALSE)+VLOOKUP(DI$4, Rates_current!$H$6:$R$41, 11, FALSE))</f>
        <v>5454.7230040847162</v>
      </c>
      <c r="DJ32" s="102">
        <f>$BS32*(VLOOKUP(DJ$4, Rates_current!$H$6:$R$41, 10, FALSE)+VLOOKUP(DJ$4, Rates_current!$H$6:$R$41, 11, FALSE))</f>
        <v>6973.6838344424559</v>
      </c>
      <c r="DK32" s="102">
        <f>$BS32*(VLOOKUP(DK$4, Rates_current!$H$6:$R$41, 10, FALSE)+VLOOKUP(DK$4, Rates_current!$H$6:$R$41, 11, FALSE))</f>
        <v>7928.4952620905851</v>
      </c>
      <c r="DL32" s="102">
        <f>$BS32*(VLOOKUP(DL$4, Rates_current!$H$6:$R$41, 10, FALSE)+VLOOKUP(DL$4, Rates_current!$H$6:$R$41, 11, FALSE))</f>
        <v>8365.1813910081091</v>
      </c>
      <c r="DM32" s="102">
        <f>$BS32*(VLOOKUP(DM$4, Rates_current!$H$6:$R$41, 10, FALSE)+VLOOKUP(DM$4, Rates_current!$H$6:$R$41, 11, FALSE))</f>
        <v>6666.2945821551502</v>
      </c>
      <c r="DN32" s="102">
        <f>$BS32*(VLOOKUP(DN$4, Rates_current!$H$6:$R$41, 10, FALSE)+VLOOKUP(DN$4, Rates_current!$H$6:$R$41, 11, FALSE))</f>
        <v>7287.6289401986414</v>
      </c>
      <c r="DO32" s="102">
        <f>$BS32*(VLOOKUP(DO$4, Rates_current!$H$6:$R$41, 10, FALSE)+VLOOKUP(DO$4, Rates_current!$H$6:$R$41, 11, FALSE))</f>
        <v>5647.9857354384876</v>
      </c>
      <c r="DP32" s="102">
        <f>$BS32*(VLOOKUP(DP$4, Rates_current!$H$6:$R$41, 10, FALSE)+VLOOKUP(DP$4, Rates_current!$H$6:$R$41, 11, FALSE))</f>
        <v>7309.4234957798635</v>
      </c>
      <c r="DQ32" s="102">
        <f>$BS32*(VLOOKUP(DQ$4, Rates_current!$H$6:$R$41, 10, FALSE)+VLOOKUP(DQ$4, Rates_current!$H$6:$R$41, 11, FALSE))</f>
        <v>7465.5009651408391</v>
      </c>
      <c r="DR32" s="102">
        <f>$BS32*(VLOOKUP(DR$4, Rates_current!$H$6:$R$41, 10, FALSE)+VLOOKUP(DR$4, Rates_current!$H$6:$R$41, 11, FALSE))</f>
        <v>6644.9415108291505</v>
      </c>
      <c r="DS32" s="102">
        <f>$BS32*(VLOOKUP(DS$4, Rates_current!$H$6:$R$41, 10, FALSE)+VLOOKUP(DS$4, Rates_current!$H$6:$R$41, 11, FALSE))</f>
        <v>6816.4913477289629</v>
      </c>
      <c r="DT32" s="102">
        <f>$BS32*(VLOOKUP(DT$4, Rates_current!$H$6:$R$41, 10, FALSE)+VLOOKUP(DT$4, Rates_current!$H$6:$R$41, 11, FALSE))</f>
        <v>5293.8226352056581</v>
      </c>
      <c r="DU32" s="261">
        <f>IF(D32=0,IF(C32=0,MAX(0,DW32 - (VLOOKUP($A32,TOCA_current!$A$2:$AV$136,MATCH("RHWM "&amp;Init!$D$1,TOCA_current!$A$2:$AV$2,0),FALSE)*$BS$2)), 0),0)</f>
        <v>0</v>
      </c>
      <c r="DV32" s="262">
        <f>MIN(VLOOKUP($A32,TOCA_current!$A$2:$AV$136,MATCH("TRL - NLSL - Existing Resource "&amp;$BS$1,TOCA_current!$A$2:$AV$2,0),FALSE)*$BS$2, VLOOKUP($A32,TOCA_current!$A$2:$AV$136,MATCH("RHWM "&amp;Init!$D$1,TOCA_current!$A$2:$AV$2,0),FALSE)*$BS$2)</f>
        <v>81853.439999999988</v>
      </c>
      <c r="DW32" s="262">
        <f>SUM(BY32:CV32)+(BS32*RT1SC!$C$4*$BS$2)</f>
        <v>81857.490831833391</v>
      </c>
      <c r="DX32" s="262">
        <f>VLOOKUP($A32,TOCA_current!$A$2:$AV$136,MATCH("Above RHWM Not Served with LS "&amp;$BS$1,TOCA_current!$A$2:$AV$2,0),FALSE)*$BS$2</f>
        <v>0</v>
      </c>
      <c r="DY32" s="262">
        <f t="shared" si="28"/>
        <v>4.0508318334032083</v>
      </c>
      <c r="DZ32" s="262">
        <f>(VLOOKUP($A32,TOCA_current!$A$2:$AV$136,MATCH("RHWM "&amp;Init!$D$1,TOCA_current!$A$2:$AV$2,0),FALSE)*$BS$2) - $DV32</f>
        <v>10257.960000000021</v>
      </c>
      <c r="EA32" s="262">
        <f t="shared" si="29"/>
        <v>-4.0508318334032083</v>
      </c>
      <c r="EB32" s="262">
        <f t="shared" si="30"/>
        <v>0</v>
      </c>
      <c r="EC32" s="262">
        <f t="shared" si="31"/>
        <v>0</v>
      </c>
      <c r="ED32" s="262">
        <f t="shared" si="32"/>
        <v>-4.0508318334032083</v>
      </c>
    </row>
    <row r="33" spans="1:134">
      <c r="A33" s="2">
        <v>10082</v>
      </c>
      <c r="B33" s="3" t="s">
        <v>35</v>
      </c>
      <c r="C33">
        <f>VLOOKUP(A33, TOCA_current!$A$3:$D$136, 4, FALSE)</f>
        <v>0</v>
      </c>
      <c r="D33">
        <v>0</v>
      </c>
      <c r="E33" s="84">
        <f>VLOOKUP($A33,TOCA_previous!$A$2:$AJ$136,MATCH(E$4,TOCA_previous!$A$2:$AJ$2,0),FALSE)</f>
        <v>1.43E-5</v>
      </c>
      <c r="F33" s="85">
        <f>VLOOKUP($A33,TOCA_previous!$A$2:$AJ$136,MATCH(F$4,TOCA_previous!$A$2:$AJ$2,0),FALSE)</f>
        <v>1.43E-5</v>
      </c>
      <c r="G33" s="85">
        <f t="shared" si="18"/>
        <v>0</v>
      </c>
      <c r="H33" s="85">
        <f>VLOOKUP($A33,TOCA_previous!$A$2:$AJ$136,MATCH(H$4,TOCA_previous!$A$2:$AJ$2,0),FALSE)</f>
        <v>0</v>
      </c>
      <c r="I33" s="85">
        <f t="shared" si="19"/>
        <v>0</v>
      </c>
      <c r="J33" s="85">
        <f t="shared" si="20"/>
        <v>0</v>
      </c>
      <c r="K33" s="101">
        <f>VLOOKUP(A33, IRD!$A$5:$C$138, 3, FALSE)</f>
        <v>0</v>
      </c>
      <c r="L33" s="102">
        <f t="array" ref="L33">IF($G33=0, INDEX(LS_previous!$D$4:$AY$137, MATCH('Staging Table'!$A33, LS_previous!$B$4:$B$137, 0), MATCH(L$4&amp;L$5, LS_previous!$D$2:$AY$2&amp;LS_previous!$D$3:$AY$3, 0)),SUM(VLOOKUP($A33, LS_previous!$B$4:$AY$137, LS_previous!D$148, FALSE), VLOOKUP('Staging Table'!$A33, LS_previous!$B$4:$AY$137,LS_previous!AB$148, FALSE))/2)</f>
        <v>8.307050285199999</v>
      </c>
      <c r="M33" s="102">
        <f t="array" ref="M33">IF($G33=0, INDEX(LS_previous!$D$4:$AY$137, MATCH('Staging Table'!$A33, LS_previous!$B$4:$B$137, 0), MATCH(M$4&amp;M$5, LS_previous!$D$2:$AY$2&amp;LS_previous!$D$3:$AY$3, 0)),SUM(VLOOKUP($A33, LS_previous!$B$4:$AY$137, LS_previous!E$148, FALSE), VLOOKUP('Staging Table'!$A33, LS_previous!$B$4:$AY$137,LS_previous!AC$148, FALSE))/2)</f>
        <v>7.5150559253500013</v>
      </c>
      <c r="N33" s="102">
        <f t="array" ref="N33">IF($G33=0, INDEX(LS_previous!$D$4:$AY$137, MATCH('Staging Table'!$A33, LS_previous!$B$4:$B$137, 0), MATCH(N$4&amp;N$5, LS_previous!$D$2:$AY$2&amp;LS_previous!$D$3:$AY$3, 0)),SUM(VLOOKUP($A33, LS_previous!$B$4:$AY$137, LS_previous!F$148, FALSE), VLOOKUP('Staging Table'!$A33, LS_previous!$B$4:$AY$137,LS_previous!AD$148, FALSE))/2)</f>
        <v>1.7658312095999946</v>
      </c>
      <c r="O33" s="102">
        <f t="array" ref="O33">IF($G33=0, INDEX(LS_previous!$D$4:$AY$137, MATCH('Staging Table'!$A33, LS_previous!$B$4:$B$137, 0), MATCH(O$4&amp;O$5, LS_previous!$D$2:$AY$2&amp;LS_previous!$D$3:$AY$3, 0)),SUM(VLOOKUP($A33, LS_previous!$B$4:$AY$137, LS_previous!G$148, FALSE), VLOOKUP('Staging Table'!$A33, LS_previous!$B$4:$AY$137,LS_previous!AE$148, FALSE))/2)</f>
        <v>8.3869355766999973</v>
      </c>
      <c r="P33" s="102">
        <f t="array" ref="P33">IF($G33=0, INDEX(LS_previous!$D$4:$AY$137, MATCH('Staging Table'!$A33, LS_previous!$B$4:$B$137, 0), MATCH(P$4&amp;P$5, LS_previous!$D$2:$AY$2&amp;LS_previous!$D$3:$AY$3, 0)),SUM(VLOOKUP($A33, LS_previous!$B$4:$AY$137, LS_previous!H$148, FALSE), VLOOKUP('Staging Table'!$A33, LS_previous!$B$4:$AY$137,LS_previous!AF$148, FALSE))/2)</f>
        <v>25.621053932299994</v>
      </c>
      <c r="Q33" s="102">
        <f t="array" ref="Q33">IF($G33=0, INDEX(LS_previous!$D$4:$AY$137, MATCH('Staging Table'!$A33, LS_previous!$B$4:$B$137, 0), MATCH(Q$4&amp;Q$5, LS_previous!$D$2:$AY$2&amp;LS_previous!$D$3:$AY$3, 0)),SUM(VLOOKUP($A33, LS_previous!$B$4:$AY$137, LS_previous!I$148, FALSE), VLOOKUP('Staging Table'!$A33, LS_previous!$B$4:$AY$137,LS_previous!AG$148, FALSE))/2)</f>
        <v>26.225290147199999</v>
      </c>
      <c r="R33" s="102">
        <f t="array" ref="R33">IF($G33=0, INDEX(LS_previous!$D$4:$AY$137, MATCH('Staging Table'!$A33, LS_previous!$B$4:$B$137, 0), MATCH(R$4&amp;R$5, LS_previous!$D$2:$AY$2&amp;LS_previous!$D$3:$AY$3, 0)),SUM(VLOOKUP($A33, LS_previous!$B$4:$AY$137, LS_previous!J$148, FALSE), VLOOKUP('Staging Table'!$A33, LS_previous!$B$4:$AY$137,LS_previous!AH$148, FALSE))/2)</f>
        <v>22.797608475500006</v>
      </c>
      <c r="S33" s="102">
        <f t="array" ref="S33">IF($G33=0, INDEX(LS_previous!$D$4:$AY$137, MATCH('Staging Table'!$A33, LS_previous!$B$4:$B$137, 0), MATCH(S$4&amp;S$5, LS_previous!$D$2:$AY$2&amp;LS_previous!$D$3:$AY$3, 0)),SUM(VLOOKUP($A33, LS_previous!$B$4:$AY$137, LS_previous!K$148, FALSE), VLOOKUP('Staging Table'!$A33, LS_previous!$B$4:$AY$137,LS_previous!AI$148, FALSE))/2)</f>
        <v>26.457626185299993</v>
      </c>
      <c r="T33" s="102">
        <f t="array" ref="T33">IF($G33=0, INDEX(LS_previous!$D$4:$AY$137, MATCH('Staging Table'!$A33, LS_previous!$B$4:$B$137, 0), MATCH(T$4&amp;T$5, LS_previous!$D$2:$AY$2&amp;LS_previous!$D$3:$AY$3, 0)),SUM(VLOOKUP($A33, LS_previous!$B$4:$AY$137, LS_previous!L$148, FALSE), VLOOKUP('Staging Table'!$A33, LS_previous!$B$4:$AY$137,LS_previous!AJ$148, FALSE))/2)</f>
        <v>12.957058930300001</v>
      </c>
      <c r="U33" s="102">
        <f t="array" ref="U33">IF($G33=0, INDEX(LS_previous!$D$4:$AY$137, MATCH('Staging Table'!$A33, LS_previous!$B$4:$B$137, 0), MATCH(U$4&amp;U$5, LS_previous!$D$2:$AY$2&amp;LS_previous!$D$3:$AY$3, 0)),SUM(VLOOKUP($A33, LS_previous!$B$4:$AY$137, LS_previous!M$148, FALSE), VLOOKUP('Staging Table'!$A33, LS_previous!$B$4:$AY$137,LS_previous!AK$148, FALSE))/2)</f>
        <v>17.0684019863</v>
      </c>
      <c r="V33" s="102">
        <f t="array" ref="V33">IF($G33=0, INDEX(LS_previous!$D$4:$AY$137, MATCH('Staging Table'!$A33, LS_previous!$B$4:$B$137, 0), MATCH(V$4&amp;V$5, LS_previous!$D$2:$AY$2&amp;LS_previous!$D$3:$AY$3, 0)),SUM(VLOOKUP($A33, LS_previous!$B$4:$AY$137, LS_previous!N$148, FALSE), VLOOKUP('Staging Table'!$A33, LS_previous!$B$4:$AY$137,LS_previous!AL$148, FALSE))/2)</f>
        <v>4.9341566841000031</v>
      </c>
      <c r="W33" s="102">
        <f t="array" ref="W33">IF($G33=0, INDEX(LS_previous!$D$4:$AY$137, MATCH('Staging Table'!$A33, LS_previous!$B$4:$B$137, 0), MATCH(W$4&amp;W$5, LS_previous!$D$2:$AY$2&amp;LS_previous!$D$3:$AY$3, 0)),SUM(VLOOKUP($A33, LS_previous!$B$4:$AY$137, LS_previous!O$148, FALSE), VLOOKUP('Staging Table'!$A33, LS_previous!$B$4:$AY$137,LS_previous!AM$148, FALSE))/2)</f>
        <v>8.1301685746000025</v>
      </c>
      <c r="X33" s="102">
        <f t="array" ref="X33">IF($G33=0, INDEX(LS_previous!$D$4:$AY$137, MATCH('Staging Table'!$A33, LS_previous!$B$4:$B$137, 0), MATCH(X$4&amp;X$5, LS_previous!$D$2:$AY$2&amp;LS_previous!$D$3:$AY$3, 0)),SUM(VLOOKUP($A33, LS_previous!$B$4:$AY$137, LS_previous!P$148, FALSE), VLOOKUP('Staging Table'!$A33, LS_previous!$B$4:$AY$137,LS_previous!AN$148, FALSE))/2)</f>
        <v>5.2515687817500023</v>
      </c>
      <c r="Y33" s="102">
        <f t="array" ref="Y33">IF($G33=0, INDEX(LS_previous!$D$4:$AY$137, MATCH('Staging Table'!$A33, LS_previous!$B$4:$B$137, 0), MATCH(Y$4&amp;Y$5, LS_previous!$D$2:$AY$2&amp;LS_previous!$D$3:$AY$3, 0)),SUM(VLOOKUP($A33, LS_previous!$B$4:$AY$137, LS_previous!Q$148, FALSE), VLOOKUP('Staging Table'!$A33, LS_previous!$B$4:$AY$137,LS_previous!AO$148, FALSE))/2)</f>
        <v>7.6099474969749998</v>
      </c>
      <c r="Z33" s="102">
        <f t="array" ref="Z33">IF($G33=0, INDEX(LS_previous!$D$4:$AY$137, MATCH('Staging Table'!$A33, LS_previous!$B$4:$B$137, 0), MATCH(Z$4&amp;Z$5, LS_previous!$D$2:$AY$2&amp;LS_previous!$D$3:$AY$3, 0)),SUM(VLOOKUP($A33, LS_previous!$B$4:$AY$137, LS_previous!R$148, FALSE), VLOOKUP('Staging Table'!$A33, LS_previous!$B$4:$AY$137,LS_previous!AP$148, FALSE))/2)</f>
        <v>-14.207980926400005</v>
      </c>
      <c r="AA33" s="102">
        <f t="array" ref="AA33">IF($G33=0, INDEX(LS_previous!$D$4:$AY$137, MATCH('Staging Table'!$A33, LS_previous!$B$4:$B$137, 0), MATCH(AA$4&amp;AA$5, LS_previous!$D$2:$AY$2&amp;LS_previous!$D$3:$AY$3, 0)),SUM(VLOOKUP($A33, LS_previous!$B$4:$AY$137, LS_previous!S$148, FALSE), VLOOKUP('Staging Table'!$A33, LS_previous!$B$4:$AY$137,LS_previous!AQ$148, FALSE))/2)</f>
        <v>-4.8860889665500018</v>
      </c>
      <c r="AB33" s="102">
        <f t="array" ref="AB33">IF($G33=0, INDEX(LS_previous!$D$4:$AY$137, MATCH('Staging Table'!$A33, LS_previous!$B$4:$B$137, 0), MATCH(AB$4&amp;AB$5, LS_previous!$D$2:$AY$2&amp;LS_previous!$D$3:$AY$3, 0)),SUM(VLOOKUP($A33, LS_previous!$B$4:$AY$137, LS_previous!T$148, FALSE), VLOOKUP('Staging Table'!$A33, LS_previous!$B$4:$AY$137,LS_previous!AR$148, FALSE))/2)</f>
        <v>-16.072113341800005</v>
      </c>
      <c r="AC33" s="102">
        <f t="array" ref="AC33">IF($G33=0, INDEX(LS_previous!$D$4:$AY$137, MATCH('Staging Table'!$A33, LS_previous!$B$4:$B$137, 0), MATCH(AC$4&amp;AC$5, LS_previous!$D$2:$AY$2&amp;LS_previous!$D$3:$AY$3, 0)),SUM(VLOOKUP($A33, LS_previous!$B$4:$AY$137, LS_previous!U$148, FALSE), VLOOKUP('Staging Table'!$A33, LS_previous!$B$4:$AY$137,LS_previous!AS$148, FALSE))/2)</f>
        <v>-6.6516332793500013</v>
      </c>
      <c r="AD33" s="102">
        <f t="array" ref="AD33">IF($G33=0, INDEX(LS_previous!$D$4:$AY$137, MATCH('Staging Table'!$A33, LS_previous!$B$4:$B$137, 0), MATCH(AD$4&amp;AD$5, LS_previous!$D$2:$AY$2&amp;LS_previous!$D$3:$AY$3, 0)),SUM(VLOOKUP($A33, LS_previous!$B$4:$AY$137, LS_previous!V$148, FALSE), VLOOKUP('Staging Table'!$A33, LS_previous!$B$4:$AY$137,LS_previous!AT$148, FALSE))/2)</f>
        <v>-6.3865542252000012</v>
      </c>
      <c r="AE33" s="102">
        <f t="array" ref="AE33">IF($G33=0, INDEX(LS_previous!$D$4:$AY$137, MATCH('Staging Table'!$A33, LS_previous!$B$4:$B$137, 0), MATCH(AE$4&amp;AE$5, LS_previous!$D$2:$AY$2&amp;LS_previous!$D$3:$AY$3, 0)),SUM(VLOOKUP($A33, LS_previous!$B$4:$AY$137, LS_previous!W$148, FALSE), VLOOKUP('Staging Table'!$A33, LS_previous!$B$4:$AY$137,LS_previous!AU$148, FALSE))/2)</f>
        <v>1.0744664267499999</v>
      </c>
      <c r="AF33" s="102">
        <f t="array" ref="AF33">IF($G33=0, INDEX(LS_previous!$D$4:$AY$137, MATCH('Staging Table'!$A33, LS_previous!$B$4:$B$137, 0), MATCH(AF$4&amp;AF$5, LS_previous!$D$2:$AY$2&amp;LS_previous!$D$3:$AY$3, 0)),SUM(VLOOKUP($A33, LS_previous!$B$4:$AY$137, LS_previous!X$148, FALSE), VLOOKUP('Staging Table'!$A33, LS_previous!$B$4:$AY$137,LS_previous!AV$148, FALSE))/2)</f>
        <v>-5.109549452450004</v>
      </c>
      <c r="AG33" s="102">
        <f t="array" ref="AG33">IF($G33=0, INDEX(LS_previous!$D$4:$AY$137, MATCH('Staging Table'!$A33, LS_previous!$B$4:$B$137, 0), MATCH(AG$4&amp;AG$5, LS_previous!$D$2:$AY$2&amp;LS_previous!$D$3:$AY$3, 0)),SUM(VLOOKUP($A33, LS_previous!$B$4:$AY$137, LS_previous!Y$148, FALSE), VLOOKUP('Staging Table'!$A33, LS_previous!$B$4:$AY$137,LS_previous!AW$148, FALSE))/2)</f>
        <v>0.36974545814500104</v>
      </c>
      <c r="AH33" s="102">
        <f t="array" ref="AH33">IF($G33=0, INDEX(LS_previous!$D$4:$AY$137, MATCH('Staging Table'!$A33, LS_previous!$B$4:$B$137, 0), MATCH(AH$4&amp;AH$5, LS_previous!$D$2:$AY$2&amp;LS_previous!$D$3:$AY$3, 0)),SUM(VLOOKUP($A33, LS_previous!$B$4:$AY$137, LS_previous!Z$148, FALSE), VLOOKUP('Staging Table'!$A33, LS_previous!$B$4:$AY$137,LS_previous!AX$148, FALSE))/2)</f>
        <v>-5.6286173181999999</v>
      </c>
      <c r="AI33" s="102">
        <f t="array" ref="AI33">IF($G33=0, INDEX(LS_previous!$D$4:$AY$137, MATCH('Staging Table'!$A33, LS_previous!$B$4:$B$137, 0), MATCH(AI$4&amp;AI$5, LS_previous!$D$2:$AY$2&amp;LS_previous!$D$3:$AY$3, 0)),SUM(VLOOKUP($A33, LS_previous!$B$4:$AY$137, LS_previous!AA$148, FALSE), VLOOKUP('Staging Table'!$A33, LS_previous!$B$4:$AY$137,LS_previous!AY$148, FALSE))/2)</f>
        <v>-0.90517818720000065</v>
      </c>
      <c r="AJ33" s="103">
        <f t="array" ref="AJ33">INDEX(Demand_previous!$D$4:$AY$137, MATCH('Staging Table'!$A33, Demand_previous!$B$4:$B$137, 0), MATCH(AJ$4&amp;AJ$5,Demand_previous!$D$2:$AY$2&amp;Demand_previous!$D$3:$AY$3, 0))/1000</f>
        <v>2.9290865384615367E-2</v>
      </c>
      <c r="AK33" s="103">
        <f t="array" ref="AK33">INDEX(Demand_previous!$D$4:$AY$137, MATCH('Staging Table'!$A33, Demand_previous!$B$4:$B$137, 0), MATCH(AK$4&amp;AK$5,Demand_previous!$D$2:$AY$2&amp;Demand_previous!$D$3:$AY$3, 0))/1000</f>
        <v>2.6880000000000001E-2</v>
      </c>
      <c r="AL33" s="103">
        <f t="array" ref="AL33">INDEX(Demand_previous!$D$4:$AY$137, MATCH('Staging Table'!$A33, Demand_previous!$B$4:$B$137, 0), MATCH(AL$4&amp;AL$5,Demand_previous!$D$2:$AY$2&amp;Demand_previous!$D$3:$AY$3, 0))/1000</f>
        <v>1.4090000000000012E-2</v>
      </c>
      <c r="AM33" s="103">
        <f t="array" ref="AM33">INDEX(Demand_previous!$D$4:$AY$137, MATCH('Staging Table'!$A33, Demand_previous!$B$4:$B$137, 0), MATCH(AM$4&amp;AM$5,Demand_previous!$D$2:$AY$2&amp;Demand_previous!$D$3:$AY$3, 0))/1000</f>
        <v>3.7783653846153856E-2</v>
      </c>
      <c r="AN33" s="103">
        <f t="array" ref="AN33">INDEX(Demand_previous!$D$4:$AY$137, MATCH('Staging Table'!$A33, Demand_previous!$B$4:$B$137, 0), MATCH(AN$4&amp;AN$5,Demand_previous!$D$2:$AY$2&amp;Demand_previous!$D$3:$AY$3, 0))/1000</f>
        <v>2.9632500000000006E-2</v>
      </c>
      <c r="AO33" s="103">
        <f t="array" ref="AO33">INDEX(Demand_previous!$D$4:$AY$137, MATCH('Staging Table'!$A33, Demand_previous!$B$4:$B$137, 0), MATCH(AO$4&amp;AO$5,Demand_previous!$D$2:$AY$2&amp;Demand_previous!$D$3:$AY$3, 0))/1000</f>
        <v>1.7548076923076916E-2</v>
      </c>
      <c r="AP33" s="103">
        <f t="array" ref="AP33">INDEX(Demand_previous!$D$4:$AY$137, MATCH('Staging Table'!$A33, Demand_previous!$B$4:$B$137, 0), MATCH(AP$4&amp;AP$5,Demand_previous!$D$2:$AY$2&amp;Demand_previous!$D$3:$AY$3, 0))/1000</f>
        <v>1.7793269230769237E-2</v>
      </c>
      <c r="AQ33" s="103">
        <f t="array" ref="AQ33">INDEX(Demand_previous!$D$4:$AY$137, MATCH('Staging Table'!$A33, Demand_previous!$B$4:$B$137, 0), MATCH(AQ$4&amp;AQ$5,Demand_previous!$D$2:$AY$2&amp;Demand_previous!$D$3:$AY$3, 0))/1000</f>
        <v>1.6247596153846175E-2</v>
      </c>
      <c r="AR33" s="103">
        <f t="array" ref="AR33">INDEX(Demand_previous!$D$4:$AY$137, MATCH('Staging Table'!$A33, Demand_previous!$B$4:$B$137, 0), MATCH(AR$4&amp;AR$5,Demand_previous!$D$2:$AY$2&amp;Demand_previous!$D$3:$AY$3, 0))/1000</f>
        <v>1.8909999999999989E-2</v>
      </c>
      <c r="AS33" s="103">
        <f t="array" ref="AS33">INDEX(Demand_previous!$D$4:$AY$137, MATCH('Staging Table'!$A33, Demand_previous!$B$4:$B$137, 0), MATCH(AS$4&amp;AS$5,Demand_previous!$D$2:$AY$2&amp;Demand_previous!$D$3:$AY$3, 0))/1000</f>
        <v>2.7923076923076908E-2</v>
      </c>
      <c r="AT33" s="103">
        <f t="array" ref="AT33">INDEX(Demand_previous!$D$4:$AY$137, MATCH('Staging Table'!$A33, Demand_previous!$B$4:$B$137, 0), MATCH(AT$4&amp;AT$5,Demand_previous!$D$2:$AY$2&amp;Demand_previous!$D$3:$AY$3, 0))/1000</f>
        <v>2.891666666666666E-2</v>
      </c>
      <c r="AU33" s="103">
        <f t="array" ref="AU33">INDEX(Demand_previous!$D$4:$AY$137, MATCH('Staging Table'!$A33, Demand_previous!$B$4:$B$137, 0), MATCH(AU$4&amp;AU$5,Demand_previous!$D$2:$AY$2&amp;Demand_previous!$D$3:$AY$3, 0))/1000</f>
        <v>2.6278645833333336E-2</v>
      </c>
      <c r="AV33" s="102">
        <f>$F33*(VLOOKUP(AV$4, Rates_previous!$G$6:$Q$29, 10, FALSE)+VLOOKUP(AV$4, Rates_previous!$G$6:$Q$29, 11, FALSE))</f>
        <v>60.328893789449999</v>
      </c>
      <c r="AW33" s="102">
        <f>$F33*(VLOOKUP(AW$4, Rates_previous!$G$6:$Q$29, 10, FALSE)+VLOOKUP(AW$4, Rates_previous!$G$6:$Q$29, 11, FALSE))</f>
        <v>76.939233213700007</v>
      </c>
      <c r="AX33" s="102">
        <f>$F33*(VLOOKUP(AX$4, Rates_previous!$G$6:$Q$29, 10, FALSE)+VLOOKUP(AX$4, Rates_previous!$G$6:$Q$29, 11, FALSE))</f>
        <v>83.032655920500005</v>
      </c>
      <c r="AY33" s="102">
        <f>$F33*(VLOOKUP(AY$4, Rates_previous!$G$6:$Q$29, 10, FALSE)+VLOOKUP(AY$4, Rates_previous!$G$6:$Q$29, 11, FALSE))</f>
        <v>86.283765339200002</v>
      </c>
      <c r="AZ33" s="102">
        <f>$F33*(VLOOKUP(AZ$4, Rates_previous!$G$6:$Q$29, 10, FALSE)+VLOOKUP(AZ$4, Rates_previous!$G$6:$Q$29, 11, FALSE))</f>
        <v>74.215539083399989</v>
      </c>
      <c r="BA33" s="102">
        <f>$F33*(VLOOKUP(BA$4, Rates_previous!$G$6:$Q$29, 10, FALSE)+VLOOKUP(BA$4, Rates_previous!$G$6:$Q$29, 11, FALSE))</f>
        <v>81.028674741299994</v>
      </c>
      <c r="BB33" s="102">
        <f>$F33*(VLOOKUP(BB$4, Rates_previous!$G$6:$Q$29, 10, FALSE)+VLOOKUP(BB$4, Rates_previous!$G$6:$Q$29, 11, FALSE))</f>
        <v>63.958483721274995</v>
      </c>
      <c r="BC33" s="102">
        <f>$F33*(VLOOKUP(BC$4, Rates_previous!$G$6:$Q$29, 10, FALSE)+VLOOKUP(BC$4, Rates_previous!$G$6:$Q$29, 11, FALSE))</f>
        <v>79.349069892949998</v>
      </c>
      <c r="BD33" s="102">
        <f>$F33*(VLOOKUP(BD$4, Rates_previous!$G$6:$Q$29, 10, FALSE)+VLOOKUP(BD$4, Rates_previous!$G$6:$Q$29, 11, FALSE))</f>
        <v>81.070746621149993</v>
      </c>
      <c r="BE33" s="102">
        <f>$F33*(VLOOKUP(BE$4, Rates_previous!$G$6:$Q$29, 10, FALSE)+VLOOKUP(BE$4, Rates_previous!$G$6:$Q$29, 11, FALSE))</f>
        <v>70.381087798449997</v>
      </c>
      <c r="BF33" s="102">
        <f>$F33*(VLOOKUP(BF$4, Rates_previous!$G$6:$Q$29, 10, FALSE)+VLOOKUP(BF$4, Rates_previous!$G$6:$Q$29, 11, FALSE))</f>
        <v>68.039803994305004</v>
      </c>
      <c r="BG33" s="102">
        <f>$F33*(VLOOKUP(BG$4, Rates_previous!$G$6:$Q$29, 10, FALSE)+VLOOKUP(BG$4, Rates_previous!$G$6:$Q$29, 11, FALSE))</f>
        <v>62.609795505400008</v>
      </c>
      <c r="BH33" s="103">
        <f>IF($D33=0,IF(C33=0, MAX(BJ33 - (VLOOKUP($A33,TOCA_previous!$A$2:$AJ$136,MATCH("RHWM "&amp;Init!$D$1-2,TOCA_previous!$A$2:$AJ$2,0),FALSE)*$F$2*TOCA_previous!C30),0),0), 0)</f>
        <v>0</v>
      </c>
      <c r="BI33" s="109">
        <f>MIN(VLOOKUP($A33,TOCA_previous!$A$2:$AJ$136,MATCH("TRL - NLSL - Existing Resource "&amp;$F$1,TOCA_previous!$A$2:$AJ$2,0),FALSE)*$F$2,(VLOOKUP($A33,TOCA_previous!$A$2:$AJ$136,MATCH("RHWM "&amp;Init!$D$1-2,TOCA_previous!$A$2:$AJ$2,0),FALSE)*$F$2))</f>
        <v>869.61599999999999</v>
      </c>
      <c r="BJ33" s="261">
        <f>SUM(L33:AI33)+(F33*RT1SC!$C$3*$F$2)</f>
        <v>1011.8620040669199</v>
      </c>
      <c r="BK33" s="260">
        <f>VLOOKUP($A33,TOCA_previous!$A$2:$AJ$136,MATCH("Above RHWM Not Served with LS "&amp;$F$1,TOCA_previous!$A$2:$AJ$2,0),FALSE)*$F$2</f>
        <v>0</v>
      </c>
      <c r="BL33" s="261">
        <f t="shared" si="21"/>
        <v>142.24600406691991</v>
      </c>
      <c r="BM33" s="260">
        <f>(VLOOKUP($A33,TOCA_previous!$A$2:$AJ$136,MATCH("RHWM "&amp;Init!$D$1-2,TOCA_previous!$A$2:$AJ$2,0),FALSE)*$F$2) - $BI33</f>
        <v>166.89599999999996</v>
      </c>
      <c r="BN33" s="261">
        <f t="shared" si="22"/>
        <v>-142.24600406691991</v>
      </c>
      <c r="BO33" s="260">
        <f t="shared" si="23"/>
        <v>0</v>
      </c>
      <c r="BP33" s="261">
        <f t="shared" si="24"/>
        <v>0</v>
      </c>
      <c r="BQ33" s="260">
        <f t="shared" si="9"/>
        <v>-142.24600406691991</v>
      </c>
      <c r="BR33" s="85">
        <f>VLOOKUP($A33,TOCA_current!$A$2:$ZZ$136,MATCH(BR$4,TOCA_current!$A$2:$ZZ$2,0),FALSE)</f>
        <v>1.63E-5</v>
      </c>
      <c r="BS33" s="85">
        <f>VLOOKUP($A33,TOCA_current!$A$2:$ZZ$136,MATCH(BS$4,TOCA_current!$A$2:$ZZ$2,0),FALSE)</f>
        <v>1.63E-5</v>
      </c>
      <c r="BT33" s="108">
        <f t="shared" si="25"/>
        <v>0</v>
      </c>
      <c r="BU33" s="85">
        <f>VLOOKUP($A33,TOCA_current!A30:BG164,MATCH(BU$4,TOCA_current!$A$2:$BG$2,0),FALSE)</f>
        <v>0</v>
      </c>
      <c r="BV33" s="85">
        <f t="shared" si="26"/>
        <v>0</v>
      </c>
      <c r="BW33" s="85">
        <f t="shared" si="27"/>
        <v>0</v>
      </c>
      <c r="BX33" s="101">
        <f>VLOOKUP($A33,IRD!$A$4:$G$138, 7, FALSE)</f>
        <v>0</v>
      </c>
      <c r="BY33" s="102">
        <f t="array" ref="BY33">IF($BT33=0, INDEX(LS_current!$D$4:$BW$137, MATCH('Staging Table'!$A33, LS_current!$B$4:$B$137, 0), MATCH(BY$4&amp;BY$5, LS_current!$D$2:$BW$2&amp;LS_current!$D$3:$BW$3, 0)),SUM(VLOOKUP($A33, LS_current!$B$4:$BW$137, LS_current!D$147, FALSE), VLOOKUP($A33, LS_current!$B$4:$BW$137,LS_current!AZ$147, FALSE))/2)</f>
        <v>2.654503455401624</v>
      </c>
      <c r="BZ33" s="102">
        <f t="array" ref="BZ33">IF($BT33=0, INDEX(LS_current!$D$4:$BW$137, MATCH('Staging Table'!$A33, LS_current!$B$4:$B$137, 0), MATCH(BZ$4&amp;BZ$5, LS_current!$D$2:$BW$2&amp;LS_current!$D$3:$BW$3, 0)),SUM(VLOOKUP($A33, LS_current!$B$4:$BW$137, LS_current!E$147, FALSE), VLOOKUP($A33, LS_current!$B$4:$BW$137,LS_current!BA$147, FALSE))/2)</f>
        <v>5.8468085231566569</v>
      </c>
      <c r="CA33" s="102">
        <f t="array" ref="CA33">IF($BT33=0, INDEX(LS_current!$D$4:$BW$137, MATCH('Staging Table'!$A33, LS_current!$B$4:$B$137, 0), MATCH(CA$4&amp;CA$5, LS_current!$D$2:$BW$2&amp;LS_current!$D$3:$BW$3, 0)),SUM(VLOOKUP($A33, LS_current!$B$4:$BW$137, LS_current!F$147, FALSE), VLOOKUP($A33, LS_current!$B$4:$BW$137,LS_current!BB$147, FALSE))/2)</f>
        <v>-3.8032670412843075</v>
      </c>
      <c r="CB33" s="102">
        <f t="array" ref="CB33">IF($BT33=0, INDEX(LS_current!$D$4:$BW$137, MATCH('Staging Table'!$A33, LS_current!$B$4:$B$137, 0), MATCH(CB$4&amp;CB$5, LS_current!$D$2:$BW$2&amp;LS_current!$D$3:$BW$3, 0)),SUM(VLOOKUP($A33, LS_current!$B$4:$BW$137, LS_current!G$147, FALSE), VLOOKUP($A33, LS_current!$B$4:$BW$137,LS_current!BC$147, FALSE))/2)</f>
        <v>4.4073673978147667</v>
      </c>
      <c r="CC33" s="102">
        <f t="array" ref="CC33">IF($BT33=0, INDEX(LS_current!$D$4:$BW$137, MATCH('Staging Table'!$A33, LS_current!$B$4:$B$137, 0), MATCH(CC$4&amp;CC$5, LS_current!$D$2:$BW$2&amp;LS_current!$D$3:$BW$3, 0)),SUM(VLOOKUP($A33, LS_current!$B$4:$BW$137, LS_current!H$147, FALSE), VLOOKUP($A33, LS_current!$B$4:$BW$137,LS_current!BD$147, FALSE))/2)</f>
        <v>12.93355401380358</v>
      </c>
      <c r="CD33" s="102">
        <f t="array" ref="CD33">IF($BT33=0, INDEX(LS_current!$D$4:$BW$137, MATCH('Staging Table'!$A33, LS_current!$B$4:$B$137, 0), MATCH(CD$4&amp;CD$5, LS_current!$D$2:$BW$2&amp;LS_current!$D$3:$BW$3, 0)),SUM(VLOOKUP($A33, LS_current!$B$4:$BW$137, LS_current!I$147, FALSE), VLOOKUP($A33, LS_current!$B$4:$BW$137,LS_current!BE$147, FALSE))/2)</f>
        <v>23.615937676011114</v>
      </c>
      <c r="CE33" s="102">
        <f t="array" ref="CE33">IF($BT33=0, INDEX(LS_current!$D$4:$BW$137, MATCH('Staging Table'!$A33, LS_current!$B$4:$B$137, 0), MATCH(CE$4&amp;CE$5, LS_current!$D$2:$BW$2&amp;LS_current!$D$3:$BW$3, 0)),SUM(VLOOKUP($A33, LS_current!$B$4:$BW$137, LS_current!J$147, FALSE), VLOOKUP($A33, LS_current!$B$4:$BW$137,LS_current!BF$147, FALSE))/2)</f>
        <v>10.826486591060188</v>
      </c>
      <c r="CF33" s="102">
        <f t="array" ref="CF33">IF($BT33=0, INDEX(LS_current!$D$4:$BW$137, MATCH('Staging Table'!$A33, LS_current!$B$4:$B$137, 0), MATCH(CF$4&amp;CF$5, LS_current!$D$2:$BW$2&amp;LS_current!$D$3:$BW$3, 0)),SUM(VLOOKUP($A33, LS_current!$B$4:$BW$137, LS_current!K$147, FALSE), VLOOKUP($A33, LS_current!$B$4:$BW$137,LS_current!BG$147, FALSE))/2)</f>
        <v>20.967206649880112</v>
      </c>
      <c r="CG33" s="102">
        <f t="array" ref="CG33">IF($BT33=0, INDEX(LS_current!$D$4:$BW$137, MATCH('Staging Table'!$A33, LS_current!$B$4:$B$137, 0), MATCH(CG$4&amp;CG$5, LS_current!$D$2:$BW$2&amp;LS_current!$D$3:$BW$3, 0)),SUM(VLOOKUP($A33, LS_current!$B$4:$BW$137, LS_current!L$147, FALSE), VLOOKUP($A33, LS_current!$B$4:$BW$137,LS_current!BH$147, FALSE))/2)</f>
        <v>7.5364539767788372</v>
      </c>
      <c r="CH33" s="102">
        <f t="array" ref="CH33">IF($BT33=0, INDEX(LS_current!$D$4:$BW$137, MATCH('Staging Table'!$A33, LS_current!$B$4:$B$137, 0), MATCH(CH$4&amp;CH$5, LS_current!$D$2:$BW$2&amp;LS_current!$D$3:$BW$3, 0)),SUM(VLOOKUP($A33, LS_current!$B$4:$BW$137, LS_current!M$147, FALSE), VLOOKUP($A33, LS_current!$B$4:$BW$137,LS_current!BI$147, FALSE))/2)</f>
        <v>14.028899908080827</v>
      </c>
      <c r="CI33" s="102">
        <f t="array" ref="CI33">IF($BT33=0, INDEX(LS_current!$D$4:$BW$137, MATCH('Staging Table'!$A33, LS_current!$B$4:$B$137, 0), MATCH(CI$4&amp;CI$5, LS_current!$D$2:$BW$2&amp;LS_current!$D$3:$BW$3, 0)),SUM(VLOOKUP($A33, LS_current!$B$4:$BW$137, LS_current!N$147, FALSE), VLOOKUP($A33, LS_current!$B$4:$BW$137,LS_current!BJ$147, FALSE))/2)</f>
        <v>-4.5132277845579551</v>
      </c>
      <c r="CJ33" s="102">
        <f t="array" ref="CJ33">IF($BT33=0, INDEX(LS_current!$D$4:$BW$137, MATCH('Staging Table'!$A33, LS_current!$B$4:$B$137, 0), MATCH(CJ$4&amp;CJ$5, LS_current!$D$2:$BW$2&amp;LS_current!$D$3:$BW$3, 0)),SUM(VLOOKUP($A33, LS_current!$B$4:$BW$137, LS_current!O$147, FALSE), VLOOKUP($A33, LS_current!$B$4:$BW$137,LS_current!BK$147, FALSE))/2)</f>
        <v>8.2247686616500495</v>
      </c>
      <c r="CK33" s="102">
        <f t="array" ref="CK33">IF($BT33=0, INDEX(LS_current!$D$4:$BW$137, MATCH('Staging Table'!$A33, LS_current!$B$4:$B$137, 0), MATCH(CK$4&amp;CK$5, LS_current!$D$2:$BW$2&amp;LS_current!$D$3:$BW$3, 0)),SUM(VLOOKUP($A33, LS_current!$B$4:$BW$137, LS_current!P$147, FALSE), VLOOKUP($A33, LS_current!$B$4:$BW$137,LS_current!BL$147, FALSE))/2)</f>
        <v>1.0536010121676398</v>
      </c>
      <c r="CL33" s="102">
        <f t="array" ref="CL33">IF($BT33=0, INDEX(LS_current!$D$4:$BW$137, MATCH('Staging Table'!$A33, LS_current!$B$4:$B$137, 0), MATCH(CL$4&amp;CL$5, LS_current!$D$2:$BW$2&amp;LS_current!$D$3:$BW$3, 0)),SUM(VLOOKUP($A33, LS_current!$B$4:$BW$137, LS_current!Q$147, FALSE), VLOOKUP($A33, LS_current!$B$4:$BW$137,LS_current!BM$147, FALSE))/2)</f>
        <v>5.7198590139699697</v>
      </c>
      <c r="CM33" s="102">
        <f t="array" ref="CM33">IF($BT33=0, INDEX(LS_current!$D$4:$BW$137, MATCH('Staging Table'!$A33, LS_current!$B$4:$B$137, 0), MATCH(CM$4&amp;CM$5, LS_current!$D$2:$BW$2&amp;LS_current!$D$3:$BW$3, 0)),SUM(VLOOKUP($A33, LS_current!$B$4:$BW$137, LS_current!R$147, FALSE), VLOOKUP($A33, LS_current!$B$4:$BW$137,LS_current!BN$147, FALSE))/2)</f>
        <v>-20.883229422878166</v>
      </c>
      <c r="CN33" s="102">
        <f t="array" ref="CN33">IF($BT33=0, INDEX(LS_current!$D$4:$BW$137, MATCH('Staging Table'!$A33, LS_current!$B$4:$B$137, 0), MATCH(CN$4&amp;CN$5, LS_current!$D$2:$BW$2&amp;LS_current!$D$3:$BW$3, 0)),SUM(VLOOKUP($A33, LS_current!$B$4:$BW$137, LS_current!S$147, FALSE), VLOOKUP($A33, LS_current!$B$4:$BW$137,LS_current!BO$147, FALSE))/2)</f>
        <v>-9.5135266306954342</v>
      </c>
      <c r="CO33" s="102">
        <f t="array" ref="CO33">IF($BT33=0, INDEX(LS_current!$D$4:$BW$137, MATCH('Staging Table'!$A33, LS_current!$B$4:$B$137, 0), MATCH(CO$4&amp;CO$5, LS_current!$D$2:$BW$2&amp;LS_current!$D$3:$BW$3, 0)),SUM(VLOOKUP($A33, LS_current!$B$4:$BW$137, LS_current!T$147, FALSE), VLOOKUP($A33, LS_current!$B$4:$BW$137,LS_current!BP$147, FALSE))/2)</f>
        <v>-25.507267580469545</v>
      </c>
      <c r="CP33" s="102">
        <f t="array" ref="CP33">IF($BT33=0, INDEX(LS_current!$D$4:$BW$137, MATCH('Staging Table'!$A33, LS_current!$B$4:$B$137, 0), MATCH(CP$4&amp;CP$5, LS_current!$D$2:$BW$2&amp;LS_current!$D$3:$BW$3, 0)),SUM(VLOOKUP($A33, LS_current!$B$4:$BW$137, LS_current!U$147, FALSE), VLOOKUP($A33, LS_current!$B$4:$BW$137,LS_current!BQ$147, FALSE))/2)</f>
        <v>-8.7331673520387589</v>
      </c>
      <c r="CQ33" s="102">
        <f t="array" ref="CQ33">IF($BT33=0, INDEX(LS_current!$D$4:$BW$137, MATCH('Staging Table'!$A33, LS_current!$B$4:$B$137, 0), MATCH(CQ$4&amp;CQ$5, LS_current!$D$2:$BW$2&amp;LS_current!$D$3:$BW$3, 0)),SUM(VLOOKUP($A33, LS_current!$B$4:$BW$137, LS_current!V$147, FALSE), VLOOKUP($A33, LS_current!$B$4:$BW$137,LS_current!BR$147, FALSE))/2)</f>
        <v>-14.747884511541308</v>
      </c>
      <c r="CR33" s="102">
        <f t="array" ref="CR33">IF($BT33=0, INDEX(LS_current!$D$4:$BW$137, MATCH('Staging Table'!$A33, LS_current!$B$4:$B$137, 0), MATCH(CR$4&amp;CR$5, LS_current!$D$2:$BW$2&amp;LS_current!$D$3:$BW$3, 0)),SUM(VLOOKUP($A33, LS_current!$B$4:$BW$137, LS_current!W$147, FALSE), VLOOKUP($A33, LS_current!$B$4:$BW$137,LS_current!BS$147, FALSE))/2)</f>
        <v>-2.593939977932294</v>
      </c>
      <c r="CS33" s="102">
        <f t="array" ref="CS33">IF($BT33=0, INDEX(LS_current!$D$4:$BW$137, MATCH('Staging Table'!$A33, LS_current!$B$4:$B$137, 0), MATCH(CS$4&amp;CS$5, LS_current!$D$2:$BW$2&amp;LS_current!$D$3:$BW$3, 0)),SUM(VLOOKUP($A33, LS_current!$B$4:$BW$137, LS_current!X$147, FALSE), VLOOKUP($A33, LS_current!$B$4:$BW$137,LS_current!BT$147, FALSE))/2)</f>
        <v>-18.141707053344611</v>
      </c>
      <c r="CT33" s="102">
        <f t="array" ref="CT33">IF($BT33=0, INDEX(LS_current!$D$4:$BW$137, MATCH('Staging Table'!$A33, LS_current!$B$4:$B$137, 0), MATCH(CT$4&amp;CT$5, LS_current!$D$2:$BW$2&amp;LS_current!$D$3:$BW$3, 0)),SUM(VLOOKUP($A33, LS_current!$B$4:$BW$137, LS_current!Y$147, FALSE), VLOOKUP($A33, LS_current!$B$4:$BW$137,LS_current!BU$147, FALSE))/2)</f>
        <v>-3.0966852223778893</v>
      </c>
      <c r="CU33" s="102">
        <f t="array" ref="CU33">IF($BT33=0, INDEX(LS_current!$D$4:$BW$137, MATCH('Staging Table'!$A33, LS_current!$B$4:$B$137, 0), MATCH(CU$4&amp;CU$5, LS_current!$D$2:$BW$2&amp;LS_current!$D$3:$BW$3, 0)),SUM(VLOOKUP($A33, LS_current!$B$4:$BW$137, LS_current!Z$147, FALSE), VLOOKUP($A33, LS_current!$B$4:$BW$137,LS_current!BV$147, FALSE))/2)</f>
        <v>-9.0998252143972067</v>
      </c>
      <c r="CV33" s="102">
        <f t="array" ref="CV33">IF($BT33=0, INDEX(LS_current!$D$4:$BW$137, MATCH('Staging Table'!$A33, LS_current!$B$4:$B$137, 0), MATCH(CV$4&amp;CV$5, LS_current!$D$2:$BW$2&amp;LS_current!$D$3:$BW$3, 0)),SUM(VLOOKUP($A33, LS_current!$B$4:$BW$137, LS_current!AA$147, FALSE), VLOOKUP($A33, LS_current!$B$4:$BW$137,LS_current!BW$147, FALSE))/2)</f>
        <v>-0.47837013967128428</v>
      </c>
      <c r="CW33" s="103">
        <f t="array" ref="CW33">INDEX(Demand_current!$D$4:$BW$137, MATCH($A33, Demand_current!$B$4:$B$137, 0), MATCH(CW$4&amp;CW$5,Demand_current!$D$2:$BW$2&amp;Demand_current!$D$3:$BW$3, 0))/1000</f>
        <v>3.3280092592592569E-2</v>
      </c>
      <c r="CX33" s="103">
        <f t="array" ref="CX33">INDEX(Demand_current!$D$4:$BW$137, MATCH($A33, Demand_current!$B$4:$B$137, 0), MATCH(CX$4&amp;CX$5,Demand_current!$D$2:$BW$2&amp;Demand_current!$D$3:$BW$3, 0))/1000</f>
        <v>2.183333333333333E-2</v>
      </c>
      <c r="CY33" s="103">
        <f t="array" ref="CY33">INDEX(Demand_current!$D$4:$BW$137, MATCH($A33, Demand_current!$B$4:$B$137, 0), MATCH(CY$4&amp;CY$5,Demand_current!$D$2:$BW$2&amp;Demand_current!$D$3:$BW$3, 0))/1000</f>
        <v>2.139423076923077E-2</v>
      </c>
      <c r="CZ33" s="103">
        <f t="array" ref="CZ33">INDEX(Demand_current!$D$4:$BW$137, MATCH($A33, Demand_current!$B$4:$B$137, 0), MATCH(CZ$4&amp;CZ$5,Demand_current!$D$2:$BW$2&amp;Demand_current!$D$3:$BW$3, 0))/1000</f>
        <v>3.7783653846153856E-2</v>
      </c>
      <c r="DA33" s="103">
        <f t="array" ref="DA33">INDEX(Demand_current!$D$4:$BW$137, MATCH($A33, Demand_current!$B$4:$B$137, 0), MATCH(DA$4&amp;DA$5,Demand_current!$D$2:$BW$2&amp;Demand_current!$D$3:$BW$3, 0))/1000</f>
        <v>2.3367187499999997E-2</v>
      </c>
      <c r="DB33" s="103">
        <f t="array" ref="DB33">INDEX(Demand_current!$D$4:$BW$137, MATCH($A33, Demand_current!$B$4:$B$137, 0), MATCH(DB$4&amp;DB$5,Demand_current!$D$2:$BW$2&amp;Demand_current!$D$3:$BW$3, 0))/1000</f>
        <v>1.7548076923076916E-2</v>
      </c>
      <c r="DC33" s="103">
        <f t="array" ref="DC33">INDEX(Demand_current!$D$4:$BW$137, MATCH($A33, Demand_current!$B$4:$B$137, 0), MATCH(DC$4&amp;DC$5,Demand_current!$D$2:$BW$2&amp;Demand_current!$D$3:$BW$3, 0))/1000</f>
        <v>1.7793269230769237E-2</v>
      </c>
      <c r="DD33" s="103">
        <f t="array" ref="DD33">INDEX(Demand_current!$D$4:$BW$137, MATCH($A33, Demand_current!$B$4:$B$137, 0), MATCH(DD$4&amp;DD$5,Demand_current!$D$2:$BW$2&amp;Demand_current!$D$3:$BW$3, 0))/1000</f>
        <v>1.2977500000000017E-2</v>
      </c>
      <c r="DE33" s="103">
        <f t="array" ref="DE33">INDEX(Demand_current!$D$4:$BW$137, MATCH($A33, Demand_current!$B$4:$B$137, 0), MATCH(DE$4&amp;DE$5,Demand_current!$D$2:$BW$2&amp;Demand_current!$D$3:$BW$3, 0))/1000</f>
        <v>2.2259615384615385E-2</v>
      </c>
      <c r="DF33" s="103">
        <f t="array" ref="DF33">INDEX(Demand_current!$D$4:$BW$137, MATCH($A33, Demand_current!$B$4:$B$137, 0), MATCH(DF$4&amp;DF$5,Demand_current!$D$2:$BW$2&amp;Demand_current!$D$3:$BW$3, 0))/1000</f>
        <v>2.7923076923076908E-2</v>
      </c>
      <c r="DG33" s="103">
        <f t="array" ref="DG33">INDEX(Demand_current!$D$4:$BW$137, MATCH($A33, Demand_current!$B$4:$B$137, 0), MATCH(DG$4&amp;DG$5,Demand_current!$D$2:$BW$2&amp;Demand_current!$D$3:$BW$3, 0))/1000</f>
        <v>2.5528846153846152E-2</v>
      </c>
      <c r="DH33" s="103">
        <f t="array" ref="DH33">INDEX(Demand_current!$D$4:$BW$137, MATCH($A33, Demand_current!$B$4:$B$137, 0), MATCH(DH$4&amp;DH$5,Demand_current!$D$2:$BW$2&amp;Demand_current!$D$3:$BW$3, 0))/1000</f>
        <v>2.9587500000000003E-2</v>
      </c>
      <c r="DI33" s="102">
        <f>$BS33*(VLOOKUP(DI$4, Rates_current!$H$6:$R$41, 10, FALSE)+VLOOKUP(DI$4, Rates_current!$H$6:$R$41, 11, FALSE))</f>
        <v>67.649688021441733</v>
      </c>
      <c r="DJ33" s="102">
        <f>$BS33*(VLOOKUP(DJ$4, Rates_current!$H$6:$R$41, 10, FALSE)+VLOOKUP(DJ$4, Rates_current!$H$6:$R$41, 11, FALSE))</f>
        <v>86.487899643469547</v>
      </c>
      <c r="DK33" s="102">
        <f>$BS33*(VLOOKUP(DK$4, Rates_current!$H$6:$R$41, 10, FALSE)+VLOOKUP(DK$4, Rates_current!$H$6:$R$41, 11, FALSE))</f>
        <v>98.329508310185304</v>
      </c>
      <c r="DL33" s="102">
        <f>$BS33*(VLOOKUP(DL$4, Rates_current!$H$6:$R$41, 10, FALSE)+VLOOKUP(DL$4, Rates_current!$H$6:$R$41, 11, FALSE))</f>
        <v>103.7453067590597</v>
      </c>
      <c r="DM33" s="102">
        <f>$BS33*(VLOOKUP(DM$4, Rates_current!$H$6:$R$41, 10, FALSE)+VLOOKUP(DM$4, Rates_current!$H$6:$R$41, 11, FALSE))</f>
        <v>82.675646115140339</v>
      </c>
      <c r="DN33" s="102">
        <f>$BS33*(VLOOKUP(DN$4, Rates_current!$H$6:$R$41, 10, FALSE)+VLOOKUP(DN$4, Rates_current!$H$6:$R$41, 11, FALSE))</f>
        <v>90.381459122907899</v>
      </c>
      <c r="DO33" s="102">
        <f>$BS33*(VLOOKUP(DO$4, Rates_current!$H$6:$R$41, 10, FALSE)+VLOOKUP(DO$4, Rates_current!$H$6:$R$41, 11, FALSE))</f>
        <v>70.046539973862394</v>
      </c>
      <c r="DP33" s="102">
        <f>$BS33*(VLOOKUP(DP$4, Rates_current!$H$6:$R$41, 10, FALSE)+VLOOKUP(DP$4, Rates_current!$H$6:$R$41, 11, FALSE))</f>
        <v>90.651756053573592</v>
      </c>
      <c r="DQ33" s="102">
        <f>$BS33*(VLOOKUP(DQ$4, Rates_current!$H$6:$R$41, 10, FALSE)+VLOOKUP(DQ$4, Rates_current!$H$6:$R$41, 11, FALSE))</f>
        <v>92.587434932508316</v>
      </c>
      <c r="DR33" s="102">
        <f>$BS33*(VLOOKUP(DR$4, Rates_current!$H$6:$R$41, 10, FALSE)+VLOOKUP(DR$4, Rates_current!$H$6:$R$41, 11, FALSE))</f>
        <v>82.410824489473598</v>
      </c>
      <c r="DS33" s="102">
        <f>$BS33*(VLOOKUP(DS$4, Rates_current!$H$6:$R$41, 10, FALSE)+VLOOKUP(DS$4, Rates_current!$H$6:$R$41, 11, FALSE))</f>
        <v>84.538392275722515</v>
      </c>
      <c r="DT33" s="102">
        <f>$BS33*(VLOOKUP(DT$4, Rates_current!$H$6:$R$41, 10, FALSE)+VLOOKUP(DT$4, Rates_current!$H$6:$R$41, 11, FALSE))</f>
        <v>65.654195354068491</v>
      </c>
      <c r="DU33" s="261">
        <f>IF(D33=0,IF(C33=0,MAX(0,DW33 - (VLOOKUP($A33,TOCA_current!$A$2:$AV$136,MATCH("RHWM "&amp;Init!$D$1,TOCA_current!$A$2:$AV$2,0),FALSE)*$BS$2)), 0),0)</f>
        <v>0</v>
      </c>
      <c r="DV33" s="262">
        <f>MIN(VLOOKUP($A33,TOCA_current!$A$2:$AV$136,MATCH("TRL - NLSL - Existing Resource "&amp;$BS$1,TOCA_current!$A$2:$AV$2,0),FALSE)*$BS$2, VLOOKUP($A33,TOCA_current!$A$2:$AV$136,MATCH("RHWM "&amp;Init!$D$1,TOCA_current!$A$2:$AV$2,0),FALSE)*$BS$2)</f>
        <v>1016.1600000000001</v>
      </c>
      <c r="DW33" s="262">
        <f>SUM(BY33:CV33)+(BS33*RT1SC!$C$4*$BS$2)</f>
        <v>1011.8620599245867</v>
      </c>
      <c r="DX33" s="262">
        <f>VLOOKUP($A33,TOCA_current!$A$2:$AV$136,MATCH("Above RHWM Not Served with LS "&amp;$BS$1,TOCA_current!$A$2:$AV$2,0),FALSE)*$BS$2</f>
        <v>0</v>
      </c>
      <c r="DY33" s="262">
        <f t="shared" si="28"/>
        <v>-4.2979400754134076</v>
      </c>
      <c r="DZ33" s="262">
        <f>(VLOOKUP($A33,TOCA_current!$A$2:$AV$136,MATCH("RHWM "&amp;Init!$D$1,TOCA_current!$A$2:$AV$2,0),FALSE)*$BS$2) - $DV33</f>
        <v>26.279999999999973</v>
      </c>
      <c r="EA33" s="262">
        <f t="shared" si="29"/>
        <v>0</v>
      </c>
      <c r="EB33" s="262">
        <f t="shared" si="30"/>
        <v>4.2979400754134076</v>
      </c>
      <c r="EC33" s="262">
        <f t="shared" si="31"/>
        <v>0</v>
      </c>
      <c r="ED33" s="262">
        <f t="shared" si="32"/>
        <v>4.2979400754134076</v>
      </c>
    </row>
    <row r="34" spans="1:134">
      <c r="A34" s="2">
        <v>10083</v>
      </c>
      <c r="B34" s="3" t="s">
        <v>36</v>
      </c>
      <c r="C34">
        <f>VLOOKUP(A34, TOCA_current!$A$3:$D$136, 4, FALSE)</f>
        <v>0</v>
      </c>
      <c r="D34">
        <v>0</v>
      </c>
      <c r="E34" s="84">
        <f>VLOOKUP($A34,TOCA_previous!$A$2:$AJ$136,MATCH(E$4,TOCA_previous!$A$2:$AJ$2,0),FALSE)</f>
        <v>1.2107000000000001E-3</v>
      </c>
      <c r="F34" s="85">
        <f>VLOOKUP($A34,TOCA_previous!$A$2:$AJ$136,MATCH(F$4,TOCA_previous!$A$2:$AJ$2,0),FALSE)</f>
        <v>1.2107000000000001E-3</v>
      </c>
      <c r="G34" s="85">
        <f t="shared" si="18"/>
        <v>0</v>
      </c>
      <c r="H34" s="85">
        <f>VLOOKUP($A34,TOCA_previous!$A$2:$AJ$136,MATCH(H$4,TOCA_previous!$A$2:$AJ$2,0),FALSE)</f>
        <v>0</v>
      </c>
      <c r="I34" s="85">
        <f t="shared" si="19"/>
        <v>0</v>
      </c>
      <c r="J34" s="85">
        <f t="shared" si="20"/>
        <v>0</v>
      </c>
      <c r="K34" s="101">
        <f>VLOOKUP(A34, IRD!$A$5:$C$138, 3, FALSE)</f>
        <v>0</v>
      </c>
      <c r="L34" s="102">
        <f t="array" ref="L34">IF($G34=0, INDEX(LS_previous!$D$4:$AY$137, MATCH('Staging Table'!$A34, LS_previous!$B$4:$B$137, 0), MATCH(L$4&amp;L$5, LS_previous!$D$2:$AY$2&amp;LS_previous!$D$3:$AY$3, 0)),SUM(VLOOKUP($A34, LS_previous!$B$4:$AY$137, LS_previous!D$148, FALSE), VLOOKUP('Staging Table'!$A34, LS_previous!$B$4:$AY$137,LS_previous!AB$148, FALSE))/2)</f>
        <v>894.33600561479943</v>
      </c>
      <c r="M34" s="102">
        <f t="array" ref="M34">IF($G34=0, INDEX(LS_previous!$D$4:$AY$137, MATCH('Staging Table'!$A34, LS_previous!$B$4:$B$137, 0), MATCH(M$4&amp;M$5, LS_previous!$D$2:$AY$2&amp;LS_previous!$D$3:$AY$3, 0)),SUM(VLOOKUP($A34, LS_previous!$B$4:$AY$137, LS_previous!E$148, FALSE), VLOOKUP('Staging Table'!$A34, LS_previous!$B$4:$AY$137,LS_previous!AC$148, FALSE))/2)</f>
        <v>158.6632803371499</v>
      </c>
      <c r="N34" s="102">
        <f t="array" ref="N34">IF($G34=0, INDEX(LS_previous!$D$4:$AY$137, MATCH('Staging Table'!$A34, LS_previous!$B$4:$B$137, 0), MATCH(N$4&amp;N$5, LS_previous!$D$2:$AY$2&amp;LS_previous!$D$3:$AY$3, 0)),SUM(VLOOKUP($A34, LS_previous!$B$4:$AY$137, LS_previous!F$148, FALSE), VLOOKUP('Staging Table'!$A34, LS_previous!$B$4:$AY$137,LS_previous!AD$148, FALSE))/2)</f>
        <v>91.528191990399137</v>
      </c>
      <c r="O34" s="102">
        <f t="array" ref="O34">IF($G34=0, INDEX(LS_previous!$D$4:$AY$137, MATCH('Staging Table'!$A34, LS_previous!$B$4:$B$137, 0), MATCH(O$4&amp;O$5, LS_previous!$D$2:$AY$2&amp;LS_previous!$D$3:$AY$3, 0)),SUM(VLOOKUP($A34, LS_previous!$B$4:$AY$137, LS_previous!G$148, FALSE), VLOOKUP('Staging Table'!$A34, LS_previous!$B$4:$AY$137,LS_previous!AE$148, FALSE))/2)</f>
        <v>310.40774144829948</v>
      </c>
      <c r="P34" s="102">
        <f t="array" ref="P34">IF($G34=0, INDEX(LS_previous!$D$4:$AY$137, MATCH('Staging Table'!$A34, LS_previous!$B$4:$B$137, 0), MATCH(P$4&amp;P$5, LS_previous!$D$2:$AY$2&amp;LS_previous!$D$3:$AY$3, 0)),SUM(VLOOKUP($A34, LS_previous!$B$4:$AY$137, LS_previous!H$148, FALSE), VLOOKUP('Staging Table'!$A34, LS_previous!$B$4:$AY$137,LS_previous!AF$148, FALSE))/2)</f>
        <v>836.58691579269907</v>
      </c>
      <c r="Q34" s="102">
        <f t="array" ref="Q34">IF($G34=0, INDEX(LS_previous!$D$4:$AY$137, MATCH('Staging Table'!$A34, LS_previous!$B$4:$B$137, 0), MATCH(Q$4&amp;Q$5, LS_previous!$D$2:$AY$2&amp;LS_previous!$D$3:$AY$3, 0)),SUM(VLOOKUP($A34, LS_previous!$B$4:$AY$137, LS_previous!I$148, FALSE), VLOOKUP('Staging Table'!$A34, LS_previous!$B$4:$AY$137,LS_previous!AG$148, FALSE))/2)</f>
        <v>518.83543225279982</v>
      </c>
      <c r="R34" s="102">
        <f t="array" ref="R34">IF($G34=0, INDEX(LS_previous!$D$4:$AY$137, MATCH('Staging Table'!$A34, LS_previous!$B$4:$B$137, 0), MATCH(R$4&amp;R$5, LS_previous!$D$2:$AY$2&amp;LS_previous!$D$3:$AY$3, 0)),SUM(VLOOKUP($A34, LS_previous!$B$4:$AY$137, LS_previous!J$148, FALSE), VLOOKUP('Staging Table'!$A34, LS_previous!$B$4:$AY$137,LS_previous!AH$148, FALSE))/2)</f>
        <v>798.73904064949966</v>
      </c>
      <c r="S34" s="102">
        <f t="array" ref="S34">IF($G34=0, INDEX(LS_previous!$D$4:$AY$137, MATCH('Staging Table'!$A34, LS_previous!$B$4:$B$137, 0), MATCH(S$4&amp;S$5, LS_previous!$D$2:$AY$2&amp;LS_previous!$D$3:$AY$3, 0)),SUM(VLOOKUP($A34, LS_previous!$B$4:$AY$137, LS_previous!K$148, FALSE), VLOOKUP('Staging Table'!$A34, LS_previous!$B$4:$AY$137,LS_previous!AI$148, FALSE))/2)</f>
        <v>705.32628828969928</v>
      </c>
      <c r="T34" s="102">
        <f t="array" ref="T34">IF($G34=0, INDEX(LS_previous!$D$4:$AY$137, MATCH('Staging Table'!$A34, LS_previous!$B$4:$B$137, 0), MATCH(T$4&amp;T$5, LS_previous!$D$2:$AY$2&amp;LS_previous!$D$3:$AY$3, 0)),SUM(VLOOKUP($A34, LS_previous!$B$4:$AY$137, LS_previous!L$148, FALSE), VLOOKUP('Staging Table'!$A34, LS_previous!$B$4:$AY$137,LS_previous!AJ$148, FALSE))/2)</f>
        <v>439.32798929469982</v>
      </c>
      <c r="U34" s="102">
        <f t="array" ref="U34">IF($G34=0, INDEX(LS_previous!$D$4:$AY$137, MATCH('Staging Table'!$A34, LS_previous!$B$4:$B$137, 0), MATCH(U$4&amp;U$5, LS_previous!$D$2:$AY$2&amp;LS_previous!$D$3:$AY$3, 0)),SUM(VLOOKUP($A34, LS_previous!$B$4:$AY$137, LS_previous!M$148, FALSE), VLOOKUP('Staging Table'!$A34, LS_previous!$B$4:$AY$137,LS_previous!AK$148, FALSE))/2)</f>
        <v>412.41369823869991</v>
      </c>
      <c r="V34" s="102">
        <f t="array" ref="V34">IF($G34=0, INDEX(LS_previous!$D$4:$AY$137, MATCH('Staging Table'!$A34, LS_previous!$B$4:$B$137, 0), MATCH(V$4&amp;V$5, LS_previous!$D$2:$AY$2&amp;LS_previous!$D$3:$AY$3, 0)),SUM(VLOOKUP($A34, LS_previous!$B$4:$AY$137, LS_previous!N$148, FALSE), VLOOKUP('Staging Table'!$A34, LS_previous!$B$4:$AY$137,LS_previous!AL$148, FALSE))/2)</f>
        <v>-49.989070109099885</v>
      </c>
      <c r="W34" s="102">
        <f t="array" ref="W34">IF($G34=0, INDEX(LS_previous!$D$4:$AY$137, MATCH('Staging Table'!$A34, LS_previous!$B$4:$B$137, 0), MATCH(W$4&amp;W$5, LS_previous!$D$2:$AY$2&amp;LS_previous!$D$3:$AY$3, 0)),SUM(VLOOKUP($A34, LS_previous!$B$4:$AY$137, LS_previous!O$148, FALSE), VLOOKUP('Staging Table'!$A34, LS_previous!$B$4:$AY$137,LS_previous!AM$148, FALSE))/2)</f>
        <v>-12.737846624600024</v>
      </c>
      <c r="X34" s="102">
        <f t="array" ref="X34">IF($G34=0, INDEX(LS_previous!$D$4:$AY$137, MATCH('Staging Table'!$A34, LS_previous!$B$4:$B$137, 0), MATCH(X$4&amp;X$5, LS_previous!$D$2:$AY$2&amp;LS_previous!$D$3:$AY$3, 0)),SUM(VLOOKUP($A34, LS_previous!$B$4:$AY$137, LS_previous!P$148, FALSE), VLOOKUP('Staging Table'!$A34, LS_previous!$B$4:$AY$137,LS_previous!AN$148, FALSE))/2)</f>
        <v>613.49190378074991</v>
      </c>
      <c r="Y34" s="102">
        <f t="array" ref="Y34">IF($G34=0, INDEX(LS_previous!$D$4:$AY$137, MATCH('Staging Table'!$A34, LS_previous!$B$4:$B$137, 0), MATCH(Y$4&amp;Y$5, LS_previous!$D$2:$AY$2&amp;LS_previous!$D$3:$AY$3, 0)),SUM(VLOOKUP($A34, LS_previous!$B$4:$AY$137, LS_previous!Q$148, FALSE), VLOOKUP('Staging Table'!$A34, LS_previous!$B$4:$AY$137,LS_previous!AO$148, FALSE))/2)</f>
        <v>150.68456185927516</v>
      </c>
      <c r="Z34" s="102">
        <f t="array" ref="Z34">IF($G34=0, INDEX(LS_previous!$D$4:$AY$137, MATCH('Staging Table'!$A34, LS_previous!$B$4:$B$137, 0), MATCH(Z$4&amp;Z$5, LS_previous!$D$2:$AY$2&amp;LS_previous!$D$3:$AY$3, 0)),SUM(VLOOKUP($A34, LS_previous!$B$4:$AY$137, LS_previous!R$148, FALSE), VLOOKUP('Staging Table'!$A34, LS_previous!$B$4:$AY$137,LS_previous!AP$148, FALSE))/2)</f>
        <v>-591.38165787360049</v>
      </c>
      <c r="AA34" s="102">
        <f t="array" ref="AA34">IF($G34=0, INDEX(LS_previous!$D$4:$AY$137, MATCH('Staging Table'!$A34, LS_previous!$B$4:$B$137, 0), MATCH(AA$4&amp;AA$5, LS_previous!$D$2:$AY$2&amp;LS_previous!$D$3:$AY$3, 0)),SUM(VLOOKUP($A34, LS_previous!$B$4:$AY$137, LS_previous!S$148, FALSE), VLOOKUP('Staging Table'!$A34, LS_previous!$B$4:$AY$137,LS_previous!AQ$148, FALSE))/2)</f>
        <v>-319.55763019595042</v>
      </c>
      <c r="AB34" s="102">
        <f t="array" ref="AB34">IF($G34=0, INDEX(LS_previous!$D$4:$AY$137, MATCH('Staging Table'!$A34, LS_previous!$B$4:$B$137, 0), MATCH(AB$4&amp;AB$5, LS_previous!$D$2:$AY$2&amp;LS_previous!$D$3:$AY$3, 0)),SUM(VLOOKUP($A34, LS_previous!$B$4:$AY$137, LS_previous!T$148, FALSE), VLOOKUP('Staging Table'!$A34, LS_previous!$B$4:$AY$137,LS_previous!AR$148, FALSE))/2)</f>
        <v>-689.17659600820025</v>
      </c>
      <c r="AC34" s="102">
        <f t="array" ref="AC34">IF($G34=0, INDEX(LS_previous!$D$4:$AY$137, MATCH('Staging Table'!$A34, LS_previous!$B$4:$B$137, 0), MATCH(AC$4&amp;AC$5, LS_previous!$D$2:$AY$2&amp;LS_previous!$D$3:$AY$3, 0)),SUM(VLOOKUP($A34, LS_previous!$B$4:$AY$137, LS_previous!U$148, FALSE), VLOOKUP('Staging Table'!$A34, LS_previous!$B$4:$AY$137,LS_previous!AS$148, FALSE))/2)</f>
        <v>-575.48430848315024</v>
      </c>
      <c r="AD34" s="102">
        <f t="array" ref="AD34">IF($G34=0, INDEX(LS_previous!$D$4:$AY$137, MATCH('Staging Table'!$A34, LS_previous!$B$4:$B$137, 0), MATCH(AD$4&amp;AD$5, LS_previous!$D$2:$AY$2&amp;LS_previous!$D$3:$AY$3, 0)),SUM(VLOOKUP($A34, LS_previous!$B$4:$AY$137, LS_previous!V$148, FALSE), VLOOKUP('Staging Table'!$A34, LS_previous!$B$4:$AY$137,LS_previous!AT$148, FALSE))/2)</f>
        <v>211.76664332519977</v>
      </c>
      <c r="AE34" s="102">
        <f t="array" ref="AE34">IF($G34=0, INDEX(LS_previous!$D$4:$AY$137, MATCH('Staging Table'!$A34, LS_previous!$B$4:$B$137, 0), MATCH(AE$4&amp;AE$5, LS_previous!$D$2:$AY$2&amp;LS_previous!$D$3:$AY$3, 0)),SUM(VLOOKUP($A34, LS_previous!$B$4:$AY$137, LS_previous!W$148, FALSE), VLOOKUP('Staging Table'!$A34, LS_previous!$B$4:$AY$137,LS_previous!AU$148, FALSE))/2)</f>
        <v>33.165314885749922</v>
      </c>
      <c r="AF34" s="102">
        <f t="array" ref="AF34">IF($G34=0, INDEX(LS_previous!$D$4:$AY$137, MATCH('Staging Table'!$A34, LS_previous!$B$4:$B$137, 0), MATCH(AF$4&amp;AF$5, LS_previous!$D$2:$AY$2&amp;LS_previous!$D$3:$AY$3, 0)),SUM(VLOOKUP($A34, LS_previous!$B$4:$AY$137, LS_previous!X$148, FALSE), VLOOKUP('Staging Table'!$A34, LS_previous!$B$4:$AY$137,LS_previous!AV$148, FALSE))/2)</f>
        <v>197.55808936494941</v>
      </c>
      <c r="AG34" s="102">
        <f t="array" ref="AG34">IF($G34=0, INDEX(LS_previous!$D$4:$AY$137, MATCH('Staging Table'!$A34, LS_previous!$B$4:$B$137, 0), MATCH(AG$4&amp;AG$5, LS_previous!$D$2:$AY$2&amp;LS_previous!$D$3:$AY$3, 0)),SUM(VLOOKUP($A34, LS_previous!$B$4:$AY$137, LS_previous!Y$148, FALSE), VLOOKUP('Staging Table'!$A34, LS_previous!$B$4:$AY$137,LS_previous!AW$148, FALSE))/2)</f>
        <v>117.72010672560509</v>
      </c>
      <c r="AH34" s="102">
        <f t="array" ref="AH34">IF($G34=0, INDEX(LS_previous!$D$4:$AY$137, MATCH('Staging Table'!$A34, LS_previous!$B$4:$B$137, 0), MATCH(AH$4&amp;AH$5, LS_previous!$D$2:$AY$2&amp;LS_previous!$D$3:$AY$3, 0)),SUM(VLOOKUP($A34, LS_previous!$B$4:$AY$137, LS_previous!Z$148, FALSE), VLOOKUP('Staging Table'!$A34, LS_previous!$B$4:$AY$137,LS_previous!AX$148, FALSE))/2)</f>
        <v>355.08123166819951</v>
      </c>
      <c r="AI34" s="102">
        <f t="array" ref="AI34">IF($G34=0, INDEX(LS_previous!$D$4:$AY$137, MATCH('Staging Table'!$A34, LS_previous!$B$4:$B$137, 0), MATCH(AI$4&amp;AI$5, LS_previous!$D$2:$AY$2&amp;LS_previous!$D$3:$AY$3, 0)),SUM(VLOOKUP($A34, LS_previous!$B$4:$AY$137, LS_previous!AA$148, FALSE), VLOOKUP('Staging Table'!$A34, LS_previous!$B$4:$AY$137,LS_previous!AY$148, FALSE))/2)</f>
        <v>-25.418974212800094</v>
      </c>
      <c r="AJ34" s="103">
        <f t="array" ref="AJ34">INDEX(Demand_previous!$D$4:$AY$137, MATCH('Staging Table'!$A34, Demand_previous!$B$4:$B$137, 0), MATCH(AJ$4&amp;AJ$5,Demand_previous!$D$2:$AY$2&amp;Demand_previous!$D$3:$AY$3, 0))/1000</f>
        <v>0.27868269230769194</v>
      </c>
      <c r="AK34" s="103">
        <f t="array" ref="AK34">INDEX(Demand_previous!$D$4:$AY$137, MATCH('Staging Table'!$A34, Demand_previous!$B$4:$B$137, 0), MATCH(AK$4&amp;AK$5,Demand_previous!$D$2:$AY$2&amp;Demand_previous!$D$3:$AY$3, 0))/1000</f>
        <v>0.48739250000000123</v>
      </c>
      <c r="AL34" s="103">
        <f t="array" ref="AL34">INDEX(Demand_previous!$D$4:$AY$137, MATCH('Staging Table'!$A34, Demand_previous!$B$4:$B$137, 0), MATCH(AL$4&amp;AL$5,Demand_previous!$D$2:$AY$2&amp;Demand_previous!$D$3:$AY$3, 0))/1000</f>
        <v>1.0459025</v>
      </c>
      <c r="AM34" s="103">
        <f t="array" ref="AM34">INDEX(Demand_previous!$D$4:$AY$137, MATCH('Staging Table'!$A34, Demand_previous!$B$4:$B$137, 0), MATCH(AM$4&amp;AM$5,Demand_previous!$D$2:$AY$2&amp;Demand_previous!$D$3:$AY$3, 0))/1000</f>
        <v>1.5378341346153825</v>
      </c>
      <c r="AN34" s="103">
        <f t="array" ref="AN34">INDEX(Demand_previous!$D$4:$AY$137, MATCH('Staging Table'!$A34, Demand_previous!$B$4:$B$137, 0), MATCH(AN$4&amp;AN$5,Demand_previous!$D$2:$AY$2&amp;Demand_previous!$D$3:$AY$3, 0))/1000</f>
        <v>1.6674175000000013</v>
      </c>
      <c r="AO34" s="103">
        <f t="array" ref="AO34">INDEX(Demand_previous!$D$4:$AY$137, MATCH('Staging Table'!$A34, Demand_previous!$B$4:$B$137, 0), MATCH(AO$4&amp;AO$5,Demand_previous!$D$2:$AY$2&amp;Demand_previous!$D$3:$AY$3, 0))/1000</f>
        <v>1.2507403846153833</v>
      </c>
      <c r="AP34" s="103">
        <f t="array" ref="AP34">INDEX(Demand_previous!$D$4:$AY$137, MATCH('Staging Table'!$A34, Demand_previous!$B$4:$B$137, 0), MATCH(AP$4&amp;AP$5,Demand_previous!$D$2:$AY$2&amp;Demand_previous!$D$3:$AY$3, 0))/1000</f>
        <v>0.6761370192307683</v>
      </c>
      <c r="AQ34" s="103">
        <f t="array" ref="AQ34">INDEX(Demand_previous!$D$4:$AY$137, MATCH('Staging Table'!$A34, Demand_previous!$B$4:$B$137, 0), MATCH(AQ$4&amp;AQ$5,Demand_previous!$D$2:$AY$2&amp;Demand_previous!$D$3:$AY$3, 0))/1000</f>
        <v>2.1654687499999996</v>
      </c>
      <c r="AR34" s="103">
        <f t="array" ref="AR34">INDEX(Demand_previous!$D$4:$AY$137, MATCH('Staging Table'!$A34, Demand_previous!$B$4:$B$137, 0), MATCH(AR$4&amp;AR$5,Demand_previous!$D$2:$AY$2&amp;Demand_previous!$D$3:$AY$3, 0))/1000</f>
        <v>3.6646874999999994</v>
      </c>
      <c r="AS34" s="103">
        <f t="array" ref="AS34">INDEX(Demand_previous!$D$4:$AY$137, MATCH('Staging Table'!$A34, Demand_previous!$B$4:$B$137, 0), MATCH(AS$4&amp;AS$5,Demand_previous!$D$2:$AY$2&amp;Demand_previous!$D$3:$AY$3, 0))/1000</f>
        <v>4.1618509615384616</v>
      </c>
      <c r="AT34" s="103">
        <f t="array" ref="AT34">INDEX(Demand_previous!$D$4:$AY$137, MATCH('Staging Table'!$A34, Demand_previous!$B$4:$B$137, 0), MATCH(AT$4&amp;AT$5,Demand_previous!$D$2:$AY$2&amp;Demand_previous!$D$3:$AY$3, 0))/1000</f>
        <v>5.2297916666666673</v>
      </c>
      <c r="AU34" s="103">
        <f t="array" ref="AU34">INDEX(Demand_previous!$D$4:$AY$137, MATCH('Staging Table'!$A34, Demand_previous!$B$4:$B$137, 0), MATCH(AU$4&amp;AU$5,Demand_previous!$D$2:$AY$2&amp;Demand_previous!$D$3:$AY$3, 0))/1000</f>
        <v>2.8077630208333328</v>
      </c>
      <c r="AV34" s="102">
        <f>$F34*(VLOOKUP(AV$4, Rates_previous!$G$6:$Q$29, 10, FALSE)+VLOOKUP(AV$4, Rates_previous!$G$6:$Q$29, 11, FALSE))</f>
        <v>5107.7057140480501</v>
      </c>
      <c r="AW34" s="102">
        <f>$F34*(VLOOKUP(AW$4, Rates_previous!$G$6:$Q$29, 10, FALSE)+VLOOKUP(AW$4, Rates_previous!$G$6:$Q$29, 11, FALSE))</f>
        <v>6514.0090665613016</v>
      </c>
      <c r="AX34" s="102">
        <f>$F34*(VLOOKUP(AX$4, Rates_previous!$G$6:$Q$29, 10, FALSE)+VLOOKUP(AX$4, Rates_previous!$G$6:$Q$29, 11, FALSE))</f>
        <v>7029.9046519545009</v>
      </c>
      <c r="AY34" s="102">
        <f>$F34*(VLOOKUP(AY$4, Rates_previous!$G$6:$Q$29, 10, FALSE)+VLOOKUP(AY$4, Rates_previous!$G$6:$Q$29, 11, FALSE))</f>
        <v>7305.1576710608006</v>
      </c>
      <c r="AZ34" s="102">
        <f>$F34*(VLOOKUP(AZ$4, Rates_previous!$G$6:$Q$29, 10, FALSE)+VLOOKUP(AZ$4, Rates_previous!$G$6:$Q$29, 11, FALSE))</f>
        <v>6283.4093124665997</v>
      </c>
      <c r="BA34" s="102">
        <f>$F34*(VLOOKUP(BA$4, Rates_previous!$G$6:$Q$29, 10, FALSE)+VLOOKUP(BA$4, Rates_previous!$G$6:$Q$29, 11, FALSE))</f>
        <v>6860.2389167337005</v>
      </c>
      <c r="BB34" s="102">
        <f>$F34*(VLOOKUP(BB$4, Rates_previous!$G$6:$Q$29, 10, FALSE)+VLOOKUP(BB$4, Rates_previous!$G$6:$Q$29, 11, FALSE))</f>
        <v>5415.0025343599746</v>
      </c>
      <c r="BC34" s="102">
        <f>$F34*(VLOOKUP(BC$4, Rates_previous!$G$6:$Q$29, 10, FALSE)+VLOOKUP(BC$4, Rates_previous!$G$6:$Q$29, 11, FALSE))</f>
        <v>6718.0362880695511</v>
      </c>
      <c r="BD34" s="102">
        <f>$F34*(VLOOKUP(BD$4, Rates_previous!$G$6:$Q$29, 10, FALSE)+VLOOKUP(BD$4, Rates_previous!$G$6:$Q$29, 11, FALSE))</f>
        <v>6863.8009044913497</v>
      </c>
      <c r="BE34" s="102">
        <f>$F34*(VLOOKUP(BE$4, Rates_previous!$G$6:$Q$29, 10, FALSE)+VLOOKUP(BE$4, Rates_previous!$G$6:$Q$29, 11, FALSE))</f>
        <v>5958.7680417890506</v>
      </c>
      <c r="BF34" s="102">
        <f>$F34*(VLOOKUP(BF$4, Rates_previous!$G$6:$Q$29, 10, FALSE)+VLOOKUP(BF$4, Rates_previous!$G$6:$Q$29, 11, FALSE))</f>
        <v>5760.5448039094463</v>
      </c>
      <c r="BG34" s="102">
        <f>$F34*(VLOOKUP(BG$4, Rates_previous!$G$6:$Q$29, 10, FALSE)+VLOOKUP(BG$4, Rates_previous!$G$6:$Q$29, 11, FALSE))</f>
        <v>5300.8167425446009</v>
      </c>
      <c r="BH34" s="103">
        <f>IF($D34=0,IF(C34=0, MAX(BJ34 - (VLOOKUP($A34,TOCA_previous!$A$2:$AJ$136,MATCH("RHWM "&amp;Init!$D$1-2,TOCA_previous!$A$2:$AJ$2,0),FALSE)*$F$2*TOCA_previous!C31),0),0), 0)</f>
        <v>6238.6893443230801</v>
      </c>
      <c r="BI34" s="109">
        <f>MIN(VLOOKUP($A34,TOCA_previous!$A$2:$AJ$136,MATCH("TRL - NLSL - Existing Resource "&amp;$F$1,TOCA_previous!$A$2:$AJ$2,0),FALSE)*$F$2,(VLOOKUP($A34,TOCA_previous!$A$2:$AJ$136,MATCH("RHWM "&amp;Init!$D$1-2,TOCA_previous!$A$2:$AJ$2,0),FALSE)*$F$2))</f>
        <v>73460.59199999999</v>
      </c>
      <c r="BJ34" s="261">
        <f>SUM(L34:AI34)+(F34*RT1SC!$C$3*$F$2)</f>
        <v>79699.28134432307</v>
      </c>
      <c r="BK34" s="260">
        <f>VLOOKUP($A34,TOCA_previous!$A$2:$AJ$136,MATCH("Above RHWM Not Served with LS "&amp;$F$1,TOCA_previous!$A$2:$AJ$2,0),FALSE)*$F$2</f>
        <v>0</v>
      </c>
      <c r="BL34" s="261">
        <f t="shared" si="21"/>
        <v>6238.6893443230801</v>
      </c>
      <c r="BM34" s="260">
        <f>(VLOOKUP($A34,TOCA_previous!$A$2:$AJ$136,MATCH("RHWM "&amp;Init!$D$1-2,TOCA_previous!$A$2:$AJ$2,0),FALSE)*$F$2) - $BI34</f>
        <v>0</v>
      </c>
      <c r="BN34" s="261">
        <f t="shared" si="22"/>
        <v>0</v>
      </c>
      <c r="BO34" s="260">
        <f t="shared" si="23"/>
        <v>0</v>
      </c>
      <c r="BP34" s="261">
        <f t="shared" si="24"/>
        <v>0</v>
      </c>
      <c r="BQ34" s="260">
        <f t="shared" si="9"/>
        <v>0</v>
      </c>
      <c r="BR34" s="85">
        <f>VLOOKUP($A34,TOCA_current!$A$2:$ZZ$136,MATCH(BR$4,TOCA_current!$A$2:$ZZ$2,0),FALSE)</f>
        <v>1.1831000000000001E-3</v>
      </c>
      <c r="BS34" s="85">
        <f>VLOOKUP($A34,TOCA_current!$A$2:$ZZ$136,MATCH(BS$4,TOCA_current!$A$2:$ZZ$2,0),FALSE)</f>
        <v>1.1831000000000001E-3</v>
      </c>
      <c r="BT34" s="108">
        <f t="shared" si="25"/>
        <v>0</v>
      </c>
      <c r="BU34" s="85">
        <f>VLOOKUP($A34,TOCA_current!A31:BG165,MATCH(BU$4,TOCA_current!$A$2:$BG$2,0),FALSE)</f>
        <v>0</v>
      </c>
      <c r="BV34" s="85">
        <f t="shared" si="26"/>
        <v>0</v>
      </c>
      <c r="BW34" s="85">
        <f t="shared" si="27"/>
        <v>0</v>
      </c>
      <c r="BX34" s="101">
        <f>VLOOKUP($A34,IRD!$A$4:$G$138, 7, FALSE)</f>
        <v>0</v>
      </c>
      <c r="BY34" s="102">
        <f t="array" ref="BY34">IF($BT34=0, INDEX(LS_current!$D$4:$BW$137, MATCH('Staging Table'!$A34, LS_current!$B$4:$B$137, 0), MATCH(BY$4&amp;BY$5, LS_current!$D$2:$BW$2&amp;LS_current!$D$3:$BW$3, 0)),SUM(VLOOKUP($A34, LS_current!$B$4:$BW$137, LS_current!D$147, FALSE), VLOOKUP($A34, LS_current!$B$4:$BW$137,LS_current!AZ$147, FALSE))/2)</f>
        <v>925.03284282734057</v>
      </c>
      <c r="BZ34" s="102">
        <f t="array" ref="BZ34">IF($BT34=0, INDEX(LS_current!$D$4:$BW$137, MATCH('Staging Table'!$A34, LS_current!$B$4:$B$137, 0), MATCH(BZ$4&amp;BZ$5, LS_current!$D$2:$BW$2&amp;LS_current!$D$3:$BW$3, 0)),SUM(VLOOKUP($A34, LS_current!$B$4:$BW$137, LS_current!E$147, FALSE), VLOOKUP($A34, LS_current!$B$4:$BW$137,LS_current!BA$147, FALSE))/2)</f>
        <v>325.4668873464193</v>
      </c>
      <c r="CA34" s="102">
        <f t="array" ref="CA34">IF($BT34=0, INDEX(LS_current!$D$4:$BW$137, MATCH('Staging Table'!$A34, LS_current!$B$4:$B$137, 0), MATCH(CA$4&amp;CA$5, LS_current!$D$2:$BW$2&amp;LS_current!$D$3:$BW$3, 0)),SUM(VLOOKUP($A34, LS_current!$B$4:$BW$137, LS_current!F$147, FALSE), VLOOKUP($A34, LS_current!$B$4:$BW$137,LS_current!BB$147, FALSE))/2)</f>
        <v>251.29858058015498</v>
      </c>
      <c r="CB34" s="102">
        <f t="array" ref="CB34">IF($BT34=0, INDEX(LS_current!$D$4:$BW$137, MATCH('Staging Table'!$A34, LS_current!$B$4:$B$137, 0), MATCH(CB$4&amp;CB$5, LS_current!$D$2:$BW$2&amp;LS_current!$D$3:$BW$3, 0)),SUM(VLOOKUP($A34, LS_current!$B$4:$BW$137, LS_current!G$147, FALSE), VLOOKUP($A34, LS_current!$B$4:$BW$137,LS_current!BC$147, FALSE))/2)</f>
        <v>387.11058701562251</v>
      </c>
      <c r="CC34" s="102">
        <f t="array" ref="CC34">IF($BT34=0, INDEX(LS_current!$D$4:$BW$137, MATCH('Staging Table'!$A34, LS_current!$B$4:$B$137, 0), MATCH(CC$4&amp;CC$5, LS_current!$D$2:$BW$2&amp;LS_current!$D$3:$BW$3, 0)),SUM(VLOOKUP($A34, LS_current!$B$4:$BW$137, LS_current!H$147, FALSE), VLOOKUP($A34, LS_current!$B$4:$BW$137,LS_current!BD$147, FALSE))/2)</f>
        <v>523.91135298963218</v>
      </c>
      <c r="CD34" s="102">
        <f t="array" ref="CD34">IF($BT34=0, INDEX(LS_current!$D$4:$BW$137, MATCH('Staging Table'!$A34, LS_current!$B$4:$B$137, 0), MATCH(CD$4&amp;CD$5, LS_current!$D$2:$BW$2&amp;LS_current!$D$3:$BW$3, 0)),SUM(VLOOKUP($A34, LS_current!$B$4:$BW$137, LS_current!I$147, FALSE), VLOOKUP($A34, LS_current!$B$4:$BW$137,LS_current!BE$147, FALSE))/2)</f>
        <v>724.38243953918663</v>
      </c>
      <c r="CE34" s="102">
        <f t="array" ref="CE34">IF($BT34=0, INDEX(LS_current!$D$4:$BW$137, MATCH('Staging Table'!$A34, LS_current!$B$4:$B$137, 0), MATCH(CE$4&amp;CE$5, LS_current!$D$2:$BW$2&amp;LS_current!$D$3:$BW$3, 0)),SUM(VLOOKUP($A34, LS_current!$B$4:$BW$137, LS_current!J$147, FALSE), VLOOKUP($A34, LS_current!$B$4:$BW$137,LS_current!BF$147, FALSE))/2)</f>
        <v>575.24041631185901</v>
      </c>
      <c r="CF34" s="102">
        <f t="array" ref="CF34">IF($BT34=0, INDEX(LS_current!$D$4:$BW$137, MATCH('Staging Table'!$A34, LS_current!$B$4:$B$137, 0), MATCH(CF$4&amp;CF$5, LS_current!$D$2:$BW$2&amp;LS_current!$D$3:$BW$3, 0)),SUM(VLOOKUP($A34, LS_current!$B$4:$BW$137, LS_current!K$147, FALSE), VLOOKUP($A34, LS_current!$B$4:$BW$137,LS_current!BG$147, FALSE))/2)</f>
        <v>703.85544094927309</v>
      </c>
      <c r="CG34" s="102">
        <f t="array" ref="CG34">IF($BT34=0, INDEX(LS_current!$D$4:$BW$137, MATCH('Staging Table'!$A34, LS_current!$B$4:$B$137, 0), MATCH(CG$4&amp;CG$5, LS_current!$D$2:$BW$2&amp;LS_current!$D$3:$BW$3, 0)),SUM(VLOOKUP($A34, LS_current!$B$4:$BW$137, LS_current!L$147, FALSE), VLOOKUP($A34, LS_current!$B$4:$BW$137,LS_current!BH$147, FALSE))/2)</f>
        <v>616.01109815503287</v>
      </c>
      <c r="CH34" s="102">
        <f t="array" ref="CH34">IF($BT34=0, INDEX(LS_current!$D$4:$BW$137, MATCH('Staging Table'!$A34, LS_current!$B$4:$B$137, 0), MATCH(CH$4&amp;CH$5, LS_current!$D$2:$BW$2&amp;LS_current!$D$3:$BW$3, 0)),SUM(VLOOKUP($A34, LS_current!$B$4:$BW$137, LS_current!M$147, FALSE), VLOOKUP($A34, LS_current!$B$4:$BW$137,LS_current!BI$147, FALSE))/2)</f>
        <v>518.30818903376849</v>
      </c>
      <c r="CI34" s="102">
        <f t="array" ref="CI34">IF($BT34=0, INDEX(LS_current!$D$4:$BW$137, MATCH('Staging Table'!$A34, LS_current!$B$4:$B$137, 0), MATCH(CI$4&amp;CI$5, LS_current!$D$2:$BW$2&amp;LS_current!$D$3:$BW$3, 0)),SUM(VLOOKUP($A34, LS_current!$B$4:$BW$137, LS_current!N$147, FALSE), VLOOKUP($A34, LS_current!$B$4:$BW$137,LS_current!BJ$147, FALSE))/2)</f>
        <v>-139.67939827671853</v>
      </c>
      <c r="CJ34" s="102">
        <f t="array" ref="CJ34">IF($BT34=0, INDEX(LS_current!$D$4:$BW$137, MATCH('Staging Table'!$A34, LS_current!$B$4:$B$137, 0), MATCH(CJ$4&amp;CJ$5, LS_current!$D$2:$BW$2&amp;LS_current!$D$3:$BW$3, 0)),SUM(VLOOKUP($A34, LS_current!$B$4:$BW$137, LS_current!O$147, FALSE), VLOOKUP($A34, LS_current!$B$4:$BW$137,LS_current!BK$147, FALSE))/2)</f>
        <v>377.05003089559341</v>
      </c>
      <c r="CK34" s="102">
        <f t="array" ref="CK34">IF($BT34=0, INDEX(LS_current!$D$4:$BW$137, MATCH('Staging Table'!$A34, LS_current!$B$4:$B$137, 0), MATCH(CK$4&amp;CK$5, LS_current!$D$2:$BW$2&amp;LS_current!$D$3:$BW$3, 0)),SUM(VLOOKUP($A34, LS_current!$B$4:$BW$137, LS_current!P$147, FALSE), VLOOKUP($A34, LS_current!$B$4:$BW$137,LS_current!BL$147, FALSE))/2)</f>
        <v>779.1300894169035</v>
      </c>
      <c r="CL34" s="102">
        <f t="array" ref="CL34">IF($BT34=0, INDEX(LS_current!$D$4:$BW$137, MATCH('Staging Table'!$A34, LS_current!$B$4:$B$137, 0), MATCH(CL$4&amp;CL$5, LS_current!$D$2:$BW$2&amp;LS_current!$D$3:$BW$3, 0)),SUM(VLOOKUP($A34, LS_current!$B$4:$BW$137, LS_current!Q$147, FALSE), VLOOKUP($A34, LS_current!$B$4:$BW$137,LS_current!BM$147, FALSE))/2)</f>
        <v>315.87336192809039</v>
      </c>
      <c r="CM34" s="102">
        <f t="array" ref="CM34">IF($BT34=0, INDEX(LS_current!$D$4:$BW$137, MATCH('Staging Table'!$A34, LS_current!$B$4:$B$137, 0), MATCH(CM$4&amp;CM$5, LS_current!$D$2:$BW$2&amp;LS_current!$D$3:$BW$3, 0)),SUM(VLOOKUP($A34, LS_current!$B$4:$BW$137, LS_current!R$147, FALSE), VLOOKUP($A34, LS_current!$B$4:$BW$137,LS_current!BN$147, FALSE))/2)</f>
        <v>-493.35592209859897</v>
      </c>
      <c r="CN34" s="102">
        <f t="array" ref="CN34">IF($BT34=0, INDEX(LS_current!$D$4:$BW$137, MATCH('Staging Table'!$A34, LS_current!$B$4:$B$137, 0), MATCH(CN$4&amp;CN$5, LS_current!$D$2:$BW$2&amp;LS_current!$D$3:$BW$3, 0)),SUM(VLOOKUP($A34, LS_current!$B$4:$BW$137, LS_current!S$147, FALSE), VLOOKUP($A34, LS_current!$B$4:$BW$137,LS_current!BO$147, FALSE))/2)</f>
        <v>-279.30735931139725</v>
      </c>
      <c r="CO34" s="102">
        <f t="array" ref="CO34">IF($BT34=0, INDEX(LS_current!$D$4:$BW$137, MATCH('Staging Table'!$A34, LS_current!$B$4:$B$137, 0), MATCH(CO$4&amp;CO$5, LS_current!$D$2:$BW$2&amp;LS_current!$D$3:$BW$3, 0)),SUM(VLOOKUP($A34, LS_current!$B$4:$BW$137, LS_current!T$147, FALSE), VLOOKUP($A34, LS_current!$B$4:$BW$137,LS_current!BP$147, FALSE))/2)</f>
        <v>-758.95965487444937</v>
      </c>
      <c r="CP34" s="102">
        <f t="array" ref="CP34">IF($BT34=0, INDEX(LS_current!$D$4:$BW$137, MATCH('Staging Table'!$A34, LS_current!$B$4:$B$137, 0), MATCH(CP$4&amp;CP$5, LS_current!$D$2:$BW$2&amp;LS_current!$D$3:$BW$3, 0)),SUM(VLOOKUP($A34, LS_current!$B$4:$BW$137, LS_current!U$147, FALSE), VLOOKUP($A34, LS_current!$B$4:$BW$137,LS_current!BQ$147, FALSE))/2)</f>
        <v>-362.15766222067873</v>
      </c>
      <c r="CQ34" s="102">
        <f t="array" ref="CQ34">IF($BT34=0, INDEX(LS_current!$D$4:$BW$137, MATCH('Staging Table'!$A34, LS_current!$B$4:$B$137, 0), MATCH(CQ$4&amp;CQ$5, LS_current!$D$2:$BW$2&amp;LS_current!$D$3:$BW$3, 0)),SUM(VLOOKUP($A34, LS_current!$B$4:$BW$137, LS_current!V$147, FALSE), VLOOKUP($A34, LS_current!$B$4:$BW$137,LS_current!BR$147, FALSE))/2)</f>
        <v>134.75541315309647</v>
      </c>
      <c r="CR34" s="102">
        <f t="array" ref="CR34">IF($BT34=0, INDEX(LS_current!$D$4:$BW$137, MATCH('Staging Table'!$A34, LS_current!$B$4:$B$137, 0), MATCH(CR$4&amp;CR$5, LS_current!$D$2:$BW$2&amp;LS_current!$D$3:$BW$3, 0)),SUM(VLOOKUP($A34, LS_current!$B$4:$BW$137, LS_current!W$147, FALSE), VLOOKUP($A34, LS_current!$B$4:$BW$137,LS_current!BS$147, FALSE))/2)</f>
        <v>87.33437497596924</v>
      </c>
      <c r="CS34" s="102">
        <f t="array" ref="CS34">IF($BT34=0, INDEX(LS_current!$D$4:$BW$137, MATCH('Staging Table'!$A34, LS_current!$B$4:$B$137, 0), MATCH(CS$4&amp;CS$5, LS_current!$D$2:$BW$2&amp;LS_current!$D$3:$BW$3, 0)),SUM(VLOOKUP($A34, LS_current!$B$4:$BW$137, LS_current!X$147, FALSE), VLOOKUP($A34, LS_current!$B$4:$BW$137,LS_current!BT$147, FALSE))/2)</f>
        <v>-226.89584139951012</v>
      </c>
      <c r="CT34" s="102">
        <f t="array" ref="CT34">IF($BT34=0, INDEX(LS_current!$D$4:$BW$137, MATCH('Staging Table'!$A34, LS_current!$B$4:$B$137, 0), MATCH(CT$4&amp;CT$5, LS_current!$D$2:$BW$2&amp;LS_current!$D$3:$BW$3, 0)),SUM(VLOOKUP($A34, LS_current!$B$4:$BW$137, LS_current!Y$147, FALSE), VLOOKUP($A34, LS_current!$B$4:$BW$137,LS_current!BU$147, FALSE))/2)</f>
        <v>166.68375542360218</v>
      </c>
      <c r="CU34" s="102">
        <f t="array" ref="CU34">IF($BT34=0, INDEX(LS_current!$D$4:$BW$137, MATCH('Staging Table'!$A34, LS_current!$B$4:$B$137, 0), MATCH(CU$4&amp;CU$5, LS_current!$D$2:$BW$2&amp;LS_current!$D$3:$BW$3, 0)),SUM(VLOOKUP($A34, LS_current!$B$4:$BW$137, LS_current!Z$147, FALSE), VLOOKUP($A34, LS_current!$B$4:$BW$137,LS_current!BV$147, FALSE))/2)</f>
        <v>554.90266189243312</v>
      </c>
      <c r="CV34" s="102">
        <f t="array" ref="CV34">IF($BT34=0, INDEX(LS_current!$D$4:$BW$137, MATCH('Staging Table'!$A34, LS_current!$B$4:$B$137, 0), MATCH(CV$4&amp;CV$5, LS_current!$D$2:$BW$2&amp;LS_current!$D$3:$BW$3, 0)),SUM(VLOOKUP($A34, LS_current!$B$4:$BW$137, LS_current!AA$147, FALSE), VLOOKUP($A34, LS_current!$B$4:$BW$137,LS_current!BW$147, FALSE))/2)</f>
        <v>310.20955753097587</v>
      </c>
      <c r="CW34" s="103">
        <f t="array" ref="CW34">INDEX(Demand_current!$D$4:$BW$137, MATCH($A34, Demand_current!$B$4:$B$137, 0), MATCH(CW$4&amp;CW$5,Demand_current!$D$2:$BW$2&amp;Demand_current!$D$3:$BW$3, 0))/1000</f>
        <v>0.63343518518518505</v>
      </c>
      <c r="CX34" s="103">
        <f t="array" ref="CX34">INDEX(Demand_current!$D$4:$BW$137, MATCH($A34, Demand_current!$B$4:$B$137, 0), MATCH(CX$4&amp;CX$5,Demand_current!$D$2:$BW$2&amp;Demand_current!$D$3:$BW$3, 0))/1000</f>
        <v>6.6158854166666878E-2</v>
      </c>
      <c r="CY34" s="103">
        <f t="array" ref="CY34">INDEX(Demand_current!$D$4:$BW$137, MATCH($A34, Demand_current!$B$4:$B$137, 0), MATCH(CY$4&amp;CY$5,Demand_current!$D$2:$BW$2&amp;Demand_current!$D$3:$BW$3, 0))/1000</f>
        <v>1.536175480769232</v>
      </c>
      <c r="CZ34" s="103">
        <f t="array" ref="CZ34">INDEX(Demand_current!$D$4:$BW$137, MATCH($A34, Demand_current!$B$4:$B$137, 0), MATCH(CZ$4&amp;CZ$5,Demand_current!$D$2:$BW$2&amp;Demand_current!$D$3:$BW$3, 0))/1000</f>
        <v>1.5378341346153825</v>
      </c>
      <c r="DA34" s="103">
        <f t="array" ref="DA34">INDEX(Demand_current!$D$4:$BW$137, MATCH($A34, Demand_current!$B$4:$B$137, 0), MATCH(DA$4&amp;DA$5,Demand_current!$D$2:$BW$2&amp;Demand_current!$D$3:$BW$3, 0))/1000</f>
        <v>1.2054765624999999</v>
      </c>
      <c r="DB34" s="103">
        <f t="array" ref="DB34">INDEX(Demand_current!$D$4:$BW$137, MATCH($A34, Demand_current!$B$4:$B$137, 0), MATCH(DB$4&amp;DB$5,Demand_current!$D$2:$BW$2&amp;Demand_current!$D$3:$BW$3, 0))/1000</f>
        <v>1.2507403846153833</v>
      </c>
      <c r="DC34" s="103">
        <f t="array" ref="DC34">INDEX(Demand_current!$D$4:$BW$137, MATCH($A34, Demand_current!$B$4:$B$137, 0), MATCH(DC$4&amp;DC$5,Demand_current!$D$2:$BW$2&amp;Demand_current!$D$3:$BW$3, 0))/1000</f>
        <v>0.6761370192307683</v>
      </c>
      <c r="DD34" s="103">
        <f t="array" ref="DD34">INDEX(Demand_current!$D$4:$BW$137, MATCH($A34, Demand_current!$B$4:$B$137, 0), MATCH(DD$4&amp;DD$5,Demand_current!$D$2:$BW$2&amp;Demand_current!$D$3:$BW$3, 0))/1000</f>
        <v>1.8298075</v>
      </c>
      <c r="DE34" s="103">
        <f t="array" ref="DE34">INDEX(Demand_current!$D$4:$BW$137, MATCH($A34, Demand_current!$B$4:$B$137, 0), MATCH(DE$4&amp;DE$5,Demand_current!$D$2:$BW$2&amp;Demand_current!$D$3:$BW$3, 0))/1000</f>
        <v>4.0128533653846148</v>
      </c>
      <c r="DF34" s="103">
        <f t="array" ref="DF34">INDEX(Demand_current!$D$4:$BW$137, MATCH($A34, Demand_current!$B$4:$B$137, 0), MATCH(DF$4&amp;DF$5,Demand_current!$D$2:$BW$2&amp;Demand_current!$D$3:$BW$3, 0))/1000</f>
        <v>4.1618509615384616</v>
      </c>
      <c r="DG34" s="103">
        <f t="array" ref="DG34">INDEX(Demand_current!$D$4:$BW$137, MATCH($A34, Demand_current!$B$4:$B$137, 0), MATCH(DG$4&amp;DG$5,Demand_current!$D$2:$BW$2&amp;Demand_current!$D$3:$BW$3, 0))/1000</f>
        <v>4.8868605769230768</v>
      </c>
      <c r="DH34" s="103">
        <f t="array" ref="DH34">INDEX(Demand_current!$D$4:$BW$137, MATCH($A34, Demand_current!$B$4:$B$137, 0), MATCH(DH$4&amp;DH$5,Demand_current!$D$2:$BW$2&amp;Demand_current!$D$3:$BW$3, 0))/1000</f>
        <v>3.1745324999999998</v>
      </c>
      <c r="DI34" s="102">
        <f>$BS34*(VLOOKUP(DI$4, Rates_current!$H$6:$R$41, 10, FALSE)+VLOOKUP(DI$4, Rates_current!$H$6:$R$41, 11, FALSE))</f>
        <v>4910.2052698262405</v>
      </c>
      <c r="DJ34" s="102">
        <f>$BS34*(VLOOKUP(DJ$4, Rates_current!$H$6:$R$41, 10, FALSE)+VLOOKUP(DJ$4, Rates_current!$H$6:$R$41, 11, FALSE))</f>
        <v>6277.5358324042227</v>
      </c>
      <c r="DK34" s="102">
        <f>$BS34*(VLOOKUP(DK$4, Rates_current!$H$6:$R$41, 10, FALSE)+VLOOKUP(DK$4, Rates_current!$H$6:$R$41, 11, FALSE))</f>
        <v>7137.0332074711805</v>
      </c>
      <c r="DL34" s="102">
        <f>$BS34*(VLOOKUP(DL$4, Rates_current!$H$6:$R$41, 10, FALSE)+VLOOKUP(DL$4, Rates_current!$H$6:$R$41, 11, FALSE))</f>
        <v>7530.1271427388683</v>
      </c>
      <c r="DM34" s="102">
        <f>$BS34*(VLOOKUP(DM$4, Rates_current!$H$6:$R$41, 10, FALSE)+VLOOKUP(DM$4, Rates_current!$H$6:$R$41, 11, FALSE))</f>
        <v>6000.8317128111994</v>
      </c>
      <c r="DN34" s="102">
        <f>$BS34*(VLOOKUP(DN$4, Rates_current!$H$6:$R$41, 10, FALSE)+VLOOKUP(DN$4, Rates_current!$H$6:$R$41, 11, FALSE))</f>
        <v>6560.1413673811257</v>
      </c>
      <c r="DO34" s="102">
        <f>$BS34*(VLOOKUP(DO$4, Rates_current!$H$6:$R$41, 10, FALSE)+VLOOKUP(DO$4, Rates_current!$H$6:$R$41, 11, FALSE))</f>
        <v>5084.1755486550064</v>
      </c>
      <c r="DP34" s="102">
        <f>$BS34*(VLOOKUP(DP$4, Rates_current!$H$6:$R$41, 10, FALSE)+VLOOKUP(DP$4, Rates_current!$H$6:$R$41, 11, FALSE))</f>
        <v>6579.7602814099955</v>
      </c>
      <c r="DQ34" s="102">
        <f>$BS34*(VLOOKUP(DQ$4, Rates_current!$H$6:$R$41, 10, FALSE)+VLOOKUP(DQ$4, Rates_current!$H$6:$R$41, 11, FALSE))</f>
        <v>6720.2573170951282</v>
      </c>
      <c r="DR34" s="102">
        <f>$BS34*(VLOOKUP(DR$4, Rates_current!$H$6:$R$41, 10, FALSE)+VLOOKUP(DR$4, Rates_current!$H$6:$R$41, 11, FALSE))</f>
        <v>5981.6102118709341</v>
      </c>
      <c r="DS34" s="102">
        <f>$BS34*(VLOOKUP(DS$4, Rates_current!$H$6:$R$41, 10, FALSE)+VLOOKUP(DS$4, Rates_current!$H$6:$R$41, 11, FALSE))</f>
        <v>6136.0350859759083</v>
      </c>
      <c r="DT34" s="102">
        <f>$BS34*(VLOOKUP(DT$4, Rates_current!$H$6:$R$41, 10, FALSE)+VLOOKUP(DT$4, Rates_current!$H$6:$R$41, 11, FALSE))</f>
        <v>4765.3667805765917</v>
      </c>
      <c r="DU34" s="261">
        <f>IF(D34=0,IF(C34=0,MAX(0,DW34 - (VLOOKUP($A34,TOCA_current!$A$2:$AV$136,MATCH("RHWM "&amp;Init!$D$1,TOCA_current!$A$2:$AV$2,0),FALSE)*$BS$2)), 0),0)</f>
        <v>6018.925349495621</v>
      </c>
      <c r="DV34" s="262">
        <f>MIN(VLOOKUP($A34,TOCA_current!$A$2:$AV$136,MATCH("TRL - NLSL - Existing Resource "&amp;$BS$1,TOCA_current!$A$2:$AV$2,0),FALSE)*$BS$2, VLOOKUP($A34,TOCA_current!$A$2:$AV$136,MATCH("RHWM "&amp;Init!$D$1,TOCA_current!$A$2:$AV$2,0),FALSE)*$BS$2)</f>
        <v>73680.36</v>
      </c>
      <c r="DW34" s="262">
        <f>SUM(BY34:CV34)+(BS34*RT1SC!$C$4*$BS$2)</f>
        <v>79699.285349495622</v>
      </c>
      <c r="DX34" s="262">
        <f>VLOOKUP($A34,TOCA_current!$A$2:$AV$136,MATCH("Above RHWM Not Served with LS "&amp;$BS$1,TOCA_current!$A$2:$AV$2,0),FALSE)*$BS$2</f>
        <v>0</v>
      </c>
      <c r="DY34" s="262">
        <f t="shared" si="28"/>
        <v>6018.925349495621</v>
      </c>
      <c r="DZ34" s="262">
        <f>(VLOOKUP($A34,TOCA_current!$A$2:$AV$136,MATCH("RHWM "&amp;Init!$D$1,TOCA_current!$A$2:$AV$2,0),FALSE)*$BS$2) - $DV34</f>
        <v>0</v>
      </c>
      <c r="EA34" s="262">
        <f t="shared" si="29"/>
        <v>0</v>
      </c>
      <c r="EB34" s="262">
        <f t="shared" si="30"/>
        <v>0</v>
      </c>
      <c r="EC34" s="262">
        <f t="shared" si="31"/>
        <v>0</v>
      </c>
      <c r="ED34" s="262">
        <f t="shared" si="32"/>
        <v>0</v>
      </c>
    </row>
    <row r="35" spans="1:134">
      <c r="A35" s="2">
        <v>10086</v>
      </c>
      <c r="B35" s="3" t="s">
        <v>37</v>
      </c>
      <c r="C35">
        <f>VLOOKUP(A35, TOCA_current!$A$3:$D$136, 4, FALSE)</f>
        <v>0</v>
      </c>
      <c r="D35">
        <v>0</v>
      </c>
      <c r="E35" s="84">
        <f>VLOOKUP($A35,TOCA_previous!$A$2:$AJ$136,MATCH(E$4,TOCA_previous!$A$2:$AJ$2,0),FALSE)</f>
        <v>5.6010000000000001E-4</v>
      </c>
      <c r="F35" s="85">
        <f>VLOOKUP($A35,TOCA_previous!$A$2:$AJ$136,MATCH(F$4,TOCA_previous!$A$2:$AJ$2,0),FALSE)</f>
        <v>5.6010000000000001E-4</v>
      </c>
      <c r="G35" s="85">
        <f t="shared" si="18"/>
        <v>0</v>
      </c>
      <c r="H35" s="85">
        <f>VLOOKUP($A35,TOCA_previous!$A$2:$AJ$136,MATCH(H$4,TOCA_previous!$A$2:$AJ$2,0),FALSE)</f>
        <v>0</v>
      </c>
      <c r="I35" s="85">
        <f t="shared" si="19"/>
        <v>0</v>
      </c>
      <c r="J35" s="85">
        <f t="shared" si="20"/>
        <v>0</v>
      </c>
      <c r="K35" s="101">
        <f>VLOOKUP(A35, IRD!$A$5:$C$138, 3, FALSE)</f>
        <v>0</v>
      </c>
      <c r="L35" s="102">
        <f t="array" ref="L35">IF($G35=0, INDEX(LS_previous!$D$4:$AY$137, MATCH('Staging Table'!$A35, LS_previous!$B$4:$B$137, 0), MATCH(L$4&amp;L$5, LS_previous!$D$2:$AY$2&amp;LS_previous!$D$3:$AY$3, 0)),SUM(VLOOKUP($A35, LS_previous!$B$4:$AY$137, LS_previous!D$148, FALSE), VLOOKUP('Staging Table'!$A35, LS_previous!$B$4:$AY$137,LS_previous!AB$148, FALSE))/2)</f>
        <v>-233.51590456360032</v>
      </c>
      <c r="M35" s="102">
        <f t="array" ref="M35">IF($G35=0, INDEX(LS_previous!$D$4:$AY$137, MATCH('Staging Table'!$A35, LS_previous!$B$4:$B$137, 0), MATCH(M$4&amp;M$5, LS_previous!$D$2:$AY$2&amp;LS_previous!$D$3:$AY$3, 0)),SUM(VLOOKUP($A35, LS_previous!$B$4:$AY$137, LS_previous!E$148, FALSE), VLOOKUP('Staging Table'!$A35, LS_previous!$B$4:$AY$137,LS_previous!AC$148, FALSE))/2)</f>
        <v>-265.68108225254991</v>
      </c>
      <c r="N35" s="102">
        <f t="array" ref="N35">IF($G35=0, INDEX(LS_previous!$D$4:$AY$137, MATCH('Staging Table'!$A35, LS_previous!$B$4:$B$137, 0), MATCH(N$4&amp;N$5, LS_previous!$D$2:$AY$2&amp;LS_previous!$D$3:$AY$3, 0)),SUM(VLOOKUP($A35, LS_previous!$B$4:$AY$137, LS_previous!F$148, FALSE), VLOOKUP('Staging Table'!$A35, LS_previous!$B$4:$AY$137,LS_previous!AD$148, FALSE))/2)</f>
        <v>-676.41135241280017</v>
      </c>
      <c r="O35" s="102">
        <f t="array" ref="O35">IF($G35=0, INDEX(LS_previous!$D$4:$AY$137, MATCH('Staging Table'!$A35, LS_previous!$B$4:$B$137, 0), MATCH(O$4&amp;O$5, LS_previous!$D$2:$AY$2&amp;LS_previous!$D$3:$AY$3, 0)),SUM(VLOOKUP($A35, LS_previous!$B$4:$AY$137, LS_previous!G$148, FALSE), VLOOKUP('Staging Table'!$A35, LS_previous!$B$4:$AY$137,LS_previous!AE$148, FALSE))/2)</f>
        <v>-312.28062122309996</v>
      </c>
      <c r="P35" s="102">
        <f t="array" ref="P35">IF($G35=0, INDEX(LS_previous!$D$4:$AY$137, MATCH('Staging Table'!$A35, LS_previous!$B$4:$B$137, 0), MATCH(P$4&amp;P$5, LS_previous!$D$2:$AY$2&amp;LS_previous!$D$3:$AY$3, 0)),SUM(VLOOKUP($A35, LS_previous!$B$4:$AY$137, LS_previous!H$148, FALSE), VLOOKUP('Staging Table'!$A35, LS_previous!$B$4:$AY$137,LS_previous!AF$148, FALSE))/2)</f>
        <v>-377.12306241390002</v>
      </c>
      <c r="Q35" s="102">
        <f t="array" ref="Q35">IF($G35=0, INDEX(LS_previous!$D$4:$AY$137, MATCH('Staging Table'!$A35, LS_previous!$B$4:$B$137, 0), MATCH(Q$4&amp;Q$5, LS_previous!$D$2:$AY$2&amp;LS_previous!$D$3:$AY$3, 0)),SUM(VLOOKUP($A35, LS_previous!$B$4:$AY$137, LS_previous!I$148, FALSE), VLOOKUP('Staging Table'!$A35, LS_previous!$B$4:$AY$137,LS_previous!AG$148, FALSE))/2)</f>
        <v>-265.82506912960002</v>
      </c>
      <c r="R35" s="102">
        <f t="array" ref="R35">IF($G35=0, INDEX(LS_previous!$D$4:$AY$137, MATCH('Staging Table'!$A35, LS_previous!$B$4:$B$137, 0), MATCH(R$4&amp;R$5, LS_previous!$D$2:$AY$2&amp;LS_previous!$D$3:$AY$3, 0)),SUM(VLOOKUP($A35, LS_previous!$B$4:$AY$137, LS_previous!J$148, FALSE), VLOOKUP('Staging Table'!$A35, LS_previous!$B$4:$AY$137,LS_previous!AH$148, FALSE))/2)</f>
        <v>-456.26692957149999</v>
      </c>
      <c r="S35" s="102">
        <f t="array" ref="S35">IF($G35=0, INDEX(LS_previous!$D$4:$AY$137, MATCH('Staging Table'!$A35, LS_previous!$B$4:$B$137, 0), MATCH(S$4&amp;S$5, LS_previous!$D$2:$AY$2&amp;LS_previous!$D$3:$AY$3, 0)),SUM(VLOOKUP($A35, LS_previous!$B$4:$AY$137, LS_previous!K$148, FALSE), VLOOKUP('Staging Table'!$A35, LS_previous!$B$4:$AY$137,LS_previous!AI$148, FALSE))/2)</f>
        <v>-193.46111004289992</v>
      </c>
      <c r="T35" s="102">
        <f t="array" ref="T35">IF($G35=0, INDEX(LS_previous!$D$4:$AY$137, MATCH('Staging Table'!$A35, LS_previous!$B$4:$B$137, 0), MATCH(T$4&amp;T$5, LS_previous!$D$2:$AY$2&amp;LS_previous!$D$3:$AY$3, 0)),SUM(VLOOKUP($A35, LS_previous!$B$4:$AY$137, LS_previous!L$148, FALSE), VLOOKUP('Staging Table'!$A35, LS_previous!$B$4:$AY$137,LS_previous!AJ$148, FALSE))/2)</f>
        <v>-510.07269182789969</v>
      </c>
      <c r="U35" s="102">
        <f t="array" ref="U35">IF($G35=0, INDEX(LS_previous!$D$4:$AY$137, MATCH('Staging Table'!$A35, LS_previous!$B$4:$B$137, 0), MATCH(U$4&amp;U$5, LS_previous!$D$2:$AY$2&amp;LS_previous!$D$3:$AY$3, 0)),SUM(VLOOKUP($A35, LS_previous!$B$4:$AY$137, LS_previous!M$148, FALSE), VLOOKUP('Staging Table'!$A35, LS_previous!$B$4:$AY$137,LS_previous!AK$148, FALSE))/2)</f>
        <v>-188.39908723589997</v>
      </c>
      <c r="V35" s="102">
        <f t="array" ref="V35">IF($G35=0, INDEX(LS_previous!$D$4:$AY$137, MATCH('Staging Table'!$A35, LS_previous!$B$4:$B$137, 0), MATCH(V$4&amp;V$5, LS_previous!$D$2:$AY$2&amp;LS_previous!$D$3:$AY$3, 0)),SUM(VLOOKUP($A35, LS_previous!$B$4:$AY$137, LS_previous!N$148, FALSE), VLOOKUP('Staging Table'!$A35, LS_previous!$B$4:$AY$137,LS_previous!AL$148, FALSE))/2)</f>
        <v>-564.0616951912998</v>
      </c>
      <c r="W35" s="102">
        <f t="array" ref="W35">IF($G35=0, INDEX(LS_previous!$D$4:$AY$137, MATCH('Staging Table'!$A35, LS_previous!$B$4:$B$137, 0), MATCH(W$4&amp;W$5, LS_previous!$D$2:$AY$2&amp;LS_previous!$D$3:$AY$3, 0)),SUM(VLOOKUP($A35, LS_previous!$B$4:$AY$137, LS_previous!O$148, FALSE), VLOOKUP('Staging Table'!$A35, LS_previous!$B$4:$AY$137,LS_previous!AM$148, FALSE))/2)</f>
        <v>-331.46783785779985</v>
      </c>
      <c r="X35" s="102">
        <f t="array" ref="X35">IF($G35=0, INDEX(LS_previous!$D$4:$AY$137, MATCH('Staging Table'!$A35, LS_previous!$B$4:$B$137, 0), MATCH(X$4&amp;X$5, LS_previous!$D$2:$AY$2&amp;LS_previous!$D$3:$AY$3, 0)),SUM(VLOOKUP($A35, LS_previous!$B$4:$AY$137, LS_previous!P$148, FALSE), VLOOKUP('Staging Table'!$A35, LS_previous!$B$4:$AY$137,LS_previous!AN$148, FALSE))/2)</f>
        <v>-459.55459617774977</v>
      </c>
      <c r="Y35" s="102">
        <f t="array" ref="Y35">IF($G35=0, INDEX(LS_previous!$D$4:$AY$137, MATCH('Staging Table'!$A35, LS_previous!$B$4:$B$137, 0), MATCH(Y$4&amp;Y$5, LS_previous!$D$2:$AY$2&amp;LS_previous!$D$3:$AY$3, 0)),SUM(VLOOKUP($A35, LS_previous!$B$4:$AY$137, LS_previous!Q$148, FALSE), VLOOKUP('Staging Table'!$A35, LS_previous!$B$4:$AY$137,LS_previous!AO$148, FALSE))/2)</f>
        <v>-319.73755992617487</v>
      </c>
      <c r="Z35" s="102">
        <f t="array" ref="Z35">IF($G35=0, INDEX(LS_previous!$D$4:$AY$137, MATCH('Staging Table'!$A35, LS_previous!$B$4:$B$137, 0), MATCH(Z$4&amp;Z$5, LS_previous!$D$2:$AY$2&amp;LS_previous!$D$3:$AY$3, 0)),SUM(VLOOKUP($A35, LS_previous!$B$4:$AY$137, LS_previous!R$148, FALSE), VLOOKUP('Staging Table'!$A35, LS_previous!$B$4:$AY$137,LS_previous!AP$148, FALSE))/2)</f>
        <v>-972.86961656480025</v>
      </c>
      <c r="AA35" s="102">
        <f t="array" ref="AA35">IF($G35=0, INDEX(LS_previous!$D$4:$AY$137, MATCH('Staging Table'!$A35, LS_previous!$B$4:$B$137, 0), MATCH(AA$4&amp;AA$5, LS_previous!$D$2:$AY$2&amp;LS_previous!$D$3:$AY$3, 0)),SUM(VLOOKUP($A35, LS_previous!$B$4:$AY$137, LS_previous!S$148, FALSE), VLOOKUP('Staging Table'!$A35, LS_previous!$B$4:$AY$137,LS_previous!AQ$148, FALSE))/2)</f>
        <v>-561.42643567584992</v>
      </c>
      <c r="AB35" s="102">
        <f t="array" ref="AB35">IF($G35=0, INDEX(LS_previous!$D$4:$AY$137, MATCH('Staging Table'!$A35, LS_previous!$B$4:$B$137, 0), MATCH(AB$4&amp;AB$5, LS_previous!$D$2:$AY$2&amp;LS_previous!$D$3:$AY$3, 0)),SUM(VLOOKUP($A35, LS_previous!$B$4:$AY$137, LS_previous!T$148, FALSE), VLOOKUP('Staging Table'!$A35, LS_previous!$B$4:$AY$137,LS_previous!AR$148, FALSE))/2)</f>
        <v>-1150.4274393525998</v>
      </c>
      <c r="AC35" s="102">
        <f t="array" ref="AC35">IF($G35=0, INDEX(LS_previous!$D$4:$AY$137, MATCH('Staging Table'!$A35, LS_previous!$B$4:$B$137, 0), MATCH(AC$4&amp;AC$5, LS_previous!$D$2:$AY$2&amp;LS_previous!$D$3:$AY$3, 0)),SUM(VLOOKUP($A35, LS_previous!$B$4:$AY$137, LS_previous!U$148, FALSE), VLOOKUP('Staging Table'!$A35, LS_previous!$B$4:$AY$137,LS_previous!AS$148, FALSE))/2)</f>
        <v>-708.16495802545001</v>
      </c>
      <c r="AD35" s="102">
        <f t="array" ref="AD35">IF($G35=0, INDEX(LS_previous!$D$4:$AY$137, MATCH('Staging Table'!$A35, LS_previous!$B$4:$B$137, 0), MATCH(AD$4&amp;AD$5, LS_previous!$D$2:$AY$2&amp;LS_previous!$D$3:$AY$3, 0)),SUM(VLOOKUP($A35, LS_previous!$B$4:$AY$137, LS_previous!V$148, FALSE), VLOOKUP('Staging Table'!$A35, LS_previous!$B$4:$AY$137,LS_previous!AT$148, FALSE))/2)</f>
        <v>-864.11549101640003</v>
      </c>
      <c r="AE35" s="102">
        <f t="array" ref="AE35">IF($G35=0, INDEX(LS_previous!$D$4:$AY$137, MATCH('Staging Table'!$A35, LS_previous!$B$4:$B$137, 0), MATCH(AE$4&amp;AE$5, LS_previous!$D$2:$AY$2&amp;LS_previous!$D$3:$AY$3, 0)),SUM(VLOOKUP($A35, LS_previous!$B$4:$AY$137, LS_previous!W$148, FALSE), VLOOKUP('Staging Table'!$A35, LS_previous!$B$4:$AY$137,LS_previous!AU$148, FALSE))/2)</f>
        <v>-550.21014366275006</v>
      </c>
      <c r="AF35" s="102">
        <f t="array" ref="AF35">IF($G35=0, INDEX(LS_previous!$D$4:$AY$137, MATCH('Staging Table'!$A35, LS_previous!$B$4:$B$137, 0), MATCH(AF$4&amp;AF$5, LS_previous!$D$2:$AY$2&amp;LS_previous!$D$3:$AY$3, 0)),SUM(VLOOKUP($A35, LS_previous!$B$4:$AY$137, LS_previous!X$148, FALSE), VLOOKUP('Staging Table'!$A35, LS_previous!$B$4:$AY$137,LS_previous!AV$148, FALSE))/2)</f>
        <v>-888.46232505715022</v>
      </c>
      <c r="AG35" s="102">
        <f t="array" ref="AG35">IF($G35=0, INDEX(LS_previous!$D$4:$AY$137, MATCH('Staging Table'!$A35, LS_previous!$B$4:$B$137, 0), MATCH(AG$4&amp;AG$5, LS_previous!$D$2:$AY$2&amp;LS_previous!$D$3:$AY$3, 0)),SUM(VLOOKUP($A35, LS_previous!$B$4:$AY$137, LS_previous!Y$148, FALSE), VLOOKUP('Staging Table'!$A35, LS_previous!$B$4:$AY$137,LS_previous!AW$148, FALSE))/2)</f>
        <v>-437.22029852398498</v>
      </c>
      <c r="AH35" s="102">
        <f t="array" ref="AH35">IF($G35=0, INDEX(LS_previous!$D$4:$AY$137, MATCH('Staging Table'!$A35, LS_previous!$B$4:$B$137, 0), MATCH(AH$4&amp;AH$5, LS_previous!$D$2:$AY$2&amp;LS_previous!$D$3:$AY$3, 0)),SUM(VLOOKUP($A35, LS_previous!$B$4:$AY$137, LS_previous!Z$148, FALSE), VLOOKUP('Staging Table'!$A35, LS_previous!$B$4:$AY$137,LS_previous!AX$148, FALSE))/2)</f>
        <v>-643.85192726740013</v>
      </c>
      <c r="AI35" s="102">
        <f t="array" ref="AI35">IF($G35=0, INDEX(LS_previous!$D$4:$AY$137, MATCH('Staging Table'!$A35, LS_previous!$B$4:$B$137, 0), MATCH(AI$4&amp;AI$5, LS_previous!$D$2:$AY$2&amp;LS_previous!$D$3:$AY$3, 0)),SUM(VLOOKUP($A35, LS_previous!$B$4:$AY$137, LS_previous!AA$148, FALSE), VLOOKUP('Staging Table'!$A35, LS_previous!$B$4:$AY$137,LS_previous!AY$148, FALSE))/2)</f>
        <v>-472.10403515040002</v>
      </c>
      <c r="AJ35" s="103">
        <f t="array" ref="AJ35">INDEX(Demand_previous!$D$4:$AY$137, MATCH('Staging Table'!$A35, Demand_previous!$B$4:$B$137, 0), MATCH(AJ$4&amp;AJ$5,Demand_previous!$D$2:$AY$2&amp;Demand_previous!$D$3:$AY$3, 0))/1000</f>
        <v>0</v>
      </c>
      <c r="AK35" s="103">
        <f t="array" ref="AK35">INDEX(Demand_previous!$D$4:$AY$137, MATCH('Staging Table'!$A35, Demand_previous!$B$4:$B$137, 0), MATCH(AK$4&amp;AK$5,Demand_previous!$D$2:$AY$2&amp;Demand_previous!$D$3:$AY$3, 0))/1000</f>
        <v>0.28493000000000035</v>
      </c>
      <c r="AL35" s="103">
        <f t="array" ref="AL35">INDEX(Demand_previous!$D$4:$AY$137, MATCH('Staging Table'!$A35, Demand_previous!$B$4:$B$137, 0), MATCH(AL$4&amp;AL$5,Demand_previous!$D$2:$AY$2&amp;Demand_previous!$D$3:$AY$3, 0))/1000</f>
        <v>0.15724749999999998</v>
      </c>
      <c r="AM35" s="103">
        <f t="array" ref="AM35">INDEX(Demand_previous!$D$4:$AY$137, MATCH('Staging Table'!$A35, Demand_previous!$B$4:$B$137, 0), MATCH(AM$4&amp;AM$5,Demand_previous!$D$2:$AY$2&amp;Demand_previous!$D$3:$AY$3, 0))/1000</f>
        <v>0.46808173076923087</v>
      </c>
      <c r="AN35" s="103">
        <f t="array" ref="AN35">INDEX(Demand_previous!$D$4:$AY$137, MATCH('Staging Table'!$A35, Demand_previous!$B$4:$B$137, 0), MATCH(AN$4&amp;AN$5,Demand_previous!$D$2:$AY$2&amp;Demand_previous!$D$3:$AY$3, 0))/1000</f>
        <v>0.4833624999999997</v>
      </c>
      <c r="AO35" s="103">
        <f t="array" ref="AO35">INDEX(Demand_previous!$D$4:$AY$137, MATCH('Staging Table'!$A35, Demand_previous!$B$4:$B$137, 0), MATCH(AO$4&amp;AO$5,Demand_previous!$D$2:$AY$2&amp;Demand_previous!$D$3:$AY$3, 0))/1000</f>
        <v>0.26296634615384629</v>
      </c>
      <c r="AP35" s="103">
        <f t="array" ref="AP35">INDEX(Demand_previous!$D$4:$AY$137, MATCH('Staging Table'!$A35, Demand_previous!$B$4:$B$137, 0), MATCH(AP$4&amp;AP$5,Demand_previous!$D$2:$AY$2&amp;Demand_previous!$D$3:$AY$3, 0))/1000</f>
        <v>0.74826442307692287</v>
      </c>
      <c r="AQ35" s="103">
        <f t="array" ref="AQ35">INDEX(Demand_previous!$D$4:$AY$137, MATCH('Staging Table'!$A35, Demand_previous!$B$4:$B$137, 0), MATCH(AQ$4&amp;AQ$5,Demand_previous!$D$2:$AY$2&amp;Demand_previous!$D$3:$AY$3, 0))/1000</f>
        <v>3.9834134615384764E-2</v>
      </c>
      <c r="AR35" s="103">
        <f t="array" ref="AR35">INDEX(Demand_previous!$D$4:$AY$137, MATCH('Staging Table'!$A35, Demand_previous!$B$4:$B$137, 0), MATCH(AR$4&amp;AR$5,Demand_previous!$D$2:$AY$2&amp;Demand_previous!$D$3:$AY$3, 0))/1000</f>
        <v>0</v>
      </c>
      <c r="AS35" s="103">
        <f t="array" ref="AS35">INDEX(Demand_previous!$D$4:$AY$137, MATCH('Staging Table'!$A35, Demand_previous!$B$4:$B$137, 0), MATCH(AS$4&amp;AS$5,Demand_previous!$D$2:$AY$2&amp;Demand_previous!$D$3:$AY$3, 0))/1000</f>
        <v>2.4766826923076746E-2</v>
      </c>
      <c r="AT35" s="103">
        <f t="array" ref="AT35">INDEX(Demand_previous!$D$4:$AY$137, MATCH('Staging Table'!$A35, Demand_previous!$B$4:$B$137, 0), MATCH(AT$4&amp;AT$5,Demand_previous!$D$2:$AY$2&amp;Demand_previous!$D$3:$AY$3, 0))/1000</f>
        <v>0.36232870370370351</v>
      </c>
      <c r="AU35" s="103">
        <f t="array" ref="AU35">INDEX(Demand_previous!$D$4:$AY$137, MATCH('Staging Table'!$A35, Demand_previous!$B$4:$B$137, 0), MATCH(AU$4&amp;AU$5,Demand_previous!$D$2:$AY$2&amp;Demand_previous!$D$3:$AY$3, 0))/1000</f>
        <v>3.1565104166667024E-2</v>
      </c>
      <c r="AV35" s="102">
        <f>$F35*(VLOOKUP(AV$4, Rates_previous!$G$6:$Q$29, 10, FALSE)+VLOOKUP(AV$4, Rates_previous!$G$6:$Q$29, 11, FALSE))</f>
        <v>2362.9519868161501</v>
      </c>
      <c r="AW35" s="102">
        <f>$F35*(VLOOKUP(AW$4, Rates_previous!$G$6:$Q$29, 10, FALSE)+VLOOKUP(AW$4, Rates_previous!$G$6:$Q$29, 11, FALSE))</f>
        <v>3013.5429736359006</v>
      </c>
      <c r="AX35" s="102">
        <f>$F35*(VLOOKUP(AX$4, Rates_previous!$G$6:$Q$29, 10, FALSE)+VLOOKUP(AX$4, Rates_previous!$G$6:$Q$29, 11, FALSE))</f>
        <v>3252.2091315435005</v>
      </c>
      <c r="AY35" s="102">
        <f>$F35*(VLOOKUP(AY$4, Rates_previous!$G$6:$Q$29, 10, FALSE)+VLOOKUP(AY$4, Rates_previous!$G$6:$Q$29, 11, FALSE))</f>
        <v>3379.5480396143998</v>
      </c>
      <c r="AZ35" s="102">
        <f>$F35*(VLOOKUP(AZ$4, Rates_previous!$G$6:$Q$29, 10, FALSE)+VLOOKUP(AZ$4, Rates_previous!$G$6:$Q$29, 11, FALSE))</f>
        <v>2906.8617790638</v>
      </c>
      <c r="BA35" s="102">
        <f>$F35*(VLOOKUP(BA$4, Rates_previous!$G$6:$Q$29, 10, FALSE)+VLOOKUP(BA$4, Rates_previous!$G$6:$Q$29, 11, FALSE))</f>
        <v>3173.7175330491</v>
      </c>
      <c r="BB35" s="102">
        <f>$F35*(VLOOKUP(BB$4, Rates_previous!$G$6:$Q$29, 10, FALSE)+VLOOKUP(BB$4, Rates_previous!$G$6:$Q$29, 11, FALSE))</f>
        <v>2505.1151561039246</v>
      </c>
      <c r="BC35" s="102">
        <f>$F35*(VLOOKUP(BC$4, Rates_previous!$G$6:$Q$29, 10, FALSE)+VLOOKUP(BC$4, Rates_previous!$G$6:$Q$29, 11, FALSE))</f>
        <v>3107.9310522406499</v>
      </c>
      <c r="BD35" s="102">
        <f>$F35*(VLOOKUP(BD$4, Rates_previous!$G$6:$Q$29, 10, FALSE)+VLOOKUP(BD$4, Rates_previous!$G$6:$Q$29, 11, FALSE))</f>
        <v>3175.3653973780497</v>
      </c>
      <c r="BE35" s="102">
        <f>$F35*(VLOOKUP(BE$4, Rates_previous!$G$6:$Q$29, 10, FALSE)+VLOOKUP(BE$4, Rates_previous!$G$6:$Q$29, 11, FALSE))</f>
        <v>2756.6746346791501</v>
      </c>
      <c r="BF35" s="102">
        <f>$F35*(VLOOKUP(BF$4, Rates_previous!$G$6:$Q$29, 10, FALSE)+VLOOKUP(BF$4, Rates_previous!$G$6:$Q$29, 11, FALSE))</f>
        <v>2664.9716235811352</v>
      </c>
      <c r="BG35" s="102">
        <f>$F35*(VLOOKUP(BG$4, Rates_previous!$G$6:$Q$29, 10, FALSE)+VLOOKUP(BG$4, Rates_previous!$G$6:$Q$29, 11, FALSE))</f>
        <v>2452.2899624178003</v>
      </c>
      <c r="BH35" s="103">
        <f>IF($D35=0,IF(C35=0, MAX(BJ35 - (VLOOKUP($A35,TOCA_previous!$A$2:$AJ$136,MATCH("RHWM "&amp;Init!$D$1-2,TOCA_previous!$A$2:$AJ$2,0),FALSE)*$F$2*TOCA_previous!C32),0),0), 0)</f>
        <v>0</v>
      </c>
      <c r="BI35" s="109">
        <f>MIN(VLOOKUP($A35,TOCA_previous!$A$2:$AJ$136,MATCH("TRL - NLSL - Existing Resource "&amp;$F$1,TOCA_previous!$A$2:$AJ$2,0),FALSE)*$F$2,(VLOOKUP($A35,TOCA_previous!$A$2:$AJ$136,MATCH("RHWM "&amp;Init!$D$1-2,TOCA_previous!$A$2:$AJ$2,0),FALSE)*$F$2))</f>
        <v>33985.296000000002</v>
      </c>
      <c r="BJ35" s="261">
        <f>SUM(L35:AI35)+(F35*RT1SC!$C$3*$F$2)</f>
        <v>22348.468159292439</v>
      </c>
      <c r="BK35" s="260">
        <f>VLOOKUP($A35,TOCA_previous!$A$2:$AJ$136,MATCH("Above RHWM Not Served with LS "&amp;$F$1,TOCA_previous!$A$2:$AJ$2,0),FALSE)*$F$2</f>
        <v>0</v>
      </c>
      <c r="BL35" s="261">
        <f t="shared" si="21"/>
        <v>-11636.827840707563</v>
      </c>
      <c r="BM35" s="260">
        <f>(VLOOKUP($A35,TOCA_previous!$A$2:$AJ$136,MATCH("RHWM "&amp;Init!$D$1-2,TOCA_previous!$A$2:$AJ$2,0),FALSE)*$F$2) - $BI35</f>
        <v>667.58399999999529</v>
      </c>
      <c r="BN35" s="261">
        <f t="shared" si="22"/>
        <v>0</v>
      </c>
      <c r="BO35" s="260">
        <f t="shared" si="23"/>
        <v>11636.827840707563</v>
      </c>
      <c r="BP35" s="261">
        <f t="shared" si="24"/>
        <v>0</v>
      </c>
      <c r="BQ35" s="260">
        <f t="shared" si="9"/>
        <v>11636.827840707563</v>
      </c>
      <c r="BR35" s="85">
        <f>VLOOKUP($A35,TOCA_current!$A$2:$ZZ$136,MATCH(BR$4,TOCA_current!$A$2:$ZZ$2,0),FALSE)</f>
        <v>3.5879999999999999E-4</v>
      </c>
      <c r="BS35" s="85">
        <f>VLOOKUP($A35,TOCA_current!$A$2:$ZZ$136,MATCH(BS$4,TOCA_current!$A$2:$ZZ$2,0),FALSE)</f>
        <v>3.5879999999999999E-4</v>
      </c>
      <c r="BT35" s="108">
        <f t="shared" si="25"/>
        <v>0</v>
      </c>
      <c r="BU35" s="85">
        <f>VLOOKUP($A35,TOCA_current!A32:BG166,MATCH(BU$4,TOCA_current!$A$2:$BG$2,0),FALSE)</f>
        <v>0</v>
      </c>
      <c r="BV35" s="85">
        <f t="shared" si="26"/>
        <v>0</v>
      </c>
      <c r="BW35" s="85">
        <f t="shared" si="27"/>
        <v>0</v>
      </c>
      <c r="BX35" s="101">
        <f>VLOOKUP($A35,IRD!$A$4:$G$138, 7, FALSE)</f>
        <v>0</v>
      </c>
      <c r="BY35" s="102">
        <f t="array" ref="BY35">IF($BT35=0, INDEX(LS_current!$D$4:$BW$137, MATCH('Staging Table'!$A35, LS_current!$B$4:$B$137, 0), MATCH(BY$4&amp;BY$5, LS_current!$D$2:$BW$2&amp;LS_current!$D$3:$BW$3, 0)),SUM(VLOOKUP($A35, LS_current!$B$4:$BW$137, LS_current!D$147, FALSE), VLOOKUP($A35, LS_current!$B$4:$BW$137,LS_current!AZ$147, FALSE))/2)</f>
        <v>268.23586747227614</v>
      </c>
      <c r="BZ35" s="102">
        <f t="array" ref="BZ35">IF($BT35=0, INDEX(LS_current!$D$4:$BW$137, MATCH('Staging Table'!$A35, LS_current!$B$4:$B$137, 0), MATCH(BZ$4&amp;BZ$5, LS_current!$D$2:$BW$2&amp;LS_current!$D$3:$BW$3, 0)),SUM(VLOOKUP($A35, LS_current!$B$4:$BW$137, LS_current!E$147, FALSE), VLOOKUP($A35, LS_current!$B$4:$BW$137,LS_current!BA$147, FALSE))/2)</f>
        <v>106.3959385342705</v>
      </c>
      <c r="CA35" s="102">
        <f t="array" ref="CA35">IF($BT35=0, INDEX(LS_current!$D$4:$BW$137, MATCH('Staging Table'!$A35, LS_current!$B$4:$B$137, 0), MATCH(CA$4&amp;CA$5, LS_current!$D$2:$BW$2&amp;LS_current!$D$3:$BW$3, 0)),SUM(VLOOKUP($A35, LS_current!$B$4:$BW$137, LS_current!F$147, FALSE), VLOOKUP($A35, LS_current!$B$4:$BW$137,LS_current!BB$147, FALSE))/2)</f>
        <v>1.8590052507479413</v>
      </c>
      <c r="CB35" s="102">
        <f t="array" ref="CB35">IF($BT35=0, INDEX(LS_current!$D$4:$BW$137, MATCH('Staging Table'!$A35, LS_current!$B$4:$B$137, 0), MATCH(CB$4&amp;CB$5, LS_current!$D$2:$BW$2&amp;LS_current!$D$3:$BW$3, 0)),SUM(VLOOKUP($A35, LS_current!$B$4:$BW$137, LS_current!G$147, FALSE), VLOOKUP($A35, LS_current!$B$4:$BW$137,LS_current!BC$147, FALSE))/2)</f>
        <v>119.19700137030304</v>
      </c>
      <c r="CC35" s="102">
        <f t="array" ref="CC35">IF($BT35=0, INDEX(LS_current!$D$4:$BW$137, MATCH('Staging Table'!$A35, LS_current!$B$4:$B$137, 0), MATCH(CC$4&amp;CC$5, LS_current!$D$2:$BW$2&amp;LS_current!$D$3:$BW$3, 0)),SUM(VLOOKUP($A35, LS_current!$B$4:$BW$137, LS_current!H$147, FALSE), VLOOKUP($A35, LS_current!$B$4:$BW$137,LS_current!BD$147, FALSE))/2)</f>
        <v>207.25780859832662</v>
      </c>
      <c r="CD35" s="102">
        <f t="array" ref="CD35">IF($BT35=0, INDEX(LS_current!$D$4:$BW$137, MATCH('Staging Table'!$A35, LS_current!$B$4:$B$137, 0), MATCH(CD$4&amp;CD$5, LS_current!$D$2:$BW$2&amp;LS_current!$D$3:$BW$3, 0)),SUM(VLOOKUP($A35, LS_current!$B$4:$BW$137, LS_current!I$147, FALSE), VLOOKUP($A35, LS_current!$B$4:$BW$137,LS_current!BE$147, FALSE))/2)</f>
        <v>237.54751154311577</v>
      </c>
      <c r="CE35" s="102">
        <f t="array" ref="CE35">IF($BT35=0, INDEX(LS_current!$D$4:$BW$137, MATCH('Staging Table'!$A35, LS_current!$B$4:$B$137, 0), MATCH(CE$4&amp;CE$5, LS_current!$D$2:$BW$2&amp;LS_current!$D$3:$BW$3, 0)),SUM(VLOOKUP($A35, LS_current!$B$4:$BW$137, LS_current!J$147, FALSE), VLOOKUP($A35, LS_current!$B$4:$BW$137,LS_current!BF$147, FALSE))/2)</f>
        <v>196.67835514554554</v>
      </c>
      <c r="CF35" s="102">
        <f t="array" ref="CF35">IF($BT35=0, INDEX(LS_current!$D$4:$BW$137, MATCH('Staging Table'!$A35, LS_current!$B$4:$B$137, 0), MATCH(CF$4&amp;CF$5, LS_current!$D$2:$BW$2&amp;LS_current!$D$3:$BW$3, 0)),SUM(VLOOKUP($A35, LS_current!$B$4:$BW$137, LS_current!K$147, FALSE), VLOOKUP($A35, LS_current!$B$4:$BW$137,LS_current!BG$147, FALSE))/2)</f>
        <v>249.47194760595005</v>
      </c>
      <c r="CG35" s="102">
        <f t="array" ref="CG35">IF($BT35=0, INDEX(LS_current!$D$4:$BW$137, MATCH('Staging Table'!$A35, LS_current!$B$4:$B$137, 0), MATCH(CG$4&amp;CG$5, LS_current!$D$2:$BW$2&amp;LS_current!$D$3:$BW$3, 0)),SUM(VLOOKUP($A35, LS_current!$B$4:$BW$137, LS_current!L$147, FALSE), VLOOKUP($A35, LS_current!$B$4:$BW$137,LS_current!BH$147, FALSE))/2)</f>
        <v>180.17745931707054</v>
      </c>
      <c r="CH35" s="102">
        <f t="array" ref="CH35">IF($BT35=0, INDEX(LS_current!$D$4:$BW$137, MATCH('Staging Table'!$A35, LS_current!$B$4:$B$137, 0), MATCH(CH$4&amp;CH$5, LS_current!$D$2:$BW$2&amp;LS_current!$D$3:$BW$3, 0)),SUM(VLOOKUP($A35, LS_current!$B$4:$BW$137, LS_current!M$147, FALSE), VLOOKUP($A35, LS_current!$B$4:$BW$137,LS_current!BI$147, FALSE))/2)</f>
        <v>208.33390104413502</v>
      </c>
      <c r="CI35" s="102">
        <f t="array" ref="CI35">IF($BT35=0, INDEX(LS_current!$D$4:$BW$137, MATCH('Staging Table'!$A35, LS_current!$B$4:$B$137, 0), MATCH(CI$4&amp;CI$5, LS_current!$D$2:$BW$2&amp;LS_current!$D$3:$BW$3, 0)),SUM(VLOOKUP($A35, LS_current!$B$4:$BW$137, LS_current!N$147, FALSE), VLOOKUP($A35, LS_current!$B$4:$BW$137,LS_current!BJ$147, FALSE))/2)</f>
        <v>74.329746681018833</v>
      </c>
      <c r="CJ35" s="102">
        <f t="array" ref="CJ35">IF($BT35=0, INDEX(LS_current!$D$4:$BW$137, MATCH('Staging Table'!$A35, LS_current!$B$4:$B$137, 0), MATCH(CJ$4&amp;CJ$5, LS_current!$D$2:$BW$2&amp;LS_current!$D$3:$BW$3, 0)),SUM(VLOOKUP($A35, LS_current!$B$4:$BW$137, LS_current!O$147, FALSE), VLOOKUP($A35, LS_current!$B$4:$BW$137,LS_current!BK$147, FALSE))/2)</f>
        <v>214.35717765644404</v>
      </c>
      <c r="CK35" s="102">
        <f t="array" ref="CK35">IF($BT35=0, INDEX(LS_current!$D$4:$BW$137, MATCH('Staging Table'!$A35, LS_current!$B$4:$B$137, 0), MATCH(CK$4&amp;CK$5, LS_current!$D$2:$BW$2&amp;LS_current!$D$3:$BW$3, 0)),SUM(VLOOKUP($A35, LS_current!$B$4:$BW$137, LS_current!P$147, FALSE), VLOOKUP($A35, LS_current!$B$4:$BW$137,LS_current!BL$147, FALSE))/2)</f>
        <v>115.91203945802147</v>
      </c>
      <c r="CL35" s="102">
        <f t="array" ref="CL35">IF($BT35=0, INDEX(LS_current!$D$4:$BW$137, MATCH('Staging Table'!$A35, LS_current!$B$4:$B$137, 0), MATCH(CL$4&amp;CL$5, LS_current!$D$2:$BW$2&amp;LS_current!$D$3:$BW$3, 0)),SUM(VLOOKUP($A35, LS_current!$B$4:$BW$137, LS_current!Q$147, FALSE), VLOOKUP($A35, LS_current!$B$4:$BW$137,LS_current!BM$147, FALSE))/2)</f>
        <v>68.027614368860441</v>
      </c>
      <c r="CM35" s="102">
        <f t="array" ref="CM35">IF($BT35=0, INDEX(LS_current!$D$4:$BW$137, MATCH('Staging Table'!$A35, LS_current!$B$4:$B$137, 0), MATCH(CM$4&amp;CM$5, LS_current!$D$2:$BW$2&amp;LS_current!$D$3:$BW$3, 0)),SUM(VLOOKUP($A35, LS_current!$B$4:$BW$137, LS_current!R$147, FALSE), VLOOKUP($A35, LS_current!$B$4:$BW$137,LS_current!BN$147, FALSE))/2)</f>
        <v>-292.61757159071703</v>
      </c>
      <c r="CN35" s="102">
        <f t="array" ref="CN35">IF($BT35=0, INDEX(LS_current!$D$4:$BW$137, MATCH('Staging Table'!$A35, LS_current!$B$4:$B$137, 0), MATCH(CN$4&amp;CN$5, LS_current!$D$2:$BW$2&amp;LS_current!$D$3:$BW$3, 0)),SUM(VLOOKUP($A35, LS_current!$B$4:$BW$137, LS_current!S$147, FALSE), VLOOKUP($A35, LS_current!$B$4:$BW$137,LS_current!BO$147, FALSE))/2)</f>
        <v>-129.19835307322217</v>
      </c>
      <c r="CO35" s="102">
        <f t="array" ref="CO35">IF($BT35=0, INDEX(LS_current!$D$4:$BW$137, MATCH('Staging Table'!$A35, LS_current!$B$4:$B$137, 0), MATCH(CO$4&amp;CO$5, LS_current!$D$2:$BW$2&amp;LS_current!$D$3:$BW$3, 0)),SUM(VLOOKUP($A35, LS_current!$B$4:$BW$137, LS_current!T$147, FALSE), VLOOKUP($A35, LS_current!$B$4:$BW$137,LS_current!BP$147, FALSE))/2)</f>
        <v>-484.75929496150127</v>
      </c>
      <c r="CP35" s="102">
        <f t="array" ref="CP35">IF($BT35=0, INDEX(LS_current!$D$4:$BW$137, MATCH('Staging Table'!$A35, LS_current!$B$4:$B$137, 0), MATCH(CP$4&amp;CP$5, LS_current!$D$2:$BW$2&amp;LS_current!$D$3:$BW$3, 0)),SUM(VLOOKUP($A35, LS_current!$B$4:$BW$137, LS_current!U$147, FALSE), VLOOKUP($A35, LS_current!$B$4:$BW$137,LS_current!BQ$147, FALSE))/2)</f>
        <v>-236.52731570009246</v>
      </c>
      <c r="CQ35" s="102">
        <f t="array" ref="CQ35">IF($BT35=0, INDEX(LS_current!$D$4:$BW$137, MATCH('Staging Table'!$A35, LS_current!$B$4:$B$137, 0), MATCH(CQ$4&amp;CQ$5, LS_current!$D$2:$BW$2&amp;LS_current!$D$3:$BW$3, 0)),SUM(VLOOKUP($A35, LS_current!$B$4:$BW$137, LS_current!V$147, FALSE), VLOOKUP($A35, LS_current!$B$4:$BW$137,LS_current!BR$147, FALSE))/2)</f>
        <v>-295.74919403319154</v>
      </c>
      <c r="CR35" s="102">
        <f t="array" ref="CR35">IF($BT35=0, INDEX(LS_current!$D$4:$BW$137, MATCH('Staging Table'!$A35, LS_current!$B$4:$B$137, 0), MATCH(CR$4&amp;CR$5, LS_current!$D$2:$BW$2&amp;LS_current!$D$3:$BW$3, 0)),SUM(VLOOKUP($A35, LS_current!$B$4:$BW$137, LS_current!W$147, FALSE), VLOOKUP($A35, LS_current!$B$4:$BW$137,LS_current!BS$147, FALSE))/2)</f>
        <v>-175.95112049583486</v>
      </c>
      <c r="CS35" s="102">
        <f t="array" ref="CS35">IF($BT35=0, INDEX(LS_current!$D$4:$BW$137, MATCH('Staging Table'!$A35, LS_current!$B$4:$B$137, 0), MATCH(CS$4&amp;CS$5, LS_current!$D$2:$BW$2&amp;LS_current!$D$3:$BW$3, 0)),SUM(VLOOKUP($A35, LS_current!$B$4:$BW$137, LS_current!X$147, FALSE), VLOOKUP($A35, LS_current!$B$4:$BW$137,LS_current!BT$147, FALSE))/2)</f>
        <v>-434.86904851165934</v>
      </c>
      <c r="CT35" s="102">
        <f t="array" ref="CT35">IF($BT35=0, INDEX(LS_current!$D$4:$BW$137, MATCH('Staging Table'!$A35, LS_current!$B$4:$B$137, 0), MATCH(CT$4&amp;CT$5, LS_current!$D$2:$BW$2&amp;LS_current!$D$3:$BW$3, 0)),SUM(VLOOKUP($A35, LS_current!$B$4:$BW$137, LS_current!Y$147, FALSE), VLOOKUP($A35, LS_current!$B$4:$BW$137,LS_current!BU$147, FALSE))/2)</f>
        <v>-86.723862441054393</v>
      </c>
      <c r="CU35" s="102">
        <f t="array" ref="CU35">IF($BT35=0, INDEX(LS_current!$D$4:$BW$137, MATCH('Staging Table'!$A35, LS_current!$B$4:$B$137, 0), MATCH(CU$4&amp;CU$5, LS_current!$D$2:$BW$2&amp;LS_current!$D$3:$BW$3, 0)),SUM(VLOOKUP($A35, LS_current!$B$4:$BW$137, LS_current!Z$147, FALSE), VLOOKUP($A35, LS_current!$B$4:$BW$137,LS_current!BV$147, FALSE))/2)</f>
        <v>-78.752563615074678</v>
      </c>
      <c r="CV35" s="102">
        <f t="array" ref="CV35">IF($BT35=0, INDEX(LS_current!$D$4:$BW$137, MATCH('Staging Table'!$A35, LS_current!$B$4:$B$137, 0), MATCH(CV$4&amp;CV$5, LS_current!$D$2:$BW$2&amp;LS_current!$D$3:$BW$3, 0)),SUM(VLOOKUP($A35, LS_current!$B$4:$BW$137, LS_current!AA$147, FALSE), VLOOKUP($A35, LS_current!$B$4:$BW$137,LS_current!BW$147, FALSE))/2)</f>
        <v>-30.111307123561801</v>
      </c>
      <c r="CW35" s="103">
        <f t="array" ref="CW35">INDEX(Demand_current!$D$4:$BW$137, MATCH($A35, Demand_current!$B$4:$B$137, 0), MATCH(CW$4&amp;CW$5,Demand_current!$D$2:$BW$2&amp;Demand_current!$D$3:$BW$3, 0))/1000</f>
        <v>0</v>
      </c>
      <c r="CX35" s="103">
        <f t="array" ref="CX35">INDEX(Demand_current!$D$4:$BW$137, MATCH($A35, Demand_current!$B$4:$B$137, 0), MATCH(CX$4&amp;CX$5,Demand_current!$D$2:$BW$2&amp;Demand_current!$D$3:$BW$3, 0))/1000</f>
        <v>0.16492708333333339</v>
      </c>
      <c r="CY35" s="103">
        <f t="array" ref="CY35">INDEX(Demand_current!$D$4:$BW$137, MATCH($A35, Demand_current!$B$4:$B$137, 0), MATCH(CY$4&amp;CY$5,Demand_current!$D$2:$BW$2&amp;Demand_current!$D$3:$BW$3, 0))/1000</f>
        <v>0.31058413461538459</v>
      </c>
      <c r="CZ35" s="103">
        <f t="array" ref="CZ35">INDEX(Demand_current!$D$4:$BW$137, MATCH($A35, Demand_current!$B$4:$B$137, 0), MATCH(CZ$4&amp;CZ$5,Demand_current!$D$2:$BW$2&amp;Demand_current!$D$3:$BW$3, 0))/1000</f>
        <v>0.46808173076923087</v>
      </c>
      <c r="DA35" s="103">
        <f t="array" ref="DA35">INDEX(Demand_current!$D$4:$BW$137, MATCH($A35, Demand_current!$B$4:$B$137, 0), MATCH(DA$4&amp;DA$5,Demand_current!$D$2:$BW$2&amp;Demand_current!$D$3:$BW$3, 0))/1000</f>
        <v>0.3439609374999999</v>
      </c>
      <c r="DB35" s="103">
        <f t="array" ref="DB35">INDEX(Demand_current!$D$4:$BW$137, MATCH($A35, Demand_current!$B$4:$B$137, 0), MATCH(DB$4&amp;DB$5,Demand_current!$D$2:$BW$2&amp;Demand_current!$D$3:$BW$3, 0))/1000</f>
        <v>0.26296634615384629</v>
      </c>
      <c r="DC35" s="103">
        <f t="array" ref="DC35">INDEX(Demand_current!$D$4:$BW$137, MATCH($A35, Demand_current!$B$4:$B$137, 0), MATCH(DC$4&amp;DC$5,Demand_current!$D$2:$BW$2&amp;Demand_current!$D$3:$BW$3, 0))/1000</f>
        <v>0.74826442307692287</v>
      </c>
      <c r="DD35" s="103">
        <f t="array" ref="DD35">INDEX(Demand_current!$D$4:$BW$137, MATCH($A35, Demand_current!$B$4:$B$137, 0), MATCH(DD$4&amp;DD$5,Demand_current!$D$2:$BW$2&amp;Demand_current!$D$3:$BW$3, 0))/1000</f>
        <v>0</v>
      </c>
      <c r="DE35" s="103">
        <f t="array" ref="DE35">INDEX(Demand_current!$D$4:$BW$137, MATCH($A35, Demand_current!$B$4:$B$137, 0), MATCH(DE$4&amp;DE$5,Demand_current!$D$2:$BW$2&amp;Demand_current!$D$3:$BW$3, 0))/1000</f>
        <v>2.2276442307692216E-2</v>
      </c>
      <c r="DF35" s="103">
        <f t="array" ref="DF35">INDEX(Demand_current!$D$4:$BW$137, MATCH($A35, Demand_current!$B$4:$B$137, 0), MATCH(DF$4&amp;DF$5,Demand_current!$D$2:$BW$2&amp;Demand_current!$D$3:$BW$3, 0))/1000</f>
        <v>2.4766826923076746E-2</v>
      </c>
      <c r="DG35" s="103">
        <f t="array" ref="DG35">INDEX(Demand_current!$D$4:$BW$137, MATCH($A35, Demand_current!$B$4:$B$137, 0), MATCH(DG$4&amp;DG$5,Demand_current!$D$2:$BW$2&amp;Demand_current!$D$3:$BW$3, 0))/1000</f>
        <v>0.29091826923076902</v>
      </c>
      <c r="DH35" s="103">
        <f t="array" ref="DH35">INDEX(Demand_current!$D$4:$BW$137, MATCH($A35, Demand_current!$B$4:$B$137, 0), MATCH(DH$4&amp;DH$5,Demand_current!$D$2:$BW$2&amp;Demand_current!$D$3:$BW$3, 0))/1000</f>
        <v>0.1170625000000004</v>
      </c>
      <c r="DI35" s="102">
        <f>$BS35*(VLOOKUP(DI$4, Rates_current!$H$6:$R$41, 10, FALSE)+VLOOKUP(DI$4, Rates_current!$H$6:$R$41, 11, FALSE))</f>
        <v>1489.1231939934535</v>
      </c>
      <c r="DJ35" s="102">
        <f>$BS35*(VLOOKUP(DJ$4, Rates_current!$H$6:$R$41, 10, FALSE)+VLOOKUP(DJ$4, Rates_current!$H$6:$R$41, 11, FALSE))</f>
        <v>1903.7949933789494</v>
      </c>
      <c r="DK35" s="102">
        <f>$BS35*(VLOOKUP(DK$4, Rates_current!$H$6:$R$41, 10, FALSE)+VLOOKUP(DK$4, Rates_current!$H$6:$R$41, 11, FALSE))</f>
        <v>2164.4556798585572</v>
      </c>
      <c r="DL35" s="102">
        <f>$BS35*(VLOOKUP(DL$4, Rates_current!$H$6:$R$41, 10, FALSE)+VLOOKUP(DL$4, Rates_current!$H$6:$R$41, 11, FALSE))</f>
        <v>2283.6696972485047</v>
      </c>
      <c r="DM35" s="102">
        <f>$BS35*(VLOOKUP(DM$4, Rates_current!$H$6:$R$41, 10, FALSE)+VLOOKUP(DM$4, Rates_current!$H$6:$R$41, 11, FALSE))</f>
        <v>1819.8786396387948</v>
      </c>
      <c r="DN35" s="102">
        <f>$BS35*(VLOOKUP(DN$4, Rates_current!$H$6:$R$41, 10, FALSE)+VLOOKUP(DN$4, Rates_current!$H$6:$R$41, 11, FALSE))</f>
        <v>1989.5010756625372</v>
      </c>
      <c r="DO35" s="102">
        <f>$BS35*(VLOOKUP(DO$4, Rates_current!$H$6:$R$41, 10, FALSE)+VLOOKUP(DO$4, Rates_current!$H$6:$R$41, 11, FALSE))</f>
        <v>1541.8833461731183</v>
      </c>
      <c r="DP35" s="102">
        <f>$BS35*(VLOOKUP(DP$4, Rates_current!$H$6:$R$41, 10, FALSE)+VLOOKUP(DP$4, Rates_current!$H$6:$R$41, 11, FALSE))</f>
        <v>1995.4509246639388</v>
      </c>
      <c r="DQ35" s="102">
        <f>$BS35*(VLOOKUP(DQ$4, Rates_current!$H$6:$R$41, 10, FALSE)+VLOOKUP(DQ$4, Rates_current!$H$6:$R$41, 11, FALSE))</f>
        <v>2038.059610661594</v>
      </c>
      <c r="DR35" s="102">
        <f>$BS35*(VLOOKUP(DR$4, Rates_current!$H$6:$R$41, 10, FALSE)+VLOOKUP(DR$4, Rates_current!$H$6:$R$41, 11, FALSE))</f>
        <v>1814.0493145290263</v>
      </c>
      <c r="DS35" s="102">
        <f>$BS35*(VLOOKUP(DS$4, Rates_current!$H$6:$R$41, 10, FALSE)+VLOOKUP(DS$4, Rates_current!$H$6:$R$41, 11, FALSE))</f>
        <v>1860.881910952714</v>
      </c>
      <c r="DT35" s="102">
        <f>$BS35*(VLOOKUP(DT$4, Rates_current!$H$6:$R$41, 10, FALSE)+VLOOKUP(DT$4, Rates_current!$H$6:$R$41, 11, FALSE))</f>
        <v>1445.1978707386365</v>
      </c>
      <c r="DU35" s="261">
        <f>IF(D35=0,IF(C35=0,MAX(0,DW35 - (VLOOKUP($A35,TOCA_current!$A$2:$AV$136,MATCH("RHWM "&amp;Init!$D$1,TOCA_current!$A$2:$AV$2,0),FALSE)*$BS$2)), 0),0)</f>
        <v>0</v>
      </c>
      <c r="DV35" s="262">
        <f>MIN(VLOOKUP($A35,TOCA_current!$A$2:$AV$136,MATCH("TRL - NLSL - Existing Resource "&amp;$BS$1,TOCA_current!$A$2:$AV$2,0),FALSE)*$BS$2, VLOOKUP($A35,TOCA_current!$A$2:$AV$136,MATCH("RHWM "&amp;Init!$D$1,TOCA_current!$A$2:$AV$2,0),FALSE)*$BS$2)</f>
        <v>22346.760000000002</v>
      </c>
      <c r="DW35" s="262">
        <f>SUM(BY35:CV35)+(BS35*RT1SC!$C$4*$BS$2)</f>
        <v>22348.469319076175</v>
      </c>
      <c r="DX35" s="262">
        <f>VLOOKUP($A35,TOCA_current!$A$2:$AV$136,MATCH("Above RHWM Not Served with LS "&amp;$BS$1,TOCA_current!$A$2:$AV$2,0),FALSE)*$BS$2</f>
        <v>0</v>
      </c>
      <c r="DY35" s="262">
        <f t="shared" si="28"/>
        <v>1.7093190761734149</v>
      </c>
      <c r="DZ35" s="262">
        <f>(VLOOKUP($A35,TOCA_current!$A$2:$AV$136,MATCH("RHWM "&amp;Init!$D$1,TOCA_current!$A$2:$AV$2,0),FALSE)*$BS$2) - $DV35</f>
        <v>12412.919999999998</v>
      </c>
      <c r="EA35" s="262">
        <f t="shared" si="29"/>
        <v>-1.7093190761734149</v>
      </c>
      <c r="EB35" s="262">
        <f t="shared" si="30"/>
        <v>0</v>
      </c>
      <c r="EC35" s="262">
        <f t="shared" si="31"/>
        <v>0</v>
      </c>
      <c r="ED35" s="262">
        <f t="shared" si="32"/>
        <v>-1.7093190761734149</v>
      </c>
    </row>
    <row r="36" spans="1:134">
      <c r="A36" s="2">
        <v>10087</v>
      </c>
      <c r="B36" s="3" t="s">
        <v>38</v>
      </c>
      <c r="C36">
        <f>VLOOKUP(A36, TOCA_current!$A$3:$D$136, 4, FALSE)</f>
        <v>0</v>
      </c>
      <c r="D36">
        <v>0</v>
      </c>
      <c r="E36" s="84">
        <f>VLOOKUP($A36,TOCA_previous!$A$2:$AJ$136,MATCH(E$4,TOCA_previous!$A$2:$AJ$2,0),FALSE)</f>
        <v>6.7739999999999996E-3</v>
      </c>
      <c r="F36" s="85">
        <f>VLOOKUP($A36,TOCA_previous!$A$2:$AJ$136,MATCH(F$4,TOCA_previous!$A$2:$AJ$2,0),FALSE)</f>
        <v>6.7739999999999996E-3</v>
      </c>
      <c r="G36" s="85">
        <f t="shared" si="18"/>
        <v>0</v>
      </c>
      <c r="H36" s="85">
        <f>VLOOKUP($A36,TOCA_previous!$A$2:$AJ$136,MATCH(H$4,TOCA_previous!$A$2:$AJ$2,0),FALSE)</f>
        <v>0</v>
      </c>
      <c r="I36" s="85">
        <f t="shared" si="19"/>
        <v>0</v>
      </c>
      <c r="J36" s="85">
        <f t="shared" si="20"/>
        <v>0</v>
      </c>
      <c r="K36" s="101">
        <f>VLOOKUP(A36, IRD!$A$5:$C$138, 3, FALSE)</f>
        <v>0</v>
      </c>
      <c r="L36" s="102">
        <f t="array" ref="L36">IF($G36=0, INDEX(LS_previous!$D$4:$AY$137, MATCH('Staging Table'!$A36, LS_previous!$B$4:$B$137, 0), MATCH(L$4&amp;L$5, LS_previous!$D$2:$AY$2&amp;LS_previous!$D$3:$AY$3, 0)),SUM(VLOOKUP($A36, LS_previous!$B$4:$AY$137, LS_previous!D$148, FALSE), VLOOKUP('Staging Table'!$A36, LS_previous!$B$4:$AY$137,LS_previous!AB$148, FALSE))/2)</f>
        <v>3029.2751001359975</v>
      </c>
      <c r="M36" s="102">
        <f t="array" ref="M36">IF($G36=0, INDEX(LS_previous!$D$4:$AY$137, MATCH('Staging Table'!$A36, LS_previous!$B$4:$B$137, 0), MATCH(M$4&amp;M$5, LS_previous!$D$2:$AY$2&amp;LS_previous!$D$3:$AY$3, 0)),SUM(VLOOKUP($A36, LS_previous!$B$4:$AY$137, LS_previous!E$148, FALSE), VLOOKUP('Staging Table'!$A36, LS_previous!$B$4:$AY$137,LS_previous!AC$148, FALSE))/2)</f>
        <v>3148.6242194630013</v>
      </c>
      <c r="N36" s="102">
        <f t="array" ref="N36">IF($G36=0, INDEX(LS_previous!$D$4:$AY$137, MATCH('Staging Table'!$A36, LS_previous!$B$4:$B$137, 0), MATCH(N$4&amp;N$5, LS_previous!$D$2:$AY$2&amp;LS_previous!$D$3:$AY$3, 0)),SUM(VLOOKUP($A36, LS_previous!$B$4:$AY$137, LS_previous!F$148, FALSE), VLOOKUP('Staging Table'!$A36, LS_previous!$B$4:$AY$137,LS_previous!AD$148, FALSE))/2)</f>
        <v>-272.55715987199801</v>
      </c>
      <c r="O36" s="102">
        <f t="array" ref="O36">IF($G36=0, INDEX(LS_previous!$D$4:$AY$137, MATCH('Staging Table'!$A36, LS_previous!$B$4:$B$137, 0), MATCH(O$4&amp;O$5, LS_previous!$D$2:$AY$2&amp;LS_previous!$D$3:$AY$3, 0)),SUM(VLOOKUP($A36, LS_previous!$B$4:$AY$137, LS_previous!G$148, FALSE), VLOOKUP('Staging Table'!$A36, LS_previous!$B$4:$AY$137,LS_previous!AE$148, FALSE))/2)</f>
        <v>2264.751153606001</v>
      </c>
      <c r="P36" s="102">
        <f t="array" ref="P36">IF($G36=0, INDEX(LS_previous!$D$4:$AY$137, MATCH('Staging Table'!$A36, LS_previous!$B$4:$B$137, 0), MATCH(P$4&amp;P$5, LS_previous!$D$2:$AY$2&amp;LS_previous!$D$3:$AY$3, 0)),SUM(VLOOKUP($A36, LS_previous!$B$4:$AY$137, LS_previous!H$148, FALSE), VLOOKUP('Staging Table'!$A36, LS_previous!$B$4:$AY$137,LS_previous!AF$148, FALSE))/2)</f>
        <v>1334.2686040139997</v>
      </c>
      <c r="Q36" s="102">
        <f t="array" ref="Q36">IF($G36=0, INDEX(LS_previous!$D$4:$AY$137, MATCH('Staging Table'!$A36, LS_previous!$B$4:$B$137, 0), MATCH(Q$4&amp;Q$5, LS_previous!$D$2:$AY$2&amp;LS_previous!$D$3:$AY$3, 0)),SUM(VLOOKUP($A36, LS_previous!$B$4:$AY$137, LS_previous!I$148, FALSE), VLOOKUP('Staging Table'!$A36, LS_previous!$B$4:$AY$137,LS_previous!AG$148, FALSE))/2)</f>
        <v>4564.7607032959986</v>
      </c>
      <c r="R36" s="102">
        <f t="array" ref="R36">IF($G36=0, INDEX(LS_previous!$D$4:$AY$137, MATCH('Staging Table'!$A36, LS_previous!$B$4:$B$137, 0), MATCH(R$4&amp;R$5, LS_previous!$D$2:$AY$2&amp;LS_previous!$D$3:$AY$3, 0)),SUM(VLOOKUP($A36, LS_previous!$B$4:$AY$137, LS_previous!J$148, FALSE), VLOOKUP('Staging Table'!$A36, LS_previous!$B$4:$AY$137,LS_previous!AH$148, FALSE))/2)</f>
        <v>1181.9323225900043</v>
      </c>
      <c r="S36" s="102">
        <f t="array" ref="S36">IF($G36=0, INDEX(LS_previous!$D$4:$AY$137, MATCH('Staging Table'!$A36, LS_previous!$B$4:$B$137, 0), MATCH(S$4&amp;S$5, LS_previous!$D$2:$AY$2&amp;LS_previous!$D$3:$AY$3, 0)),SUM(VLOOKUP($A36, LS_previous!$B$4:$AY$137, LS_previous!K$148, FALSE), VLOOKUP('Staging Table'!$A36, LS_previous!$B$4:$AY$137,LS_previous!AI$148, FALSE))/2)</f>
        <v>4021.4769915539982</v>
      </c>
      <c r="T36" s="102">
        <f t="array" ref="T36">IF($G36=0, INDEX(LS_previous!$D$4:$AY$137, MATCH('Staging Table'!$A36, LS_previous!$B$4:$B$137, 0), MATCH(T$4&amp;T$5, LS_previous!$D$2:$AY$2&amp;LS_previous!$D$3:$AY$3, 0)),SUM(VLOOKUP($A36, LS_previous!$B$4:$AY$137, LS_previous!L$148, FALSE), VLOOKUP('Staging Table'!$A36, LS_previous!$B$4:$AY$137,LS_previous!AJ$148, FALSE))/2)</f>
        <v>1206.9709156540048</v>
      </c>
      <c r="U36" s="102">
        <f t="array" ref="U36">IF($G36=0, INDEX(LS_previous!$D$4:$AY$137, MATCH('Staging Table'!$A36, LS_previous!$B$4:$B$137, 0), MATCH(U$4&amp;U$5, LS_previous!$D$2:$AY$2&amp;LS_previous!$D$3:$AY$3, 0)),SUM(VLOOKUP($A36, LS_previous!$B$4:$AY$137, LS_previous!M$148, FALSE), VLOOKUP('Staging Table'!$A36, LS_previous!$B$4:$AY$137,LS_previous!AK$148, FALSE))/2)</f>
        <v>4079.1401297339999</v>
      </c>
      <c r="V36" s="102">
        <f t="array" ref="V36">IF($G36=0, INDEX(LS_previous!$D$4:$AY$137, MATCH('Staging Table'!$A36, LS_previous!$B$4:$B$137, 0), MATCH(V$4&amp;V$5, LS_previous!$D$2:$AY$2&amp;LS_previous!$D$3:$AY$3, 0)),SUM(VLOOKUP($A36, LS_previous!$B$4:$AY$137, LS_previous!N$148, FALSE), VLOOKUP('Staging Table'!$A36, LS_previous!$B$4:$AY$137,LS_previous!AL$148, FALSE))/2)</f>
        <v>767.06392853800207</v>
      </c>
      <c r="W36" s="102">
        <f t="array" ref="W36">IF($G36=0, INDEX(LS_previous!$D$4:$AY$137, MATCH('Staging Table'!$A36, LS_previous!$B$4:$B$137, 0), MATCH(W$4&amp;W$5, LS_previous!$D$2:$AY$2&amp;LS_previous!$D$3:$AY$3, 0)),SUM(VLOOKUP($A36, LS_previous!$B$4:$AY$137, LS_previous!O$148, FALSE), VLOOKUP('Staging Table'!$A36, LS_previous!$B$4:$AY$137,LS_previous!AM$148, FALSE))/2)</f>
        <v>2311.5328758280011</v>
      </c>
      <c r="X36" s="102">
        <f t="array" ref="X36">IF($G36=0, INDEX(LS_previous!$D$4:$AY$137, MATCH('Staging Table'!$A36, LS_previous!$B$4:$B$137, 0), MATCH(X$4&amp;X$5, LS_previous!$D$2:$AY$2&amp;LS_previous!$D$3:$AY$3, 0)),SUM(VLOOKUP($A36, LS_previous!$B$4:$AY$137, LS_previous!P$148, FALSE), VLOOKUP('Staging Table'!$A36, LS_previous!$B$4:$AY$137,LS_previous!AN$148, FALSE))/2)</f>
        <v>1993.6657152150037</v>
      </c>
      <c r="Y36" s="102">
        <f t="array" ref="Y36">IF($G36=0, INDEX(LS_previous!$D$4:$AY$137, MATCH('Staging Table'!$A36, LS_previous!$B$4:$B$137, 0), MATCH(Y$4&amp;Y$5, LS_previous!$D$2:$AY$2&amp;LS_previous!$D$3:$AY$3, 0)),SUM(VLOOKUP($A36, LS_previous!$B$4:$AY$137, LS_previous!Q$148, FALSE), VLOOKUP('Staging Table'!$A36, LS_previous!$B$4:$AY$137,LS_previous!AO$148, FALSE))/2)</f>
        <v>2909.4600101055021</v>
      </c>
      <c r="Z36" s="102">
        <f t="array" ref="Z36">IF($G36=0, INDEX(LS_previous!$D$4:$AY$137, MATCH('Staging Table'!$A36, LS_previous!$B$4:$B$137, 0), MATCH(Z$4&amp;Z$5, LS_previous!$D$2:$AY$2&amp;LS_previous!$D$3:$AY$3, 0)),SUM(VLOOKUP($A36, LS_previous!$B$4:$AY$137, LS_previous!R$148, FALSE), VLOOKUP('Staging Table'!$A36, LS_previous!$B$4:$AY$137,LS_previous!AP$148, FALSE))/2)</f>
        <v>-5085.1713283520003</v>
      </c>
      <c r="AA36" s="102">
        <f t="array" ref="AA36">IF($G36=0, INDEX(LS_previous!$D$4:$AY$137, MATCH('Staging Table'!$A36, LS_previous!$B$4:$B$137, 0), MATCH(AA$4&amp;AA$5, LS_previous!$D$2:$AY$2&amp;LS_previous!$D$3:$AY$3, 0)),SUM(VLOOKUP($A36, LS_previous!$B$4:$AY$137, LS_previous!S$148, FALSE), VLOOKUP('Staging Table'!$A36, LS_previous!$B$4:$AY$137,LS_previous!AQ$148, FALSE))/2)</f>
        <v>-1277.1474796789989</v>
      </c>
      <c r="AB36" s="102">
        <f t="array" ref="AB36">IF($G36=0, INDEX(LS_previous!$D$4:$AY$137, MATCH('Staging Table'!$A36, LS_previous!$B$4:$B$137, 0), MATCH(AB$4&amp;AB$5, LS_previous!$D$2:$AY$2&amp;LS_previous!$D$3:$AY$3, 0)),SUM(VLOOKUP($A36, LS_previous!$B$4:$AY$137, LS_previous!T$148, FALSE), VLOOKUP('Staging Table'!$A36, LS_previous!$B$4:$AY$137,LS_previous!AR$148, FALSE))/2)</f>
        <v>-6997.7846907239982</v>
      </c>
      <c r="AC36" s="102">
        <f t="array" ref="AC36">IF($G36=0, INDEX(LS_previous!$D$4:$AY$137, MATCH('Staging Table'!$A36, LS_previous!$B$4:$B$137, 0), MATCH(AC$4&amp;AC$5, LS_previous!$D$2:$AY$2&amp;LS_previous!$D$3:$AY$3, 0)),SUM(VLOOKUP($A36, LS_previous!$B$4:$AY$137, LS_previous!U$148, FALSE), VLOOKUP('Staging Table'!$A36, LS_previous!$B$4:$AY$137,LS_previous!AS$148, FALSE))/2)</f>
        <v>-2637.599219183001</v>
      </c>
      <c r="AD36" s="102">
        <f t="array" ref="AD36">IF($G36=0, INDEX(LS_previous!$D$4:$AY$137, MATCH('Staging Table'!$A36, LS_previous!$B$4:$B$137, 0), MATCH(AD$4&amp;AD$5, LS_previous!$D$2:$AY$2&amp;LS_previous!$D$3:$AY$3, 0)),SUM(VLOOKUP($A36, LS_previous!$B$4:$AY$137, LS_previous!V$148, FALSE), VLOOKUP('Staging Table'!$A36, LS_previous!$B$4:$AY$137,LS_previous!AT$148, FALSE))/2)</f>
        <v>-4488.0721693359992</v>
      </c>
      <c r="AE36" s="102">
        <f t="array" ref="AE36">IF($G36=0, INDEX(LS_previous!$D$4:$AY$137, MATCH('Staging Table'!$A36, LS_previous!$B$4:$B$137, 0), MATCH(AE$4&amp;AE$5, LS_previous!$D$2:$AY$2&amp;LS_previous!$D$3:$AY$3, 0)),SUM(VLOOKUP($A36, LS_previous!$B$4:$AY$137, LS_previous!W$148, FALSE), VLOOKUP('Staging Table'!$A36, LS_previous!$B$4:$AY$137,LS_previous!AU$148, FALSE))/2)</f>
        <v>44.921921315000873</v>
      </c>
      <c r="AF36" s="102">
        <f t="array" ref="AF36">IF($G36=0, INDEX(LS_previous!$D$4:$AY$137, MATCH('Staging Table'!$A36, LS_previous!$B$4:$B$137, 0), MATCH(AF$4&amp;AF$5, LS_previous!$D$2:$AY$2&amp;LS_previous!$D$3:$AY$3, 0)),SUM(VLOOKUP($A36, LS_previous!$B$4:$AY$137, LS_previous!X$148, FALSE), VLOOKUP('Staging Table'!$A36, LS_previous!$B$4:$AY$137,LS_previous!AV$148, FALSE))/2)</f>
        <v>-3252.2296217410003</v>
      </c>
      <c r="AG36" s="102">
        <f t="array" ref="AG36">IF($G36=0, INDEX(LS_previous!$D$4:$AY$137, MATCH('Staging Table'!$A36, LS_previous!$B$4:$B$137, 0), MATCH(AG$4&amp;AG$5, LS_previous!$D$2:$AY$2&amp;LS_previous!$D$3:$AY$3, 0)),SUM(VLOOKUP($A36, LS_previous!$B$4:$AY$137, LS_previous!Y$148, FALSE), VLOOKUP('Staging Table'!$A36, LS_previous!$B$4:$AY$137,LS_previous!AW$148, FALSE))/2)</f>
        <v>-108.47775290389836</v>
      </c>
      <c r="AH36" s="102">
        <f t="array" ref="AH36">IF($G36=0, INDEX(LS_previous!$D$4:$AY$137, MATCH('Staging Table'!$A36, LS_previous!$B$4:$B$137, 0), MATCH(AH$4&amp;AH$5, LS_previous!$D$2:$AY$2&amp;LS_previous!$D$3:$AY$3, 0)),SUM(VLOOKUP($A36, LS_previous!$B$4:$AY$137, LS_previous!Z$148, FALSE), VLOOKUP('Staging Table'!$A36, LS_previous!$B$4:$AY$137,LS_previous!AX$148, FALSE))/2)</f>
        <v>-1552.6798680760003</v>
      </c>
      <c r="AI36" s="102">
        <f t="array" ref="AI36">IF($G36=0, INDEX(LS_previous!$D$4:$AY$137, MATCH('Staging Table'!$A36, LS_previous!$B$4:$B$137, 0), MATCH(AI$4&amp;AI$5, LS_previous!$D$2:$AY$2&amp;LS_previous!$D$3:$AY$3, 0)),SUM(VLOOKUP($A36, LS_previous!$B$4:$AY$137, LS_previous!AA$148, FALSE), VLOOKUP('Staging Table'!$A36, LS_previous!$B$4:$AY$137,LS_previous!AY$148, FALSE))/2)</f>
        <v>693.32668950399966</v>
      </c>
      <c r="AJ36" s="103">
        <f t="array" ref="AJ36">INDEX(Demand_previous!$D$4:$AY$137, MATCH('Staging Table'!$A36, Demand_previous!$B$4:$B$137, 0), MATCH(AJ$4&amp;AJ$5,Demand_previous!$D$2:$AY$2&amp;Demand_previous!$D$3:$AY$3, 0))/1000</f>
        <v>0</v>
      </c>
      <c r="AK36" s="103">
        <f t="array" ref="AK36">INDEX(Demand_previous!$D$4:$AY$137, MATCH('Staging Table'!$A36, Demand_previous!$B$4:$B$137, 0), MATCH(AK$4&amp;AK$5,Demand_previous!$D$2:$AY$2&amp;Demand_previous!$D$3:$AY$3, 0))/1000</f>
        <v>0</v>
      </c>
      <c r="AL36" s="103">
        <f t="array" ref="AL36">INDEX(Demand_previous!$D$4:$AY$137, MATCH('Staging Table'!$A36, Demand_previous!$B$4:$B$137, 0), MATCH(AL$4&amp;AL$5,Demand_previous!$D$2:$AY$2&amp;Demand_previous!$D$3:$AY$3, 0))/1000</f>
        <v>0.84890249999999767</v>
      </c>
      <c r="AM36" s="103">
        <f t="array" ref="AM36">INDEX(Demand_previous!$D$4:$AY$137, MATCH('Staging Table'!$A36, Demand_previous!$B$4:$B$137, 0), MATCH(AM$4&amp;AM$5,Demand_previous!$D$2:$AY$2&amp;Demand_previous!$D$3:$AY$3, 0))/1000</f>
        <v>0</v>
      </c>
      <c r="AN36" s="103">
        <f t="array" ref="AN36">INDEX(Demand_previous!$D$4:$AY$137, MATCH('Staging Table'!$A36, Demand_previous!$B$4:$B$137, 0), MATCH(AN$4&amp;AN$5,Demand_previous!$D$2:$AY$2&amp;Demand_previous!$D$3:$AY$3, 0))/1000</f>
        <v>0</v>
      </c>
      <c r="AO36" s="103">
        <f t="array" ref="AO36">INDEX(Demand_previous!$D$4:$AY$137, MATCH('Staging Table'!$A36, Demand_previous!$B$4:$B$137, 0), MATCH(AO$4&amp;AO$5,Demand_previous!$D$2:$AY$2&amp;Demand_previous!$D$3:$AY$3, 0))/1000</f>
        <v>0</v>
      </c>
      <c r="AP36" s="103">
        <f t="array" ref="AP36">INDEX(Demand_previous!$D$4:$AY$137, MATCH('Staging Table'!$A36, Demand_previous!$B$4:$B$137, 0), MATCH(AP$4&amp;AP$5,Demand_previous!$D$2:$AY$2&amp;Demand_previous!$D$3:$AY$3, 0))/1000</f>
        <v>0</v>
      </c>
      <c r="AQ36" s="103">
        <f t="array" ref="AQ36">INDEX(Demand_previous!$D$4:$AY$137, MATCH('Staging Table'!$A36, Demand_previous!$B$4:$B$137, 0), MATCH(AQ$4&amp;AQ$5,Demand_previous!$D$2:$AY$2&amp;Demand_previous!$D$3:$AY$3, 0))/1000</f>
        <v>0</v>
      </c>
      <c r="AR36" s="103">
        <f t="array" ref="AR36">INDEX(Demand_previous!$D$4:$AY$137, MATCH('Staging Table'!$A36, Demand_previous!$B$4:$B$137, 0), MATCH(AR$4&amp;AR$5,Demand_previous!$D$2:$AY$2&amp;Demand_previous!$D$3:$AY$3, 0))/1000</f>
        <v>0</v>
      </c>
      <c r="AS36" s="103">
        <f t="array" ref="AS36">INDEX(Demand_previous!$D$4:$AY$137, MATCH('Staging Table'!$A36, Demand_previous!$B$4:$B$137, 0), MATCH(AS$4&amp;AS$5,Demand_previous!$D$2:$AY$2&amp;Demand_previous!$D$3:$AY$3, 0))/1000</f>
        <v>0</v>
      </c>
      <c r="AT36" s="103">
        <f t="array" ref="AT36">INDEX(Demand_previous!$D$4:$AY$137, MATCH('Staging Table'!$A36, Demand_previous!$B$4:$B$137, 0), MATCH(AT$4&amp;AT$5,Demand_previous!$D$2:$AY$2&amp;Demand_previous!$D$3:$AY$3, 0))/1000</f>
        <v>0</v>
      </c>
      <c r="AU36" s="103">
        <f t="array" ref="AU36">INDEX(Demand_previous!$D$4:$AY$137, MATCH('Staging Table'!$A36, Demand_previous!$B$4:$B$137, 0), MATCH(AU$4&amp;AU$5,Demand_previous!$D$2:$AY$2&amp;Demand_previous!$D$3:$AY$3, 0))/1000</f>
        <v>0</v>
      </c>
      <c r="AV36" s="102">
        <f>$F36*(VLOOKUP(AV$4, Rates_previous!$G$6:$Q$29, 10, FALSE)+VLOOKUP(AV$4, Rates_previous!$G$6:$Q$29, 11, FALSE))</f>
        <v>28578.176680401</v>
      </c>
      <c r="AW36" s="102">
        <f>$F36*(VLOOKUP(AW$4, Rates_previous!$G$6:$Q$29, 10, FALSE)+VLOOKUP(AW$4, Rates_previous!$G$6:$Q$29, 11, FALSE))</f>
        <v>36446.599006266006</v>
      </c>
      <c r="AX36" s="102">
        <f>$F36*(VLOOKUP(AX$4, Rates_previous!$G$6:$Q$29, 10, FALSE)+VLOOKUP(AX$4, Rates_previous!$G$6:$Q$29, 11, FALSE))</f>
        <v>39333.091692690003</v>
      </c>
      <c r="AY36" s="102">
        <f>$F36*(VLOOKUP(AY$4, Rates_previous!$G$6:$Q$29, 10, FALSE)+VLOOKUP(AY$4, Rates_previous!$G$6:$Q$29, 11, FALSE))</f>
        <v>40873.162685855998</v>
      </c>
      <c r="AZ36" s="102">
        <f>$F36*(VLOOKUP(AZ$4, Rates_previous!$G$6:$Q$29, 10, FALSE)+VLOOKUP(AZ$4, Rates_previous!$G$6:$Q$29, 11, FALSE))</f>
        <v>35156.367954611997</v>
      </c>
      <c r="BA36" s="102">
        <f>$F36*(VLOOKUP(BA$4, Rates_previous!$G$6:$Q$29, 10, FALSE)+VLOOKUP(BA$4, Rates_previous!$G$6:$Q$29, 11, FALSE))</f>
        <v>38383.793195633996</v>
      </c>
      <c r="BB36" s="102">
        <f>$F36*(VLOOKUP(BB$4, Rates_previous!$G$6:$Q$29, 10, FALSE)+VLOOKUP(BB$4, Rates_previous!$G$6:$Q$29, 11, FALSE))</f>
        <v>30297.536274679496</v>
      </c>
      <c r="BC36" s="102">
        <f>$F36*(VLOOKUP(BC$4, Rates_previous!$G$6:$Q$29, 10, FALSE)+VLOOKUP(BC$4, Rates_previous!$G$6:$Q$29, 11, FALSE))</f>
        <v>37588.153808030998</v>
      </c>
      <c r="BD36" s="102">
        <f>$F36*(VLOOKUP(BD$4, Rates_previous!$G$6:$Q$29, 10, FALSE)+VLOOKUP(BD$4, Rates_previous!$G$6:$Q$29, 11, FALSE))</f>
        <v>38403.722909906995</v>
      </c>
      <c r="BE36" s="102">
        <f>$F36*(VLOOKUP(BE$4, Rates_previous!$G$6:$Q$29, 10, FALSE)+VLOOKUP(BE$4, Rates_previous!$G$6:$Q$29, 11, FALSE))</f>
        <v>33339.964248020995</v>
      </c>
      <c r="BF36" s="102">
        <f>$F36*(VLOOKUP(BF$4, Rates_previous!$G$6:$Q$29, 10, FALSE)+VLOOKUP(BF$4, Rates_previous!$G$6:$Q$29, 11, FALSE))</f>
        <v>32230.883374644902</v>
      </c>
      <c r="BG36" s="102">
        <f>$F36*(VLOOKUP(BG$4, Rates_previous!$G$6:$Q$29, 10, FALSE)+VLOOKUP(BG$4, Rates_previous!$G$6:$Q$29, 11, FALSE))</f>
        <v>29658.654178572</v>
      </c>
      <c r="BH36" s="103">
        <f>IF($D36=0,IF(C36=0, MAX(BJ36 - (VLOOKUP($A36,TOCA_previous!$A$2:$AJ$136,MATCH("RHWM "&amp;Init!$D$1-2,TOCA_previous!$A$2:$AJ$2,0),FALSE)*$F$2*TOCA_previous!C33),0),0), 0)</f>
        <v>0</v>
      </c>
      <c r="BI36" s="109">
        <f>MIN(VLOOKUP($A36,TOCA_previous!$A$2:$AJ$136,MATCH("TRL - NLSL - Existing Resource "&amp;$F$1,TOCA_previous!$A$2:$AJ$2,0),FALSE)*$F$2,(VLOOKUP($A36,TOCA_previous!$A$2:$AJ$136,MATCH("RHWM "&amp;Init!$D$1-2,TOCA_previous!$A$2:$AJ$2,0),FALSE)*$F$2))</f>
        <v>411012.14399999997</v>
      </c>
      <c r="BJ36" s="261">
        <f>SUM(L36:AI36)+(F36*RT1SC!$C$3*$F$2)</f>
        <v>428169.55992652552</v>
      </c>
      <c r="BK36" s="260">
        <f>VLOOKUP($A36,TOCA_previous!$A$2:$AJ$136,MATCH("Above RHWM Not Served with LS "&amp;$F$1,TOCA_previous!$A$2:$AJ$2,0),FALSE)*$F$2</f>
        <v>0</v>
      </c>
      <c r="BL36" s="261">
        <f t="shared" si="21"/>
        <v>17157.415926525544</v>
      </c>
      <c r="BM36" s="260">
        <f>(VLOOKUP($A36,TOCA_previous!$A$2:$AJ$136,MATCH("RHWM "&amp;Init!$D$1-2,TOCA_previous!$A$2:$AJ$2,0),FALSE)*$F$2) - $BI36</f>
        <v>339844.17600000009</v>
      </c>
      <c r="BN36" s="261">
        <f t="shared" si="22"/>
        <v>-17157.415926525544</v>
      </c>
      <c r="BO36" s="260">
        <f t="shared" si="23"/>
        <v>0</v>
      </c>
      <c r="BP36" s="261">
        <f t="shared" si="24"/>
        <v>0</v>
      </c>
      <c r="BQ36" s="260">
        <f t="shared" si="9"/>
        <v>-17157.415926525544</v>
      </c>
      <c r="BR36" s="85">
        <f>VLOOKUP($A36,TOCA_current!$A$2:$ZZ$136,MATCH(BR$4,TOCA_current!$A$2:$ZZ$2,0),FALSE)</f>
        <v>6.875E-3</v>
      </c>
      <c r="BS36" s="85">
        <f>VLOOKUP($A36,TOCA_current!$A$2:$ZZ$136,MATCH(BS$4,TOCA_current!$A$2:$ZZ$2,0),FALSE)</f>
        <v>6.875E-3</v>
      </c>
      <c r="BT36" s="108">
        <f t="shared" si="25"/>
        <v>0</v>
      </c>
      <c r="BU36" s="85">
        <f>VLOOKUP($A36,TOCA_current!A33:BG167,MATCH(BU$4,TOCA_current!$A$2:$BG$2,0),FALSE)</f>
        <v>0</v>
      </c>
      <c r="BV36" s="85">
        <f t="shared" si="26"/>
        <v>0</v>
      </c>
      <c r="BW36" s="85">
        <f t="shared" si="27"/>
        <v>0</v>
      </c>
      <c r="BX36" s="101">
        <f>VLOOKUP($A36,IRD!$A$4:$G$138, 7, FALSE)</f>
        <v>0</v>
      </c>
      <c r="BY36" s="102">
        <f t="array" ref="BY36">IF($BT36=0, INDEX(LS_current!$D$4:$BW$137, MATCH('Staging Table'!$A36, LS_current!$B$4:$B$137, 0), MATCH(BY$4&amp;BY$5, LS_current!$D$2:$BW$2&amp;LS_current!$D$3:$BW$3, 0)),SUM(VLOOKUP($A36, LS_current!$B$4:$BW$137, LS_current!D$147, FALSE), VLOOKUP($A36, LS_current!$B$4:$BW$137,LS_current!AZ$147, FALSE))/2)</f>
        <v>2540.4872120175532</v>
      </c>
      <c r="BZ36" s="102">
        <f t="array" ref="BZ36">IF($BT36=0, INDEX(LS_current!$D$4:$BW$137, MATCH('Staging Table'!$A36, LS_current!$B$4:$B$137, 0), MATCH(BZ$4&amp;BZ$5, LS_current!$D$2:$BW$2&amp;LS_current!$D$3:$BW$3, 0)),SUM(VLOOKUP($A36, LS_current!$B$4:$BW$137, LS_current!E$147, FALSE), VLOOKUP($A36, LS_current!$B$4:$BW$137,LS_current!BA$147, FALSE))/2)</f>
        <v>3682.361478325276</v>
      </c>
      <c r="CA36" s="102">
        <f t="array" ref="CA36">IF($BT36=0, INDEX(LS_current!$D$4:$BW$137, MATCH('Staging Table'!$A36, LS_current!$B$4:$B$137, 0), MATCH(CA$4&amp;CA$5, LS_current!$D$2:$BW$2&amp;LS_current!$D$3:$BW$3, 0)),SUM(VLOOKUP($A36, LS_current!$B$4:$BW$137, LS_current!F$147, FALSE), VLOOKUP($A36, LS_current!$B$4:$BW$137,LS_current!BB$147, FALSE))/2)</f>
        <v>-197.41453428402383</v>
      </c>
      <c r="CB36" s="102">
        <f t="array" ref="CB36">IF($BT36=0, INDEX(LS_current!$D$4:$BW$137, MATCH('Staging Table'!$A36, LS_current!$B$4:$B$137, 0), MATCH(CB$4&amp;CB$5, LS_current!$D$2:$BW$2&amp;LS_current!$D$3:$BW$3, 0)),SUM(VLOOKUP($A36, LS_current!$B$4:$BW$137, LS_current!G$147, FALSE), VLOOKUP($A36, LS_current!$B$4:$BW$137,LS_current!BC$147, FALSE))/2)</f>
        <v>2157.4155067470274</v>
      </c>
      <c r="CC36" s="102">
        <f t="array" ref="CC36">IF($BT36=0, INDEX(LS_current!$D$4:$BW$137, MATCH('Staging Table'!$A36, LS_current!$B$4:$B$137, 0), MATCH(CC$4&amp;CC$5, LS_current!$D$2:$BW$2&amp;LS_current!$D$3:$BW$3, 0)),SUM(VLOOKUP($A36, LS_current!$B$4:$BW$137, LS_current!H$147, FALSE), VLOOKUP($A36, LS_current!$B$4:$BW$137,LS_current!BD$147, FALSE))/2)</f>
        <v>-1402.8883714785516</v>
      </c>
      <c r="CD36" s="102">
        <f t="array" ref="CD36">IF($BT36=0, INDEX(LS_current!$D$4:$BW$137, MATCH('Staging Table'!$A36, LS_current!$B$4:$B$137, 0), MATCH(CD$4&amp;CD$5, LS_current!$D$2:$BW$2&amp;LS_current!$D$3:$BW$3, 0)),SUM(VLOOKUP($A36, LS_current!$B$4:$BW$137, LS_current!I$147, FALSE), VLOOKUP($A36, LS_current!$B$4:$BW$137,LS_current!BE$147, FALSE))/2)</f>
        <v>5161.6738112010062</v>
      </c>
      <c r="CE36" s="102">
        <f t="array" ref="CE36">IF($BT36=0, INDEX(LS_current!$D$4:$BW$137, MATCH('Staging Table'!$A36, LS_current!$B$4:$B$137, 0), MATCH(CE$4&amp;CE$5, LS_current!$D$2:$BW$2&amp;LS_current!$D$3:$BW$3, 0)),SUM(VLOOKUP($A36, LS_current!$B$4:$BW$137, LS_current!J$147, FALSE), VLOOKUP($A36, LS_current!$B$4:$BW$137,LS_current!BF$147, FALSE))/2)</f>
        <v>-1093.268361132592</v>
      </c>
      <c r="CF36" s="102">
        <f t="array" ref="CF36">IF($BT36=0, INDEX(LS_current!$D$4:$BW$137, MATCH('Staging Table'!$A36, LS_current!$B$4:$B$137, 0), MATCH(CF$4&amp;CF$5, LS_current!$D$2:$BW$2&amp;LS_current!$D$3:$BW$3, 0)),SUM(VLOOKUP($A36, LS_current!$B$4:$BW$137, LS_current!K$147, FALSE), VLOOKUP($A36, LS_current!$B$4:$BW$137,LS_current!BG$147, FALSE))/2)</f>
        <v>3412.23398269483</v>
      </c>
      <c r="CG36" s="102">
        <f t="array" ref="CG36">IF($BT36=0, INDEX(LS_current!$D$4:$BW$137, MATCH('Staging Table'!$A36, LS_current!$B$4:$B$137, 0), MATCH(CG$4&amp;CG$5, LS_current!$D$2:$BW$2&amp;LS_current!$D$3:$BW$3, 0)),SUM(VLOOKUP($A36, LS_current!$B$4:$BW$137, LS_current!L$147, FALSE), VLOOKUP($A36, LS_current!$B$4:$BW$137,LS_current!BH$147, FALSE))/2)</f>
        <v>1371.1120852978238</v>
      </c>
      <c r="CH36" s="102">
        <f t="array" ref="CH36">IF($BT36=0, INDEX(LS_current!$D$4:$BW$137, MATCH('Staging Table'!$A36, LS_current!$B$4:$B$137, 0), MATCH(CH$4&amp;CH$5, LS_current!$D$2:$BW$2&amp;LS_current!$D$3:$BW$3, 0)),SUM(VLOOKUP($A36, LS_current!$B$4:$BW$137, LS_current!M$147, FALSE), VLOOKUP($A36, LS_current!$B$4:$BW$137,LS_current!BI$147, FALSE))/2)</f>
        <v>4200.5039060156851</v>
      </c>
      <c r="CI36" s="102">
        <f t="array" ref="CI36">IF($BT36=0, INDEX(LS_current!$D$4:$BW$137, MATCH('Staging Table'!$A36, LS_current!$B$4:$B$137, 0), MATCH(CI$4&amp;CI$5, LS_current!$D$2:$BW$2&amp;LS_current!$D$3:$BW$3, 0)),SUM(VLOOKUP($A36, LS_current!$B$4:$BW$137, LS_current!N$147, FALSE), VLOOKUP($A36, LS_current!$B$4:$BW$137,LS_current!BJ$147, FALSE))/2)</f>
        <v>-655.87976802674893</v>
      </c>
      <c r="CJ36" s="102">
        <f t="array" ref="CJ36">IF($BT36=0, INDEX(LS_current!$D$4:$BW$137, MATCH('Staging Table'!$A36, LS_current!$B$4:$B$137, 0), MATCH(CJ$4&amp;CJ$5, LS_current!$D$2:$BW$2&amp;LS_current!$D$3:$BW$3, 0)),SUM(VLOOKUP($A36, LS_current!$B$4:$BW$137, LS_current!O$147, FALSE), VLOOKUP($A36, LS_current!$B$4:$BW$137,LS_current!BK$147, FALSE))/2)</f>
        <v>3997.2555674137475</v>
      </c>
      <c r="CK36" s="102">
        <f t="array" ref="CK36">IF($BT36=0, INDEX(LS_current!$D$4:$BW$137, MATCH('Staging Table'!$A36, LS_current!$B$4:$B$137, 0), MATCH(CK$4&amp;CK$5, LS_current!$D$2:$BW$2&amp;LS_current!$D$3:$BW$3, 0)),SUM(VLOOKUP($A36, LS_current!$B$4:$BW$137, LS_current!P$147, FALSE), VLOOKUP($A36, LS_current!$B$4:$BW$137,LS_current!BL$147, FALSE))/2)</f>
        <v>2244.5969177087427</v>
      </c>
      <c r="CL36" s="102">
        <f t="array" ref="CL36">IF($BT36=0, INDEX(LS_current!$D$4:$BW$137, MATCH('Staging Table'!$A36, LS_current!$B$4:$B$137, 0), MATCH(CL$4&amp;CL$5, LS_current!$D$2:$BW$2&amp;LS_current!$D$3:$BW$3, 0)),SUM(VLOOKUP($A36, LS_current!$B$4:$BW$137, LS_current!Q$147, FALSE), VLOOKUP($A36, LS_current!$B$4:$BW$137,LS_current!BM$147, FALSE))/2)</f>
        <v>3411.8956147879489</v>
      </c>
      <c r="CM36" s="102">
        <f t="array" ref="CM36">IF($BT36=0, INDEX(LS_current!$D$4:$BW$137, MATCH('Staging Table'!$A36, LS_current!$B$4:$B$137, 0), MATCH(CM$4&amp;CM$5, LS_current!$D$2:$BW$2&amp;LS_current!$D$3:$BW$3, 0)),SUM(VLOOKUP($A36, LS_current!$B$4:$BW$137, LS_current!R$147, FALSE), VLOOKUP($A36, LS_current!$B$4:$BW$137,LS_current!BN$147, FALSE))/2)</f>
        <v>-5396.8813792814362</v>
      </c>
      <c r="CN36" s="102">
        <f t="array" ref="CN36">IF($BT36=0, INDEX(LS_current!$D$4:$BW$137, MATCH('Staging Table'!$A36, LS_current!$B$4:$B$137, 0), MATCH(CN$4&amp;CN$5, LS_current!$D$2:$BW$2&amp;LS_current!$D$3:$BW$3, 0)),SUM(VLOOKUP($A36, LS_current!$B$4:$BW$137, LS_current!S$147, FALSE), VLOOKUP($A36, LS_current!$B$4:$BW$137,LS_current!BO$147, FALSE))/2)</f>
        <v>-1612.303428590867</v>
      </c>
      <c r="CO36" s="102">
        <f t="array" ref="CO36">IF($BT36=0, INDEX(LS_current!$D$4:$BW$137, MATCH('Staging Table'!$A36, LS_current!$B$4:$B$137, 0), MATCH(CO$4&amp;CO$5, LS_current!$D$2:$BW$2&amp;LS_current!$D$3:$BW$3, 0)),SUM(VLOOKUP($A36, LS_current!$B$4:$BW$137, LS_current!T$147, FALSE), VLOOKUP($A36, LS_current!$B$4:$BW$137,LS_current!BP$147, FALSE))/2)</f>
        <v>-8333.8225715170629</v>
      </c>
      <c r="CP36" s="102">
        <f t="array" ref="CP36">IF($BT36=0, INDEX(LS_current!$D$4:$BW$137, MATCH('Staging Table'!$A36, LS_current!$B$4:$B$137, 0), MATCH(CP$4&amp;CP$5, LS_current!$D$2:$BW$2&amp;LS_current!$D$3:$BW$3, 0)),SUM(VLOOKUP($A36, LS_current!$B$4:$BW$137, LS_current!U$147, FALSE), VLOOKUP($A36, LS_current!$B$4:$BW$137,LS_current!BQ$147, FALSE))/2)</f>
        <v>-1949.2872113660433</v>
      </c>
      <c r="CQ36" s="102">
        <f t="array" ref="CQ36">IF($BT36=0, INDEX(LS_current!$D$4:$BW$137, MATCH('Staging Table'!$A36, LS_current!$B$4:$B$137, 0), MATCH(CQ$4&amp;CQ$5, LS_current!$D$2:$BW$2&amp;LS_current!$D$3:$BW$3, 0)),SUM(VLOOKUP($A36, LS_current!$B$4:$BW$137, LS_current!V$147, FALSE), VLOOKUP($A36, LS_current!$B$4:$BW$137,LS_current!BR$147, FALSE))/2)</f>
        <v>-5737.2570378433447</v>
      </c>
      <c r="CR36" s="102">
        <f t="array" ref="CR36">IF($BT36=0, INDEX(LS_current!$D$4:$BW$137, MATCH('Staging Table'!$A36, LS_current!$B$4:$B$137, 0), MATCH(CR$4&amp;CR$5, LS_current!$D$2:$BW$2&amp;LS_current!$D$3:$BW$3, 0)),SUM(VLOOKUP($A36, LS_current!$B$4:$BW$137, LS_current!W$147, FALSE), VLOOKUP($A36, LS_current!$B$4:$BW$137,LS_current!BS$147, FALSE))/2)</f>
        <v>-125.09573302359058</v>
      </c>
      <c r="CS36" s="102">
        <f t="array" ref="CS36">IF($BT36=0, INDEX(LS_current!$D$4:$BW$137, MATCH('Staging Table'!$A36, LS_current!$B$4:$B$137, 0), MATCH(CS$4&amp;CS$5, LS_current!$D$2:$BW$2&amp;LS_current!$D$3:$BW$3, 0)),SUM(VLOOKUP($A36, LS_current!$B$4:$BW$137, LS_current!X$147, FALSE), VLOOKUP($A36, LS_current!$B$4:$BW$137,LS_current!BT$147, FALSE))/2)</f>
        <v>-6507.6654964260233</v>
      </c>
      <c r="CT36" s="102">
        <f t="array" ref="CT36">IF($BT36=0, INDEX(LS_current!$D$4:$BW$137, MATCH('Staging Table'!$A36, LS_current!$B$4:$B$137, 0), MATCH(CT$4&amp;CT$5, LS_current!$D$2:$BW$2&amp;LS_current!$D$3:$BW$3, 0)),SUM(VLOOKUP($A36, LS_current!$B$4:$BW$137, LS_current!Y$147, FALSE), VLOOKUP($A36, LS_current!$B$4:$BW$137,LS_current!BU$147, FALSE))/2)</f>
        <v>-278.68898796613576</v>
      </c>
      <c r="CU36" s="102">
        <f t="array" ref="CU36">IF($BT36=0, INDEX(LS_current!$D$4:$BW$137, MATCH('Staging Table'!$A36, LS_current!$B$4:$B$137, 0), MATCH(CU$4&amp;CU$5, LS_current!$D$2:$BW$2&amp;LS_current!$D$3:$BW$3, 0)),SUM(VLOOKUP($A36, LS_current!$B$4:$BW$137, LS_current!Z$147, FALSE), VLOOKUP($A36, LS_current!$B$4:$BW$137,LS_current!BV$147, FALSE))/2)</f>
        <v>-1075.0188803055717</v>
      </c>
      <c r="CV36" s="102">
        <f t="array" ref="CV36">IF($BT36=0, INDEX(LS_current!$D$4:$BW$137, MATCH('Staging Table'!$A36, LS_current!$B$4:$B$137, 0), MATCH(CV$4&amp;CV$5, LS_current!$D$2:$BW$2&amp;LS_current!$D$3:$BW$3, 0)),SUM(VLOOKUP($A36, LS_current!$B$4:$BW$137, LS_current!AA$147, FALSE), VLOOKUP($A36, LS_current!$B$4:$BW$137,LS_current!BW$147, FALSE))/2)</f>
        <v>2182.7497539730011</v>
      </c>
      <c r="CW36" s="103">
        <f t="array" ref="CW36">INDEX(Demand_current!$D$4:$BW$137, MATCH($A36, Demand_current!$B$4:$B$137, 0), MATCH(CW$4&amp;CW$5,Demand_current!$D$2:$BW$2&amp;Demand_current!$D$3:$BW$3, 0))/1000</f>
        <v>0</v>
      </c>
      <c r="CX36" s="103">
        <f t="array" ref="CX36">INDEX(Demand_current!$D$4:$BW$137, MATCH($A36, Demand_current!$B$4:$B$137, 0), MATCH(CX$4&amp;CX$5,Demand_current!$D$2:$BW$2&amp;Demand_current!$D$3:$BW$3, 0))/1000</f>
        <v>0</v>
      </c>
      <c r="CY36" s="103">
        <f t="array" ref="CY36">INDEX(Demand_current!$D$4:$BW$137, MATCH($A36, Demand_current!$B$4:$B$137, 0), MATCH(CY$4&amp;CY$5,Demand_current!$D$2:$BW$2&amp;Demand_current!$D$3:$BW$3, 0))/1000</f>
        <v>3.270252403846154</v>
      </c>
      <c r="CZ36" s="103">
        <f t="array" ref="CZ36">INDEX(Demand_current!$D$4:$BW$137, MATCH($A36, Demand_current!$B$4:$B$137, 0), MATCH(CZ$4&amp;CZ$5,Demand_current!$D$2:$BW$2&amp;Demand_current!$D$3:$BW$3, 0))/1000</f>
        <v>0</v>
      </c>
      <c r="DA36" s="103">
        <f t="array" ref="DA36">INDEX(Demand_current!$D$4:$BW$137, MATCH($A36, Demand_current!$B$4:$B$137, 0), MATCH(DA$4&amp;DA$5,Demand_current!$D$2:$BW$2&amp;Demand_current!$D$3:$BW$3, 0))/1000</f>
        <v>0</v>
      </c>
      <c r="DB36" s="103">
        <f t="array" ref="DB36">INDEX(Demand_current!$D$4:$BW$137, MATCH($A36, Demand_current!$B$4:$B$137, 0), MATCH(DB$4&amp;DB$5,Demand_current!$D$2:$BW$2&amp;Demand_current!$D$3:$BW$3, 0))/1000</f>
        <v>0</v>
      </c>
      <c r="DC36" s="103">
        <f t="array" ref="DC36">INDEX(Demand_current!$D$4:$BW$137, MATCH($A36, Demand_current!$B$4:$B$137, 0), MATCH(DC$4&amp;DC$5,Demand_current!$D$2:$BW$2&amp;Demand_current!$D$3:$BW$3, 0))/1000</f>
        <v>0</v>
      </c>
      <c r="DD36" s="103">
        <f t="array" ref="DD36">INDEX(Demand_current!$D$4:$BW$137, MATCH($A36, Demand_current!$B$4:$B$137, 0), MATCH(DD$4&amp;DD$5,Demand_current!$D$2:$BW$2&amp;Demand_current!$D$3:$BW$3, 0))/1000</f>
        <v>0</v>
      </c>
      <c r="DE36" s="103">
        <f t="array" ref="DE36">INDEX(Demand_current!$D$4:$BW$137, MATCH($A36, Demand_current!$B$4:$B$137, 0), MATCH(DE$4&amp;DE$5,Demand_current!$D$2:$BW$2&amp;Demand_current!$D$3:$BW$3, 0))/1000</f>
        <v>0</v>
      </c>
      <c r="DF36" s="103">
        <f t="array" ref="DF36">INDEX(Demand_current!$D$4:$BW$137, MATCH($A36, Demand_current!$B$4:$B$137, 0), MATCH(DF$4&amp;DF$5,Demand_current!$D$2:$BW$2&amp;Demand_current!$D$3:$BW$3, 0))/1000</f>
        <v>0</v>
      </c>
      <c r="DG36" s="103">
        <f t="array" ref="DG36">INDEX(Demand_current!$D$4:$BW$137, MATCH($A36, Demand_current!$B$4:$B$137, 0), MATCH(DG$4&amp;DG$5,Demand_current!$D$2:$BW$2&amp;Demand_current!$D$3:$BW$3, 0))/1000</f>
        <v>0</v>
      </c>
      <c r="DH36" s="103">
        <f t="array" ref="DH36">INDEX(Demand_current!$D$4:$BW$137, MATCH($A36, Demand_current!$B$4:$B$137, 0), MATCH(DH$4&amp;DH$5,Demand_current!$D$2:$BW$2&amp;Demand_current!$D$3:$BW$3, 0))/1000</f>
        <v>0</v>
      </c>
      <c r="DI36" s="102">
        <f>$BS36*(VLOOKUP(DI$4, Rates_current!$H$6:$R$41, 10, FALSE)+VLOOKUP(DI$4, Rates_current!$H$6:$R$41, 11, FALSE))</f>
        <v>28533.227309657173</v>
      </c>
      <c r="DJ36" s="102">
        <f>$BS36*(VLOOKUP(DJ$4, Rates_current!$H$6:$R$41, 10, FALSE)+VLOOKUP(DJ$4, Rates_current!$H$6:$R$41, 11, FALSE))</f>
        <v>36478.792027537005</v>
      </c>
      <c r="DK36" s="102">
        <f>$BS36*(VLOOKUP(DK$4, Rates_current!$H$6:$R$41, 10, FALSE)+VLOOKUP(DK$4, Rates_current!$H$6:$R$41, 11, FALSE))</f>
        <v>41473.335560277541</v>
      </c>
      <c r="DL36" s="102">
        <f>$BS36*(VLOOKUP(DL$4, Rates_current!$H$6:$R$41, 10, FALSE)+VLOOKUP(DL$4, Rates_current!$H$6:$R$41, 11, FALSE))</f>
        <v>43757.606378437762</v>
      </c>
      <c r="DM36" s="102">
        <f>$BS36*(VLOOKUP(DM$4, Rates_current!$H$6:$R$41, 10, FALSE)+VLOOKUP(DM$4, Rates_current!$H$6:$R$41, 11, FALSE))</f>
        <v>34870.863008686494</v>
      </c>
      <c r="DN36" s="102">
        <f>$BS36*(VLOOKUP(DN$4, Rates_current!$H$6:$R$41, 10, FALSE)+VLOOKUP(DN$4, Rates_current!$H$6:$R$41, 11, FALSE))</f>
        <v>38121.014200612997</v>
      </c>
      <c r="DO36" s="102">
        <f>$BS36*(VLOOKUP(DO$4, Rates_current!$H$6:$R$41, 10, FALSE)+VLOOKUP(DO$4, Rates_current!$H$6:$R$41, 11, FALSE))</f>
        <v>29544.16946750331</v>
      </c>
      <c r="DP36" s="102">
        <f>$BS36*(VLOOKUP(DP$4, Rates_current!$H$6:$R$41, 10, FALSE)+VLOOKUP(DP$4, Rates_current!$H$6:$R$41, 11, FALSE))</f>
        <v>38235.019807872297</v>
      </c>
      <c r="DQ36" s="102">
        <f>$BS36*(VLOOKUP(DQ$4, Rates_current!$H$6:$R$41, 10, FALSE)+VLOOKUP(DQ$4, Rates_current!$H$6:$R$41, 11, FALSE))</f>
        <v>39051.448782883104</v>
      </c>
      <c r="DR36" s="102">
        <f>$BS36*(VLOOKUP(DR$4, Rates_current!$H$6:$R$41, 10, FALSE)+VLOOKUP(DR$4, Rates_current!$H$6:$R$41, 11, FALSE))</f>
        <v>34759.166770866934</v>
      </c>
      <c r="DS36" s="102">
        <f>$BS36*(VLOOKUP(DS$4, Rates_current!$H$6:$R$41, 10, FALSE)+VLOOKUP(DS$4, Rates_current!$H$6:$R$41, 11, FALSE))</f>
        <v>35656.530484392162</v>
      </c>
      <c r="DT36" s="102">
        <f>$BS36*(VLOOKUP(DT$4, Rates_current!$H$6:$R$41, 10, FALSE)+VLOOKUP(DT$4, Rates_current!$H$6:$R$41, 11, FALSE))</f>
        <v>27691.570126332572</v>
      </c>
      <c r="DU36" s="261">
        <f>IF(D36=0,IF(C36=0,MAX(0,DW36 - (VLOOKUP($A36,TOCA_current!$A$2:$AV$136,MATCH("RHWM "&amp;Init!$D$1,TOCA_current!$A$2:$AV$2,0),FALSE)*$BS$2)), 0),0)</f>
        <v>0</v>
      </c>
      <c r="DV36" s="262">
        <f>MIN(VLOOKUP($A36,TOCA_current!$A$2:$AV$136,MATCH("TRL - NLSL - Existing Resource "&amp;$BS$1,TOCA_current!$A$2:$AV$2,0),FALSE)*$BS$2, VLOOKUP($A36,TOCA_current!$A$2:$AV$136,MATCH("RHWM "&amp;Init!$D$1,TOCA_current!$A$2:$AV$2,0),FALSE)*$BS$2)</f>
        <v>428171.28</v>
      </c>
      <c r="DW36" s="262">
        <f>SUM(BY36:CV36)+(BS36*RT1SC!$C$4*$BS$2)</f>
        <v>428169.58327494067</v>
      </c>
      <c r="DX36" s="262">
        <f>VLOOKUP($A36,TOCA_current!$A$2:$AV$136,MATCH("Above RHWM Not Served with LS "&amp;$BS$1,TOCA_current!$A$2:$AV$2,0),FALSE)*$BS$2</f>
        <v>0</v>
      </c>
      <c r="DY36" s="262">
        <f t="shared" si="28"/>
        <v>-1.6967250593588687</v>
      </c>
      <c r="DZ36" s="262">
        <f>(VLOOKUP($A36,TOCA_current!$A$2:$AV$136,MATCH("RHWM "&amp;Init!$D$1,TOCA_current!$A$2:$AV$2,0),FALSE)*$BS$2) - $DV36</f>
        <v>324952.19999999995</v>
      </c>
      <c r="EA36" s="262">
        <f t="shared" si="29"/>
        <v>0</v>
      </c>
      <c r="EB36" s="262">
        <f t="shared" si="30"/>
        <v>1.6967250593588687</v>
      </c>
      <c r="EC36" s="262">
        <f t="shared" si="31"/>
        <v>0</v>
      </c>
      <c r="ED36" s="262">
        <f t="shared" si="32"/>
        <v>1.6967250593588687</v>
      </c>
    </row>
    <row r="37" spans="1:134">
      <c r="A37" s="2">
        <v>10089</v>
      </c>
      <c r="B37" s="3" t="s">
        <v>39</v>
      </c>
      <c r="C37">
        <f>VLOOKUP(A37, TOCA_current!$A$3:$D$136, 4, FALSE)</f>
        <v>0</v>
      </c>
      <c r="D37">
        <v>0</v>
      </c>
      <c r="E37" s="84">
        <f>VLOOKUP($A37,TOCA_previous!$A$2:$AJ$136,MATCH(E$4,TOCA_previous!$A$2:$AJ$2,0),FALSE)</f>
        <v>1.5087E-2</v>
      </c>
      <c r="F37" s="85">
        <f>VLOOKUP($A37,TOCA_previous!$A$2:$AJ$136,MATCH(F$4,TOCA_previous!$A$2:$AJ$2,0),FALSE)</f>
        <v>1.5087E-2</v>
      </c>
      <c r="G37" s="85">
        <f t="shared" si="18"/>
        <v>0</v>
      </c>
      <c r="H37" s="85">
        <f>VLOOKUP($A37,TOCA_previous!$A$2:$AJ$136,MATCH(H$4,TOCA_previous!$A$2:$AJ$2,0),FALSE)</f>
        <v>0</v>
      </c>
      <c r="I37" s="85">
        <f t="shared" si="19"/>
        <v>0</v>
      </c>
      <c r="J37" s="85">
        <f t="shared" si="20"/>
        <v>0</v>
      </c>
      <c r="K37" s="101">
        <f>VLOOKUP(A37, IRD!$A$5:$C$138, 3, FALSE)</f>
        <v>0</v>
      </c>
      <c r="L37" s="102">
        <f t="array" ref="L37">IF($G37=0, INDEX(LS_previous!$D$4:$AY$137, MATCH('Staging Table'!$A37, LS_previous!$B$4:$B$137, 0), MATCH(L$4&amp;L$5, LS_previous!$D$2:$AY$2&amp;LS_previous!$D$3:$AY$3, 0)),SUM(VLOOKUP($A37, LS_previous!$B$4:$AY$137, LS_previous!D$148, FALSE), VLOOKUP('Staging Table'!$A37, LS_previous!$B$4:$AY$137,LS_previous!AB$148, FALSE))/2)</f>
        <v>3486.4038288679949</v>
      </c>
      <c r="M37" s="102">
        <f t="array" ref="M37">IF($G37=0, INDEX(LS_previous!$D$4:$AY$137, MATCH('Staging Table'!$A37, LS_previous!$B$4:$B$137, 0), MATCH(M$4&amp;M$5, LS_previous!$D$2:$AY$2&amp;LS_previous!$D$3:$AY$3, 0)),SUM(VLOOKUP($A37, LS_previous!$B$4:$AY$137, LS_previous!E$148, FALSE), VLOOKUP('Staging Table'!$A37, LS_previous!$B$4:$AY$137,LS_previous!AC$148, FALSE))/2)</f>
        <v>-994.92317861849733</v>
      </c>
      <c r="N37" s="102">
        <f t="array" ref="N37">IF($G37=0, INDEX(LS_previous!$D$4:$AY$137, MATCH('Staging Table'!$A37, LS_previous!$B$4:$B$137, 0), MATCH(N$4&amp;N$5, LS_previous!$D$2:$AY$2&amp;LS_previous!$D$3:$AY$3, 0)),SUM(VLOOKUP($A37, LS_previous!$B$4:$AY$137, LS_previous!F$148, FALSE), VLOOKUP('Staging Table'!$A37, LS_previous!$B$4:$AY$137,LS_previous!AD$148, FALSE))/2)</f>
        <v>-8508.7723175360006</v>
      </c>
      <c r="O37" s="102">
        <f t="array" ref="O37">IF($G37=0, INDEX(LS_previous!$D$4:$AY$137, MATCH('Staging Table'!$A37, LS_previous!$B$4:$B$137, 0), MATCH(O$4&amp;O$5, LS_previous!$D$2:$AY$2&amp;LS_previous!$D$3:$AY$3, 0)),SUM(VLOOKUP($A37, LS_previous!$B$4:$AY$137, LS_previous!G$148, FALSE), VLOOKUP('Staging Table'!$A37, LS_previous!$B$4:$AY$137,LS_previous!AE$148, FALSE))/2)</f>
        <v>-473.20690589700098</v>
      </c>
      <c r="P37" s="102">
        <f t="array" ref="P37">IF($G37=0, INDEX(LS_previous!$D$4:$AY$137, MATCH('Staging Table'!$A37, LS_previous!$B$4:$B$137, 0), MATCH(P$4&amp;P$5, LS_previous!$D$2:$AY$2&amp;LS_previous!$D$3:$AY$3, 0)),SUM(VLOOKUP($A37, LS_previous!$B$4:$AY$137, LS_previous!H$148, FALSE), VLOOKUP('Staging Table'!$A37, LS_previous!$B$4:$AY$137,LS_previous!AF$148, FALSE))/2)</f>
        <v>5041.2886557070015</v>
      </c>
      <c r="Q37" s="102">
        <f t="array" ref="Q37">IF($G37=0, INDEX(LS_previous!$D$4:$AY$137, MATCH('Staging Table'!$A37, LS_previous!$B$4:$B$137, 0), MATCH(Q$4&amp;Q$5, LS_previous!$D$2:$AY$2&amp;LS_previous!$D$3:$AY$3, 0)),SUM(VLOOKUP($A37, LS_previous!$B$4:$AY$137, LS_previous!I$148, FALSE), VLOOKUP('Staging Table'!$A37, LS_previous!$B$4:$AY$137,LS_previous!AG$148, FALSE))/2)</f>
        <v>5069.837108447995</v>
      </c>
      <c r="R37" s="102">
        <f t="array" ref="R37">IF($G37=0, INDEX(LS_previous!$D$4:$AY$137, MATCH('Staging Table'!$A37, LS_previous!$B$4:$B$137, 0), MATCH(R$4&amp;R$5, LS_previous!$D$2:$AY$2&amp;LS_previous!$D$3:$AY$3, 0)),SUM(VLOOKUP($A37, LS_previous!$B$4:$AY$137, LS_previous!J$148, FALSE), VLOOKUP('Staging Table'!$A37, LS_previous!$B$4:$AY$137,LS_previous!AH$148, FALSE))/2)</f>
        <v>1510.7420957950017</v>
      </c>
      <c r="S37" s="102">
        <f t="array" ref="S37">IF($G37=0, INDEX(LS_previous!$D$4:$AY$137, MATCH('Staging Table'!$A37, LS_previous!$B$4:$B$137, 0), MATCH(S$4&amp;S$5, LS_previous!$D$2:$AY$2&amp;LS_previous!$D$3:$AY$3, 0)),SUM(VLOOKUP($A37, LS_previous!$B$4:$AY$137, LS_previous!K$148, FALSE), VLOOKUP('Staging Table'!$A37, LS_previous!$B$4:$AY$137,LS_previous!AI$148, FALSE))/2)</f>
        <v>5252.1385564769953</v>
      </c>
      <c r="T37" s="102">
        <f t="array" ref="T37">IF($G37=0, INDEX(LS_previous!$D$4:$AY$137, MATCH('Staging Table'!$A37, LS_previous!$B$4:$B$137, 0), MATCH(T$4&amp;T$5, LS_previous!$D$2:$AY$2&amp;LS_previous!$D$3:$AY$3, 0)),SUM(VLOOKUP($A37, LS_previous!$B$4:$AY$137, LS_previous!L$148, FALSE), VLOOKUP('Staging Table'!$A37, LS_previous!$B$4:$AY$137,LS_previous!AJ$148, FALSE))/2)</f>
        <v>-5710.6068264729911</v>
      </c>
      <c r="U37" s="102">
        <f t="array" ref="U37">IF($G37=0, INDEX(LS_previous!$D$4:$AY$137, MATCH('Staging Table'!$A37, LS_previous!$B$4:$B$137, 0), MATCH(U$4&amp;U$5, LS_previous!$D$2:$AY$2&amp;LS_previous!$D$3:$AY$3, 0)),SUM(VLOOKUP($A37, LS_previous!$B$4:$AY$137, LS_previous!M$148, FALSE), VLOOKUP('Staging Table'!$A37, LS_previous!$B$4:$AY$137,LS_previous!AK$148, FALSE))/2)</f>
        <v>850.29914456700135</v>
      </c>
      <c r="V37" s="102">
        <f t="array" ref="V37">IF($G37=0, INDEX(LS_previous!$D$4:$AY$137, MATCH('Staging Table'!$A37, LS_previous!$B$4:$B$137, 0), MATCH(V$4&amp;V$5, LS_previous!$D$2:$AY$2&amp;LS_previous!$D$3:$AY$3, 0)),SUM(VLOOKUP($A37, LS_previous!$B$4:$AY$137, LS_previous!N$148, FALSE), VLOOKUP('Staging Table'!$A37, LS_previous!$B$4:$AY$137,LS_previous!AL$148, FALSE))/2)</f>
        <v>-8927.9276578309946</v>
      </c>
      <c r="W37" s="102">
        <f t="array" ref="W37">IF($G37=0, INDEX(LS_previous!$D$4:$AY$137, MATCH('Staging Table'!$A37, LS_previous!$B$4:$B$137, 0), MATCH(W$4&amp;W$5, LS_previous!$D$2:$AY$2&amp;LS_previous!$D$3:$AY$3, 0)),SUM(VLOOKUP($A37, LS_previous!$B$4:$AY$137, LS_previous!O$148, FALSE), VLOOKUP('Staging Table'!$A37, LS_previous!$B$4:$AY$137,LS_previous!AM$148, FALSE))/2)</f>
        <v>-3671.867364685997</v>
      </c>
      <c r="X37" s="102">
        <f t="array" ref="X37">IF($G37=0, INDEX(LS_previous!$D$4:$AY$137, MATCH('Staging Table'!$A37, LS_previous!$B$4:$B$137, 0), MATCH(X$4&amp;X$5, LS_previous!$D$2:$AY$2&amp;LS_previous!$D$3:$AY$3, 0)),SUM(VLOOKUP($A37, LS_previous!$B$4:$AY$137, LS_previous!P$148, FALSE), VLOOKUP('Staging Table'!$A37, LS_previous!$B$4:$AY$137,LS_previous!AN$148, FALSE))/2)</f>
        <v>-1957.3391391424957</v>
      </c>
      <c r="Y37" s="102">
        <f t="array" ref="Y37">IF($G37=0, INDEX(LS_previous!$D$4:$AY$137, MATCH('Staging Table'!$A37, LS_previous!$B$4:$B$137, 0), MATCH(Y$4&amp;Y$5, LS_previous!$D$2:$AY$2&amp;LS_previous!$D$3:$AY$3, 0)),SUM(VLOOKUP($A37, LS_previous!$B$4:$AY$137, LS_previous!Q$148, FALSE), VLOOKUP('Staging Table'!$A37, LS_previous!$B$4:$AY$137,LS_previous!AO$148, FALSE))/2)</f>
        <v>-2961.7674974222464</v>
      </c>
      <c r="Z37" s="102">
        <f t="array" ref="Z37">IF($G37=0, INDEX(LS_previous!$D$4:$AY$137, MATCH('Staging Table'!$A37, LS_previous!$B$4:$B$137, 0), MATCH(Z$4&amp;Z$5, LS_previous!$D$2:$AY$2&amp;LS_previous!$D$3:$AY$3, 0)),SUM(VLOOKUP($A37, LS_previous!$B$4:$AY$137, LS_previous!R$148, FALSE), VLOOKUP('Staging Table'!$A37, LS_previous!$B$4:$AY$137,LS_previous!AP$148, FALSE))/2)</f>
        <v>-9859.2627857760017</v>
      </c>
      <c r="AA37" s="102">
        <f t="array" ref="AA37">IF($G37=0, INDEX(LS_previous!$D$4:$AY$137, MATCH('Staging Table'!$A37, LS_previous!$B$4:$B$137, 0), MATCH(AA$4&amp;AA$5, LS_previous!$D$2:$AY$2&amp;LS_previous!$D$3:$AY$3, 0)),SUM(VLOOKUP($A37, LS_previous!$B$4:$AY$137, LS_previous!S$148, FALSE), VLOOKUP('Staging Table'!$A37, LS_previous!$B$4:$AY$137,LS_previous!AQ$148, FALSE))/2)</f>
        <v>-4779.7563942894994</v>
      </c>
      <c r="AB37" s="102">
        <f t="array" ref="AB37">IF($G37=0, INDEX(LS_previous!$D$4:$AY$137, MATCH('Staging Table'!$A37, LS_previous!$B$4:$B$137, 0), MATCH(AB$4&amp;AB$5, LS_previous!$D$2:$AY$2&amp;LS_previous!$D$3:$AY$3, 0)),SUM(VLOOKUP($A37, LS_previous!$B$4:$AY$137, LS_previous!T$148, FALSE), VLOOKUP('Staging Table'!$A37, LS_previous!$B$4:$AY$137,LS_previous!AR$148, FALSE))/2)</f>
        <v>-6357.1505795620033</v>
      </c>
      <c r="AC37" s="102">
        <f t="array" ref="AC37">IF($G37=0, INDEX(LS_previous!$D$4:$AY$137, MATCH('Staging Table'!$A37, LS_previous!$B$4:$B$137, 0), MATCH(AC$4&amp;AC$5, LS_previous!$D$2:$AY$2&amp;LS_previous!$D$3:$AY$3, 0)),SUM(VLOOKUP($A37, LS_previous!$B$4:$AY$137, LS_previous!U$148, FALSE), VLOOKUP('Staging Table'!$A37, LS_previous!$B$4:$AY$137,LS_previous!AS$148, FALSE))/2)</f>
        <v>-5694.1927472415009</v>
      </c>
      <c r="AD37" s="102">
        <f t="array" ref="AD37">IF($G37=0, INDEX(LS_previous!$D$4:$AY$137, MATCH('Staging Table'!$A37, LS_previous!$B$4:$B$137, 0), MATCH(AD$4&amp;AD$5, LS_previous!$D$2:$AY$2&amp;LS_previous!$D$3:$AY$3, 0)),SUM(VLOOKUP($A37, LS_previous!$B$4:$AY$137, LS_previous!V$148, FALSE), VLOOKUP('Staging Table'!$A37, LS_previous!$B$4:$AY$137,LS_previous!AT$148, FALSE))/2)</f>
        <v>8108.3267765320052</v>
      </c>
      <c r="AE37" s="102">
        <f t="array" ref="AE37">IF($G37=0, INDEX(LS_previous!$D$4:$AY$137, MATCH('Staging Table'!$A37, LS_previous!$B$4:$B$137, 0), MATCH(AE$4&amp;AE$5, LS_previous!$D$2:$AY$2&amp;LS_previous!$D$3:$AY$3, 0)),SUM(VLOOKUP($A37, LS_previous!$B$4:$AY$137, LS_previous!W$148, FALSE), VLOOKUP('Staging Table'!$A37, LS_previous!$B$4:$AY$137,LS_previous!AU$148, FALSE))/2)</f>
        <v>3910.3957189075009</v>
      </c>
      <c r="AF37" s="102">
        <f t="array" ref="AF37">IF($G37=0, INDEX(LS_previous!$D$4:$AY$137, MATCH('Staging Table'!$A37, LS_previous!$B$4:$B$137, 0), MATCH(AF$4&amp;AF$5, LS_previous!$D$2:$AY$2&amp;LS_previous!$D$3:$AY$3, 0)),SUM(VLOOKUP($A37, LS_previous!$B$4:$AY$137, LS_previous!X$148, FALSE), VLOOKUP('Staging Table'!$A37, LS_previous!$B$4:$AY$137,LS_previous!AV$148, FALSE))/2)</f>
        <v>7451.3981825794981</v>
      </c>
      <c r="AG37" s="102">
        <f t="array" ref="AG37">IF($G37=0, INDEX(LS_previous!$D$4:$AY$137, MATCH('Staging Table'!$A37, LS_previous!$B$4:$B$137, 0), MATCH(AG$4&amp;AG$5, LS_previous!$D$2:$AY$2&amp;LS_previous!$D$3:$AY$3, 0)),SUM(VLOOKUP($A37, LS_previous!$B$4:$AY$137, LS_previous!Y$148, FALSE), VLOOKUP('Staging Table'!$A37, LS_previous!$B$4:$AY$137,LS_previous!AW$148, FALSE))/2)</f>
        <v>5237.6125893030512</v>
      </c>
      <c r="AH37" s="102">
        <f t="array" ref="AH37">IF($G37=0, INDEX(LS_previous!$D$4:$AY$137, MATCH('Staging Table'!$A37, LS_previous!$B$4:$B$137, 0), MATCH(AH$4&amp;AH$5, LS_previous!$D$2:$AY$2&amp;LS_previous!$D$3:$AY$3, 0)),SUM(VLOOKUP($A37, LS_previous!$B$4:$AY$137, LS_previous!Z$148, FALSE), VLOOKUP('Staging Table'!$A37, LS_previous!$B$4:$AY$137,LS_previous!AX$148, FALSE))/2)</f>
        <v>1997.572260162</v>
      </c>
      <c r="AI37" s="102">
        <f t="array" ref="AI37">IF($G37=0, INDEX(LS_previous!$D$4:$AY$137, MATCH('Staging Table'!$A37, LS_previous!$B$4:$B$137, 0), MATCH(AI$4&amp;AI$5, LS_previous!$D$2:$AY$2&amp;LS_previous!$D$3:$AY$3, 0)),SUM(VLOOKUP($A37, LS_previous!$B$4:$AY$137, LS_previous!AA$148, FALSE), VLOOKUP('Staging Table'!$A37, LS_previous!$B$4:$AY$137,LS_previous!AY$148, FALSE))/2)</f>
        <v>-805.94467204800094</v>
      </c>
      <c r="AJ37" s="103">
        <f t="array" ref="AJ37">INDEX(Demand_previous!$D$4:$AY$137, MATCH('Staging Table'!$A37, Demand_previous!$B$4:$B$137, 0), MATCH(AJ$4&amp;AJ$5,Demand_previous!$D$2:$AY$2&amp;Demand_previous!$D$3:$AY$3, 0))/1000</f>
        <v>0</v>
      </c>
      <c r="AK37" s="103">
        <f t="array" ref="AK37">INDEX(Demand_previous!$D$4:$AY$137, MATCH('Staging Table'!$A37, Demand_previous!$B$4:$B$137, 0), MATCH(AK$4&amp;AK$5,Demand_previous!$D$2:$AY$2&amp;Demand_previous!$D$3:$AY$3, 0))/1000</f>
        <v>0</v>
      </c>
      <c r="AL37" s="103">
        <f t="array" ref="AL37">INDEX(Demand_previous!$D$4:$AY$137, MATCH('Staging Table'!$A37, Demand_previous!$B$4:$B$137, 0), MATCH(AL$4&amp;AL$5,Demand_previous!$D$2:$AY$2&amp;Demand_previous!$D$3:$AY$3, 0))/1000</f>
        <v>1.3048574999999794</v>
      </c>
      <c r="AM37" s="103">
        <f t="array" ref="AM37">INDEX(Demand_previous!$D$4:$AY$137, MATCH('Staging Table'!$A37, Demand_previous!$B$4:$B$137, 0), MATCH(AM$4&amp;AM$5,Demand_previous!$D$2:$AY$2&amp;Demand_previous!$D$3:$AY$3, 0))/1000</f>
        <v>1.1387235576922947</v>
      </c>
      <c r="AN37" s="103">
        <f t="array" ref="AN37">INDEX(Demand_previous!$D$4:$AY$137, MATCH('Staging Table'!$A37, Demand_previous!$B$4:$B$137, 0), MATCH(AN$4&amp;AN$5,Demand_previous!$D$2:$AY$2&amp;Demand_previous!$D$3:$AY$3, 0))/1000</f>
        <v>0</v>
      </c>
      <c r="AO37" s="103">
        <f t="array" ref="AO37">INDEX(Demand_previous!$D$4:$AY$137, MATCH('Staging Table'!$A37, Demand_previous!$B$4:$B$137, 0), MATCH(AO$4&amp;AO$5,Demand_previous!$D$2:$AY$2&amp;Demand_previous!$D$3:$AY$3, 0))/1000</f>
        <v>4.420745192307681</v>
      </c>
      <c r="AP37" s="103">
        <f t="array" ref="AP37">INDEX(Demand_previous!$D$4:$AY$137, MATCH('Staging Table'!$A37, Demand_previous!$B$4:$B$137, 0), MATCH(AP$4&amp;AP$5,Demand_previous!$D$2:$AY$2&amp;Demand_previous!$D$3:$AY$3, 0))/1000</f>
        <v>11.137050480769236</v>
      </c>
      <c r="AQ37" s="103">
        <f t="array" ref="AQ37">INDEX(Demand_previous!$D$4:$AY$137, MATCH('Staging Table'!$A37, Demand_previous!$B$4:$B$137, 0), MATCH(AQ$4&amp;AQ$5,Demand_previous!$D$2:$AY$2&amp;Demand_previous!$D$3:$AY$3, 0))/1000</f>
        <v>2.5490528846153673</v>
      </c>
      <c r="AR37" s="103">
        <f t="array" ref="AR37">INDEX(Demand_previous!$D$4:$AY$137, MATCH('Staging Table'!$A37, Demand_previous!$B$4:$B$137, 0), MATCH(AR$4&amp;AR$5,Demand_previous!$D$2:$AY$2&amp;Demand_previous!$D$3:$AY$3, 0))/1000</f>
        <v>13.633277500000005</v>
      </c>
      <c r="AS37" s="103">
        <f t="array" ref="AS37">INDEX(Demand_previous!$D$4:$AY$137, MATCH('Staging Table'!$A37, Demand_previous!$B$4:$B$137, 0), MATCH(AS$4&amp;AS$5,Demand_previous!$D$2:$AY$2&amp;Demand_previous!$D$3:$AY$3, 0))/1000</f>
        <v>13.069319711538473</v>
      </c>
      <c r="AT37" s="103">
        <f t="array" ref="AT37">INDEX(Demand_previous!$D$4:$AY$137, MATCH('Staging Table'!$A37, Demand_previous!$B$4:$B$137, 0), MATCH(AT$4&amp;AT$5,Demand_previous!$D$2:$AY$2&amp;Demand_previous!$D$3:$AY$3, 0))/1000</f>
        <v>24.479800925925939</v>
      </c>
      <c r="AU37" s="103">
        <f t="array" ref="AU37">INDEX(Demand_previous!$D$4:$AY$137, MATCH('Staging Table'!$A37, Demand_previous!$B$4:$B$137, 0), MATCH(AU$4&amp;AU$5,Demand_previous!$D$2:$AY$2&amp;Demand_previous!$D$3:$AY$3, 0))/1000</f>
        <v>3.645515625000002</v>
      </c>
      <c r="AV37" s="102">
        <f>$F37*(VLOOKUP(AV$4, Rates_previous!$G$6:$Q$29, 10, FALSE)+VLOOKUP(AV$4, Rates_previous!$G$6:$Q$29, 11, FALSE))</f>
        <v>63649.092349750499</v>
      </c>
      <c r="AW37" s="102">
        <f>$F37*(VLOOKUP(AW$4, Rates_previous!$G$6:$Q$29, 10, FALSE)+VLOOKUP(AW$4, Rates_previous!$G$6:$Q$29, 11, FALSE))</f>
        <v>81173.581223433008</v>
      </c>
      <c r="AX37" s="102">
        <f>$F37*(VLOOKUP(AX$4, Rates_previous!$G$6:$Q$29, 10, FALSE)+VLOOKUP(AX$4, Rates_previous!$G$6:$Q$29, 11, FALSE))</f>
        <v>87602.355235845011</v>
      </c>
      <c r="AY37" s="102">
        <f>$F37*(VLOOKUP(AY$4, Rates_previous!$G$6:$Q$29, 10, FALSE)+VLOOKUP(AY$4, Rates_previous!$G$6:$Q$29, 11, FALSE))</f>
        <v>91032.389347727993</v>
      </c>
      <c r="AZ37" s="102">
        <f>$F37*(VLOOKUP(AZ$4, Rates_previous!$G$6:$Q$29, 10, FALSE)+VLOOKUP(AZ$4, Rates_previous!$G$6:$Q$29, 11, FALSE))</f>
        <v>78299.98868190599</v>
      </c>
      <c r="BA37" s="102">
        <f>$F37*(VLOOKUP(BA$4, Rates_previous!$G$6:$Q$29, 10, FALSE)+VLOOKUP(BA$4, Rates_previous!$G$6:$Q$29, 11, FALSE))</f>
        <v>85488.085022517</v>
      </c>
      <c r="BB37" s="102">
        <f>$F37*(VLOOKUP(BB$4, Rates_previous!$G$6:$Q$29, 10, FALSE)+VLOOKUP(BB$4, Rates_previous!$G$6:$Q$29, 11, FALSE))</f>
        <v>67478.436636564744</v>
      </c>
      <c r="BC37" s="102">
        <f>$F37*(VLOOKUP(BC$4, Rates_previous!$G$6:$Q$29, 10, FALSE)+VLOOKUP(BC$4, Rates_previous!$G$6:$Q$29, 11, FALSE))</f>
        <v>83716.043180065506</v>
      </c>
      <c r="BD37" s="102">
        <f>$F37*(VLOOKUP(BD$4, Rates_previous!$G$6:$Q$29, 10, FALSE)+VLOOKUP(BD$4, Rates_previous!$G$6:$Q$29, 11, FALSE))</f>
        <v>85532.472326803487</v>
      </c>
      <c r="BE37" s="102">
        <f>$F37*(VLOOKUP(BE$4, Rates_previous!$G$6:$Q$29, 10, FALSE)+VLOOKUP(BE$4, Rates_previous!$G$6:$Q$29, 11, FALSE))</f>
        <v>74254.508504560494</v>
      </c>
      <c r="BF37" s="102">
        <f>$F37*(VLOOKUP(BF$4, Rates_previous!$G$6:$Q$29, 10, FALSE)+VLOOKUP(BF$4, Rates_previous!$G$6:$Q$29, 11, FALSE))</f>
        <v>71784.372228117456</v>
      </c>
      <c r="BG37" s="102">
        <f>$F37*(VLOOKUP(BG$4, Rates_previous!$G$6:$Q$29, 10, FALSE)+VLOOKUP(BG$4, Rates_previous!$G$6:$Q$29, 11, FALSE))</f>
        <v>66055.52341188601</v>
      </c>
      <c r="BH37" s="103">
        <f>IF($D37=0,IF(C37=0, MAX(BJ37 - (VLOOKUP($A37,TOCA_previous!$A$2:$AJ$136,MATCH("RHWM "&amp;Init!$D$1-2,TOCA_previous!$A$2:$AJ$2,0),FALSE)*$F$2*TOCA_previous!C34),0),0), 0)</f>
        <v>7873.157290742849</v>
      </c>
      <c r="BI37" s="109">
        <f>MIN(VLOOKUP($A37,TOCA_previous!$A$2:$AJ$136,MATCH("TRL - NLSL - Existing Resource "&amp;$F$1,TOCA_previous!$A$2:$AJ$2,0),FALSE)*$F$2,(VLOOKUP($A37,TOCA_previous!$A$2:$AJ$136,MATCH("RHWM "&amp;Init!$D$1-2,TOCA_previous!$A$2:$AJ$2,0),FALSE)*$F$2))</f>
        <v>915406.99199999997</v>
      </c>
      <c r="BJ37" s="261">
        <f>SUM(L37:AI37)+(F37*RT1SC!$C$3*$F$2)</f>
        <v>923280.14929074282</v>
      </c>
      <c r="BK37" s="260">
        <f>VLOOKUP($A37,TOCA_previous!$A$2:$AJ$136,MATCH("Above RHWM Not Served with LS "&amp;$F$1,TOCA_previous!$A$2:$AJ$2,0),FALSE)*$F$2</f>
        <v>63587.375999999997</v>
      </c>
      <c r="BL37" s="261">
        <f t="shared" si="21"/>
        <v>7873.157290742849</v>
      </c>
      <c r="BM37" s="260">
        <f>(VLOOKUP($A37,TOCA_previous!$A$2:$AJ$136,MATCH("RHWM "&amp;Init!$D$1-2,TOCA_previous!$A$2:$AJ$2,0),FALSE)*$F$2) - $BI37</f>
        <v>0</v>
      </c>
      <c r="BN37" s="261">
        <f t="shared" si="22"/>
        <v>0</v>
      </c>
      <c r="BO37" s="260">
        <f t="shared" si="23"/>
        <v>0</v>
      </c>
      <c r="BP37" s="261">
        <f t="shared" si="24"/>
        <v>0</v>
      </c>
      <c r="BQ37" s="260">
        <f t="shared" si="9"/>
        <v>0</v>
      </c>
      <c r="BR37" s="85">
        <f>VLOOKUP($A37,TOCA_current!$A$2:$ZZ$136,MATCH(BR$4,TOCA_current!$A$2:$ZZ$2,0),FALSE)</f>
        <v>1.4742699999999999E-2</v>
      </c>
      <c r="BS37" s="85">
        <f>VLOOKUP($A37,TOCA_current!$A$2:$ZZ$136,MATCH(BS$4,TOCA_current!$A$2:$ZZ$2,0),FALSE)</f>
        <v>1.4742699999999999E-2</v>
      </c>
      <c r="BT37" s="108">
        <f t="shared" si="25"/>
        <v>0</v>
      </c>
      <c r="BU37" s="85">
        <f>VLOOKUP($A37,TOCA_current!A34:BG168,MATCH(BU$4,TOCA_current!$A$2:$BG$2,0),FALSE)</f>
        <v>0</v>
      </c>
      <c r="BV37" s="85">
        <f t="shared" si="26"/>
        <v>0</v>
      </c>
      <c r="BW37" s="85">
        <f t="shared" si="27"/>
        <v>0</v>
      </c>
      <c r="BX37" s="101">
        <f>VLOOKUP($A37,IRD!$A$4:$G$138, 7, FALSE)</f>
        <v>0</v>
      </c>
      <c r="BY37" s="102">
        <f t="array" ref="BY37">IF($BT37=0, INDEX(LS_current!$D$4:$BW$137, MATCH('Staging Table'!$A37, LS_current!$B$4:$B$137, 0), MATCH(BY$4&amp;BY$5, LS_current!$D$2:$BW$2&amp;LS_current!$D$3:$BW$3, 0)),SUM(VLOOKUP($A37, LS_current!$B$4:$BW$137, LS_current!D$147, FALSE), VLOOKUP($A37, LS_current!$B$4:$BW$137,LS_current!AZ$147, FALSE))/2)</f>
        <v>3493.5548031870858</v>
      </c>
      <c r="BZ37" s="102">
        <f t="array" ref="BZ37">IF($BT37=0, INDEX(LS_current!$D$4:$BW$137, MATCH('Staging Table'!$A37, LS_current!$B$4:$B$137, 0), MATCH(BZ$4&amp;BZ$5, LS_current!$D$2:$BW$2&amp;LS_current!$D$3:$BW$3, 0)),SUM(VLOOKUP($A37, LS_current!$B$4:$BW$137, LS_current!E$147, FALSE), VLOOKUP($A37, LS_current!$B$4:$BW$137,LS_current!BA$147, FALSE))/2)</f>
        <v>1011.9410683645146</v>
      </c>
      <c r="CA37" s="102">
        <f t="array" ref="CA37">IF($BT37=0, INDEX(LS_current!$D$4:$BW$137, MATCH('Staging Table'!$A37, LS_current!$B$4:$B$137, 0), MATCH(CA$4&amp;CA$5, LS_current!$D$2:$BW$2&amp;LS_current!$D$3:$BW$3, 0)),SUM(VLOOKUP($A37, LS_current!$B$4:$BW$137, LS_current!F$147, FALSE), VLOOKUP($A37, LS_current!$B$4:$BW$137,LS_current!BB$147, FALSE))/2)</f>
        <v>-6632.3673993584162</v>
      </c>
      <c r="CB37" s="102">
        <f t="array" ref="CB37">IF($BT37=0, INDEX(LS_current!$D$4:$BW$137, MATCH('Staging Table'!$A37, LS_current!$B$4:$B$137, 0), MATCH(CB$4&amp;CB$5, LS_current!$D$2:$BW$2&amp;LS_current!$D$3:$BW$3, 0)),SUM(VLOOKUP($A37, LS_current!$B$4:$BW$137, LS_current!G$147, FALSE), VLOOKUP($A37, LS_current!$B$4:$BW$137,LS_current!BC$147, FALSE))/2)</f>
        <v>164.35007581373065</v>
      </c>
      <c r="CC37" s="102">
        <f t="array" ref="CC37">IF($BT37=0, INDEX(LS_current!$D$4:$BW$137, MATCH('Staging Table'!$A37, LS_current!$B$4:$B$137, 0), MATCH(CC$4&amp;CC$5, LS_current!$D$2:$BW$2&amp;LS_current!$D$3:$BW$3, 0)),SUM(VLOOKUP($A37, LS_current!$B$4:$BW$137, LS_current!H$147, FALSE), VLOOKUP($A37, LS_current!$B$4:$BW$137,LS_current!BD$147, FALSE))/2)</f>
        <v>779.660089527737</v>
      </c>
      <c r="CD37" s="102">
        <f t="array" ref="CD37">IF($BT37=0, INDEX(LS_current!$D$4:$BW$137, MATCH('Staging Table'!$A37, LS_current!$B$4:$B$137, 0), MATCH(CD$4&amp;CD$5, LS_current!$D$2:$BW$2&amp;LS_current!$D$3:$BW$3, 0)),SUM(VLOOKUP($A37, LS_current!$B$4:$BW$137, LS_current!I$147, FALSE), VLOOKUP($A37, LS_current!$B$4:$BW$137,LS_current!BE$147, FALSE))/2)</f>
        <v>7550.0697592717188</v>
      </c>
      <c r="CE37" s="102">
        <f t="array" ref="CE37">IF($BT37=0, INDEX(LS_current!$D$4:$BW$137, MATCH('Staging Table'!$A37, LS_current!$B$4:$B$137, 0), MATCH(CE$4&amp;CE$5, LS_current!$D$2:$BW$2&amp;LS_current!$D$3:$BW$3, 0)),SUM(VLOOKUP($A37, LS_current!$B$4:$BW$137, LS_current!J$147, FALSE), VLOOKUP($A37, LS_current!$B$4:$BW$137,LS_current!BF$147, FALSE))/2)</f>
        <v>-1523.7412413482816</v>
      </c>
      <c r="CF37" s="102">
        <f t="array" ref="CF37">IF($BT37=0, INDEX(LS_current!$D$4:$BW$137, MATCH('Staging Table'!$A37, LS_current!$B$4:$B$137, 0), MATCH(CF$4&amp;CF$5, LS_current!$D$2:$BW$2&amp;LS_current!$D$3:$BW$3, 0)),SUM(VLOOKUP($A37, LS_current!$B$4:$BW$137, LS_current!K$147, FALSE), VLOOKUP($A37, LS_current!$B$4:$BW$137,LS_current!BG$147, FALSE))/2)</f>
        <v>5036.8863605636507</v>
      </c>
      <c r="CG37" s="102">
        <f t="array" ref="CG37">IF($BT37=0, INDEX(LS_current!$D$4:$BW$137, MATCH('Staging Table'!$A37, LS_current!$B$4:$B$137, 0), MATCH(CG$4&amp;CG$5, LS_current!$D$2:$BW$2&amp;LS_current!$D$3:$BW$3, 0)),SUM(VLOOKUP($A37, LS_current!$B$4:$BW$137, LS_current!L$147, FALSE), VLOOKUP($A37, LS_current!$B$4:$BW$137,LS_current!BH$147, FALSE))/2)</f>
        <v>-3623.4379114443291</v>
      </c>
      <c r="CH37" s="102">
        <f t="array" ref="CH37">IF($BT37=0, INDEX(LS_current!$D$4:$BW$137, MATCH('Staging Table'!$A37, LS_current!$B$4:$B$137, 0), MATCH(CH$4&amp;CH$5, LS_current!$D$2:$BW$2&amp;LS_current!$D$3:$BW$3, 0)),SUM(VLOOKUP($A37, LS_current!$B$4:$BW$137, LS_current!M$147, FALSE), VLOOKUP($A37, LS_current!$B$4:$BW$137,LS_current!BI$147, FALSE))/2)</f>
        <v>2054.8138818934494</v>
      </c>
      <c r="CI37" s="102">
        <f t="array" ref="CI37">IF($BT37=0, INDEX(LS_current!$D$4:$BW$137, MATCH('Staging Table'!$A37, LS_current!$B$4:$B$137, 0), MATCH(CI$4&amp;CI$5, LS_current!$D$2:$BW$2&amp;LS_current!$D$3:$BW$3, 0)),SUM(VLOOKUP($A37, LS_current!$B$4:$BW$137, LS_current!N$147, FALSE), VLOOKUP($A37, LS_current!$B$4:$BW$137,LS_current!BJ$147, FALSE))/2)</f>
        <v>-10295.122494441872</v>
      </c>
      <c r="CJ37" s="102">
        <f t="array" ref="CJ37">IF($BT37=0, INDEX(LS_current!$D$4:$BW$137, MATCH('Staging Table'!$A37, LS_current!$B$4:$B$137, 0), MATCH(CJ$4&amp;CJ$5, LS_current!$D$2:$BW$2&amp;LS_current!$D$3:$BW$3, 0)),SUM(VLOOKUP($A37, LS_current!$B$4:$BW$137, LS_current!O$147, FALSE), VLOOKUP($A37, LS_current!$B$4:$BW$137,LS_current!BK$147, FALSE))/2)</f>
        <v>988.95788638700469</v>
      </c>
      <c r="CK37" s="102">
        <f t="array" ref="CK37">IF($BT37=0, INDEX(LS_current!$D$4:$BW$137, MATCH('Staging Table'!$A37, LS_current!$B$4:$B$137, 0), MATCH(CK$4&amp;CK$5, LS_current!$D$2:$BW$2&amp;LS_current!$D$3:$BW$3, 0)),SUM(VLOOKUP($A37, LS_current!$B$4:$BW$137, LS_current!P$147, FALSE), VLOOKUP($A37, LS_current!$B$4:$BW$137,LS_current!BL$147, FALSE))/2)</f>
        <v>-143.13804036295187</v>
      </c>
      <c r="CL37" s="102">
        <f t="array" ref="CL37">IF($BT37=0, INDEX(LS_current!$D$4:$BW$137, MATCH('Staging Table'!$A37, LS_current!$B$4:$B$137, 0), MATCH(CL$4&amp;CL$5, LS_current!$D$2:$BW$2&amp;LS_current!$D$3:$BW$3, 0)),SUM(VLOOKUP($A37, LS_current!$B$4:$BW$137, LS_current!Q$147, FALSE), VLOOKUP($A37, LS_current!$B$4:$BW$137,LS_current!BM$147, FALSE))/2)</f>
        <v>-1085.9940990641044</v>
      </c>
      <c r="CM37" s="102">
        <f t="array" ref="CM37">IF($BT37=0, INDEX(LS_current!$D$4:$BW$137, MATCH('Staging Table'!$A37, LS_current!$B$4:$B$137, 0), MATCH(CM$4&amp;CM$5, LS_current!$D$2:$BW$2&amp;LS_current!$D$3:$BW$3, 0)),SUM(VLOOKUP($A37, LS_current!$B$4:$BW$137, LS_current!R$147, FALSE), VLOOKUP($A37, LS_current!$B$4:$BW$137,LS_current!BN$147, FALSE))/2)</f>
        <v>-8761.8705590592581</v>
      </c>
      <c r="CN37" s="102">
        <f t="array" ref="CN37">IF($BT37=0, INDEX(LS_current!$D$4:$BW$137, MATCH('Staging Table'!$A37, LS_current!$B$4:$B$137, 0), MATCH(CN$4&amp;CN$5, LS_current!$D$2:$BW$2&amp;LS_current!$D$3:$BW$3, 0)),SUM(VLOOKUP($A37, LS_current!$B$4:$BW$137, LS_current!S$147, FALSE), VLOOKUP($A37, LS_current!$B$4:$BW$137,LS_current!BO$147, FALSE))/2)</f>
        <v>-4600.63584407077</v>
      </c>
      <c r="CO37" s="102">
        <f t="array" ref="CO37">IF($BT37=0, INDEX(LS_current!$D$4:$BW$137, MATCH('Staging Table'!$A37, LS_current!$B$4:$B$137, 0), MATCH(CO$4&amp;CO$5, LS_current!$D$2:$BW$2&amp;LS_current!$D$3:$BW$3, 0)),SUM(VLOOKUP($A37, LS_current!$B$4:$BW$137, LS_current!T$147, FALSE), VLOOKUP($A37, LS_current!$B$4:$BW$137,LS_current!BP$147, FALSE))/2)</f>
        <v>-7592.0621999133946</v>
      </c>
      <c r="CP37" s="102">
        <f t="array" ref="CP37">IF($BT37=0, INDEX(LS_current!$D$4:$BW$137, MATCH('Staging Table'!$A37, LS_current!$B$4:$B$137, 0), MATCH(CP$4&amp;CP$5, LS_current!$D$2:$BW$2&amp;LS_current!$D$3:$BW$3, 0)),SUM(VLOOKUP($A37, LS_current!$B$4:$BW$137, LS_current!U$147, FALSE), VLOOKUP($A37, LS_current!$B$4:$BW$137,LS_current!BQ$147, FALSE))/2)</f>
        <v>-3102.6115595645315</v>
      </c>
      <c r="CQ37" s="102">
        <f t="array" ref="CQ37">IF($BT37=0, INDEX(LS_current!$D$4:$BW$137, MATCH('Staging Table'!$A37, LS_current!$B$4:$B$137, 0), MATCH(CQ$4&amp;CQ$5, LS_current!$D$2:$BW$2&amp;LS_current!$D$3:$BW$3, 0)),SUM(VLOOKUP($A37, LS_current!$B$4:$BW$137, LS_current!V$147, FALSE), VLOOKUP($A37, LS_current!$B$4:$BW$137,LS_current!BR$147, FALSE))/2)</f>
        <v>6898.9838473435593</v>
      </c>
      <c r="CR37" s="102">
        <f t="array" ref="CR37">IF($BT37=0, INDEX(LS_current!$D$4:$BW$137, MATCH('Staging Table'!$A37, LS_current!$B$4:$B$137, 0), MATCH(CR$4&amp;CR$5, LS_current!$D$2:$BW$2&amp;LS_current!$D$3:$BW$3, 0)),SUM(VLOOKUP($A37, LS_current!$B$4:$BW$137, LS_current!W$147, FALSE), VLOOKUP($A37, LS_current!$B$4:$BW$137,LS_current!BS$147, FALSE))/2)</f>
        <v>4388.3107231495414</v>
      </c>
      <c r="CS37" s="102">
        <f t="array" ref="CS37">IF($BT37=0, INDEX(LS_current!$D$4:$BW$137, MATCH('Staging Table'!$A37, LS_current!$B$4:$B$137, 0), MATCH(CS$4&amp;CS$5, LS_current!$D$2:$BW$2&amp;LS_current!$D$3:$BW$3, 0)),SUM(VLOOKUP($A37, LS_current!$B$4:$BW$137, LS_current!X$147, FALSE), VLOOKUP($A37, LS_current!$B$4:$BW$137,LS_current!BT$147, FALSE))/2)</f>
        <v>2028.3508235985501</v>
      </c>
      <c r="CT37" s="102">
        <f t="array" ref="CT37">IF($BT37=0, INDEX(LS_current!$D$4:$BW$137, MATCH('Staging Table'!$A37, LS_current!$B$4:$B$137, 0), MATCH(CT$4&amp;CT$5, LS_current!$D$2:$BW$2&amp;LS_current!$D$3:$BW$3, 0)),SUM(VLOOKUP($A37, LS_current!$B$4:$BW$137, LS_current!Y$147, FALSE), VLOOKUP($A37, LS_current!$B$4:$BW$137,LS_current!BU$147, FALSE))/2)</f>
        <v>5534.7955258926049</v>
      </c>
      <c r="CU37" s="102">
        <f t="array" ref="CU37">IF($BT37=0, INDEX(LS_current!$D$4:$BW$137, MATCH('Staging Table'!$A37, LS_current!$B$4:$B$137, 0), MATCH(CU$4&amp;CU$5, LS_current!$D$2:$BW$2&amp;LS_current!$D$3:$BW$3, 0)),SUM(VLOOKUP($A37, LS_current!$B$4:$BW$137, LS_current!Z$147, FALSE), VLOOKUP($A37, LS_current!$B$4:$BW$137,LS_current!BV$147, FALSE))/2)</f>
        <v>4131.5171724973188</v>
      </c>
      <c r="CV37" s="102">
        <f t="array" ref="CV37">IF($BT37=0, INDEX(LS_current!$D$4:$BW$137, MATCH('Staging Table'!$A37, LS_current!$B$4:$B$137, 0), MATCH(CV$4&amp;CV$5, LS_current!$D$2:$BW$2&amp;LS_current!$D$3:$BW$3, 0)),SUM(VLOOKUP($A37, LS_current!$B$4:$BW$137, LS_current!AA$147, FALSE), VLOOKUP($A37, LS_current!$B$4:$BW$137,LS_current!BW$147, FALSE))/2)</f>
        <v>3299.8722418324069</v>
      </c>
      <c r="CW37" s="103">
        <f t="array" ref="CW37">INDEX(Demand_current!$D$4:$BW$137, MATCH($A37, Demand_current!$B$4:$B$137, 0), MATCH(CW$4&amp;CW$5,Demand_current!$D$2:$BW$2&amp;Demand_current!$D$3:$BW$3, 0))/1000</f>
        <v>0</v>
      </c>
      <c r="CX37" s="103">
        <f t="array" ref="CX37">INDEX(Demand_current!$D$4:$BW$137, MATCH($A37, Demand_current!$B$4:$B$137, 0), MATCH(CX$4&amp;CX$5,Demand_current!$D$2:$BW$2&amp;Demand_current!$D$3:$BW$3, 0))/1000</f>
        <v>0</v>
      </c>
      <c r="CY37" s="103">
        <f t="array" ref="CY37">INDEX(Demand_current!$D$4:$BW$137, MATCH($A37, Demand_current!$B$4:$B$137, 0), MATCH(CY$4&amp;CY$5,Demand_current!$D$2:$BW$2&amp;Demand_current!$D$3:$BW$3, 0))/1000</f>
        <v>7.1750937499999843</v>
      </c>
      <c r="CZ37" s="103">
        <f t="array" ref="CZ37">INDEX(Demand_current!$D$4:$BW$137, MATCH($A37, Demand_current!$B$4:$B$137, 0), MATCH(CZ$4&amp;CZ$5,Demand_current!$D$2:$BW$2&amp;Demand_current!$D$3:$BW$3, 0))/1000</f>
        <v>1.1387235576922947</v>
      </c>
      <c r="DA37" s="103">
        <f t="array" ref="DA37">INDEX(Demand_current!$D$4:$BW$137, MATCH($A37, Demand_current!$B$4:$B$137, 0), MATCH(DA$4&amp;DA$5,Demand_current!$D$2:$BW$2&amp;Demand_current!$D$3:$BW$3, 0))/1000</f>
        <v>0</v>
      </c>
      <c r="DB37" s="103">
        <f t="array" ref="DB37">INDEX(Demand_current!$D$4:$BW$137, MATCH($A37, Demand_current!$B$4:$B$137, 0), MATCH(DB$4&amp;DB$5,Demand_current!$D$2:$BW$2&amp;Demand_current!$D$3:$BW$3, 0))/1000</f>
        <v>4.420745192307681</v>
      </c>
      <c r="DC37" s="103">
        <f t="array" ref="DC37">INDEX(Demand_current!$D$4:$BW$137, MATCH($A37, Demand_current!$B$4:$B$137, 0), MATCH(DC$4&amp;DC$5,Demand_current!$D$2:$BW$2&amp;Demand_current!$D$3:$BW$3, 0))/1000</f>
        <v>11.137050480769236</v>
      </c>
      <c r="DD37" s="103">
        <f t="array" ref="DD37">INDEX(Demand_current!$D$4:$BW$137, MATCH($A37, Demand_current!$B$4:$B$137, 0), MATCH(DD$4&amp;DD$5,Demand_current!$D$2:$BW$2&amp;Demand_current!$D$3:$BW$3, 0))/1000</f>
        <v>0</v>
      </c>
      <c r="DE37" s="103">
        <f t="array" ref="DE37">INDEX(Demand_current!$D$4:$BW$137, MATCH($A37, Demand_current!$B$4:$B$137, 0), MATCH(DE$4&amp;DE$5,Demand_current!$D$2:$BW$2&amp;Demand_current!$D$3:$BW$3, 0))/1000</f>
        <v>18.464843750000014</v>
      </c>
      <c r="DF37" s="103">
        <f t="array" ref="DF37">INDEX(Demand_current!$D$4:$BW$137, MATCH($A37, Demand_current!$B$4:$B$137, 0), MATCH(DF$4&amp;DF$5,Demand_current!$D$2:$BW$2&amp;Demand_current!$D$3:$BW$3, 0))/1000</f>
        <v>13.069319711538473</v>
      </c>
      <c r="DG37" s="103">
        <f t="array" ref="DG37">INDEX(Demand_current!$D$4:$BW$137, MATCH($A37, Demand_current!$B$4:$B$137, 0), MATCH(DG$4&amp;DG$5,Demand_current!$D$2:$BW$2&amp;Demand_current!$D$3:$BW$3, 0))/1000</f>
        <v>19.483754807692304</v>
      </c>
      <c r="DH37" s="103">
        <f t="array" ref="DH37">INDEX(Demand_current!$D$4:$BW$137, MATCH($A37, Demand_current!$B$4:$B$137, 0), MATCH(DH$4&amp;DH$5,Demand_current!$D$2:$BW$2&amp;Demand_current!$D$3:$BW$3, 0))/1000</f>
        <v>8.2526950000000028</v>
      </c>
      <c r="DI37" s="102">
        <f>$BS37*(VLOOKUP(DI$4, Rates_current!$H$6:$R$41, 10, FALSE)+VLOOKUP(DI$4, Rates_current!$H$6:$R$41, 11, FALSE))</f>
        <v>61186.445128448402</v>
      </c>
      <c r="DJ37" s="102">
        <f>$BS37*(VLOOKUP(DJ$4, Rates_current!$H$6:$R$41, 10, FALSE)+VLOOKUP(DJ$4, Rates_current!$H$6:$R$41, 11, FALSE))</f>
        <v>78224.856323544693</v>
      </c>
      <c r="DK37" s="102">
        <f>$BS37*(VLOOKUP(DK$4, Rates_current!$H$6:$R$41, 10, FALSE)+VLOOKUP(DK$4, Rates_current!$H$6:$R$41, 11, FALSE))</f>
        <v>88935.119151200532</v>
      </c>
      <c r="DL37" s="102">
        <f>$BS37*(VLOOKUP(DL$4, Rates_current!$H$6:$R$41, 10, FALSE)+VLOOKUP(DL$4, Rates_current!$H$6:$R$41, 11, FALSE))</f>
        <v>93833.49288078463</v>
      </c>
      <c r="DM37" s="102">
        <f>$BS37*(VLOOKUP(DM$4, Rates_current!$H$6:$R$41, 10, FALSE)+VLOOKUP(DM$4, Rates_current!$H$6:$R$41, 11, FALSE))</f>
        <v>74776.825029550891</v>
      </c>
      <c r="DN37" s="102">
        <f>$BS37*(VLOOKUP(DN$4, Rates_current!$H$6:$R$41, 10, FALSE)+VLOOKUP(DN$4, Rates_current!$H$6:$R$41, 11, FALSE))</f>
        <v>81746.425608054866</v>
      </c>
      <c r="DO37" s="102">
        <f>$BS37*(VLOOKUP(DO$4, Rates_current!$H$6:$R$41, 10, FALSE)+VLOOKUP(DO$4, Rates_current!$H$6:$R$41, 11, FALSE))</f>
        <v>63354.302139427062</v>
      </c>
      <c r="DP37" s="102">
        <f>$BS37*(VLOOKUP(DP$4, Rates_current!$H$6:$R$41, 10, FALSE)+VLOOKUP(DP$4, Rates_current!$H$6:$R$41, 11, FALSE))</f>
        <v>81990.898403130021</v>
      </c>
      <c r="DQ37" s="102">
        <f>$BS37*(VLOOKUP(DQ$4, Rates_current!$H$6:$R$41, 10, FALSE)+VLOOKUP(DQ$4, Rates_current!$H$6:$R$41, 11, FALSE))</f>
        <v>83741.642759477923</v>
      </c>
      <c r="DR37" s="102">
        <f>$BS37*(VLOOKUP(DR$4, Rates_current!$H$6:$R$41, 10, FALSE)+VLOOKUP(DR$4, Rates_current!$H$6:$R$41, 11, FALSE))</f>
        <v>74537.304429506898</v>
      </c>
      <c r="DS37" s="102">
        <f>$BS37*(VLOOKUP(DS$4, Rates_current!$H$6:$R$41, 10, FALSE)+VLOOKUP(DS$4, Rates_current!$H$6:$R$41, 11, FALSE))</f>
        <v>76461.604650508845</v>
      </c>
      <c r="DT37" s="102">
        <f>$BS37*(VLOOKUP(DT$4, Rates_current!$H$6:$R$41, 10, FALSE)+VLOOKUP(DT$4, Rates_current!$H$6:$R$41, 11, FALSE))</f>
        <v>59381.60158567028</v>
      </c>
      <c r="DU37" s="261">
        <f>IF(D37=0,IF(C37=0,MAX(0,DW37 - (VLOOKUP($A37,TOCA_current!$A$2:$AV$136,MATCH("RHWM "&amp;Init!$D$1,TOCA_current!$A$2:$AV$2,0),FALSE)*$BS$2)), 0),0)</f>
        <v>1.0151993992039934</v>
      </c>
      <c r="DV37" s="262">
        <f>MIN(VLOOKUP($A37,TOCA_current!$A$2:$AV$136,MATCH("TRL - NLSL - Existing Resource "&amp;$BS$1,TOCA_current!$A$2:$AV$2,0),FALSE)*$BS$2, VLOOKUP($A37,TOCA_current!$A$2:$AV$136,MATCH("RHWM "&amp;Init!$D$1,TOCA_current!$A$2:$AV$2,0),FALSE)*$BS$2)</f>
        <v>918170.6399999999</v>
      </c>
      <c r="DW37" s="262">
        <f>SUM(BY37:CV37)+(BS37*RT1SC!$C$4*$BS$2)</f>
        <v>918171.6551993991</v>
      </c>
      <c r="DX37" s="262">
        <f>VLOOKUP($A37,TOCA_current!$A$2:$AV$136,MATCH("Above RHWM Not Served with LS "&amp;$BS$1,TOCA_current!$A$2:$AV$2,0),FALSE)*$BS$2</f>
        <v>68695.92</v>
      </c>
      <c r="DY37" s="262">
        <f t="shared" si="28"/>
        <v>1.0151993992039934</v>
      </c>
      <c r="DZ37" s="262">
        <f>(VLOOKUP($A37,TOCA_current!$A$2:$AV$136,MATCH("RHWM "&amp;Init!$D$1,TOCA_current!$A$2:$AV$2,0),FALSE)*$BS$2) - $DV37</f>
        <v>0</v>
      </c>
      <c r="EA37" s="262">
        <f t="shared" si="29"/>
        <v>0</v>
      </c>
      <c r="EB37" s="262">
        <f t="shared" si="30"/>
        <v>0</v>
      </c>
      <c r="EC37" s="262">
        <f t="shared" si="31"/>
        <v>0</v>
      </c>
      <c r="ED37" s="262">
        <f t="shared" si="32"/>
        <v>0</v>
      </c>
    </row>
    <row r="38" spans="1:134">
      <c r="A38" s="2">
        <v>10091</v>
      </c>
      <c r="B38" s="3" t="s">
        <v>40</v>
      </c>
      <c r="C38">
        <f>VLOOKUP(A38, TOCA_current!$A$3:$D$136, 4, FALSE)</f>
        <v>0</v>
      </c>
      <c r="D38">
        <v>0</v>
      </c>
      <c r="E38" s="84">
        <f>VLOOKUP($A38,TOCA_previous!$A$2:$AJ$136,MATCH(E$4,TOCA_previous!$A$2:$AJ$2,0),FALSE)</f>
        <v>1.3079999999999999E-3</v>
      </c>
      <c r="F38" s="85">
        <f>VLOOKUP($A38,TOCA_previous!$A$2:$AJ$136,MATCH(F$4,TOCA_previous!$A$2:$AJ$2,0),FALSE)</f>
        <v>1.3079999999999999E-3</v>
      </c>
      <c r="G38" s="85">
        <f t="shared" si="18"/>
        <v>0</v>
      </c>
      <c r="H38" s="85">
        <f>VLOOKUP($A38,TOCA_previous!$A$2:$AJ$136,MATCH(H$4,TOCA_previous!$A$2:$AJ$2,0),FALSE)</f>
        <v>0</v>
      </c>
      <c r="I38" s="85">
        <f t="shared" si="19"/>
        <v>0</v>
      </c>
      <c r="J38" s="85">
        <f t="shared" si="20"/>
        <v>0</v>
      </c>
      <c r="K38" s="101">
        <f>VLOOKUP(A38, IRD!$A$5:$C$138, 3, FALSE)</f>
        <v>0</v>
      </c>
      <c r="L38" s="102">
        <f t="array" ref="L38">IF($G38=0, INDEX(LS_previous!$D$4:$AY$137, MATCH('Staging Table'!$A38, LS_previous!$B$4:$B$137, 0), MATCH(L$4&amp;L$5, LS_previous!$D$2:$AY$2&amp;LS_previous!$D$3:$AY$3, 0)),SUM(VLOOKUP($A38, LS_previous!$B$4:$AY$137, LS_previous!D$148, FALSE), VLOOKUP('Staging Table'!$A38, LS_previous!$B$4:$AY$137,LS_previous!AB$148, FALSE))/2)</f>
        <v>523.98620091199973</v>
      </c>
      <c r="M38" s="102">
        <f t="array" ref="M38">IF($G38=0, INDEX(LS_previous!$D$4:$AY$137, MATCH('Staging Table'!$A38, LS_previous!$B$4:$B$137, 0), MATCH(M$4&amp;M$5, LS_previous!$D$2:$AY$2&amp;LS_previous!$D$3:$AY$3, 0)),SUM(VLOOKUP($A38, LS_previous!$B$4:$AY$137, LS_previous!E$148, FALSE), VLOOKUP('Staging Table'!$A38, LS_previous!$B$4:$AY$137,LS_previous!AC$148, FALSE))/2)</f>
        <v>205.4774790460001</v>
      </c>
      <c r="N38" s="102">
        <f t="array" ref="N38">IF($G38=0, INDEX(LS_previous!$D$4:$AY$137, MATCH('Staging Table'!$A38, LS_previous!$B$4:$B$137, 0), MATCH(N$4&amp;N$5, LS_previous!$D$2:$AY$2&amp;LS_previous!$D$3:$AY$3, 0)),SUM(VLOOKUP($A38, LS_previous!$B$4:$AY$137, LS_previous!F$148, FALSE), VLOOKUP('Staging Table'!$A38, LS_previous!$B$4:$AY$137,LS_previous!AD$148, FALSE))/2)</f>
        <v>-211.16642502400055</v>
      </c>
      <c r="O38" s="102">
        <f t="array" ref="O38">IF($G38=0, INDEX(LS_previous!$D$4:$AY$137, MATCH('Staging Table'!$A38, LS_previous!$B$4:$B$137, 0), MATCH(O$4&amp;O$5, LS_previous!$D$2:$AY$2&amp;LS_previous!$D$3:$AY$3, 0)),SUM(VLOOKUP($A38, LS_previous!$B$4:$AY$137, LS_previous!G$148, FALSE), VLOOKUP('Staging Table'!$A38, LS_previous!$B$4:$AY$137,LS_previous!AE$148, FALSE))/2)</f>
        <v>120.38075065199973</v>
      </c>
      <c r="P38" s="102">
        <f t="array" ref="P38">IF($G38=0, INDEX(LS_previous!$D$4:$AY$137, MATCH('Staging Table'!$A38, LS_previous!$B$4:$B$137, 0), MATCH(P$4&amp;P$5, LS_previous!$D$2:$AY$2&amp;LS_previous!$D$3:$AY$3, 0)),SUM(VLOOKUP($A38, LS_previous!$B$4:$AY$137, LS_previous!H$148, FALSE), VLOOKUP('Staging Table'!$A38, LS_previous!$B$4:$AY$137,LS_previous!AF$148, FALSE))/2)</f>
        <v>769.14265338800033</v>
      </c>
      <c r="Q38" s="102">
        <f t="array" ref="Q38">IF($G38=0, INDEX(LS_previous!$D$4:$AY$137, MATCH('Staging Table'!$A38, LS_previous!$B$4:$B$137, 0), MATCH(Q$4&amp;Q$5, LS_previous!$D$2:$AY$2&amp;LS_previous!$D$3:$AY$3, 0)),SUM(VLOOKUP($A38, LS_previous!$B$4:$AY$137, LS_previous!I$148, FALSE), VLOOKUP('Staging Table'!$A38, LS_previous!$B$4:$AY$137,LS_previous!AG$148, FALSE))/2)</f>
        <v>955.33124563200045</v>
      </c>
      <c r="R38" s="102">
        <f t="array" ref="R38">IF($G38=0, INDEX(LS_previous!$D$4:$AY$137, MATCH('Staging Table'!$A38, LS_previous!$B$4:$B$137, 0), MATCH(R$4&amp;R$5, LS_previous!$D$2:$AY$2&amp;LS_previous!$D$3:$AY$3, 0)),SUM(VLOOKUP($A38, LS_previous!$B$4:$AY$137, LS_previous!J$148, FALSE), VLOOKUP('Staging Table'!$A38, LS_previous!$B$4:$AY$137,LS_previous!AH$148, FALSE))/2)</f>
        <v>622.8082367800007</v>
      </c>
      <c r="S38" s="102">
        <f t="array" ref="S38">IF($G38=0, INDEX(LS_previous!$D$4:$AY$137, MATCH('Staging Table'!$A38, LS_previous!$B$4:$B$137, 0), MATCH(S$4&amp;S$5, LS_previous!$D$2:$AY$2&amp;LS_previous!$D$3:$AY$3, 0)),SUM(VLOOKUP($A38, LS_previous!$B$4:$AY$137, LS_previous!K$148, FALSE), VLOOKUP('Staging Table'!$A38, LS_previous!$B$4:$AY$137,LS_previous!AI$148, FALSE))/2)</f>
        <v>962.55245806799985</v>
      </c>
      <c r="T38" s="102">
        <f t="array" ref="T38">IF($G38=0, INDEX(LS_previous!$D$4:$AY$137, MATCH('Staging Table'!$A38, LS_previous!$B$4:$B$137, 0), MATCH(T$4&amp;T$5, LS_previous!$D$2:$AY$2&amp;LS_previous!$D$3:$AY$3, 0)),SUM(VLOOKUP($A38, LS_previous!$B$4:$AY$137, LS_previous!L$148, FALSE), VLOOKUP('Staging Table'!$A38, LS_previous!$B$4:$AY$137,LS_previous!AJ$148, FALSE))/2)</f>
        <v>292.58339026800058</v>
      </c>
      <c r="U38" s="102">
        <f t="array" ref="U38">IF($G38=0, INDEX(LS_previous!$D$4:$AY$137, MATCH('Staging Table'!$A38, LS_previous!$B$4:$B$137, 0), MATCH(U$4&amp;U$5, LS_previous!$D$2:$AY$2&amp;LS_previous!$D$3:$AY$3, 0)),SUM(VLOOKUP($A38, LS_previous!$B$4:$AY$137, LS_previous!M$148, FALSE), VLOOKUP('Staging Table'!$A38, LS_previous!$B$4:$AY$137,LS_previous!AK$148, FALSE))/2)</f>
        <v>644.76823762800041</v>
      </c>
      <c r="V38" s="102">
        <f t="array" ref="V38">IF($G38=0, INDEX(LS_previous!$D$4:$AY$137, MATCH('Staging Table'!$A38, LS_previous!$B$4:$B$137, 0), MATCH(V$4&amp;V$5, LS_previous!$D$2:$AY$2&amp;LS_previous!$D$3:$AY$3, 0)),SUM(VLOOKUP($A38, LS_previous!$B$4:$AY$137, LS_previous!N$148, FALSE), VLOOKUP('Staging Table'!$A38, LS_previous!$B$4:$AY$137,LS_previous!AL$148, FALSE))/2)</f>
        <v>-130.56419980399914</v>
      </c>
      <c r="W38" s="102">
        <f t="array" ref="W38">IF($G38=0, INDEX(LS_previous!$D$4:$AY$137, MATCH('Staging Table'!$A38, LS_previous!$B$4:$B$137, 0), MATCH(W$4&amp;W$5, LS_previous!$D$2:$AY$2&amp;LS_previous!$D$3:$AY$3, 0)),SUM(VLOOKUP($A38, LS_previous!$B$4:$AY$137, LS_previous!O$148, FALSE), VLOOKUP('Staging Table'!$A38, LS_previous!$B$4:$AY$137,LS_previous!AM$148, FALSE))/2)</f>
        <v>54.658314375999907</v>
      </c>
      <c r="X38" s="102">
        <f t="array" ref="X38">IF($G38=0, INDEX(LS_previous!$D$4:$AY$137, MATCH('Staging Table'!$A38, LS_previous!$B$4:$B$137, 0), MATCH(X$4&amp;X$5, LS_previous!$D$2:$AY$2&amp;LS_previous!$D$3:$AY$3, 0)),SUM(VLOOKUP($A38, LS_previous!$B$4:$AY$137, LS_previous!P$148, FALSE), VLOOKUP('Staging Table'!$A38, LS_previous!$B$4:$AY$137,LS_previous!AN$148, FALSE))/2)</f>
        <v>260.43762703000084</v>
      </c>
      <c r="Y38" s="102">
        <f t="array" ref="Y38">IF($G38=0, INDEX(LS_previous!$D$4:$AY$137, MATCH('Staging Table'!$A38, LS_previous!$B$4:$B$137, 0), MATCH(Y$4&amp;Y$5, LS_previous!$D$2:$AY$2&amp;LS_previous!$D$3:$AY$3, 0)),SUM(VLOOKUP($A38, LS_previous!$B$4:$AY$137, LS_previous!Q$148, FALSE), VLOOKUP('Staging Table'!$A38, LS_previous!$B$4:$AY$137,LS_previous!AO$148, FALSE))/2)</f>
        <v>137.30779203100019</v>
      </c>
      <c r="Z38" s="102">
        <f t="array" ref="Z38">IF($G38=0, INDEX(LS_previous!$D$4:$AY$137, MATCH('Staging Table'!$A38, LS_previous!$B$4:$B$137, 0), MATCH(Z$4&amp;Z$5, LS_previous!$D$2:$AY$2&amp;LS_previous!$D$3:$AY$3, 0)),SUM(VLOOKUP($A38, LS_previous!$B$4:$AY$137, LS_previous!R$148, FALSE), VLOOKUP('Staging Table'!$A38, LS_previous!$B$4:$AY$137,LS_previous!AP$148, FALSE))/2)</f>
        <v>-971.74743718399986</v>
      </c>
      <c r="AA38" s="102">
        <f t="array" ref="AA38">IF($G38=0, INDEX(LS_previous!$D$4:$AY$137, MATCH('Staging Table'!$A38, LS_previous!$B$4:$B$137, 0), MATCH(AA$4&amp;AA$5, LS_previous!$D$2:$AY$2&amp;LS_previous!$D$3:$AY$3, 0)),SUM(VLOOKUP($A38, LS_previous!$B$4:$AY$137, LS_previous!S$148, FALSE), VLOOKUP('Staging Table'!$A38, LS_previous!$B$4:$AY$137,LS_previous!AQ$148, FALSE))/2)</f>
        <v>-612.18445931799988</v>
      </c>
      <c r="AB38" s="102">
        <f t="array" ref="AB38">IF($G38=0, INDEX(LS_previous!$D$4:$AY$137, MATCH('Staging Table'!$A38, LS_previous!$B$4:$B$137, 0), MATCH(AB$4&amp;AB$5, LS_previous!$D$2:$AY$2&amp;LS_previous!$D$3:$AY$3, 0)),SUM(VLOOKUP($A38, LS_previous!$B$4:$AY$137, LS_previous!T$148, FALSE), VLOOKUP('Staging Table'!$A38, LS_previous!$B$4:$AY$137,LS_previous!AR$148, FALSE))/2)</f>
        <v>-944.22436720799988</v>
      </c>
      <c r="AC38" s="102">
        <f t="array" ref="AC38">IF($G38=0, INDEX(LS_previous!$D$4:$AY$137, MATCH('Staging Table'!$A38, LS_previous!$B$4:$B$137, 0), MATCH(AC$4&amp;AC$5, LS_previous!$D$2:$AY$2&amp;LS_previous!$D$3:$AY$3, 0)),SUM(VLOOKUP($A38, LS_previous!$B$4:$AY$137, LS_previous!U$148, FALSE), VLOOKUP('Staging Table'!$A38, LS_previous!$B$4:$AY$137,LS_previous!AS$148, FALSE))/2)</f>
        <v>-574.33677128599993</v>
      </c>
      <c r="AD38" s="102">
        <f t="array" ref="AD38">IF($G38=0, INDEX(LS_previous!$D$4:$AY$137, MATCH('Staging Table'!$A38, LS_previous!$B$4:$B$137, 0), MATCH(AD$4&amp;AD$5, LS_previous!$D$2:$AY$2&amp;LS_previous!$D$3:$AY$3, 0)),SUM(VLOOKUP($A38, LS_previous!$B$4:$AY$137, LS_previous!V$148, FALSE), VLOOKUP('Staging Table'!$A38, LS_previous!$B$4:$AY$137,LS_previous!AT$148, FALSE))/2)</f>
        <v>-1.3335473119996095</v>
      </c>
      <c r="AE38" s="102">
        <f t="array" ref="AE38">IF($G38=0, INDEX(LS_previous!$D$4:$AY$137, MATCH('Staging Table'!$A38, LS_previous!$B$4:$B$137, 0), MATCH(AE$4&amp;AE$5, LS_previous!$D$2:$AY$2&amp;LS_previous!$D$3:$AY$3, 0)),SUM(VLOOKUP($A38, LS_previous!$B$4:$AY$137, LS_previous!W$148, FALSE), VLOOKUP('Staging Table'!$A38, LS_previous!$B$4:$AY$137,LS_previous!AU$148, FALSE))/2)</f>
        <v>104.66880323000032</v>
      </c>
      <c r="AF38" s="102">
        <f t="array" ref="AF38">IF($G38=0, INDEX(LS_previous!$D$4:$AY$137, MATCH('Staging Table'!$A38, LS_previous!$B$4:$B$137, 0), MATCH(AF$4&amp;AF$5, LS_previous!$D$2:$AY$2&amp;LS_previous!$D$3:$AY$3, 0)),SUM(VLOOKUP($A38, LS_previous!$B$4:$AY$137, LS_previous!X$148, FALSE), VLOOKUP('Staging Table'!$A38, LS_previous!$B$4:$AY$137,LS_previous!AV$148, FALSE))/2)</f>
        <v>-87.285544322000078</v>
      </c>
      <c r="AG38" s="102">
        <f t="array" ref="AG38">IF($G38=0, INDEX(LS_previous!$D$4:$AY$137, MATCH('Staging Table'!$A38, LS_previous!$B$4:$B$137, 0), MATCH(AG$4&amp;AG$5, LS_previous!$D$2:$AY$2&amp;LS_previous!$D$3:$AY$3, 0)),SUM(VLOOKUP($A38, LS_previous!$B$4:$AY$137, LS_previous!Y$148, FALSE), VLOOKUP('Staging Table'!$A38, LS_previous!$B$4:$AY$137,LS_previous!AW$148, FALSE))/2)</f>
        <v>-84.191408443799901</v>
      </c>
      <c r="AH38" s="102">
        <f t="array" ref="AH38">IF($G38=0, INDEX(LS_previous!$D$4:$AY$137, MATCH('Staging Table'!$A38, LS_previous!$B$4:$B$137, 0), MATCH(AH$4&amp;AH$5, LS_previous!$D$2:$AY$2&amp;LS_previous!$D$3:$AY$3, 0)),SUM(VLOOKUP($A38, LS_previous!$B$4:$AY$137, LS_previous!Z$148, FALSE), VLOOKUP('Staging Table'!$A38, LS_previous!$B$4:$AY$137,LS_previous!AX$148, FALSE))/2)</f>
        <v>-156.28426239200007</v>
      </c>
      <c r="AI38" s="102">
        <f t="array" ref="AI38">IF($G38=0, INDEX(LS_previous!$D$4:$AY$137, MATCH('Staging Table'!$A38, LS_previous!$B$4:$B$137, 0), MATCH(AI$4&amp;AI$5, LS_previous!$D$2:$AY$2&amp;LS_previous!$D$3:$AY$3, 0)),SUM(VLOOKUP($A38, LS_previous!$B$4:$AY$137, LS_previous!AA$148, FALSE), VLOOKUP('Staging Table'!$A38, LS_previous!$B$4:$AY$137,LS_previous!AY$148, FALSE))/2)</f>
        <v>-179.04778803199997</v>
      </c>
      <c r="AJ38" s="103">
        <f t="array" ref="AJ38">INDEX(Demand_previous!$D$4:$AY$137, MATCH('Staging Table'!$A38, Demand_previous!$B$4:$B$137, 0), MATCH(AJ$4&amp;AJ$5,Demand_previous!$D$2:$AY$2&amp;Demand_previous!$D$3:$AY$3, 0))/1000</f>
        <v>0.91594471153846158</v>
      </c>
      <c r="AK38" s="103">
        <f t="array" ref="AK38">INDEX(Demand_previous!$D$4:$AY$137, MATCH('Staging Table'!$A38, Demand_previous!$B$4:$B$137, 0), MATCH(AK$4&amp;AK$5,Demand_previous!$D$2:$AY$2&amp;Demand_previous!$D$3:$AY$3, 0))/1000</f>
        <v>2.0510425000000003</v>
      </c>
      <c r="AL38" s="103">
        <f t="array" ref="AL38">INDEX(Demand_previous!$D$4:$AY$137, MATCH('Staging Table'!$A38, Demand_previous!$B$4:$B$137, 0), MATCH(AL$4&amp;AL$5,Demand_previous!$D$2:$AY$2&amp;Demand_previous!$D$3:$AY$3, 0))/1000</f>
        <v>1.5701549999999997</v>
      </c>
      <c r="AM38" s="103">
        <f t="array" ref="AM38">INDEX(Demand_previous!$D$4:$AY$137, MATCH('Staging Table'!$A38, Demand_previous!$B$4:$B$137, 0), MATCH(AM$4&amp;AM$5,Demand_previous!$D$2:$AY$2&amp;Demand_previous!$D$3:$AY$3, 0))/1000</f>
        <v>1.9649879807692305</v>
      </c>
      <c r="AN38" s="103">
        <f t="array" ref="AN38">INDEX(Demand_previous!$D$4:$AY$137, MATCH('Staging Table'!$A38, Demand_previous!$B$4:$B$137, 0), MATCH(AN$4&amp;AN$5,Demand_previous!$D$2:$AY$2&amp;Demand_previous!$D$3:$AY$3, 0))/1000</f>
        <v>1.7345550000000021</v>
      </c>
      <c r="AO38" s="103">
        <f t="array" ref="AO38">INDEX(Demand_previous!$D$4:$AY$137, MATCH('Staging Table'!$A38, Demand_previous!$B$4:$B$137, 0), MATCH(AO$4&amp;AO$5,Demand_previous!$D$2:$AY$2&amp;Demand_previous!$D$3:$AY$3, 0))/1000</f>
        <v>0.4935144230769235</v>
      </c>
      <c r="AP38" s="103">
        <f t="array" ref="AP38">INDEX(Demand_previous!$D$4:$AY$137, MATCH('Staging Table'!$A38, Demand_previous!$B$4:$B$137, 0), MATCH(AP$4&amp;AP$5,Demand_previous!$D$2:$AY$2&amp;Demand_previous!$D$3:$AY$3, 0))/1000</f>
        <v>1.4820697115384616</v>
      </c>
      <c r="AQ38" s="103">
        <f t="array" ref="AQ38">INDEX(Demand_previous!$D$4:$AY$137, MATCH('Staging Table'!$A38, Demand_previous!$B$4:$B$137, 0), MATCH(AQ$4&amp;AQ$5,Demand_previous!$D$2:$AY$2&amp;Demand_previous!$D$3:$AY$3, 0))/1000</f>
        <v>1.882161057692308</v>
      </c>
      <c r="AR38" s="103">
        <f t="array" ref="AR38">INDEX(Demand_previous!$D$4:$AY$137, MATCH('Staging Table'!$A38, Demand_previous!$B$4:$B$137, 0), MATCH(AR$4&amp;AR$5,Demand_previous!$D$2:$AY$2&amp;Demand_previous!$D$3:$AY$3, 0))/1000</f>
        <v>1.1423349999999992</v>
      </c>
      <c r="AS38" s="103">
        <f t="array" ref="AS38">INDEX(Demand_previous!$D$4:$AY$137, MATCH('Staging Table'!$A38, Demand_previous!$B$4:$B$137, 0), MATCH(AS$4&amp;AS$5,Demand_previous!$D$2:$AY$2&amp;Demand_previous!$D$3:$AY$3, 0))/1000</f>
        <v>1.7807500000000003</v>
      </c>
      <c r="AT38" s="103">
        <f t="array" ref="AT38">INDEX(Demand_previous!$D$4:$AY$137, MATCH('Staging Table'!$A38, Demand_previous!$B$4:$B$137, 0), MATCH(AT$4&amp;AT$5,Demand_previous!$D$2:$AY$2&amp;Demand_previous!$D$3:$AY$3, 0))/1000</f>
        <v>1.7753379629629638</v>
      </c>
      <c r="AU38" s="103">
        <f t="array" ref="AU38">INDEX(Demand_previous!$D$4:$AY$137, MATCH('Staging Table'!$A38, Demand_previous!$B$4:$B$137, 0), MATCH(AU$4&amp;AU$5,Demand_previous!$D$2:$AY$2&amp;Demand_previous!$D$3:$AY$3, 0))/1000</f>
        <v>0.94685677083333419</v>
      </c>
      <c r="AV38" s="102">
        <f>$F38*(VLOOKUP(AV$4, Rates_previous!$G$6:$Q$29, 10, FALSE)+VLOOKUP(AV$4, Rates_previous!$G$6:$Q$29, 11, FALSE))</f>
        <v>5518.1953200419994</v>
      </c>
      <c r="AW38" s="102">
        <f>$F38*(VLOOKUP(AW$4, Rates_previous!$G$6:$Q$29, 10, FALSE)+VLOOKUP(AW$4, Rates_previous!$G$6:$Q$29, 11, FALSE))</f>
        <v>7037.5186743720005</v>
      </c>
      <c r="AX38" s="102">
        <f>$F38*(VLOOKUP(AX$4, Rates_previous!$G$6:$Q$29, 10, FALSE)+VLOOKUP(AX$4, Rates_previous!$G$6:$Q$29, 11, FALSE))</f>
        <v>7594.8751009799998</v>
      </c>
      <c r="AY38" s="102">
        <f>$F38*(VLOOKUP(AY$4, Rates_previous!$G$6:$Q$29, 10, FALSE)+VLOOKUP(AY$4, Rates_previous!$G$6:$Q$29, 11, FALSE))</f>
        <v>7892.2493051519996</v>
      </c>
      <c r="AZ38" s="102">
        <f>$F38*(VLOOKUP(AZ$4, Rates_previous!$G$6:$Q$29, 10, FALSE)+VLOOKUP(AZ$4, Rates_previous!$G$6:$Q$29, 11, FALSE))</f>
        <v>6788.3863721039988</v>
      </c>
      <c r="BA38" s="102">
        <f>$F38*(VLOOKUP(BA$4, Rates_previous!$G$6:$Q$29, 10, FALSE)+VLOOKUP(BA$4, Rates_previous!$G$6:$Q$29, 11, FALSE))</f>
        <v>7411.5738854279989</v>
      </c>
      <c r="BB38" s="102">
        <f>$F38*(VLOOKUP(BB$4, Rates_previous!$G$6:$Q$29, 10, FALSE)+VLOOKUP(BB$4, Rates_previous!$G$6:$Q$29, 11, FALSE))</f>
        <v>5850.1885809389987</v>
      </c>
      <c r="BC38" s="102">
        <f>$F38*(VLOOKUP(BC$4, Rates_previous!$G$6:$Q$29, 10, FALSE)+VLOOKUP(BC$4, Rates_previous!$G$6:$Q$29, 11, FALSE))</f>
        <v>7257.9428965019997</v>
      </c>
      <c r="BD38" s="102">
        <f>$F38*(VLOOKUP(BD$4, Rates_previous!$G$6:$Q$29, 10, FALSE)+VLOOKUP(BD$4, Rates_previous!$G$6:$Q$29, 11, FALSE))</f>
        <v>7415.4221384939992</v>
      </c>
      <c r="BE38" s="102">
        <f>$F38*(VLOOKUP(BE$4, Rates_previous!$G$6:$Q$29, 10, FALSE)+VLOOKUP(BE$4, Rates_previous!$G$6:$Q$29, 11, FALSE))</f>
        <v>6437.6547440819995</v>
      </c>
      <c r="BF38" s="102">
        <f>$F38*(VLOOKUP(BF$4, Rates_previous!$G$6:$Q$29, 10, FALSE)+VLOOKUP(BF$4, Rates_previous!$G$6:$Q$29, 11, FALSE))</f>
        <v>6223.5009527658003</v>
      </c>
      <c r="BG38" s="102">
        <f>$F38*(VLOOKUP(BG$4, Rates_previous!$G$6:$Q$29, 10, FALSE)+VLOOKUP(BG$4, Rates_previous!$G$6:$Q$29, 11, FALSE))</f>
        <v>5726.8260504240006</v>
      </c>
      <c r="BH38" s="103">
        <f>IF($D38=0,IF(C38=0, MAX(BJ38 - (VLOOKUP($A38,TOCA_previous!$A$2:$AJ$136,MATCH("RHWM "&amp;Init!$D$1-2,TOCA_previous!$A$2:$AJ$2,0),FALSE)*$F$2*TOCA_previous!C35),0),0), 0)</f>
        <v>93.223371995190973</v>
      </c>
      <c r="BI38" s="109">
        <f>MIN(VLOOKUP($A38,TOCA_previous!$A$2:$AJ$136,MATCH("TRL - NLSL - Existing Resource "&amp;$F$1,TOCA_previous!$A$2:$AJ$2,0),FALSE)*$F$2,(VLOOKUP($A38,TOCA_previous!$A$2:$AJ$136,MATCH("RHWM "&amp;Init!$D$1-2,TOCA_previous!$A$2:$AJ$2,0),FALSE)*$F$2))</f>
        <v>79363.44</v>
      </c>
      <c r="BJ38" s="261">
        <f>SUM(L38:AI38)+(F38*RT1SC!$C$3*$F$2)</f>
        <v>82856.071371995189</v>
      </c>
      <c r="BK38" s="260">
        <f>VLOOKUP($A38,TOCA_previous!$A$2:$AJ$136,MATCH("Above RHWM Not Served with LS "&amp;$F$1,TOCA_previous!$A$2:$AJ$2,0),FALSE)*$F$2</f>
        <v>0</v>
      </c>
      <c r="BL38" s="261">
        <f t="shared" si="21"/>
        <v>3492.6313719951868</v>
      </c>
      <c r="BM38" s="260">
        <f>(VLOOKUP($A38,TOCA_previous!$A$2:$AJ$136,MATCH("RHWM "&amp;Init!$D$1-2,TOCA_previous!$A$2:$AJ$2,0),FALSE)*$F$2) - $BI38</f>
        <v>3399.4079999999958</v>
      </c>
      <c r="BN38" s="261">
        <f t="shared" si="22"/>
        <v>-3399.4079999999958</v>
      </c>
      <c r="BO38" s="260">
        <f t="shared" si="23"/>
        <v>0</v>
      </c>
      <c r="BP38" s="261">
        <f t="shared" si="24"/>
        <v>0</v>
      </c>
      <c r="BQ38" s="260">
        <f t="shared" si="9"/>
        <v>-3399.4079999999958</v>
      </c>
      <c r="BR38" s="85">
        <f>VLOOKUP($A38,TOCA_current!$A$2:$ZZ$136,MATCH(BR$4,TOCA_current!$A$2:$ZZ$2,0),FALSE)</f>
        <v>1.3303E-3</v>
      </c>
      <c r="BS38" s="85">
        <f>VLOOKUP($A38,TOCA_current!$A$2:$ZZ$136,MATCH(BS$4,TOCA_current!$A$2:$ZZ$2,0),FALSE)</f>
        <v>1.3303E-3</v>
      </c>
      <c r="BT38" s="108">
        <f t="shared" si="25"/>
        <v>0</v>
      </c>
      <c r="BU38" s="85">
        <f>VLOOKUP($A38,TOCA_current!A35:BG169,MATCH(BU$4,TOCA_current!$A$2:$BG$2,0),FALSE)</f>
        <v>0</v>
      </c>
      <c r="BV38" s="85">
        <f t="shared" si="26"/>
        <v>0</v>
      </c>
      <c r="BW38" s="85">
        <f t="shared" si="27"/>
        <v>0</v>
      </c>
      <c r="BX38" s="101">
        <f>VLOOKUP($A38,IRD!$A$4:$G$138, 7, FALSE)</f>
        <v>0</v>
      </c>
      <c r="BY38" s="102">
        <f t="array" ref="BY38">IF($BT38=0, INDEX(LS_current!$D$4:$BW$137, MATCH('Staging Table'!$A38, LS_current!$B$4:$B$137, 0), MATCH(BY$4&amp;BY$5, LS_current!$D$2:$BW$2&amp;LS_current!$D$3:$BW$3, 0)),SUM(VLOOKUP($A38, LS_current!$B$4:$BW$137, LS_current!D$147, FALSE), VLOOKUP($A38, LS_current!$B$4:$BW$137,LS_current!AZ$147, FALSE))/2)</f>
        <v>422.37035255955698</v>
      </c>
      <c r="BZ38" s="102">
        <f t="array" ref="BZ38">IF($BT38=0, INDEX(LS_current!$D$4:$BW$137, MATCH('Staging Table'!$A38, LS_current!$B$4:$B$137, 0), MATCH(BZ$4&amp;BZ$5, LS_current!$D$2:$BW$2&amp;LS_current!$D$3:$BW$3, 0)),SUM(VLOOKUP($A38, LS_current!$B$4:$BW$137, LS_current!E$147, FALSE), VLOOKUP($A38, LS_current!$B$4:$BW$137,LS_current!BA$147, FALSE))/2)</f>
        <v>304.16104161688963</v>
      </c>
      <c r="CA38" s="102">
        <f t="array" ref="CA38">IF($BT38=0, INDEX(LS_current!$D$4:$BW$137, MATCH('Staging Table'!$A38, LS_current!$B$4:$B$137, 0), MATCH(CA$4&amp;CA$5, LS_current!$D$2:$BW$2&amp;LS_current!$D$3:$BW$3, 0)),SUM(VLOOKUP($A38, LS_current!$B$4:$BW$137, LS_current!F$147, FALSE), VLOOKUP($A38, LS_current!$B$4:$BW$137,LS_current!BB$147, FALSE))/2)</f>
        <v>-205.62562239389672</v>
      </c>
      <c r="CB38" s="102">
        <f t="array" ref="CB38">IF($BT38=0, INDEX(LS_current!$D$4:$BW$137, MATCH('Staging Table'!$A38, LS_current!$B$4:$B$137, 0), MATCH(CB$4&amp;CB$5, LS_current!$D$2:$BW$2&amp;LS_current!$D$3:$BW$3, 0)),SUM(VLOOKUP($A38, LS_current!$B$4:$BW$137, LS_current!G$147, FALSE), VLOOKUP($A38, LS_current!$B$4:$BW$137,LS_current!BC$147, FALSE))/2)</f>
        <v>93.778690141900825</v>
      </c>
      <c r="CC38" s="102">
        <f t="array" ref="CC38">IF($BT38=0, INDEX(LS_current!$D$4:$BW$137, MATCH('Staging Table'!$A38, LS_current!$B$4:$B$137, 0), MATCH(CC$4&amp;CC$5, LS_current!$D$2:$BW$2&amp;LS_current!$D$3:$BW$3, 0)),SUM(VLOOKUP($A38, LS_current!$B$4:$BW$137, LS_current!H$147, FALSE), VLOOKUP($A38, LS_current!$B$4:$BW$137,LS_current!BD$147, FALSE))/2)</f>
        <v>229.80288985048446</v>
      </c>
      <c r="CD38" s="102">
        <f t="array" ref="CD38">IF($BT38=0, INDEX(LS_current!$D$4:$BW$137, MATCH('Staging Table'!$A38, LS_current!$B$4:$B$137, 0), MATCH(CD$4&amp;CD$5, LS_current!$D$2:$BW$2&amp;LS_current!$D$3:$BW$3, 0)),SUM(VLOOKUP($A38, LS_current!$B$4:$BW$137, LS_current!I$147, FALSE), VLOOKUP($A38, LS_current!$B$4:$BW$137,LS_current!BE$147, FALSE))/2)</f>
        <v>1064.5310853004653</v>
      </c>
      <c r="CE38" s="102">
        <f t="array" ref="CE38">IF($BT38=0, INDEX(LS_current!$D$4:$BW$137, MATCH('Staging Table'!$A38, LS_current!$B$4:$B$137, 0), MATCH(CE$4&amp;CE$5, LS_current!$D$2:$BW$2&amp;LS_current!$D$3:$BW$3, 0)),SUM(VLOOKUP($A38, LS_current!$B$4:$BW$137, LS_current!J$147, FALSE), VLOOKUP($A38, LS_current!$B$4:$BW$137,LS_current!BF$147, FALSE))/2)</f>
        <v>172.26292098695467</v>
      </c>
      <c r="CF38" s="102">
        <f t="array" ref="CF38">IF($BT38=0, INDEX(LS_current!$D$4:$BW$137, MATCH('Staging Table'!$A38, LS_current!$B$4:$B$137, 0), MATCH(CF$4&amp;CF$5, LS_current!$D$2:$BW$2&amp;LS_current!$D$3:$BW$3, 0)),SUM(VLOOKUP($A38, LS_current!$B$4:$BW$137, LS_current!K$147, FALSE), VLOOKUP($A38, LS_current!$B$4:$BW$137,LS_current!BG$147, FALSE))/2)</f>
        <v>838.32980406966317</v>
      </c>
      <c r="CG38" s="102">
        <f t="array" ref="CG38">IF($BT38=0, INDEX(LS_current!$D$4:$BW$137, MATCH('Staging Table'!$A38, LS_current!$B$4:$B$137, 0), MATCH(CG$4&amp;CG$5, LS_current!$D$2:$BW$2&amp;LS_current!$D$3:$BW$3, 0)),SUM(VLOOKUP($A38, LS_current!$B$4:$BW$137, LS_current!L$147, FALSE), VLOOKUP($A38, LS_current!$B$4:$BW$137,LS_current!BH$147, FALSE))/2)</f>
        <v>315.24736351588308</v>
      </c>
      <c r="CH38" s="102">
        <f t="array" ref="CH38">IF($BT38=0, INDEX(LS_current!$D$4:$BW$137, MATCH('Staging Table'!$A38, LS_current!$B$4:$B$137, 0), MATCH(CH$4&amp;CH$5, LS_current!$D$2:$BW$2&amp;LS_current!$D$3:$BW$3, 0)),SUM(VLOOKUP($A38, LS_current!$B$4:$BW$137, LS_current!M$147, FALSE), VLOOKUP($A38, LS_current!$B$4:$BW$137,LS_current!BI$147, FALSE))/2)</f>
        <v>663.04204587238837</v>
      </c>
      <c r="CI38" s="102">
        <f t="array" ref="CI38">IF($BT38=0, INDEX(LS_current!$D$4:$BW$137, MATCH('Staging Table'!$A38, LS_current!$B$4:$B$137, 0), MATCH(CI$4&amp;CI$5, LS_current!$D$2:$BW$2&amp;LS_current!$D$3:$BW$3, 0)),SUM(VLOOKUP($A38, LS_current!$B$4:$BW$137, LS_current!N$147, FALSE), VLOOKUP($A38, LS_current!$B$4:$BW$137,LS_current!BJ$147, FALSE))/2)</f>
        <v>-415.41155348450593</v>
      </c>
      <c r="CJ38" s="102">
        <f t="array" ref="CJ38">IF($BT38=0, INDEX(LS_current!$D$4:$BW$137, MATCH('Staging Table'!$A38, LS_current!$B$4:$B$137, 0), MATCH(CJ$4&amp;CJ$5, LS_current!$D$2:$BW$2&amp;LS_current!$D$3:$BW$3, 0)),SUM(VLOOKUP($A38, LS_current!$B$4:$BW$137, LS_current!O$147, FALSE), VLOOKUP($A38, LS_current!$B$4:$BW$137,LS_current!BK$147, FALSE))/2)</f>
        <v>374.73261660080107</v>
      </c>
      <c r="CK38" s="102">
        <f t="array" ref="CK38">IF($BT38=0, INDEX(LS_current!$D$4:$BW$137, MATCH('Staging Table'!$A38, LS_current!$B$4:$B$137, 0), MATCH(CK$4&amp;CK$5, LS_current!$D$2:$BW$2&amp;LS_current!$D$3:$BW$3, 0)),SUM(VLOOKUP($A38, LS_current!$B$4:$BW$137, LS_current!P$147, FALSE), VLOOKUP($A38, LS_current!$B$4:$BW$137,LS_current!BL$147, FALSE))/2)</f>
        <v>301.48754150224613</v>
      </c>
      <c r="CL38" s="102">
        <f t="array" ref="CL38">IF($BT38=0, INDEX(LS_current!$D$4:$BW$137, MATCH('Staging Table'!$A38, LS_current!$B$4:$B$137, 0), MATCH(CL$4&amp;CL$5, LS_current!$D$2:$BW$2&amp;LS_current!$D$3:$BW$3, 0)),SUM(VLOOKUP($A38, LS_current!$B$4:$BW$137, LS_current!Q$147, FALSE), VLOOKUP($A38, LS_current!$B$4:$BW$137,LS_current!BM$147, FALSE))/2)</f>
        <v>229.70338320762266</v>
      </c>
      <c r="CM38" s="102">
        <f t="array" ref="CM38">IF($BT38=0, INDEX(LS_current!$D$4:$BW$137, MATCH('Staging Table'!$A38, LS_current!$B$4:$B$137, 0), MATCH(CM$4&amp;CM$5, LS_current!$D$2:$BW$2&amp;LS_current!$D$3:$BW$3, 0)),SUM(VLOOKUP($A38, LS_current!$B$4:$BW$137, LS_current!R$147, FALSE), VLOOKUP($A38, LS_current!$B$4:$BW$137,LS_current!BN$147, FALSE))/2)</f>
        <v>-1041.3577976229953</v>
      </c>
      <c r="CN38" s="102">
        <f t="array" ref="CN38">IF($BT38=0, INDEX(LS_current!$D$4:$BW$137, MATCH('Staging Table'!$A38, LS_current!$B$4:$B$137, 0), MATCH(CN$4&amp;CN$5, LS_current!$D$2:$BW$2&amp;LS_current!$D$3:$BW$3, 0)),SUM(VLOOKUP($A38, LS_current!$B$4:$BW$137, LS_current!S$147, FALSE), VLOOKUP($A38, LS_current!$B$4:$BW$137,LS_current!BO$147, FALSE))/2)</f>
        <v>-683.03801698246207</v>
      </c>
      <c r="CO38" s="102">
        <f t="array" ref="CO38">IF($BT38=0, INDEX(LS_current!$D$4:$BW$137, MATCH('Staging Table'!$A38, LS_current!$B$4:$B$137, 0), MATCH(CO$4&amp;CO$5, LS_current!$D$2:$BW$2&amp;LS_current!$D$3:$BW$3, 0)),SUM(VLOOKUP($A38, LS_current!$B$4:$BW$137, LS_current!T$147, FALSE), VLOOKUP($A38, LS_current!$B$4:$BW$137,LS_current!BP$147, FALSE))/2)</f>
        <v>-1212.5590835766029</v>
      </c>
      <c r="CP38" s="102">
        <f t="array" ref="CP38">IF($BT38=0, INDEX(LS_current!$D$4:$BW$137, MATCH('Staging Table'!$A38, LS_current!$B$4:$B$137, 0), MATCH(CP$4&amp;CP$5, LS_current!$D$2:$BW$2&amp;LS_current!$D$3:$BW$3, 0)),SUM(VLOOKUP($A38, LS_current!$B$4:$BW$137, LS_current!U$147, FALSE), VLOOKUP($A38, LS_current!$B$4:$BW$137,LS_current!BQ$147, FALSE))/2)</f>
        <v>-446.96425327712677</v>
      </c>
      <c r="CQ38" s="102">
        <f t="array" ref="CQ38">IF($BT38=0, INDEX(LS_current!$D$4:$BW$137, MATCH('Staging Table'!$A38, LS_current!$B$4:$B$137, 0), MATCH(CQ$4&amp;CQ$5, LS_current!$D$2:$BW$2&amp;LS_current!$D$3:$BW$3, 0)),SUM(VLOOKUP($A38, LS_current!$B$4:$BW$137, LS_current!V$147, FALSE), VLOOKUP($A38, LS_current!$B$4:$BW$137,LS_current!BR$147, FALSE))/2)</f>
        <v>-251.50338439898132</v>
      </c>
      <c r="CR38" s="102">
        <f t="array" ref="CR38">IF($BT38=0, INDEX(LS_current!$D$4:$BW$137, MATCH('Staging Table'!$A38, LS_current!$B$4:$B$137, 0), MATCH(CR$4&amp;CR$5, LS_current!$D$2:$BW$2&amp;LS_current!$D$3:$BW$3, 0)),SUM(VLOOKUP($A38, LS_current!$B$4:$BW$137, LS_current!W$147, FALSE), VLOOKUP($A38, LS_current!$B$4:$BW$137,LS_current!BS$147, FALSE))/2)</f>
        <v>66.657812721267874</v>
      </c>
      <c r="CS38" s="102">
        <f t="array" ref="CS38">IF($BT38=0, INDEX(LS_current!$D$4:$BW$137, MATCH('Staging Table'!$A38, LS_current!$B$4:$B$137, 0), MATCH(CS$4&amp;CS$5, LS_current!$D$2:$BW$2&amp;LS_current!$D$3:$BW$3, 0)),SUM(VLOOKUP($A38, LS_current!$B$4:$BW$137, LS_current!X$147, FALSE), VLOOKUP($A38, LS_current!$B$4:$BW$137,LS_current!BT$147, FALSE))/2)</f>
        <v>-725.52693822480614</v>
      </c>
      <c r="CT38" s="102">
        <f t="array" ref="CT38">IF($BT38=0, INDEX(LS_current!$D$4:$BW$137, MATCH('Staging Table'!$A38, LS_current!$B$4:$B$137, 0), MATCH(CT$4&amp;CT$5, LS_current!$D$2:$BW$2&amp;LS_current!$D$3:$BW$3, 0)),SUM(VLOOKUP($A38, LS_current!$B$4:$BW$137, LS_current!Y$147, FALSE), VLOOKUP($A38, LS_current!$B$4:$BW$137,LS_current!BU$147, FALSE))/2)</f>
        <v>-121.92288044965062</v>
      </c>
      <c r="CU38" s="102">
        <f t="array" ref="CU38">IF($BT38=0, INDEX(LS_current!$D$4:$BW$137, MATCH('Staging Table'!$A38, LS_current!$B$4:$B$137, 0), MATCH(CU$4&amp;CU$5, LS_current!$D$2:$BW$2&amp;LS_current!$D$3:$BW$3, 0)),SUM(VLOOKUP($A38, LS_current!$B$4:$BW$137, LS_current!Z$147, FALSE), VLOOKUP($A38, LS_current!$B$4:$BW$137,LS_current!BV$147, FALSE))/2)</f>
        <v>-71.066287282982103</v>
      </c>
      <c r="CV38" s="102">
        <f t="array" ref="CV38">IF($BT38=0, INDEX(LS_current!$D$4:$BW$137, MATCH('Staging Table'!$A38, LS_current!$B$4:$B$137, 0), MATCH(CV$4&amp;CV$5, LS_current!$D$2:$BW$2&amp;LS_current!$D$3:$BW$3, 0)),SUM(VLOOKUP($A38, LS_current!$B$4:$BW$137, LS_current!AA$147, FALSE), VLOOKUP($A38, LS_current!$B$4:$BW$137,LS_current!BW$147, FALSE))/2)</f>
        <v>104.2918161469504</v>
      </c>
      <c r="CW38" s="103">
        <f t="array" ref="CW38">INDEX(Demand_current!$D$4:$BW$137, MATCH($A38, Demand_current!$B$4:$B$137, 0), MATCH(CW$4&amp;CW$5,Demand_current!$D$2:$BW$2&amp;Demand_current!$D$3:$BW$3, 0))/1000</f>
        <v>1.2598356481481492</v>
      </c>
      <c r="CX38" s="103">
        <f t="array" ref="CX38">INDEX(Demand_current!$D$4:$BW$137, MATCH($A38, Demand_current!$B$4:$B$137, 0), MATCH(CX$4&amp;CX$5,Demand_current!$D$2:$BW$2&amp;Demand_current!$D$3:$BW$3, 0))/1000</f>
        <v>1.6282526041666658</v>
      </c>
      <c r="CY38" s="103">
        <f t="array" ref="CY38">INDEX(Demand_current!$D$4:$BW$137, MATCH($A38, Demand_current!$B$4:$B$137, 0), MATCH(CY$4&amp;CY$5,Demand_current!$D$2:$BW$2&amp;Demand_current!$D$3:$BW$3, 0))/1000</f>
        <v>2.0868798076923074</v>
      </c>
      <c r="CZ38" s="103">
        <f t="array" ref="CZ38">INDEX(Demand_current!$D$4:$BW$137, MATCH($A38, Demand_current!$B$4:$B$137, 0), MATCH(CZ$4&amp;CZ$5,Demand_current!$D$2:$BW$2&amp;Demand_current!$D$3:$BW$3, 0))/1000</f>
        <v>1.9649879807692305</v>
      </c>
      <c r="DA38" s="103">
        <f t="array" ref="DA38">INDEX(Demand_current!$D$4:$BW$137, MATCH($A38, Demand_current!$B$4:$B$137, 0), MATCH(DA$4&amp;DA$5,Demand_current!$D$2:$BW$2&amp;Demand_current!$D$3:$BW$3, 0))/1000</f>
        <v>1.2544531250000013</v>
      </c>
      <c r="DB38" s="103">
        <f t="array" ref="DB38">INDEX(Demand_current!$D$4:$BW$137, MATCH($A38, Demand_current!$B$4:$B$137, 0), MATCH(DB$4&amp;DB$5,Demand_current!$D$2:$BW$2&amp;Demand_current!$D$3:$BW$3, 0))/1000</f>
        <v>0.4935144230769235</v>
      </c>
      <c r="DC38" s="103">
        <f t="array" ref="DC38">INDEX(Demand_current!$D$4:$BW$137, MATCH($A38, Demand_current!$B$4:$B$137, 0), MATCH(DC$4&amp;DC$5,Demand_current!$D$2:$BW$2&amp;Demand_current!$D$3:$BW$3, 0))/1000</f>
        <v>1.4820697115384616</v>
      </c>
      <c r="DD38" s="103">
        <f t="array" ref="DD38">INDEX(Demand_current!$D$4:$BW$137, MATCH($A38, Demand_current!$B$4:$B$137, 0), MATCH(DD$4&amp;DD$5,Demand_current!$D$2:$BW$2&amp;Demand_current!$D$3:$BW$3, 0))/1000</f>
        <v>1.5515275000000008</v>
      </c>
      <c r="DE38" s="103">
        <f t="array" ref="DE38">INDEX(Demand_current!$D$4:$BW$137, MATCH($A38, Demand_current!$B$4:$B$137, 0), MATCH(DE$4&amp;DE$5,Demand_current!$D$2:$BW$2&amp;Demand_current!$D$3:$BW$3, 0))/1000</f>
        <v>1.4992836538461543</v>
      </c>
      <c r="DF38" s="103">
        <f t="array" ref="DF38">INDEX(Demand_current!$D$4:$BW$137, MATCH($A38, Demand_current!$B$4:$B$137, 0), MATCH(DF$4&amp;DF$5,Demand_current!$D$2:$BW$2&amp;Demand_current!$D$3:$BW$3, 0))/1000</f>
        <v>1.7807500000000003</v>
      </c>
      <c r="DG38" s="103">
        <f t="array" ref="DG38">INDEX(Demand_current!$D$4:$BW$137, MATCH($A38, Demand_current!$B$4:$B$137, 0), MATCH(DG$4&amp;DG$5,Demand_current!$D$2:$BW$2&amp;Demand_current!$D$3:$BW$3, 0))/1000</f>
        <v>1.4316201923076928</v>
      </c>
      <c r="DH38" s="103">
        <f t="array" ref="DH38">INDEX(Demand_current!$D$4:$BW$137, MATCH($A38, Demand_current!$B$4:$B$137, 0), MATCH(DH$4&amp;DH$5,Demand_current!$D$2:$BW$2&amp;Demand_current!$D$3:$BW$3, 0))/1000</f>
        <v>1.2868625000000005</v>
      </c>
      <c r="DI38" s="102">
        <f>$BS38*(VLOOKUP(DI$4, Rates_current!$H$6:$R$41, 10, FALSE)+VLOOKUP(DI$4, Rates_current!$H$6:$R$41, 11, FALSE))</f>
        <v>5521.1276058235544</v>
      </c>
      <c r="DJ38" s="102">
        <f>$BS38*(VLOOKUP(DJ$4, Rates_current!$H$6:$R$41, 10, FALSE)+VLOOKUP(DJ$4, Rates_current!$H$6:$R$41, 11, FALSE))</f>
        <v>7058.5799322519961</v>
      </c>
      <c r="DK38" s="102">
        <f>$BS38*(VLOOKUP(DK$4, Rates_current!$H$6:$R$41, 10, FALSE)+VLOOKUP(DK$4, Rates_current!$H$6:$R$41, 11, FALSE))</f>
        <v>8025.015024849049</v>
      </c>
      <c r="DL38" s="102">
        <f>$BS38*(VLOOKUP(DL$4, Rates_current!$H$6:$R$41, 10, FALSE)+VLOOKUP(DL$4, Rates_current!$H$6:$R$41, 11, FALSE))</f>
        <v>8467.0172749433823</v>
      </c>
      <c r="DM38" s="102">
        <f>$BS38*(VLOOKUP(DM$4, Rates_current!$H$6:$R$41, 10, FALSE)+VLOOKUP(DM$4, Rates_current!$H$6:$R$41, 11, FALSE))</f>
        <v>6747.4485906117297</v>
      </c>
      <c r="DN38" s="102">
        <f>$BS38*(VLOOKUP(DN$4, Rates_current!$H$6:$R$41, 10, FALSE)+VLOOKUP(DN$4, Rates_current!$H$6:$R$41, 11, FALSE))</f>
        <v>7376.346936883705</v>
      </c>
      <c r="DO38" s="102">
        <f>$BS38*(VLOOKUP(DO$4, Rates_current!$H$6:$R$41, 10, FALSE)+VLOOKUP(DO$4, Rates_current!$H$6:$R$41, 11, FALSE))</f>
        <v>5716.7430752901319</v>
      </c>
      <c r="DP38" s="102">
        <f>$BS38*(VLOOKUP(DP$4, Rates_current!$H$6:$R$41, 10, FALSE)+VLOOKUP(DP$4, Rates_current!$H$6:$R$41, 11, FALSE))</f>
        <v>7398.4068146054569</v>
      </c>
      <c r="DQ38" s="102">
        <f>$BS38*(VLOOKUP(DQ$4, Rates_current!$H$6:$R$41, 10, FALSE)+VLOOKUP(DQ$4, Rates_current!$H$6:$R$41, 11, FALSE))</f>
        <v>7556.38433685373</v>
      </c>
      <c r="DR38" s="102">
        <f>$BS38*(VLOOKUP(DR$4, Rates_current!$H$6:$R$41, 10, FALSE)+VLOOKUP(DR$4, Rates_current!$H$6:$R$41, 11, FALSE))</f>
        <v>6725.8355716777132</v>
      </c>
      <c r="DS38" s="102">
        <f>$BS38*(VLOOKUP(DS$4, Rates_current!$H$6:$R$41, 10, FALSE)+VLOOKUP(DS$4, Rates_current!$H$6:$R$41, 11, FALSE))</f>
        <v>6899.4738186744571</v>
      </c>
      <c r="DT38" s="102">
        <f>$BS38*(VLOOKUP(DT$4, Rates_current!$H$6:$R$41, 10, FALSE)+VLOOKUP(DT$4, Rates_current!$H$6:$R$41, 11, FALSE))</f>
        <v>5358.2684711360316</v>
      </c>
      <c r="DU38" s="261">
        <f>IF(D38=0,IF(C38=0,MAX(0,DW38 - (VLOOKUP($A38,TOCA_current!$A$2:$AV$136,MATCH("RHWM "&amp;Init!$D$1,TOCA_current!$A$2:$AV$2,0),FALSE)*$BS$2)), 0),0)</f>
        <v>0</v>
      </c>
      <c r="DV38" s="262">
        <f>MIN(VLOOKUP($A38,TOCA_current!$A$2:$AV$136,MATCH("TRL - NLSL - Existing Resource "&amp;$BS$1,TOCA_current!$A$2:$AV$2,0),FALSE)*$BS$2, VLOOKUP($A38,TOCA_current!$A$2:$AV$136,MATCH("RHWM "&amp;Init!$D$1,TOCA_current!$A$2:$AV$2,0),FALSE)*$BS$2)</f>
        <v>82852.08</v>
      </c>
      <c r="DW38" s="262">
        <f>SUM(BY38:CV38)+(BS38*RT1SC!$C$4*$BS$2)</f>
        <v>82856.075890655062</v>
      </c>
      <c r="DX38" s="262">
        <f>VLOOKUP($A38,TOCA_current!$A$2:$AV$136,MATCH("Above RHWM Not Served with LS "&amp;$BS$1,TOCA_current!$A$2:$AV$2,0),FALSE)*$BS$2</f>
        <v>0</v>
      </c>
      <c r="DY38" s="262">
        <f t="shared" si="28"/>
        <v>3.9958906550600659</v>
      </c>
      <c r="DZ38" s="262">
        <f>(VLOOKUP($A38,TOCA_current!$A$2:$AV$136,MATCH("RHWM "&amp;Init!$D$1,TOCA_current!$A$2:$AV$2,0),FALSE)*$BS$2) - $DV38</f>
        <v>166.44000000000233</v>
      </c>
      <c r="EA38" s="262">
        <f t="shared" si="29"/>
        <v>-3.9958906550600659</v>
      </c>
      <c r="EB38" s="262">
        <f t="shared" si="30"/>
        <v>0</v>
      </c>
      <c r="EC38" s="262">
        <f t="shared" si="31"/>
        <v>0</v>
      </c>
      <c r="ED38" s="262">
        <f t="shared" si="32"/>
        <v>-3.9958906550600659</v>
      </c>
    </row>
    <row r="39" spans="1:134">
      <c r="A39" s="2">
        <v>10094</v>
      </c>
      <c r="B39" s="3" t="s">
        <v>41</v>
      </c>
      <c r="C39">
        <f>VLOOKUP(A39, TOCA_current!$A$3:$D$136, 4, FALSE)</f>
        <v>0</v>
      </c>
      <c r="D39">
        <v>0</v>
      </c>
      <c r="E39" s="84">
        <f>VLOOKUP($A39,TOCA_previous!$A$2:$AJ$136,MATCH(E$4,TOCA_previous!$A$2:$AJ$2,0),FALSE)</f>
        <v>4.3889999999999999E-4</v>
      </c>
      <c r="F39" s="85">
        <f>VLOOKUP($A39,TOCA_previous!$A$2:$AJ$136,MATCH(F$4,TOCA_previous!$A$2:$AJ$2,0),FALSE)</f>
        <v>4.3889999999999999E-4</v>
      </c>
      <c r="G39" s="85">
        <f t="shared" si="18"/>
        <v>0</v>
      </c>
      <c r="H39" s="85">
        <f>VLOOKUP($A39,TOCA_previous!$A$2:$AJ$136,MATCH(H$4,TOCA_previous!$A$2:$AJ$2,0),FALSE)</f>
        <v>0</v>
      </c>
      <c r="I39" s="85">
        <f t="shared" si="19"/>
        <v>0</v>
      </c>
      <c r="J39" s="85">
        <f t="shared" si="20"/>
        <v>0</v>
      </c>
      <c r="K39" s="101">
        <f>VLOOKUP(A39, IRD!$A$5:$C$138, 3, FALSE)</f>
        <v>0</v>
      </c>
      <c r="L39" s="102">
        <f t="array" ref="L39">IF($G39=0, INDEX(LS_previous!$D$4:$AY$137, MATCH('Staging Table'!$A39, LS_previous!$B$4:$B$137, 0), MATCH(L$4&amp;L$5, LS_previous!$D$2:$AY$2&amp;LS_previous!$D$3:$AY$3, 0)),SUM(VLOOKUP($A39, LS_previous!$B$4:$AY$137, LS_previous!D$148, FALSE), VLOOKUP('Staging Table'!$A39, LS_previous!$B$4:$AY$137,LS_previous!AB$148, FALSE))/2)</f>
        <v>51.200312599600011</v>
      </c>
      <c r="M39" s="102">
        <f t="array" ref="M39">IF($G39=0, INDEX(LS_previous!$D$4:$AY$137, MATCH('Staging Table'!$A39, LS_previous!$B$4:$B$137, 0), MATCH(M$4&amp;M$5, LS_previous!$D$2:$AY$2&amp;LS_previous!$D$3:$AY$3, 0)),SUM(VLOOKUP($A39, LS_previous!$B$4:$AY$137, LS_previous!E$148, FALSE), VLOOKUP('Staging Table'!$A39, LS_previous!$B$4:$AY$137,LS_previous!AC$148, FALSE))/2)</f>
        <v>34.186716478050016</v>
      </c>
      <c r="N39" s="102">
        <f t="array" ref="N39">IF($G39=0, INDEX(LS_previous!$D$4:$AY$137, MATCH('Staging Table'!$A39, LS_previous!$B$4:$B$137, 0), MATCH(N$4&amp;N$5, LS_previous!$D$2:$AY$2&amp;LS_previous!$D$3:$AY$3, 0)),SUM(VLOOKUP($A39, LS_previous!$B$4:$AY$137, LS_previous!F$148, FALSE), VLOOKUP('Staging Table'!$A39, LS_previous!$B$4:$AY$137,LS_previous!AD$148, FALSE))/2)</f>
        <v>-193.82348825920008</v>
      </c>
      <c r="O39" s="102">
        <f t="array" ref="O39">IF($G39=0, INDEX(LS_previous!$D$4:$AY$137, MATCH('Staging Table'!$A39, LS_previous!$B$4:$B$137, 0), MATCH(O$4&amp;O$5, LS_previous!$D$2:$AY$2&amp;LS_previous!$D$3:$AY$3, 0)),SUM(VLOOKUP($A39, LS_previous!$B$4:$AY$137, LS_previous!G$148, FALSE), VLOOKUP('Staging Table'!$A39, LS_previous!$B$4:$AY$137,LS_previous!AE$148, FALSE))/2)</f>
        <v>-66.388131145900047</v>
      </c>
      <c r="P39" s="102">
        <f t="array" ref="P39">IF($G39=0, INDEX(LS_previous!$D$4:$AY$137, MATCH('Staging Table'!$A39, LS_previous!$B$4:$B$137, 0), MATCH(P$4&amp;P$5, LS_previous!$D$2:$AY$2&amp;LS_previous!$D$3:$AY$3, 0)),SUM(VLOOKUP($A39, LS_previous!$B$4:$AY$137, LS_previous!H$148, FALSE), VLOOKUP('Staging Table'!$A39, LS_previous!$B$4:$AY$137,LS_previous!AF$148, FALSE))/2)</f>
        <v>54.19380915290003</v>
      </c>
      <c r="Q39" s="102">
        <f t="array" ref="Q39">IF($G39=0, INDEX(LS_previous!$D$4:$AY$137, MATCH('Staging Table'!$A39, LS_previous!$B$4:$B$137, 0), MATCH(Q$4&amp;Q$5, LS_previous!$D$2:$AY$2&amp;LS_previous!$D$3:$AY$3, 0)),SUM(VLOOKUP($A39, LS_previous!$B$4:$AY$137, LS_previous!I$148, FALSE), VLOOKUP('Staging Table'!$A39, LS_previous!$B$4:$AY$137,LS_previous!AG$148, FALSE))/2)</f>
        <v>70.289366825600155</v>
      </c>
      <c r="R39" s="102">
        <f t="array" ref="R39">IF($G39=0, INDEX(LS_previous!$D$4:$AY$137, MATCH('Staging Table'!$A39, LS_previous!$B$4:$B$137, 0), MATCH(R$4&amp;R$5, LS_previous!$D$2:$AY$2&amp;LS_previous!$D$3:$AY$3, 0)),SUM(VLOOKUP($A39, LS_previous!$B$4:$AY$137, LS_previous!J$148, FALSE), VLOOKUP('Staging Table'!$A39, LS_previous!$B$4:$AY$137,LS_previous!AH$148, FALSE))/2)</f>
        <v>-127.98809371349989</v>
      </c>
      <c r="S39" s="102">
        <f t="array" ref="S39">IF($G39=0, INDEX(LS_previous!$D$4:$AY$137, MATCH('Staging Table'!$A39, LS_previous!$B$4:$B$137, 0), MATCH(S$4&amp;S$5, LS_previous!$D$2:$AY$2&amp;LS_previous!$D$3:$AY$3, 0)),SUM(VLOOKUP($A39, LS_previous!$B$4:$AY$137, LS_previous!K$148, FALSE), VLOOKUP('Staging Table'!$A39, LS_previous!$B$4:$AY$137,LS_previous!AI$148, FALSE))/2)</f>
        <v>117.90621907189995</v>
      </c>
      <c r="T39" s="102">
        <f t="array" ref="T39">IF($G39=0, INDEX(LS_previous!$D$4:$AY$137, MATCH('Staging Table'!$A39, LS_previous!$B$4:$B$137, 0), MATCH(T$4&amp;T$5, LS_previous!$D$2:$AY$2&amp;LS_previous!$D$3:$AY$3, 0)),SUM(VLOOKUP($A39, LS_previous!$B$4:$AY$137, LS_previous!L$148, FALSE), VLOOKUP('Staging Table'!$A39, LS_previous!$B$4:$AY$137,LS_previous!AJ$148, FALSE))/2)</f>
        <v>-113.99519129309988</v>
      </c>
      <c r="U39" s="102">
        <f t="array" ref="U39">IF($G39=0, INDEX(LS_previous!$D$4:$AY$137, MATCH('Staging Table'!$A39, LS_previous!$B$4:$B$137, 0), MATCH(U$4&amp;U$5, LS_previous!$D$2:$AY$2&amp;LS_previous!$D$3:$AY$3, 0)),SUM(VLOOKUP($A39, LS_previous!$B$4:$AY$137, LS_previous!M$148, FALSE), VLOOKUP('Staging Table'!$A39, LS_previous!$B$4:$AY$137,LS_previous!AK$148, FALSE))/2)</f>
        <v>48.343030194900052</v>
      </c>
      <c r="V39" s="102">
        <f t="array" ref="V39">IF($G39=0, INDEX(LS_previous!$D$4:$AY$137, MATCH('Staging Table'!$A39, LS_previous!$B$4:$B$137, 0), MATCH(V$4&amp;V$5, LS_previous!$D$2:$AY$2&amp;LS_previous!$D$3:$AY$3, 0)),SUM(VLOOKUP($A39, LS_previous!$B$4:$AY$137, LS_previous!N$148, FALSE), VLOOKUP('Staging Table'!$A39, LS_previous!$B$4:$AY$137,LS_previous!AL$148, FALSE))/2)</f>
        <v>-139.58149869570002</v>
      </c>
      <c r="W39" s="102">
        <f t="array" ref="W39">IF($G39=0, INDEX(LS_previous!$D$4:$AY$137, MATCH('Staging Table'!$A39, LS_previous!$B$4:$B$137, 0), MATCH(W$4&amp;W$5, LS_previous!$D$2:$AY$2&amp;LS_previous!$D$3:$AY$3, 0)),SUM(VLOOKUP($A39, LS_previous!$B$4:$AY$137, LS_previous!O$148, FALSE), VLOOKUP('Staging Table'!$A39, LS_previous!$B$4:$AY$137,LS_previous!AM$148, FALSE))/2)</f>
        <v>-98.465518364199966</v>
      </c>
      <c r="X39" s="102">
        <f t="array" ref="X39">IF($G39=0, INDEX(LS_previous!$D$4:$AY$137, MATCH('Staging Table'!$A39, LS_previous!$B$4:$B$137, 0), MATCH(X$4&amp;X$5, LS_previous!$D$2:$AY$2&amp;LS_previous!$D$3:$AY$3, 0)),SUM(VLOOKUP($A39, LS_previous!$B$4:$AY$137, LS_previous!P$148, FALSE), VLOOKUP('Staging Table'!$A39, LS_previous!$B$4:$AY$137,LS_previous!AN$148, FALSE))/2)</f>
        <v>-22.879773544749924</v>
      </c>
      <c r="Y39" s="102">
        <f t="array" ref="Y39">IF($G39=0, INDEX(LS_previous!$D$4:$AY$137, MATCH('Staging Table'!$A39, LS_previous!$B$4:$B$137, 0), MATCH(Y$4&amp;Y$5, LS_previous!$D$2:$AY$2&amp;LS_previous!$D$3:$AY$3, 0)),SUM(VLOOKUP($A39, LS_previous!$B$4:$AY$137, LS_previous!Q$148, FALSE), VLOOKUP('Staging Table'!$A39, LS_previous!$B$4:$AY$137,LS_previous!AO$148, FALSE))/2)</f>
        <v>55.195311637925101</v>
      </c>
      <c r="Z39" s="102">
        <f t="array" ref="Z39">IF($G39=0, INDEX(LS_previous!$D$4:$AY$137, MATCH('Staging Table'!$A39, LS_previous!$B$4:$B$137, 0), MATCH(Z$4&amp;Z$5, LS_previous!$D$2:$AY$2&amp;LS_previous!$D$3:$AY$3, 0)),SUM(VLOOKUP($A39, LS_previous!$B$4:$AY$137, LS_previous!R$148, FALSE), VLOOKUP('Staging Table'!$A39, LS_previous!$B$4:$AY$137,LS_previous!AP$148, FALSE))/2)</f>
        <v>-400.10941458720004</v>
      </c>
      <c r="AA39" s="102">
        <f t="array" ref="AA39">IF($G39=0, INDEX(LS_previous!$D$4:$AY$137, MATCH('Staging Table'!$A39, LS_previous!$B$4:$B$137, 0), MATCH(AA$4&amp;AA$5, LS_previous!$D$2:$AY$2&amp;LS_previous!$D$3:$AY$3, 0)),SUM(VLOOKUP($A39, LS_previous!$B$4:$AY$137, LS_previous!S$148, FALSE), VLOOKUP('Staging Table'!$A39, LS_previous!$B$4:$AY$137,LS_previous!AQ$148, FALSE))/2)</f>
        <v>-292.11465366564994</v>
      </c>
      <c r="AB39" s="102">
        <f t="array" ref="AB39">IF($G39=0, INDEX(LS_previous!$D$4:$AY$137, MATCH('Staging Table'!$A39, LS_previous!$B$4:$B$137, 0), MATCH(AB$4&amp;AB$5, LS_previous!$D$2:$AY$2&amp;LS_previous!$D$3:$AY$3, 0)),SUM(VLOOKUP($A39, LS_previous!$B$4:$AY$137, LS_previous!T$148, FALSE), VLOOKUP('Staging Table'!$A39, LS_previous!$B$4:$AY$137,LS_previous!AR$148, FALSE))/2)</f>
        <v>-561.77947872139976</v>
      </c>
      <c r="AC39" s="102">
        <f t="array" ref="AC39">IF($G39=0, INDEX(LS_previous!$D$4:$AY$137, MATCH('Staging Table'!$A39, LS_previous!$B$4:$B$137, 0), MATCH(AC$4&amp;AC$5, LS_previous!$D$2:$AY$2&amp;LS_previous!$D$3:$AY$3, 0)),SUM(VLOOKUP($A39, LS_previous!$B$4:$AY$137, LS_previous!U$148, FALSE), VLOOKUP('Staging Table'!$A39, LS_previous!$B$4:$AY$137,LS_previous!AS$148, FALSE))/2)</f>
        <v>-386.52182142004995</v>
      </c>
      <c r="AD39" s="102">
        <f t="array" ref="AD39">IF($G39=0, INDEX(LS_previous!$D$4:$AY$137, MATCH('Staging Table'!$A39, LS_previous!$B$4:$B$137, 0), MATCH(AD$4&amp;AD$5, LS_previous!$D$2:$AY$2&amp;LS_previous!$D$3:$AY$3, 0)),SUM(VLOOKUP($A39, LS_previous!$B$4:$AY$137, LS_previous!V$148, FALSE), VLOOKUP('Staging Table'!$A39, LS_previous!$B$4:$AY$137,LS_previous!AT$148, FALSE))/2)</f>
        <v>-228.23824121959979</v>
      </c>
      <c r="AE39" s="102">
        <f t="array" ref="AE39">IF($G39=0, INDEX(LS_previous!$D$4:$AY$137, MATCH('Staging Table'!$A39, LS_previous!$B$4:$B$137, 0), MATCH(AE$4&amp;AE$5, LS_previous!$D$2:$AY$2&amp;LS_previous!$D$3:$AY$3, 0)),SUM(VLOOKUP($A39, LS_previous!$B$4:$AY$137, LS_previous!W$148, FALSE), VLOOKUP('Staging Table'!$A39, LS_previous!$B$4:$AY$137,LS_previous!AU$148, FALSE))/2)</f>
        <v>-132.01876120974998</v>
      </c>
      <c r="AF39" s="102">
        <f t="array" ref="AF39">IF($G39=0, INDEX(LS_previous!$D$4:$AY$137, MATCH('Staging Table'!$A39, LS_previous!$B$4:$B$137, 0), MATCH(AF$4&amp;AF$5, LS_previous!$D$2:$AY$2&amp;LS_previous!$D$3:$AY$3, 0)),SUM(VLOOKUP($A39, LS_previous!$B$4:$AY$137, LS_previous!X$148, FALSE), VLOOKUP('Staging Table'!$A39, LS_previous!$B$4:$AY$137,LS_previous!AV$148, FALSE))/2)</f>
        <v>-114.17755627135011</v>
      </c>
      <c r="AG39" s="102">
        <f t="array" ref="AG39">IF($G39=0, INDEX(LS_previous!$D$4:$AY$137, MATCH('Staging Table'!$A39, LS_previous!$B$4:$B$137, 0), MATCH(AG$4&amp;AG$5, LS_previous!$D$2:$AY$2&amp;LS_previous!$D$3:$AY$3, 0)),SUM(VLOOKUP($A39, LS_previous!$B$4:$AY$137, LS_previous!Y$148, FALSE), VLOOKUP('Staging Table'!$A39, LS_previous!$B$4:$AY$137,LS_previous!AW$148, FALSE))/2)</f>
        <v>-161.11504324616487</v>
      </c>
      <c r="AH39" s="102">
        <f t="array" ref="AH39">IF($G39=0, INDEX(LS_previous!$D$4:$AY$137, MATCH('Staging Table'!$A39, LS_previous!$B$4:$B$137, 0), MATCH(AH$4&amp;AH$5, LS_previous!$D$2:$AY$2&amp;LS_previous!$D$3:$AY$3, 0)),SUM(VLOOKUP($A39, LS_previous!$B$4:$AY$137, LS_previous!Z$148, FALSE), VLOOKUP('Staging Table'!$A39, LS_previous!$B$4:$AY$137,LS_previous!AX$148, FALSE))/2)</f>
        <v>-73.218408458599924</v>
      </c>
      <c r="AI39" s="102">
        <f t="array" ref="AI39">IF($G39=0, INDEX(LS_previous!$D$4:$AY$137, MATCH('Staging Table'!$A39, LS_previous!$B$4:$B$137, 0), MATCH(AI$4&amp;AI$5, LS_previous!$D$2:$AY$2&amp;LS_previous!$D$3:$AY$3, 0)),SUM(VLOOKUP($A39, LS_previous!$B$4:$AY$137, LS_previous!AA$148, FALSE), VLOOKUP('Staging Table'!$A39, LS_previous!$B$4:$AY$137,LS_previous!AY$148, FALSE))/2)</f>
        <v>-129.73969974559998</v>
      </c>
      <c r="AJ39" s="103">
        <f t="array" ref="AJ39">INDEX(Demand_previous!$D$4:$AY$137, MATCH('Staging Table'!$A39, Demand_previous!$B$4:$B$137, 0), MATCH(AJ$4&amp;AJ$5,Demand_previous!$D$2:$AY$2&amp;Demand_previous!$D$3:$AY$3, 0))/1000</f>
        <v>0.47254807692307643</v>
      </c>
      <c r="AK39" s="103">
        <f t="array" ref="AK39">INDEX(Demand_previous!$D$4:$AY$137, MATCH('Staging Table'!$A39, Demand_previous!$B$4:$B$137, 0), MATCH(AK$4&amp;AK$5,Demand_previous!$D$2:$AY$2&amp;Demand_previous!$D$3:$AY$3, 0))/1000</f>
        <v>4.4100000000000139E-2</v>
      </c>
      <c r="AL39" s="103">
        <f t="array" ref="AL39">INDEX(Demand_previous!$D$4:$AY$137, MATCH('Staging Table'!$A39, Demand_previous!$B$4:$B$137, 0), MATCH(AL$4&amp;AL$5,Demand_previous!$D$2:$AY$2&amp;Demand_previous!$D$3:$AY$3, 0))/1000</f>
        <v>0.34716249999999993</v>
      </c>
      <c r="AM39" s="103">
        <f t="array" ref="AM39">INDEX(Demand_previous!$D$4:$AY$137, MATCH('Staging Table'!$A39, Demand_previous!$B$4:$B$137, 0), MATCH(AM$4&amp;AM$5,Demand_previous!$D$2:$AY$2&amp;Demand_previous!$D$3:$AY$3, 0))/1000</f>
        <v>0.68709855769230765</v>
      </c>
      <c r="AN39" s="103">
        <f t="array" ref="AN39">INDEX(Demand_previous!$D$4:$AY$137, MATCH('Staging Table'!$A39, Demand_previous!$B$4:$B$137, 0), MATCH(AN$4&amp;AN$5,Demand_previous!$D$2:$AY$2&amp;Demand_previous!$D$3:$AY$3, 0))/1000</f>
        <v>0.46256749999999958</v>
      </c>
      <c r="AO39" s="103">
        <f t="array" ref="AO39">INDEX(Demand_previous!$D$4:$AY$137, MATCH('Staging Table'!$A39, Demand_previous!$B$4:$B$137, 0), MATCH(AO$4&amp;AO$5,Demand_previous!$D$2:$AY$2&amp;Demand_previous!$D$3:$AY$3, 0))/1000</f>
        <v>0.52514423076923122</v>
      </c>
      <c r="AP39" s="103">
        <f t="array" ref="AP39">INDEX(Demand_previous!$D$4:$AY$137, MATCH('Staging Table'!$A39, Demand_previous!$B$4:$B$137, 0), MATCH(AP$4&amp;AP$5,Demand_previous!$D$2:$AY$2&amp;Demand_previous!$D$3:$AY$3, 0))/1000</f>
        <v>0.71572836538461537</v>
      </c>
      <c r="AQ39" s="103">
        <f t="array" ref="AQ39">INDEX(Demand_previous!$D$4:$AY$137, MATCH('Staging Table'!$A39, Demand_previous!$B$4:$B$137, 0), MATCH(AQ$4&amp;AQ$5,Demand_previous!$D$2:$AY$2&amp;Demand_previous!$D$3:$AY$3, 0))/1000</f>
        <v>0.39369951923076935</v>
      </c>
      <c r="AR39" s="103">
        <f t="array" ref="AR39">INDEX(Demand_previous!$D$4:$AY$137, MATCH('Staging Table'!$A39, Demand_previous!$B$4:$B$137, 0), MATCH(AR$4&amp;AR$5,Demand_previous!$D$2:$AY$2&amp;Demand_previous!$D$3:$AY$3, 0))/1000</f>
        <v>0.51722999999999986</v>
      </c>
      <c r="AS39" s="103">
        <f t="array" ref="AS39">INDEX(Demand_previous!$D$4:$AY$137, MATCH('Staging Table'!$A39, Demand_previous!$B$4:$B$137, 0), MATCH(AS$4&amp;AS$5,Demand_previous!$D$2:$AY$2&amp;Demand_previous!$D$3:$AY$3, 0))/1000</f>
        <v>0.66009134615384635</v>
      </c>
      <c r="AT39" s="103">
        <f t="array" ref="AT39">INDEX(Demand_previous!$D$4:$AY$137, MATCH('Staging Table'!$A39, Demand_previous!$B$4:$B$137, 0), MATCH(AT$4&amp;AT$5,Demand_previous!$D$2:$AY$2&amp;Demand_previous!$D$3:$AY$3, 0))/1000</f>
        <v>0.71431944444444473</v>
      </c>
      <c r="AU39" s="103">
        <f t="array" ref="AU39">INDEX(Demand_previous!$D$4:$AY$137, MATCH('Staging Table'!$A39, Demand_previous!$B$4:$B$137, 0), MATCH(AU$4&amp;AU$5,Demand_previous!$D$2:$AY$2&amp;Demand_previous!$D$3:$AY$3, 0))/1000</f>
        <v>0.28963020833333342</v>
      </c>
      <c r="AV39" s="102">
        <f>$F39*(VLOOKUP(AV$4, Rates_previous!$G$6:$Q$29, 10, FALSE)+VLOOKUP(AV$4, Rates_previous!$G$6:$Q$29, 11, FALSE))</f>
        <v>1851.6329709223501</v>
      </c>
      <c r="AW39" s="102">
        <f>$F39*(VLOOKUP(AW$4, Rates_previous!$G$6:$Q$29, 10, FALSE)+VLOOKUP(AW$4, Rates_previous!$G$6:$Q$29, 11, FALSE))</f>
        <v>2361.4426194051002</v>
      </c>
      <c r="AX39" s="102">
        <f>$F39*(VLOOKUP(AX$4, Rates_previous!$G$6:$Q$29, 10, FALSE)+VLOOKUP(AX$4, Rates_previous!$G$6:$Q$29, 11, FALSE))</f>
        <v>2548.4638240215004</v>
      </c>
      <c r="AY39" s="102">
        <f>$F39*(VLOOKUP(AY$4, Rates_previous!$G$6:$Q$29, 10, FALSE)+VLOOKUP(AY$4, Rates_previous!$G$6:$Q$29, 11, FALSE))</f>
        <v>2648.2478746416</v>
      </c>
      <c r="AZ39" s="102">
        <f>$F39*(VLOOKUP(AZ$4, Rates_previous!$G$6:$Q$29, 10, FALSE)+VLOOKUP(AZ$4, Rates_previous!$G$6:$Q$29, 11, FALSE))</f>
        <v>2277.8461610981999</v>
      </c>
      <c r="BA39" s="102">
        <f>$F39*(VLOOKUP(BA$4, Rates_previous!$G$6:$Q$29, 10, FALSE)+VLOOKUP(BA$4, Rates_previous!$G$6:$Q$29, 11, FALSE))</f>
        <v>2486.9570170599</v>
      </c>
      <c r="BB39" s="102">
        <f>$F39*(VLOOKUP(BB$4, Rates_previous!$G$6:$Q$29, 10, FALSE)+VLOOKUP(BB$4, Rates_previous!$G$6:$Q$29, 11, FALSE))</f>
        <v>1963.0334619068249</v>
      </c>
      <c r="BC39" s="102">
        <f>$F39*(VLOOKUP(BC$4, Rates_previous!$G$6:$Q$29, 10, FALSE)+VLOOKUP(BC$4, Rates_previous!$G$6:$Q$29, 11, FALSE))</f>
        <v>2435.4060682528502</v>
      </c>
      <c r="BD39" s="102">
        <f>$F39*(VLOOKUP(BD$4, Rates_previous!$G$6:$Q$29, 10, FALSE)+VLOOKUP(BD$4, Rates_previous!$G$6:$Q$29, 11, FALSE))</f>
        <v>2488.2483001414498</v>
      </c>
      <c r="BE39" s="102">
        <f>$F39*(VLOOKUP(BE$4, Rates_previous!$G$6:$Q$29, 10, FALSE)+VLOOKUP(BE$4, Rates_previous!$G$6:$Q$29, 11, FALSE))</f>
        <v>2160.1580024293498</v>
      </c>
      <c r="BF39" s="102">
        <f>$F39*(VLOOKUP(BF$4, Rates_previous!$G$6:$Q$29, 10, FALSE)+VLOOKUP(BF$4, Rates_previous!$G$6:$Q$29, 11, FALSE))</f>
        <v>2088.298599517515</v>
      </c>
      <c r="BG39" s="102">
        <f>$F39*(VLOOKUP(BG$4, Rates_previous!$G$6:$Q$29, 10, FALSE)+VLOOKUP(BG$4, Rates_previous!$G$6:$Q$29, 11, FALSE))</f>
        <v>1921.6391082042001</v>
      </c>
      <c r="BH39" s="103">
        <f>IF($D39=0,IF(C39=0, MAX(BJ39 - (VLOOKUP($A39,TOCA_previous!$A$2:$AJ$136,MATCH("RHWM "&amp;Init!$D$1-2,TOCA_previous!$A$2:$AJ$2,0),FALSE)*$F$2*TOCA_previous!C36),0),0), 0)</f>
        <v>0</v>
      </c>
      <c r="BI39" s="109">
        <f>MIN(VLOOKUP($A39,TOCA_previous!$A$2:$AJ$136,MATCH("TRL - NLSL - Existing Resource "&amp;$F$1,TOCA_previous!$A$2:$AJ$2,0),FALSE)*$F$2,(VLOOKUP($A39,TOCA_previous!$A$2:$AJ$136,MATCH("RHWM "&amp;Init!$D$1-2,TOCA_previous!$A$2:$AJ$2,0),FALSE)*$F$2))</f>
        <v>26633.088</v>
      </c>
      <c r="BJ39" s="261">
        <f>SUM(L39:AI39)+(F39*RT1SC!$C$3*$F$2)</f>
        <v>24420.534124823156</v>
      </c>
      <c r="BK39" s="260">
        <f>VLOOKUP($A39,TOCA_previous!$A$2:$AJ$136,MATCH("Above RHWM Not Served with LS "&amp;$F$1,TOCA_previous!$A$2:$AJ$2,0),FALSE)*$F$2</f>
        <v>0</v>
      </c>
      <c r="BL39" s="261">
        <f t="shared" si="21"/>
        <v>-2212.5538751768436</v>
      </c>
      <c r="BM39" s="260">
        <f>(VLOOKUP($A39,TOCA_previous!$A$2:$AJ$136,MATCH("RHWM "&amp;Init!$D$1-2,TOCA_previous!$A$2:$AJ$2,0),FALSE)*$F$2) - $BI39</f>
        <v>43.919999999998254</v>
      </c>
      <c r="BN39" s="261">
        <f t="shared" si="22"/>
        <v>0</v>
      </c>
      <c r="BO39" s="260">
        <f t="shared" si="23"/>
        <v>2212.5538751768436</v>
      </c>
      <c r="BP39" s="261">
        <f t="shared" si="24"/>
        <v>0</v>
      </c>
      <c r="BQ39" s="260">
        <f t="shared" si="9"/>
        <v>2212.5538751768436</v>
      </c>
      <c r="BR39" s="85">
        <f>VLOOKUP($A39,TOCA_current!$A$2:$ZZ$136,MATCH(BR$4,TOCA_current!$A$2:$ZZ$2,0),FALSE)</f>
        <v>3.9209999999999999E-4</v>
      </c>
      <c r="BS39" s="85">
        <f>VLOOKUP($A39,TOCA_current!$A$2:$ZZ$136,MATCH(BS$4,TOCA_current!$A$2:$ZZ$2,0),FALSE)</f>
        <v>3.9209999999999999E-4</v>
      </c>
      <c r="BT39" s="108">
        <f t="shared" si="25"/>
        <v>0</v>
      </c>
      <c r="BU39" s="85">
        <f>VLOOKUP($A39,TOCA_current!A36:BG170,MATCH(BU$4,TOCA_current!$A$2:$BG$2,0),FALSE)</f>
        <v>0</v>
      </c>
      <c r="BV39" s="85">
        <f t="shared" si="26"/>
        <v>0</v>
      </c>
      <c r="BW39" s="85">
        <f t="shared" si="27"/>
        <v>0</v>
      </c>
      <c r="BX39" s="101">
        <f>VLOOKUP($A39,IRD!$A$4:$G$138, 7, FALSE)</f>
        <v>0</v>
      </c>
      <c r="BY39" s="102">
        <f t="array" ref="BY39">IF($BT39=0, INDEX(LS_current!$D$4:$BW$137, MATCH('Staging Table'!$A39, LS_current!$B$4:$B$137, 0), MATCH(BY$4&amp;BY$5, LS_current!$D$2:$BW$2&amp;LS_current!$D$3:$BW$3, 0)),SUM(VLOOKUP($A39, LS_current!$B$4:$BW$137, LS_current!D$147, FALSE), VLOOKUP($A39, LS_current!$B$4:$BW$137,LS_current!AZ$147, FALSE))/2)</f>
        <v>157.48064447012132</v>
      </c>
      <c r="BZ39" s="102">
        <f t="array" ref="BZ39">IF($BT39=0, INDEX(LS_current!$D$4:$BW$137, MATCH('Staging Table'!$A39, LS_current!$B$4:$B$137, 0), MATCH(BZ$4&amp;BZ$5, LS_current!$D$2:$BW$2&amp;LS_current!$D$3:$BW$3, 0)),SUM(VLOOKUP($A39, LS_current!$B$4:$BW$137, LS_current!E$147, FALSE), VLOOKUP($A39, LS_current!$B$4:$BW$137,LS_current!BA$147, FALSE))/2)</f>
        <v>152.21158416746778</v>
      </c>
      <c r="CA39" s="102">
        <f t="array" ref="CA39">IF($BT39=0, INDEX(LS_current!$D$4:$BW$137, MATCH('Staging Table'!$A39, LS_current!$B$4:$B$137, 0), MATCH(CA$4&amp;CA$5, LS_current!$D$2:$BW$2&amp;LS_current!$D$3:$BW$3, 0)),SUM(VLOOKUP($A39, LS_current!$B$4:$BW$137, LS_current!F$147, FALSE), VLOOKUP($A39, LS_current!$B$4:$BW$137,LS_current!BB$147, FALSE))/2)</f>
        <v>-17.955448275311483</v>
      </c>
      <c r="CB39" s="102">
        <f t="array" ref="CB39">IF($BT39=0, INDEX(LS_current!$D$4:$BW$137, MATCH('Staging Table'!$A39, LS_current!$B$4:$B$137, 0), MATCH(CB$4&amp;CB$5, LS_current!$D$2:$BW$2&amp;LS_current!$D$3:$BW$3, 0)),SUM(VLOOKUP($A39, LS_current!$B$4:$BW$137, LS_current!G$147, FALSE), VLOOKUP($A39, LS_current!$B$4:$BW$137,LS_current!BC$147, FALSE))/2)</f>
        <v>38.70145133025585</v>
      </c>
      <c r="CC39" s="102">
        <f t="array" ref="CC39">IF($BT39=0, INDEX(LS_current!$D$4:$BW$137, MATCH('Staging Table'!$A39, LS_current!$B$4:$B$137, 0), MATCH(CC$4&amp;CC$5, LS_current!$D$2:$BW$2&amp;LS_current!$D$3:$BW$3, 0)),SUM(VLOOKUP($A39, LS_current!$B$4:$BW$137, LS_current!H$147, FALSE), VLOOKUP($A39, LS_current!$B$4:$BW$137,LS_current!BD$147, FALSE))/2)</f>
        <v>83.124087657201471</v>
      </c>
      <c r="CD39" s="102">
        <f t="array" ref="CD39">IF($BT39=0, INDEX(LS_current!$D$4:$BW$137, MATCH('Staging Table'!$A39, LS_current!$B$4:$B$137, 0), MATCH(CD$4&amp;CD$5, LS_current!$D$2:$BW$2&amp;LS_current!$D$3:$BW$3, 0)),SUM(VLOOKUP($A39, LS_current!$B$4:$BW$137, LS_current!I$147, FALSE), VLOOKUP($A39, LS_current!$B$4:$BW$137,LS_current!BE$147, FALSE))/2)</f>
        <v>224.48547624318769</v>
      </c>
      <c r="CE39" s="102">
        <f t="array" ref="CE39">IF($BT39=0, INDEX(LS_current!$D$4:$BW$137, MATCH('Staging Table'!$A39, LS_current!$B$4:$B$137, 0), MATCH(CE$4&amp;CE$5, LS_current!$D$2:$BW$2&amp;LS_current!$D$3:$BW$3, 0)),SUM(VLOOKUP($A39, LS_current!$B$4:$BW$137, LS_current!J$147, FALSE), VLOOKUP($A39, LS_current!$B$4:$BW$137,LS_current!BF$147, FALSE))/2)</f>
        <v>-61.399896174558535</v>
      </c>
      <c r="CF39" s="102">
        <f t="array" ref="CF39">IF($BT39=0, INDEX(LS_current!$D$4:$BW$137, MATCH('Staging Table'!$A39, LS_current!$B$4:$B$137, 0), MATCH(CF$4&amp;CF$5, LS_current!$D$2:$BW$2&amp;LS_current!$D$3:$BW$3, 0)),SUM(VLOOKUP($A39, LS_current!$B$4:$BW$137, LS_current!K$147, FALSE), VLOOKUP($A39, LS_current!$B$4:$BW$137,LS_current!BG$147, FALSE))/2)</f>
        <v>203.95026548576629</v>
      </c>
      <c r="CG39" s="102">
        <f t="array" ref="CG39">IF($BT39=0, INDEX(LS_current!$D$4:$BW$137, MATCH('Staging Table'!$A39, LS_current!$B$4:$B$137, 0), MATCH(CG$4&amp;CG$5, LS_current!$D$2:$BW$2&amp;LS_current!$D$3:$BW$3, 0)),SUM(VLOOKUP($A39, LS_current!$B$4:$BW$137, LS_current!L$147, FALSE), VLOOKUP($A39, LS_current!$B$4:$BW$137,LS_current!BH$147, FALSE))/2)</f>
        <v>68.815018668404036</v>
      </c>
      <c r="CH39" s="102">
        <f t="array" ref="CH39">IF($BT39=0, INDEX(LS_current!$D$4:$BW$137, MATCH('Staging Table'!$A39, LS_current!$B$4:$B$137, 0), MATCH(CH$4&amp;CH$5, LS_current!$D$2:$BW$2&amp;LS_current!$D$3:$BW$3, 0)),SUM(VLOOKUP($A39, LS_current!$B$4:$BW$137, LS_current!M$147, FALSE), VLOOKUP($A39, LS_current!$B$4:$BW$137,LS_current!BI$147, FALSE))/2)</f>
        <v>154.59856159254559</v>
      </c>
      <c r="CI39" s="102">
        <f t="array" ref="CI39">IF($BT39=0, INDEX(LS_current!$D$4:$BW$137, MATCH('Staging Table'!$A39, LS_current!$B$4:$B$137, 0), MATCH(CI$4&amp;CI$5, LS_current!$D$2:$BW$2&amp;LS_current!$D$3:$BW$3, 0)),SUM(VLOOKUP($A39, LS_current!$B$4:$BW$137, LS_current!N$147, FALSE), VLOOKUP($A39, LS_current!$B$4:$BW$137,LS_current!BJ$147, FALSE))/2)</f>
        <v>-39.407056093569054</v>
      </c>
      <c r="CJ39" s="102">
        <f t="array" ref="CJ39">IF($BT39=0, INDEX(LS_current!$D$4:$BW$137, MATCH('Staging Table'!$A39, LS_current!$B$4:$B$137, 0), MATCH(CJ$4&amp;CJ$5, LS_current!$D$2:$BW$2&amp;LS_current!$D$3:$BW$3, 0)),SUM(VLOOKUP($A39, LS_current!$B$4:$BW$137, LS_current!O$147, FALSE), VLOOKUP($A39, LS_current!$B$4:$BW$137,LS_current!BK$147, FALSE))/2)</f>
        <v>114.17164983024441</v>
      </c>
      <c r="CK39" s="102">
        <f t="array" ref="CK39">IF($BT39=0, INDEX(LS_current!$D$4:$BW$137, MATCH('Staging Table'!$A39, LS_current!$B$4:$B$137, 0), MATCH(CK$4&amp;CK$5, LS_current!$D$2:$BW$2&amp;LS_current!$D$3:$BW$3, 0)),SUM(VLOOKUP($A39, LS_current!$B$4:$BW$137, LS_current!P$147, FALSE), VLOOKUP($A39, LS_current!$B$4:$BW$137,LS_current!BL$147, FALSE))/2)</f>
        <v>134.5221016485234</v>
      </c>
      <c r="CL39" s="102">
        <f t="array" ref="CL39">IF($BT39=0, INDEX(LS_current!$D$4:$BW$137, MATCH('Staging Table'!$A39, LS_current!$B$4:$B$137, 0), MATCH(CL$4&amp;CL$5, LS_current!$D$2:$BW$2&amp;LS_current!$D$3:$BW$3, 0)),SUM(VLOOKUP($A39, LS_current!$B$4:$BW$137, LS_current!Q$147, FALSE), VLOOKUP($A39, LS_current!$B$4:$BW$137,LS_current!BM$147, FALSE))/2)</f>
        <v>175.84233861212431</v>
      </c>
      <c r="CM39" s="102">
        <f t="array" ref="CM39">IF($BT39=0, INDEX(LS_current!$D$4:$BW$137, MATCH('Staging Table'!$A39, LS_current!$B$4:$B$137, 0), MATCH(CM$4&amp;CM$5, LS_current!$D$2:$BW$2&amp;LS_current!$D$3:$BW$3, 0)),SUM(VLOOKUP($A39, LS_current!$B$4:$BW$137, LS_current!R$147, FALSE), VLOOKUP($A39, LS_current!$B$4:$BW$137,LS_current!BN$147, FALSE))/2)</f>
        <v>-240.66336544236378</v>
      </c>
      <c r="CN39" s="102">
        <f t="array" ref="CN39">IF($BT39=0, INDEX(LS_current!$D$4:$BW$137, MATCH('Staging Table'!$A39, LS_current!$B$4:$B$137, 0), MATCH(CN$4&amp;CN$5, LS_current!$D$2:$BW$2&amp;LS_current!$D$3:$BW$3, 0)),SUM(VLOOKUP($A39, LS_current!$B$4:$BW$137, LS_current!S$147, FALSE), VLOOKUP($A39, LS_current!$B$4:$BW$137,LS_current!BO$147, FALSE))/2)</f>
        <v>-196.80209152734233</v>
      </c>
      <c r="CO39" s="102">
        <f t="array" ref="CO39">IF($BT39=0, INDEX(LS_current!$D$4:$BW$137, MATCH('Staging Table'!$A39, LS_current!$B$4:$B$137, 0), MATCH(CO$4&amp;CO$5, LS_current!$D$2:$BW$2&amp;LS_current!$D$3:$BW$3, 0)),SUM(VLOOKUP($A39, LS_current!$B$4:$BW$137, LS_current!T$147, FALSE), VLOOKUP($A39, LS_current!$B$4:$BW$137,LS_current!BP$147, FALSE))/2)</f>
        <v>-450.8622587915404</v>
      </c>
      <c r="CP39" s="102">
        <f t="array" ref="CP39">IF($BT39=0, INDEX(LS_current!$D$4:$BW$137, MATCH('Staging Table'!$A39, LS_current!$B$4:$B$137, 0), MATCH(CP$4&amp;CP$5, LS_current!$D$2:$BW$2&amp;LS_current!$D$3:$BW$3, 0)),SUM(VLOOKUP($A39, LS_current!$B$4:$BW$137, LS_current!U$147, FALSE), VLOOKUP($A39, LS_current!$B$4:$BW$137,LS_current!BQ$147, FALSE))/2)</f>
        <v>-236.40136924750902</v>
      </c>
      <c r="CQ39" s="102">
        <f t="array" ref="CQ39">IF($BT39=0, INDEX(LS_current!$D$4:$BW$137, MATCH('Staging Table'!$A39, LS_current!$B$4:$B$137, 0), MATCH(CQ$4&amp;CQ$5, LS_current!$D$2:$BW$2&amp;LS_current!$D$3:$BW$3, 0)),SUM(VLOOKUP($A39, LS_current!$B$4:$BW$137, LS_current!V$147, FALSE), VLOOKUP($A39, LS_current!$B$4:$BW$137,LS_current!BR$147, FALSE))/2)</f>
        <v>-138.27853478376346</v>
      </c>
      <c r="CR39" s="102">
        <f t="array" ref="CR39">IF($BT39=0, INDEX(LS_current!$D$4:$BW$137, MATCH('Staging Table'!$A39, LS_current!$B$4:$B$137, 0), MATCH(CR$4&amp;CR$5, LS_current!$D$2:$BW$2&amp;LS_current!$D$3:$BW$3, 0)),SUM(VLOOKUP($A39, LS_current!$B$4:$BW$137, LS_current!W$147, FALSE), VLOOKUP($A39, LS_current!$B$4:$BW$137,LS_current!BS$147, FALSE))/2)</f>
        <v>-44.230543886334544</v>
      </c>
      <c r="CS39" s="102">
        <f t="array" ref="CS39">IF($BT39=0, INDEX(LS_current!$D$4:$BW$137, MATCH('Staging Table'!$A39, LS_current!$B$4:$B$137, 0), MATCH(CS$4&amp;CS$5, LS_current!$D$2:$BW$2&amp;LS_current!$D$3:$BW$3, 0)),SUM(VLOOKUP($A39, LS_current!$B$4:$BW$137, LS_current!X$147, FALSE), VLOOKUP($A39, LS_current!$B$4:$BW$137,LS_current!BT$147, FALSE))/2)</f>
        <v>-141.20168930162117</v>
      </c>
      <c r="CT39" s="102">
        <f t="array" ref="CT39">IF($BT39=0, INDEX(LS_current!$D$4:$BW$137, MATCH('Staging Table'!$A39, LS_current!$B$4:$B$137, 0), MATCH(CT$4&amp;CT$5, LS_current!$D$2:$BW$2&amp;LS_current!$D$3:$BW$3, 0)),SUM(VLOOKUP($A39, LS_current!$B$4:$BW$137, LS_current!Y$147, FALSE), VLOOKUP($A39, LS_current!$B$4:$BW$137,LS_current!BU$147, FALSE))/2)</f>
        <v>-79.381489306403068</v>
      </c>
      <c r="CU39" s="102">
        <f t="array" ref="CU39">IF($BT39=0, INDEX(LS_current!$D$4:$BW$137, MATCH('Staging Table'!$A39, LS_current!$B$4:$B$137, 0), MATCH(CU$4&amp;CU$5, LS_current!$D$2:$BW$2&amp;LS_current!$D$3:$BW$3, 0)),SUM(VLOOKUP($A39, LS_current!$B$4:$BW$137, LS_current!Z$147, FALSE), VLOOKUP($A39, LS_current!$B$4:$BW$137,LS_current!BV$147, FALSE))/2)</f>
        <v>91.465854811954387</v>
      </c>
      <c r="CV39" s="102">
        <f t="array" ref="CV39">IF($BT39=0, INDEX(LS_current!$D$4:$BW$137, MATCH('Staging Table'!$A39, LS_current!$B$4:$B$137, 0), MATCH(CV$4&amp;CV$5, LS_current!$D$2:$BW$2&amp;LS_current!$D$3:$BW$3, 0)),SUM(VLOOKUP($A39, LS_current!$B$4:$BW$137, LS_current!AA$147, FALSE), VLOOKUP($A39, LS_current!$B$4:$BW$137,LS_current!BW$147, FALSE))/2)</f>
        <v>47.889378419318405</v>
      </c>
      <c r="CW39" s="103">
        <f t="array" ref="CW39">INDEX(Demand_current!$D$4:$BW$137, MATCH($A39, Demand_current!$B$4:$B$137, 0), MATCH(CW$4&amp;CW$5,Demand_current!$D$2:$BW$2&amp;Demand_current!$D$3:$BW$3, 0))/1000</f>
        <v>0.58200925925925906</v>
      </c>
      <c r="CX39" s="103">
        <f t="array" ref="CX39">INDEX(Demand_current!$D$4:$BW$137, MATCH($A39, Demand_current!$B$4:$B$137, 0), MATCH(CX$4&amp;CX$5,Demand_current!$D$2:$BW$2&amp;Demand_current!$D$3:$BW$3, 0))/1000</f>
        <v>0</v>
      </c>
      <c r="CY39" s="103">
        <f t="array" ref="CY39">INDEX(Demand_current!$D$4:$BW$137, MATCH($A39, Demand_current!$B$4:$B$137, 0), MATCH(CY$4&amp;CY$5,Demand_current!$D$2:$BW$2&amp;Demand_current!$D$3:$BW$3, 0))/1000</f>
        <v>0.50681009615384587</v>
      </c>
      <c r="CZ39" s="103">
        <f t="array" ref="CZ39">INDEX(Demand_current!$D$4:$BW$137, MATCH($A39, Demand_current!$B$4:$B$137, 0), MATCH(CZ$4&amp;CZ$5,Demand_current!$D$2:$BW$2&amp;Demand_current!$D$3:$BW$3, 0))/1000</f>
        <v>0.68709855769230765</v>
      </c>
      <c r="DA39" s="103">
        <f t="array" ref="DA39">INDEX(Demand_current!$D$4:$BW$137, MATCH($A39, Demand_current!$B$4:$B$137, 0), MATCH(DA$4&amp;DA$5,Demand_current!$D$2:$BW$2&amp;Demand_current!$D$3:$BW$3, 0))/1000</f>
        <v>0.31804947916666615</v>
      </c>
      <c r="DB39" s="103">
        <f t="array" ref="DB39">INDEX(Demand_current!$D$4:$BW$137, MATCH($A39, Demand_current!$B$4:$B$137, 0), MATCH(DB$4&amp;DB$5,Demand_current!$D$2:$BW$2&amp;Demand_current!$D$3:$BW$3, 0))/1000</f>
        <v>0.52514423076923122</v>
      </c>
      <c r="DC39" s="103">
        <f t="array" ref="DC39">INDEX(Demand_current!$D$4:$BW$137, MATCH($A39, Demand_current!$B$4:$B$137, 0), MATCH(DC$4&amp;DC$5,Demand_current!$D$2:$BW$2&amp;Demand_current!$D$3:$BW$3, 0))/1000</f>
        <v>0.71572836538461537</v>
      </c>
      <c r="DD39" s="103">
        <f t="array" ref="DD39">INDEX(Demand_current!$D$4:$BW$137, MATCH($A39, Demand_current!$B$4:$B$137, 0), MATCH(DD$4&amp;DD$5,Demand_current!$D$2:$BW$2&amp;Demand_current!$D$3:$BW$3, 0))/1000</f>
        <v>0.28804750000000029</v>
      </c>
      <c r="DE39" s="103">
        <f t="array" ref="DE39">INDEX(Demand_current!$D$4:$BW$137, MATCH($A39, Demand_current!$B$4:$B$137, 0), MATCH(DE$4&amp;DE$5,Demand_current!$D$2:$BW$2&amp;Demand_current!$D$3:$BW$3, 0))/1000</f>
        <v>0.62114423076923075</v>
      </c>
      <c r="DF39" s="103">
        <f t="array" ref="DF39">INDEX(Demand_current!$D$4:$BW$137, MATCH($A39, Demand_current!$B$4:$B$137, 0), MATCH(DF$4&amp;DF$5,Demand_current!$D$2:$BW$2&amp;Demand_current!$D$3:$BW$3, 0))/1000</f>
        <v>0.66009134615384635</v>
      </c>
      <c r="DG39" s="103">
        <f t="array" ref="DG39">INDEX(Demand_current!$D$4:$BW$137, MATCH($A39, Demand_current!$B$4:$B$137, 0), MATCH(DG$4&amp;DG$5,Demand_current!$D$2:$BW$2&amp;Demand_current!$D$3:$BW$3, 0))/1000</f>
        <v>0.60244711538461559</v>
      </c>
      <c r="DH39" s="103">
        <f t="array" ref="DH39">INDEX(Demand_current!$D$4:$BW$137, MATCH($A39, Demand_current!$B$4:$B$137, 0), MATCH(DH$4&amp;DH$5,Demand_current!$D$2:$BW$2&amp;Demand_current!$D$3:$BW$3, 0))/1000</f>
        <v>0.40280499999999975</v>
      </c>
      <c r="DI39" s="102">
        <f>$BS39*(VLOOKUP(DI$4, Rates_current!$H$6:$R$41, 10, FALSE)+VLOOKUP(DI$4, Rates_current!$H$6:$R$41, 11, FALSE))</f>
        <v>1627.3277713624111</v>
      </c>
      <c r="DJ39" s="102">
        <f>$BS39*(VLOOKUP(DJ$4, Rates_current!$H$6:$R$41, 10, FALSE)+VLOOKUP(DJ$4, Rates_current!$H$6:$R$41, 11, FALSE))</f>
        <v>2080.4849969450556</v>
      </c>
      <c r="DK39" s="102">
        <f>$BS39*(VLOOKUP(DK$4, Rates_current!$H$6:$R$41, 10, FALSE)+VLOOKUP(DK$4, Rates_current!$H$6:$R$41, 11, FALSE))</f>
        <v>2365.3374360996108</v>
      </c>
      <c r="DL39" s="102">
        <f>$BS39*(VLOOKUP(DL$4, Rates_current!$H$6:$R$41, 10, FALSE)+VLOOKUP(DL$4, Rates_current!$H$6:$R$41, 11, FALSE))</f>
        <v>2495.615630688792</v>
      </c>
      <c r="DM39" s="102">
        <f>$BS39*(VLOOKUP(DM$4, Rates_current!$H$6:$R$41, 10, FALSE)+VLOOKUP(DM$4, Rates_current!$H$6:$R$41, 11, FALSE))</f>
        <v>1988.7804197390508</v>
      </c>
      <c r="DN39" s="102">
        <f>$BS39*(VLOOKUP(DN$4, Rates_current!$H$6:$R$41, 10, FALSE)+VLOOKUP(DN$4, Rates_current!$H$6:$R$41, 11, FALSE))</f>
        <v>2174.1454062633243</v>
      </c>
      <c r="DO39" s="102">
        <f>$BS39*(VLOOKUP(DO$4, Rates_current!$H$6:$R$41, 10, FALSE)+VLOOKUP(DO$4, Rates_current!$H$6:$R$41, 11, FALSE))</f>
        <v>1684.9845597393523</v>
      </c>
      <c r="DP39" s="102">
        <f>$BS39*(VLOOKUP(DP$4, Rates_current!$H$6:$R$41, 10, FALSE)+VLOOKUP(DP$4, Rates_current!$H$6:$R$41, 11, FALSE))</f>
        <v>2180.6474569697057</v>
      </c>
      <c r="DQ39" s="102">
        <f>$BS39*(VLOOKUP(DQ$4, Rates_current!$H$6:$R$41, 10, FALSE)+VLOOKUP(DQ$4, Rates_current!$H$6:$R$41, 11, FALSE))</f>
        <v>2227.2106280390494</v>
      </c>
      <c r="DR39" s="102">
        <f>$BS39*(VLOOKUP(DR$4, Rates_current!$H$6:$R$41, 10, FALSE)+VLOOKUP(DR$4, Rates_current!$H$6:$R$41, 11, FALSE))</f>
        <v>1982.4100786700981</v>
      </c>
      <c r="DS39" s="102">
        <f>$BS39*(VLOOKUP(DS$4, Rates_current!$H$6:$R$41, 10, FALSE)+VLOOKUP(DS$4, Rates_current!$H$6:$R$41, 11, FALSE))</f>
        <v>2033.5891786080242</v>
      </c>
      <c r="DT39" s="102">
        <f>$BS39*(VLOOKUP(DT$4, Rates_current!$H$6:$R$41, 10, FALSE)+VLOOKUP(DT$4, Rates_current!$H$6:$R$41, 11, FALSE))</f>
        <v>1579.3257667687274</v>
      </c>
      <c r="DU39" s="261">
        <f>IF(D39=0,IF(C39=0,MAX(0,DW39 - (VLOOKUP($A39,TOCA_current!$A$2:$AV$136,MATCH("RHWM "&amp;Init!$D$1,TOCA_current!$A$2:$AV$2,0),FALSE)*$BS$2)), 0),0)</f>
        <v>0</v>
      </c>
      <c r="DV39" s="262">
        <f>MIN(VLOOKUP($A39,TOCA_current!$A$2:$AV$136,MATCH("TRL - NLSL - Existing Resource "&amp;$BS$1,TOCA_current!$A$2:$AV$2,0),FALSE)*$BS$2, VLOOKUP($A39,TOCA_current!$A$2:$AV$136,MATCH("RHWM "&amp;Init!$D$1,TOCA_current!$A$2:$AV$2,0),FALSE)*$BS$2)</f>
        <v>24422.879999999997</v>
      </c>
      <c r="DW39" s="262">
        <f>SUM(BY39:CV39)+(BS39*RT1SC!$C$4*$BS$2)</f>
        <v>24420.535441498796</v>
      </c>
      <c r="DX39" s="262">
        <f>VLOOKUP($A39,TOCA_current!$A$2:$AV$136,MATCH("Above RHWM Not Served with LS "&amp;$BS$1,TOCA_current!$A$2:$AV$2,0),FALSE)*$BS$2</f>
        <v>0</v>
      </c>
      <c r="DY39" s="262">
        <f t="shared" si="28"/>
        <v>-2.3445585012013908</v>
      </c>
      <c r="DZ39" s="262">
        <f>(VLOOKUP($A39,TOCA_current!$A$2:$AV$136,MATCH("RHWM "&amp;Init!$D$1,TOCA_current!$A$2:$AV$2,0),FALSE)*$BS$2) - $DV39</f>
        <v>2330.16</v>
      </c>
      <c r="EA39" s="262">
        <f t="shared" si="29"/>
        <v>0</v>
      </c>
      <c r="EB39" s="262">
        <f t="shared" si="30"/>
        <v>2.3445585012013908</v>
      </c>
      <c r="EC39" s="262">
        <f t="shared" si="31"/>
        <v>0</v>
      </c>
      <c r="ED39" s="262">
        <f t="shared" si="32"/>
        <v>2.3445585012013908</v>
      </c>
    </row>
    <row r="40" spans="1:134">
      <c r="A40" s="2">
        <v>10095</v>
      </c>
      <c r="B40" s="3" t="s">
        <v>42</v>
      </c>
      <c r="C40">
        <f>VLOOKUP(A40, TOCA_current!$A$3:$D$136, 4, FALSE)</f>
        <v>0</v>
      </c>
      <c r="D40">
        <v>0</v>
      </c>
      <c r="E40" s="84">
        <f>VLOOKUP($A40,TOCA_previous!$A$2:$AJ$136,MATCH(E$4,TOCA_previous!$A$2:$AJ$2,0),FALSE)</f>
        <v>5.2740000000000003E-4</v>
      </c>
      <c r="F40" s="85">
        <f>VLOOKUP($A40,TOCA_previous!$A$2:$AJ$136,MATCH(F$4,TOCA_previous!$A$2:$AJ$2,0),FALSE)</f>
        <v>5.2740000000000003E-4</v>
      </c>
      <c r="G40" s="85">
        <f t="shared" si="18"/>
        <v>0</v>
      </c>
      <c r="H40" s="85">
        <f>VLOOKUP($A40,TOCA_previous!$A$2:$AJ$136,MATCH(H$4,TOCA_previous!$A$2:$AJ$2,0),FALSE)</f>
        <v>0</v>
      </c>
      <c r="I40" s="85">
        <f t="shared" si="19"/>
        <v>0</v>
      </c>
      <c r="J40" s="85">
        <f t="shared" si="20"/>
        <v>0</v>
      </c>
      <c r="K40" s="101">
        <f>VLOOKUP(A40, IRD!$A$5:$C$138, 3, FALSE)</f>
        <v>0</v>
      </c>
      <c r="L40" s="102">
        <f t="array" ref="L40">IF($G40=0, INDEX(LS_previous!$D$4:$AY$137, MATCH('Staging Table'!$A40, LS_previous!$B$4:$B$137, 0), MATCH(L$4&amp;L$5, LS_previous!$D$2:$AY$2&amp;LS_previous!$D$3:$AY$3, 0)),SUM(VLOOKUP($A40, LS_previous!$B$4:$AY$137, LS_previous!D$148, FALSE), VLOOKUP('Staging Table'!$A40, LS_previous!$B$4:$AY$137,LS_previous!AB$148, FALSE))/2)</f>
        <v>384.03401541359972</v>
      </c>
      <c r="M40" s="102">
        <f t="array" ref="M40">IF($G40=0, INDEX(LS_previous!$D$4:$AY$137, MATCH('Staging Table'!$A40, LS_previous!$B$4:$B$137, 0), MATCH(M$4&amp;M$5, LS_previous!$D$2:$AY$2&amp;LS_previous!$D$3:$AY$3, 0)),SUM(VLOOKUP($A40, LS_previous!$B$4:$AY$137, LS_previous!E$148, FALSE), VLOOKUP('Staging Table'!$A40, LS_previous!$B$4:$AY$137,LS_previous!AC$148, FALSE))/2)</f>
        <v>44.642880771299929</v>
      </c>
      <c r="N40" s="102">
        <f t="array" ref="N40">IF($G40=0, INDEX(LS_previous!$D$4:$AY$137, MATCH('Staging Table'!$A40, LS_previous!$B$4:$B$137, 0), MATCH(N$4&amp;N$5, LS_previous!$D$2:$AY$2&amp;LS_previous!$D$3:$AY$3, 0)),SUM(VLOOKUP($A40, LS_previous!$B$4:$AY$137, LS_previous!F$148, FALSE), VLOOKUP('Staging Table'!$A40, LS_previous!$B$4:$AY$137,LS_previous!AD$148, FALSE))/2)</f>
        <v>-74.269616787200221</v>
      </c>
      <c r="O40" s="102">
        <f t="array" ref="O40">IF($G40=0, INDEX(LS_previous!$D$4:$AY$137, MATCH('Staging Table'!$A40, LS_previous!$B$4:$B$137, 0), MATCH(O$4&amp;O$5, LS_previous!$D$2:$AY$2&amp;LS_previous!$D$3:$AY$3, 0)),SUM(VLOOKUP($A40, LS_previous!$B$4:$AY$137, LS_previous!G$148, FALSE), VLOOKUP('Staging Table'!$A40, LS_previous!$B$4:$AY$137,LS_previous!AE$148, FALSE))/2)</f>
        <v>-27.165389989399955</v>
      </c>
      <c r="P40" s="102">
        <f t="array" ref="P40">IF($G40=0, INDEX(LS_previous!$D$4:$AY$137, MATCH('Staging Table'!$A40, LS_previous!$B$4:$B$137, 0), MATCH(P$4&amp;P$5, LS_previous!$D$2:$AY$2&amp;LS_previous!$D$3:$AY$3, 0)),SUM(VLOOKUP($A40, LS_previous!$B$4:$AY$137, LS_previous!H$148, FALSE), VLOOKUP('Staging Table'!$A40, LS_previous!$B$4:$AY$137,LS_previous!AF$148, FALSE))/2)</f>
        <v>-96.45217874860009</v>
      </c>
      <c r="Q40" s="102">
        <f t="array" ref="Q40">IF($G40=0, INDEX(LS_previous!$D$4:$AY$137, MATCH('Staging Table'!$A40, LS_previous!$B$4:$B$137, 0), MATCH(Q$4&amp;Q$5, LS_previous!$D$2:$AY$2&amp;LS_previous!$D$3:$AY$3, 0)),SUM(VLOOKUP($A40, LS_previous!$B$4:$AY$137, LS_previous!I$148, FALSE), VLOOKUP('Staging Table'!$A40, LS_previous!$B$4:$AY$137,LS_previous!AG$148, FALSE))/2)</f>
        <v>-143.3930752704</v>
      </c>
      <c r="R40" s="102">
        <f t="array" ref="R40">IF($G40=0, INDEX(LS_previous!$D$4:$AY$137, MATCH('Staging Table'!$A40, LS_previous!$B$4:$B$137, 0), MATCH(R$4&amp;R$5, LS_previous!$D$2:$AY$2&amp;LS_previous!$D$3:$AY$3, 0)),SUM(VLOOKUP($A40, LS_previous!$B$4:$AY$137, LS_previous!J$148, FALSE), VLOOKUP('Staging Table'!$A40, LS_previous!$B$4:$AY$137,LS_previous!AH$148, FALSE))/2)</f>
        <v>2.3731895089999853</v>
      </c>
      <c r="S40" s="102">
        <f t="array" ref="S40">IF($G40=0, INDEX(LS_previous!$D$4:$AY$137, MATCH('Staging Table'!$A40, LS_previous!$B$4:$B$137, 0), MATCH(S$4&amp;S$5, LS_previous!$D$2:$AY$2&amp;LS_previous!$D$3:$AY$3, 0)),SUM(VLOOKUP($A40, LS_previous!$B$4:$AY$137, LS_previous!K$148, FALSE), VLOOKUP('Staging Table'!$A40, LS_previous!$B$4:$AY$137,LS_previous!AI$148, FALSE))/2)</f>
        <v>-16.741996494600016</v>
      </c>
      <c r="T40" s="102">
        <f t="array" ref="T40">IF($G40=0, INDEX(LS_previous!$D$4:$AY$137, MATCH('Staging Table'!$A40, LS_previous!$B$4:$B$137, 0), MATCH(T$4&amp;T$5, LS_previous!$D$2:$AY$2&amp;LS_previous!$D$3:$AY$3, 0)),SUM(VLOOKUP($A40, LS_previous!$B$4:$AY$137, LS_previous!L$148, FALSE), VLOOKUP('Staging Table'!$A40, LS_previous!$B$4:$AY$137,LS_previous!AJ$148, FALSE))/2)</f>
        <v>83.050173415400195</v>
      </c>
      <c r="U40" s="102">
        <f t="array" ref="U40">IF($G40=0, INDEX(LS_previous!$D$4:$AY$137, MATCH('Staging Table'!$A40, LS_previous!$B$4:$B$137, 0), MATCH(U$4&amp;U$5, LS_previous!$D$2:$AY$2&amp;LS_previous!$D$3:$AY$3, 0)),SUM(VLOOKUP($A40, LS_previous!$B$4:$AY$137, LS_previous!M$148, FALSE), VLOOKUP('Staging Table'!$A40, LS_previous!$B$4:$AY$137,LS_previous!AK$148, FALSE))/2)</f>
        <v>26.508706823399962</v>
      </c>
      <c r="V40" s="102">
        <f t="array" ref="V40">IF($G40=0, INDEX(LS_previous!$D$4:$AY$137, MATCH('Staging Table'!$A40, LS_previous!$B$4:$B$137, 0), MATCH(V$4&amp;V$5, LS_previous!$D$2:$AY$2&amp;LS_previous!$D$3:$AY$3, 0)),SUM(VLOOKUP($A40, LS_previous!$B$4:$AY$137, LS_previous!N$148, FALSE), VLOOKUP('Staging Table'!$A40, LS_previous!$B$4:$AY$137,LS_previous!AL$148, FALSE))/2)</f>
        <v>64.639659803799987</v>
      </c>
      <c r="W40" s="102">
        <f t="array" ref="W40">IF($G40=0, INDEX(LS_previous!$D$4:$AY$137, MATCH('Staging Table'!$A40, LS_previous!$B$4:$B$137, 0), MATCH(W$4&amp;W$5, LS_previous!$D$2:$AY$2&amp;LS_previous!$D$3:$AY$3, 0)),SUM(VLOOKUP($A40, LS_previous!$B$4:$AY$137, LS_previous!O$148, FALSE), VLOOKUP('Staging Table'!$A40, LS_previous!$B$4:$AY$137,LS_previous!AM$148, FALSE))/2)</f>
        <v>-70.723845717199993</v>
      </c>
      <c r="X40" s="102">
        <f t="array" ref="X40">IF($G40=0, INDEX(LS_previous!$D$4:$AY$137, MATCH('Staging Table'!$A40, LS_previous!$B$4:$B$137, 0), MATCH(X$4&amp;X$5, LS_previous!$D$2:$AY$2&amp;LS_previous!$D$3:$AY$3, 0)),SUM(VLOOKUP($A40, LS_previous!$B$4:$AY$137, LS_previous!P$148, FALSE), VLOOKUP('Staging Table'!$A40, LS_previous!$B$4:$AY$137,LS_previous!AN$148, FALSE))/2)</f>
        <v>237.18113814649996</v>
      </c>
      <c r="Y40" s="102">
        <f t="array" ref="Y40">IF($G40=0, INDEX(LS_previous!$D$4:$AY$137, MATCH('Staging Table'!$A40, LS_previous!$B$4:$B$137, 0), MATCH(Y$4&amp;Y$5, LS_previous!$D$2:$AY$2&amp;LS_previous!$D$3:$AY$3, 0)),SUM(VLOOKUP($A40, LS_previous!$B$4:$AY$137, LS_previous!Q$148, FALSE), VLOOKUP('Staging Table'!$A40, LS_previous!$B$4:$AY$137,LS_previous!AO$148, FALSE))/2)</f>
        <v>8.8154202730501083</v>
      </c>
      <c r="Z40" s="102">
        <f t="array" ref="Z40">IF($G40=0, INDEX(LS_previous!$D$4:$AY$137, MATCH('Staging Table'!$A40, LS_previous!$B$4:$B$137, 0), MATCH(Z$4&amp;Z$5, LS_previous!$D$2:$AY$2&amp;LS_previous!$D$3:$AY$3, 0)),SUM(VLOOKUP($A40, LS_previous!$B$4:$AY$137, LS_previous!R$148, FALSE), VLOOKUP('Staging Table'!$A40, LS_previous!$B$4:$AY$137,LS_previous!AP$148, FALSE))/2)</f>
        <v>-152.04620563520029</v>
      </c>
      <c r="AA40" s="102">
        <f t="array" ref="AA40">IF($G40=0, INDEX(LS_previous!$D$4:$AY$137, MATCH('Staging Table'!$A40, LS_previous!$B$4:$B$137, 0), MATCH(AA$4&amp;AA$5, LS_previous!$D$2:$AY$2&amp;LS_previous!$D$3:$AY$3, 0)),SUM(VLOOKUP($A40, LS_previous!$B$4:$AY$137, LS_previous!S$148, FALSE), VLOOKUP('Staging Table'!$A40, LS_previous!$B$4:$AY$137,LS_previous!AQ$148, FALSE))/2)</f>
        <v>-149.01427419290007</v>
      </c>
      <c r="AB40" s="102">
        <f t="array" ref="AB40">IF($G40=0, INDEX(LS_previous!$D$4:$AY$137, MATCH('Staging Table'!$A40, LS_previous!$B$4:$B$137, 0), MATCH(AB$4&amp;AB$5, LS_previous!$D$2:$AY$2&amp;LS_previous!$D$3:$AY$3, 0)),SUM(VLOOKUP($A40, LS_previous!$B$4:$AY$137, LS_previous!T$148, FALSE), VLOOKUP('Staging Table'!$A40, LS_previous!$B$4:$AY$137,LS_previous!AR$148, FALSE))/2)</f>
        <v>-205.81218017240008</v>
      </c>
      <c r="AC40" s="102">
        <f t="array" ref="AC40">IF($G40=0, INDEX(LS_previous!$D$4:$AY$137, MATCH('Staging Table'!$A40, LS_previous!$B$4:$B$137, 0), MATCH(AC$4&amp;AC$5, LS_previous!$D$2:$AY$2&amp;LS_previous!$D$3:$AY$3, 0)),SUM(VLOOKUP($A40, LS_previous!$B$4:$AY$137, LS_previous!U$148, FALSE), VLOOKUP('Staging Table'!$A40, LS_previous!$B$4:$AY$137,LS_previous!AS$148, FALSE))/2)</f>
        <v>-223.67766374330006</v>
      </c>
      <c r="AD40" s="102">
        <f t="array" ref="AD40">IF($G40=0, INDEX(LS_previous!$D$4:$AY$137, MATCH('Staging Table'!$A40, LS_previous!$B$4:$B$137, 0), MATCH(AD$4&amp;AD$5, LS_previous!$D$2:$AY$2&amp;LS_previous!$D$3:$AY$3, 0)),SUM(VLOOKUP($A40, LS_previous!$B$4:$AY$137, LS_previous!V$148, FALSE), VLOOKUP('Staging Table'!$A40, LS_previous!$B$4:$AY$137,LS_previous!AT$148, FALSE))/2)</f>
        <v>42.148447666399989</v>
      </c>
      <c r="AE40" s="102">
        <f t="array" ref="AE40">IF($G40=0, INDEX(LS_previous!$D$4:$AY$137, MATCH('Staging Table'!$A40, LS_previous!$B$4:$B$137, 0), MATCH(AE$4&amp;AE$5, LS_previous!$D$2:$AY$2&amp;LS_previous!$D$3:$AY$3, 0)),SUM(VLOOKUP($A40, LS_previous!$B$4:$AY$137, LS_previous!W$148, FALSE), VLOOKUP('Staging Table'!$A40, LS_previous!$B$4:$AY$137,LS_previous!AU$148, FALSE))/2)</f>
        <v>-24.489713743500033</v>
      </c>
      <c r="AF40" s="102">
        <f t="array" ref="AF40">IF($G40=0, INDEX(LS_previous!$D$4:$AY$137, MATCH('Staging Table'!$A40, LS_previous!$B$4:$B$137, 0), MATCH(AF$4&amp;AF$5, LS_previous!$D$2:$AY$2&amp;LS_previous!$D$3:$AY$3, 0)),SUM(VLOOKUP($A40, LS_previous!$B$4:$AY$137, LS_previous!X$148, FALSE), VLOOKUP('Staging Table'!$A40, LS_previous!$B$4:$AY$137,LS_previous!AV$148, FALSE))/2)</f>
        <v>29.851763550899932</v>
      </c>
      <c r="AG40" s="102">
        <f t="array" ref="AG40">IF($G40=0, INDEX(LS_previous!$D$4:$AY$137, MATCH('Staging Table'!$A40, LS_previous!$B$4:$B$137, 0), MATCH(AG$4&amp;AG$5, LS_previous!$D$2:$AY$2&amp;LS_previous!$D$3:$AY$3, 0)),SUM(VLOOKUP($A40, LS_previous!$B$4:$AY$137, LS_previous!Y$148, FALSE), VLOOKUP('Staging Table'!$A40, LS_previous!$B$4:$AY$137,LS_previous!AW$148, FALSE))/2)</f>
        <v>6.6971366871100599</v>
      </c>
      <c r="AH40" s="102">
        <f t="array" ref="AH40">IF($G40=0, INDEX(LS_previous!$D$4:$AY$137, MATCH('Staging Table'!$A40, LS_previous!$B$4:$B$137, 0), MATCH(AH$4&amp;AH$5, LS_previous!$D$2:$AY$2&amp;LS_previous!$D$3:$AY$3, 0)),SUM(VLOOKUP($A40, LS_previous!$B$4:$AY$137, LS_previous!Z$148, FALSE), VLOOKUP('Staging Table'!$A40, LS_previous!$B$4:$AY$137,LS_previous!AX$148, FALSE))/2)</f>
        <v>168.07855429239976</v>
      </c>
      <c r="AI40" s="102">
        <f t="array" ref="AI40">IF($G40=0, INDEX(LS_previous!$D$4:$AY$137, MATCH('Staging Table'!$A40, LS_previous!$B$4:$B$137, 0), MATCH(AI$4&amp;AI$5, LS_previous!$D$2:$AY$2&amp;LS_previous!$D$3:$AY$3, 0)),SUM(VLOOKUP($A40, LS_previous!$B$4:$AY$137, LS_previous!AA$148, FALSE), VLOOKUP('Staging Table'!$A40, LS_previous!$B$4:$AY$137,LS_previous!AY$148, FALSE))/2)</f>
        <v>-38.13386544960008</v>
      </c>
      <c r="AJ40" s="103">
        <f t="array" ref="AJ40">INDEX(Demand_previous!$D$4:$AY$137, MATCH('Staging Table'!$A40, Demand_previous!$B$4:$B$137, 0), MATCH(AJ$4&amp;AJ$5,Demand_previous!$D$2:$AY$2&amp;Demand_previous!$D$3:$AY$3, 0))/1000</f>
        <v>0.38088221153846213</v>
      </c>
      <c r="AK40" s="103">
        <f t="array" ref="AK40">INDEX(Demand_previous!$D$4:$AY$137, MATCH('Staging Table'!$A40, Demand_previous!$B$4:$B$137, 0), MATCH(AK$4&amp;AK$5,Demand_previous!$D$2:$AY$2&amp;Demand_previous!$D$3:$AY$3, 0))/1000</f>
        <v>0.69844750000000033</v>
      </c>
      <c r="AL40" s="103">
        <f t="array" ref="AL40">INDEX(Demand_previous!$D$4:$AY$137, MATCH('Staging Table'!$A40, Demand_previous!$B$4:$B$137, 0), MATCH(AL$4&amp;AL$5,Demand_previous!$D$2:$AY$2&amp;Demand_previous!$D$3:$AY$3, 0))/1000</f>
        <v>0.19337000000000071</v>
      </c>
      <c r="AM40" s="103">
        <f t="array" ref="AM40">INDEX(Demand_previous!$D$4:$AY$137, MATCH('Staging Table'!$A40, Demand_previous!$B$4:$B$137, 0), MATCH(AM$4&amp;AM$5,Demand_previous!$D$2:$AY$2&amp;Demand_previous!$D$3:$AY$3, 0))/1000</f>
        <v>0.43822836538461551</v>
      </c>
      <c r="AN40" s="103">
        <f t="array" ref="AN40">INDEX(Demand_previous!$D$4:$AY$137, MATCH('Staging Table'!$A40, Demand_previous!$B$4:$B$137, 0), MATCH(AN$4&amp;AN$5,Demand_previous!$D$2:$AY$2&amp;Demand_previous!$D$3:$AY$3, 0))/1000</f>
        <v>0.49132999999999982</v>
      </c>
      <c r="AO40" s="103">
        <f t="array" ref="AO40">INDEX(Demand_previous!$D$4:$AY$137, MATCH('Staging Table'!$A40, Demand_previous!$B$4:$B$137, 0), MATCH(AO$4&amp;AO$5,Demand_previous!$D$2:$AY$2&amp;Demand_previous!$D$3:$AY$3, 0))/1000</f>
        <v>0.10984855769230717</v>
      </c>
      <c r="AP40" s="103">
        <f t="array" ref="AP40">INDEX(Demand_previous!$D$4:$AY$137, MATCH('Staging Table'!$A40, Demand_previous!$B$4:$B$137, 0), MATCH(AP$4&amp;AP$5,Demand_previous!$D$2:$AY$2&amp;Demand_previous!$D$3:$AY$3, 0))/1000</f>
        <v>0.33841586538461599</v>
      </c>
      <c r="AQ40" s="103">
        <f t="array" ref="AQ40">INDEX(Demand_previous!$D$4:$AY$137, MATCH('Staging Table'!$A40, Demand_previous!$B$4:$B$137, 0), MATCH(AQ$4&amp;AQ$5,Demand_previous!$D$2:$AY$2&amp;Demand_previous!$D$3:$AY$3, 0))/1000</f>
        <v>0.19274519230769283</v>
      </c>
      <c r="AR40" s="103">
        <f t="array" ref="AR40">INDEX(Demand_previous!$D$4:$AY$137, MATCH('Staging Table'!$A40, Demand_previous!$B$4:$B$137, 0), MATCH(AR$4&amp;AR$5,Demand_previous!$D$2:$AY$2&amp;Demand_previous!$D$3:$AY$3, 0))/1000</f>
        <v>0</v>
      </c>
      <c r="AS40" s="103">
        <f t="array" ref="AS40">INDEX(Demand_previous!$D$4:$AY$137, MATCH('Staging Table'!$A40, Demand_previous!$B$4:$B$137, 0), MATCH(AS$4&amp;AS$5,Demand_previous!$D$2:$AY$2&amp;Demand_previous!$D$3:$AY$3, 0))/1000</f>
        <v>0.21233413461538464</v>
      </c>
      <c r="AT40" s="103">
        <f t="array" ref="AT40">INDEX(Demand_previous!$D$4:$AY$137, MATCH('Staging Table'!$A40, Demand_previous!$B$4:$B$137, 0), MATCH(AT$4&amp;AT$5,Demand_previous!$D$2:$AY$2&amp;Demand_previous!$D$3:$AY$3, 0))/1000</f>
        <v>0.23106944444444422</v>
      </c>
      <c r="AU40" s="103">
        <f t="array" ref="AU40">INDEX(Demand_previous!$D$4:$AY$137, MATCH('Staging Table'!$A40, Demand_previous!$B$4:$B$137, 0), MATCH(AU$4&amp;AU$5,Demand_previous!$D$2:$AY$2&amp;Demand_previous!$D$3:$AY$3, 0))/1000</f>
        <v>0</v>
      </c>
      <c r="AV40" s="102">
        <f>$F40*(VLOOKUP(AV$4, Rates_previous!$G$6:$Q$29, 10, FALSE)+VLOOKUP(AV$4, Rates_previous!$G$6:$Q$29, 11, FALSE))</f>
        <v>2224.9971038151002</v>
      </c>
      <c r="AW40" s="102">
        <f>$F40*(VLOOKUP(AW$4, Rates_previous!$G$6:$Q$29, 10, FALSE)+VLOOKUP(AW$4, Rates_previous!$G$6:$Q$29, 11, FALSE))</f>
        <v>2837.6050067766005</v>
      </c>
      <c r="AX40" s="102">
        <f>$F40*(VLOOKUP(AX$4, Rates_previous!$G$6:$Q$29, 10, FALSE)+VLOOKUP(AX$4, Rates_previous!$G$6:$Q$29, 11, FALSE))</f>
        <v>3062.3372540190003</v>
      </c>
      <c r="AY40" s="102">
        <f>$F40*(VLOOKUP(AY$4, Rates_previous!$G$6:$Q$29, 10, FALSE)+VLOOKUP(AY$4, Rates_previous!$G$6:$Q$29, 11, FALSE))</f>
        <v>3182.2418069856003</v>
      </c>
      <c r="AZ40" s="102">
        <f>$F40*(VLOOKUP(AZ$4, Rates_previous!$G$6:$Q$29, 10, FALSE)+VLOOKUP(AZ$4, Rates_previous!$G$6:$Q$29, 11, FALSE))</f>
        <v>2737.1521197612001</v>
      </c>
      <c r="BA40" s="102">
        <f>$F40*(VLOOKUP(BA$4, Rates_previous!$G$6:$Q$29, 10, FALSE)+VLOOKUP(BA$4, Rates_previous!$G$6:$Q$29, 11, FALSE))</f>
        <v>2988.4281859133998</v>
      </c>
      <c r="BB40" s="102">
        <f>$F40*(VLOOKUP(BB$4, Rates_previous!$G$6:$Q$29, 10, FALSE)+VLOOKUP(BB$4, Rates_previous!$G$6:$Q$29, 11, FALSE))</f>
        <v>2358.8604415804498</v>
      </c>
      <c r="BC40" s="102">
        <f>$F40*(VLOOKUP(BC$4, Rates_previous!$G$6:$Q$29, 10, FALSE)+VLOOKUP(BC$4, Rates_previous!$G$6:$Q$29, 11, FALSE))</f>
        <v>2926.4824798281002</v>
      </c>
      <c r="BD40" s="102">
        <f>$F40*(VLOOKUP(BD$4, Rates_previous!$G$6:$Q$29, 10, FALSE)+VLOOKUP(BD$4, Rates_previous!$G$6:$Q$29, 11, FALSE))</f>
        <v>2989.9798439156998</v>
      </c>
      <c r="BE40" s="102">
        <f>$F40*(VLOOKUP(BE$4, Rates_previous!$G$6:$Q$29, 10, FALSE)+VLOOKUP(BE$4, Rates_previous!$G$6:$Q$29, 11, FALSE))</f>
        <v>2595.7332660770999</v>
      </c>
      <c r="BF40" s="102">
        <f>$F40*(VLOOKUP(BF$4, Rates_previous!$G$6:$Q$29, 10, FALSE)+VLOOKUP(BF$4, Rates_previous!$G$6:$Q$29, 11, FALSE))</f>
        <v>2509.3840997619905</v>
      </c>
      <c r="BG40" s="102">
        <f>$F40*(VLOOKUP(BG$4, Rates_previous!$G$6:$Q$29, 10, FALSE)+VLOOKUP(BG$4, Rates_previous!$G$6:$Q$29, 11, FALSE))</f>
        <v>2309.1193111572002</v>
      </c>
      <c r="BH40" s="103">
        <f>IF($D40=0,IF(C40=0, MAX(BJ40 - (VLOOKUP($A40,TOCA_previous!$A$2:$AJ$136,MATCH("RHWM "&amp;Init!$D$1-2,TOCA_previous!$A$2:$AJ$2,0),FALSE)*$F$2*TOCA_previous!C37),0),0), 0)</f>
        <v>598.31014999256513</v>
      </c>
      <c r="BI40" s="109">
        <f>MIN(VLOOKUP($A40,TOCA_previous!$A$2:$AJ$136,MATCH("TRL - NLSL - Existing Resource "&amp;$F$1,TOCA_previous!$A$2:$AJ$2,0),FALSE)*$F$2,(VLOOKUP($A40,TOCA_previous!$A$2:$AJ$136,MATCH("RHWM "&amp;Init!$D$1-2,TOCA_previous!$A$2:$AJ$2,0),FALSE)*$F$2))</f>
        <v>32000.111999999997</v>
      </c>
      <c r="BJ40" s="261">
        <f>SUM(L40:AI40)+(F40*RT1SC!$C$3*$F$2)</f>
        <v>32598.422149992562</v>
      </c>
      <c r="BK40" s="260">
        <f>VLOOKUP($A40,TOCA_previous!$A$2:$AJ$136,MATCH("Above RHWM Not Served with LS "&amp;$F$1,TOCA_previous!$A$2:$AJ$2,0),FALSE)*$F$2</f>
        <v>0</v>
      </c>
      <c r="BL40" s="261">
        <f t="shared" si="21"/>
        <v>598.31014999256513</v>
      </c>
      <c r="BM40" s="260">
        <f>(VLOOKUP($A40,TOCA_previous!$A$2:$AJ$136,MATCH("RHWM "&amp;Init!$D$1-2,TOCA_previous!$A$2:$AJ$2,0),FALSE)*$F$2) - $BI40</f>
        <v>0</v>
      </c>
      <c r="BN40" s="261">
        <f t="shared" si="22"/>
        <v>0</v>
      </c>
      <c r="BO40" s="260">
        <f t="shared" si="23"/>
        <v>0</v>
      </c>
      <c r="BP40" s="261">
        <f t="shared" si="24"/>
        <v>0</v>
      </c>
      <c r="BQ40" s="260">
        <f t="shared" si="9"/>
        <v>0</v>
      </c>
      <c r="BR40" s="85">
        <f>VLOOKUP($A40,TOCA_current!$A$2:$ZZ$136,MATCH(BR$4,TOCA_current!$A$2:$ZZ$2,0),FALSE)</f>
        <v>5.1539999999999995E-4</v>
      </c>
      <c r="BS40" s="85">
        <f>VLOOKUP($A40,TOCA_current!$A$2:$ZZ$136,MATCH(BS$4,TOCA_current!$A$2:$ZZ$2,0),FALSE)</f>
        <v>5.1539999999999995E-4</v>
      </c>
      <c r="BT40" s="108">
        <f t="shared" si="25"/>
        <v>0</v>
      </c>
      <c r="BU40" s="85">
        <f>VLOOKUP($A40,TOCA_current!A37:BG171,MATCH(BU$4,TOCA_current!$A$2:$BG$2,0),FALSE)</f>
        <v>0</v>
      </c>
      <c r="BV40" s="85">
        <f t="shared" si="26"/>
        <v>0</v>
      </c>
      <c r="BW40" s="85">
        <f t="shared" si="27"/>
        <v>0</v>
      </c>
      <c r="BX40" s="101">
        <f>VLOOKUP($A40,IRD!$A$4:$G$138, 7, FALSE)</f>
        <v>0</v>
      </c>
      <c r="BY40" s="102">
        <f t="array" ref="BY40">IF($BT40=0, INDEX(LS_current!$D$4:$BW$137, MATCH('Staging Table'!$A40, LS_current!$B$4:$B$137, 0), MATCH(BY$4&amp;BY$5, LS_current!$D$2:$BW$2&amp;LS_current!$D$3:$BW$3, 0)),SUM(VLOOKUP($A40, LS_current!$B$4:$BW$137, LS_current!D$147, FALSE), VLOOKUP($A40, LS_current!$B$4:$BW$137,LS_current!AZ$147, FALSE))/2)</f>
        <v>397.34657551619603</v>
      </c>
      <c r="BZ40" s="102">
        <f t="array" ref="BZ40">IF($BT40=0, INDEX(LS_current!$D$4:$BW$137, MATCH('Staging Table'!$A40, LS_current!$B$4:$B$137, 0), MATCH(BZ$4&amp;BZ$5, LS_current!$D$2:$BW$2&amp;LS_current!$D$3:$BW$3, 0)),SUM(VLOOKUP($A40, LS_current!$B$4:$BW$137, LS_current!E$147, FALSE), VLOOKUP($A40, LS_current!$B$4:$BW$137,LS_current!BA$147, FALSE))/2)</f>
        <v>117.26919097146879</v>
      </c>
      <c r="CA40" s="102">
        <f t="array" ref="CA40">IF($BT40=0, INDEX(LS_current!$D$4:$BW$137, MATCH('Staging Table'!$A40, LS_current!$B$4:$B$137, 0), MATCH(CA$4&amp;CA$5, LS_current!$D$2:$BW$2&amp;LS_current!$D$3:$BW$3, 0)),SUM(VLOOKUP($A40, LS_current!$B$4:$BW$137, LS_current!F$147, FALSE), VLOOKUP($A40, LS_current!$B$4:$BW$137,LS_current!BB$147, FALSE))/2)</f>
        <v>-4.7448302501798025</v>
      </c>
      <c r="CB40" s="102">
        <f t="array" ref="CB40">IF($BT40=0, INDEX(LS_current!$D$4:$BW$137, MATCH('Staging Table'!$A40, LS_current!$B$4:$B$137, 0), MATCH(CB$4&amp;CB$5, LS_current!$D$2:$BW$2&amp;LS_current!$D$3:$BW$3, 0)),SUM(VLOOKUP($A40, LS_current!$B$4:$BW$137, LS_current!G$147, FALSE), VLOOKUP($A40, LS_current!$B$4:$BW$137,LS_current!BC$147, FALSE))/2)</f>
        <v>6.1992795603518971</v>
      </c>
      <c r="CC40" s="102">
        <f t="array" ref="CC40">IF($BT40=0, INDEX(LS_current!$D$4:$BW$137, MATCH('Staging Table'!$A40, LS_current!$B$4:$B$137, 0), MATCH(CC$4&amp;CC$5, LS_current!$D$2:$BW$2&amp;LS_current!$D$3:$BW$3, 0)),SUM(VLOOKUP($A40, LS_current!$B$4:$BW$137, LS_current!H$147, FALSE), VLOOKUP($A40, LS_current!$B$4:$BW$137,LS_current!BD$147, FALSE))/2)</f>
        <v>-232.74750069237007</v>
      </c>
      <c r="CD40" s="102">
        <f t="array" ref="CD40">IF($BT40=0, INDEX(LS_current!$D$4:$BW$137, MATCH('Staging Table'!$A40, LS_current!$B$4:$B$137, 0), MATCH(CD$4&amp;CD$5, LS_current!$D$2:$BW$2&amp;LS_current!$D$3:$BW$3, 0)),SUM(VLOOKUP($A40, LS_current!$B$4:$BW$137, LS_current!I$147, FALSE), VLOOKUP($A40, LS_current!$B$4:$BW$137,LS_current!BE$147, FALSE))/2)</f>
        <v>-53.903357164654608</v>
      </c>
      <c r="CE40" s="102">
        <f t="array" ref="CE40">IF($BT40=0, INDEX(LS_current!$D$4:$BW$137, MATCH('Staging Table'!$A40, LS_current!$B$4:$B$137, 0), MATCH(CE$4&amp;CE$5, LS_current!$D$2:$BW$2&amp;LS_current!$D$3:$BW$3, 0)),SUM(VLOOKUP($A40, LS_current!$B$4:$BW$137, LS_current!J$147, FALSE), VLOOKUP($A40, LS_current!$B$4:$BW$137,LS_current!BF$147, FALSE))/2)</f>
        <v>-95.078583494943587</v>
      </c>
      <c r="CF40" s="102">
        <f t="array" ref="CF40">IF($BT40=0, INDEX(LS_current!$D$4:$BW$137, MATCH('Staging Table'!$A40, LS_current!$B$4:$B$137, 0), MATCH(CF$4&amp;CF$5, LS_current!$D$2:$BW$2&amp;LS_current!$D$3:$BW$3, 0)),SUM(VLOOKUP($A40, LS_current!$B$4:$BW$137, LS_current!K$147, FALSE), VLOOKUP($A40, LS_current!$B$4:$BW$137,LS_current!BG$147, FALSE))/2)</f>
        <v>-17.436827770048467</v>
      </c>
      <c r="CG40" s="102">
        <f t="array" ref="CG40">IF($BT40=0, INDEX(LS_current!$D$4:$BW$137, MATCH('Staging Table'!$A40, LS_current!$B$4:$B$137, 0), MATCH(CG$4&amp;CG$5, LS_current!$D$2:$BW$2&amp;LS_current!$D$3:$BW$3, 0)),SUM(VLOOKUP($A40, LS_current!$B$4:$BW$137, LS_current!L$147, FALSE), VLOOKUP($A40, LS_current!$B$4:$BW$137,LS_current!BH$147, FALSE))/2)</f>
        <v>159.94190059090897</v>
      </c>
      <c r="CH40" s="102">
        <f t="array" ref="CH40">IF($BT40=0, INDEX(LS_current!$D$4:$BW$137, MATCH('Staging Table'!$A40, LS_current!$B$4:$B$137, 0), MATCH(CH$4&amp;CH$5, LS_current!$D$2:$BW$2&amp;LS_current!$D$3:$BW$3, 0)),SUM(VLOOKUP($A40, LS_current!$B$4:$BW$137, LS_current!M$147, FALSE), VLOOKUP($A40, LS_current!$B$4:$BW$137,LS_current!BI$147, FALSE))/2)</f>
        <v>72.595602001525208</v>
      </c>
      <c r="CI40" s="102">
        <f t="array" ref="CI40">IF($BT40=0, INDEX(LS_current!$D$4:$BW$137, MATCH('Staging Table'!$A40, LS_current!$B$4:$B$137, 0), MATCH(CI$4&amp;CI$5, LS_current!$D$2:$BW$2&amp;LS_current!$D$3:$BW$3, 0)),SUM(VLOOKUP($A40, LS_current!$B$4:$BW$137, LS_current!N$147, FALSE), VLOOKUP($A40, LS_current!$B$4:$BW$137,LS_current!BJ$147, FALSE))/2)</f>
        <v>25.486214714038624</v>
      </c>
      <c r="CJ40" s="102">
        <f t="array" ref="CJ40">IF($BT40=0, INDEX(LS_current!$D$4:$BW$137, MATCH('Staging Table'!$A40, LS_current!$B$4:$B$137, 0), MATCH(CJ$4&amp;CJ$5, LS_current!$D$2:$BW$2&amp;LS_current!$D$3:$BW$3, 0)),SUM(VLOOKUP($A40, LS_current!$B$4:$BW$137, LS_current!O$147, FALSE), VLOOKUP($A40, LS_current!$B$4:$BW$137,LS_current!BK$147, FALSE))/2)</f>
        <v>99.029317068370347</v>
      </c>
      <c r="CK40" s="102">
        <f t="array" ref="CK40">IF($BT40=0, INDEX(LS_current!$D$4:$BW$137, MATCH('Staging Table'!$A40, LS_current!$B$4:$B$137, 0), MATCH(CK$4&amp;CK$5, LS_current!$D$2:$BW$2&amp;LS_current!$D$3:$BW$3, 0)),SUM(VLOOKUP($A40, LS_current!$B$4:$BW$137, LS_current!P$147, FALSE), VLOOKUP($A40, LS_current!$B$4:$BW$137,LS_current!BL$147, FALSE))/2)</f>
        <v>309.27489948903099</v>
      </c>
      <c r="CL40" s="102">
        <f t="array" ref="CL40">IF($BT40=0, INDEX(LS_current!$D$4:$BW$137, MATCH('Staging Table'!$A40, LS_current!$B$4:$B$137, 0), MATCH(CL$4&amp;CL$5, LS_current!$D$2:$BW$2&amp;LS_current!$D$3:$BW$3, 0)),SUM(VLOOKUP($A40, LS_current!$B$4:$BW$137, LS_current!Q$147, FALSE), VLOOKUP($A40, LS_current!$B$4:$BW$137,LS_current!BM$147, FALSE))/2)</f>
        <v>80.736290539884976</v>
      </c>
      <c r="CM40" s="102">
        <f t="array" ref="CM40">IF($BT40=0, INDEX(LS_current!$D$4:$BW$137, MATCH('Staging Table'!$A40, LS_current!$B$4:$B$137, 0), MATCH(CM$4&amp;CM$5, LS_current!$D$2:$BW$2&amp;LS_current!$D$3:$BW$3, 0)),SUM(VLOOKUP($A40, LS_current!$B$4:$BW$137, LS_current!R$147, FALSE), VLOOKUP($A40, LS_current!$B$4:$BW$137,LS_current!BN$147, FALSE))/2)</f>
        <v>-109.4220886227854</v>
      </c>
      <c r="CN40" s="102">
        <f t="array" ref="CN40">IF($BT40=0, INDEX(LS_current!$D$4:$BW$137, MATCH('Staging Table'!$A40, LS_current!$B$4:$B$137, 0), MATCH(CN$4&amp;CN$5, LS_current!$D$2:$BW$2&amp;LS_current!$D$3:$BW$3, 0)),SUM(VLOOKUP($A40, LS_current!$B$4:$BW$137, LS_current!S$147, FALSE), VLOOKUP($A40, LS_current!$B$4:$BW$137,LS_current!BO$147, FALSE))/2)</f>
        <v>-131.53106904665174</v>
      </c>
      <c r="CO40" s="102">
        <f t="array" ref="CO40">IF($BT40=0, INDEX(LS_current!$D$4:$BW$137, MATCH('Staging Table'!$A40, LS_current!$B$4:$B$137, 0), MATCH(CO$4&amp;CO$5, LS_current!$D$2:$BW$2&amp;LS_current!$D$3:$BW$3, 0)),SUM(VLOOKUP($A40, LS_current!$B$4:$BW$137, LS_current!T$147, FALSE), VLOOKUP($A40, LS_current!$B$4:$BW$137,LS_current!BP$147, FALSE))/2)</f>
        <v>-236.2959086487117</v>
      </c>
      <c r="CP40" s="102">
        <f t="array" ref="CP40">IF($BT40=0, INDEX(LS_current!$D$4:$BW$137, MATCH('Staging Table'!$A40, LS_current!$B$4:$B$137, 0), MATCH(CP$4&amp;CP$5, LS_current!$D$2:$BW$2&amp;LS_current!$D$3:$BW$3, 0)),SUM(VLOOKUP($A40, LS_current!$B$4:$BW$137, LS_current!U$147, FALSE), VLOOKUP($A40, LS_current!$B$4:$BW$137,LS_current!BQ$147, FALSE))/2)</f>
        <v>-130.79470265280838</v>
      </c>
      <c r="CQ40" s="102">
        <f t="array" ref="CQ40">IF($BT40=0, INDEX(LS_current!$D$4:$BW$137, MATCH('Staging Table'!$A40, LS_current!$B$4:$B$137, 0), MATCH(CQ$4&amp;CQ$5, LS_current!$D$2:$BW$2&amp;LS_current!$D$3:$BW$3, 0)),SUM(VLOOKUP($A40, LS_current!$B$4:$BW$137, LS_current!V$147, FALSE), VLOOKUP($A40, LS_current!$B$4:$BW$137,LS_current!BR$147, FALSE))/2)</f>
        <v>8.5274737884424212</v>
      </c>
      <c r="CR40" s="102">
        <f t="array" ref="CR40">IF($BT40=0, INDEX(LS_current!$D$4:$BW$137, MATCH('Staging Table'!$A40, LS_current!$B$4:$B$137, 0), MATCH(CR$4&amp;CR$5, LS_current!$D$2:$BW$2&amp;LS_current!$D$3:$BW$3, 0)),SUM(VLOOKUP($A40, LS_current!$B$4:$BW$137, LS_current!W$147, FALSE), VLOOKUP($A40, LS_current!$B$4:$BW$137,LS_current!BS$147, FALSE))/2)</f>
        <v>-0.93540887277936235</v>
      </c>
      <c r="CS40" s="102">
        <f t="array" ref="CS40">IF($BT40=0, INDEX(LS_current!$D$4:$BW$137, MATCH('Staging Table'!$A40, LS_current!$B$4:$B$137, 0), MATCH(CS$4&amp;CS$5, LS_current!$D$2:$BW$2&amp;LS_current!$D$3:$BW$3, 0)),SUM(VLOOKUP($A40, LS_current!$B$4:$BW$137, LS_current!X$147, FALSE), VLOOKUP($A40, LS_current!$B$4:$BW$137,LS_current!BT$147, FALSE))/2)</f>
        <v>-155.12633222661407</v>
      </c>
      <c r="CT40" s="102">
        <f t="array" ref="CT40">IF($BT40=0, INDEX(LS_current!$D$4:$BW$137, MATCH('Staging Table'!$A40, LS_current!$B$4:$B$137, 0), MATCH(CT$4&amp;CT$5, LS_current!$D$2:$BW$2&amp;LS_current!$D$3:$BW$3, 0)),SUM(VLOOKUP($A40, LS_current!$B$4:$BW$137, LS_current!Y$147, FALSE), VLOOKUP($A40, LS_current!$B$4:$BW$137,LS_current!BU$147, FALSE))/2)</f>
        <v>27.986486894873451</v>
      </c>
      <c r="CU40" s="102">
        <f t="array" ref="CU40">IF($BT40=0, INDEX(LS_current!$D$4:$BW$137, MATCH('Staging Table'!$A40, LS_current!$B$4:$B$137, 0), MATCH(CU$4&amp;CU$5, LS_current!$D$2:$BW$2&amp;LS_current!$D$3:$BW$3, 0)),SUM(VLOOKUP($A40, LS_current!$B$4:$BW$137, LS_current!Z$147, FALSE), VLOOKUP($A40, LS_current!$B$4:$BW$137,LS_current!BV$147, FALSE))/2)</f>
        <v>255.06626898771037</v>
      </c>
      <c r="CV40" s="102">
        <f t="array" ref="CV40">IF($BT40=0, INDEX(LS_current!$D$4:$BW$137, MATCH('Staging Table'!$A40, LS_current!$B$4:$B$137, 0), MATCH(CV$4&amp;CV$5, LS_current!$D$2:$BW$2&amp;LS_current!$D$3:$BW$3, 0)),SUM(VLOOKUP($A40, LS_current!$B$4:$BW$137, LS_current!AA$147, FALSE), VLOOKUP($A40, LS_current!$B$4:$BW$137,LS_current!BW$147, FALSE))/2)</f>
        <v>108.03624110511782</v>
      </c>
      <c r="CW40" s="103">
        <f t="array" ref="CW40">INDEX(Demand_current!$D$4:$BW$137, MATCH($A40, Demand_current!$B$4:$B$137, 0), MATCH(CW$4&amp;CW$5,Demand_current!$D$2:$BW$2&amp;Demand_current!$D$3:$BW$3, 0))/1000</f>
        <v>0.5349236111111112</v>
      </c>
      <c r="CX40" s="103">
        <f t="array" ref="CX40">INDEX(Demand_current!$D$4:$BW$137, MATCH($A40, Demand_current!$B$4:$B$137, 0), MATCH(CX$4&amp;CX$5,Demand_current!$D$2:$BW$2&amp;Demand_current!$D$3:$BW$3, 0))/1000</f>
        <v>0.52684114583333308</v>
      </c>
      <c r="CY40" s="103">
        <f t="array" ref="CY40">INDEX(Demand_current!$D$4:$BW$137, MATCH($A40, Demand_current!$B$4:$B$137, 0), MATCH(CY$4&amp;CY$5,Demand_current!$D$2:$BW$2&amp;Demand_current!$D$3:$BW$3, 0))/1000</f>
        <v>0.36262500000000042</v>
      </c>
      <c r="CZ40" s="103">
        <f t="array" ref="CZ40">INDEX(Demand_current!$D$4:$BW$137, MATCH($A40, Demand_current!$B$4:$B$137, 0), MATCH(CZ$4&amp;CZ$5,Demand_current!$D$2:$BW$2&amp;Demand_current!$D$3:$BW$3, 0))/1000</f>
        <v>0.43822836538461551</v>
      </c>
      <c r="DA40" s="103">
        <f t="array" ref="DA40">INDEX(Demand_current!$D$4:$BW$137, MATCH($A40, Demand_current!$B$4:$B$137, 0), MATCH(DA$4&amp;DA$5,Demand_current!$D$2:$BW$2&amp;Demand_current!$D$3:$BW$3, 0))/1000</f>
        <v>0.30138541666666652</v>
      </c>
      <c r="DB40" s="103">
        <f t="array" ref="DB40">INDEX(Demand_current!$D$4:$BW$137, MATCH($A40, Demand_current!$B$4:$B$137, 0), MATCH(DB$4&amp;DB$5,Demand_current!$D$2:$BW$2&amp;Demand_current!$D$3:$BW$3, 0))/1000</f>
        <v>0.10984855769230717</v>
      </c>
      <c r="DC40" s="103">
        <f t="array" ref="DC40">INDEX(Demand_current!$D$4:$BW$137, MATCH($A40, Demand_current!$B$4:$B$137, 0), MATCH(DC$4&amp;DC$5,Demand_current!$D$2:$BW$2&amp;Demand_current!$D$3:$BW$3, 0))/1000</f>
        <v>0.33841586538461599</v>
      </c>
      <c r="DD40" s="103">
        <f t="array" ref="DD40">INDEX(Demand_current!$D$4:$BW$137, MATCH($A40, Demand_current!$B$4:$B$137, 0), MATCH(DD$4&amp;DD$5,Demand_current!$D$2:$BW$2&amp;Demand_current!$D$3:$BW$3, 0))/1000</f>
        <v>3.637500000000049E-2</v>
      </c>
      <c r="DE40" s="103">
        <f t="array" ref="DE40">INDEX(Demand_current!$D$4:$BW$137, MATCH($A40, Demand_current!$B$4:$B$137, 0), MATCH(DE$4&amp;DE$5,Demand_current!$D$2:$BW$2&amp;Demand_current!$D$3:$BW$3, 0))/1000</f>
        <v>0.13740384615384582</v>
      </c>
      <c r="DF40" s="103">
        <f t="array" ref="DF40">INDEX(Demand_current!$D$4:$BW$137, MATCH($A40, Demand_current!$B$4:$B$137, 0), MATCH(DF$4&amp;DF$5,Demand_current!$D$2:$BW$2&amp;Demand_current!$D$3:$BW$3, 0))/1000</f>
        <v>0.21233413461538464</v>
      </c>
      <c r="DG40" s="103">
        <f t="array" ref="DG40">INDEX(Demand_current!$D$4:$BW$137, MATCH($A40, Demand_current!$B$4:$B$137, 0), MATCH(DG$4&amp;DG$5,Demand_current!$D$2:$BW$2&amp;Demand_current!$D$3:$BW$3, 0))/1000</f>
        <v>8.6687499999999695E-2</v>
      </c>
      <c r="DH40" s="103">
        <f t="array" ref="DH40">INDEX(Demand_current!$D$4:$BW$137, MATCH($A40, Demand_current!$B$4:$B$137, 0), MATCH(DH$4&amp;DH$5,Demand_current!$D$2:$BW$2&amp;Demand_current!$D$3:$BW$3, 0))/1000</f>
        <v>0.13500749999999995</v>
      </c>
      <c r="DI40" s="102">
        <f>$BS40*(VLOOKUP(DI$4, Rates_current!$H$6:$R$41, 10, FALSE)+VLOOKUP(DI$4, Rates_current!$H$6:$R$41, 11, FALSE))</f>
        <v>2139.0582335123354</v>
      </c>
      <c r="DJ40" s="102">
        <f>$BS40*(VLOOKUP(DJ$4, Rates_current!$H$6:$R$41, 10, FALSE)+VLOOKUP(DJ$4, Rates_current!$H$6:$R$41, 11, FALSE))</f>
        <v>2734.7155506898284</v>
      </c>
      <c r="DK40" s="102">
        <f>$BS40*(VLOOKUP(DK$4, Rates_current!$H$6:$R$41, 10, FALSE)+VLOOKUP(DK$4, Rates_current!$H$6:$R$41, 11, FALSE))</f>
        <v>3109.1428578570244</v>
      </c>
      <c r="DL40" s="102">
        <f>$BS40*(VLOOKUP(DL$4, Rates_current!$H$6:$R$41, 10, FALSE)+VLOOKUP(DL$4, Rates_current!$H$6:$R$41, 11, FALSE))</f>
        <v>3280.3884112649921</v>
      </c>
      <c r="DM40" s="102">
        <f>$BS40*(VLOOKUP(DM$4, Rates_current!$H$6:$R$41, 10, FALSE)+VLOOKUP(DM$4, Rates_current!$H$6:$R$41, 11, FALSE))</f>
        <v>2614.1734974075662</v>
      </c>
      <c r="DN40" s="102">
        <f>$BS40*(VLOOKUP(DN$4, Rates_current!$H$6:$R$41, 10, FALSE)+VLOOKUP(DN$4, Rates_current!$H$6:$R$41, 11, FALSE))</f>
        <v>2857.8284682175909</v>
      </c>
      <c r="DO40" s="102">
        <f>$BS40*(VLOOKUP(DO$4, Rates_current!$H$6:$R$41, 10, FALSE)+VLOOKUP(DO$4, Rates_current!$H$6:$R$41, 11, FALSE))</f>
        <v>2214.8458099710842</v>
      </c>
      <c r="DP40" s="102">
        <f>$BS40*(VLOOKUP(DP$4, Rates_current!$H$6:$R$41, 10, FALSE)+VLOOKUP(DP$4, Rates_current!$H$6:$R$41, 11, FALSE))</f>
        <v>2866.3751576694372</v>
      </c>
      <c r="DQ40" s="102">
        <f>$BS40*(VLOOKUP(DQ$4, Rates_current!$H$6:$R$41, 10, FALSE)+VLOOKUP(DQ$4, Rates_current!$H$6:$R$41, 11, FALSE))</f>
        <v>2927.5806113015201</v>
      </c>
      <c r="DR40" s="102">
        <f>$BS40*(VLOOKUP(DR$4, Rates_current!$H$6:$R$41, 10, FALSE)+VLOOKUP(DR$4, Rates_current!$H$6:$R$41, 11, FALSE))</f>
        <v>2605.799935084337</v>
      </c>
      <c r="DS40" s="102">
        <f>$BS40*(VLOOKUP(DS$4, Rates_current!$H$6:$R$41, 10, FALSE)+VLOOKUP(DS$4, Rates_current!$H$6:$R$41, 11, FALSE))</f>
        <v>2673.0728453317411</v>
      </c>
      <c r="DT40" s="102">
        <f>$BS40*(VLOOKUP(DT$4, Rates_current!$H$6:$R$41, 10, FALSE)+VLOOKUP(DT$4, Rates_current!$H$6:$R$41, 11, FALSE))</f>
        <v>2075.9614899071717</v>
      </c>
      <c r="DU40" s="261">
        <f>IF(D40=0,IF(C40=0,MAX(0,DW40 - (VLOOKUP($A40,TOCA_current!$A$2:$AV$136,MATCH("RHWM "&amp;Init!$D$1,TOCA_current!$A$2:$AV$2,0),FALSE)*$BS$2)), 0),0)</f>
        <v>501.78389479337056</v>
      </c>
      <c r="DV40" s="262">
        <f>MIN(VLOOKUP($A40,TOCA_current!$A$2:$AV$136,MATCH("TRL - NLSL - Existing Resource "&amp;$BS$1,TOCA_current!$A$2:$AV$2,0),FALSE)*$BS$2, VLOOKUP($A40,TOCA_current!$A$2:$AV$136,MATCH("RHWM "&amp;Init!$D$1,TOCA_current!$A$2:$AV$2,0),FALSE)*$BS$2)</f>
        <v>32096.640000000003</v>
      </c>
      <c r="DW40" s="262">
        <f>SUM(BY40:CV40)+(BS40*RT1SC!$C$4*$BS$2)</f>
        <v>32598.423894793374</v>
      </c>
      <c r="DX40" s="262">
        <f>VLOOKUP($A40,TOCA_current!$A$2:$AV$136,MATCH("Above RHWM Not Served with LS "&amp;$BS$1,TOCA_current!$A$2:$AV$2,0),FALSE)*$BS$2</f>
        <v>0</v>
      </c>
      <c r="DY40" s="262">
        <f t="shared" si="28"/>
        <v>501.78389479337056</v>
      </c>
      <c r="DZ40" s="262">
        <f>(VLOOKUP($A40,TOCA_current!$A$2:$AV$136,MATCH("RHWM "&amp;Init!$D$1,TOCA_current!$A$2:$AV$2,0),FALSE)*$BS$2) - $DV40</f>
        <v>0</v>
      </c>
      <c r="EA40" s="262">
        <f t="shared" si="29"/>
        <v>0</v>
      </c>
      <c r="EB40" s="262">
        <f t="shared" si="30"/>
        <v>0</v>
      </c>
      <c r="EC40" s="262">
        <f t="shared" si="31"/>
        <v>0</v>
      </c>
      <c r="ED40" s="262">
        <f t="shared" si="32"/>
        <v>0</v>
      </c>
    </row>
    <row r="41" spans="1:134">
      <c r="A41" s="2">
        <v>10097</v>
      </c>
      <c r="B41" s="3" t="s">
        <v>43</v>
      </c>
      <c r="C41">
        <f>VLOOKUP(A41, TOCA_current!$A$3:$D$136, 4, FALSE)</f>
        <v>0</v>
      </c>
      <c r="D41">
        <v>0</v>
      </c>
      <c r="E41" s="84">
        <f>VLOOKUP($A41,TOCA_previous!$A$2:$AJ$136,MATCH(E$4,TOCA_previous!$A$2:$AJ$2,0),FALSE)</f>
        <v>2.8909999999999998E-4</v>
      </c>
      <c r="F41" s="85">
        <f>VLOOKUP($A41,TOCA_previous!$A$2:$AJ$136,MATCH(F$4,TOCA_previous!$A$2:$AJ$2,0),FALSE)</f>
        <v>2.8909999999999998E-4</v>
      </c>
      <c r="G41" s="85">
        <f t="shared" si="18"/>
        <v>0</v>
      </c>
      <c r="H41" s="85">
        <f>VLOOKUP($A41,TOCA_previous!$A$2:$AJ$136,MATCH(H$4,TOCA_previous!$A$2:$AJ$2,0),FALSE)</f>
        <v>0</v>
      </c>
      <c r="I41" s="85">
        <f t="shared" si="19"/>
        <v>0</v>
      </c>
      <c r="J41" s="85">
        <f t="shared" si="20"/>
        <v>0</v>
      </c>
      <c r="K41" s="101">
        <f>VLOOKUP(A41, IRD!$A$5:$C$138, 3, FALSE)</f>
        <v>0</v>
      </c>
      <c r="L41" s="102">
        <f t="array" ref="L41">IF($G41=0, INDEX(LS_previous!$D$4:$AY$137, MATCH('Staging Table'!$A41, LS_previous!$B$4:$B$137, 0), MATCH(L$4&amp;L$5, LS_previous!$D$2:$AY$2&amp;LS_previous!$D$3:$AY$3, 0)),SUM(VLOOKUP($A41, LS_previous!$B$4:$AY$137, LS_previous!D$148, FALSE), VLOOKUP('Staging Table'!$A41, LS_previous!$B$4:$AY$137,LS_previous!AB$148, FALSE))/2)</f>
        <v>130.03342919240004</v>
      </c>
      <c r="M41" s="102">
        <f t="array" ref="M41">IF($G41=0, INDEX(LS_previous!$D$4:$AY$137, MATCH('Staging Table'!$A41, LS_previous!$B$4:$B$137, 0), MATCH(M$4&amp;M$5, LS_previous!$D$2:$AY$2&amp;LS_previous!$D$3:$AY$3, 0)),SUM(VLOOKUP($A41, LS_previous!$B$4:$AY$137, LS_previous!E$148, FALSE), VLOOKUP('Staging Table'!$A41, LS_previous!$B$4:$AY$137,LS_previous!AC$148, FALSE))/2)</f>
        <v>64.046403357950112</v>
      </c>
      <c r="N41" s="102">
        <f t="array" ref="N41">IF($G41=0, INDEX(LS_previous!$D$4:$AY$137, MATCH('Staging Table'!$A41, LS_previous!$B$4:$B$137, 0), MATCH(N$4&amp;N$5, LS_previous!$D$2:$AY$2&amp;LS_previous!$D$3:$AY$3, 0)),SUM(VLOOKUP($A41, LS_previous!$B$4:$AY$137, LS_previous!F$148, FALSE), VLOOKUP('Staging Table'!$A41, LS_previous!$B$4:$AY$137,LS_previous!AD$148, FALSE))/2)</f>
        <v>3.4867134751999629</v>
      </c>
      <c r="O41" s="102">
        <f t="array" ref="O41">IF($G41=0, INDEX(LS_previous!$D$4:$AY$137, MATCH('Staging Table'!$A41, LS_previous!$B$4:$B$137, 0), MATCH(O$4&amp;O$5, LS_previous!$D$2:$AY$2&amp;LS_previous!$D$3:$AY$3, 0)),SUM(VLOOKUP($A41, LS_previous!$B$4:$AY$137, LS_previous!G$148, FALSE), VLOOKUP('Staging Table'!$A41, LS_previous!$B$4:$AY$137,LS_previous!AE$148, FALSE))/2)</f>
        <v>66.191487777900079</v>
      </c>
      <c r="P41" s="102">
        <f t="array" ref="P41">IF($G41=0, INDEX(LS_previous!$D$4:$AY$137, MATCH('Staging Table'!$A41, LS_previous!$B$4:$B$137, 0), MATCH(P$4&amp;P$5, LS_previous!$D$2:$AY$2&amp;LS_previous!$D$3:$AY$3, 0)),SUM(VLOOKUP($A41, LS_previous!$B$4:$AY$137, LS_previous!H$148, FALSE), VLOOKUP('Staging Table'!$A41, LS_previous!$B$4:$AY$137,LS_previous!AF$148, FALSE))/2)</f>
        <v>263.23057285510004</v>
      </c>
      <c r="Q41" s="102">
        <f t="array" ref="Q41">IF($G41=0, INDEX(LS_previous!$D$4:$AY$137, MATCH('Staging Table'!$A41, LS_previous!$B$4:$B$137, 0), MATCH(Q$4&amp;Q$5, LS_previous!$D$2:$AY$2&amp;LS_previous!$D$3:$AY$3, 0)),SUM(VLOOKUP($A41, LS_previous!$B$4:$AY$137, LS_previous!I$148, FALSE), VLOOKUP('Staging Table'!$A41, LS_previous!$B$4:$AY$137,LS_previous!AG$148, FALSE))/2)</f>
        <v>292.18022248640011</v>
      </c>
      <c r="R41" s="102">
        <f t="array" ref="R41">IF($G41=0, INDEX(LS_previous!$D$4:$AY$137, MATCH('Staging Table'!$A41, LS_previous!$B$4:$B$137, 0), MATCH(R$4&amp;R$5, LS_previous!$D$2:$AY$2&amp;LS_previous!$D$3:$AY$3, 0)),SUM(VLOOKUP($A41, LS_previous!$B$4:$AY$137, LS_previous!J$148, FALSE), VLOOKUP('Staging Table'!$A41, LS_previous!$B$4:$AY$137,LS_previous!AH$148, FALSE))/2)</f>
        <v>228.01852519350018</v>
      </c>
      <c r="S41" s="102">
        <f t="array" ref="S41">IF($G41=0, INDEX(LS_previous!$D$4:$AY$137, MATCH('Staging Table'!$A41, LS_previous!$B$4:$B$137, 0), MATCH(S$4&amp;S$5, LS_previous!$D$2:$AY$2&amp;LS_previous!$D$3:$AY$3, 0)),SUM(VLOOKUP($A41, LS_previous!$B$4:$AY$137, LS_previous!K$148, FALSE), VLOOKUP('Staging Table'!$A41, LS_previous!$B$4:$AY$137,LS_previous!AI$148, FALSE))/2)</f>
        <v>310.36429581610003</v>
      </c>
      <c r="T41" s="102">
        <f t="array" ref="T41">IF($G41=0, INDEX(LS_previous!$D$4:$AY$137, MATCH('Staging Table'!$A41, LS_previous!$B$4:$B$137, 0), MATCH(T$4&amp;T$5, LS_previous!$D$2:$AY$2&amp;LS_previous!$D$3:$AY$3, 0)),SUM(VLOOKUP($A41, LS_previous!$B$4:$AY$137, LS_previous!L$148, FALSE), VLOOKUP('Staging Table'!$A41, LS_previous!$B$4:$AY$137,LS_previous!AJ$148, FALSE))/2)</f>
        <v>101.87519138110019</v>
      </c>
      <c r="U41" s="102">
        <f t="array" ref="U41">IF($G41=0, INDEX(LS_previous!$D$4:$AY$137, MATCH('Staging Table'!$A41, LS_previous!$B$4:$B$137, 0), MATCH(U$4&amp;U$5, LS_previous!$D$2:$AY$2&amp;LS_previous!$D$3:$AY$3, 0)),SUM(VLOOKUP($A41, LS_previous!$B$4:$AY$137, LS_previous!M$148, FALSE), VLOOKUP('Staging Table'!$A41, LS_previous!$B$4:$AY$137,LS_previous!AK$148, FALSE))/2)</f>
        <v>151.96834365310008</v>
      </c>
      <c r="V41" s="102">
        <f t="array" ref="V41">IF($G41=0, INDEX(LS_previous!$D$4:$AY$137, MATCH('Staging Table'!$A41, LS_previous!$B$4:$B$137, 0), MATCH(V$4&amp;V$5, LS_previous!$D$2:$AY$2&amp;LS_previous!$D$3:$AY$3, 0)),SUM(VLOOKUP($A41, LS_previous!$B$4:$AY$137, LS_previous!N$148, FALSE), VLOOKUP('Staging Table'!$A41, LS_previous!$B$4:$AY$137,LS_previous!AL$148, FALSE))/2)</f>
        <v>30.284384431700005</v>
      </c>
      <c r="W41" s="102">
        <f t="array" ref="W41">IF($G41=0, INDEX(LS_previous!$D$4:$AY$137, MATCH('Staging Table'!$A41, LS_previous!$B$4:$B$137, 0), MATCH(W$4&amp;W$5, LS_previous!$D$2:$AY$2&amp;LS_previous!$D$3:$AY$3, 0)),SUM(VLOOKUP($A41, LS_previous!$B$4:$AY$137, LS_previous!O$148, FALSE), VLOOKUP('Staging Table'!$A41, LS_previous!$B$4:$AY$137,LS_previous!AM$148, FALSE))/2)</f>
        <v>60.370463980200043</v>
      </c>
      <c r="X41" s="102">
        <f t="array" ref="X41">IF($G41=0, INDEX(LS_previous!$D$4:$AY$137, MATCH('Staging Table'!$A41, LS_previous!$B$4:$B$137, 0), MATCH(X$4&amp;X$5, LS_previous!$D$2:$AY$2&amp;LS_previous!$D$3:$AY$3, 0)),SUM(VLOOKUP($A41, LS_previous!$B$4:$AY$137, LS_previous!P$148, FALSE), VLOOKUP('Staging Table'!$A41, LS_previous!$B$4:$AY$137,LS_previous!AN$148, FALSE))/2)</f>
        <v>60.92391152475011</v>
      </c>
      <c r="Y41" s="102">
        <f t="array" ref="Y41">IF($G41=0, INDEX(LS_previous!$D$4:$AY$137, MATCH('Staging Table'!$A41, LS_previous!$B$4:$B$137, 0), MATCH(Y$4&amp;Y$5, LS_previous!$D$2:$AY$2&amp;LS_previous!$D$3:$AY$3, 0)),SUM(VLOOKUP($A41, LS_previous!$B$4:$AY$137, LS_previous!Q$148, FALSE), VLOOKUP('Staging Table'!$A41, LS_previous!$B$4:$AY$137,LS_previous!AO$148, FALSE))/2)</f>
        <v>71.154288208075059</v>
      </c>
      <c r="Z41" s="102">
        <f t="array" ref="Z41">IF($G41=0, INDEX(LS_previous!$D$4:$AY$137, MATCH('Staging Table'!$A41, LS_previous!$B$4:$B$137, 0), MATCH(Z$4&amp;Z$5, LS_previous!$D$2:$AY$2&amp;LS_previous!$D$3:$AY$3, 0)),SUM(VLOOKUP($A41, LS_previous!$B$4:$AY$137, LS_previous!R$148, FALSE), VLOOKUP('Staging Table'!$A41, LS_previous!$B$4:$AY$137,LS_previous!AP$148, FALSE))/2)</f>
        <v>-338.63325075679995</v>
      </c>
      <c r="AA41" s="102">
        <f t="array" ref="AA41">IF($G41=0, INDEX(LS_previous!$D$4:$AY$137, MATCH('Staging Table'!$A41, LS_previous!$B$4:$B$137, 0), MATCH(AA$4&amp;AA$5, LS_previous!$D$2:$AY$2&amp;LS_previous!$D$3:$AY$3, 0)),SUM(VLOOKUP($A41, LS_previous!$B$4:$AY$137, LS_previous!S$148, FALSE), VLOOKUP('Staging Table'!$A41, LS_previous!$B$4:$AY$137,LS_previous!AQ$148, FALSE))/2)</f>
        <v>-195.02069372234996</v>
      </c>
      <c r="AB41" s="102">
        <f t="array" ref="AB41">IF($G41=0, INDEX(LS_previous!$D$4:$AY$137, MATCH('Staging Table'!$A41, LS_previous!$B$4:$B$137, 0), MATCH(AB$4&amp;AB$5, LS_previous!$D$2:$AY$2&amp;LS_previous!$D$3:$AY$3, 0)),SUM(VLOOKUP($A41, LS_previous!$B$4:$AY$137, LS_previous!T$148, FALSE), VLOOKUP('Staging Table'!$A41, LS_previous!$B$4:$AY$137,LS_previous!AR$148, FALSE))/2)</f>
        <v>-407.23029140660003</v>
      </c>
      <c r="AC41" s="102">
        <f t="array" ref="AC41">IF($G41=0, INDEX(LS_previous!$D$4:$AY$137, MATCH('Staging Table'!$A41, LS_previous!$B$4:$B$137, 0), MATCH(AC$4&amp;AC$5, LS_previous!$D$2:$AY$2&amp;LS_previous!$D$3:$AY$3, 0)),SUM(VLOOKUP($A41, LS_previous!$B$4:$AY$137, LS_previous!U$148, FALSE), VLOOKUP('Staging Table'!$A41, LS_previous!$B$4:$AY$137,LS_previous!AS$148, FALSE))/2)</f>
        <v>-238.93741825595004</v>
      </c>
      <c r="AD41" s="102">
        <f t="array" ref="AD41">IF($G41=0, INDEX(LS_previous!$D$4:$AY$137, MATCH('Staging Table'!$A41, LS_previous!$B$4:$B$137, 0), MATCH(AD$4&amp;AD$5, LS_previous!$D$2:$AY$2&amp;LS_previous!$D$3:$AY$3, 0)),SUM(VLOOKUP($A41, LS_previous!$B$4:$AY$137, LS_previous!V$148, FALSE), VLOOKUP('Staging Table'!$A41, LS_previous!$B$4:$AY$137,LS_previous!AT$148, FALSE))/2)</f>
        <v>-251.40488297239995</v>
      </c>
      <c r="AE41" s="102">
        <f t="array" ref="AE41">IF($G41=0, INDEX(LS_previous!$D$4:$AY$137, MATCH('Staging Table'!$A41, LS_previous!$B$4:$B$137, 0), MATCH(AE$4&amp;AE$5, LS_previous!$D$2:$AY$2&amp;LS_previous!$D$3:$AY$3, 0)),SUM(VLOOKUP($A41, LS_previous!$B$4:$AY$137, LS_previous!W$148, FALSE), VLOOKUP('Staging Table'!$A41, LS_previous!$B$4:$AY$137,LS_previous!AU$148, FALSE))/2)</f>
        <v>-140.30031161024999</v>
      </c>
      <c r="AF41" s="102">
        <f t="array" ref="AF41">IF($G41=0, INDEX(LS_previous!$D$4:$AY$137, MATCH('Staging Table'!$A41, LS_previous!$B$4:$B$137, 0), MATCH(AF$4&amp;AF$5, LS_previous!$D$2:$AY$2&amp;LS_previous!$D$3:$AY$3, 0)),SUM(VLOOKUP($A41, LS_previous!$B$4:$AY$137, LS_previous!X$148, FALSE), VLOOKUP('Staging Table'!$A41, LS_previous!$B$4:$AY$137,LS_previous!AV$148, FALSE))/2)</f>
        <v>-231.79768858065006</v>
      </c>
      <c r="AG41" s="102">
        <f t="array" ref="AG41">IF($G41=0, INDEX(LS_previous!$D$4:$AY$137, MATCH('Staging Table'!$A41, LS_previous!$B$4:$B$137, 0), MATCH(AG$4&amp;AG$5, LS_previous!$D$2:$AY$2&amp;LS_previous!$D$3:$AY$3, 0)),SUM(VLOOKUP($A41, LS_previous!$B$4:$AY$137, LS_previous!Y$148, FALSE), VLOOKUP('Staging Table'!$A41, LS_previous!$B$4:$AY$137,LS_previous!AW$148, FALSE))/2)</f>
        <v>-142.38527888463494</v>
      </c>
      <c r="AH41" s="102">
        <f t="array" ref="AH41">IF($G41=0, INDEX(LS_previous!$D$4:$AY$137, MATCH('Staging Table'!$A41, LS_previous!$B$4:$B$137, 0), MATCH(AH$4&amp;AH$5, LS_previous!$D$2:$AY$2&amp;LS_previous!$D$3:$AY$3, 0)),SUM(VLOOKUP($A41, LS_previous!$B$4:$AY$137, LS_previous!Z$148, FALSE), VLOOKUP('Staging Table'!$A41, LS_previous!$B$4:$AY$137,LS_previous!AX$148, FALSE))/2)</f>
        <v>-160.88965501339999</v>
      </c>
      <c r="AI41" s="102">
        <f t="array" ref="AI41">IF($G41=0, INDEX(LS_previous!$D$4:$AY$137, MATCH('Staging Table'!$A41, LS_previous!$B$4:$B$137, 0), MATCH(AI$4&amp;AI$5, LS_previous!$D$2:$AY$2&amp;LS_previous!$D$3:$AY$3, 0)),SUM(VLOOKUP($A41, LS_previous!$B$4:$AY$137, LS_previous!AA$148, FALSE), VLOOKUP('Staging Table'!$A41, LS_previous!$B$4:$AY$137,LS_previous!AY$148, FALSE))/2)</f>
        <v>-114.14500796639999</v>
      </c>
      <c r="AJ41" s="103">
        <f t="array" ref="AJ41">INDEX(Demand_previous!$D$4:$AY$137, MATCH('Staging Table'!$A41, Demand_previous!$B$4:$B$137, 0), MATCH(AJ$4&amp;AJ$5,Demand_previous!$D$2:$AY$2&amp;Demand_previous!$D$3:$AY$3, 0))/1000</f>
        <v>0.46459375000000003</v>
      </c>
      <c r="AK41" s="103">
        <f t="array" ref="AK41">INDEX(Demand_previous!$D$4:$AY$137, MATCH('Staging Table'!$A41, Demand_previous!$B$4:$B$137, 0), MATCH(AK$4&amp;AK$5,Demand_previous!$D$2:$AY$2&amp;Demand_previous!$D$3:$AY$3, 0))/1000</f>
        <v>0.31787499999999974</v>
      </c>
      <c r="AL41" s="103">
        <f t="array" ref="AL41">INDEX(Demand_previous!$D$4:$AY$137, MATCH('Staging Table'!$A41, Demand_previous!$B$4:$B$137, 0), MATCH(AL$4&amp;AL$5,Demand_previous!$D$2:$AY$2&amp;Demand_previous!$D$3:$AY$3, 0))/1000</f>
        <v>0.63649250000000035</v>
      </c>
      <c r="AM41" s="103">
        <f t="array" ref="AM41">INDEX(Demand_previous!$D$4:$AY$137, MATCH('Staging Table'!$A41, Demand_previous!$B$4:$B$137, 0), MATCH(AM$4&amp;AM$5,Demand_previous!$D$2:$AY$2&amp;Demand_previous!$D$3:$AY$3, 0))/1000</f>
        <v>0.67875240384615343</v>
      </c>
      <c r="AN41" s="103">
        <f t="array" ref="AN41">INDEX(Demand_previous!$D$4:$AY$137, MATCH('Staging Table'!$A41, Demand_previous!$B$4:$B$137, 0), MATCH(AN$4&amp;AN$5,Demand_previous!$D$2:$AY$2&amp;Demand_previous!$D$3:$AY$3, 0))/1000</f>
        <v>0.38923999999999992</v>
      </c>
      <c r="AO41" s="103">
        <f t="array" ref="AO41">INDEX(Demand_previous!$D$4:$AY$137, MATCH('Staging Table'!$A41, Demand_previous!$B$4:$B$137, 0), MATCH(AO$4&amp;AO$5,Demand_previous!$D$2:$AY$2&amp;Demand_previous!$D$3:$AY$3, 0))/1000</f>
        <v>0.35367307692307703</v>
      </c>
      <c r="AP41" s="103">
        <f t="array" ref="AP41">INDEX(Demand_previous!$D$4:$AY$137, MATCH('Staging Table'!$A41, Demand_previous!$B$4:$B$137, 0), MATCH(AP$4&amp;AP$5,Demand_previous!$D$2:$AY$2&amp;Demand_previous!$D$3:$AY$3, 0))/1000</f>
        <v>0.48660576923076948</v>
      </c>
      <c r="AQ41" s="103">
        <f t="array" ref="AQ41">INDEX(Demand_previous!$D$4:$AY$137, MATCH('Staging Table'!$A41, Demand_previous!$B$4:$B$137, 0), MATCH(AQ$4&amp;AQ$5,Demand_previous!$D$2:$AY$2&amp;Demand_previous!$D$3:$AY$3, 0))/1000</f>
        <v>0.30877163461538482</v>
      </c>
      <c r="AR41" s="103">
        <f t="array" ref="AR41">INDEX(Demand_previous!$D$4:$AY$137, MATCH('Staging Table'!$A41, Demand_previous!$B$4:$B$137, 0), MATCH(AR$4&amp;AR$5,Demand_previous!$D$2:$AY$2&amp;Demand_previous!$D$3:$AY$3, 0))/1000</f>
        <v>0.24108000000000024</v>
      </c>
      <c r="AS41" s="103">
        <f t="array" ref="AS41">INDEX(Demand_previous!$D$4:$AY$137, MATCH('Staging Table'!$A41, Demand_previous!$B$4:$B$137, 0), MATCH(AS$4&amp;AS$5,Demand_previous!$D$2:$AY$2&amp;Demand_previous!$D$3:$AY$3, 0))/1000</f>
        <v>0.26589903846153828</v>
      </c>
      <c r="AT41" s="103">
        <f t="array" ref="AT41">INDEX(Demand_previous!$D$4:$AY$137, MATCH('Staging Table'!$A41, Demand_previous!$B$4:$B$137, 0), MATCH(AT$4&amp;AT$5,Demand_previous!$D$2:$AY$2&amp;Demand_previous!$D$3:$AY$3, 0))/1000</f>
        <v>0.29368981481481493</v>
      </c>
      <c r="AU41" s="103">
        <f t="array" ref="AU41">INDEX(Demand_previous!$D$4:$AY$137, MATCH('Staging Table'!$A41, Demand_previous!$B$4:$B$137, 0), MATCH(AU$4&amp;AU$5,Demand_previous!$D$2:$AY$2&amp;Demand_previous!$D$3:$AY$3, 0))/1000</f>
        <v>0.23528906249999992</v>
      </c>
      <c r="AV41" s="102">
        <f>$F41*(VLOOKUP(AV$4, Rates_previous!$G$6:$Q$29, 10, FALSE)+VLOOKUP(AV$4, Rates_previous!$G$6:$Q$29, 11, FALSE))</f>
        <v>1219.65616744965</v>
      </c>
      <c r="AW41" s="102">
        <f>$F41*(VLOOKUP(AW$4, Rates_previous!$G$6:$Q$29, 10, FALSE)+VLOOKUP(AW$4, Rates_previous!$G$6:$Q$29, 11, FALSE))</f>
        <v>1555.4637987469</v>
      </c>
      <c r="AX41" s="102">
        <f>$F41*(VLOOKUP(AX$4, Rates_previous!$G$6:$Q$29, 10, FALSE)+VLOOKUP(AX$4, Rates_previous!$G$6:$Q$29, 11, FALSE))</f>
        <v>1678.6532046585</v>
      </c>
      <c r="AY41" s="102">
        <f>$F41*(VLOOKUP(AY$4, Rates_previous!$G$6:$Q$29, 10, FALSE)+VLOOKUP(AY$4, Rates_previous!$G$6:$Q$29, 11, FALSE))</f>
        <v>1744.3801789903998</v>
      </c>
      <c r="AZ41" s="102">
        <f>$F41*(VLOOKUP(AZ$4, Rates_previous!$G$6:$Q$29, 10, FALSE)+VLOOKUP(AZ$4, Rates_previous!$G$6:$Q$29, 11, FALSE))</f>
        <v>1500.3994649657998</v>
      </c>
      <c r="BA41" s="102">
        <f>$F41*(VLOOKUP(BA$4, Rates_previous!$G$6:$Q$29, 10, FALSE)+VLOOKUP(BA$4, Rates_previous!$G$6:$Q$29, 11, FALSE))</f>
        <v>1638.1391515880998</v>
      </c>
      <c r="BB41" s="102">
        <f>$F41*(VLOOKUP(BB$4, Rates_previous!$G$6:$Q$29, 10, FALSE)+VLOOKUP(BB$4, Rates_previous!$G$6:$Q$29, 11, FALSE))</f>
        <v>1293.0348002671749</v>
      </c>
      <c r="BC41" s="102">
        <f>$F41*(VLOOKUP(BC$4, Rates_previous!$G$6:$Q$29, 10, FALSE)+VLOOKUP(BC$4, Rates_previous!$G$6:$Q$29, 11, FALSE))</f>
        <v>1604.1829444791499</v>
      </c>
      <c r="BD41" s="102">
        <f>$F41*(VLOOKUP(BD$4, Rates_previous!$G$6:$Q$29, 10, FALSE)+VLOOKUP(BD$4, Rates_previous!$G$6:$Q$29, 11, FALSE))</f>
        <v>1638.9897096625498</v>
      </c>
      <c r="BE41" s="102">
        <f>$F41*(VLOOKUP(BE$4, Rates_previous!$G$6:$Q$29, 10, FALSE)+VLOOKUP(BE$4, Rates_previous!$G$6:$Q$29, 11, FALSE))</f>
        <v>1422.8791945826499</v>
      </c>
      <c r="BF41" s="102">
        <f>$F41*(VLOOKUP(BF$4, Rates_previous!$G$6:$Q$29, 10, FALSE)+VLOOKUP(BF$4, Rates_previous!$G$6:$Q$29, 11, FALSE))</f>
        <v>1375.545967465285</v>
      </c>
      <c r="BG41" s="102">
        <f>$F41*(VLOOKUP(BG$4, Rates_previous!$G$6:$Q$29, 10, FALSE)+VLOOKUP(BG$4, Rates_previous!$G$6:$Q$29, 11, FALSE))</f>
        <v>1265.7686629798</v>
      </c>
      <c r="BH41" s="103">
        <f>IF($D41=0,IF(C41=0, MAX(BJ41 - (VLOOKUP($A41,TOCA_previous!$A$2:$AJ$136,MATCH("RHWM "&amp;Init!$D$1-2,TOCA_previous!$A$2:$AJ$2,0),FALSE)*$F$2*TOCA_previous!C38),0),0), 0)</f>
        <v>0</v>
      </c>
      <c r="BI41" s="109">
        <f>MIN(VLOOKUP($A41,TOCA_previous!$A$2:$AJ$136,MATCH("TRL - NLSL - Existing Resource "&amp;$F$1,TOCA_previous!$A$2:$AJ$2,0),FALSE)*$F$2,(VLOOKUP($A41,TOCA_previous!$A$2:$AJ$136,MATCH("RHWM "&amp;Init!$D$1-2,TOCA_previous!$A$2:$AJ$2,0),FALSE)*$F$2))</f>
        <v>17541.648000000001</v>
      </c>
      <c r="BJ41" s="261">
        <f>SUM(L41:AI41)+(F41*RT1SC!$C$3*$F$2)</f>
        <v>17550.477082220037</v>
      </c>
      <c r="BK41" s="260">
        <f>VLOOKUP($A41,TOCA_previous!$A$2:$AJ$136,MATCH("Above RHWM Not Served with LS "&amp;$F$1,TOCA_previous!$A$2:$AJ$2,0),FALSE)*$F$2</f>
        <v>0</v>
      </c>
      <c r="BL41" s="261">
        <f t="shared" si="21"/>
        <v>8.8290822200360708</v>
      </c>
      <c r="BM41" s="260">
        <f>(VLOOKUP($A41,TOCA_previous!$A$2:$AJ$136,MATCH("RHWM "&amp;Init!$D$1-2,TOCA_previous!$A$2:$AJ$2,0),FALSE)*$F$2) - $BI41</f>
        <v>360.14399999999659</v>
      </c>
      <c r="BN41" s="261">
        <f t="shared" si="22"/>
        <v>-8.8290822200360708</v>
      </c>
      <c r="BO41" s="260">
        <f t="shared" si="23"/>
        <v>0</v>
      </c>
      <c r="BP41" s="261">
        <f t="shared" si="24"/>
        <v>0</v>
      </c>
      <c r="BQ41" s="260">
        <f t="shared" si="9"/>
        <v>-8.8290822200360708</v>
      </c>
      <c r="BR41" s="85">
        <f>VLOOKUP($A41,TOCA_current!$A$2:$ZZ$136,MATCH(BR$4,TOCA_current!$A$2:$ZZ$2,0),FALSE)</f>
        <v>2.8170000000000002E-4</v>
      </c>
      <c r="BS41" s="85">
        <f>VLOOKUP($A41,TOCA_current!$A$2:$ZZ$136,MATCH(BS$4,TOCA_current!$A$2:$ZZ$2,0),FALSE)</f>
        <v>2.8170000000000002E-4</v>
      </c>
      <c r="BT41" s="108">
        <f t="shared" si="25"/>
        <v>0</v>
      </c>
      <c r="BU41" s="85">
        <f>VLOOKUP($A41,TOCA_current!A38:BG172,MATCH(BU$4,TOCA_current!$A$2:$BG$2,0),FALSE)</f>
        <v>0</v>
      </c>
      <c r="BV41" s="85">
        <f t="shared" si="26"/>
        <v>0</v>
      </c>
      <c r="BW41" s="85">
        <f t="shared" si="27"/>
        <v>0</v>
      </c>
      <c r="BX41" s="101">
        <f>VLOOKUP($A41,IRD!$A$4:$G$138, 7, FALSE)</f>
        <v>0</v>
      </c>
      <c r="BY41" s="102">
        <f t="array" ref="BY41">IF($BT41=0, INDEX(LS_current!$D$4:$BW$137, MATCH('Staging Table'!$A41, LS_current!$B$4:$B$137, 0), MATCH(BY$4&amp;BY$5, LS_current!$D$2:$BW$2&amp;LS_current!$D$3:$BW$3, 0)),SUM(VLOOKUP($A41, LS_current!$B$4:$BW$137, LS_current!D$147, FALSE), VLOOKUP($A41, LS_current!$B$4:$BW$137,LS_current!AZ$147, FALSE))/2)</f>
        <v>139.45676217095934</v>
      </c>
      <c r="BZ41" s="102">
        <f t="array" ref="BZ41">IF($BT41=0, INDEX(LS_current!$D$4:$BW$137, MATCH('Staging Table'!$A41, LS_current!$B$4:$B$137, 0), MATCH(BZ$4&amp;BZ$5, LS_current!$D$2:$BW$2&amp;LS_current!$D$3:$BW$3, 0)),SUM(VLOOKUP($A41, LS_current!$B$4:$BW$137, LS_current!E$147, FALSE), VLOOKUP($A41, LS_current!$B$4:$BW$137,LS_current!BA$147, FALSE))/2)</f>
        <v>105.1432184646153</v>
      </c>
      <c r="CA41" s="102">
        <f t="array" ref="CA41">IF($BT41=0, INDEX(LS_current!$D$4:$BW$137, MATCH('Staging Table'!$A41, LS_current!$B$4:$B$137, 0), MATCH(CA$4&amp;CA$5, LS_current!$D$2:$BW$2&amp;LS_current!$D$3:$BW$3, 0)),SUM(VLOOKUP($A41, LS_current!$B$4:$BW$137, LS_current!F$147, FALSE), VLOOKUP($A41, LS_current!$B$4:$BW$137,LS_current!BB$147, FALSE))/2)</f>
        <v>44.232703955227521</v>
      </c>
      <c r="CB41" s="102">
        <f t="array" ref="CB41">IF($BT41=0, INDEX(LS_current!$D$4:$BW$137, MATCH('Staging Table'!$A41, LS_current!$B$4:$B$137, 0), MATCH(CB$4&amp;CB$5, LS_current!$D$2:$BW$2&amp;LS_current!$D$3:$BW$3, 0)),SUM(VLOOKUP($A41, LS_current!$B$4:$BW$137, LS_current!G$147, FALSE), VLOOKUP($A41, LS_current!$B$4:$BW$137,LS_current!BC$147, FALSE))/2)</f>
        <v>86.207373985547292</v>
      </c>
      <c r="CC41" s="102">
        <f t="array" ref="CC41">IF($BT41=0, INDEX(LS_current!$D$4:$BW$137, MATCH('Staging Table'!$A41, LS_current!$B$4:$B$137, 0), MATCH(CC$4&amp;CC$5, LS_current!$D$2:$BW$2&amp;LS_current!$D$3:$BW$3, 0)),SUM(VLOOKUP($A41, LS_current!$B$4:$BW$137, LS_current!H$147, FALSE), VLOOKUP($A41, LS_current!$B$4:$BW$137,LS_current!BD$147, FALSE))/2)</f>
        <v>191.69768501156227</v>
      </c>
      <c r="CD41" s="102">
        <f t="array" ref="CD41">IF($BT41=0, INDEX(LS_current!$D$4:$BW$137, MATCH('Staging Table'!$A41, LS_current!$B$4:$B$137, 0), MATCH(CD$4&amp;CD$5, LS_current!$D$2:$BW$2&amp;LS_current!$D$3:$BW$3, 0)),SUM(VLOOKUP($A41, LS_current!$B$4:$BW$137, LS_current!I$147, FALSE), VLOOKUP($A41, LS_current!$B$4:$BW$137,LS_current!BE$147, FALSE))/2)</f>
        <v>343.01524192222894</v>
      </c>
      <c r="CE41" s="102">
        <f t="array" ref="CE41">IF($BT41=0, INDEX(LS_current!$D$4:$BW$137, MATCH('Staging Table'!$A41, LS_current!$B$4:$B$137, 0), MATCH(CE$4&amp;CE$5, LS_current!$D$2:$BW$2&amp;LS_current!$D$3:$BW$3, 0)),SUM(VLOOKUP($A41, LS_current!$B$4:$BW$137, LS_current!J$147, FALSE), VLOOKUP($A41, LS_current!$B$4:$BW$137,LS_current!BF$147, FALSE))/2)</f>
        <v>177.8972253191198</v>
      </c>
      <c r="CF41" s="102">
        <f t="array" ref="CF41">IF($BT41=0, INDEX(LS_current!$D$4:$BW$137, MATCH('Staging Table'!$A41, LS_current!$B$4:$B$137, 0), MATCH(CF$4&amp;CF$5, LS_current!$D$2:$BW$2&amp;LS_current!$D$3:$BW$3, 0)),SUM(VLOOKUP($A41, LS_current!$B$4:$BW$137, LS_current!K$147, FALSE), VLOOKUP($A41, LS_current!$B$4:$BW$137,LS_current!BG$147, FALSE))/2)</f>
        <v>311.91774314547399</v>
      </c>
      <c r="CG41" s="102">
        <f t="array" ref="CG41">IF($BT41=0, INDEX(LS_current!$D$4:$BW$137, MATCH('Staging Table'!$A41, LS_current!$B$4:$B$137, 0), MATCH(CG$4&amp;CG$5, LS_current!$D$2:$BW$2&amp;LS_current!$D$3:$BW$3, 0)),SUM(VLOOKUP($A41, LS_current!$B$4:$BW$137, LS_current!L$147, FALSE), VLOOKUP($A41, LS_current!$B$4:$BW$137,LS_current!BH$147, FALSE))/2)</f>
        <v>146.67756964776675</v>
      </c>
      <c r="CH41" s="102">
        <f t="array" ref="CH41">IF($BT41=0, INDEX(LS_current!$D$4:$BW$137, MATCH('Staging Table'!$A41, LS_current!$B$4:$B$137, 0), MATCH(CH$4&amp;CH$5, LS_current!$D$2:$BW$2&amp;LS_current!$D$3:$BW$3, 0)),SUM(VLOOKUP($A41, LS_current!$B$4:$BW$137, LS_current!M$147, FALSE), VLOOKUP($A41, LS_current!$B$4:$BW$137,LS_current!BI$147, FALSE))/2)</f>
        <v>178.74766896358096</v>
      </c>
      <c r="CI41" s="102">
        <f t="array" ref="CI41">IF($BT41=0, INDEX(LS_current!$D$4:$BW$137, MATCH('Staging Table'!$A41, LS_current!$B$4:$B$137, 0), MATCH(CI$4&amp;CI$5, LS_current!$D$2:$BW$2&amp;LS_current!$D$3:$BW$3, 0)),SUM(VLOOKUP($A41, LS_current!$B$4:$BW$137, LS_current!N$147, FALSE), VLOOKUP($A41, LS_current!$B$4:$BW$137,LS_current!BJ$147, FALSE))/2)</f>
        <v>11.786560312271263</v>
      </c>
      <c r="CJ41" s="102">
        <f t="array" ref="CJ41">IF($BT41=0, INDEX(LS_current!$D$4:$BW$137, MATCH('Staging Table'!$A41, LS_current!$B$4:$B$137, 0), MATCH(CJ$4&amp;CJ$5, LS_current!$D$2:$BW$2&amp;LS_current!$D$3:$BW$3, 0)),SUM(VLOOKUP($A41, LS_current!$B$4:$BW$137, LS_current!O$147, FALSE), VLOOKUP($A41, LS_current!$B$4:$BW$137,LS_current!BK$147, FALSE))/2)</f>
        <v>155.01621055133853</v>
      </c>
      <c r="CK41" s="102">
        <f t="array" ref="CK41">IF($BT41=0, INDEX(LS_current!$D$4:$BW$137, MATCH('Staging Table'!$A41, LS_current!$B$4:$B$137, 0), MATCH(CK$4&amp;CK$5, LS_current!$D$2:$BW$2&amp;LS_current!$D$3:$BW$3, 0)),SUM(VLOOKUP($A41, LS_current!$B$4:$BW$137, LS_current!P$147, FALSE), VLOOKUP($A41, LS_current!$B$4:$BW$137,LS_current!BL$147, FALSE))/2)</f>
        <v>102.61801258451669</v>
      </c>
      <c r="CL41" s="102">
        <f t="array" ref="CL41">IF($BT41=0, INDEX(LS_current!$D$4:$BW$137, MATCH('Staging Table'!$A41, LS_current!$B$4:$B$137, 0), MATCH(CL$4&amp;CL$5, LS_current!$D$2:$BW$2&amp;LS_current!$D$3:$BW$3, 0)),SUM(VLOOKUP($A41, LS_current!$B$4:$BW$137, LS_current!Q$147, FALSE), VLOOKUP($A41, LS_current!$B$4:$BW$137,LS_current!BM$147, FALSE))/2)</f>
        <v>111.93607265247482</v>
      </c>
      <c r="CM41" s="102">
        <f t="array" ref="CM41">IF($BT41=0, INDEX(LS_current!$D$4:$BW$137, MATCH('Staging Table'!$A41, LS_current!$B$4:$B$137, 0), MATCH(CM$4&amp;CM$5, LS_current!$D$2:$BW$2&amp;LS_current!$D$3:$BW$3, 0)),SUM(VLOOKUP($A41, LS_current!$B$4:$BW$137, LS_current!R$147, FALSE), VLOOKUP($A41, LS_current!$B$4:$BW$137,LS_current!BN$147, FALSE))/2)</f>
        <v>-312.49995879906623</v>
      </c>
      <c r="CN41" s="102">
        <f t="array" ref="CN41">IF($BT41=0, INDEX(LS_current!$D$4:$BW$137, MATCH('Staging Table'!$A41, LS_current!$B$4:$B$137, 0), MATCH(CN$4&amp;CN$5, LS_current!$D$2:$BW$2&amp;LS_current!$D$3:$BW$3, 0)),SUM(VLOOKUP($A41, LS_current!$B$4:$BW$137, LS_current!S$147, FALSE), VLOOKUP($A41, LS_current!$B$4:$BW$137,LS_current!BO$147, FALSE))/2)</f>
        <v>-183.63359827404327</v>
      </c>
      <c r="CO41" s="102">
        <f t="array" ref="CO41">IF($BT41=0, INDEX(LS_current!$D$4:$BW$137, MATCH('Staging Table'!$A41, LS_current!$B$4:$B$137, 0), MATCH(CO$4&amp;CO$5, LS_current!$D$2:$BW$2&amp;LS_current!$D$3:$BW$3, 0)),SUM(VLOOKUP($A41, LS_current!$B$4:$BW$137, LS_current!T$147, FALSE), VLOOKUP($A41, LS_current!$B$4:$BW$137,LS_current!BP$147, FALSE))/2)</f>
        <v>-420.89693726492476</v>
      </c>
      <c r="CP41" s="102">
        <f t="array" ref="CP41">IF($BT41=0, INDEX(LS_current!$D$4:$BW$137, MATCH('Staging Table'!$A41, LS_current!$B$4:$B$137, 0), MATCH(CP$4&amp;CP$5, LS_current!$D$2:$BW$2&amp;LS_current!$D$3:$BW$3, 0)),SUM(VLOOKUP($A41, LS_current!$B$4:$BW$137, LS_current!U$147, FALSE), VLOOKUP($A41, LS_current!$B$4:$BW$137,LS_current!BQ$147, FALSE))/2)</f>
        <v>-186.39642595517302</v>
      </c>
      <c r="CQ41" s="102">
        <f t="array" ref="CQ41">IF($BT41=0, INDEX(LS_current!$D$4:$BW$137, MATCH('Staging Table'!$A41, LS_current!$B$4:$B$137, 0), MATCH(CQ$4&amp;CQ$5, LS_current!$D$2:$BW$2&amp;LS_current!$D$3:$BW$3, 0)),SUM(VLOOKUP($A41, LS_current!$B$4:$BW$137, LS_current!V$147, FALSE), VLOOKUP($A41, LS_current!$B$4:$BW$137,LS_current!BR$147, FALSE))/2)</f>
        <v>-267.20093661970475</v>
      </c>
      <c r="CR41" s="102">
        <f t="array" ref="CR41">IF($BT41=0, INDEX(LS_current!$D$4:$BW$137, MATCH('Staging Table'!$A41, LS_current!$B$4:$B$137, 0), MATCH(CR$4&amp;CR$5, LS_current!$D$2:$BW$2&amp;LS_current!$D$3:$BW$3, 0)),SUM(VLOOKUP($A41, LS_current!$B$4:$BW$137, LS_current!W$147, FALSE), VLOOKUP($A41, LS_current!$B$4:$BW$137,LS_current!BS$147, FALSE))/2)</f>
        <v>-125.86612219530855</v>
      </c>
      <c r="CS41" s="102">
        <f t="array" ref="CS41">IF($BT41=0, INDEX(LS_current!$D$4:$BW$137, MATCH('Staging Table'!$A41, LS_current!$B$4:$B$137, 0), MATCH(CS$4&amp;CS$5, LS_current!$D$2:$BW$2&amp;LS_current!$D$3:$BW$3, 0)),SUM(VLOOKUP($A41, LS_current!$B$4:$BW$137, LS_current!X$147, FALSE), VLOOKUP($A41, LS_current!$B$4:$BW$137,LS_current!BT$147, FALSE))/2)</f>
        <v>-330.36136668264908</v>
      </c>
      <c r="CT41" s="102">
        <f t="array" ref="CT41">IF($BT41=0, INDEX(LS_current!$D$4:$BW$137, MATCH('Staging Table'!$A41, LS_current!$B$4:$B$137, 0), MATCH(CT$4&amp;CT$5, LS_current!$D$2:$BW$2&amp;LS_current!$D$3:$BW$3, 0)),SUM(VLOOKUP($A41, LS_current!$B$4:$BW$137, LS_current!Y$147, FALSE), VLOOKUP($A41, LS_current!$B$4:$BW$137,LS_current!BU$147, FALSE))/2)</f>
        <v>-129.28576240146333</v>
      </c>
      <c r="CU41" s="102">
        <f t="array" ref="CU41">IF($BT41=0, INDEX(LS_current!$D$4:$BW$137, MATCH('Staging Table'!$A41, LS_current!$B$4:$B$137, 0), MATCH(CU$4&amp;CU$5, LS_current!$D$2:$BW$2&amp;LS_current!$D$3:$BW$3, 0)),SUM(VLOOKUP($A41, LS_current!$B$4:$BW$137, LS_current!Z$147, FALSE), VLOOKUP($A41, LS_current!$B$4:$BW$137,LS_current!BV$147, FALSE))/2)</f>
        <v>-111.14543330648428</v>
      </c>
      <c r="CV41" s="102">
        <f t="array" ref="CV41">IF($BT41=0, INDEX(LS_current!$D$4:$BW$137, MATCH('Staging Table'!$A41, LS_current!$B$4:$B$137, 0), MATCH(CV$4&amp;CV$5, LS_current!$D$2:$BW$2&amp;LS_current!$D$3:$BW$3, 0)),SUM(VLOOKUP($A41, LS_current!$B$4:$BW$137, LS_current!AA$147, FALSE), VLOOKUP($A41, LS_current!$B$4:$BW$137,LS_current!BW$147, FALSE))/2)</f>
        <v>-32.770065542662678</v>
      </c>
      <c r="CW41" s="103">
        <f t="array" ref="CW41">INDEX(Demand_current!$D$4:$BW$137, MATCH($A41, Demand_current!$B$4:$B$137, 0), MATCH(CW$4&amp;CW$5,Demand_current!$D$2:$BW$2&amp;Demand_current!$D$3:$BW$3, 0))/1000</f>
        <v>0.54186805555555562</v>
      </c>
      <c r="CX41" s="103">
        <f t="array" ref="CX41">INDEX(Demand_current!$D$4:$BW$137, MATCH($A41, Demand_current!$B$4:$B$137, 0), MATCH(CX$4&amp;CX$5,Demand_current!$D$2:$BW$2&amp;Demand_current!$D$3:$BW$3, 0))/1000</f>
        <v>0.21920312499999978</v>
      </c>
      <c r="CY41" s="103">
        <f t="array" ref="CY41">INDEX(Demand_current!$D$4:$BW$137, MATCH($A41, Demand_current!$B$4:$B$137, 0), MATCH(CY$4&amp;CY$5,Demand_current!$D$2:$BW$2&amp;Demand_current!$D$3:$BW$3, 0))/1000</f>
        <v>0.75966586538461578</v>
      </c>
      <c r="CZ41" s="103">
        <f t="array" ref="CZ41">INDEX(Demand_current!$D$4:$BW$137, MATCH($A41, Demand_current!$B$4:$B$137, 0), MATCH(CZ$4&amp;CZ$5,Demand_current!$D$2:$BW$2&amp;Demand_current!$D$3:$BW$3, 0))/1000</f>
        <v>0.67875240384615343</v>
      </c>
      <c r="DA41" s="103">
        <f t="array" ref="DA41">INDEX(Demand_current!$D$4:$BW$137, MATCH($A41, Demand_current!$B$4:$B$137, 0), MATCH(DA$4&amp;DA$5,Demand_current!$D$2:$BW$2&amp;Demand_current!$D$3:$BW$3, 0))/1000</f>
        <v>0.27924999999999967</v>
      </c>
      <c r="DB41" s="103">
        <f t="array" ref="DB41">INDEX(Demand_current!$D$4:$BW$137, MATCH($A41, Demand_current!$B$4:$B$137, 0), MATCH(DB$4&amp;DB$5,Demand_current!$D$2:$BW$2&amp;Demand_current!$D$3:$BW$3, 0))/1000</f>
        <v>0.35367307692307703</v>
      </c>
      <c r="DC41" s="103">
        <f t="array" ref="DC41">INDEX(Demand_current!$D$4:$BW$137, MATCH($A41, Demand_current!$B$4:$B$137, 0), MATCH(DC$4&amp;DC$5,Demand_current!$D$2:$BW$2&amp;Demand_current!$D$3:$BW$3, 0))/1000</f>
        <v>0.48660576923076948</v>
      </c>
      <c r="DD41" s="103">
        <f t="array" ref="DD41">INDEX(Demand_current!$D$4:$BW$137, MATCH($A41, Demand_current!$B$4:$B$137, 0), MATCH(DD$4&amp;DD$5,Demand_current!$D$2:$BW$2&amp;Demand_current!$D$3:$BW$3, 0))/1000</f>
        <v>0.24760250000000017</v>
      </c>
      <c r="DE41" s="103">
        <f t="array" ref="DE41">INDEX(Demand_current!$D$4:$BW$137, MATCH($A41, Demand_current!$B$4:$B$137, 0), MATCH(DE$4&amp;DE$5,Demand_current!$D$2:$BW$2&amp;Demand_current!$D$3:$BW$3, 0))/1000</f>
        <v>0.30088461538461547</v>
      </c>
      <c r="DF41" s="103">
        <f t="array" ref="DF41">INDEX(Demand_current!$D$4:$BW$137, MATCH($A41, Demand_current!$B$4:$B$137, 0), MATCH(DF$4&amp;DF$5,Demand_current!$D$2:$BW$2&amp;Demand_current!$D$3:$BW$3, 0))/1000</f>
        <v>0.26589903846153828</v>
      </c>
      <c r="DG41" s="103">
        <f t="array" ref="DG41">INDEX(Demand_current!$D$4:$BW$137, MATCH($A41, Demand_current!$B$4:$B$137, 0), MATCH(DG$4&amp;DG$5,Demand_current!$D$2:$BW$2&amp;Demand_current!$D$3:$BW$3, 0))/1000</f>
        <v>0.23663942307692321</v>
      </c>
      <c r="DH41" s="103">
        <f t="array" ref="DH41">INDEX(Demand_current!$D$4:$BW$137, MATCH($A41, Demand_current!$B$4:$B$137, 0), MATCH(DH$4&amp;DH$5,Demand_current!$D$2:$BW$2&amp;Demand_current!$D$3:$BW$3, 0))/1000</f>
        <v>0.29727750000000008</v>
      </c>
      <c r="DI41" s="102">
        <f>$BS41*(VLOOKUP(DI$4, Rates_current!$H$6:$R$41, 10, FALSE)+VLOOKUP(DI$4, Rates_current!$H$6:$R$41, 11, FALSE))</f>
        <v>1169.1360193644255</v>
      </c>
      <c r="DJ41" s="102">
        <f>$BS41*(VLOOKUP(DJ$4, Rates_current!$H$6:$R$41, 10, FALSE)+VLOOKUP(DJ$4, Rates_current!$H$6:$R$41, 11, FALSE))</f>
        <v>1494.7019220592254</v>
      </c>
      <c r="DK41" s="102">
        <f>$BS41*(VLOOKUP(DK$4, Rates_current!$H$6:$R$41, 10, FALSE)+VLOOKUP(DK$4, Rates_current!$H$6:$R$41, 11, FALSE))</f>
        <v>1699.3510730662085</v>
      </c>
      <c r="DL41" s="102">
        <f>$BS41*(VLOOKUP(DL$4, Rates_current!$H$6:$R$41, 10, FALSE)+VLOOKUP(DL$4, Rates_current!$H$6:$R$41, 11, FALSE))</f>
        <v>1792.9480315354062</v>
      </c>
      <c r="DM41" s="102">
        <f>$BS41*(VLOOKUP(DM$4, Rates_current!$H$6:$R$41, 10, FALSE)+VLOOKUP(DM$4, Rates_current!$H$6:$R$41, 11, FALSE))</f>
        <v>1428.8177613886526</v>
      </c>
      <c r="DN41" s="102">
        <f>$BS41*(VLOOKUP(DN$4, Rates_current!$H$6:$R$41, 10, FALSE)+VLOOKUP(DN$4, Rates_current!$H$6:$R$41, 11, FALSE))</f>
        <v>1561.9912291363901</v>
      </c>
      <c r="DO41" s="102">
        <f>$BS41*(VLOOKUP(DO$4, Rates_current!$H$6:$R$41, 10, FALSE)+VLOOKUP(DO$4, Rates_current!$H$6:$R$41, 11, FALSE))</f>
        <v>1210.5589147630085</v>
      </c>
      <c r="DP41" s="102">
        <f>$BS41*(VLOOKUP(DP$4, Rates_current!$H$6:$R$41, 10, FALSE)+VLOOKUP(DP$4, Rates_current!$H$6:$R$41, 11, FALSE))</f>
        <v>1566.6625570731094</v>
      </c>
      <c r="DQ41" s="102">
        <f>$BS41*(VLOOKUP(DQ$4, Rates_current!$H$6:$R$41, 10, FALSE)+VLOOKUP(DQ$4, Rates_current!$H$6:$R$41, 11, FALSE))</f>
        <v>1600.1153632200976</v>
      </c>
      <c r="DR41" s="102">
        <f>$BS41*(VLOOKUP(DR$4, Rates_current!$H$6:$R$41, 10, FALSE)+VLOOKUP(DR$4, Rates_current!$H$6:$R$41, 11, FALSE))</f>
        <v>1424.2410588150133</v>
      </c>
      <c r="DS41" s="102">
        <f>$BS41*(VLOOKUP(DS$4, Rates_current!$H$6:$R$41, 10, FALSE)+VLOOKUP(DS$4, Rates_current!$H$6:$R$41, 11, FALSE))</f>
        <v>1461.0101290841124</v>
      </c>
      <c r="DT41" s="102">
        <f>$BS41*(VLOOKUP(DT$4, Rates_current!$H$6:$R$41, 10, FALSE)+VLOOKUP(DT$4, Rates_current!$H$6:$R$41, 11, FALSE))</f>
        <v>1134.649498849147</v>
      </c>
      <c r="DU41" s="261">
        <f>IF(D41=0,IF(C41=0,MAX(0,DW41 - (VLOOKUP($A41,TOCA_current!$A$2:$AV$136,MATCH("RHWM "&amp;Init!$D$1,TOCA_current!$A$2:$AV$2,0),FALSE)*$BS$2)), 0),0)</f>
        <v>0</v>
      </c>
      <c r="DV41" s="262">
        <f>MIN(VLOOKUP($A41,TOCA_current!$A$2:$AV$136,MATCH("TRL - NLSL - Existing Resource "&amp;$BS$1,TOCA_current!$A$2:$AV$2,0),FALSE)*$BS$2, VLOOKUP($A41,TOCA_current!$A$2:$AV$136,MATCH("RHWM "&amp;Init!$D$1,TOCA_current!$A$2:$AV$2,0),FALSE)*$BS$2)</f>
        <v>17546.280000000002</v>
      </c>
      <c r="DW41" s="262">
        <f>SUM(BY41:CV41)+(BS41*RT1SC!$C$4*$BS$2)</f>
        <v>17550.478035629207</v>
      </c>
      <c r="DX41" s="262">
        <f>VLOOKUP($A41,TOCA_current!$A$2:$AV$136,MATCH("Above RHWM Not Served with LS "&amp;$BS$1,TOCA_current!$A$2:$AV$2,0),FALSE)*$BS$2</f>
        <v>0</v>
      </c>
      <c r="DY41" s="262">
        <f t="shared" si="28"/>
        <v>4.1980356292042416</v>
      </c>
      <c r="DZ41" s="262">
        <f>(VLOOKUP($A41,TOCA_current!$A$2:$AV$136,MATCH("RHWM "&amp;Init!$D$1,TOCA_current!$A$2:$AV$2,0),FALSE)*$BS$2) - $DV41</f>
        <v>402.95999999999549</v>
      </c>
      <c r="EA41" s="262">
        <f t="shared" si="29"/>
        <v>-4.1980356292042416</v>
      </c>
      <c r="EB41" s="262">
        <f t="shared" si="30"/>
        <v>0</v>
      </c>
      <c r="EC41" s="262">
        <f t="shared" si="31"/>
        <v>0</v>
      </c>
      <c r="ED41" s="262">
        <f t="shared" si="32"/>
        <v>-4.1980356292042416</v>
      </c>
    </row>
    <row r="42" spans="1:134">
      <c r="A42" s="2">
        <v>10101</v>
      </c>
      <c r="B42" s="3" t="s">
        <v>44</v>
      </c>
      <c r="C42">
        <f>VLOOKUP(A42, TOCA_current!$A$3:$D$136, 4, FALSE)</f>
        <v>0</v>
      </c>
      <c r="D42">
        <v>0</v>
      </c>
      <c r="E42" s="84">
        <f>VLOOKUP($A42,TOCA_previous!$A$2:$AJ$136,MATCH(E$4,TOCA_previous!$A$2:$AJ$2,0),FALSE)</f>
        <v>1.10066E-2</v>
      </c>
      <c r="F42" s="85">
        <f>VLOOKUP($A42,TOCA_previous!$A$2:$AJ$136,MATCH(F$4,TOCA_previous!$A$2:$AJ$2,0),FALSE)</f>
        <v>1.10066E-2</v>
      </c>
      <c r="G42" s="85">
        <f t="shared" si="18"/>
        <v>0</v>
      </c>
      <c r="H42" s="85">
        <f>VLOOKUP($A42,TOCA_previous!$A$2:$AJ$136,MATCH(H$4,TOCA_previous!$A$2:$AJ$2,0),FALSE)</f>
        <v>5.0953596043562893E-2</v>
      </c>
      <c r="I42" s="85">
        <f t="shared" si="19"/>
        <v>0</v>
      </c>
      <c r="J42" s="85">
        <f t="shared" si="20"/>
        <v>0</v>
      </c>
      <c r="K42" s="101">
        <f>VLOOKUP(A42, IRD!$A$5:$C$138, 3, FALSE)</f>
        <v>0</v>
      </c>
      <c r="L42" s="102">
        <f t="array" ref="L42">IF($G42=0, INDEX(LS_previous!$D$4:$AY$137, MATCH('Staging Table'!$A42, LS_previous!$B$4:$B$137, 0), MATCH(L$4&amp;L$5, LS_previous!$D$2:$AY$2&amp;LS_previous!$D$3:$AY$3, 0)),SUM(VLOOKUP($A42, LS_previous!$B$4:$AY$137, LS_previous!D$148, FALSE), VLOOKUP('Staging Table'!$A42, LS_previous!$B$4:$AY$137,LS_previous!AB$148, FALSE))/2)</f>
        <v>5486.3114733623988</v>
      </c>
      <c r="M42" s="102">
        <f t="array" ref="M42">IF($G42=0, INDEX(LS_previous!$D$4:$AY$137, MATCH('Staging Table'!$A42, LS_previous!$B$4:$B$137, 0), MATCH(M$4&amp;M$5, LS_previous!$D$2:$AY$2&amp;LS_previous!$D$3:$AY$3, 0)),SUM(VLOOKUP($A42, LS_previous!$B$4:$AY$137, LS_previous!E$148, FALSE), VLOOKUP('Staging Table'!$A42, LS_previous!$B$4:$AY$137,LS_previous!AC$148, FALSE))/2)</f>
        <v>1438.670045311701</v>
      </c>
      <c r="N42" s="102">
        <f t="array" ref="N42">IF($G42=0, INDEX(LS_previous!$D$4:$AY$137, MATCH('Staging Table'!$A42, LS_previous!$B$4:$B$137, 0), MATCH(N$4&amp;N$5, LS_previous!$D$2:$AY$2&amp;LS_previous!$D$3:$AY$3, 0)),SUM(VLOOKUP($A42, LS_previous!$B$4:$AY$137, LS_previous!F$148, FALSE), VLOOKUP('Staging Table'!$A42, LS_previous!$B$4:$AY$137,LS_previous!AD$148, FALSE))/2)</f>
        <v>4861.1167756352006</v>
      </c>
      <c r="O42" s="102">
        <f t="array" ref="O42">IF($G42=0, INDEX(LS_previous!$D$4:$AY$137, MATCH('Staging Table'!$A42, LS_previous!$B$4:$B$137, 0), MATCH(O$4&amp;O$5, LS_previous!$D$2:$AY$2&amp;LS_previous!$D$3:$AY$3, 0)),SUM(VLOOKUP($A42, LS_previous!$B$4:$AY$137, LS_previous!G$148, FALSE), VLOOKUP('Staging Table'!$A42, LS_previous!$B$4:$AY$137,LS_previous!AE$148, FALSE))/2)</f>
        <v>4221.6722600354005</v>
      </c>
      <c r="P42" s="102">
        <f t="array" ref="P42">IF($G42=0, INDEX(LS_previous!$D$4:$AY$137, MATCH('Staging Table'!$A42, LS_previous!$B$4:$B$137, 0), MATCH(P$4&amp;P$5, LS_previous!$D$2:$AY$2&amp;LS_previous!$D$3:$AY$3, 0)),SUM(VLOOKUP($A42, LS_previous!$B$4:$AY$137, LS_previous!H$148, FALSE), VLOOKUP('Staging Table'!$A42, LS_previous!$B$4:$AY$137,LS_previous!AF$148, FALSE))/2)</f>
        <v>12604.573665122603</v>
      </c>
      <c r="Q42" s="102">
        <f t="array" ref="Q42">IF($G42=0, INDEX(LS_previous!$D$4:$AY$137, MATCH('Staging Table'!$A42, LS_previous!$B$4:$B$137, 0), MATCH(Q$4&amp;Q$5, LS_previous!$D$2:$AY$2&amp;LS_previous!$D$3:$AY$3, 0)),SUM(VLOOKUP($A42, LS_previous!$B$4:$AY$137, LS_previous!I$148, FALSE), VLOOKUP('Staging Table'!$A42, LS_previous!$B$4:$AY$137,LS_previous!AG$148, FALSE))/2)</f>
        <v>9093.6307856063977</v>
      </c>
      <c r="R42" s="102">
        <f t="array" ref="R42">IF($G42=0, INDEX(LS_previous!$D$4:$AY$137, MATCH('Staging Table'!$A42, LS_previous!$B$4:$B$137, 0), MATCH(R$4&amp;R$5, LS_previous!$D$2:$AY$2&amp;LS_previous!$D$3:$AY$3, 0)),SUM(VLOOKUP($A42, LS_previous!$B$4:$AY$137, LS_previous!J$148, FALSE), VLOOKUP('Staging Table'!$A42, LS_previous!$B$4:$AY$137,LS_previous!AH$148, FALSE))/2)</f>
        <v>10661.355569681007</v>
      </c>
      <c r="S42" s="102">
        <f t="array" ref="S42">IF($G42=0, INDEX(LS_previous!$D$4:$AY$137, MATCH('Staging Table'!$A42, LS_previous!$B$4:$B$137, 0), MATCH(S$4&amp;S$5, LS_previous!$D$2:$AY$2&amp;LS_previous!$D$3:$AY$3, 0)),SUM(VLOOKUP($A42, LS_previous!$B$4:$AY$137, LS_previous!K$148, FALSE), VLOOKUP('Staging Table'!$A42, LS_previous!$B$4:$AY$137,LS_previous!AI$148, FALSE))/2)</f>
        <v>9610.1549700085998</v>
      </c>
      <c r="T42" s="102">
        <f t="array" ref="T42">IF($G42=0, INDEX(LS_previous!$D$4:$AY$137, MATCH('Staging Table'!$A42, LS_previous!$B$4:$B$137, 0), MATCH(T$4&amp;T$5, LS_previous!$D$2:$AY$2&amp;LS_previous!$D$3:$AY$3, 0)),SUM(VLOOKUP($A42, LS_previous!$B$4:$AY$137, LS_previous!L$148, FALSE), VLOOKUP('Staging Table'!$A42, LS_previous!$B$4:$AY$137,LS_previous!AJ$148, FALSE))/2)</f>
        <v>8458.3593581985988</v>
      </c>
      <c r="U42" s="102">
        <f t="array" ref="U42">IF($G42=0, INDEX(LS_previous!$D$4:$AY$137, MATCH('Staging Table'!$A42, LS_previous!$B$4:$B$137, 0), MATCH(U$4&amp;U$5, LS_previous!$D$2:$AY$2&amp;LS_previous!$D$3:$AY$3, 0)),SUM(VLOOKUP($A42, LS_previous!$B$4:$AY$137, LS_previous!M$148, FALSE), VLOOKUP('Staging Table'!$A42, LS_previous!$B$4:$AY$137,LS_previous!AK$148, FALSE))/2)</f>
        <v>7758.5050980705964</v>
      </c>
      <c r="V42" s="102">
        <f t="array" ref="V42">IF($G42=0, INDEX(LS_previous!$D$4:$AY$137, MATCH('Staging Table'!$A42, LS_previous!$B$4:$B$137, 0), MATCH(V$4&amp;V$5, LS_previous!$D$2:$AY$2&amp;LS_previous!$D$3:$AY$3, 0)),SUM(VLOOKUP($A42, LS_previous!$B$4:$AY$137, LS_previous!N$148, FALSE), VLOOKUP('Staging Table'!$A42, LS_previous!$B$4:$AY$137,LS_previous!AL$148, FALSE))/2)</f>
        <v>4284.9472908542084</v>
      </c>
      <c r="W42" s="102">
        <f t="array" ref="W42">IF($G42=0, INDEX(LS_previous!$D$4:$AY$137, MATCH('Staging Table'!$A42, LS_previous!$B$4:$B$137, 0), MATCH(W$4&amp;W$5, LS_previous!$D$2:$AY$2&amp;LS_previous!$D$3:$AY$3, 0)),SUM(VLOOKUP($A42, LS_previous!$B$4:$AY$137, LS_previous!O$148, FALSE), VLOOKUP('Staging Table'!$A42, LS_previous!$B$4:$AY$137,LS_previous!AM$148, FALSE))/2)</f>
        <v>2195.8910582651988</v>
      </c>
      <c r="X42" s="102">
        <f t="array" ref="X42">IF($G42=0, INDEX(LS_previous!$D$4:$AY$137, MATCH('Staging Table'!$A42, LS_previous!$B$4:$B$137, 0), MATCH(X$4&amp;X$5, LS_previous!$D$2:$AY$2&amp;LS_previous!$D$3:$AY$3, 0)),SUM(VLOOKUP($A42, LS_previous!$B$4:$AY$137, LS_previous!P$148, FALSE), VLOOKUP('Staging Table'!$A42, LS_previous!$B$4:$AY$137,LS_previous!AN$148, FALSE))/2)</f>
        <v>3247.7135561685027</v>
      </c>
      <c r="Y42" s="102">
        <f t="array" ref="Y42">IF($G42=0, INDEX(LS_previous!$D$4:$AY$137, MATCH('Staging Table'!$A42, LS_previous!$B$4:$B$137, 0), MATCH(Y$4&amp;Y$5, LS_previous!$D$2:$AY$2&amp;LS_previous!$D$3:$AY$3, 0)),SUM(VLOOKUP($A42, LS_previous!$B$4:$AY$137, LS_previous!Q$148, FALSE), VLOOKUP('Staging Table'!$A42, LS_previous!$B$4:$AY$137,LS_previous!AO$148, FALSE))/2)</f>
        <v>1678.5365119024536</v>
      </c>
      <c r="Z42" s="102">
        <f t="array" ref="Z42">IF($G42=0, INDEX(LS_previous!$D$4:$AY$137, MATCH('Staging Table'!$A42, LS_previous!$B$4:$B$137, 0), MATCH(Z$4&amp;Z$5, LS_previous!$D$2:$AY$2&amp;LS_previous!$D$3:$AY$3, 0)),SUM(VLOOKUP($A42, LS_previous!$B$4:$AY$137, LS_previous!R$148, FALSE), VLOOKUP('Staging Table'!$A42, LS_previous!$B$4:$AY$137,LS_previous!AP$148, FALSE))/2)</f>
        <v>-9653.2343191967993</v>
      </c>
      <c r="AA42" s="102">
        <f t="array" ref="AA42">IF($G42=0, INDEX(LS_previous!$D$4:$AY$137, MATCH('Staging Table'!$A42, LS_previous!$B$4:$B$137, 0), MATCH(AA$4&amp;AA$5, LS_previous!$D$2:$AY$2&amp;LS_previous!$D$3:$AY$3, 0)),SUM(VLOOKUP($A42, LS_previous!$B$4:$AY$137, LS_previous!S$148, FALSE), VLOOKUP('Staging Table'!$A42, LS_previous!$B$4:$AY$137,LS_previous!AQ$148, FALSE))/2)</f>
        <v>-5590.0453999460951</v>
      </c>
      <c r="AB42" s="102">
        <f t="array" ref="AB42">IF($G42=0, INDEX(LS_previous!$D$4:$AY$137, MATCH('Staging Table'!$A42, LS_previous!$B$4:$B$137, 0), MATCH(AB$4&amp;AB$5, LS_previous!$D$2:$AY$2&amp;LS_previous!$D$3:$AY$3, 0)),SUM(VLOOKUP($A42, LS_previous!$B$4:$AY$137, LS_previous!T$148, FALSE), VLOOKUP('Staging Table'!$A42, LS_previous!$B$4:$AY$137,LS_previous!AR$148, FALSE))/2)</f>
        <v>-14261.831238311599</v>
      </c>
      <c r="AC42" s="102">
        <f t="array" ref="AC42">IF($G42=0, INDEX(LS_previous!$D$4:$AY$137, MATCH('Staging Table'!$A42, LS_previous!$B$4:$B$137, 0), MATCH(AC$4&amp;AC$5, LS_previous!$D$2:$AY$2&amp;LS_previous!$D$3:$AY$3, 0)),SUM(VLOOKUP($A42, LS_previous!$B$4:$AY$137, LS_previous!U$148, FALSE), VLOOKUP('Staging Table'!$A42, LS_previous!$B$4:$AY$137,LS_previous!AS$148, FALSE))/2)</f>
        <v>-8459.6048148597001</v>
      </c>
      <c r="AD42" s="102">
        <f t="array" ref="AD42">IF($G42=0, INDEX(LS_previous!$D$4:$AY$137, MATCH('Staging Table'!$A42, LS_previous!$B$4:$B$137, 0), MATCH(AD$4&amp;AD$5, LS_previous!$D$2:$AY$2&amp;LS_previous!$D$3:$AY$3, 0)),SUM(VLOOKUP($A42, LS_previous!$B$4:$AY$137, LS_previous!V$148, FALSE), VLOOKUP('Staging Table'!$A42, LS_previous!$B$4:$AY$137,LS_previous!AT$148, FALSE))/2)</f>
        <v>-9801.6978136424004</v>
      </c>
      <c r="AE42" s="102">
        <f t="array" ref="AE42">IF($G42=0, INDEX(LS_previous!$D$4:$AY$137, MATCH('Staging Table'!$A42, LS_previous!$B$4:$B$137, 0), MATCH(AE$4&amp;AE$5, LS_previous!$D$2:$AY$2&amp;LS_previous!$D$3:$AY$3, 0)),SUM(VLOOKUP($A42, LS_previous!$B$4:$AY$137, LS_previous!W$148, FALSE), VLOOKUP('Staging Table'!$A42, LS_previous!$B$4:$AY$137,LS_previous!AU$148, FALSE))/2)</f>
        <v>-4913.4180718414991</v>
      </c>
      <c r="AF42" s="102">
        <f t="array" ref="AF42">IF($G42=0, INDEX(LS_previous!$D$4:$AY$137, MATCH('Staging Table'!$A42, LS_previous!$B$4:$B$137, 0), MATCH(AF$4&amp;AF$5, LS_previous!$D$2:$AY$2&amp;LS_previous!$D$3:$AY$3, 0)),SUM(VLOOKUP($A42, LS_previous!$B$4:$AY$137, LS_previous!X$148, FALSE), VLOOKUP('Staging Table'!$A42, LS_previous!$B$4:$AY$137,LS_previous!AV$148, FALSE))/2)</f>
        <v>-8173.076601631903</v>
      </c>
      <c r="AG42" s="102">
        <f t="array" ref="AG42">IF($G42=0, INDEX(LS_previous!$D$4:$AY$137, MATCH('Staging Table'!$A42, LS_previous!$B$4:$B$137, 0), MATCH(AG$4&amp;AG$5, LS_previous!$D$2:$AY$2&amp;LS_previous!$D$3:$AY$3, 0)),SUM(VLOOKUP($A42, LS_previous!$B$4:$AY$137, LS_previous!Y$148, FALSE), VLOOKUP('Staging Table'!$A42, LS_previous!$B$4:$AY$137,LS_previous!AW$148, FALSE))/2)</f>
        <v>-4897.284149677007</v>
      </c>
      <c r="AH42" s="102">
        <f t="array" ref="AH42">IF($G42=0, INDEX(LS_previous!$D$4:$AY$137, MATCH('Staging Table'!$A42, LS_previous!$B$4:$B$137, 0), MATCH(AH$4&amp;AH$5, LS_previous!$D$2:$AY$2&amp;LS_previous!$D$3:$AY$3, 0)),SUM(VLOOKUP($A42, LS_previous!$B$4:$AY$137, LS_previous!Z$148, FALSE), VLOOKUP('Staging Table'!$A42, LS_previous!$B$4:$AY$137,LS_previous!AX$148, FALSE))/2)</f>
        <v>-3793.9866066084032</v>
      </c>
      <c r="AI42" s="102">
        <f t="array" ref="AI42">IF($G42=0, INDEX(LS_previous!$D$4:$AY$137, MATCH('Staging Table'!$A42, LS_previous!$B$4:$B$137, 0), MATCH(AI$4&amp;AI$5, LS_previous!$D$2:$AY$2&amp;LS_previous!$D$3:$AY$3, 0)),SUM(VLOOKUP($A42, LS_previous!$B$4:$AY$137, LS_previous!AA$148, FALSE), VLOOKUP('Staging Table'!$A42, LS_previous!$B$4:$AY$137,LS_previous!AY$148, FALSE))/2)</f>
        <v>-3522.4963800864007</v>
      </c>
      <c r="AJ42" s="103">
        <f t="array" ref="AJ42">INDEX(Demand_previous!$D$4:$AY$137, MATCH('Staging Table'!$A42, Demand_previous!$B$4:$B$137, 0), MATCH(AJ$4&amp;AJ$5,Demand_previous!$D$2:$AY$2&amp;Demand_previous!$D$3:$AY$3, 0))/1000</f>
        <v>0</v>
      </c>
      <c r="AK42" s="103">
        <f t="array" ref="AK42">INDEX(Demand_previous!$D$4:$AY$137, MATCH('Staging Table'!$A42, Demand_previous!$B$4:$B$137, 0), MATCH(AK$4&amp;AK$5,Demand_previous!$D$2:$AY$2&amp;Demand_previous!$D$3:$AY$3, 0))/1000</f>
        <v>0</v>
      </c>
      <c r="AL42" s="103">
        <f t="array" ref="AL42">INDEX(Demand_previous!$D$4:$AY$137, MATCH('Staging Table'!$A42, Demand_previous!$B$4:$B$137, 0), MATCH(AL$4&amp;AL$5,Demand_previous!$D$2:$AY$2&amp;Demand_previous!$D$3:$AY$3, 0))/1000</f>
        <v>19.231119999999983</v>
      </c>
      <c r="AM42" s="103">
        <f t="array" ref="AM42">INDEX(Demand_previous!$D$4:$AY$137, MATCH('Staging Table'!$A42, Demand_previous!$B$4:$B$137, 0), MATCH(AM$4&amp;AM$5,Demand_previous!$D$2:$AY$2&amp;Demand_previous!$D$3:$AY$3, 0))/1000</f>
        <v>19.019163461538461</v>
      </c>
      <c r="AN42" s="103">
        <f t="array" ref="AN42">INDEX(Demand_previous!$D$4:$AY$137, MATCH('Staging Table'!$A42, Demand_previous!$B$4:$B$137, 0), MATCH(AN$4&amp;AN$5,Demand_previous!$D$2:$AY$2&amp;Demand_previous!$D$3:$AY$3, 0))/1000</f>
        <v>22.220764999999993</v>
      </c>
      <c r="AO42" s="103">
        <f t="array" ref="AO42">INDEX(Demand_previous!$D$4:$AY$137, MATCH('Staging Table'!$A42, Demand_previous!$B$4:$B$137, 0), MATCH(AO$4&amp;AO$5,Demand_previous!$D$2:$AY$2&amp;Demand_previous!$D$3:$AY$3, 0))/1000</f>
        <v>11.989088942307681</v>
      </c>
      <c r="AP42" s="103">
        <f t="array" ref="AP42">INDEX(Demand_previous!$D$4:$AY$137, MATCH('Staging Table'!$A42, Demand_previous!$B$4:$B$137, 0), MATCH(AP$4&amp;AP$5,Demand_previous!$D$2:$AY$2&amp;Demand_previous!$D$3:$AY$3, 0))/1000</f>
        <v>18.76506009615386</v>
      </c>
      <c r="AQ42" s="103">
        <f t="array" ref="AQ42">INDEX(Demand_previous!$D$4:$AY$137, MATCH('Staging Table'!$A42, Demand_previous!$B$4:$B$137, 0), MATCH(AQ$4&amp;AQ$5,Demand_previous!$D$2:$AY$2&amp;Demand_previous!$D$3:$AY$3, 0))/1000</f>
        <v>16.456776442307678</v>
      </c>
      <c r="AR42" s="103">
        <f t="array" ref="AR42">INDEX(Demand_previous!$D$4:$AY$137, MATCH('Staging Table'!$A42, Demand_previous!$B$4:$B$137, 0), MATCH(AR$4&amp;AR$5,Demand_previous!$D$2:$AY$2&amp;Demand_previous!$D$3:$AY$3, 0))/1000</f>
        <v>8.6116199999999985</v>
      </c>
      <c r="AS42" s="103">
        <f t="array" ref="AS42">INDEX(Demand_previous!$D$4:$AY$137, MATCH('Staging Table'!$A42, Demand_previous!$B$4:$B$137, 0), MATCH(AS$4&amp;AS$5,Demand_previous!$D$2:$AY$2&amp;Demand_previous!$D$3:$AY$3, 0))/1000</f>
        <v>7.8247163461538403</v>
      </c>
      <c r="AT42" s="103">
        <f t="array" ref="AT42">INDEX(Demand_previous!$D$4:$AY$137, MATCH('Staging Table'!$A42, Demand_previous!$B$4:$B$137, 0), MATCH(AT$4&amp;AT$5,Demand_previous!$D$2:$AY$2&amp;Demand_previous!$D$3:$AY$3, 0))/1000</f>
        <v>9.7674351851851799</v>
      </c>
      <c r="AU42" s="103">
        <f t="array" ref="AU42">INDEX(Demand_previous!$D$4:$AY$137, MATCH('Staging Table'!$A42, Demand_previous!$B$4:$B$137, 0), MATCH(AU$4&amp;AU$5,Demand_previous!$D$2:$AY$2&amp;Demand_previous!$D$3:$AY$3, 0))/1000</f>
        <v>0</v>
      </c>
      <c r="AV42" s="102">
        <f>$F42*(VLOOKUP(AV$4, Rates_previous!$G$6:$Q$29, 10, FALSE)+VLOOKUP(AV$4, Rates_previous!$G$6:$Q$29, 11, FALSE))</f>
        <v>46434.685481325898</v>
      </c>
      <c r="AW42" s="102">
        <f>$F42*(VLOOKUP(AW$4, Rates_previous!$G$6:$Q$29, 10, FALSE)+VLOOKUP(AW$4, Rates_previous!$G$6:$Q$29, 11, FALSE))</f>
        <v>59219.535964329407</v>
      </c>
      <c r="AX42" s="102">
        <f>$F42*(VLOOKUP(AX$4, Rates_previous!$G$6:$Q$29, 10, FALSE)+VLOOKUP(AX$4, Rates_previous!$G$6:$Q$29, 11, FALSE))</f>
        <v>63909.596549271009</v>
      </c>
      <c r="AY42" s="102">
        <f>$F42*(VLOOKUP(AY$4, Rates_previous!$G$6:$Q$29, 10, FALSE)+VLOOKUP(AY$4, Rates_previous!$G$6:$Q$29, 11, FALSE))</f>
        <v>66411.9504603104</v>
      </c>
      <c r="AZ42" s="102">
        <f>$F42*(VLOOKUP(AZ$4, Rates_previous!$G$6:$Q$29, 10, FALSE)+VLOOKUP(AZ$4, Rates_previous!$G$6:$Q$29, 11, FALSE))</f>
        <v>57123.129543730793</v>
      </c>
      <c r="BA42" s="102">
        <f>$F42*(VLOOKUP(BA$4, Rates_previous!$G$6:$Q$29, 10, FALSE)+VLOOKUP(BA$4, Rates_previous!$G$6:$Q$29, 11, FALSE))</f>
        <v>62367.147650880601</v>
      </c>
      <c r="BB42" s="102">
        <f>$F42*(VLOOKUP(BB$4, Rates_previous!$G$6:$Q$29, 10, FALSE)+VLOOKUP(BB$4, Rates_previous!$G$6:$Q$29, 11, FALSE))</f>
        <v>49228.352931929046</v>
      </c>
      <c r="BC42" s="102">
        <f>$F42*(VLOOKUP(BC$4, Rates_previous!$G$6:$Q$29, 10, FALSE)+VLOOKUP(BC$4, Rates_previous!$G$6:$Q$29, 11, FALSE))</f>
        <v>61074.368719142905</v>
      </c>
      <c r="BD42" s="102">
        <f>$F42*(VLOOKUP(BD$4, Rates_previous!$G$6:$Q$29, 10, FALSE)+VLOOKUP(BD$4, Rates_previous!$G$6:$Q$29, 11, FALSE))</f>
        <v>62399.530053171293</v>
      </c>
      <c r="BE42" s="102">
        <f>$F42*(VLOOKUP(BE$4, Rates_previous!$G$6:$Q$29, 10, FALSE)+VLOOKUP(BE$4, Rates_previous!$G$6:$Q$29, 11, FALSE))</f>
        <v>54171.781885483899</v>
      </c>
      <c r="BF42" s="102">
        <f>$F42*(VLOOKUP(BF$4, Rates_previous!$G$6:$Q$29, 10, FALSE)+VLOOKUP(BF$4, Rates_previous!$G$6:$Q$29, 11, FALSE))</f>
        <v>52369.713751308918</v>
      </c>
      <c r="BG42" s="102">
        <f>$F42*(VLOOKUP(BG$4, Rates_previous!$G$6:$Q$29, 10, FALSE)+VLOOKUP(BG$4, Rates_previous!$G$6:$Q$29, 11, FALSE))</f>
        <v>48190.277986694804</v>
      </c>
      <c r="BH42" s="103">
        <f>IF($D42=0,IF(C42=0, MAX(BJ42 - (VLOOKUP($A42,TOCA_previous!$A$2:$AJ$136,MATCH("RHWM "&amp;Init!$D$1-2,TOCA_previous!$A$2:$AJ$2,0),FALSE)*$F$2*TOCA_previous!C39),0),0), 0)</f>
        <v>27604.885130276904</v>
      </c>
      <c r="BI42" s="109">
        <f>MIN(VLOOKUP($A42,TOCA_previous!$A$2:$AJ$136,MATCH("TRL - NLSL - Existing Resource "&amp;$F$1,TOCA_previous!$A$2:$AJ$2,0),FALSE)*$F$2,(VLOOKUP($A42,TOCA_previous!$A$2:$AJ$136,MATCH("RHWM "&amp;Init!$D$1-2,TOCA_previous!$A$2:$AJ$2,0),FALSE)*$F$2))</f>
        <v>667829.95200000005</v>
      </c>
      <c r="BJ42" s="261">
        <f>SUM(L42:AI42)+(F42*RT1SC!$C$3*$F$2)</f>
        <v>695434.83713027695</v>
      </c>
      <c r="BK42" s="260">
        <f>VLOOKUP($A42,TOCA_previous!$A$2:$AJ$136,MATCH("Above RHWM Not Served with LS "&amp;$F$1,TOCA_previous!$A$2:$AJ$2,0),FALSE)*$F$2</f>
        <v>12736.8</v>
      </c>
      <c r="BL42" s="261">
        <f t="shared" si="21"/>
        <v>27604.885130276904</v>
      </c>
      <c r="BM42" s="260">
        <f>(VLOOKUP($A42,TOCA_previous!$A$2:$AJ$136,MATCH("RHWM "&amp;Init!$D$1-2,TOCA_previous!$A$2:$AJ$2,0),FALSE)*$F$2) - $BI42</f>
        <v>0</v>
      </c>
      <c r="BN42" s="261">
        <f t="shared" si="22"/>
        <v>0</v>
      </c>
      <c r="BO42" s="260">
        <f t="shared" si="23"/>
        <v>0</v>
      </c>
      <c r="BP42" s="261">
        <f t="shared" si="24"/>
        <v>0</v>
      </c>
      <c r="BQ42" s="260">
        <f t="shared" si="9"/>
        <v>0</v>
      </c>
      <c r="BR42" s="85">
        <f>VLOOKUP($A42,TOCA_current!$A$2:$ZZ$136,MATCH(BR$4,TOCA_current!$A$2:$ZZ$2,0),FALSE)</f>
        <v>1.07554E-2</v>
      </c>
      <c r="BS42" s="85">
        <f>VLOOKUP($A42,TOCA_current!$A$2:$ZZ$136,MATCH(BS$4,TOCA_current!$A$2:$ZZ$2,0),FALSE)</f>
        <v>1.07554E-2</v>
      </c>
      <c r="BT42" s="108">
        <f t="shared" si="25"/>
        <v>0</v>
      </c>
      <c r="BU42" s="85">
        <f>VLOOKUP($A42,TOCA_current!A39:BG173,MATCH(BU$4,TOCA_current!$A$2:$BG$2,0),FALSE)</f>
        <v>5.2861402453377976E-2</v>
      </c>
      <c r="BV42" s="85">
        <f t="shared" si="26"/>
        <v>0</v>
      </c>
      <c r="BW42" s="85">
        <f t="shared" si="27"/>
        <v>0</v>
      </c>
      <c r="BX42" s="101">
        <f>VLOOKUP($A42,IRD!$A$4:$G$138, 7, FALSE)</f>
        <v>0</v>
      </c>
      <c r="BY42" s="102">
        <f t="array" ref="BY42">IF($BT42=0, INDEX(LS_current!$D$4:$BW$137, MATCH('Staging Table'!$A42, LS_current!$B$4:$B$137, 0), MATCH(BY$4&amp;BY$5, LS_current!$D$2:$BW$2&amp;LS_current!$D$3:$BW$3, 0)),SUM(VLOOKUP($A42, LS_current!$B$4:$BW$137, LS_current!D$147, FALSE), VLOOKUP($A42, LS_current!$B$4:$BW$137,LS_current!AZ$147, FALSE))/2)</f>
        <v>4478.8859916703404</v>
      </c>
      <c r="BZ42" s="102">
        <f t="array" ref="BZ42">IF($BT42=0, INDEX(LS_current!$D$4:$BW$137, MATCH('Staging Table'!$A42, LS_current!$B$4:$B$137, 0), MATCH(BZ$4&amp;BZ$5, LS_current!$D$2:$BW$2&amp;LS_current!$D$3:$BW$3, 0)),SUM(VLOOKUP($A42, LS_current!$B$4:$BW$137, LS_current!E$147, FALSE), VLOOKUP($A42, LS_current!$B$4:$BW$137,LS_current!BA$147, FALSE))/2)</f>
        <v>2065.8336619606744</v>
      </c>
      <c r="CA42" s="102">
        <f t="array" ref="CA42">IF($BT42=0, INDEX(LS_current!$D$4:$BW$137, MATCH('Staging Table'!$A42, LS_current!$B$4:$B$137, 0), MATCH(CA$4&amp;CA$5, LS_current!$D$2:$BW$2&amp;LS_current!$D$3:$BW$3, 0)),SUM(VLOOKUP($A42, LS_current!$B$4:$BW$137, LS_current!F$147, FALSE), VLOOKUP($A42, LS_current!$B$4:$BW$137,LS_current!BB$147, FALSE))/2)</f>
        <v>5214.137310685328</v>
      </c>
      <c r="CB42" s="102">
        <f t="array" ref="CB42">IF($BT42=0, INDEX(LS_current!$D$4:$BW$137, MATCH('Staging Table'!$A42, LS_current!$B$4:$B$137, 0), MATCH(CB$4&amp;CB$5, LS_current!$D$2:$BW$2&amp;LS_current!$D$3:$BW$3, 0)),SUM(VLOOKUP($A42, LS_current!$B$4:$BW$137, LS_current!G$147, FALSE), VLOOKUP($A42, LS_current!$B$4:$BW$137,LS_current!BC$147, FALSE))/2)</f>
        <v>3910.3235405188316</v>
      </c>
      <c r="CC42" s="102">
        <f t="array" ref="CC42">IF($BT42=0, INDEX(LS_current!$D$4:$BW$137, MATCH('Staging Table'!$A42, LS_current!$B$4:$B$137, 0), MATCH(CC$4&amp;CC$5, LS_current!$D$2:$BW$2&amp;LS_current!$D$3:$BW$3, 0)),SUM(VLOOKUP($A42, LS_current!$B$4:$BW$137, LS_current!H$147, FALSE), VLOOKUP($A42, LS_current!$B$4:$BW$137,LS_current!BD$147, FALSE))/2)</f>
        <v>8522.6955852799438</v>
      </c>
      <c r="CD42" s="102">
        <f t="array" ref="CD42">IF($BT42=0, INDEX(LS_current!$D$4:$BW$137, MATCH('Staging Table'!$A42, LS_current!$B$4:$B$137, 0), MATCH(CD$4&amp;CD$5, LS_current!$D$2:$BW$2&amp;LS_current!$D$3:$BW$3, 0)),SUM(VLOOKUP($A42, LS_current!$B$4:$BW$137, LS_current!I$147, FALSE), VLOOKUP($A42, LS_current!$B$4:$BW$137,LS_current!BE$147, FALSE))/2)</f>
        <v>10026.370391446009</v>
      </c>
      <c r="CE42" s="102">
        <f t="array" ref="CE42">IF($BT42=0, INDEX(LS_current!$D$4:$BW$137, MATCH('Staging Table'!$A42, LS_current!$B$4:$B$137, 0), MATCH(CE$4&amp;CE$5, LS_current!$D$2:$BW$2&amp;LS_current!$D$3:$BW$3, 0)),SUM(VLOOKUP($A42, LS_current!$B$4:$BW$137, LS_current!J$147, FALSE), VLOOKUP($A42, LS_current!$B$4:$BW$137,LS_current!BF$147, FALSE))/2)</f>
        <v>7413.4356982508398</v>
      </c>
      <c r="CF42" s="102">
        <f t="array" ref="CF42">IF($BT42=0, INDEX(LS_current!$D$4:$BW$137, MATCH('Staging Table'!$A42, LS_current!$B$4:$B$137, 0), MATCH(CF$4&amp;CF$5, LS_current!$D$2:$BW$2&amp;LS_current!$D$3:$BW$3, 0)),SUM(VLOOKUP($A42, LS_current!$B$4:$BW$137, LS_current!K$147, FALSE), VLOOKUP($A42, LS_current!$B$4:$BW$137,LS_current!BG$147, FALSE))/2)</f>
        <v>8637.7271719092314</v>
      </c>
      <c r="CG42" s="102">
        <f t="array" ref="CG42">IF($BT42=0, INDEX(LS_current!$D$4:$BW$137, MATCH('Staging Table'!$A42, LS_current!$B$4:$B$137, 0), MATCH(CG$4&amp;CG$5, LS_current!$D$2:$BW$2&amp;LS_current!$D$3:$BW$3, 0)),SUM(VLOOKUP($A42, LS_current!$B$4:$BW$137, LS_current!L$147, FALSE), VLOOKUP($A42, LS_current!$B$4:$BW$137,LS_current!BH$147, FALSE))/2)</f>
        <v>8965.1414909108644</v>
      </c>
      <c r="CH42" s="102">
        <f t="array" ref="CH42">IF($BT42=0, INDEX(LS_current!$D$4:$BW$137, MATCH('Staging Table'!$A42, LS_current!$B$4:$B$137, 0), MATCH(CH$4&amp;CH$5, LS_current!$D$2:$BW$2&amp;LS_current!$D$3:$BW$3, 0)),SUM(VLOOKUP($A42, LS_current!$B$4:$BW$137, LS_current!M$147, FALSE), VLOOKUP($A42, LS_current!$B$4:$BW$137,LS_current!BI$147, FALSE))/2)</f>
        <v>7890.6415994707058</v>
      </c>
      <c r="CI42" s="102">
        <f t="array" ref="CI42">IF($BT42=0, INDEX(LS_current!$D$4:$BW$137, MATCH('Staging Table'!$A42, LS_current!$B$4:$B$137, 0), MATCH(CI$4&amp;CI$5, LS_current!$D$2:$BW$2&amp;LS_current!$D$3:$BW$3, 0)),SUM(VLOOKUP($A42, LS_current!$B$4:$BW$137, LS_current!N$147, FALSE), VLOOKUP($A42, LS_current!$B$4:$BW$137,LS_current!BJ$147, FALSE))/2)</f>
        <v>2253.3768089549339</v>
      </c>
      <c r="CJ42" s="102">
        <f t="array" ref="CJ42">IF($BT42=0, INDEX(LS_current!$D$4:$BW$137, MATCH('Staging Table'!$A42, LS_current!$B$4:$B$137, 0), MATCH(CJ$4&amp;CJ$5, LS_current!$D$2:$BW$2&amp;LS_current!$D$3:$BW$3, 0)),SUM(VLOOKUP($A42, LS_current!$B$4:$BW$137, LS_current!O$147, FALSE), VLOOKUP($A42, LS_current!$B$4:$BW$137,LS_current!BK$147, FALSE))/2)</f>
        <v>4783.2448443871726</v>
      </c>
      <c r="CK42" s="102">
        <f t="array" ref="CK42">IF($BT42=0, INDEX(LS_current!$D$4:$BW$137, MATCH('Staging Table'!$A42, LS_current!$B$4:$B$137, 0), MATCH(CK$4&amp;CK$5, LS_current!$D$2:$BW$2&amp;LS_current!$D$3:$BW$3, 0)),SUM(VLOOKUP($A42, LS_current!$B$4:$BW$137, LS_current!P$147, FALSE), VLOOKUP($A42, LS_current!$B$4:$BW$137,LS_current!BL$147, FALSE))/2)</f>
        <v>3537.087044556305</v>
      </c>
      <c r="CL42" s="102">
        <f t="array" ref="CL42">IF($BT42=0, INDEX(LS_current!$D$4:$BW$137, MATCH('Staging Table'!$A42, LS_current!$B$4:$B$137, 0), MATCH(CL$4&amp;CL$5, LS_current!$D$2:$BW$2&amp;LS_current!$D$3:$BW$3, 0)),SUM(VLOOKUP($A42, LS_current!$B$4:$BW$137, LS_current!Q$147, FALSE), VLOOKUP($A42, LS_current!$B$4:$BW$137,LS_current!BM$147, FALSE))/2)</f>
        <v>2291.2526404204073</v>
      </c>
      <c r="CM42" s="102">
        <f t="array" ref="CM42">IF($BT42=0, INDEX(LS_current!$D$4:$BW$137, MATCH('Staging Table'!$A42, LS_current!$B$4:$B$137, 0), MATCH(CM$4&amp;CM$5, LS_current!$D$2:$BW$2&amp;LS_current!$D$3:$BW$3, 0)),SUM(VLOOKUP($A42, LS_current!$B$4:$BW$137, LS_current!R$147, FALSE), VLOOKUP($A42, LS_current!$B$4:$BW$137,LS_current!BN$147, FALSE))/2)</f>
        <v>-9908.3106033634249</v>
      </c>
      <c r="CN42" s="102">
        <f t="array" ref="CN42">IF($BT42=0, INDEX(LS_current!$D$4:$BW$137, MATCH('Staging Table'!$A42, LS_current!$B$4:$B$137, 0), MATCH(CN$4&amp;CN$5, LS_current!$D$2:$BW$2&amp;LS_current!$D$3:$BW$3, 0)),SUM(VLOOKUP($A42, LS_current!$B$4:$BW$137, LS_current!S$147, FALSE), VLOOKUP($A42, LS_current!$B$4:$BW$137,LS_current!BO$147, FALSE))/2)</f>
        <v>-6253.2436026859905</v>
      </c>
      <c r="CO42" s="102">
        <f t="array" ref="CO42">IF($BT42=0, INDEX(LS_current!$D$4:$BW$137, MATCH('Staging Table'!$A42, LS_current!$B$4:$B$137, 0), MATCH(CO$4&amp;CO$5, LS_current!$D$2:$BW$2&amp;LS_current!$D$3:$BW$3, 0)),SUM(VLOOKUP($A42, LS_current!$B$4:$BW$137, LS_current!T$147, FALSE), VLOOKUP($A42, LS_current!$B$4:$BW$137,LS_current!BP$147, FALSE))/2)</f>
        <v>-16135.595296624673</v>
      </c>
      <c r="CP42" s="102">
        <f t="array" ref="CP42">IF($BT42=0, INDEX(LS_current!$D$4:$BW$137, MATCH('Staging Table'!$A42, LS_current!$B$4:$B$137, 0), MATCH(CP$4&amp;CP$5, LS_current!$D$2:$BW$2&amp;LS_current!$D$3:$BW$3, 0)),SUM(VLOOKUP($A42, LS_current!$B$4:$BW$137, LS_current!U$147, FALSE), VLOOKUP($A42, LS_current!$B$4:$BW$137,LS_current!BQ$147, FALSE))/2)</f>
        <v>-7385.9692109274656</v>
      </c>
      <c r="CQ42" s="102">
        <f t="array" ref="CQ42">IF($BT42=0, INDEX(LS_current!$D$4:$BW$137, MATCH('Staging Table'!$A42, LS_current!$B$4:$B$137, 0), MATCH(CQ$4&amp;CQ$5, LS_current!$D$2:$BW$2&amp;LS_current!$D$3:$BW$3, 0)),SUM(VLOOKUP($A42, LS_current!$B$4:$BW$137, LS_current!V$147, FALSE), VLOOKUP($A42, LS_current!$B$4:$BW$137,LS_current!BR$147, FALSE))/2)</f>
        <v>-11718.116225486592</v>
      </c>
      <c r="CR42" s="102">
        <f t="array" ref="CR42">IF($BT42=0, INDEX(LS_current!$D$4:$BW$137, MATCH('Staging Table'!$A42, LS_current!$B$4:$B$137, 0), MATCH(CR$4&amp;CR$5, LS_current!$D$2:$BW$2&amp;LS_current!$D$3:$BW$3, 0)),SUM(VLOOKUP($A42, LS_current!$B$4:$BW$137, LS_current!W$147, FALSE), VLOOKUP($A42, LS_current!$B$4:$BW$137,LS_current!BS$147, FALSE))/2)</f>
        <v>-5380.1606526781015</v>
      </c>
      <c r="CS42" s="102">
        <f t="array" ref="CS42">IF($BT42=0, INDEX(LS_current!$D$4:$BW$137, MATCH('Staging Table'!$A42, LS_current!$B$4:$B$137, 0), MATCH(CS$4&amp;CS$5, LS_current!$D$2:$BW$2&amp;LS_current!$D$3:$BW$3, 0)),SUM(VLOOKUP($A42, LS_current!$B$4:$BW$137, LS_current!X$147, FALSE), VLOOKUP($A42, LS_current!$B$4:$BW$137,LS_current!BT$147, FALSE))/2)</f>
        <v>-13224.863241812436</v>
      </c>
      <c r="CT42" s="102">
        <f t="array" ref="CT42">IF($BT42=0, INDEX(LS_current!$D$4:$BW$137, MATCH('Staging Table'!$A42, LS_current!$B$4:$B$137, 0), MATCH(CT$4&amp;CT$5, LS_current!$D$2:$BW$2&amp;LS_current!$D$3:$BW$3, 0)),SUM(VLOOKUP($A42, LS_current!$B$4:$BW$137, LS_current!Y$147, FALSE), VLOOKUP($A42, LS_current!$B$4:$BW$137,LS_current!BU$147, FALSE))/2)</f>
        <v>-5434.5820086357762</v>
      </c>
      <c r="CU42" s="102">
        <f t="array" ref="CU42">IF($BT42=0, INDEX(LS_current!$D$4:$BW$137, MATCH('Staging Table'!$A42, LS_current!$B$4:$B$137, 0), MATCH(CU$4&amp;CU$5, LS_current!$D$2:$BW$2&amp;LS_current!$D$3:$BW$3, 0)),SUM(VLOOKUP($A42, LS_current!$B$4:$BW$137, LS_current!Z$147, FALSE), VLOOKUP($A42, LS_current!$B$4:$BW$137,LS_current!BV$147, FALSE))/2)</f>
        <v>-3170.2733258237895</v>
      </c>
      <c r="CV42" s="102">
        <f t="array" ref="CV42">IF($BT42=0, INDEX(LS_current!$D$4:$BW$137, MATCH('Staging Table'!$A42, LS_current!$B$4:$B$137, 0), MATCH(CV$4&amp;CV$5, LS_current!$D$2:$BW$2&amp;LS_current!$D$3:$BW$3, 0)),SUM(VLOOKUP($A42, LS_current!$B$4:$BW$137, LS_current!AA$147, FALSE), VLOOKUP($A42, LS_current!$B$4:$BW$137,LS_current!BW$147, FALSE))/2)</f>
        <v>-1383.9481595227317</v>
      </c>
      <c r="CW42" s="103">
        <f t="array" ref="CW42">INDEX(Demand_current!$D$4:$BW$137, MATCH($A42, Demand_current!$B$4:$B$137, 0), MATCH(CW$4&amp;CW$5,Demand_current!$D$2:$BW$2&amp;Demand_current!$D$3:$BW$3, 0))/1000</f>
        <v>0</v>
      </c>
      <c r="CX42" s="103">
        <f t="array" ref="CX42">INDEX(Demand_current!$D$4:$BW$137, MATCH($A42, Demand_current!$B$4:$B$137, 0), MATCH(CX$4&amp;CX$5,Demand_current!$D$2:$BW$2&amp;Demand_current!$D$3:$BW$3, 0))/1000</f>
        <v>0</v>
      </c>
      <c r="CY42" s="103">
        <f t="array" ref="CY42">INDEX(Demand_current!$D$4:$BW$137, MATCH($A42, Demand_current!$B$4:$B$137, 0), MATCH(CY$4&amp;CY$5,Demand_current!$D$2:$BW$2&amp;Demand_current!$D$3:$BW$3, 0))/1000</f>
        <v>24.224692307692301</v>
      </c>
      <c r="CZ42" s="103">
        <f t="array" ref="CZ42">INDEX(Demand_current!$D$4:$BW$137, MATCH($A42, Demand_current!$B$4:$B$137, 0), MATCH(CZ$4&amp;CZ$5,Demand_current!$D$2:$BW$2&amp;Demand_current!$D$3:$BW$3, 0))/1000</f>
        <v>19.019163461538461</v>
      </c>
      <c r="DA42" s="103">
        <f t="array" ref="DA42">INDEX(Demand_current!$D$4:$BW$137, MATCH($A42, Demand_current!$B$4:$B$137, 0), MATCH(DA$4&amp;DA$5,Demand_current!$D$2:$BW$2&amp;Demand_current!$D$3:$BW$3, 0))/1000</f>
        <v>17.495755208333328</v>
      </c>
      <c r="DB42" s="103">
        <f t="array" ref="DB42">INDEX(Demand_current!$D$4:$BW$137, MATCH($A42, Demand_current!$B$4:$B$137, 0), MATCH(DB$4&amp;DB$5,Demand_current!$D$2:$BW$2&amp;Demand_current!$D$3:$BW$3, 0))/1000</f>
        <v>11.989088942307681</v>
      </c>
      <c r="DC42" s="103">
        <f t="array" ref="DC42">INDEX(Demand_current!$D$4:$BW$137, MATCH($A42, Demand_current!$B$4:$B$137, 0), MATCH(DC$4&amp;DC$5,Demand_current!$D$2:$BW$2&amp;Demand_current!$D$3:$BW$3, 0))/1000</f>
        <v>18.76506009615386</v>
      </c>
      <c r="DD42" s="103">
        <f t="array" ref="DD42">INDEX(Demand_current!$D$4:$BW$137, MATCH($A42, Demand_current!$B$4:$B$137, 0), MATCH(DD$4&amp;DD$5,Demand_current!$D$2:$BW$2&amp;Demand_current!$D$3:$BW$3, 0))/1000</f>
        <v>13.758487499999994</v>
      </c>
      <c r="DE42" s="103">
        <f t="array" ref="DE42">INDEX(Demand_current!$D$4:$BW$137, MATCH($A42, Demand_current!$B$4:$B$137, 0), MATCH(DE$4&amp;DE$5,Demand_current!$D$2:$BW$2&amp;Demand_current!$D$3:$BW$3, 0))/1000</f>
        <v>11.063711538461536</v>
      </c>
      <c r="DF42" s="103">
        <f t="array" ref="DF42">INDEX(Demand_current!$D$4:$BW$137, MATCH($A42, Demand_current!$B$4:$B$137, 0), MATCH(DF$4&amp;DF$5,Demand_current!$D$2:$BW$2&amp;Demand_current!$D$3:$BW$3, 0))/1000</f>
        <v>7.8247163461538403</v>
      </c>
      <c r="DG42" s="103">
        <f t="array" ref="DG42">INDEX(Demand_current!$D$4:$BW$137, MATCH($A42, Demand_current!$B$4:$B$137, 0), MATCH(DG$4&amp;DG$5,Demand_current!$D$2:$BW$2&amp;Demand_current!$D$3:$BW$3, 0))/1000</f>
        <v>7.4816057692307627</v>
      </c>
      <c r="DH42" s="103">
        <f t="array" ref="DH42">INDEX(Demand_current!$D$4:$BW$137, MATCH($A42, Demand_current!$B$4:$B$137, 0), MATCH(DH$4&amp;DH$5,Demand_current!$D$2:$BW$2&amp;Demand_current!$D$3:$BW$3, 0))/1000</f>
        <v>1.461017499999997</v>
      </c>
      <c r="DI42" s="102">
        <f>$BS42*(VLOOKUP(DI$4, Rates_current!$H$6:$R$41, 10, FALSE)+VLOOKUP(DI$4, Rates_current!$H$6:$R$41, 11, FALSE))</f>
        <v>44638.003346368983</v>
      </c>
      <c r="DJ42" s="102">
        <f>$BS42*(VLOOKUP(DJ$4, Rates_current!$H$6:$R$41, 10, FALSE)+VLOOKUP(DJ$4, Rates_current!$H$6:$R$41, 11, FALSE))</f>
        <v>57068.218148795851</v>
      </c>
      <c r="DK42" s="102">
        <f>$BS42*(VLOOKUP(DK$4, Rates_current!$H$6:$R$41, 10, FALSE)+VLOOKUP(DK$4, Rates_current!$H$6:$R$41, 11, FALSE))</f>
        <v>64881.791023274047</v>
      </c>
      <c r="DL42" s="102">
        <f>$BS42*(VLOOKUP(DL$4, Rates_current!$H$6:$R$41, 10, FALSE)+VLOOKUP(DL$4, Rates_current!$H$6:$R$41, 11, FALSE))</f>
        <v>68455.354129839921</v>
      </c>
      <c r="DM42" s="102">
        <f>$BS42*(VLOOKUP(DM$4, Rates_current!$H$6:$R$41, 10, FALSE)+VLOOKUP(DM$4, Rates_current!$H$6:$R$41, 11, FALSE))</f>
        <v>54552.738909618434</v>
      </c>
      <c r="DN42" s="102">
        <f>$BS42*(VLOOKUP(DN$4, Rates_current!$H$6:$R$41, 10, FALSE)+VLOOKUP(DN$4, Rates_current!$H$6:$R$41, 11, FALSE))</f>
        <v>59637.346346657898</v>
      </c>
      <c r="DO42" s="102">
        <f>$BS42*(VLOOKUP(DO$4, Rates_current!$H$6:$R$41, 10, FALSE)+VLOOKUP(DO$4, Rates_current!$H$6:$R$41, 11, FALSE))</f>
        <v>46219.543315023286</v>
      </c>
      <c r="DP42" s="102">
        <f>$BS42*(VLOOKUP(DP$4, Rates_current!$H$6:$R$41, 10, FALSE)+VLOOKUP(DP$4, Rates_current!$H$6:$R$41, 11, FALSE))</f>
        <v>59815.699206049409</v>
      </c>
      <c r="DQ42" s="102">
        <f>$BS42*(VLOOKUP(DQ$4, Rates_current!$H$6:$R$41, 10, FALSE)+VLOOKUP(DQ$4, Rates_current!$H$6:$R$41, 11, FALSE))</f>
        <v>61092.938507552142</v>
      </c>
      <c r="DR42" s="102">
        <f>$BS42*(VLOOKUP(DR$4, Rates_current!$H$6:$R$41, 10, FALSE)+VLOOKUP(DR$4, Rates_current!$H$6:$R$41, 11, FALSE))</f>
        <v>54377.99887816469</v>
      </c>
      <c r="DS42" s="102">
        <f>$BS42*(VLOOKUP(DS$4, Rates_current!$H$6:$R$41, 10, FALSE)+VLOOKUP(DS$4, Rates_current!$H$6:$R$41, 11, FALSE))</f>
        <v>55781.85425044821</v>
      </c>
      <c r="DT42" s="102">
        <f>$BS42*(VLOOKUP(DT$4, Rates_current!$H$6:$R$41, 10, FALSE)+VLOOKUP(DT$4, Rates_current!$H$6:$R$41, 11, FALSE))</f>
        <v>43321.296485346524</v>
      </c>
      <c r="DU42" s="261">
        <f>IF(D42=0,IF(C42=0,MAX(0,DW42 - (VLOOKUP($A42,TOCA_current!$A$2:$AV$136,MATCH("RHWM "&amp;Init!$D$1,TOCA_current!$A$2:$AV$2,0),FALSE)*$BS$2)), 0),0)</f>
        <v>0</v>
      </c>
      <c r="DV42" s="262">
        <f>MIN(VLOOKUP($A42,TOCA_current!$A$2:$AV$136,MATCH("TRL - NLSL - Existing Resource "&amp;$BS$1,TOCA_current!$A$2:$AV$2,0),FALSE)*$BS$2, VLOOKUP($A42,TOCA_current!$A$2:$AV$136,MATCH("RHWM "&amp;Init!$D$1,TOCA_current!$A$2:$AV$2,0),FALSE)*$BS$2)</f>
        <v>669842.15999999992</v>
      </c>
      <c r="DW42" s="262">
        <f>SUM(BY42:CV42)+(BS42*RT1SC!$C$4*$BS$2)</f>
        <v>669837.91354066867</v>
      </c>
      <c r="DX42" s="262">
        <f>VLOOKUP($A42,TOCA_current!$A$2:$AV$136,MATCH("Above RHWM Not Served with LS "&amp;$BS$1,TOCA_current!$A$2:$AV$2,0),FALSE)*$BS$2</f>
        <v>38333.760000000002</v>
      </c>
      <c r="DY42" s="262">
        <f t="shared" si="28"/>
        <v>-4.2464593312470242</v>
      </c>
      <c r="DZ42" s="262">
        <f>(VLOOKUP($A42,TOCA_current!$A$2:$AV$136,MATCH("RHWM "&amp;Init!$D$1,TOCA_current!$A$2:$AV$2,0),FALSE)*$BS$2) - $DV42</f>
        <v>0</v>
      </c>
      <c r="EA42" s="262">
        <f t="shared" si="29"/>
        <v>0</v>
      </c>
      <c r="EB42" s="262">
        <f t="shared" si="30"/>
        <v>0</v>
      </c>
      <c r="EC42" s="262">
        <f t="shared" si="31"/>
        <v>0</v>
      </c>
      <c r="ED42" s="262">
        <f t="shared" si="32"/>
        <v>0</v>
      </c>
    </row>
    <row r="43" spans="1:134">
      <c r="A43" s="2">
        <v>10103</v>
      </c>
      <c r="B43" s="3" t="s">
        <v>45</v>
      </c>
      <c r="C43">
        <f>VLOOKUP(A43, TOCA_current!$A$3:$D$136, 4, FALSE)</f>
        <v>0</v>
      </c>
      <c r="D43">
        <v>0</v>
      </c>
      <c r="E43" s="84">
        <f>VLOOKUP($A43,TOCA_previous!$A$2:$AJ$136,MATCH(E$4,TOCA_previous!$A$2:$AJ$2,0),FALSE)</f>
        <v>4.61086E-2</v>
      </c>
      <c r="F43" s="85">
        <f>VLOOKUP($A43,TOCA_previous!$A$2:$AJ$136,MATCH(F$4,TOCA_previous!$A$2:$AJ$2,0),FALSE)</f>
        <v>4.61086E-2</v>
      </c>
      <c r="G43" s="85">
        <f t="shared" si="18"/>
        <v>0</v>
      </c>
      <c r="H43" s="85">
        <f>VLOOKUP($A43,TOCA_previous!$A$2:$AJ$136,MATCH(H$4,TOCA_previous!$A$2:$AJ$2,0),FALSE)</f>
        <v>0</v>
      </c>
      <c r="I43" s="85">
        <f t="shared" si="19"/>
        <v>0</v>
      </c>
      <c r="J43" s="85">
        <f t="shared" si="20"/>
        <v>0</v>
      </c>
      <c r="K43" s="101">
        <f>VLOOKUP(A43, IRD!$A$5:$C$138, 3, FALSE)</f>
        <v>0</v>
      </c>
      <c r="L43" s="102">
        <f t="array" ref="L43">IF($G43=0, INDEX(LS_previous!$D$4:$AY$137, MATCH('Staging Table'!$A43, LS_previous!$B$4:$B$137, 0), MATCH(L$4&amp;L$5, LS_previous!$D$2:$AY$2&amp;LS_previous!$D$3:$AY$3, 0)),SUM(VLOOKUP($A43, LS_previous!$B$4:$AY$137, LS_previous!D$148, FALSE), VLOOKUP('Staging Table'!$A43, LS_previous!$B$4:$AY$137,LS_previous!AB$148, FALSE))/2)</f>
        <v>23383.167921690372</v>
      </c>
      <c r="M43" s="102">
        <f t="array" ref="M43">IF($G43=0, INDEX(LS_previous!$D$4:$AY$137, MATCH('Staging Table'!$A43, LS_previous!$B$4:$B$137, 0), MATCH(M$4&amp;M$5, LS_previous!$D$2:$AY$2&amp;LS_previous!$D$3:$AY$3, 0)),SUM(VLOOKUP($A43, LS_previous!$B$4:$AY$137, LS_previous!E$148, FALSE), VLOOKUP('Staging Table'!$A43, LS_previous!$B$4:$AY$137,LS_previous!AC$148, FALSE))/2)</f>
        <v>-12645.014039189293</v>
      </c>
      <c r="N43" s="102">
        <f t="array" ref="N43">IF($G43=0, INDEX(LS_previous!$D$4:$AY$137, MATCH('Staging Table'!$A43, LS_previous!$B$4:$B$137, 0), MATCH(N$4&amp;N$5, LS_previous!$D$2:$AY$2&amp;LS_previous!$D$3:$AY$3, 0)),SUM(VLOOKUP($A43, LS_previous!$B$4:$AY$137, LS_previous!F$148, FALSE), VLOOKUP('Staging Table'!$A43, LS_previous!$B$4:$AY$137,LS_previous!AD$148, FALSE))/2)</f>
        <v>-1610.0274118208035</v>
      </c>
      <c r="O43" s="102">
        <f t="array" ref="O43">IF($G43=0, INDEX(LS_previous!$D$4:$AY$137, MATCH('Staging Table'!$A43, LS_previous!$B$4:$B$137, 0), MATCH(O$4&amp;O$5, LS_previous!$D$2:$AY$2&amp;LS_previous!$D$3:$AY$3, 0)),SUM(VLOOKUP($A43, LS_previous!$B$4:$AY$137, LS_previous!G$148, FALSE), VLOOKUP('Staging Table'!$A43, LS_previous!$B$4:$AY$137,LS_previous!AE$148, FALSE))/2)</f>
        <v>-2339.8864453265996</v>
      </c>
      <c r="P43" s="102">
        <f t="array" ref="P43">IF($G43=0, INDEX(LS_previous!$D$4:$AY$137, MATCH('Staging Table'!$A43, LS_previous!$B$4:$B$137, 0), MATCH(P$4&amp;P$5, LS_previous!$D$2:$AY$2&amp;LS_previous!$D$3:$AY$3, 0)),SUM(VLOOKUP($A43, LS_previous!$B$4:$AY$137, LS_previous!H$148, FALSE), VLOOKUP('Staging Table'!$A43, LS_previous!$B$4:$AY$137,LS_previous!AF$148, FALSE))/2)</f>
        <v>43686.181254744588</v>
      </c>
      <c r="Q43" s="102">
        <f t="array" ref="Q43">IF($G43=0, INDEX(LS_previous!$D$4:$AY$137, MATCH('Staging Table'!$A43, LS_previous!$B$4:$B$137, 0), MATCH(Q$4&amp;Q$5, LS_previous!$D$2:$AY$2&amp;LS_previous!$D$3:$AY$3, 0)),SUM(VLOOKUP($A43, LS_previous!$B$4:$AY$137, LS_previous!I$148, FALSE), VLOOKUP('Staging Table'!$A43, LS_previous!$B$4:$AY$137,LS_previous!AG$148, FALSE))/2)</f>
        <v>12918.720068614391</v>
      </c>
      <c r="R43" s="102">
        <f t="array" ref="R43">IF($G43=0, INDEX(LS_previous!$D$4:$AY$137, MATCH('Staging Table'!$A43, LS_previous!$B$4:$B$137, 0), MATCH(R$4&amp;R$5, LS_previous!$D$2:$AY$2&amp;LS_previous!$D$3:$AY$3, 0)),SUM(VLOOKUP($A43, LS_previous!$B$4:$AY$137, LS_previous!J$148, FALSE), VLOOKUP('Staging Table'!$A43, LS_previous!$B$4:$AY$137,LS_previous!AH$148, FALSE))/2)</f>
        <v>28776.398989751004</v>
      </c>
      <c r="S43" s="102">
        <f t="array" ref="S43">IF($G43=0, INDEX(LS_previous!$D$4:$AY$137, MATCH('Staging Table'!$A43, LS_previous!$B$4:$B$137, 0), MATCH(S$4&amp;S$5, LS_previous!$D$2:$AY$2&amp;LS_previous!$D$3:$AY$3, 0)),SUM(VLOOKUP($A43, LS_previous!$B$4:$AY$137, LS_previous!K$148, FALSE), VLOOKUP('Staging Table'!$A43, LS_previous!$B$4:$AY$137,LS_previous!AI$148, FALSE))/2)</f>
        <v>12421.10387605062</v>
      </c>
      <c r="T43" s="102">
        <f t="array" ref="T43">IF($G43=0, INDEX(LS_previous!$D$4:$AY$137, MATCH('Staging Table'!$A43, LS_previous!$B$4:$B$137, 0), MATCH(T$4&amp;T$5, LS_previous!$D$2:$AY$2&amp;LS_previous!$D$3:$AY$3, 0)),SUM(VLOOKUP($A43, LS_previous!$B$4:$AY$137, LS_previous!L$148, FALSE), VLOOKUP('Staging Table'!$A43, LS_previous!$B$4:$AY$137,LS_previous!AJ$148, FALSE))/2)</f>
        <v>25074.223013540613</v>
      </c>
      <c r="U43" s="102">
        <f t="array" ref="U43">IF($G43=0, INDEX(LS_previous!$D$4:$AY$137, MATCH('Staging Table'!$A43, LS_previous!$B$4:$B$137, 0), MATCH(U$4&amp;U$5, LS_previous!$D$2:$AY$2&amp;LS_previous!$D$3:$AY$3, 0)),SUM(VLOOKUP($A43, LS_previous!$B$4:$AY$137, LS_previous!M$148, FALSE), VLOOKUP('Staging Table'!$A43, LS_previous!$B$4:$AY$137,LS_previous!AK$148, FALSE))/2)</f>
        <v>11225.013533252597</v>
      </c>
      <c r="V43" s="102">
        <f t="array" ref="V43">IF($G43=0, INDEX(LS_previous!$D$4:$AY$137, MATCH('Staging Table'!$A43, LS_previous!$B$4:$B$137, 0), MATCH(V$4&amp;V$5, LS_previous!$D$2:$AY$2&amp;LS_previous!$D$3:$AY$3, 0)),SUM(VLOOKUP($A43, LS_previous!$B$4:$AY$137, LS_previous!N$148, FALSE), VLOOKUP('Staging Table'!$A43, LS_previous!$B$4:$AY$137,LS_previous!AL$148, FALSE))/2)</f>
        <v>5102.1295863281994</v>
      </c>
      <c r="W43" s="102">
        <f t="array" ref="W43">IF($G43=0, INDEX(LS_previous!$D$4:$AY$137, MATCH('Staging Table'!$A43, LS_previous!$B$4:$B$137, 0), MATCH(W$4&amp;W$5, LS_previous!$D$2:$AY$2&amp;LS_previous!$D$3:$AY$3, 0)),SUM(VLOOKUP($A43, LS_previous!$B$4:$AY$137, LS_previous!O$148, FALSE), VLOOKUP('Staging Table'!$A43, LS_previous!$B$4:$AY$137,LS_previous!AM$148, FALSE))/2)</f>
        <v>-6390.9531930907979</v>
      </c>
      <c r="X43" s="102">
        <f t="array" ref="X43">IF($G43=0, INDEX(LS_previous!$D$4:$AY$137, MATCH('Staging Table'!$A43, LS_previous!$B$4:$B$137, 0), MATCH(X$4&amp;X$5, LS_previous!$D$2:$AY$2&amp;LS_previous!$D$3:$AY$3, 0)),SUM(VLOOKUP($A43, LS_previous!$B$4:$AY$137, LS_previous!P$148, FALSE), VLOOKUP('Staging Table'!$A43, LS_previous!$B$4:$AY$137,LS_previous!AN$148, FALSE))/2)</f>
        <v>14757.127750363492</v>
      </c>
      <c r="Y43" s="102">
        <f t="array" ref="Y43">IF($G43=0, INDEX(LS_previous!$D$4:$AY$137, MATCH('Staging Table'!$A43, LS_previous!$B$4:$B$137, 0), MATCH(Y$4&amp;Y$5, LS_previous!$D$2:$AY$2&amp;LS_previous!$D$3:$AY$3, 0)),SUM(VLOOKUP($A43, LS_previous!$B$4:$AY$137, LS_previous!Q$148, FALSE), VLOOKUP('Staging Table'!$A43, LS_previous!$B$4:$AY$137,LS_previous!AO$148, FALSE))/2)</f>
        <v>-10053.051422446049</v>
      </c>
      <c r="Z43" s="102">
        <f t="array" ref="Z43">IF($G43=0, INDEX(LS_previous!$D$4:$AY$137, MATCH('Staging Table'!$A43, LS_previous!$B$4:$B$137, 0), MATCH(Z$4&amp;Z$5, LS_previous!$D$2:$AY$2&amp;LS_previous!$D$3:$AY$3, 0)),SUM(VLOOKUP($A43, LS_previous!$B$4:$AY$137, LS_previous!R$148, FALSE), VLOOKUP('Staging Table'!$A43, LS_previous!$B$4:$AY$137,LS_previous!AP$148, FALSE))/2)</f>
        <v>13809.393682307185</v>
      </c>
      <c r="AA43" s="102">
        <f t="array" ref="AA43">IF($G43=0, INDEX(LS_previous!$D$4:$AY$137, MATCH('Staging Table'!$A43, LS_previous!$B$4:$B$137, 0), MATCH(AA$4&amp;AA$5, LS_previous!$D$2:$AY$2&amp;LS_previous!$D$3:$AY$3, 0)),SUM(VLOOKUP($A43, LS_previous!$B$4:$AY$137, LS_previous!S$148, FALSE), VLOOKUP('Staging Table'!$A43, LS_previous!$B$4:$AY$137,LS_previous!AQ$148, FALSE))/2)</f>
        <v>9438.3099983869033</v>
      </c>
      <c r="AB43" s="102">
        <f t="array" ref="AB43">IF($G43=0, INDEX(LS_previous!$D$4:$AY$137, MATCH('Staging Table'!$A43, LS_previous!$B$4:$B$137, 0), MATCH(AB$4&amp;AB$5, LS_previous!$D$2:$AY$2&amp;LS_previous!$D$3:$AY$3, 0)),SUM(VLOOKUP($A43, LS_previous!$B$4:$AY$137, LS_previous!T$148, FALSE), VLOOKUP('Staging Table'!$A43, LS_previous!$B$4:$AY$137,LS_previous!AR$148, FALSE))/2)</f>
        <v>-30643.568456763605</v>
      </c>
      <c r="AC43" s="102">
        <f t="array" ref="AC43">IF($G43=0, INDEX(LS_previous!$D$4:$AY$137, MATCH('Staging Table'!$A43, LS_previous!$B$4:$B$137, 0), MATCH(AC$4&amp;AC$5, LS_previous!$D$2:$AY$2&amp;LS_previous!$D$3:$AY$3, 0)),SUM(VLOOKUP($A43, LS_previous!$B$4:$AY$137, LS_previous!U$148, FALSE), VLOOKUP('Staging Table'!$A43, LS_previous!$B$4:$AY$137,LS_previous!AS$148, FALSE))/2)</f>
        <v>-34863.53377791871</v>
      </c>
      <c r="AD43" s="102">
        <f t="array" ref="AD43">IF($G43=0, INDEX(LS_previous!$D$4:$AY$137, MATCH('Staging Table'!$A43, LS_previous!$B$4:$B$137, 0), MATCH(AD$4&amp;AD$5, LS_previous!$D$2:$AY$2&amp;LS_previous!$D$3:$AY$3, 0)),SUM(VLOOKUP($A43, LS_previous!$B$4:$AY$137, LS_previous!V$148, FALSE), VLOOKUP('Staging Table'!$A43, LS_previous!$B$4:$AY$137,LS_previous!AT$148, FALSE))/2)</f>
        <v>5844.2792064295791</v>
      </c>
      <c r="AE43" s="102">
        <f t="array" ref="AE43">IF($G43=0, INDEX(LS_previous!$D$4:$AY$137, MATCH('Staging Table'!$A43, LS_previous!$B$4:$B$137, 0), MATCH(AE$4&amp;AE$5, LS_previous!$D$2:$AY$2&amp;LS_previous!$D$3:$AY$3, 0)),SUM(VLOOKUP($A43, LS_previous!$B$4:$AY$137, LS_previous!W$148, FALSE), VLOOKUP('Staging Table'!$A43, LS_previous!$B$4:$AY$137,LS_previous!AU$148, FALSE))/2)</f>
        <v>-12717.757742346483</v>
      </c>
      <c r="AF43" s="102">
        <f t="array" ref="AF43">IF($G43=0, INDEX(LS_previous!$D$4:$AY$137, MATCH('Staging Table'!$A43, LS_previous!$B$4:$B$137, 0), MATCH(AF$4&amp;AF$5, LS_previous!$D$2:$AY$2&amp;LS_previous!$D$3:$AY$3, 0)),SUM(VLOOKUP($A43, LS_previous!$B$4:$AY$137, LS_previous!X$148, FALSE), VLOOKUP('Staging Table'!$A43, LS_previous!$B$4:$AY$137,LS_previous!AV$148, FALSE))/2)</f>
        <v>16547.077798375103</v>
      </c>
      <c r="AG43" s="102">
        <f t="array" ref="AG43">IF($G43=0, INDEX(LS_previous!$D$4:$AY$137, MATCH('Staging Table'!$A43, LS_previous!$B$4:$B$137, 0), MATCH(AG$4&amp;AG$5, LS_previous!$D$2:$AY$2&amp;LS_previous!$D$3:$AY$3, 0)),SUM(VLOOKUP($A43, LS_previous!$B$4:$AY$137, LS_previous!Y$148, FALSE), VLOOKUP('Staging Table'!$A43, LS_previous!$B$4:$AY$137,LS_previous!AW$148, FALSE))/2)</f>
        <v>-2377.686228571707</v>
      </c>
      <c r="AH43" s="102">
        <f t="array" ref="AH43">IF($G43=0, INDEX(LS_previous!$D$4:$AY$137, MATCH('Staging Table'!$A43, LS_previous!$B$4:$B$137, 0), MATCH(AH$4&amp;AH$5, LS_previous!$D$2:$AY$2&amp;LS_previous!$D$3:$AY$3, 0)),SUM(VLOOKUP($A43, LS_previous!$B$4:$AY$137, LS_previous!Z$148, FALSE), VLOOKUP('Staging Table'!$A43, LS_previous!$B$4:$AY$137,LS_previous!AX$148, FALSE))/2)</f>
        <v>2520.1120994435914</v>
      </c>
      <c r="AI43" s="102">
        <f t="array" ref="AI43">IF($G43=0, INDEX(LS_previous!$D$4:$AY$137, MATCH('Staging Table'!$A43, LS_previous!$B$4:$B$137, 0), MATCH(AI$4&amp;AI$5, LS_previous!$D$2:$AY$2&amp;LS_previous!$D$3:$AY$3, 0)),SUM(VLOOKUP($A43, LS_previous!$B$4:$AY$137, LS_previous!AA$148, FALSE), VLOOKUP('Staging Table'!$A43, LS_previous!$B$4:$AY$137,LS_previous!AY$148, FALSE))/2)</f>
        <v>-20916.761668694395</v>
      </c>
      <c r="AJ43" s="103">
        <f t="array" ref="AJ43">INDEX(Demand_previous!$D$4:$AY$137, MATCH('Staging Table'!$A43, Demand_previous!$B$4:$B$137, 0), MATCH(AJ$4&amp;AJ$5,Demand_previous!$D$2:$AY$2&amp;Demand_previous!$D$3:$AY$3, 0))/1000</f>
        <v>0</v>
      </c>
      <c r="AK43" s="103">
        <f t="array" ref="AK43">INDEX(Demand_previous!$D$4:$AY$137, MATCH('Staging Table'!$A43, Demand_previous!$B$4:$B$137, 0), MATCH(AK$4&amp;AK$5,Demand_previous!$D$2:$AY$2&amp;Demand_previous!$D$3:$AY$3, 0))/1000</f>
        <v>86.310217499999965</v>
      </c>
      <c r="AL43" s="103">
        <f t="array" ref="AL43">INDEX(Demand_previous!$D$4:$AY$137, MATCH('Staging Table'!$A43, Demand_previous!$B$4:$B$137, 0), MATCH(AL$4&amp;AL$5,Demand_previous!$D$2:$AY$2&amp;Demand_previous!$D$3:$AY$3, 0))/1000</f>
        <v>59.365874999999953</v>
      </c>
      <c r="AM43" s="103">
        <f t="array" ref="AM43">INDEX(Demand_previous!$D$4:$AY$137, MATCH('Staging Table'!$A43, Demand_previous!$B$4:$B$137, 0), MATCH(AM$4&amp;AM$5,Demand_previous!$D$2:$AY$2&amp;Demand_previous!$D$3:$AY$3, 0))/1000</f>
        <v>39.896052884615358</v>
      </c>
      <c r="AN43" s="103">
        <f t="array" ref="AN43">INDEX(Demand_previous!$D$4:$AY$137, MATCH('Staging Table'!$A43, Demand_previous!$B$4:$B$137, 0), MATCH(AN$4&amp;AN$5,Demand_previous!$D$2:$AY$2&amp;Demand_previous!$D$3:$AY$3, 0))/1000</f>
        <v>63.602467500000046</v>
      </c>
      <c r="AO43" s="103">
        <f t="array" ref="AO43">INDEX(Demand_previous!$D$4:$AY$137, MATCH('Staging Table'!$A43, Demand_previous!$B$4:$B$137, 0), MATCH(AO$4&amp;AO$5,Demand_previous!$D$2:$AY$2&amp;Demand_previous!$D$3:$AY$3, 0))/1000</f>
        <v>123.42815865384617</v>
      </c>
      <c r="AP43" s="103">
        <f t="array" ref="AP43">INDEX(Demand_previous!$D$4:$AY$137, MATCH('Staging Table'!$A43, Demand_previous!$B$4:$B$137, 0), MATCH(AP$4&amp;AP$5,Demand_previous!$D$2:$AY$2&amp;Demand_previous!$D$3:$AY$3, 0))/1000</f>
        <v>52.289685096153818</v>
      </c>
      <c r="AQ43" s="103">
        <f t="array" ref="AQ43">INDEX(Demand_previous!$D$4:$AY$137, MATCH('Staging Table'!$A43, Demand_previous!$B$4:$B$137, 0), MATCH(AQ$4&amp;AQ$5,Demand_previous!$D$2:$AY$2&amp;Demand_previous!$D$3:$AY$3, 0))/1000</f>
        <v>93.48147115384613</v>
      </c>
      <c r="AR43" s="103">
        <f t="array" ref="AR43">INDEX(Demand_previous!$D$4:$AY$137, MATCH('Staging Table'!$A43, Demand_previous!$B$4:$B$137, 0), MATCH(AR$4&amp;AR$5,Demand_previous!$D$2:$AY$2&amp;Demand_previous!$D$3:$AY$3, 0))/1000</f>
        <v>168.02646749999997</v>
      </c>
      <c r="AS43" s="103">
        <f t="array" ref="AS43">INDEX(Demand_previous!$D$4:$AY$137, MATCH('Staging Table'!$A43, Demand_previous!$B$4:$B$137, 0), MATCH(AS$4&amp;AS$5,Demand_previous!$D$2:$AY$2&amp;Demand_previous!$D$3:$AY$3, 0))/1000</f>
        <v>124.69591346153842</v>
      </c>
      <c r="AT43" s="103">
        <f t="array" ref="AT43">INDEX(Demand_previous!$D$4:$AY$137, MATCH('Staging Table'!$A43, Demand_previous!$B$4:$B$137, 0), MATCH(AT$4&amp;AT$5,Demand_previous!$D$2:$AY$2&amp;Demand_previous!$D$3:$AY$3, 0))/1000</f>
        <v>195.25215740740745</v>
      </c>
      <c r="AU43" s="103">
        <f t="array" ref="AU43">INDEX(Demand_previous!$D$4:$AY$137, MATCH('Staging Table'!$A43, Demand_previous!$B$4:$B$137, 0), MATCH(AU$4&amp;AU$5,Demand_previous!$D$2:$AY$2&amp;Demand_previous!$D$3:$AY$3, 0))/1000</f>
        <v>144.24162760416664</v>
      </c>
      <c r="AV43" s="102">
        <f>$F43*(VLOOKUP(AV$4, Rates_previous!$G$6:$Q$29, 10, FALSE)+VLOOKUP(AV$4, Rates_previous!$G$6:$Q$29, 11, FALSE))</f>
        <v>194523.1351174989</v>
      </c>
      <c r="AW43" s="102">
        <f>$F43*(VLOOKUP(AW$4, Rates_previous!$G$6:$Q$29, 10, FALSE)+VLOOKUP(AW$4, Rates_previous!$G$6:$Q$29, 11, FALSE))</f>
        <v>248081.14185714742</v>
      </c>
      <c r="AX43" s="102">
        <f>$F43*(VLOOKUP(AX$4, Rates_previous!$G$6:$Q$29, 10, FALSE)+VLOOKUP(AX$4, Rates_previous!$G$6:$Q$29, 11, FALSE))</f>
        <v>267728.637676641</v>
      </c>
      <c r="AY43" s="102">
        <f>$F43*(VLOOKUP(AY$4, Rates_previous!$G$6:$Q$29, 10, FALSE)+VLOOKUP(AY$4, Rates_previous!$G$6:$Q$29, 11, FALSE))</f>
        <v>278211.44213419838</v>
      </c>
      <c r="AZ43" s="102">
        <f>$F43*(VLOOKUP(AZ$4, Rates_previous!$G$6:$Q$29, 10, FALSE)+VLOOKUP(AZ$4, Rates_previous!$G$6:$Q$29, 11, FALSE))</f>
        <v>239298.92345320678</v>
      </c>
      <c r="BA43" s="102">
        <f>$F43*(VLOOKUP(BA$4, Rates_previous!$G$6:$Q$29, 10, FALSE)+VLOOKUP(BA$4, Rates_previous!$G$6:$Q$29, 11, FALSE))</f>
        <v>261267.04560676258</v>
      </c>
      <c r="BB43" s="102">
        <f>$F43*(VLOOKUP(BB$4, Rates_previous!$G$6:$Q$29, 10, FALSE)+VLOOKUP(BB$4, Rates_previous!$G$6:$Q$29, 11, FALSE))</f>
        <v>206226.30367208252</v>
      </c>
      <c r="BC43" s="102">
        <f>$F43*(VLOOKUP(BC$4, Rates_previous!$G$6:$Q$29, 10, FALSE)+VLOOKUP(BC$4, Rates_previous!$G$6:$Q$29, 11, FALSE))</f>
        <v>255851.36531930591</v>
      </c>
      <c r="BD43" s="102">
        <f>$F43*(VLOOKUP(BD$4, Rates_previous!$G$6:$Q$29, 10, FALSE)+VLOOKUP(BD$4, Rates_previous!$G$6:$Q$29, 11, FALSE))</f>
        <v>261402.70123468229</v>
      </c>
      <c r="BE43" s="102">
        <f>$F43*(VLOOKUP(BE$4, Rates_previous!$G$6:$Q$29, 10, FALSE)+VLOOKUP(BE$4, Rates_previous!$G$6:$Q$29, 11, FALSE))</f>
        <v>226935.20453591688</v>
      </c>
      <c r="BF43" s="102">
        <f>$F43*(VLOOKUP(BF$4, Rates_previous!$G$6:$Q$29, 10, FALSE)+VLOOKUP(BF$4, Rates_previous!$G$6:$Q$29, 11, FALSE))</f>
        <v>219386.02143019662</v>
      </c>
      <c r="BG43" s="102">
        <f>$F43*(VLOOKUP(BG$4, Rates_previous!$G$6:$Q$29, 10, FALSE)+VLOOKUP(BG$4, Rates_previous!$G$6:$Q$29, 11, FALSE))</f>
        <v>201877.62356925083</v>
      </c>
      <c r="BH43" s="103">
        <f>IF($D43=0,IF(C43=0, MAX(BJ43 - (VLOOKUP($A43,TOCA_previous!$A$2:$AJ$136,MATCH("RHWM "&amp;Init!$D$1-2,TOCA_previous!$A$2:$AJ$2,0),FALSE)*$F$2*TOCA_previous!C40),0),0), 0)</f>
        <v>154083.26111328555</v>
      </c>
      <c r="BI43" s="109">
        <f>MIN(VLOOKUP($A43,TOCA_previous!$A$2:$AJ$136,MATCH("TRL - NLSL - Existing Resource "&amp;$F$1,TOCA_previous!$A$2:$AJ$2,0),FALSE)*$F$2,(VLOOKUP($A43,TOCA_previous!$A$2:$AJ$136,MATCH("RHWM "&amp;Init!$D$1-2,TOCA_previous!$A$2:$AJ$2,0),FALSE)*$F$2))</f>
        <v>2797651.2960000001</v>
      </c>
      <c r="BJ43" s="261">
        <f>SUM(L43:AI43)+(F43*RT1SC!$C$3*$F$2)</f>
        <v>2951734.5571132856</v>
      </c>
      <c r="BK43" s="260">
        <f>VLOOKUP($A43,TOCA_previous!$A$2:$AJ$136,MATCH("Above RHWM Not Served with LS "&amp;$F$1,TOCA_previous!$A$2:$AJ$2,0),FALSE)*$F$2</f>
        <v>55962.864000000001</v>
      </c>
      <c r="BL43" s="261">
        <f t="shared" si="21"/>
        <v>154083.26111328555</v>
      </c>
      <c r="BM43" s="260">
        <f>(VLOOKUP($A43,TOCA_previous!$A$2:$AJ$136,MATCH("RHWM "&amp;Init!$D$1-2,TOCA_previous!$A$2:$AJ$2,0),FALSE)*$F$2) - $BI43</f>
        <v>0</v>
      </c>
      <c r="BN43" s="261">
        <f t="shared" si="22"/>
        <v>0</v>
      </c>
      <c r="BO43" s="260">
        <f t="shared" si="23"/>
        <v>0</v>
      </c>
      <c r="BP43" s="261">
        <f t="shared" si="24"/>
        <v>0</v>
      </c>
      <c r="BQ43" s="260">
        <f t="shared" si="9"/>
        <v>0</v>
      </c>
      <c r="BR43" s="85">
        <f>VLOOKUP($A43,TOCA_current!$A$2:$ZZ$136,MATCH(BR$4,TOCA_current!$A$2:$ZZ$2,0),FALSE)</f>
        <v>4.5056199999999998E-2</v>
      </c>
      <c r="BS43" s="85">
        <f>VLOOKUP($A43,TOCA_current!$A$2:$ZZ$136,MATCH(BS$4,TOCA_current!$A$2:$ZZ$2,0),FALSE)</f>
        <v>4.5056199999999998E-2</v>
      </c>
      <c r="BT43" s="108">
        <f t="shared" si="25"/>
        <v>0</v>
      </c>
      <c r="BU43" s="85">
        <f>VLOOKUP($A43,TOCA_current!A40:BG174,MATCH(BU$4,TOCA_current!$A$2:$BG$2,0),FALSE)</f>
        <v>0</v>
      </c>
      <c r="BV43" s="85">
        <f t="shared" si="26"/>
        <v>0</v>
      </c>
      <c r="BW43" s="85">
        <f t="shared" si="27"/>
        <v>0</v>
      </c>
      <c r="BX43" s="101">
        <f>VLOOKUP($A43,IRD!$A$4:$G$138, 7, FALSE)</f>
        <v>0</v>
      </c>
      <c r="BY43" s="102">
        <f t="array" ref="BY43">IF($BT43=0, INDEX(LS_current!$D$4:$BW$137, MATCH('Staging Table'!$A43, LS_current!$B$4:$B$137, 0), MATCH(BY$4&amp;BY$5, LS_current!$D$2:$BW$2&amp;LS_current!$D$3:$BW$3, 0)),SUM(VLOOKUP($A43, LS_current!$B$4:$BW$137, LS_current!D$147, FALSE), VLOOKUP($A43, LS_current!$B$4:$BW$137,LS_current!AZ$147, FALSE))/2)</f>
        <v>17263.386422531679</v>
      </c>
      <c r="BZ43" s="102">
        <f t="array" ref="BZ43">IF($BT43=0, INDEX(LS_current!$D$4:$BW$137, MATCH('Staging Table'!$A43, LS_current!$B$4:$B$137, 0), MATCH(BZ$4&amp;BZ$5, LS_current!$D$2:$BW$2&amp;LS_current!$D$3:$BW$3, 0)),SUM(VLOOKUP($A43, LS_current!$B$4:$BW$137, LS_current!E$147, FALSE), VLOOKUP($A43, LS_current!$B$4:$BW$137,LS_current!BA$147, FALSE))/2)</f>
        <v>-11381.421976622645</v>
      </c>
      <c r="CA43" s="102">
        <f t="array" ref="CA43">IF($BT43=0, INDEX(LS_current!$D$4:$BW$137, MATCH('Staging Table'!$A43, LS_current!$B$4:$B$137, 0), MATCH(CA$4&amp;CA$5, LS_current!$D$2:$BW$2&amp;LS_current!$D$3:$BW$3, 0)),SUM(VLOOKUP($A43, LS_current!$B$4:$BW$137, LS_current!F$147, FALSE), VLOOKUP($A43, LS_current!$B$4:$BW$137,LS_current!BB$147, FALSE))/2)</f>
        <v>-1810.565899724781</v>
      </c>
      <c r="CB43" s="102">
        <f t="array" ref="CB43">IF($BT43=0, INDEX(LS_current!$D$4:$BW$137, MATCH('Staging Table'!$A43, LS_current!$B$4:$B$137, 0), MATCH(CB$4&amp;CB$5, LS_current!$D$2:$BW$2&amp;LS_current!$D$3:$BW$3, 0)),SUM(VLOOKUP($A43, LS_current!$B$4:$BW$137, LS_current!G$147, FALSE), VLOOKUP($A43, LS_current!$B$4:$BW$137,LS_current!BC$147, FALSE))/2)</f>
        <v>-5127.0027331643068</v>
      </c>
      <c r="CC43" s="102">
        <f t="array" ref="CC43">IF($BT43=0, INDEX(LS_current!$D$4:$BW$137, MATCH('Staging Table'!$A43, LS_current!$B$4:$B$137, 0), MATCH(CC$4&amp;CC$5, LS_current!$D$2:$BW$2&amp;LS_current!$D$3:$BW$3, 0)),SUM(VLOOKUP($A43, LS_current!$B$4:$BW$137, LS_current!H$147, FALSE), VLOOKUP($A43, LS_current!$B$4:$BW$137,LS_current!BD$147, FALSE))/2)</f>
        <v>24757.256598572829</v>
      </c>
      <c r="CD43" s="102">
        <f t="array" ref="CD43">IF($BT43=0, INDEX(LS_current!$D$4:$BW$137, MATCH('Staging Table'!$A43, LS_current!$B$4:$B$137, 0), MATCH(CD$4&amp;CD$5, LS_current!$D$2:$BW$2&amp;LS_current!$D$3:$BW$3, 0)),SUM(VLOOKUP($A43, LS_current!$B$4:$BW$137, LS_current!I$147, FALSE), VLOOKUP($A43, LS_current!$B$4:$BW$137,LS_current!BE$147, FALSE))/2)</f>
        <v>15392.287976557782</v>
      </c>
      <c r="CE43" s="102">
        <f t="array" ref="CE43">IF($BT43=0, INDEX(LS_current!$D$4:$BW$137, MATCH('Staging Table'!$A43, LS_current!$B$4:$B$137, 0), MATCH(CE$4&amp;CE$5, LS_current!$D$2:$BW$2&amp;LS_current!$D$3:$BW$3, 0)),SUM(VLOOKUP($A43, LS_current!$B$4:$BW$137, LS_current!J$147, FALSE), VLOOKUP($A43, LS_current!$B$4:$BW$137,LS_current!BF$147, FALSE))/2)</f>
        <v>13345.831689823681</v>
      </c>
      <c r="CF43" s="102">
        <f t="array" ref="CF43">IF($BT43=0, INDEX(LS_current!$D$4:$BW$137, MATCH('Staging Table'!$A43, LS_current!$B$4:$B$137, 0), MATCH(CF$4&amp;CF$5, LS_current!$D$2:$BW$2&amp;LS_current!$D$3:$BW$3, 0)),SUM(VLOOKUP($A43, LS_current!$B$4:$BW$137, LS_current!K$147, FALSE), VLOOKUP($A43, LS_current!$B$4:$BW$137,LS_current!BG$147, FALSE))/2)</f>
        <v>6908.8551998974435</v>
      </c>
      <c r="CG43" s="102">
        <f t="array" ref="CG43">IF($BT43=0, INDEX(LS_current!$D$4:$BW$137, MATCH('Staging Table'!$A43, LS_current!$B$4:$B$137, 0), MATCH(CG$4&amp;CG$5, LS_current!$D$2:$BW$2&amp;LS_current!$D$3:$BW$3, 0)),SUM(VLOOKUP($A43, LS_current!$B$4:$BW$137, LS_current!L$147, FALSE), VLOOKUP($A43, LS_current!$B$4:$BW$137,LS_current!BH$147, FALSE))/2)</f>
        <v>25517.820869235758</v>
      </c>
      <c r="CH43" s="102">
        <f t="array" ref="CH43">IF($BT43=0, INDEX(LS_current!$D$4:$BW$137, MATCH('Staging Table'!$A43, LS_current!$B$4:$B$137, 0), MATCH(CH$4&amp;CH$5, LS_current!$D$2:$BW$2&amp;LS_current!$D$3:$BW$3, 0)),SUM(VLOOKUP($A43, LS_current!$B$4:$BW$137, LS_current!M$147, FALSE), VLOOKUP($A43, LS_current!$B$4:$BW$137,LS_current!BI$147, FALSE))/2)</f>
        <v>10517.772891930756</v>
      </c>
      <c r="CI43" s="102">
        <f t="array" ref="CI43">IF($BT43=0, INDEX(LS_current!$D$4:$BW$137, MATCH('Staging Table'!$A43, LS_current!$B$4:$B$137, 0), MATCH(CI$4&amp;CI$5, LS_current!$D$2:$BW$2&amp;LS_current!$D$3:$BW$3, 0)),SUM(VLOOKUP($A43, LS_current!$B$4:$BW$137, LS_current!N$147, FALSE), VLOOKUP($A43, LS_current!$B$4:$BW$137,LS_current!BJ$147, FALSE))/2)</f>
        <v>-5232.9662273987487</v>
      </c>
      <c r="CJ43" s="102">
        <f t="array" ref="CJ43">IF($BT43=0, INDEX(LS_current!$D$4:$BW$137, MATCH('Staging Table'!$A43, LS_current!$B$4:$B$137, 0), MATCH(CJ$4&amp;CJ$5, LS_current!$D$2:$BW$2&amp;LS_current!$D$3:$BW$3, 0)),SUM(VLOOKUP($A43, LS_current!$B$4:$BW$137, LS_current!O$147, FALSE), VLOOKUP($A43, LS_current!$B$4:$BW$137,LS_current!BK$147, FALSE))/2)</f>
        <v>3013.7085873028846</v>
      </c>
      <c r="CK43" s="102">
        <f t="array" ref="CK43">IF($BT43=0, INDEX(LS_current!$D$4:$BW$137, MATCH('Staging Table'!$A43, LS_current!$B$4:$B$137, 0), MATCH(CK$4&amp;CK$5, LS_current!$D$2:$BW$2&amp;LS_current!$D$3:$BW$3, 0)),SUM(VLOOKUP($A43, LS_current!$B$4:$BW$137, LS_current!P$147, FALSE), VLOOKUP($A43, LS_current!$B$4:$BW$137,LS_current!BL$147, FALSE))/2)</f>
        <v>14144.802455486366</v>
      </c>
      <c r="CL43" s="102">
        <f t="array" ref="CL43">IF($BT43=0, INDEX(LS_current!$D$4:$BW$137, MATCH('Staging Table'!$A43, LS_current!$B$4:$B$137, 0), MATCH(CL$4&amp;CL$5, LS_current!$D$2:$BW$2&amp;LS_current!$D$3:$BW$3, 0)),SUM(VLOOKUP($A43, LS_current!$B$4:$BW$137, LS_current!Q$147, FALSE), VLOOKUP($A43, LS_current!$B$4:$BW$137,LS_current!BM$147, FALSE))/2)</f>
        <v>-8819.6309444641811</v>
      </c>
      <c r="CM43" s="102">
        <f t="array" ref="CM43">IF($BT43=0, INDEX(LS_current!$D$4:$BW$137, MATCH('Staging Table'!$A43, LS_current!$B$4:$B$137, 0), MATCH(CM$4&amp;CM$5, LS_current!$D$2:$BW$2&amp;LS_current!$D$3:$BW$3, 0)),SUM(VLOOKUP($A43, LS_current!$B$4:$BW$137, LS_current!R$147, FALSE), VLOOKUP($A43, LS_current!$B$4:$BW$137,LS_current!BN$147, FALSE))/2)</f>
        <v>10991.259010853799</v>
      </c>
      <c r="CN43" s="102">
        <f t="array" ref="CN43">IF($BT43=0, INDEX(LS_current!$D$4:$BW$137, MATCH('Staging Table'!$A43, LS_current!$B$4:$B$137, 0), MATCH(CN$4&amp;CN$5, LS_current!$D$2:$BW$2&amp;LS_current!$D$3:$BW$3, 0)),SUM(VLOOKUP($A43, LS_current!$B$4:$BW$137, LS_current!S$147, FALSE), VLOOKUP($A43, LS_current!$B$4:$BW$137,LS_current!BO$147, FALSE))/2)</f>
        <v>5146.5358847889729</v>
      </c>
      <c r="CO43" s="102">
        <f t="array" ref="CO43">IF($BT43=0, INDEX(LS_current!$D$4:$BW$137, MATCH('Staging Table'!$A43, LS_current!$B$4:$B$137, 0), MATCH(CO$4&amp;CO$5, LS_current!$D$2:$BW$2&amp;LS_current!$D$3:$BW$3, 0)),SUM(VLOOKUP($A43, LS_current!$B$4:$BW$137, LS_current!T$147, FALSE), VLOOKUP($A43, LS_current!$B$4:$BW$137,LS_current!BP$147, FALSE))/2)</f>
        <v>-40322.324715285387</v>
      </c>
      <c r="CP43" s="102">
        <f t="array" ref="CP43">IF($BT43=0, INDEX(LS_current!$D$4:$BW$137, MATCH('Staging Table'!$A43, LS_current!$B$4:$B$137, 0), MATCH(CP$4&amp;CP$5, LS_current!$D$2:$BW$2&amp;LS_current!$D$3:$BW$3, 0)),SUM(VLOOKUP($A43, LS_current!$B$4:$BW$137, LS_current!U$147, FALSE), VLOOKUP($A43, LS_current!$B$4:$BW$137,LS_current!BQ$147, FALSE))/2)</f>
        <v>-31694.467070363738</v>
      </c>
      <c r="CQ43" s="102">
        <f t="array" ref="CQ43">IF($BT43=0, INDEX(LS_current!$D$4:$BW$137, MATCH('Staging Table'!$A43, LS_current!$B$4:$B$137, 0), MATCH(CQ$4&amp;CQ$5, LS_current!$D$2:$BW$2&amp;LS_current!$D$3:$BW$3, 0)),SUM(VLOOKUP($A43, LS_current!$B$4:$BW$137, LS_current!V$147, FALSE), VLOOKUP($A43, LS_current!$B$4:$BW$137,LS_current!BR$147, FALSE))/2)</f>
        <v>-4008.4558115894033</v>
      </c>
      <c r="CR43" s="102">
        <f t="array" ref="CR43">IF($BT43=0, INDEX(LS_current!$D$4:$BW$137, MATCH('Staging Table'!$A43, LS_current!$B$4:$B$137, 0), MATCH(CR$4&amp;CR$5, LS_current!$D$2:$BW$2&amp;LS_current!$D$3:$BW$3, 0)),SUM(VLOOKUP($A43, LS_current!$B$4:$BW$137, LS_current!W$147, FALSE), VLOOKUP($A43, LS_current!$B$4:$BW$137,LS_current!BS$147, FALSE))/2)</f>
        <v>-16111.64071372473</v>
      </c>
      <c r="CS43" s="102">
        <f t="array" ref="CS43">IF($BT43=0, INDEX(LS_current!$D$4:$BW$137, MATCH('Staging Table'!$A43, LS_current!$B$4:$B$137, 0), MATCH(CS$4&amp;CS$5, LS_current!$D$2:$BW$2&amp;LS_current!$D$3:$BW$3, 0)),SUM(VLOOKUP($A43, LS_current!$B$4:$BW$137, LS_current!X$147, FALSE), VLOOKUP($A43, LS_current!$B$4:$BW$137,LS_current!BT$147, FALSE))/2)</f>
        <v>-6435.5046955156722</v>
      </c>
      <c r="CT43" s="102">
        <f t="array" ref="CT43">IF($BT43=0, INDEX(LS_current!$D$4:$BW$137, MATCH('Staging Table'!$A43, LS_current!$B$4:$B$137, 0), MATCH(CT$4&amp;CT$5, LS_current!$D$2:$BW$2&amp;LS_current!$D$3:$BW$3, 0)),SUM(VLOOKUP($A43, LS_current!$B$4:$BW$137, LS_current!Y$147, FALSE), VLOOKUP($A43, LS_current!$B$4:$BW$137,LS_current!BU$147, FALSE))/2)</f>
        <v>-6071.8937678836082</v>
      </c>
      <c r="CU43" s="102">
        <f t="array" ref="CU43">IF($BT43=0, INDEX(LS_current!$D$4:$BW$137, MATCH('Staging Table'!$A43, LS_current!$B$4:$B$137, 0), MATCH(CU$4&amp;CU$5, LS_current!$D$2:$BW$2&amp;LS_current!$D$3:$BW$3, 0)),SUM(VLOOKUP($A43, LS_current!$B$4:$BW$137, LS_current!Z$147, FALSE), VLOOKUP($A43, LS_current!$B$4:$BW$137,LS_current!BV$147, FALSE))/2)</f>
        <v>3373.8209739310987</v>
      </c>
      <c r="CV43" s="102">
        <f t="array" ref="CV43">IF($BT43=0, INDEX(LS_current!$D$4:$BW$137, MATCH('Staging Table'!$A43, LS_current!$B$4:$B$137, 0), MATCH(CV$4&amp;CV$5, LS_current!$D$2:$BW$2&amp;LS_current!$D$3:$BW$3, 0)),SUM(VLOOKUP($A43, LS_current!$B$4:$BW$137, LS_current!AA$147, FALSE), VLOOKUP($A43, LS_current!$B$4:$BW$137,LS_current!BW$147, FALSE))/2)</f>
        <v>-13356.806526813321</v>
      </c>
      <c r="CW43" s="103">
        <f t="array" ref="CW43">INDEX(Demand_current!$D$4:$BW$137, MATCH($A43, Demand_current!$B$4:$B$137, 0), MATCH(CW$4&amp;CW$5,Demand_current!$D$2:$BW$2&amp;Demand_current!$D$3:$BW$3, 0))/1000</f>
        <v>16.022636574074056</v>
      </c>
      <c r="CX43" s="103">
        <f t="array" ref="CX43">INDEX(Demand_current!$D$4:$BW$137, MATCH($A43, Demand_current!$B$4:$B$137, 0), MATCH(CX$4&amp;CX$5,Demand_current!$D$2:$BW$2&amp;Demand_current!$D$3:$BW$3, 0))/1000</f>
        <v>60.899351562500044</v>
      </c>
      <c r="CY43" s="103">
        <f t="array" ref="CY43">INDEX(Demand_current!$D$4:$BW$137, MATCH($A43, Demand_current!$B$4:$B$137, 0), MATCH(CY$4&amp;CY$5,Demand_current!$D$2:$BW$2&amp;Demand_current!$D$3:$BW$3, 0))/1000</f>
        <v>89.080802884615309</v>
      </c>
      <c r="CZ43" s="103">
        <f t="array" ref="CZ43">INDEX(Demand_current!$D$4:$BW$137, MATCH($A43, Demand_current!$B$4:$B$137, 0), MATCH(CZ$4&amp;CZ$5,Demand_current!$D$2:$BW$2&amp;Demand_current!$D$3:$BW$3, 0))/1000</f>
        <v>39.896052884615358</v>
      </c>
      <c r="DA43" s="103">
        <f t="array" ref="DA43">INDEX(Demand_current!$D$4:$BW$137, MATCH($A43, Demand_current!$B$4:$B$137, 0), MATCH(DA$4&amp;DA$5,Demand_current!$D$2:$BW$2&amp;Demand_current!$D$3:$BW$3, 0))/1000</f>
        <v>35.239986979166531</v>
      </c>
      <c r="DB43" s="103">
        <f t="array" ref="DB43">INDEX(Demand_current!$D$4:$BW$137, MATCH($A43, Demand_current!$B$4:$B$137, 0), MATCH(DB$4&amp;DB$5,Demand_current!$D$2:$BW$2&amp;Demand_current!$D$3:$BW$3, 0))/1000</f>
        <v>123.42815865384617</v>
      </c>
      <c r="DC43" s="103">
        <f t="array" ref="DC43">INDEX(Demand_current!$D$4:$BW$137, MATCH($A43, Demand_current!$B$4:$B$137, 0), MATCH(DC$4&amp;DC$5,Demand_current!$D$2:$BW$2&amp;Demand_current!$D$3:$BW$3, 0))/1000</f>
        <v>52.289685096153818</v>
      </c>
      <c r="DD43" s="103">
        <f t="array" ref="DD43">INDEX(Demand_current!$D$4:$BW$137, MATCH($A43, Demand_current!$B$4:$B$137, 0), MATCH(DD$4&amp;DD$5,Demand_current!$D$2:$BW$2&amp;Demand_current!$D$3:$BW$3, 0))/1000</f>
        <v>72.637289999999936</v>
      </c>
      <c r="DE43" s="103">
        <f t="array" ref="DE43">INDEX(Demand_current!$D$4:$BW$137, MATCH($A43, Demand_current!$B$4:$B$137, 0), MATCH(DE$4&amp;DE$5,Demand_current!$D$2:$BW$2&amp;Demand_current!$D$3:$BW$3, 0))/1000</f>
        <v>189.99048798076922</v>
      </c>
      <c r="DF43" s="103">
        <f t="array" ref="DF43">INDEX(Demand_current!$D$4:$BW$137, MATCH($A43, Demand_current!$B$4:$B$137, 0), MATCH(DF$4&amp;DF$5,Demand_current!$D$2:$BW$2&amp;Demand_current!$D$3:$BW$3, 0))/1000</f>
        <v>124.69591346153842</v>
      </c>
      <c r="DG43" s="103">
        <f t="array" ref="DG43">INDEX(Demand_current!$D$4:$BW$137, MATCH($A43, Demand_current!$B$4:$B$137, 0), MATCH(DG$4&amp;DG$5,Demand_current!$D$2:$BW$2&amp;Demand_current!$D$3:$BW$3, 0))/1000</f>
        <v>172.77481730769225</v>
      </c>
      <c r="DH43" s="103">
        <f t="array" ref="DH43">INDEX(Demand_current!$D$4:$BW$137, MATCH($A43, Demand_current!$B$4:$B$137, 0), MATCH(DH$4&amp;DH$5,Demand_current!$D$2:$BW$2&amp;Demand_current!$D$3:$BW$3, 0))/1000</f>
        <v>167.34920250000005</v>
      </c>
      <c r="DI43" s="102">
        <f>$BS43*(VLOOKUP(DI$4, Rates_current!$H$6:$R$41, 10, FALSE)+VLOOKUP(DI$4, Rates_current!$H$6:$R$41, 11, FALSE))</f>
        <v>186996.18855409097</v>
      </c>
      <c r="DJ43" s="102">
        <f>$BS43*(VLOOKUP(DJ$4, Rates_current!$H$6:$R$41, 10, FALSE)+VLOOKUP(DJ$4, Rates_current!$H$6:$R$41, 11, FALSE))</f>
        <v>239068.47263288911</v>
      </c>
      <c r="DK43" s="102">
        <f>$BS43*(VLOOKUP(DK$4, Rates_current!$H$6:$R$41, 10, FALSE)+VLOOKUP(DK$4, Rates_current!$H$6:$R$41, 11, FALSE))</f>
        <v>271800.85842486937</v>
      </c>
      <c r="DL43" s="102">
        <f>$BS43*(VLOOKUP(DL$4, Rates_current!$H$6:$R$41, 10, FALSE)+VLOOKUP(DL$4, Rates_current!$H$6:$R$41, 11, FALSE))</f>
        <v>286771.12211027887</v>
      </c>
      <c r="DM43" s="102">
        <f>$BS43*(VLOOKUP(DM$4, Rates_current!$H$6:$R$41, 10, FALSE)+VLOOKUP(DM$4, Rates_current!$H$6:$R$41, 11, FALSE))</f>
        <v>228530.7022388335</v>
      </c>
      <c r="DN43" s="102">
        <f>$BS43*(VLOOKUP(DN$4, Rates_current!$H$6:$R$41, 10, FALSE)+VLOOKUP(DN$4, Rates_current!$H$6:$R$41, 11, FALSE))</f>
        <v>249830.98764009587</v>
      </c>
      <c r="DO43" s="102">
        <f>$BS43*(VLOOKUP(DO$4, Rates_current!$H$6:$R$41, 10, FALSE)+VLOOKUP(DO$4, Rates_current!$H$6:$R$41, 11, FALSE))</f>
        <v>193621.52848897784</v>
      </c>
      <c r="DP43" s="102">
        <f>$BS43*(VLOOKUP(DP$4, Rates_current!$H$6:$R$41, 10, FALSE)+VLOOKUP(DP$4, Rates_current!$H$6:$R$41, 11, FALSE))</f>
        <v>250578.1381043572</v>
      </c>
      <c r="DQ43" s="102">
        <f>$BS43*(VLOOKUP(DQ$4, Rates_current!$H$6:$R$41, 10, FALSE)+VLOOKUP(DQ$4, Rates_current!$H$6:$R$41, 11, FALSE))</f>
        <v>255928.71078564913</v>
      </c>
      <c r="DR43" s="102">
        <f>$BS43*(VLOOKUP(DR$4, Rates_current!$H$6:$R$41, 10, FALSE)+VLOOKUP(DR$4, Rates_current!$H$6:$R$41, 11, FALSE))</f>
        <v>227798.68652531414</v>
      </c>
      <c r="DS43" s="102">
        <f>$BS43*(VLOOKUP(DS$4, Rates_current!$H$6:$R$41, 10, FALSE)+VLOOKUP(DS$4, Rates_current!$H$6:$R$41, 11, FALSE))</f>
        <v>233679.6754633993</v>
      </c>
      <c r="DT43" s="102">
        <f>$BS43*(VLOOKUP(DT$4, Rates_current!$H$6:$R$41, 10, FALSE)+VLOOKUP(DT$4, Rates_current!$H$6:$R$41, 11, FALSE))</f>
        <v>181480.27955288225</v>
      </c>
      <c r="DU43" s="261">
        <f>IF(D43=0,IF(C43=0,MAX(0,DW43 - (VLOOKUP($A43,TOCA_current!$A$2:$AV$136,MATCH("RHWM "&amp;Init!$D$1,TOCA_current!$A$2:$AV$2,0),FALSE)*$BS$2)), 0),0)</f>
        <v>4.1336425859481096</v>
      </c>
      <c r="DV43" s="262">
        <f>MIN(VLOOKUP($A43,TOCA_current!$A$2:$AV$136,MATCH("TRL - NLSL - Existing Resource "&amp;$BS$1,TOCA_current!$A$2:$AV$2,0),FALSE)*$BS$2, VLOOKUP($A43,TOCA_current!$A$2:$AV$136,MATCH("RHWM "&amp;Init!$D$1,TOCA_current!$A$2:$AV$2,0),FALSE)*$BS$2)</f>
        <v>2806082.04</v>
      </c>
      <c r="DW43" s="262">
        <f>SUM(BY43:CV43)+(BS43*RT1SC!$C$4*$BS$2)</f>
        <v>2806086.173642586</v>
      </c>
      <c r="DX43" s="262">
        <f>VLOOKUP($A43,TOCA_current!$A$2:$AV$136,MATCH("Above RHWM Not Served with LS "&amp;$BS$1,TOCA_current!$A$2:$AV$2,0),FALSE)*$BS$2</f>
        <v>201611.4</v>
      </c>
      <c r="DY43" s="262">
        <f t="shared" si="28"/>
        <v>4.1336425859481096</v>
      </c>
      <c r="DZ43" s="262">
        <f>(VLOOKUP($A43,TOCA_current!$A$2:$AV$136,MATCH("RHWM "&amp;Init!$D$1,TOCA_current!$A$2:$AV$2,0),FALSE)*$BS$2) - $DV43</f>
        <v>0</v>
      </c>
      <c r="EA43" s="262">
        <f t="shared" si="29"/>
        <v>0</v>
      </c>
      <c r="EB43" s="262">
        <f t="shared" si="30"/>
        <v>0</v>
      </c>
      <c r="EC43" s="262">
        <f t="shared" si="31"/>
        <v>0</v>
      </c>
      <c r="ED43" s="262">
        <f t="shared" si="32"/>
        <v>0</v>
      </c>
    </row>
    <row r="44" spans="1:134">
      <c r="A44" s="2">
        <v>10105</v>
      </c>
      <c r="B44" s="3" t="s">
        <v>46</v>
      </c>
      <c r="C44">
        <f>VLOOKUP(A44, TOCA_current!$A$3:$D$136, 4, FALSE)</f>
        <v>0</v>
      </c>
      <c r="D44">
        <v>1</v>
      </c>
      <c r="E44" s="84">
        <f>VLOOKUP($A44,TOCA_previous!$A$2:$AJ$136,MATCH(E$4,TOCA_previous!$A$2:$AJ$2,0),FALSE)</f>
        <v>1.24989E-2</v>
      </c>
      <c r="F44" s="85">
        <f>VLOOKUP($A44,TOCA_previous!$A$2:$AJ$136,MATCH(F$4,TOCA_previous!$A$2:$AJ$2,0),FALSE)</f>
        <v>5.2486E-3</v>
      </c>
      <c r="G44" s="85">
        <f t="shared" si="18"/>
        <v>7.2503000000000003E-3</v>
      </c>
      <c r="H44" s="85">
        <f>VLOOKUP($A44,TOCA_previous!$A$2:$AJ$136,MATCH(H$4,TOCA_previous!$A$2:$AJ$2,0),FALSE)</f>
        <v>0</v>
      </c>
      <c r="I44" s="85">
        <f t="shared" si="19"/>
        <v>0</v>
      </c>
      <c r="J44" s="85">
        <f t="shared" si="20"/>
        <v>0</v>
      </c>
      <c r="K44" s="101">
        <f>VLOOKUP(A44, IRD!$A$5:$C$138, 3, FALSE)</f>
        <v>0</v>
      </c>
      <c r="L44" s="102">
        <f t="array" ref="L44">IF($G44=0, INDEX(LS_previous!$D$4:$AY$137, MATCH('Staging Table'!$A44, LS_previous!$B$4:$B$137, 0), MATCH(L$4&amp;L$5, LS_previous!$D$2:$AY$2&amp;LS_previous!$D$3:$AY$3, 0)),SUM(VLOOKUP($A44, LS_previous!$B$4:$AY$137, LS_previous!D$148, FALSE), VLOOKUP('Staging Table'!$A44, LS_previous!$B$4:$AY$137,LS_previous!AB$148, FALSE))/2)</f>
        <v>1186.0596601761208</v>
      </c>
      <c r="M44" s="102">
        <f t="array" ref="M44">IF($G44=0, INDEX(LS_previous!$D$4:$AY$137, MATCH('Staging Table'!$A44, LS_previous!$B$4:$B$137, 0), MATCH(M$4&amp;M$5, LS_previous!$D$2:$AY$2&amp;LS_previous!$D$3:$AY$3, 0)),SUM(VLOOKUP($A44, LS_previous!$B$4:$AY$137, LS_previous!E$148, FALSE), VLOOKUP('Staging Table'!$A44, LS_previous!$B$4:$AY$137,LS_previous!AC$148, FALSE))/2)</f>
        <v>2260.3824050540406</v>
      </c>
      <c r="N44" s="102">
        <f t="array" ref="N44">IF($G44=0, INDEX(LS_previous!$D$4:$AY$137, MATCH('Staging Table'!$A44, LS_previous!$B$4:$B$137, 0), MATCH(N$4&amp;N$5, LS_previous!$D$2:$AY$2&amp;LS_previous!$D$3:$AY$3, 0)),SUM(VLOOKUP($A44, LS_previous!$B$4:$AY$137, LS_previous!F$148, FALSE), VLOOKUP('Staging Table'!$A44, LS_previous!$B$4:$AY$137,LS_previous!AD$148, FALSE))/2)</f>
        <v>-2955.9317154580613</v>
      </c>
      <c r="O44" s="102">
        <f t="array" ref="O44">IF($G44=0, INDEX(LS_previous!$D$4:$AY$137, MATCH('Staging Table'!$A44, LS_previous!$B$4:$B$137, 0), MATCH(O$4&amp;O$5, LS_previous!$D$2:$AY$2&amp;LS_previous!$D$3:$AY$3, 0)),SUM(VLOOKUP($A44, LS_previous!$B$4:$AY$137, LS_previous!G$148, FALSE), VLOOKUP('Staging Table'!$A44, LS_previous!$B$4:$AY$137,LS_previous!AE$148, FALSE))/2)</f>
        <v>282.56718693969833</v>
      </c>
      <c r="P44" s="102">
        <f t="array" ref="P44">IF($G44=0, INDEX(LS_previous!$D$4:$AY$137, MATCH('Staging Table'!$A44, LS_previous!$B$4:$B$137, 0), MATCH(P$4&amp;P$5, LS_previous!$D$2:$AY$2&amp;LS_previous!$D$3:$AY$3, 0)),SUM(VLOOKUP($A44, LS_previous!$B$4:$AY$137, LS_previous!H$148, FALSE), VLOOKUP('Staging Table'!$A44, LS_previous!$B$4:$AY$137,LS_previous!AF$148, FALSE))/2)</f>
        <v>-3248.2895930330797</v>
      </c>
      <c r="Q44" s="102">
        <f t="array" ref="Q44">IF($G44=0, INDEX(LS_previous!$D$4:$AY$137, MATCH('Staging Table'!$A44, LS_previous!$B$4:$B$137, 0), MATCH(Q$4&amp;Q$5, LS_previous!$D$2:$AY$2&amp;LS_previous!$D$3:$AY$3, 0)),SUM(VLOOKUP($A44, LS_previous!$B$4:$AY$137, LS_previous!I$148, FALSE), VLOOKUP('Staging Table'!$A44, LS_previous!$B$4:$AY$137,LS_previous!AG$148, FALSE))/2)</f>
        <v>1113.7913647119949</v>
      </c>
      <c r="R44" s="102">
        <f t="array" ref="R44">IF($G44=0, INDEX(LS_previous!$D$4:$AY$137, MATCH('Staging Table'!$A44, LS_previous!$B$4:$B$137, 0), MATCH(R$4&amp;R$5, LS_previous!$D$2:$AY$2&amp;LS_previous!$D$3:$AY$3, 0)),SUM(VLOOKUP($A44, LS_previous!$B$4:$AY$137, LS_previous!J$148, FALSE), VLOOKUP('Staging Table'!$A44, LS_previous!$B$4:$AY$137,LS_previous!AH$148, FALSE))/2)</f>
        <v>-4116.0413360742868</v>
      </c>
      <c r="S44" s="102">
        <f t="array" ref="S44">IF($G44=0, INDEX(LS_previous!$D$4:$AY$137, MATCH('Staging Table'!$A44, LS_previous!$B$4:$B$137, 0), MATCH(S$4&amp;S$5, LS_previous!$D$2:$AY$2&amp;LS_previous!$D$3:$AY$3, 0)),SUM(VLOOKUP($A44, LS_previous!$B$4:$AY$137, LS_previous!K$148, FALSE), VLOOKUP('Staging Table'!$A44, LS_previous!$B$4:$AY$137,LS_previous!AI$148, FALSE))/2)</f>
        <v>165.08354534450791</v>
      </c>
      <c r="T44" s="102">
        <f t="array" ref="T44">IF($G44=0, INDEX(LS_previous!$D$4:$AY$137, MATCH('Staging Table'!$A44, LS_previous!$B$4:$B$137, 0), MATCH(T$4&amp;T$5, LS_previous!$D$2:$AY$2&amp;LS_previous!$D$3:$AY$3, 0)),SUM(VLOOKUP($A44, LS_previous!$B$4:$AY$137, LS_previous!L$148, FALSE), VLOOKUP('Staging Table'!$A44, LS_previous!$B$4:$AY$137,LS_previous!AJ$148, FALSE))/2)</f>
        <v>-2375.1178900236791</v>
      </c>
      <c r="U44" s="102">
        <f t="array" ref="U44">IF($G44=0, INDEX(LS_previous!$D$4:$AY$137, MATCH('Staging Table'!$A44, LS_previous!$B$4:$B$137, 0), MATCH(U$4&amp;U$5, LS_previous!$D$2:$AY$2&amp;LS_previous!$D$3:$AY$3, 0)),SUM(VLOOKUP($A44, LS_previous!$B$4:$AY$137, LS_previous!M$148, FALSE), VLOOKUP('Staging Table'!$A44, LS_previous!$B$4:$AY$137,LS_previous!AK$148, FALSE))/2)</f>
        <v>1153.5174494739267</v>
      </c>
      <c r="V44" s="102">
        <f t="array" ref="V44">IF($G44=0, INDEX(LS_previous!$D$4:$AY$137, MATCH('Staging Table'!$A44, LS_previous!$B$4:$B$137, 0), MATCH(V$4&amp;V$5, LS_previous!$D$2:$AY$2&amp;LS_previous!$D$3:$AY$3, 0)),SUM(VLOOKUP($A44, LS_previous!$B$4:$AY$137, LS_previous!N$148, FALSE), VLOOKUP('Staging Table'!$A44, LS_previous!$B$4:$AY$137,LS_previous!AL$148, FALSE))/2)</f>
        <v>-2416.2834623626668</v>
      </c>
      <c r="W44" s="102">
        <f t="array" ref="W44">IF($G44=0, INDEX(LS_previous!$D$4:$AY$137, MATCH('Staging Table'!$A44, LS_previous!$B$4:$B$137, 0), MATCH(W$4&amp;W$5, LS_previous!$D$2:$AY$2&amp;LS_previous!$D$3:$AY$3, 0)),SUM(VLOOKUP($A44, LS_previous!$B$4:$AY$137, LS_previous!O$148, FALSE), VLOOKUP('Staging Table'!$A44, LS_previous!$B$4:$AY$137,LS_previous!AM$148, FALSE))/2)</f>
        <v>710.79830475431208</v>
      </c>
      <c r="X44" s="102">
        <f t="array" ref="X44">IF($G44=0, INDEX(LS_previous!$D$4:$AY$137, MATCH('Staging Table'!$A44, LS_previous!$B$4:$B$137, 0), MATCH(X$4&amp;X$5, LS_previous!$D$2:$AY$2&amp;LS_previous!$D$3:$AY$3, 0)),SUM(VLOOKUP($A44, LS_previous!$B$4:$AY$137, LS_previous!P$148, FALSE), VLOOKUP('Staging Table'!$A44, LS_previous!$B$4:$AY$137,LS_previous!AN$148, FALSE))/2)</f>
        <v>1026.532336615408</v>
      </c>
      <c r="Y44" s="102">
        <f t="array" ref="Y44">IF($G44=0, INDEX(LS_previous!$D$4:$AY$137, MATCH('Staging Table'!$A44, LS_previous!$B$4:$B$137, 0), MATCH(Y$4&amp;Y$5, LS_previous!$D$2:$AY$2&amp;LS_previous!$D$3:$AY$3, 0)),SUM(VLOOKUP($A44, LS_previous!$B$4:$AY$137, LS_previous!Q$148, FALSE), VLOOKUP('Staging Table'!$A44, LS_previous!$B$4:$AY$137,LS_previous!AO$148, FALSE))/2)</f>
        <v>2010.6095519580367</v>
      </c>
      <c r="Z44" s="102">
        <f t="array" ref="Z44">IF($G44=0, INDEX(LS_previous!$D$4:$AY$137, MATCH('Staging Table'!$A44, LS_previous!$B$4:$B$137, 0), MATCH(Z$4&amp;Z$5, LS_previous!$D$2:$AY$2&amp;LS_previous!$D$3:$AY$3, 0)),SUM(VLOOKUP($A44, LS_previous!$B$4:$AY$137, LS_previous!R$148, FALSE), VLOOKUP('Staging Table'!$A44, LS_previous!$B$4:$AY$137,LS_previous!AP$148, FALSE))/2)</f>
        <v>-6176.8630203783123</v>
      </c>
      <c r="AA44" s="102">
        <f t="array" ref="AA44">IF($G44=0, INDEX(LS_previous!$D$4:$AY$137, MATCH('Staging Table'!$A44, LS_previous!$B$4:$B$137, 0), MATCH(AA$4&amp;AA$5, LS_previous!$D$2:$AY$2&amp;LS_previous!$D$3:$AY$3, 0)),SUM(VLOOKUP($A44, LS_previous!$B$4:$AY$137, LS_previous!S$148, FALSE), VLOOKUP('Staging Table'!$A44, LS_previous!$B$4:$AY$137,LS_previous!AQ$148, FALSE))/2)</f>
        <v>-2333.5000256889825</v>
      </c>
      <c r="AB44" s="102">
        <f t="array" ref="AB44">IF($G44=0, INDEX(LS_previous!$D$4:$AY$137, MATCH('Staging Table'!$A44, LS_previous!$B$4:$B$137, 0), MATCH(AB$4&amp;AB$5, LS_previous!$D$2:$AY$2&amp;LS_previous!$D$3:$AY$3, 0)),SUM(VLOOKUP($A44, LS_previous!$B$4:$AY$137, LS_previous!T$148, FALSE), VLOOKUP('Staging Table'!$A44, LS_previous!$B$4:$AY$137,LS_previous!AR$148, FALSE))/2)</f>
        <v>-4321.2841893265404</v>
      </c>
      <c r="AC44" s="102">
        <f t="array" ref="AC44">IF($G44=0, INDEX(LS_previous!$D$4:$AY$137, MATCH('Staging Table'!$A44, LS_previous!$B$4:$B$137, 0), MATCH(AC$4&amp;AC$5, LS_previous!$D$2:$AY$2&amp;LS_previous!$D$3:$AY$3, 0)),SUM(VLOOKUP($A44, LS_previous!$B$4:$AY$137, LS_previous!U$148, FALSE), VLOOKUP('Staging Table'!$A44, LS_previous!$B$4:$AY$137,LS_previous!AS$148, FALSE))/2)</f>
        <v>435.05230353894785</v>
      </c>
      <c r="AD44" s="102">
        <f t="array" ref="AD44">IF($G44=0, INDEX(LS_previous!$D$4:$AY$137, MATCH('Staging Table'!$A44, LS_previous!$B$4:$B$137, 0), MATCH(AD$4&amp;AD$5, LS_previous!$D$2:$AY$2&amp;LS_previous!$D$3:$AY$3, 0)),SUM(VLOOKUP($A44, LS_previous!$B$4:$AY$137, LS_previous!V$148, FALSE), VLOOKUP('Staging Table'!$A44, LS_previous!$B$4:$AY$137,LS_previous!AT$148, FALSE))/2)</f>
        <v>-2322.6755219662236</v>
      </c>
      <c r="AE44" s="102">
        <f t="array" ref="AE44">IF($G44=0, INDEX(LS_previous!$D$4:$AY$137, MATCH('Staging Table'!$A44, LS_previous!$B$4:$B$137, 0), MATCH(AE$4&amp;AE$5, LS_previous!$D$2:$AY$2&amp;LS_previous!$D$3:$AY$3, 0)),SUM(VLOOKUP($A44, LS_previous!$B$4:$AY$137, LS_previous!W$148, FALSE), VLOOKUP('Staging Table'!$A44, LS_previous!$B$4:$AY$137,LS_previous!AU$148, FALSE))/2)</f>
        <v>1137.5893113614075</v>
      </c>
      <c r="AF44" s="102">
        <f t="array" ref="AF44">IF($G44=0, INDEX(LS_previous!$D$4:$AY$137, MATCH('Staging Table'!$A44, LS_previous!$B$4:$B$137, 0), MATCH(AF$4&amp;AF$5, LS_previous!$D$2:$AY$2&amp;LS_previous!$D$3:$AY$3, 0)),SUM(VLOOKUP($A44, LS_previous!$B$4:$AY$137, LS_previous!X$148, FALSE), VLOOKUP('Staging Table'!$A44, LS_previous!$B$4:$AY$137,LS_previous!AV$148, FALSE))/2)</f>
        <v>-1626.1063750625062</v>
      </c>
      <c r="AG44" s="102">
        <f t="array" ref="AG44">IF($G44=0, INDEX(LS_previous!$D$4:$AY$137, MATCH('Staging Table'!$A44, LS_previous!$B$4:$B$137, 0), MATCH(AG$4&amp;AG$5, LS_previous!$D$2:$AY$2&amp;LS_previous!$D$3:$AY$3, 0)),SUM(VLOOKUP($A44, LS_previous!$B$4:$AY$137, LS_previous!Y$148, FALSE), VLOOKUP('Staging Table'!$A44, LS_previous!$B$4:$AY$137,LS_previous!AW$148, FALSE))/2)</f>
        <v>1612.9485686576645</v>
      </c>
      <c r="AH44" s="102">
        <f t="array" ref="AH44">IF($G44=0, INDEX(LS_previous!$D$4:$AY$137, MATCH('Staging Table'!$A44, LS_previous!$B$4:$B$137, 0), MATCH(AH$4&amp;AH$5, LS_previous!$D$2:$AY$2&amp;LS_previous!$D$3:$AY$3, 0)),SUM(VLOOKUP($A44, LS_previous!$B$4:$AY$137, LS_previous!Z$148, FALSE), VLOOKUP('Staging Table'!$A44, LS_previous!$B$4:$AY$137,LS_previous!AX$148, FALSE))/2)</f>
        <v>-301.77553963789796</v>
      </c>
      <c r="AI44" s="102">
        <f t="array" ref="AI44">IF($G44=0, INDEX(LS_previous!$D$4:$AY$137, MATCH('Staging Table'!$A44, LS_previous!$B$4:$B$137, 0), MATCH(AI$4&amp;AI$5, LS_previous!$D$2:$AY$2&amp;LS_previous!$D$3:$AY$3, 0)),SUM(VLOOKUP($A44, LS_previous!$B$4:$AY$137, LS_previous!AA$148, FALSE), VLOOKUP('Staging Table'!$A44, LS_previous!$B$4:$AY$137,LS_previous!AY$148, FALSE))/2)</f>
        <v>1979.8942643591918</v>
      </c>
      <c r="AJ44" s="103">
        <f t="array" ref="AJ44">INDEX(Demand_previous!$D$4:$AY$137, MATCH('Staging Table'!$A44, Demand_previous!$B$4:$B$137, 0), MATCH(AJ$4&amp;AJ$5,Demand_previous!$D$2:$AY$2&amp;Demand_previous!$D$3:$AY$3, 0))/1000</f>
        <v>0</v>
      </c>
      <c r="AK44" s="103">
        <f t="array" ref="AK44">INDEX(Demand_previous!$D$4:$AY$137, MATCH('Staging Table'!$A44, Demand_previous!$B$4:$B$137, 0), MATCH(AK$4&amp;AK$5,Demand_previous!$D$2:$AY$2&amp;Demand_previous!$D$3:$AY$3, 0))/1000</f>
        <v>0</v>
      </c>
      <c r="AL44" s="103">
        <f t="array" ref="AL44">INDEX(Demand_previous!$D$4:$AY$137, MATCH('Staging Table'!$A44, Demand_previous!$B$4:$B$137, 0), MATCH(AL$4&amp;AL$5,Demand_previous!$D$2:$AY$2&amp;Demand_previous!$D$3:$AY$3, 0))/1000</f>
        <v>0</v>
      </c>
      <c r="AM44" s="103">
        <f t="array" ref="AM44">INDEX(Demand_previous!$D$4:$AY$137, MATCH('Staging Table'!$A44, Demand_previous!$B$4:$B$137, 0), MATCH(AM$4&amp;AM$5,Demand_previous!$D$2:$AY$2&amp;Demand_previous!$D$3:$AY$3, 0))/1000</f>
        <v>0</v>
      </c>
      <c r="AN44" s="103">
        <f t="array" ref="AN44">INDEX(Demand_previous!$D$4:$AY$137, MATCH('Staging Table'!$A44, Demand_previous!$B$4:$B$137, 0), MATCH(AN$4&amp;AN$5,Demand_previous!$D$2:$AY$2&amp;Demand_previous!$D$3:$AY$3, 0))/1000</f>
        <v>0</v>
      </c>
      <c r="AO44" s="103">
        <f t="array" ref="AO44">INDEX(Demand_previous!$D$4:$AY$137, MATCH('Staging Table'!$A44, Demand_previous!$B$4:$B$137, 0), MATCH(AO$4&amp;AO$5,Demand_previous!$D$2:$AY$2&amp;Demand_previous!$D$3:$AY$3, 0))/1000</f>
        <v>0</v>
      </c>
      <c r="AP44" s="103">
        <f t="array" ref="AP44">INDEX(Demand_previous!$D$4:$AY$137, MATCH('Staging Table'!$A44, Demand_previous!$B$4:$B$137, 0), MATCH(AP$4&amp;AP$5,Demand_previous!$D$2:$AY$2&amp;Demand_previous!$D$3:$AY$3, 0))/1000</f>
        <v>0</v>
      </c>
      <c r="AQ44" s="103">
        <f t="array" ref="AQ44">INDEX(Demand_previous!$D$4:$AY$137, MATCH('Staging Table'!$A44, Demand_previous!$B$4:$B$137, 0), MATCH(AQ$4&amp;AQ$5,Demand_previous!$D$2:$AY$2&amp;Demand_previous!$D$3:$AY$3, 0))/1000</f>
        <v>0</v>
      </c>
      <c r="AR44" s="103">
        <f t="array" ref="AR44">INDEX(Demand_previous!$D$4:$AY$137, MATCH('Staging Table'!$A44, Demand_previous!$B$4:$B$137, 0), MATCH(AR$4&amp;AR$5,Demand_previous!$D$2:$AY$2&amp;Demand_previous!$D$3:$AY$3, 0))/1000</f>
        <v>0</v>
      </c>
      <c r="AS44" s="103">
        <f t="array" ref="AS44">INDEX(Demand_previous!$D$4:$AY$137, MATCH('Staging Table'!$A44, Demand_previous!$B$4:$B$137, 0), MATCH(AS$4&amp;AS$5,Demand_previous!$D$2:$AY$2&amp;Demand_previous!$D$3:$AY$3, 0))/1000</f>
        <v>0</v>
      </c>
      <c r="AT44" s="103">
        <f t="array" ref="AT44">INDEX(Demand_previous!$D$4:$AY$137, MATCH('Staging Table'!$A44, Demand_previous!$B$4:$B$137, 0), MATCH(AT$4&amp;AT$5,Demand_previous!$D$2:$AY$2&amp;Demand_previous!$D$3:$AY$3, 0))/1000</f>
        <v>0</v>
      </c>
      <c r="AU44" s="103">
        <f t="array" ref="AU44">INDEX(Demand_previous!$D$4:$AY$137, MATCH('Staging Table'!$A44, Demand_previous!$B$4:$B$137, 0), MATCH(AU$4&amp;AU$5,Demand_previous!$D$2:$AY$2&amp;Demand_previous!$D$3:$AY$3, 0))/1000</f>
        <v>0</v>
      </c>
      <c r="AV44" s="102">
        <f>$F44*(VLOOKUP(AV$4, Rates_previous!$G$6:$Q$29, 10, FALSE)+VLOOKUP(AV$4, Rates_previous!$G$6:$Q$29, 11, FALSE))</f>
        <v>22142.813422608899</v>
      </c>
      <c r="AW44" s="102">
        <f>$F44*(VLOOKUP(AW$4, Rates_previous!$G$6:$Q$29, 10, FALSE)+VLOOKUP(AW$4, Rates_previous!$G$6:$Q$29, 11, FALSE))</f>
        <v>28239.388772407405</v>
      </c>
      <c r="AX44" s="102">
        <f>$F44*(VLOOKUP(AX$4, Rates_previous!$G$6:$Q$29, 10, FALSE)+VLOOKUP(AX$4, Rates_previous!$G$6:$Q$29, 11, FALSE))</f>
        <v>30475.887962541001</v>
      </c>
      <c r="AY44" s="102">
        <f>$F44*(VLOOKUP(AY$4, Rates_previous!$G$6:$Q$29, 10, FALSE)+VLOOKUP(AY$4, Rates_previous!$G$6:$Q$29, 11, FALSE))</f>
        <v>31669.158794358398</v>
      </c>
      <c r="AZ44" s="102">
        <f>$F44*(VLOOKUP(AZ$4, Rates_previous!$G$6:$Q$29, 10, FALSE)+VLOOKUP(AZ$4, Rates_previous!$G$6:$Q$29, 11, FALSE))</f>
        <v>27239.697792526797</v>
      </c>
      <c r="BA44" s="102">
        <f>$F44*(VLOOKUP(BA$4, Rates_previous!$G$6:$Q$29, 10, FALSE)+VLOOKUP(BA$4, Rates_previous!$G$6:$Q$29, 11, FALSE))</f>
        <v>29740.356800502599</v>
      </c>
      <c r="BB44" s="102">
        <f>$F44*(VLOOKUP(BB$4, Rates_previous!$G$6:$Q$29, 10, FALSE)+VLOOKUP(BB$4, Rates_previous!$G$6:$Q$29, 11, FALSE))</f>
        <v>23474.999836327548</v>
      </c>
      <c r="BC44" s="102">
        <f>$F44*(VLOOKUP(BC$4, Rates_previous!$G$6:$Q$29, 10, FALSE)+VLOOKUP(BC$4, Rates_previous!$G$6:$Q$29, 11, FALSE))</f>
        <v>29123.8830937159</v>
      </c>
      <c r="BD44" s="102">
        <f>$F44*(VLOOKUP(BD$4, Rates_previous!$G$6:$Q$29, 10, FALSE)+VLOOKUP(BD$4, Rates_previous!$G$6:$Q$29, 11, FALSE))</f>
        <v>29755.798651452296</v>
      </c>
      <c r="BE44" s="102">
        <f>$F44*(VLOOKUP(BE$4, Rates_previous!$G$6:$Q$29, 10, FALSE)+VLOOKUP(BE$4, Rates_previous!$G$6:$Q$29, 11, FALSE))</f>
        <v>25832.320099226898</v>
      </c>
      <c r="BF44" s="102">
        <f>$F44*(VLOOKUP(BF$4, Rates_previous!$G$6:$Q$29, 10, FALSE)+VLOOKUP(BF$4, Rates_previous!$G$6:$Q$29, 11, FALSE))</f>
        <v>24972.987080035611</v>
      </c>
      <c r="BG44" s="102">
        <f>$F44*(VLOOKUP(BG$4, Rates_previous!$G$6:$Q$29, 10, FALSE)+VLOOKUP(BG$4, Rates_previous!$G$6:$Q$29, 11, FALSE))</f>
        <v>22979.984104170802</v>
      </c>
      <c r="BH44" s="103">
        <f>IF($D44=0,IF(C44=0, MAX(BJ44 - (VLOOKUP($A44,TOCA_previous!$A$2:$AJ$136,MATCH("RHWM "&amp;Init!$D$1-2,TOCA_previous!$A$2:$AJ$2,0),FALSE)*$F$2*TOCA_previous!C41),0),0), 0)</f>
        <v>0</v>
      </c>
      <c r="BI44" s="109">
        <f>MIN(VLOOKUP($A44,TOCA_previous!$A$2:$AJ$136,MATCH("TRL - NLSL - Existing Resource "&amp;$F$1,TOCA_previous!$A$2:$AJ$2,0),FALSE)*$F$2,(VLOOKUP($A44,TOCA_previous!$A$2:$AJ$136,MATCH("RHWM "&amp;Init!$D$1-2,TOCA_previous!$A$2:$AJ$2,0),FALSE)*$F$2))</f>
        <v>758375.424</v>
      </c>
      <c r="BJ44" s="261">
        <f>SUM(L44:AI44)+(F44*RT1SC!$C$3*$F$2)</f>
        <v>308528.23548650905</v>
      </c>
      <c r="BK44" s="260">
        <f>VLOOKUP($A44,TOCA_previous!$A$2:$AJ$136,MATCH("Above RHWM Not Served with LS "&amp;$F$1,TOCA_previous!$A$2:$AJ$2,0),FALSE)*$F$2</f>
        <v>0</v>
      </c>
      <c r="BL44" s="261">
        <f t="shared" si="21"/>
        <v>-449847.18851349095</v>
      </c>
      <c r="BM44" s="260">
        <f>(VLOOKUP($A44,TOCA_previous!$A$2:$AJ$136,MATCH("RHWM "&amp;Init!$D$1-2,TOCA_previous!$A$2:$AJ$2,0),FALSE)*$F$2) - $BI44</f>
        <v>57113.56799999997</v>
      </c>
      <c r="BN44" s="261">
        <f t="shared" si="22"/>
        <v>0</v>
      </c>
      <c r="BO44" s="260">
        <f t="shared" si="23"/>
        <v>449847.18851349095</v>
      </c>
      <c r="BP44" s="261">
        <f t="shared" si="24"/>
        <v>0</v>
      </c>
      <c r="BQ44" s="260">
        <f t="shared" si="9"/>
        <v>0</v>
      </c>
      <c r="BR44" s="85">
        <f>VLOOKUP($A44,TOCA_current!$A$2:$ZZ$136,MATCH(BR$4,TOCA_current!$A$2:$ZZ$2,0),FALSE)</f>
        <v>1.2176899999999999E-2</v>
      </c>
      <c r="BS44" s="85">
        <f>VLOOKUP($A44,TOCA_current!$A$2:$ZZ$136,MATCH(BS$4,TOCA_current!$A$2:$ZZ$2,0),FALSE)</f>
        <v>4.9305999999999994E-3</v>
      </c>
      <c r="BT44" s="108">
        <f t="shared" si="25"/>
        <v>7.2462999999999998E-3</v>
      </c>
      <c r="BU44" s="85">
        <f>VLOOKUP($A44,TOCA_current!A41:BG175,MATCH(BU$4,TOCA_current!$A$2:$BG$2,0),FALSE)</f>
        <v>0</v>
      </c>
      <c r="BV44" s="85">
        <f t="shared" si="26"/>
        <v>0</v>
      </c>
      <c r="BW44" s="85">
        <f t="shared" si="27"/>
        <v>0</v>
      </c>
      <c r="BX44" s="101">
        <f>VLOOKUP($A44,IRD!$A$4:$G$138, 7, FALSE)</f>
        <v>0</v>
      </c>
      <c r="BY44" s="102">
        <f t="array" ref="BY44">IF($BT44=0, INDEX(LS_current!$D$4:$BW$137, MATCH('Staging Table'!$A44, LS_current!$B$4:$B$137, 0), MATCH(BY$4&amp;BY$5, LS_current!$D$2:$BW$2&amp;LS_current!$D$3:$BW$3, 0)),SUM(VLOOKUP($A44, LS_current!$B$4:$BW$137, LS_current!D$147, FALSE), VLOOKUP($A44, LS_current!$B$4:$BW$137,LS_current!AZ$147, FALSE))/2)</f>
        <v>2052.8248378483804</v>
      </c>
      <c r="BZ44" s="102">
        <f t="array" ref="BZ44">IF($BT44=0, INDEX(LS_current!$D$4:$BW$137, MATCH('Staging Table'!$A44, LS_current!$B$4:$B$137, 0), MATCH(BZ$4&amp;BZ$5, LS_current!$D$2:$BW$2&amp;LS_current!$D$3:$BW$3, 0)),SUM(VLOOKUP($A44, LS_current!$B$4:$BW$137, LS_current!E$147, FALSE), VLOOKUP($A44, LS_current!$B$4:$BW$137,LS_current!BA$147, FALSE))/2)</f>
        <v>2985.7029167576657</v>
      </c>
      <c r="CA44" s="102">
        <f t="array" ref="CA44">IF($BT44=0, INDEX(LS_current!$D$4:$BW$137, MATCH('Staging Table'!$A44, LS_current!$B$4:$B$137, 0), MATCH(CA$4&amp;CA$5, LS_current!$D$2:$BW$2&amp;LS_current!$D$3:$BW$3, 0)),SUM(VLOOKUP($A44, LS_current!$B$4:$BW$137, LS_current!F$147, FALSE), VLOOKUP($A44, LS_current!$B$4:$BW$137,LS_current!BB$147, FALSE))/2)</f>
        <v>-2182.0478136895636</v>
      </c>
      <c r="CB44" s="102">
        <f t="array" ref="CB44">IF($BT44=0, INDEX(LS_current!$D$4:$BW$137, MATCH('Staging Table'!$A44, LS_current!$B$4:$B$137, 0), MATCH(CB$4&amp;CB$5, LS_current!$D$2:$BW$2&amp;LS_current!$D$3:$BW$3, 0)),SUM(VLOOKUP($A44, LS_current!$B$4:$BW$137, LS_current!G$147, FALSE), VLOOKUP($A44, LS_current!$B$4:$BW$137,LS_current!BC$147, FALSE))/2)</f>
        <v>1601.7521363886126</v>
      </c>
      <c r="CC44" s="102">
        <f t="array" ref="CC44">IF($BT44=0, INDEX(LS_current!$D$4:$BW$137, MATCH('Staging Table'!$A44, LS_current!$B$4:$B$137, 0), MATCH(CC$4&amp;CC$5, LS_current!$D$2:$BW$2&amp;LS_current!$D$3:$BW$3, 0)),SUM(VLOOKUP($A44, LS_current!$B$4:$BW$137, LS_current!H$147, FALSE), VLOOKUP($A44, LS_current!$B$4:$BW$137,LS_current!BD$147, FALSE))/2)</f>
        <v>-3213.1196804635429</v>
      </c>
      <c r="CD44" s="102">
        <f t="array" ref="CD44">IF($BT44=0, INDEX(LS_current!$D$4:$BW$137, MATCH('Staging Table'!$A44, LS_current!$B$4:$B$137, 0), MATCH(CD$4&amp;CD$5, LS_current!$D$2:$BW$2&amp;LS_current!$D$3:$BW$3, 0)),SUM(VLOOKUP($A44, LS_current!$B$4:$BW$137, LS_current!I$147, FALSE), VLOOKUP($A44, LS_current!$B$4:$BW$137,LS_current!BE$147, FALSE))/2)</f>
        <v>1824.3205725694925</v>
      </c>
      <c r="CE44" s="102">
        <f t="array" ref="CE44">IF($BT44=0, INDEX(LS_current!$D$4:$BW$137, MATCH('Staging Table'!$A44, LS_current!$B$4:$B$137, 0), MATCH(CE$4&amp;CE$5, LS_current!$D$2:$BW$2&amp;LS_current!$D$3:$BW$3, 0)),SUM(VLOOKUP($A44, LS_current!$B$4:$BW$137, LS_current!J$147, FALSE), VLOOKUP($A44, LS_current!$B$4:$BW$137,LS_current!BF$147, FALSE))/2)</f>
        <v>-4574.8989297099033</v>
      </c>
      <c r="CF44" s="102">
        <f t="array" ref="CF44">IF($BT44=0, INDEX(LS_current!$D$4:$BW$137, MATCH('Staging Table'!$A44, LS_current!$B$4:$B$137, 0), MATCH(CF$4&amp;CF$5, LS_current!$D$2:$BW$2&amp;LS_current!$D$3:$BW$3, 0)),SUM(VLOOKUP($A44, LS_current!$B$4:$BW$137, LS_current!K$147, FALSE), VLOOKUP($A44, LS_current!$B$4:$BW$137,LS_current!BG$147, FALSE))/2)</f>
        <v>930.16067277352704</v>
      </c>
      <c r="CG44" s="102">
        <f t="array" ref="CG44">IF($BT44=0, INDEX(LS_current!$D$4:$BW$137, MATCH('Staging Table'!$A44, LS_current!$B$4:$B$137, 0), MATCH(CG$4&amp;CG$5, LS_current!$D$2:$BW$2&amp;LS_current!$D$3:$BW$3, 0)),SUM(VLOOKUP($A44, LS_current!$B$4:$BW$137, LS_current!L$147, FALSE), VLOOKUP($A44, LS_current!$B$4:$BW$137,LS_current!BH$147, FALSE))/2)</f>
        <v>-1296.75491684809</v>
      </c>
      <c r="CH44" s="102">
        <f t="array" ref="CH44">IF($BT44=0, INDEX(LS_current!$D$4:$BW$137, MATCH('Staging Table'!$A44, LS_current!$B$4:$B$137, 0), MATCH(CH$4&amp;CH$5, LS_current!$D$2:$BW$2&amp;LS_current!$D$3:$BW$3, 0)),SUM(VLOOKUP($A44, LS_current!$B$4:$BW$137, LS_current!M$147, FALSE), VLOOKUP($A44, LS_current!$B$4:$BW$137,LS_current!BI$147, FALSE))/2)</f>
        <v>1870.2857154157982</v>
      </c>
      <c r="CI44" s="102">
        <f t="array" ref="CI44">IF($BT44=0, INDEX(LS_current!$D$4:$BW$137, MATCH('Staging Table'!$A44, LS_current!$B$4:$B$137, 0), MATCH(CI$4&amp;CI$5, LS_current!$D$2:$BW$2&amp;LS_current!$D$3:$BW$3, 0)),SUM(VLOOKUP($A44, LS_current!$B$4:$BW$137, LS_current!N$147, FALSE), VLOOKUP($A44, LS_current!$B$4:$BW$137,LS_current!BJ$147, FALSE))/2)</f>
        <v>-1772.2775631049044</v>
      </c>
      <c r="CJ44" s="102">
        <f t="array" ref="CJ44">IF($BT44=0, INDEX(LS_current!$D$4:$BW$137, MATCH('Staging Table'!$A44, LS_current!$B$4:$B$137, 0), MATCH(CJ$4&amp;CJ$5, LS_current!$D$2:$BW$2&amp;LS_current!$D$3:$BW$3, 0)),SUM(VLOOKUP($A44, LS_current!$B$4:$BW$137, LS_current!O$147, FALSE), VLOOKUP($A44, LS_current!$B$4:$BW$137,LS_current!BK$147, FALSE))/2)</f>
        <v>2480.6656840242313</v>
      </c>
      <c r="CK44" s="102">
        <f t="array" ref="CK44">IF($BT44=0, INDEX(LS_current!$D$4:$BW$137, MATCH('Staging Table'!$A44, LS_current!$B$4:$B$137, 0), MATCH(CK$4&amp;CK$5, LS_current!$D$2:$BW$2&amp;LS_current!$D$3:$BW$3, 0)),SUM(VLOOKUP($A44, LS_current!$B$4:$BW$137, LS_current!P$147, FALSE), VLOOKUP($A44, LS_current!$B$4:$BW$137,LS_current!BL$147, FALSE))/2)</f>
        <v>2270.1950272656013</v>
      </c>
      <c r="CL44" s="102">
        <f t="array" ref="CL44">IF($BT44=0, INDEX(LS_current!$D$4:$BW$137, MATCH('Staging Table'!$A44, LS_current!$B$4:$B$137, 0), MATCH(CL$4&amp;CL$5, LS_current!$D$2:$BW$2&amp;LS_current!$D$3:$BW$3, 0)),SUM(VLOOKUP($A44, LS_current!$B$4:$BW$137, LS_current!Q$147, FALSE), VLOOKUP($A44, LS_current!$B$4:$BW$137,LS_current!BM$147, FALSE))/2)</f>
        <v>3050.8630308082438</v>
      </c>
      <c r="CM44" s="102">
        <f t="array" ref="CM44">IF($BT44=0, INDEX(LS_current!$D$4:$BW$137, MATCH('Staging Table'!$A44, LS_current!$B$4:$B$137, 0), MATCH(CM$4&amp;CM$5, LS_current!$D$2:$BW$2&amp;LS_current!$D$3:$BW$3, 0)),SUM(VLOOKUP($A44, LS_current!$B$4:$BW$137, LS_current!R$147, FALSE), VLOOKUP($A44, LS_current!$B$4:$BW$137,LS_current!BN$147, FALSE))/2)</f>
        <v>-5505.1581157528381</v>
      </c>
      <c r="CN44" s="102">
        <f t="array" ref="CN44">IF($BT44=0, INDEX(LS_current!$D$4:$BW$137, MATCH('Staging Table'!$A44, LS_current!$B$4:$B$137, 0), MATCH(CN$4&amp;CN$5, LS_current!$D$2:$BW$2&amp;LS_current!$D$3:$BW$3, 0)),SUM(VLOOKUP($A44, LS_current!$B$4:$BW$137, LS_current!S$147, FALSE), VLOOKUP($A44, LS_current!$B$4:$BW$137,LS_current!BO$147, FALSE))/2)</f>
        <v>-1269.6181570886383</v>
      </c>
      <c r="CO44" s="102">
        <f t="array" ref="CO44">IF($BT44=0, INDEX(LS_current!$D$4:$BW$137, MATCH('Staging Table'!$A44, LS_current!$B$4:$B$137, 0), MATCH(CO$4&amp;CO$5, LS_current!$D$2:$BW$2&amp;LS_current!$D$3:$BW$3, 0)),SUM(VLOOKUP($A44, LS_current!$B$4:$BW$137, LS_current!T$147, FALSE), VLOOKUP($A44, LS_current!$B$4:$BW$137,LS_current!BP$147, FALSE))/2)</f>
        <v>-3296.463025598423</v>
      </c>
      <c r="CP44" s="102">
        <f t="array" ref="CP44">IF($BT44=0, INDEX(LS_current!$D$4:$BW$137, MATCH('Staging Table'!$A44, LS_current!$B$4:$B$137, 0), MATCH(CP$4&amp;CP$5, LS_current!$D$2:$BW$2&amp;LS_current!$D$3:$BW$3, 0)),SUM(VLOOKUP($A44, LS_current!$B$4:$BW$137, LS_current!U$147, FALSE), VLOOKUP($A44, LS_current!$B$4:$BW$137,LS_current!BQ$147, FALSE))/2)</f>
        <v>1178.4560989669681</v>
      </c>
      <c r="CQ44" s="102">
        <f t="array" ref="CQ44">IF($BT44=0, INDEX(LS_current!$D$4:$BW$137, MATCH('Staging Table'!$A44, LS_current!$B$4:$B$137, 0), MATCH(CQ$4&amp;CQ$5, LS_current!$D$2:$BW$2&amp;LS_current!$D$3:$BW$3, 0)),SUM(VLOOKUP($A44, LS_current!$B$4:$BW$137, LS_current!V$147, FALSE), VLOOKUP($A44, LS_current!$B$4:$BW$137,LS_current!BR$147, FALSE))/2)</f>
        <v>-2010.3634862564913</v>
      </c>
      <c r="CR44" s="102">
        <f t="array" ref="CR44">IF($BT44=0, INDEX(LS_current!$D$4:$BW$137, MATCH('Staging Table'!$A44, LS_current!$B$4:$B$137, 0), MATCH(CR$4&amp;CR$5, LS_current!$D$2:$BW$2&amp;LS_current!$D$3:$BW$3, 0)),SUM(VLOOKUP($A44, LS_current!$B$4:$BW$137, LS_current!W$147, FALSE), VLOOKUP($A44, LS_current!$B$4:$BW$137,LS_current!BS$147, FALSE))/2)</f>
        <v>1738.8764268790919</v>
      </c>
      <c r="CS44" s="102">
        <f t="array" ref="CS44">IF($BT44=0, INDEX(LS_current!$D$4:$BW$137, MATCH('Staging Table'!$A44, LS_current!$B$4:$B$137, 0), MATCH(CS$4&amp;CS$5, LS_current!$D$2:$BW$2&amp;LS_current!$D$3:$BW$3, 0)),SUM(VLOOKUP($A44, LS_current!$B$4:$BW$137, LS_current!X$147, FALSE), VLOOKUP($A44, LS_current!$B$4:$BW$137,LS_current!BT$147, FALSE))/2)</f>
        <v>-3040.657839627148</v>
      </c>
      <c r="CT44" s="102">
        <f t="array" ref="CT44">IF($BT44=0, INDEX(LS_current!$D$4:$BW$137, MATCH('Staging Table'!$A44, LS_current!$B$4:$B$137, 0), MATCH(CT$4&amp;CT$5, LS_current!$D$2:$BW$2&amp;LS_current!$D$3:$BW$3, 0)),SUM(VLOOKUP($A44, LS_current!$B$4:$BW$137, LS_current!Y$147, FALSE), VLOOKUP($A44, LS_current!$B$4:$BW$137,LS_current!BU$147, FALSE))/2)</f>
        <v>2433.6254498311082</v>
      </c>
      <c r="CU44" s="102">
        <f t="array" ref="CU44">IF($BT44=0, INDEX(LS_current!$D$4:$BW$137, MATCH('Staging Table'!$A44, LS_current!$B$4:$B$137, 0), MATCH(CU$4&amp;CU$5, LS_current!$D$2:$BW$2&amp;LS_current!$D$3:$BW$3, 0)),SUM(VLOOKUP($A44, LS_current!$B$4:$BW$137, LS_current!Z$147, FALSE), VLOOKUP($A44, LS_current!$B$4:$BW$137,LS_current!BV$147, FALSE))/2)</f>
        <v>1337.9608311399106</v>
      </c>
      <c r="CV44" s="102">
        <f t="array" ref="CV44">IF($BT44=0, INDEX(LS_current!$D$4:$BW$137, MATCH('Staging Table'!$A44, LS_current!$B$4:$B$137, 0), MATCH(CV$4&amp;CV$5, LS_current!$D$2:$BW$2&amp;LS_current!$D$3:$BW$3, 0)),SUM(VLOOKUP($A44, LS_current!$B$4:$BW$137, LS_current!AA$147, FALSE), VLOOKUP($A44, LS_current!$B$4:$BW$137,LS_current!BW$147, FALSE))/2)</f>
        <v>3462.1566601948375</v>
      </c>
      <c r="CW44" s="103">
        <f t="array" ref="CW44">INDEX(Demand_current!$D$4:$BW$137, MATCH($A44, Demand_current!$B$4:$B$137, 0), MATCH(CW$4&amp;CW$5,Demand_current!$D$2:$BW$2&amp;Demand_current!$D$3:$BW$3, 0))/1000</f>
        <v>0</v>
      </c>
      <c r="CX44" s="103">
        <f t="array" ref="CX44">INDEX(Demand_current!$D$4:$BW$137, MATCH($A44, Demand_current!$B$4:$B$137, 0), MATCH(CX$4&amp;CX$5,Demand_current!$D$2:$BW$2&amp;Demand_current!$D$3:$BW$3, 0))/1000</f>
        <v>0</v>
      </c>
      <c r="CY44" s="103">
        <f t="array" ref="CY44">INDEX(Demand_current!$D$4:$BW$137, MATCH($A44, Demand_current!$B$4:$B$137, 0), MATCH(CY$4&amp;CY$5,Demand_current!$D$2:$BW$2&amp;Demand_current!$D$3:$BW$3, 0))/1000</f>
        <v>0</v>
      </c>
      <c r="CZ44" s="103">
        <f t="array" ref="CZ44">INDEX(Demand_current!$D$4:$BW$137, MATCH($A44, Demand_current!$B$4:$B$137, 0), MATCH(CZ$4&amp;CZ$5,Demand_current!$D$2:$BW$2&amp;Demand_current!$D$3:$BW$3, 0))/1000</f>
        <v>0</v>
      </c>
      <c r="DA44" s="103">
        <f t="array" ref="DA44">INDEX(Demand_current!$D$4:$BW$137, MATCH($A44, Demand_current!$B$4:$B$137, 0), MATCH(DA$4&amp;DA$5,Demand_current!$D$2:$BW$2&amp;Demand_current!$D$3:$BW$3, 0))/1000</f>
        <v>0</v>
      </c>
      <c r="DB44" s="103">
        <f t="array" ref="DB44">INDEX(Demand_current!$D$4:$BW$137, MATCH($A44, Demand_current!$B$4:$B$137, 0), MATCH(DB$4&amp;DB$5,Demand_current!$D$2:$BW$2&amp;Demand_current!$D$3:$BW$3, 0))/1000</f>
        <v>0</v>
      </c>
      <c r="DC44" s="103">
        <f t="array" ref="DC44">INDEX(Demand_current!$D$4:$BW$137, MATCH($A44, Demand_current!$B$4:$B$137, 0), MATCH(DC$4&amp;DC$5,Demand_current!$D$2:$BW$2&amp;Demand_current!$D$3:$BW$3, 0))/1000</f>
        <v>0</v>
      </c>
      <c r="DD44" s="103">
        <f t="array" ref="DD44">INDEX(Demand_current!$D$4:$BW$137, MATCH($A44, Demand_current!$B$4:$B$137, 0), MATCH(DD$4&amp;DD$5,Demand_current!$D$2:$BW$2&amp;Demand_current!$D$3:$BW$3, 0))/1000</f>
        <v>0</v>
      </c>
      <c r="DE44" s="103">
        <f t="array" ref="DE44">INDEX(Demand_current!$D$4:$BW$137, MATCH($A44, Demand_current!$B$4:$B$137, 0), MATCH(DE$4&amp;DE$5,Demand_current!$D$2:$BW$2&amp;Demand_current!$D$3:$BW$3, 0))/1000</f>
        <v>0</v>
      </c>
      <c r="DF44" s="103">
        <f t="array" ref="DF44">INDEX(Demand_current!$D$4:$BW$137, MATCH($A44, Demand_current!$B$4:$B$137, 0), MATCH(DF$4&amp;DF$5,Demand_current!$D$2:$BW$2&amp;Demand_current!$D$3:$BW$3, 0))/1000</f>
        <v>0</v>
      </c>
      <c r="DG44" s="103">
        <f t="array" ref="DG44">INDEX(Demand_current!$D$4:$BW$137, MATCH($A44, Demand_current!$B$4:$B$137, 0), MATCH(DG$4&amp;DG$5,Demand_current!$D$2:$BW$2&amp;Demand_current!$D$3:$BW$3, 0))/1000</f>
        <v>0</v>
      </c>
      <c r="DH44" s="103">
        <f t="array" ref="DH44">INDEX(Demand_current!$D$4:$BW$137, MATCH($A44, Demand_current!$B$4:$B$137, 0), MATCH(DH$4&amp;DH$5,Demand_current!$D$2:$BW$2&amp;Demand_current!$D$3:$BW$3, 0))/1000</f>
        <v>0</v>
      </c>
      <c r="DI44" s="102">
        <f>$BS44*(VLOOKUP(DI$4, Rates_current!$H$6:$R$41, 10, FALSE)+VLOOKUP(DI$4, Rates_current!$H$6:$R$41, 11, FALSE))</f>
        <v>20463.408083344821</v>
      </c>
      <c r="DJ44" s="102">
        <f>$BS44*(VLOOKUP(DJ$4, Rates_current!$H$6:$R$41, 10, FALSE)+VLOOKUP(DJ$4, Rates_current!$H$6:$R$41, 11, FALSE))</f>
        <v>26161.79374123257</v>
      </c>
      <c r="DK44" s="102">
        <f>$BS44*(VLOOKUP(DK$4, Rates_current!$H$6:$R$41, 10, FALSE)+VLOOKUP(DK$4, Rates_current!$H$6:$R$41, 11, FALSE))</f>
        <v>29743.77139105519</v>
      </c>
      <c r="DL44" s="102">
        <f>$BS44*(VLOOKUP(DL$4, Rates_current!$H$6:$R$41, 10, FALSE)+VLOOKUP(DL$4, Rates_current!$H$6:$R$41, 11, FALSE))</f>
        <v>31382.000583203666</v>
      </c>
      <c r="DM44" s="102">
        <f>$BS44*(VLOOKUP(DM$4, Rates_current!$H$6:$R$41, 10, FALSE)+VLOOKUP(DM$4, Rates_current!$H$6:$R$41, 11, FALSE))</f>
        <v>25008.622131000669</v>
      </c>
      <c r="DN44" s="102">
        <f>$BS44*(VLOOKUP(DN$4, Rates_current!$H$6:$R$41, 10, FALSE)+VLOOKUP(DN$4, Rates_current!$H$6:$R$41, 11, FALSE))</f>
        <v>27339.559653460714</v>
      </c>
      <c r="DO44" s="102">
        <f>$BS44*(VLOOKUP(DO$4, Rates_current!$H$6:$R$41, 10, FALSE)+VLOOKUP(DO$4, Rates_current!$H$6:$R$41, 11, FALSE))</f>
        <v>21188.433742032263</v>
      </c>
      <c r="DP44" s="102">
        <f>$BS44*(VLOOKUP(DP$4, Rates_current!$H$6:$R$41, 10, FALSE)+VLOOKUP(DP$4, Rates_current!$H$6:$R$41, 11, FALSE))</f>
        <v>27421.321987592019</v>
      </c>
      <c r="DQ44" s="102">
        <f>$BS44*(VLOOKUP(DQ$4, Rates_current!$H$6:$R$41, 10, FALSE)+VLOOKUP(DQ$4, Rates_current!$H$6:$R$41, 11, FALSE))</f>
        <v>28006.847035473951</v>
      </c>
      <c r="DR44" s="102">
        <f>$BS44*(VLOOKUP(DR$4, Rates_current!$H$6:$R$41, 10, FALSE)+VLOOKUP(DR$4, Rates_current!$H$6:$R$41, 11, FALSE))</f>
        <v>24928.516026245306</v>
      </c>
      <c r="DS44" s="102">
        <f>$BS44*(VLOOKUP(DS$4, Rates_current!$H$6:$R$41, 10, FALSE)+VLOOKUP(DS$4, Rates_current!$H$6:$R$41, 11, FALSE))</f>
        <v>25572.08570274094</v>
      </c>
      <c r="DT44" s="102">
        <f>$BS44*(VLOOKUP(DT$4, Rates_current!$H$6:$R$41, 10, FALSE)+VLOOKUP(DT$4, Rates_current!$H$6:$R$41, 11, FALSE))</f>
        <v>19859.78991489387</v>
      </c>
      <c r="DU44" s="261">
        <f>IF(D44=0,IF(C44=0,MAX(0,DW44 - (VLOOKUP($A44,TOCA_current!$A$2:$AV$136,MATCH("RHWM "&amp;Init!$D$1,TOCA_current!$A$2:$AV$2,0),FALSE)*$BS$2)), 0),0)</f>
        <v>0</v>
      </c>
      <c r="DV44" s="262">
        <f>MIN(VLOOKUP($A44,TOCA_current!$A$2:$AV$136,MATCH("TRL - NLSL - Existing Resource "&amp;$BS$1,TOCA_current!$A$2:$AV$2,0),FALSE)*$BS$2, VLOOKUP($A44,TOCA_current!$A$2:$AV$136,MATCH("RHWM "&amp;Init!$D$1,TOCA_current!$A$2:$AV$2,0),FALSE)*$BS$2)</f>
        <v>758370.72</v>
      </c>
      <c r="DW44" s="262">
        <f>SUM(BY44:CV44)+(BS44*RT1SC!$C$4*$BS$2)</f>
        <v>308132.65465163591</v>
      </c>
      <c r="DX44" s="262">
        <f>VLOOKUP($A44,TOCA_current!$A$2:$AV$136,MATCH("Above RHWM Not Served with LS "&amp;$BS$1,TOCA_current!$A$2:$AV$2,0),FALSE)*$BS$2</f>
        <v>0</v>
      </c>
      <c r="DY44" s="262">
        <f t="shared" si="28"/>
        <v>-450238.06534836406</v>
      </c>
      <c r="DZ44" s="262">
        <f>(VLOOKUP($A44,TOCA_current!$A$2:$AV$136,MATCH("RHWM "&amp;Init!$D$1,TOCA_current!$A$2:$AV$2,0),FALSE)*$BS$2) - $DV44</f>
        <v>59576.760000000126</v>
      </c>
      <c r="EA44" s="262">
        <f t="shared" si="29"/>
        <v>0</v>
      </c>
      <c r="EB44" s="262">
        <f t="shared" si="30"/>
        <v>450238.06534836406</v>
      </c>
      <c r="EC44" s="262">
        <f t="shared" si="31"/>
        <v>0</v>
      </c>
      <c r="ED44" s="262">
        <f t="shared" si="32"/>
        <v>0</v>
      </c>
    </row>
    <row r="45" spans="1:134">
      <c r="A45" s="2">
        <v>10106</v>
      </c>
      <c r="B45" s="3" t="s">
        <v>47</v>
      </c>
      <c r="C45">
        <f>VLOOKUP(A45, TOCA_current!$A$3:$D$136, 4, FALSE)</f>
        <v>1</v>
      </c>
      <c r="D45">
        <v>0</v>
      </c>
      <c r="E45" s="84">
        <f>VLOOKUP($A45,TOCA_previous!$A$2:$AJ$136,MATCH(E$4,TOCA_previous!$A$2:$AJ$2,0),FALSE)</f>
        <v>3.457E-3</v>
      </c>
      <c r="F45" s="85">
        <f>VLOOKUP($A45,TOCA_previous!$A$2:$AJ$136,MATCH(F$4,TOCA_previous!$A$2:$AJ$2,0),FALSE)</f>
        <v>3.457E-3</v>
      </c>
      <c r="G45" s="85">
        <f t="shared" si="18"/>
        <v>0</v>
      </c>
      <c r="H45" s="85">
        <f>VLOOKUP($A45,TOCA_previous!$A$2:$AJ$136,MATCH(H$4,TOCA_previous!$A$2:$AJ$2,0),FALSE)</f>
        <v>7.0735792956153939E-2</v>
      </c>
      <c r="I45" s="85">
        <f t="shared" si="19"/>
        <v>7.0735792956153939E-2</v>
      </c>
      <c r="J45" s="85">
        <f t="shared" si="20"/>
        <v>3.457E-3</v>
      </c>
      <c r="K45" s="101">
        <f>VLOOKUP(A45, IRD!$A$5:$C$138, 3, FALSE)</f>
        <v>0</v>
      </c>
      <c r="L45" s="102">
        <f t="array" ref="L45">IF($G45=0, INDEX(LS_previous!$D$4:$AY$137, MATCH('Staging Table'!$A45, LS_previous!$B$4:$B$137, 0), MATCH(L$4&amp;L$5, LS_previous!$D$2:$AY$2&amp;LS_previous!$D$3:$AY$3, 0)),SUM(VLOOKUP($A45, LS_previous!$B$4:$AY$137, LS_previous!D$148, FALSE), VLOOKUP('Staging Table'!$A45, LS_previous!$B$4:$AY$137,LS_previous!AB$148, FALSE))/2)</f>
        <v>0</v>
      </c>
      <c r="M45" s="102">
        <f t="array" ref="M45">IF($G45=0, INDEX(LS_previous!$D$4:$AY$137, MATCH('Staging Table'!$A45, LS_previous!$B$4:$B$137, 0), MATCH(M$4&amp;M$5, LS_previous!$D$2:$AY$2&amp;LS_previous!$D$3:$AY$3, 0)),SUM(VLOOKUP($A45, LS_previous!$B$4:$AY$137, LS_previous!E$148, FALSE), VLOOKUP('Staging Table'!$A45, LS_previous!$B$4:$AY$137,LS_previous!AC$148, FALSE))/2)</f>
        <v>0</v>
      </c>
      <c r="N45" s="102">
        <f t="array" ref="N45">IF($G45=0, INDEX(LS_previous!$D$4:$AY$137, MATCH('Staging Table'!$A45, LS_previous!$B$4:$B$137, 0), MATCH(N$4&amp;N$5, LS_previous!$D$2:$AY$2&amp;LS_previous!$D$3:$AY$3, 0)),SUM(VLOOKUP($A45, LS_previous!$B$4:$AY$137, LS_previous!F$148, FALSE), VLOOKUP('Staging Table'!$A45, LS_previous!$B$4:$AY$137,LS_previous!AD$148, FALSE))/2)</f>
        <v>0</v>
      </c>
      <c r="O45" s="102">
        <f t="array" ref="O45">IF($G45=0, INDEX(LS_previous!$D$4:$AY$137, MATCH('Staging Table'!$A45, LS_previous!$B$4:$B$137, 0), MATCH(O$4&amp;O$5, LS_previous!$D$2:$AY$2&amp;LS_previous!$D$3:$AY$3, 0)),SUM(VLOOKUP($A45, LS_previous!$B$4:$AY$137, LS_previous!G$148, FALSE), VLOOKUP('Staging Table'!$A45, LS_previous!$B$4:$AY$137,LS_previous!AE$148, FALSE))/2)</f>
        <v>0</v>
      </c>
      <c r="P45" s="102">
        <f t="array" ref="P45">IF($G45=0, INDEX(LS_previous!$D$4:$AY$137, MATCH('Staging Table'!$A45, LS_previous!$B$4:$B$137, 0), MATCH(P$4&amp;P$5, LS_previous!$D$2:$AY$2&amp;LS_previous!$D$3:$AY$3, 0)),SUM(VLOOKUP($A45, LS_previous!$B$4:$AY$137, LS_previous!H$148, FALSE), VLOOKUP('Staging Table'!$A45, LS_previous!$B$4:$AY$137,LS_previous!AF$148, FALSE))/2)</f>
        <v>0</v>
      </c>
      <c r="Q45" s="102">
        <f t="array" ref="Q45">IF($G45=0, INDEX(LS_previous!$D$4:$AY$137, MATCH('Staging Table'!$A45, LS_previous!$B$4:$B$137, 0), MATCH(Q$4&amp;Q$5, LS_previous!$D$2:$AY$2&amp;LS_previous!$D$3:$AY$3, 0)),SUM(VLOOKUP($A45, LS_previous!$B$4:$AY$137, LS_previous!I$148, FALSE), VLOOKUP('Staging Table'!$A45, LS_previous!$B$4:$AY$137,LS_previous!AG$148, FALSE))/2)</f>
        <v>0</v>
      </c>
      <c r="R45" s="102">
        <f t="array" ref="R45">IF($G45=0, INDEX(LS_previous!$D$4:$AY$137, MATCH('Staging Table'!$A45, LS_previous!$B$4:$B$137, 0), MATCH(R$4&amp;R$5, LS_previous!$D$2:$AY$2&amp;LS_previous!$D$3:$AY$3, 0)),SUM(VLOOKUP($A45, LS_previous!$B$4:$AY$137, LS_previous!J$148, FALSE), VLOOKUP('Staging Table'!$A45, LS_previous!$B$4:$AY$137,LS_previous!AH$148, FALSE))/2)</f>
        <v>0</v>
      </c>
      <c r="S45" s="102">
        <f t="array" ref="S45">IF($G45=0, INDEX(LS_previous!$D$4:$AY$137, MATCH('Staging Table'!$A45, LS_previous!$B$4:$B$137, 0), MATCH(S$4&amp;S$5, LS_previous!$D$2:$AY$2&amp;LS_previous!$D$3:$AY$3, 0)),SUM(VLOOKUP($A45, LS_previous!$B$4:$AY$137, LS_previous!K$148, FALSE), VLOOKUP('Staging Table'!$A45, LS_previous!$B$4:$AY$137,LS_previous!AI$148, FALSE))/2)</f>
        <v>0</v>
      </c>
      <c r="T45" s="102">
        <f t="array" ref="T45">IF($G45=0, INDEX(LS_previous!$D$4:$AY$137, MATCH('Staging Table'!$A45, LS_previous!$B$4:$B$137, 0), MATCH(T$4&amp;T$5, LS_previous!$D$2:$AY$2&amp;LS_previous!$D$3:$AY$3, 0)),SUM(VLOOKUP($A45, LS_previous!$B$4:$AY$137, LS_previous!L$148, FALSE), VLOOKUP('Staging Table'!$A45, LS_previous!$B$4:$AY$137,LS_previous!AJ$148, FALSE))/2)</f>
        <v>0</v>
      </c>
      <c r="U45" s="102">
        <f t="array" ref="U45">IF($G45=0, INDEX(LS_previous!$D$4:$AY$137, MATCH('Staging Table'!$A45, LS_previous!$B$4:$B$137, 0), MATCH(U$4&amp;U$5, LS_previous!$D$2:$AY$2&amp;LS_previous!$D$3:$AY$3, 0)),SUM(VLOOKUP($A45, LS_previous!$B$4:$AY$137, LS_previous!M$148, FALSE), VLOOKUP('Staging Table'!$A45, LS_previous!$B$4:$AY$137,LS_previous!AK$148, FALSE))/2)</f>
        <v>0</v>
      </c>
      <c r="V45" s="102">
        <f t="array" ref="V45">IF($G45=0, INDEX(LS_previous!$D$4:$AY$137, MATCH('Staging Table'!$A45, LS_previous!$B$4:$B$137, 0), MATCH(V$4&amp;V$5, LS_previous!$D$2:$AY$2&amp;LS_previous!$D$3:$AY$3, 0)),SUM(VLOOKUP($A45, LS_previous!$B$4:$AY$137, LS_previous!N$148, FALSE), VLOOKUP('Staging Table'!$A45, LS_previous!$B$4:$AY$137,LS_previous!AL$148, FALSE))/2)</f>
        <v>0</v>
      </c>
      <c r="W45" s="102">
        <f t="array" ref="W45">IF($G45=0, INDEX(LS_previous!$D$4:$AY$137, MATCH('Staging Table'!$A45, LS_previous!$B$4:$B$137, 0), MATCH(W$4&amp;W$5, LS_previous!$D$2:$AY$2&amp;LS_previous!$D$3:$AY$3, 0)),SUM(VLOOKUP($A45, LS_previous!$B$4:$AY$137, LS_previous!O$148, FALSE), VLOOKUP('Staging Table'!$A45, LS_previous!$B$4:$AY$137,LS_previous!AM$148, FALSE))/2)</f>
        <v>0</v>
      </c>
      <c r="X45" s="102">
        <f t="array" ref="X45">IF($G45=0, INDEX(LS_previous!$D$4:$AY$137, MATCH('Staging Table'!$A45, LS_previous!$B$4:$B$137, 0), MATCH(X$4&amp;X$5, LS_previous!$D$2:$AY$2&amp;LS_previous!$D$3:$AY$3, 0)),SUM(VLOOKUP($A45, LS_previous!$B$4:$AY$137, LS_previous!P$148, FALSE), VLOOKUP('Staging Table'!$A45, LS_previous!$B$4:$AY$137,LS_previous!AN$148, FALSE))/2)</f>
        <v>0</v>
      </c>
      <c r="Y45" s="102">
        <f t="array" ref="Y45">IF($G45=0, INDEX(LS_previous!$D$4:$AY$137, MATCH('Staging Table'!$A45, LS_previous!$B$4:$B$137, 0), MATCH(Y$4&amp;Y$5, LS_previous!$D$2:$AY$2&amp;LS_previous!$D$3:$AY$3, 0)),SUM(VLOOKUP($A45, LS_previous!$B$4:$AY$137, LS_previous!Q$148, FALSE), VLOOKUP('Staging Table'!$A45, LS_previous!$B$4:$AY$137,LS_previous!AO$148, FALSE))/2)</f>
        <v>0</v>
      </c>
      <c r="Z45" s="102">
        <f t="array" ref="Z45">IF($G45=0, INDEX(LS_previous!$D$4:$AY$137, MATCH('Staging Table'!$A45, LS_previous!$B$4:$B$137, 0), MATCH(Z$4&amp;Z$5, LS_previous!$D$2:$AY$2&amp;LS_previous!$D$3:$AY$3, 0)),SUM(VLOOKUP($A45, LS_previous!$B$4:$AY$137, LS_previous!R$148, FALSE), VLOOKUP('Staging Table'!$A45, LS_previous!$B$4:$AY$137,LS_previous!AP$148, FALSE))/2)</f>
        <v>0</v>
      </c>
      <c r="AA45" s="102">
        <f t="array" ref="AA45">IF($G45=0, INDEX(LS_previous!$D$4:$AY$137, MATCH('Staging Table'!$A45, LS_previous!$B$4:$B$137, 0), MATCH(AA$4&amp;AA$5, LS_previous!$D$2:$AY$2&amp;LS_previous!$D$3:$AY$3, 0)),SUM(VLOOKUP($A45, LS_previous!$B$4:$AY$137, LS_previous!S$148, FALSE), VLOOKUP('Staging Table'!$A45, LS_previous!$B$4:$AY$137,LS_previous!AQ$148, FALSE))/2)</f>
        <v>0</v>
      </c>
      <c r="AB45" s="102">
        <f t="array" ref="AB45">IF($G45=0, INDEX(LS_previous!$D$4:$AY$137, MATCH('Staging Table'!$A45, LS_previous!$B$4:$B$137, 0), MATCH(AB$4&amp;AB$5, LS_previous!$D$2:$AY$2&amp;LS_previous!$D$3:$AY$3, 0)),SUM(VLOOKUP($A45, LS_previous!$B$4:$AY$137, LS_previous!T$148, FALSE), VLOOKUP('Staging Table'!$A45, LS_previous!$B$4:$AY$137,LS_previous!AR$148, FALSE))/2)</f>
        <v>0</v>
      </c>
      <c r="AC45" s="102">
        <f t="array" ref="AC45">IF($G45=0, INDEX(LS_previous!$D$4:$AY$137, MATCH('Staging Table'!$A45, LS_previous!$B$4:$B$137, 0), MATCH(AC$4&amp;AC$5, LS_previous!$D$2:$AY$2&amp;LS_previous!$D$3:$AY$3, 0)),SUM(VLOOKUP($A45, LS_previous!$B$4:$AY$137, LS_previous!U$148, FALSE), VLOOKUP('Staging Table'!$A45, LS_previous!$B$4:$AY$137,LS_previous!AS$148, FALSE))/2)</f>
        <v>0</v>
      </c>
      <c r="AD45" s="102">
        <f t="array" ref="AD45">IF($G45=0, INDEX(LS_previous!$D$4:$AY$137, MATCH('Staging Table'!$A45, LS_previous!$B$4:$B$137, 0), MATCH(AD$4&amp;AD$5, LS_previous!$D$2:$AY$2&amp;LS_previous!$D$3:$AY$3, 0)),SUM(VLOOKUP($A45, LS_previous!$B$4:$AY$137, LS_previous!V$148, FALSE), VLOOKUP('Staging Table'!$A45, LS_previous!$B$4:$AY$137,LS_previous!AT$148, FALSE))/2)</f>
        <v>0</v>
      </c>
      <c r="AE45" s="102">
        <f t="array" ref="AE45">IF($G45=0, INDEX(LS_previous!$D$4:$AY$137, MATCH('Staging Table'!$A45, LS_previous!$B$4:$B$137, 0), MATCH(AE$4&amp;AE$5, LS_previous!$D$2:$AY$2&amp;LS_previous!$D$3:$AY$3, 0)),SUM(VLOOKUP($A45, LS_previous!$B$4:$AY$137, LS_previous!W$148, FALSE), VLOOKUP('Staging Table'!$A45, LS_previous!$B$4:$AY$137,LS_previous!AU$148, FALSE))/2)</f>
        <v>0</v>
      </c>
      <c r="AF45" s="102">
        <f t="array" ref="AF45">IF($G45=0, INDEX(LS_previous!$D$4:$AY$137, MATCH('Staging Table'!$A45, LS_previous!$B$4:$B$137, 0), MATCH(AF$4&amp;AF$5, LS_previous!$D$2:$AY$2&amp;LS_previous!$D$3:$AY$3, 0)),SUM(VLOOKUP($A45, LS_previous!$B$4:$AY$137, LS_previous!X$148, FALSE), VLOOKUP('Staging Table'!$A45, LS_previous!$B$4:$AY$137,LS_previous!AV$148, FALSE))/2)</f>
        <v>0</v>
      </c>
      <c r="AG45" s="102">
        <f t="array" ref="AG45">IF($G45=0, INDEX(LS_previous!$D$4:$AY$137, MATCH('Staging Table'!$A45, LS_previous!$B$4:$B$137, 0), MATCH(AG$4&amp;AG$5, LS_previous!$D$2:$AY$2&amp;LS_previous!$D$3:$AY$3, 0)),SUM(VLOOKUP($A45, LS_previous!$B$4:$AY$137, LS_previous!Y$148, FALSE), VLOOKUP('Staging Table'!$A45, LS_previous!$B$4:$AY$137,LS_previous!AW$148, FALSE))/2)</f>
        <v>0</v>
      </c>
      <c r="AH45" s="102">
        <f t="array" ref="AH45">IF($G45=0, INDEX(LS_previous!$D$4:$AY$137, MATCH('Staging Table'!$A45, LS_previous!$B$4:$B$137, 0), MATCH(AH$4&amp;AH$5, LS_previous!$D$2:$AY$2&amp;LS_previous!$D$3:$AY$3, 0)),SUM(VLOOKUP($A45, LS_previous!$B$4:$AY$137, LS_previous!Z$148, FALSE), VLOOKUP('Staging Table'!$A45, LS_previous!$B$4:$AY$137,LS_previous!AX$148, FALSE))/2)</f>
        <v>0</v>
      </c>
      <c r="AI45" s="102">
        <f t="array" ref="AI45">IF($G45=0, INDEX(LS_previous!$D$4:$AY$137, MATCH('Staging Table'!$A45, LS_previous!$B$4:$B$137, 0), MATCH(AI$4&amp;AI$5, LS_previous!$D$2:$AY$2&amp;LS_previous!$D$3:$AY$3, 0)),SUM(VLOOKUP($A45, LS_previous!$B$4:$AY$137, LS_previous!AA$148, FALSE), VLOOKUP('Staging Table'!$A45, LS_previous!$B$4:$AY$137,LS_previous!AY$148, FALSE))/2)</f>
        <v>0</v>
      </c>
      <c r="AJ45" s="103">
        <f t="array" ref="AJ45">INDEX(Demand_previous!$D$4:$AY$137, MATCH('Staging Table'!$A45, Demand_previous!$B$4:$B$137, 0), MATCH(AJ$4&amp;AJ$5,Demand_previous!$D$2:$AY$2&amp;Demand_previous!$D$3:$AY$3, 0))/1000</f>
        <v>0</v>
      </c>
      <c r="AK45" s="103">
        <f t="array" ref="AK45">INDEX(Demand_previous!$D$4:$AY$137, MATCH('Staging Table'!$A45, Demand_previous!$B$4:$B$137, 0), MATCH(AK$4&amp;AK$5,Demand_previous!$D$2:$AY$2&amp;Demand_previous!$D$3:$AY$3, 0))/1000</f>
        <v>0</v>
      </c>
      <c r="AL45" s="103">
        <f t="array" ref="AL45">INDEX(Demand_previous!$D$4:$AY$137, MATCH('Staging Table'!$A45, Demand_previous!$B$4:$B$137, 0), MATCH(AL$4&amp;AL$5,Demand_previous!$D$2:$AY$2&amp;Demand_previous!$D$3:$AY$3, 0))/1000</f>
        <v>0</v>
      </c>
      <c r="AM45" s="103">
        <f t="array" ref="AM45">INDEX(Demand_previous!$D$4:$AY$137, MATCH('Staging Table'!$A45, Demand_previous!$B$4:$B$137, 0), MATCH(AM$4&amp;AM$5,Demand_previous!$D$2:$AY$2&amp;Demand_previous!$D$3:$AY$3, 0))/1000</f>
        <v>0</v>
      </c>
      <c r="AN45" s="103">
        <f t="array" ref="AN45">INDEX(Demand_previous!$D$4:$AY$137, MATCH('Staging Table'!$A45, Demand_previous!$B$4:$B$137, 0), MATCH(AN$4&amp;AN$5,Demand_previous!$D$2:$AY$2&amp;Demand_previous!$D$3:$AY$3, 0))/1000</f>
        <v>0</v>
      </c>
      <c r="AO45" s="103">
        <f t="array" ref="AO45">INDEX(Demand_previous!$D$4:$AY$137, MATCH('Staging Table'!$A45, Demand_previous!$B$4:$B$137, 0), MATCH(AO$4&amp;AO$5,Demand_previous!$D$2:$AY$2&amp;Demand_previous!$D$3:$AY$3, 0))/1000</f>
        <v>0</v>
      </c>
      <c r="AP45" s="103">
        <f t="array" ref="AP45">INDEX(Demand_previous!$D$4:$AY$137, MATCH('Staging Table'!$A45, Demand_previous!$B$4:$B$137, 0), MATCH(AP$4&amp;AP$5,Demand_previous!$D$2:$AY$2&amp;Demand_previous!$D$3:$AY$3, 0))/1000</f>
        <v>0</v>
      </c>
      <c r="AQ45" s="103">
        <f t="array" ref="AQ45">INDEX(Demand_previous!$D$4:$AY$137, MATCH('Staging Table'!$A45, Demand_previous!$B$4:$B$137, 0), MATCH(AQ$4&amp;AQ$5,Demand_previous!$D$2:$AY$2&amp;Demand_previous!$D$3:$AY$3, 0))/1000</f>
        <v>0</v>
      </c>
      <c r="AR45" s="103">
        <f t="array" ref="AR45">INDEX(Demand_previous!$D$4:$AY$137, MATCH('Staging Table'!$A45, Demand_previous!$B$4:$B$137, 0), MATCH(AR$4&amp;AR$5,Demand_previous!$D$2:$AY$2&amp;Demand_previous!$D$3:$AY$3, 0))/1000</f>
        <v>0</v>
      </c>
      <c r="AS45" s="103">
        <f t="array" ref="AS45">INDEX(Demand_previous!$D$4:$AY$137, MATCH('Staging Table'!$A45, Demand_previous!$B$4:$B$137, 0), MATCH(AS$4&amp;AS$5,Demand_previous!$D$2:$AY$2&amp;Demand_previous!$D$3:$AY$3, 0))/1000</f>
        <v>0</v>
      </c>
      <c r="AT45" s="103">
        <f t="array" ref="AT45">INDEX(Demand_previous!$D$4:$AY$137, MATCH('Staging Table'!$A45, Demand_previous!$B$4:$B$137, 0), MATCH(AT$4&amp;AT$5,Demand_previous!$D$2:$AY$2&amp;Demand_previous!$D$3:$AY$3, 0))/1000</f>
        <v>0</v>
      </c>
      <c r="AU45" s="103">
        <f t="array" ref="AU45">INDEX(Demand_previous!$D$4:$AY$137, MATCH('Staging Table'!$A45, Demand_previous!$B$4:$B$137, 0), MATCH(AU$4&amp;AU$5,Demand_previous!$D$2:$AY$2&amp;Demand_previous!$D$3:$AY$3, 0))/1000</f>
        <v>0</v>
      </c>
      <c r="AV45" s="102">
        <f>$F45*(VLOOKUP(AV$4, Rates_previous!$G$6:$Q$29, 10, FALSE)+VLOOKUP(AV$4, Rates_previous!$G$6:$Q$29, 11, FALSE))</f>
        <v>14584.4046035055</v>
      </c>
      <c r="AW45" s="102">
        <f>$F45*(VLOOKUP(AW$4, Rates_previous!$G$6:$Q$29, 10, FALSE)+VLOOKUP(AW$4, Rates_previous!$G$6:$Q$29, 11, FALSE))</f>
        <v>18599.925120263004</v>
      </c>
      <c r="AX45" s="102">
        <f>$F45*(VLOOKUP(AX$4, Rates_previous!$G$6:$Q$29, 10, FALSE)+VLOOKUP(AX$4, Rates_previous!$G$6:$Q$29, 11, FALSE))</f>
        <v>20072.999406795003</v>
      </c>
      <c r="AY45" s="102">
        <f>$F45*(VLOOKUP(AY$4, Rates_previous!$G$6:$Q$29, 10, FALSE)+VLOOKUP(AY$4, Rates_previous!$G$6:$Q$29, 11, FALSE))</f>
        <v>20858.949425007999</v>
      </c>
      <c r="AZ45" s="102">
        <f>$F45*(VLOOKUP(AZ$4, Rates_previous!$G$6:$Q$29, 10, FALSE)+VLOOKUP(AZ$4, Rates_previous!$G$6:$Q$29, 11, FALSE))</f>
        <v>17941.476825965998</v>
      </c>
      <c r="BA45" s="102">
        <f>$F45*(VLOOKUP(BA$4, Rates_previous!$G$6:$Q$29, 10, FALSE)+VLOOKUP(BA$4, Rates_previous!$G$6:$Q$29, 11, FALSE))</f>
        <v>19588.540460187</v>
      </c>
      <c r="BB45" s="102">
        <f>$F45*(VLOOKUP(BB$4, Rates_previous!$G$6:$Q$29, 10, FALSE)+VLOOKUP(BB$4, Rates_previous!$G$6:$Q$29, 11, FALSE))</f>
        <v>15461.851624087249</v>
      </c>
      <c r="BC45" s="102">
        <f>$F45*(VLOOKUP(BC$4, Rates_previous!$G$6:$Q$29, 10, FALSE)+VLOOKUP(BC$4, Rates_previous!$G$6:$Q$29, 11, FALSE))</f>
        <v>19182.498924470499</v>
      </c>
      <c r="BD45" s="102">
        <f>$F45*(VLOOKUP(BD$4, Rates_previous!$G$6:$Q$29, 10, FALSE)+VLOOKUP(BD$4, Rates_previous!$G$6:$Q$29, 11, FALSE))</f>
        <v>19598.711263588499</v>
      </c>
      <c r="BE45" s="102">
        <f>$F45*(VLOOKUP(BE$4, Rates_previous!$G$6:$Q$29, 10, FALSE)+VLOOKUP(BE$4, Rates_previous!$G$6:$Q$29, 11, FALSE))</f>
        <v>17014.5049314155</v>
      </c>
      <c r="BF45" s="102">
        <f>$F45*(VLOOKUP(BF$4, Rates_previous!$G$6:$Q$29, 10, FALSE)+VLOOKUP(BF$4, Rates_previous!$G$6:$Q$29, 11, FALSE))</f>
        <v>16448.503664916952</v>
      </c>
      <c r="BG45" s="102">
        <f>$F45*(VLOOKUP(BG$4, Rates_previous!$G$6:$Q$29, 10, FALSE)+VLOOKUP(BG$4, Rates_previous!$G$6:$Q$29, 11, FALSE))</f>
        <v>15135.808605746002</v>
      </c>
      <c r="BH45" s="103">
        <f>IF($D45=0,IF(C45=0, MAX(BJ45 - (VLOOKUP($A45,TOCA_previous!$A$2:$AJ$136,MATCH("RHWM "&amp;Init!$D$1-2,TOCA_previous!$A$2:$AJ$2,0),FALSE)*$F$2*TOCA_previous!C42),0),0), 0)</f>
        <v>0</v>
      </c>
      <c r="BI45" s="109">
        <f>MIN(VLOOKUP($A45,TOCA_previous!$A$2:$AJ$136,MATCH("TRL - NLSL - Existing Resource "&amp;$F$1,TOCA_previous!$A$2:$AJ$2,0),FALSE)*$F$2,(VLOOKUP($A45,TOCA_previous!$A$2:$AJ$136,MATCH("RHWM "&amp;Init!$D$1-2,TOCA_previous!$A$2:$AJ$2,0),FALSE)*$F$2))</f>
        <v>209753.136</v>
      </c>
      <c r="BJ45" s="261">
        <f>SUM(L45:AI45)+(F45*RT1SC!$C$3*$F$2)</f>
        <v>214488.17583912</v>
      </c>
      <c r="BK45" s="260">
        <f>VLOOKUP($A45,TOCA_previous!$A$2:$AJ$136,MATCH("Above RHWM Not Served with LS "&amp;$F$1,TOCA_previous!$A$2:$AJ$2,0),FALSE)*$F$2</f>
        <v>2204.7840000000001</v>
      </c>
      <c r="BL45" s="261">
        <f t="shared" si="21"/>
        <v>4735.0398391199997</v>
      </c>
      <c r="BM45" s="260">
        <f>(VLOOKUP($A45,TOCA_previous!$A$2:$AJ$136,MATCH("RHWM "&amp;Init!$D$1-2,TOCA_previous!$A$2:$AJ$2,0),FALSE)*$F$2) - $BI45</f>
        <v>0</v>
      </c>
      <c r="BN45" s="261">
        <f t="shared" si="22"/>
        <v>0</v>
      </c>
      <c r="BO45" s="260">
        <f t="shared" si="23"/>
        <v>0</v>
      </c>
      <c r="BP45" s="261">
        <f t="shared" si="24"/>
        <v>0</v>
      </c>
      <c r="BQ45" s="260">
        <f t="shared" si="9"/>
        <v>0</v>
      </c>
      <c r="BR45" s="85">
        <f>VLOOKUP($A45,TOCA_current!$A$2:$ZZ$136,MATCH(BR$4,TOCA_current!$A$2:$ZZ$2,0),FALSE)</f>
        <v>3.3779999999999999E-3</v>
      </c>
      <c r="BS45" s="85">
        <f>VLOOKUP($A45,TOCA_current!$A$2:$ZZ$136,MATCH(BS$4,TOCA_current!$A$2:$ZZ$2,0),FALSE)</f>
        <v>3.3779999999999999E-3</v>
      </c>
      <c r="BT45" s="108">
        <f t="shared" si="25"/>
        <v>0</v>
      </c>
      <c r="BU45" s="85">
        <f>VLOOKUP($A45,TOCA_current!A42:BG176,MATCH(BU$4,TOCA_current!$A$2:$BG$2,0),FALSE)</f>
        <v>7.9907145236509006E-2</v>
      </c>
      <c r="BV45" s="85">
        <f t="shared" si="26"/>
        <v>7.9907145236509006E-2</v>
      </c>
      <c r="BW45" s="85">
        <f t="shared" si="27"/>
        <v>3.3779999999999999E-3</v>
      </c>
      <c r="BX45" s="101">
        <f>VLOOKUP($A45,IRD!$A$4:$G$138, 7, FALSE)</f>
        <v>0</v>
      </c>
      <c r="BY45" s="102">
        <f t="array" ref="BY45">IF($BT45=0, INDEX(LS_current!$D$4:$BW$137, MATCH('Staging Table'!$A45, LS_current!$B$4:$B$137, 0), MATCH(BY$4&amp;BY$5, LS_current!$D$2:$BW$2&amp;LS_current!$D$3:$BW$3, 0)),SUM(VLOOKUP($A45, LS_current!$B$4:$BW$137, LS_current!D$147, FALSE), VLOOKUP($A45, LS_current!$B$4:$BW$137,LS_current!AZ$147, FALSE))/2)</f>
        <v>0</v>
      </c>
      <c r="BZ45" s="102">
        <f t="array" ref="BZ45">IF($BT45=0, INDEX(LS_current!$D$4:$BW$137, MATCH('Staging Table'!$A45, LS_current!$B$4:$B$137, 0), MATCH(BZ$4&amp;BZ$5, LS_current!$D$2:$BW$2&amp;LS_current!$D$3:$BW$3, 0)),SUM(VLOOKUP($A45, LS_current!$B$4:$BW$137, LS_current!E$147, FALSE), VLOOKUP($A45, LS_current!$B$4:$BW$137,LS_current!BA$147, FALSE))/2)</f>
        <v>0</v>
      </c>
      <c r="CA45" s="102">
        <f t="array" ref="CA45">IF($BT45=0, INDEX(LS_current!$D$4:$BW$137, MATCH('Staging Table'!$A45, LS_current!$B$4:$B$137, 0), MATCH(CA$4&amp;CA$5, LS_current!$D$2:$BW$2&amp;LS_current!$D$3:$BW$3, 0)),SUM(VLOOKUP($A45, LS_current!$B$4:$BW$137, LS_current!F$147, FALSE), VLOOKUP($A45, LS_current!$B$4:$BW$137,LS_current!BB$147, FALSE))/2)</f>
        <v>0</v>
      </c>
      <c r="CB45" s="102">
        <f t="array" ref="CB45">IF($BT45=0, INDEX(LS_current!$D$4:$BW$137, MATCH('Staging Table'!$A45, LS_current!$B$4:$B$137, 0), MATCH(CB$4&amp;CB$5, LS_current!$D$2:$BW$2&amp;LS_current!$D$3:$BW$3, 0)),SUM(VLOOKUP($A45, LS_current!$B$4:$BW$137, LS_current!G$147, FALSE), VLOOKUP($A45, LS_current!$B$4:$BW$137,LS_current!BC$147, FALSE))/2)</f>
        <v>0</v>
      </c>
      <c r="CC45" s="102">
        <f t="array" ref="CC45">IF($BT45=0, INDEX(LS_current!$D$4:$BW$137, MATCH('Staging Table'!$A45, LS_current!$B$4:$B$137, 0), MATCH(CC$4&amp;CC$5, LS_current!$D$2:$BW$2&amp;LS_current!$D$3:$BW$3, 0)),SUM(VLOOKUP($A45, LS_current!$B$4:$BW$137, LS_current!H$147, FALSE), VLOOKUP($A45, LS_current!$B$4:$BW$137,LS_current!BD$147, FALSE))/2)</f>
        <v>0</v>
      </c>
      <c r="CD45" s="102">
        <f t="array" ref="CD45">IF($BT45=0, INDEX(LS_current!$D$4:$BW$137, MATCH('Staging Table'!$A45, LS_current!$B$4:$B$137, 0), MATCH(CD$4&amp;CD$5, LS_current!$D$2:$BW$2&amp;LS_current!$D$3:$BW$3, 0)),SUM(VLOOKUP($A45, LS_current!$B$4:$BW$137, LS_current!I$147, FALSE), VLOOKUP($A45, LS_current!$B$4:$BW$137,LS_current!BE$147, FALSE))/2)</f>
        <v>0</v>
      </c>
      <c r="CE45" s="102">
        <f t="array" ref="CE45">IF($BT45=0, INDEX(LS_current!$D$4:$BW$137, MATCH('Staging Table'!$A45, LS_current!$B$4:$B$137, 0), MATCH(CE$4&amp;CE$5, LS_current!$D$2:$BW$2&amp;LS_current!$D$3:$BW$3, 0)),SUM(VLOOKUP($A45, LS_current!$B$4:$BW$137, LS_current!J$147, FALSE), VLOOKUP($A45, LS_current!$B$4:$BW$137,LS_current!BF$147, FALSE))/2)</f>
        <v>0</v>
      </c>
      <c r="CF45" s="102">
        <f t="array" ref="CF45">IF($BT45=0, INDEX(LS_current!$D$4:$BW$137, MATCH('Staging Table'!$A45, LS_current!$B$4:$B$137, 0), MATCH(CF$4&amp;CF$5, LS_current!$D$2:$BW$2&amp;LS_current!$D$3:$BW$3, 0)),SUM(VLOOKUP($A45, LS_current!$B$4:$BW$137, LS_current!K$147, FALSE), VLOOKUP($A45, LS_current!$B$4:$BW$137,LS_current!BG$147, FALSE))/2)</f>
        <v>0</v>
      </c>
      <c r="CG45" s="102">
        <f t="array" ref="CG45">IF($BT45=0, INDEX(LS_current!$D$4:$BW$137, MATCH('Staging Table'!$A45, LS_current!$B$4:$B$137, 0), MATCH(CG$4&amp;CG$5, LS_current!$D$2:$BW$2&amp;LS_current!$D$3:$BW$3, 0)),SUM(VLOOKUP($A45, LS_current!$B$4:$BW$137, LS_current!L$147, FALSE), VLOOKUP($A45, LS_current!$B$4:$BW$137,LS_current!BH$147, FALSE))/2)</f>
        <v>0</v>
      </c>
      <c r="CH45" s="102">
        <f t="array" ref="CH45">IF($BT45=0, INDEX(LS_current!$D$4:$BW$137, MATCH('Staging Table'!$A45, LS_current!$B$4:$B$137, 0), MATCH(CH$4&amp;CH$5, LS_current!$D$2:$BW$2&amp;LS_current!$D$3:$BW$3, 0)),SUM(VLOOKUP($A45, LS_current!$B$4:$BW$137, LS_current!M$147, FALSE), VLOOKUP($A45, LS_current!$B$4:$BW$137,LS_current!BI$147, FALSE))/2)</f>
        <v>0</v>
      </c>
      <c r="CI45" s="102">
        <f t="array" ref="CI45">IF($BT45=0, INDEX(LS_current!$D$4:$BW$137, MATCH('Staging Table'!$A45, LS_current!$B$4:$B$137, 0), MATCH(CI$4&amp;CI$5, LS_current!$D$2:$BW$2&amp;LS_current!$D$3:$BW$3, 0)),SUM(VLOOKUP($A45, LS_current!$B$4:$BW$137, LS_current!N$147, FALSE), VLOOKUP($A45, LS_current!$B$4:$BW$137,LS_current!BJ$147, FALSE))/2)</f>
        <v>0</v>
      </c>
      <c r="CJ45" s="102">
        <f t="array" ref="CJ45">IF($BT45=0, INDEX(LS_current!$D$4:$BW$137, MATCH('Staging Table'!$A45, LS_current!$B$4:$B$137, 0), MATCH(CJ$4&amp;CJ$5, LS_current!$D$2:$BW$2&amp;LS_current!$D$3:$BW$3, 0)),SUM(VLOOKUP($A45, LS_current!$B$4:$BW$137, LS_current!O$147, FALSE), VLOOKUP($A45, LS_current!$B$4:$BW$137,LS_current!BK$147, FALSE))/2)</f>
        <v>0</v>
      </c>
      <c r="CK45" s="102">
        <f t="array" ref="CK45">IF($BT45=0, INDEX(LS_current!$D$4:$BW$137, MATCH('Staging Table'!$A45, LS_current!$B$4:$B$137, 0), MATCH(CK$4&amp;CK$5, LS_current!$D$2:$BW$2&amp;LS_current!$D$3:$BW$3, 0)),SUM(VLOOKUP($A45, LS_current!$B$4:$BW$137, LS_current!P$147, FALSE), VLOOKUP($A45, LS_current!$B$4:$BW$137,LS_current!BL$147, FALSE))/2)</f>
        <v>0</v>
      </c>
      <c r="CL45" s="102">
        <f t="array" ref="CL45">IF($BT45=0, INDEX(LS_current!$D$4:$BW$137, MATCH('Staging Table'!$A45, LS_current!$B$4:$B$137, 0), MATCH(CL$4&amp;CL$5, LS_current!$D$2:$BW$2&amp;LS_current!$D$3:$BW$3, 0)),SUM(VLOOKUP($A45, LS_current!$B$4:$BW$137, LS_current!Q$147, FALSE), VLOOKUP($A45, LS_current!$B$4:$BW$137,LS_current!BM$147, FALSE))/2)</f>
        <v>0</v>
      </c>
      <c r="CM45" s="102">
        <f t="array" ref="CM45">IF($BT45=0, INDEX(LS_current!$D$4:$BW$137, MATCH('Staging Table'!$A45, LS_current!$B$4:$B$137, 0), MATCH(CM$4&amp;CM$5, LS_current!$D$2:$BW$2&amp;LS_current!$D$3:$BW$3, 0)),SUM(VLOOKUP($A45, LS_current!$B$4:$BW$137, LS_current!R$147, FALSE), VLOOKUP($A45, LS_current!$B$4:$BW$137,LS_current!BN$147, FALSE))/2)</f>
        <v>0</v>
      </c>
      <c r="CN45" s="102">
        <f t="array" ref="CN45">IF($BT45=0, INDEX(LS_current!$D$4:$BW$137, MATCH('Staging Table'!$A45, LS_current!$B$4:$B$137, 0), MATCH(CN$4&amp;CN$5, LS_current!$D$2:$BW$2&amp;LS_current!$D$3:$BW$3, 0)),SUM(VLOOKUP($A45, LS_current!$B$4:$BW$137, LS_current!S$147, FALSE), VLOOKUP($A45, LS_current!$B$4:$BW$137,LS_current!BO$147, FALSE))/2)</f>
        <v>0</v>
      </c>
      <c r="CO45" s="102">
        <f t="array" ref="CO45">IF($BT45=0, INDEX(LS_current!$D$4:$BW$137, MATCH('Staging Table'!$A45, LS_current!$B$4:$B$137, 0), MATCH(CO$4&amp;CO$5, LS_current!$D$2:$BW$2&amp;LS_current!$D$3:$BW$3, 0)),SUM(VLOOKUP($A45, LS_current!$B$4:$BW$137, LS_current!T$147, FALSE), VLOOKUP($A45, LS_current!$B$4:$BW$137,LS_current!BP$147, FALSE))/2)</f>
        <v>0</v>
      </c>
      <c r="CP45" s="102">
        <f t="array" ref="CP45">IF($BT45=0, INDEX(LS_current!$D$4:$BW$137, MATCH('Staging Table'!$A45, LS_current!$B$4:$B$137, 0), MATCH(CP$4&amp;CP$5, LS_current!$D$2:$BW$2&amp;LS_current!$D$3:$BW$3, 0)),SUM(VLOOKUP($A45, LS_current!$B$4:$BW$137, LS_current!U$147, FALSE), VLOOKUP($A45, LS_current!$B$4:$BW$137,LS_current!BQ$147, FALSE))/2)</f>
        <v>0</v>
      </c>
      <c r="CQ45" s="102">
        <f t="array" ref="CQ45">IF($BT45=0, INDEX(LS_current!$D$4:$BW$137, MATCH('Staging Table'!$A45, LS_current!$B$4:$B$137, 0), MATCH(CQ$4&amp;CQ$5, LS_current!$D$2:$BW$2&amp;LS_current!$D$3:$BW$3, 0)),SUM(VLOOKUP($A45, LS_current!$B$4:$BW$137, LS_current!V$147, FALSE), VLOOKUP($A45, LS_current!$B$4:$BW$137,LS_current!BR$147, FALSE))/2)</f>
        <v>0</v>
      </c>
      <c r="CR45" s="102">
        <f t="array" ref="CR45">IF($BT45=0, INDEX(LS_current!$D$4:$BW$137, MATCH('Staging Table'!$A45, LS_current!$B$4:$B$137, 0), MATCH(CR$4&amp;CR$5, LS_current!$D$2:$BW$2&amp;LS_current!$D$3:$BW$3, 0)),SUM(VLOOKUP($A45, LS_current!$B$4:$BW$137, LS_current!W$147, FALSE), VLOOKUP($A45, LS_current!$B$4:$BW$137,LS_current!BS$147, FALSE))/2)</f>
        <v>0</v>
      </c>
      <c r="CS45" s="102">
        <f t="array" ref="CS45">IF($BT45=0, INDEX(LS_current!$D$4:$BW$137, MATCH('Staging Table'!$A45, LS_current!$B$4:$B$137, 0), MATCH(CS$4&amp;CS$5, LS_current!$D$2:$BW$2&amp;LS_current!$D$3:$BW$3, 0)),SUM(VLOOKUP($A45, LS_current!$B$4:$BW$137, LS_current!X$147, FALSE), VLOOKUP($A45, LS_current!$B$4:$BW$137,LS_current!BT$147, FALSE))/2)</f>
        <v>0</v>
      </c>
      <c r="CT45" s="102">
        <f t="array" ref="CT45">IF($BT45=0, INDEX(LS_current!$D$4:$BW$137, MATCH('Staging Table'!$A45, LS_current!$B$4:$B$137, 0), MATCH(CT$4&amp;CT$5, LS_current!$D$2:$BW$2&amp;LS_current!$D$3:$BW$3, 0)),SUM(VLOOKUP($A45, LS_current!$B$4:$BW$137, LS_current!Y$147, FALSE), VLOOKUP($A45, LS_current!$B$4:$BW$137,LS_current!BU$147, FALSE))/2)</f>
        <v>0</v>
      </c>
      <c r="CU45" s="102">
        <f t="array" ref="CU45">IF($BT45=0, INDEX(LS_current!$D$4:$BW$137, MATCH('Staging Table'!$A45, LS_current!$B$4:$B$137, 0), MATCH(CU$4&amp;CU$5, LS_current!$D$2:$BW$2&amp;LS_current!$D$3:$BW$3, 0)),SUM(VLOOKUP($A45, LS_current!$B$4:$BW$137, LS_current!Z$147, FALSE), VLOOKUP($A45, LS_current!$B$4:$BW$137,LS_current!BV$147, FALSE))/2)</f>
        <v>0</v>
      </c>
      <c r="CV45" s="102">
        <f t="array" ref="CV45">IF($BT45=0, INDEX(LS_current!$D$4:$BW$137, MATCH('Staging Table'!$A45, LS_current!$B$4:$B$137, 0), MATCH(CV$4&amp;CV$5, LS_current!$D$2:$BW$2&amp;LS_current!$D$3:$BW$3, 0)),SUM(VLOOKUP($A45, LS_current!$B$4:$BW$137, LS_current!AA$147, FALSE), VLOOKUP($A45, LS_current!$B$4:$BW$137,LS_current!BW$147, FALSE))/2)</f>
        <v>0</v>
      </c>
      <c r="CW45" s="103">
        <f t="array" ref="CW45">INDEX(Demand_current!$D$4:$BW$137, MATCH($A45, Demand_current!$B$4:$B$137, 0), MATCH(CW$4&amp;CW$5,Demand_current!$D$2:$BW$2&amp;Demand_current!$D$3:$BW$3, 0))/1000</f>
        <v>0</v>
      </c>
      <c r="CX45" s="103">
        <f t="array" ref="CX45">INDEX(Demand_current!$D$4:$BW$137, MATCH($A45, Demand_current!$B$4:$B$137, 0), MATCH(CX$4&amp;CX$5,Demand_current!$D$2:$BW$2&amp;Demand_current!$D$3:$BW$3, 0))/1000</f>
        <v>0</v>
      </c>
      <c r="CY45" s="103">
        <f t="array" ref="CY45">INDEX(Demand_current!$D$4:$BW$137, MATCH($A45, Demand_current!$B$4:$B$137, 0), MATCH(CY$4&amp;CY$5,Demand_current!$D$2:$BW$2&amp;Demand_current!$D$3:$BW$3, 0))/1000</f>
        <v>0</v>
      </c>
      <c r="CZ45" s="103">
        <f t="array" ref="CZ45">INDEX(Demand_current!$D$4:$BW$137, MATCH($A45, Demand_current!$B$4:$B$137, 0), MATCH(CZ$4&amp;CZ$5,Demand_current!$D$2:$BW$2&amp;Demand_current!$D$3:$BW$3, 0))/1000</f>
        <v>0</v>
      </c>
      <c r="DA45" s="103">
        <f t="array" ref="DA45">INDEX(Demand_current!$D$4:$BW$137, MATCH($A45, Demand_current!$B$4:$B$137, 0), MATCH(DA$4&amp;DA$5,Demand_current!$D$2:$BW$2&amp;Demand_current!$D$3:$BW$3, 0))/1000</f>
        <v>0</v>
      </c>
      <c r="DB45" s="103">
        <f t="array" ref="DB45">INDEX(Demand_current!$D$4:$BW$137, MATCH($A45, Demand_current!$B$4:$B$137, 0), MATCH(DB$4&amp;DB$5,Demand_current!$D$2:$BW$2&amp;Demand_current!$D$3:$BW$3, 0))/1000</f>
        <v>0</v>
      </c>
      <c r="DC45" s="103">
        <f t="array" ref="DC45">INDEX(Demand_current!$D$4:$BW$137, MATCH($A45, Demand_current!$B$4:$B$137, 0), MATCH(DC$4&amp;DC$5,Demand_current!$D$2:$BW$2&amp;Demand_current!$D$3:$BW$3, 0))/1000</f>
        <v>0</v>
      </c>
      <c r="DD45" s="103">
        <f t="array" ref="DD45">INDEX(Demand_current!$D$4:$BW$137, MATCH($A45, Demand_current!$B$4:$B$137, 0), MATCH(DD$4&amp;DD$5,Demand_current!$D$2:$BW$2&amp;Demand_current!$D$3:$BW$3, 0))/1000</f>
        <v>0</v>
      </c>
      <c r="DE45" s="103">
        <f t="array" ref="DE45">INDEX(Demand_current!$D$4:$BW$137, MATCH($A45, Demand_current!$B$4:$B$137, 0), MATCH(DE$4&amp;DE$5,Demand_current!$D$2:$BW$2&amp;Demand_current!$D$3:$BW$3, 0))/1000</f>
        <v>0</v>
      </c>
      <c r="DF45" s="103">
        <f t="array" ref="DF45">INDEX(Demand_current!$D$4:$BW$137, MATCH($A45, Demand_current!$B$4:$B$137, 0), MATCH(DF$4&amp;DF$5,Demand_current!$D$2:$BW$2&amp;Demand_current!$D$3:$BW$3, 0))/1000</f>
        <v>0</v>
      </c>
      <c r="DG45" s="103">
        <f t="array" ref="DG45">INDEX(Demand_current!$D$4:$BW$137, MATCH($A45, Demand_current!$B$4:$B$137, 0), MATCH(DG$4&amp;DG$5,Demand_current!$D$2:$BW$2&amp;Demand_current!$D$3:$BW$3, 0))/1000</f>
        <v>0</v>
      </c>
      <c r="DH45" s="103">
        <f t="array" ref="DH45">INDEX(Demand_current!$D$4:$BW$137, MATCH($A45, Demand_current!$B$4:$B$137, 0), MATCH(DH$4&amp;DH$5,Demand_current!$D$2:$BW$2&amp;Demand_current!$D$3:$BW$3, 0))/1000</f>
        <v>0</v>
      </c>
      <c r="DI45" s="102">
        <f>$BS45*(VLOOKUP(DI$4, Rates_current!$H$6:$R$41, 10, FALSE)+VLOOKUP(DI$4, Rates_current!$H$6:$R$41, 11, FALSE))</f>
        <v>14019.671542112279</v>
      </c>
      <c r="DJ45" s="102">
        <f>$BS45*(VLOOKUP(DJ$4, Rates_current!$H$6:$R$41, 10, FALSE)+VLOOKUP(DJ$4, Rates_current!$H$6:$R$41, 11, FALSE))</f>
        <v>17923.688650039272</v>
      </c>
      <c r="DK45" s="102">
        <f>$BS45*(VLOOKUP(DK$4, Rates_current!$H$6:$R$41, 10, FALSE)+VLOOKUP(DK$4, Rates_current!$H$6:$R$41, 11, FALSE))</f>
        <v>20377.734912380733</v>
      </c>
      <c r="DL45" s="102">
        <f>$BS45*(VLOOKUP(DL$4, Rates_current!$H$6:$R$41, 10, FALSE)+VLOOKUP(DL$4, Rates_current!$H$6:$R$41, 11, FALSE))</f>
        <v>21500.100995834582</v>
      </c>
      <c r="DM45" s="102">
        <f>$BS45*(VLOOKUP(DM$4, Rates_current!$H$6:$R$41, 10, FALSE)+VLOOKUP(DM$4, Rates_current!$H$6:$R$41, 11, FALSE))</f>
        <v>17133.640035395343</v>
      </c>
      <c r="DN45" s="102">
        <f>$BS45*(VLOOKUP(DN$4, Rates_current!$H$6:$R$41, 10, FALSE)+VLOOKUP(DN$4, Rates_current!$H$6:$R$41, 11, FALSE))</f>
        <v>18730.58705013392</v>
      </c>
      <c r="DO45" s="102">
        <f>$BS45*(VLOOKUP(DO$4, Rates_current!$H$6:$R$41, 10, FALSE)+VLOOKUP(DO$4, Rates_current!$H$6:$R$41, 11, FALSE))</f>
        <v>14516.393376178354</v>
      </c>
      <c r="DP45" s="102">
        <f>$BS45*(VLOOKUP(DP$4, Rates_current!$H$6:$R$41, 10, FALSE)+VLOOKUP(DP$4, Rates_current!$H$6:$R$41, 11, FALSE))</f>
        <v>18786.603187053472</v>
      </c>
      <c r="DQ45" s="102">
        <f>$BS45*(VLOOKUP(DQ$4, Rates_current!$H$6:$R$41, 10, FALSE)+VLOOKUP(DQ$4, Rates_current!$H$6:$R$41, 11, FALSE))</f>
        <v>19187.751852884237</v>
      </c>
      <c r="DR45" s="102">
        <f>$BS45*(VLOOKUP(DR$4, Rates_current!$H$6:$R$41, 10, FALSE)+VLOOKUP(DR$4, Rates_current!$H$6:$R$41, 11, FALSE))</f>
        <v>17078.758596652871</v>
      </c>
      <c r="DS45" s="102">
        <f>$BS45*(VLOOKUP(DS$4, Rates_current!$H$6:$R$41, 10, FALSE)+VLOOKUP(DS$4, Rates_current!$H$6:$R$41, 11, FALSE))</f>
        <v>17519.674178367524</v>
      </c>
      <c r="DT45" s="102">
        <f>$BS45*(VLOOKUP(DT$4, Rates_current!$H$6:$R$41, 10, FALSE)+VLOOKUP(DT$4, Rates_current!$H$6:$R$41, 11, FALSE))</f>
        <v>13606.127110800207</v>
      </c>
      <c r="DU45" s="261">
        <f>IF(D45=0,IF(C45=0,MAX(0,DW45 - (VLOOKUP($A45,TOCA_current!$A$2:$AV$136,MATCH("RHWM "&amp;Init!$D$1,TOCA_current!$A$2:$AV$2,0),FALSE)*$BS$2)), 0),0)</f>
        <v>0</v>
      </c>
      <c r="DV45" s="262">
        <f>MIN(VLOOKUP($A45,TOCA_current!$A$2:$AV$136,MATCH("TRL - NLSL - Existing Resource "&amp;$BS$1,TOCA_current!$A$2:$AV$2,0),FALSE)*$BS$2, VLOOKUP($A45,TOCA_current!$A$2:$AV$136,MATCH("RHWM "&amp;Init!$D$1,TOCA_current!$A$2:$AV$2,0),FALSE)*$BS$2)</f>
        <v>210380.15999999997</v>
      </c>
      <c r="DW45" s="262">
        <f>SUM(BY45:CV45)+(BS45*RT1SC!$C$4*$BS$2)</f>
        <v>210380.74390656003</v>
      </c>
      <c r="DX45" s="262">
        <f>VLOOKUP($A45,TOCA_current!$A$2:$AV$136,MATCH("Above RHWM Not Served with LS "&amp;$BS$1,TOCA_current!$A$2:$AV$2,0),FALSE)*$BS$2</f>
        <v>29775.24</v>
      </c>
      <c r="DY45" s="262">
        <f t="shared" si="28"/>
        <v>0.583906560059404</v>
      </c>
      <c r="DZ45" s="262">
        <f>(VLOOKUP($A45,TOCA_current!$A$2:$AV$136,MATCH("RHWM "&amp;Init!$D$1,TOCA_current!$A$2:$AV$2,0),FALSE)*$BS$2) - $DV45</f>
        <v>0</v>
      </c>
      <c r="EA45" s="262">
        <f t="shared" si="29"/>
        <v>0</v>
      </c>
      <c r="EB45" s="262">
        <f t="shared" si="30"/>
        <v>0</v>
      </c>
      <c r="EC45" s="262">
        <f t="shared" si="31"/>
        <v>0</v>
      </c>
      <c r="ED45" s="262">
        <f t="shared" si="32"/>
        <v>0</v>
      </c>
    </row>
    <row r="46" spans="1:134">
      <c r="A46" s="2">
        <v>10109</v>
      </c>
      <c r="B46" s="3" t="s">
        <v>48</v>
      </c>
      <c r="C46">
        <f>VLOOKUP(A46, TOCA_current!$A$3:$D$136, 4, FALSE)</f>
        <v>0</v>
      </c>
      <c r="D46">
        <v>0</v>
      </c>
      <c r="E46" s="84">
        <f>VLOOKUP($A46,TOCA_previous!$A$2:$AJ$136,MATCH(E$4,TOCA_previous!$A$2:$AJ$2,0),FALSE)</f>
        <v>1.7543000000000001E-3</v>
      </c>
      <c r="F46" s="85">
        <f>VLOOKUP($A46,TOCA_previous!$A$2:$AJ$136,MATCH(F$4,TOCA_previous!$A$2:$AJ$2,0),FALSE)</f>
        <v>1.7543000000000001E-3</v>
      </c>
      <c r="G46" s="85">
        <f t="shared" si="18"/>
        <v>0</v>
      </c>
      <c r="H46" s="85">
        <f>VLOOKUP($A46,TOCA_previous!$A$2:$AJ$136,MATCH(H$4,TOCA_previous!$A$2:$AJ$2,0),FALSE)</f>
        <v>8.5689057600264074E-2</v>
      </c>
      <c r="I46" s="85">
        <f t="shared" si="19"/>
        <v>0</v>
      </c>
      <c r="J46" s="85">
        <f t="shared" si="20"/>
        <v>0</v>
      </c>
      <c r="K46" s="101">
        <f>VLOOKUP(A46, IRD!$A$5:$C$138, 3, FALSE)</f>
        <v>21100.335000000003</v>
      </c>
      <c r="L46" s="102">
        <f t="array" ref="L46">IF($G46=0, INDEX(LS_previous!$D$4:$AY$137, MATCH('Staging Table'!$A46, LS_previous!$B$4:$B$137, 0), MATCH(L$4&amp;L$5, LS_previous!$D$2:$AY$2&amp;LS_previous!$D$3:$AY$3, 0)),SUM(VLOOKUP($A46, LS_previous!$B$4:$AY$137, LS_previous!D$148, FALSE), VLOOKUP('Staging Table'!$A46, LS_previous!$B$4:$AY$137,LS_previous!AB$148, FALSE))/2)</f>
        <v>3217.9344276451993</v>
      </c>
      <c r="M46" s="102">
        <f t="array" ref="M46">IF($G46=0, INDEX(LS_previous!$D$4:$AY$137, MATCH('Staging Table'!$A46, LS_previous!$B$4:$B$137, 0), MATCH(M$4&amp;M$5, LS_previous!$D$2:$AY$2&amp;LS_previous!$D$3:$AY$3, 0)),SUM(VLOOKUP($A46, LS_previous!$B$4:$AY$137, LS_previous!E$148, FALSE), VLOOKUP('Staging Table'!$A46, LS_previous!$B$4:$AY$137,LS_previous!AC$148, FALSE))/2)</f>
        <v>2207.6321335553498</v>
      </c>
      <c r="N46" s="102">
        <f t="array" ref="N46">IF($G46=0, INDEX(LS_previous!$D$4:$AY$137, MATCH('Staging Table'!$A46, LS_previous!$B$4:$B$137, 0), MATCH(N$4&amp;N$5, LS_previous!$D$2:$AY$2&amp;LS_previous!$D$3:$AY$3, 0)),SUM(VLOOKUP($A46, LS_previous!$B$4:$AY$137, LS_previous!F$148, FALSE), VLOOKUP('Staging Table'!$A46, LS_previous!$B$4:$AY$137,LS_previous!AD$148, FALSE))/2)</f>
        <v>1803.9798804896</v>
      </c>
      <c r="O46" s="102">
        <f t="array" ref="O46">IF($G46=0, INDEX(LS_previous!$D$4:$AY$137, MATCH('Staging Table'!$A46, LS_previous!$B$4:$B$137, 0), MATCH(O$4&amp;O$5, LS_previous!$D$2:$AY$2&amp;LS_previous!$D$3:$AY$3, 0)),SUM(VLOOKUP($A46, LS_previous!$B$4:$AY$137, LS_previous!G$148, FALSE), VLOOKUP('Staging Table'!$A46, LS_previous!$B$4:$AY$137,LS_previous!AE$148, FALSE))/2)</f>
        <v>1649.5671176366991</v>
      </c>
      <c r="P46" s="102">
        <f t="array" ref="P46">IF($G46=0, INDEX(LS_previous!$D$4:$AY$137, MATCH('Staging Table'!$A46, LS_previous!$B$4:$B$137, 0), MATCH(P$4&amp;P$5, LS_previous!$D$2:$AY$2&amp;LS_previous!$D$3:$AY$3, 0)),SUM(VLOOKUP($A46, LS_previous!$B$4:$AY$137, LS_previous!H$148, FALSE), VLOOKUP('Staging Table'!$A46, LS_previous!$B$4:$AY$137,LS_previous!AF$148, FALSE))/2)</f>
        <v>3619.481868072301</v>
      </c>
      <c r="Q46" s="102">
        <f t="array" ref="Q46">IF($G46=0, INDEX(LS_previous!$D$4:$AY$137, MATCH('Staging Table'!$A46, LS_previous!$B$4:$B$137, 0), MATCH(Q$4&amp;Q$5, LS_previous!$D$2:$AY$2&amp;LS_previous!$D$3:$AY$3, 0)),SUM(VLOOKUP($A46, LS_previous!$B$4:$AY$137, LS_previous!I$148, FALSE), VLOOKUP('Staging Table'!$A46, LS_previous!$B$4:$AY$137,LS_previous!AG$148, FALSE))/2)</f>
        <v>3039.6522591071994</v>
      </c>
      <c r="R46" s="102">
        <f t="array" ref="R46">IF($G46=0, INDEX(LS_previous!$D$4:$AY$137, MATCH('Staging Table'!$A46, LS_previous!$B$4:$B$137, 0), MATCH(R$4&amp;R$5, LS_previous!$D$2:$AY$2&amp;LS_previous!$D$3:$AY$3, 0)),SUM(VLOOKUP($A46, LS_previous!$B$4:$AY$137, LS_previous!J$148, FALSE), VLOOKUP('Staging Table'!$A46, LS_previous!$B$4:$AY$137,LS_previous!AH$148, FALSE))/2)</f>
        <v>3630.4500243755001</v>
      </c>
      <c r="S46" s="102">
        <f t="array" ref="S46">IF($G46=0, INDEX(LS_previous!$D$4:$AY$137, MATCH('Staging Table'!$A46, LS_previous!$B$4:$B$137, 0), MATCH(S$4&amp;S$5, LS_previous!$D$2:$AY$2&amp;LS_previous!$D$3:$AY$3, 0)),SUM(VLOOKUP($A46, LS_previous!$B$4:$AY$137, LS_previous!K$148, FALSE), VLOOKUP('Staging Table'!$A46, LS_previous!$B$4:$AY$137,LS_previous!AI$148, FALSE))/2)</f>
        <v>3970.113455725299</v>
      </c>
      <c r="T46" s="102">
        <f t="array" ref="T46">IF($G46=0, INDEX(LS_previous!$D$4:$AY$137, MATCH('Staging Table'!$A46, LS_previous!$B$4:$B$137, 0), MATCH(T$4&amp;T$5, LS_previous!$D$2:$AY$2&amp;LS_previous!$D$3:$AY$3, 0)),SUM(VLOOKUP($A46, LS_previous!$B$4:$AY$137, LS_previous!L$148, FALSE), VLOOKUP('Staging Table'!$A46, LS_previous!$B$4:$AY$137,LS_previous!AJ$148, FALSE))/2)</f>
        <v>2808.4092294703005</v>
      </c>
      <c r="U46" s="102">
        <f t="array" ref="U46">IF($G46=0, INDEX(LS_previous!$D$4:$AY$137, MATCH('Staging Table'!$A46, LS_previous!$B$4:$B$137, 0), MATCH(U$4&amp;U$5, LS_previous!$D$2:$AY$2&amp;LS_previous!$D$3:$AY$3, 0)),SUM(VLOOKUP($A46, LS_previous!$B$4:$AY$137, LS_previous!M$148, FALSE), VLOOKUP('Staging Table'!$A46, LS_previous!$B$4:$AY$137,LS_previous!AK$148, FALSE))/2)</f>
        <v>2611.2119933263002</v>
      </c>
      <c r="V46" s="102">
        <f t="array" ref="V46">IF($G46=0, INDEX(LS_previous!$D$4:$AY$137, MATCH('Staging Table'!$A46, LS_previous!$B$4:$B$137, 0), MATCH(V$4&amp;V$5, LS_previous!$D$2:$AY$2&amp;LS_previous!$D$3:$AY$3, 0)),SUM(VLOOKUP($A46, LS_previous!$B$4:$AY$137, LS_previous!N$148, FALSE), VLOOKUP('Staging Table'!$A46, LS_previous!$B$4:$AY$137,LS_previous!AL$148, FALSE))/2)</f>
        <v>4556.4309000640997</v>
      </c>
      <c r="W46" s="102">
        <f t="array" ref="W46">IF($G46=0, INDEX(LS_previous!$D$4:$AY$137, MATCH('Staging Table'!$A46, LS_previous!$B$4:$B$137, 0), MATCH(W$4&amp;W$5, LS_previous!$D$2:$AY$2&amp;LS_previous!$D$3:$AY$3, 0)),SUM(VLOOKUP($A46, LS_previous!$B$4:$AY$137, LS_previous!O$148, FALSE), VLOOKUP('Staging Table'!$A46, LS_previous!$B$4:$AY$137,LS_previous!AM$148, FALSE))/2)</f>
        <v>3442.3702748546011</v>
      </c>
      <c r="X46" s="102">
        <f t="array" ref="X46">IF($G46=0, INDEX(LS_previous!$D$4:$AY$137, MATCH('Staging Table'!$A46, LS_previous!$B$4:$B$137, 0), MATCH(X$4&amp;X$5, LS_previous!$D$2:$AY$2&amp;LS_previous!$D$3:$AY$3, 0)),SUM(VLOOKUP($A46, LS_previous!$B$4:$AY$137, LS_previous!P$148, FALSE), VLOOKUP('Staging Table'!$A46, LS_previous!$B$4:$AY$137,LS_previous!AN$148, FALSE))/2)</f>
        <v>6965.7940359317499</v>
      </c>
      <c r="Y46" s="102">
        <f t="array" ref="Y46">IF($G46=0, INDEX(LS_previous!$D$4:$AY$137, MATCH('Staging Table'!$A46, LS_previous!$B$4:$B$137, 0), MATCH(Y$4&amp;Y$5, LS_previous!$D$2:$AY$2&amp;LS_previous!$D$3:$AY$3, 0)),SUM(VLOOKUP($A46, LS_previous!$B$4:$AY$137, LS_previous!Q$148, FALSE), VLOOKUP('Staging Table'!$A46, LS_previous!$B$4:$AY$137,LS_previous!AO$148, FALSE))/2)</f>
        <v>5209.6225240519743</v>
      </c>
      <c r="Z46" s="102">
        <f t="array" ref="Z46">IF($G46=0, INDEX(LS_previous!$D$4:$AY$137, MATCH('Staging Table'!$A46, LS_previous!$B$4:$B$137, 0), MATCH(Z$4&amp;Z$5, LS_previous!$D$2:$AY$2&amp;LS_previous!$D$3:$AY$3, 0)),SUM(VLOOKUP($A46, LS_previous!$B$4:$AY$137, LS_previous!R$148, FALSE), VLOOKUP('Staging Table'!$A46, LS_previous!$B$4:$AY$137,LS_previous!AP$148, FALSE))/2)</f>
        <v>6910.3357035536001</v>
      </c>
      <c r="AA46" s="102">
        <f t="array" ref="AA46">IF($G46=0, INDEX(LS_previous!$D$4:$AY$137, MATCH('Staging Table'!$A46, LS_previous!$B$4:$B$137, 0), MATCH(AA$4&amp;AA$5, LS_previous!$D$2:$AY$2&amp;LS_previous!$D$3:$AY$3, 0)),SUM(VLOOKUP($A46, LS_previous!$B$4:$AY$137, LS_previous!S$148, FALSE), VLOOKUP('Staging Table'!$A46, LS_previous!$B$4:$AY$137,LS_previous!AQ$148, FALSE))/2)</f>
        <v>5725.7895752434506</v>
      </c>
      <c r="AB46" s="102">
        <f t="array" ref="AB46">IF($G46=0, INDEX(LS_previous!$D$4:$AY$137, MATCH('Staging Table'!$A46, LS_previous!$B$4:$B$137, 0), MATCH(AB$4&amp;AB$5, LS_previous!$D$2:$AY$2&amp;LS_previous!$D$3:$AY$3, 0)),SUM(VLOOKUP($A46, LS_previous!$B$4:$AY$137, LS_previous!T$148, FALSE), VLOOKUP('Staging Table'!$A46, LS_previous!$B$4:$AY$137,LS_previous!AR$148, FALSE))/2)</f>
        <v>7336.5980954181996</v>
      </c>
      <c r="AC46" s="102">
        <f t="array" ref="AC46">IF($G46=0, INDEX(LS_previous!$D$4:$AY$137, MATCH('Staging Table'!$A46, LS_previous!$B$4:$B$137, 0), MATCH(AC$4&amp;AC$5, LS_previous!$D$2:$AY$2&amp;LS_previous!$D$3:$AY$3, 0)),SUM(VLOOKUP($A46, LS_previous!$B$4:$AY$137, LS_previous!U$148, FALSE), VLOOKUP('Staging Table'!$A46, LS_previous!$B$4:$AY$137,LS_previous!AS$148, FALSE))/2)</f>
        <v>5544.9287718906489</v>
      </c>
      <c r="AD46" s="102">
        <f t="array" ref="AD46">IF($G46=0, INDEX(LS_previous!$D$4:$AY$137, MATCH('Staging Table'!$A46, LS_previous!$B$4:$B$137, 0), MATCH(AD$4&amp;AD$5, LS_previous!$D$2:$AY$2&amp;LS_previous!$D$3:$AY$3, 0)),SUM(VLOOKUP($A46, LS_previous!$B$4:$AY$137, LS_previous!V$148, FALSE), VLOOKUP('Staging Table'!$A46, LS_previous!$B$4:$AY$137,LS_previous!AT$148, FALSE))/2)</f>
        <v>8071.6201764147991</v>
      </c>
      <c r="AE46" s="102">
        <f t="array" ref="AE46">IF($G46=0, INDEX(LS_previous!$D$4:$AY$137, MATCH('Staging Table'!$A46, LS_previous!$B$4:$B$137, 0), MATCH(AE$4&amp;AE$5, LS_previous!$D$2:$AY$2&amp;LS_previous!$D$3:$AY$3, 0)),SUM(VLOOKUP($A46, LS_previous!$B$4:$AY$137, LS_previous!W$148, FALSE), VLOOKUP('Staging Table'!$A46, LS_previous!$B$4:$AY$137,LS_previous!AU$148, FALSE))/2)</f>
        <v>6691.16209457675</v>
      </c>
      <c r="AF46" s="102">
        <f t="array" ref="AF46">IF($G46=0, INDEX(LS_previous!$D$4:$AY$137, MATCH('Staging Table'!$A46, LS_previous!$B$4:$B$137, 0), MATCH(AF$4&amp;AF$5, LS_previous!$D$2:$AY$2&amp;LS_previous!$D$3:$AY$3, 0)),SUM(VLOOKUP($A46, LS_previous!$B$4:$AY$137, LS_previous!X$148, FALSE), VLOOKUP('Staging Table'!$A46, LS_previous!$B$4:$AY$137,LS_previous!AV$148, FALSE))/2)</f>
        <v>8810.9315521375502</v>
      </c>
      <c r="AG46" s="102">
        <f t="array" ref="AG46">IF($G46=0, INDEX(LS_previous!$D$4:$AY$137, MATCH('Staging Table'!$A46, LS_previous!$B$4:$B$137, 0), MATCH(AG$4&amp;AG$5, LS_previous!$D$2:$AY$2&amp;LS_previous!$D$3:$AY$3, 0)),SUM(VLOOKUP($A46, LS_previous!$B$4:$AY$137, LS_previous!Y$148, FALSE), VLOOKUP('Staging Table'!$A46, LS_previous!$B$4:$AY$137,LS_previous!AW$148, FALSE))/2)</f>
        <v>6061.3454865191452</v>
      </c>
      <c r="AH46" s="102">
        <f t="array" ref="AH46">IF($G46=0, INDEX(LS_previous!$D$4:$AY$137, MATCH('Staging Table'!$A46, LS_previous!$B$4:$B$137, 0), MATCH(AH$4&amp;AH$5, LS_previous!$D$2:$AY$2&amp;LS_previous!$D$3:$AY$3, 0)),SUM(VLOOKUP($A46, LS_previous!$B$4:$AY$137, LS_previous!Z$148, FALSE), VLOOKUP('Staging Table'!$A46, LS_previous!$B$4:$AY$137,LS_previous!AX$148, FALSE))/2)</f>
        <v>6752.6197859218009</v>
      </c>
      <c r="AI46" s="102">
        <f t="array" ref="AI46">IF($G46=0, INDEX(LS_previous!$D$4:$AY$137, MATCH('Staging Table'!$A46, LS_previous!$B$4:$B$137, 0), MATCH(AI$4&amp;AI$5, LS_previous!$D$2:$AY$2&amp;LS_previous!$D$3:$AY$3, 0)),SUM(VLOOKUP($A46, LS_previous!$B$4:$AY$137, LS_previous!AA$148, FALSE), VLOOKUP('Staging Table'!$A46, LS_previous!$B$4:$AY$137,LS_previous!AY$148, FALSE))/2)</f>
        <v>5608.7785808528006</v>
      </c>
      <c r="AJ46" s="103">
        <f t="array" ref="AJ46">INDEX(Demand_previous!$D$4:$AY$137, MATCH('Staging Table'!$A46, Demand_previous!$B$4:$B$137, 0), MATCH(AJ$4&amp;AJ$5,Demand_previous!$D$2:$AY$2&amp;Demand_previous!$D$3:$AY$3, 0))/1000</f>
        <v>2.8557524038461546</v>
      </c>
      <c r="AK46" s="103">
        <f t="array" ref="AK46">INDEX(Demand_previous!$D$4:$AY$137, MATCH('Staging Table'!$A46, Demand_previous!$B$4:$B$137, 0), MATCH(AK$4&amp;AK$5,Demand_previous!$D$2:$AY$2&amp;Demand_previous!$D$3:$AY$3, 0))/1000</f>
        <v>2.1858249999999986</v>
      </c>
      <c r="AL46" s="103">
        <f t="array" ref="AL46">INDEX(Demand_previous!$D$4:$AY$137, MATCH('Staging Table'!$A46, Demand_previous!$B$4:$B$137, 0), MATCH(AL$4&amp;AL$5,Demand_previous!$D$2:$AY$2&amp;Demand_previous!$D$3:$AY$3, 0))/1000</f>
        <v>4.0953249999999963</v>
      </c>
      <c r="AM46" s="103">
        <f t="array" ref="AM46">INDEX(Demand_previous!$D$4:$AY$137, MATCH('Staging Table'!$A46, Demand_previous!$B$4:$B$137, 0), MATCH(AM$4&amp;AM$5,Demand_previous!$D$2:$AY$2&amp;Demand_previous!$D$3:$AY$3, 0))/1000</f>
        <v>6.9722932692307733</v>
      </c>
      <c r="AN46" s="103">
        <f t="array" ref="AN46">INDEX(Demand_previous!$D$4:$AY$137, MATCH('Staging Table'!$A46, Demand_previous!$B$4:$B$137, 0), MATCH(AN$4&amp;AN$5,Demand_previous!$D$2:$AY$2&amp;Demand_previous!$D$3:$AY$3, 0))/1000</f>
        <v>3.480019999999997</v>
      </c>
      <c r="AO46" s="103">
        <f t="array" ref="AO46">INDEX(Demand_previous!$D$4:$AY$137, MATCH('Staging Table'!$A46, Demand_previous!$B$4:$B$137, 0), MATCH(AO$4&amp;AO$5,Demand_previous!$D$2:$AY$2&amp;Demand_previous!$D$3:$AY$3, 0))/1000</f>
        <v>8.0505000000000067</v>
      </c>
      <c r="AP46" s="103">
        <f t="array" ref="AP46">INDEX(Demand_previous!$D$4:$AY$137, MATCH('Staging Table'!$A46, Demand_previous!$B$4:$B$137, 0), MATCH(AP$4&amp;AP$5,Demand_previous!$D$2:$AY$2&amp;Demand_previous!$D$3:$AY$3, 0))/1000</f>
        <v>0</v>
      </c>
      <c r="AQ46" s="103">
        <f t="array" ref="AQ46">INDEX(Demand_previous!$D$4:$AY$137, MATCH('Staging Table'!$A46, Demand_previous!$B$4:$B$137, 0), MATCH(AQ$4&amp;AQ$5,Demand_previous!$D$2:$AY$2&amp;Demand_previous!$D$3:$AY$3, 0))/1000</f>
        <v>4.8634375000000016</v>
      </c>
      <c r="AR46" s="103">
        <f t="array" ref="AR46">INDEX(Demand_previous!$D$4:$AY$137, MATCH('Staging Table'!$A46, Demand_previous!$B$4:$B$137, 0), MATCH(AR$4&amp;AR$5,Demand_previous!$D$2:$AY$2&amp;Demand_previous!$D$3:$AY$3, 0))/1000</f>
        <v>0</v>
      </c>
      <c r="AS46" s="103">
        <f t="array" ref="AS46">INDEX(Demand_previous!$D$4:$AY$137, MATCH('Staging Table'!$A46, Demand_previous!$B$4:$B$137, 0), MATCH(AS$4&amp;AS$5,Demand_previous!$D$2:$AY$2&amp;Demand_previous!$D$3:$AY$3, 0))/1000</f>
        <v>11.5851875</v>
      </c>
      <c r="AT46" s="103">
        <f t="array" ref="AT46">INDEX(Demand_previous!$D$4:$AY$137, MATCH('Staging Table'!$A46, Demand_previous!$B$4:$B$137, 0), MATCH(AT$4&amp;AT$5,Demand_previous!$D$2:$AY$2&amp;Demand_previous!$D$3:$AY$3, 0))/1000</f>
        <v>0</v>
      </c>
      <c r="AU46" s="103">
        <f t="array" ref="AU46">INDEX(Demand_previous!$D$4:$AY$137, MATCH('Staging Table'!$A46, Demand_previous!$B$4:$B$137, 0), MATCH(AU$4&amp;AU$5,Demand_previous!$D$2:$AY$2&amp;Demand_previous!$D$3:$AY$3, 0))/1000</f>
        <v>6.6747343749999981</v>
      </c>
      <c r="AV46" s="102">
        <f>$F46*(VLOOKUP(AV$4, Rates_previous!$G$6:$Q$29, 10, FALSE)+VLOOKUP(AV$4, Rates_previous!$G$6:$Q$29, 11, FALSE))</f>
        <v>7401.04743879945</v>
      </c>
      <c r="AW46" s="102">
        <f>$F46*(VLOOKUP(AW$4, Rates_previous!$G$6:$Q$29, 10, FALSE)+VLOOKUP(AW$4, Rates_previous!$G$6:$Q$29, 11, FALSE))</f>
        <v>9438.7760018737026</v>
      </c>
      <c r="AX46" s="102">
        <f>$F46*(VLOOKUP(AX$4, Rates_previous!$G$6:$Q$29, 10, FALSE)+VLOOKUP(AX$4, Rates_previous!$G$6:$Q$29, 11, FALSE))</f>
        <v>10186.306872820502</v>
      </c>
      <c r="AY46" s="102">
        <f>$F46*(VLOOKUP(AY$4, Rates_previous!$G$6:$Q$29, 10, FALSE)+VLOOKUP(AY$4, Rates_previous!$G$6:$Q$29, 11, FALSE))</f>
        <v>10585.147519899201</v>
      </c>
      <c r="AZ46" s="102">
        <f>$F46*(VLOOKUP(AZ$4, Rates_previous!$G$6:$Q$29, 10, FALSE)+VLOOKUP(AZ$4, Rates_previous!$G$6:$Q$29, 11, FALSE))</f>
        <v>9104.6377772033993</v>
      </c>
      <c r="BA46" s="102">
        <f>$F46*(VLOOKUP(BA$4, Rates_previous!$G$6:$Q$29, 10, FALSE)+VLOOKUP(BA$4, Rates_previous!$G$6:$Q$29, 11, FALSE))</f>
        <v>9940.4618250813</v>
      </c>
      <c r="BB46" s="102">
        <f>$F46*(VLOOKUP(BB$4, Rates_previous!$G$6:$Q$29, 10, FALSE)+VLOOKUP(BB$4, Rates_previous!$G$6:$Q$29, 11, FALSE))</f>
        <v>7846.3194400162747</v>
      </c>
      <c r="BC46" s="102">
        <f>$F46*(VLOOKUP(BC$4, Rates_previous!$G$6:$Q$29, 10, FALSE)+VLOOKUP(BC$4, Rates_previous!$G$6:$Q$29, 11, FALSE))</f>
        <v>9734.4107212029503</v>
      </c>
      <c r="BD46" s="102">
        <f>$F46*(VLOOKUP(BD$4, Rates_previous!$G$6:$Q$29, 10, FALSE)+VLOOKUP(BD$4, Rates_previous!$G$6:$Q$29, 11, FALSE))</f>
        <v>9945.6231326911493</v>
      </c>
      <c r="BE46" s="102">
        <f>$F46*(VLOOKUP(BE$4, Rates_previous!$G$6:$Q$29, 10, FALSE)+VLOOKUP(BE$4, Rates_previous!$G$6:$Q$29, 11, FALSE))</f>
        <v>8634.2337290084506</v>
      </c>
      <c r="BF46" s="102">
        <f>$F46*(VLOOKUP(BF$4, Rates_previous!$G$6:$Q$29, 10, FALSE)+VLOOKUP(BF$4, Rates_previous!$G$6:$Q$29, 11, FALSE))</f>
        <v>8347.0089613433065</v>
      </c>
      <c r="BG46" s="102">
        <f>$F46*(VLOOKUP(BG$4, Rates_previous!$G$6:$Q$29, 10, FALSE)+VLOOKUP(BG$4, Rates_previous!$G$6:$Q$29, 11, FALSE))</f>
        <v>7680.8646332254011</v>
      </c>
      <c r="BH46" s="103">
        <f>IF($D46=0,IF(C46=0, MAX(BJ46 - (VLOOKUP($A46,TOCA_previous!$A$2:$AJ$136,MATCH("RHWM "&amp;Init!$D$1-2,TOCA_previous!$A$2:$AJ$2,0),FALSE)*$F$2*TOCA_previous!C43),0),0), 0)</f>
        <v>118647.08649892294</v>
      </c>
      <c r="BI46" s="109">
        <f>MIN(VLOOKUP($A46,TOCA_previous!$A$2:$AJ$136,MATCH("TRL - NLSL - Existing Resource "&amp;$F$1,TOCA_previous!$A$2:$AJ$2,0),FALSE)*$F$2,(VLOOKUP($A46,TOCA_previous!$A$2:$AJ$136,MATCH("RHWM "&amp;Init!$D$1-2,TOCA_previous!$A$2:$AJ$2,0),FALSE)*$F$2))</f>
        <v>106444.512</v>
      </c>
      <c r="BJ46" s="261">
        <f>SUM(L46:AI46)+(F46*RT1SC!$C$3*$F$2)</f>
        <v>225091.59849892295</v>
      </c>
      <c r="BK46" s="260">
        <f>VLOOKUP($A46,TOCA_previous!$A$2:$AJ$136,MATCH("Above RHWM Not Served with LS "&amp;$F$1,TOCA_previous!$A$2:$AJ$2,0),FALSE)*$F$2</f>
        <v>23857.344000000001</v>
      </c>
      <c r="BL46" s="261">
        <f t="shared" si="21"/>
        <v>118647.08649892294</v>
      </c>
      <c r="BM46" s="260">
        <f>(VLOOKUP($A46,TOCA_previous!$A$2:$AJ$136,MATCH("RHWM "&amp;Init!$D$1-2,TOCA_previous!$A$2:$AJ$2,0),FALSE)*$F$2) - $BI46</f>
        <v>0</v>
      </c>
      <c r="BN46" s="261">
        <f t="shared" si="22"/>
        <v>0</v>
      </c>
      <c r="BO46" s="260">
        <f t="shared" si="23"/>
        <v>0</v>
      </c>
      <c r="BP46" s="261">
        <f t="shared" si="24"/>
        <v>0</v>
      </c>
      <c r="BQ46" s="260">
        <f t="shared" si="9"/>
        <v>0</v>
      </c>
      <c r="BR46" s="85">
        <f>VLOOKUP($A46,TOCA_current!$A$2:$ZZ$136,MATCH(BR$4,TOCA_current!$A$2:$ZZ$2,0),FALSE)</f>
        <v>1.7143E-3</v>
      </c>
      <c r="BS46" s="85">
        <f>VLOOKUP($A46,TOCA_current!$A$2:$ZZ$136,MATCH(BS$4,TOCA_current!$A$2:$ZZ$2,0),FALSE)</f>
        <v>1.7143E-3</v>
      </c>
      <c r="BT46" s="108">
        <f t="shared" si="25"/>
        <v>0</v>
      </c>
      <c r="BU46" s="85">
        <f>VLOOKUP($A46,TOCA_current!A43:BG177,MATCH(BU$4,TOCA_current!$A$2:$BG$2,0),FALSE)</f>
        <v>0.16322038070233016</v>
      </c>
      <c r="BV46" s="85">
        <f t="shared" si="26"/>
        <v>0</v>
      </c>
      <c r="BW46" s="85">
        <f t="shared" si="27"/>
        <v>0</v>
      </c>
      <c r="BX46" s="101">
        <f>VLOOKUP($A46,IRD!$A$4:$G$138, 7, FALSE)</f>
        <v>21100.335000000003</v>
      </c>
      <c r="BY46" s="102">
        <f t="array" ref="BY46">IF($BT46=0, INDEX(LS_current!$D$4:$BW$137, MATCH('Staging Table'!$A46, LS_current!$B$4:$B$137, 0), MATCH(BY$4&amp;BY$5, LS_current!$D$2:$BW$2&amp;LS_current!$D$3:$BW$3, 0)),SUM(VLOOKUP($A46, LS_current!$B$4:$BW$137, LS_current!D$147, FALSE), VLOOKUP($A46, LS_current!$B$4:$BW$137,LS_current!AZ$147, FALSE))/2)</f>
        <v>-2619.5020568346636</v>
      </c>
      <c r="BZ46" s="102">
        <f t="array" ref="BZ46">IF($BT46=0, INDEX(LS_current!$D$4:$BW$137, MATCH('Staging Table'!$A46, LS_current!$B$4:$B$137, 0), MATCH(BZ$4&amp;BZ$5, LS_current!$D$2:$BW$2&amp;LS_current!$D$3:$BW$3, 0)),SUM(VLOOKUP($A46, LS_current!$B$4:$BW$137, LS_current!E$147, FALSE), VLOOKUP($A46, LS_current!$B$4:$BW$137,LS_current!BA$147, FALSE))/2)</f>
        <v>-1723.8819907210159</v>
      </c>
      <c r="CA46" s="102">
        <f t="array" ref="CA46">IF($BT46=0, INDEX(LS_current!$D$4:$BW$137, MATCH('Staging Table'!$A46, LS_current!$B$4:$B$137, 0), MATCH(CA$4&amp;CA$5, LS_current!$D$2:$BW$2&amp;LS_current!$D$3:$BW$3, 0)),SUM(VLOOKUP($A46, LS_current!$B$4:$BW$137, LS_current!F$147, FALSE), VLOOKUP($A46, LS_current!$B$4:$BW$137,LS_current!BB$147, FALSE))/2)</f>
        <v>-3110.7927171088159</v>
      </c>
      <c r="CB46" s="102">
        <f t="array" ref="CB46">IF($BT46=0, INDEX(LS_current!$D$4:$BW$137, MATCH('Staging Table'!$A46, LS_current!$B$4:$B$137, 0), MATCH(CB$4&amp;CB$5, LS_current!$D$2:$BW$2&amp;LS_current!$D$3:$BW$3, 0)),SUM(VLOOKUP($A46, LS_current!$B$4:$BW$137, LS_current!G$147, FALSE), VLOOKUP($A46, LS_current!$B$4:$BW$137,LS_current!BC$147, FALSE))/2)</f>
        <v>-2837.2855625721568</v>
      </c>
      <c r="CC46" s="102">
        <f t="array" ref="CC46">IF($BT46=0, INDEX(LS_current!$D$4:$BW$137, MATCH('Staging Table'!$A46, LS_current!$B$4:$B$137, 0), MATCH(CC$4&amp;CC$5, LS_current!$D$2:$BW$2&amp;LS_current!$D$3:$BW$3, 0)),SUM(VLOOKUP($A46, LS_current!$B$4:$BW$137, LS_current!H$147, FALSE), VLOOKUP($A46, LS_current!$B$4:$BW$137,LS_current!BD$147, FALSE))/2)</f>
        <v>-2499.2501444255531</v>
      </c>
      <c r="CD46" s="102">
        <f t="array" ref="CD46">IF($BT46=0, INDEX(LS_current!$D$4:$BW$137, MATCH('Staging Table'!$A46, LS_current!$B$4:$B$137, 0), MATCH(CD$4&amp;CD$5, LS_current!$D$2:$BW$2&amp;LS_current!$D$3:$BW$3, 0)),SUM(VLOOKUP($A46, LS_current!$B$4:$BW$137, LS_current!I$147, FALSE), VLOOKUP($A46, LS_current!$B$4:$BW$137,LS_current!BE$147, FALSE))/2)</f>
        <v>-1051.9581866266358</v>
      </c>
      <c r="CE46" s="102">
        <f t="array" ref="CE46">IF($BT46=0, INDEX(LS_current!$D$4:$BW$137, MATCH('Staging Table'!$A46, LS_current!$B$4:$B$137, 0), MATCH(CE$4&amp;CE$5, LS_current!$D$2:$BW$2&amp;LS_current!$D$3:$BW$3, 0)),SUM(VLOOKUP($A46, LS_current!$B$4:$BW$137, LS_current!J$147, FALSE), VLOOKUP($A46, LS_current!$B$4:$BW$137,LS_current!BF$147, FALSE))/2)</f>
        <v>-2315.6078059475794</v>
      </c>
      <c r="CF46" s="102">
        <f t="array" ref="CF46">IF($BT46=0, INDEX(LS_current!$D$4:$BW$137, MATCH('Staging Table'!$A46, LS_current!$B$4:$B$137, 0), MATCH(CF$4&amp;CF$5, LS_current!$D$2:$BW$2&amp;LS_current!$D$3:$BW$3, 0)),SUM(VLOOKUP($A46, LS_current!$B$4:$BW$137, LS_current!K$147, FALSE), VLOOKUP($A46, LS_current!$B$4:$BW$137,LS_current!BG$147, FALSE))/2)</f>
        <v>-464.91968344236557</v>
      </c>
      <c r="CG46" s="102">
        <f t="array" ref="CG46">IF($BT46=0, INDEX(LS_current!$D$4:$BW$137, MATCH('Staging Table'!$A46, LS_current!$B$4:$B$137, 0), MATCH(CG$4&amp;CG$5, LS_current!$D$2:$BW$2&amp;LS_current!$D$3:$BW$3, 0)),SUM(VLOOKUP($A46, LS_current!$B$4:$BW$137, LS_current!L$147, FALSE), VLOOKUP($A46, LS_current!$B$4:$BW$137,LS_current!BH$147, FALSE))/2)</f>
        <v>-2081.8567268471188</v>
      </c>
      <c r="CH46" s="102">
        <f t="array" ref="CH46">IF($BT46=0, INDEX(LS_current!$D$4:$BW$137, MATCH('Staging Table'!$A46, LS_current!$B$4:$B$137, 0), MATCH(CH$4&amp;CH$5, LS_current!$D$2:$BW$2&amp;LS_current!$D$3:$BW$3, 0)),SUM(VLOOKUP($A46, LS_current!$B$4:$BW$137, LS_current!M$147, FALSE), VLOOKUP($A46, LS_current!$B$4:$BW$137,LS_current!BI$147, FALSE))/2)</f>
        <v>-1105.9250667225178</v>
      </c>
      <c r="CI46" s="102">
        <f t="array" ref="CI46">IF($BT46=0, INDEX(LS_current!$D$4:$BW$137, MATCH('Staging Table'!$A46, LS_current!$B$4:$B$137, 0), MATCH(CI$4&amp;CI$5, LS_current!$D$2:$BW$2&amp;LS_current!$D$3:$BW$3, 0)),SUM(VLOOKUP($A46, LS_current!$B$4:$BW$137, LS_current!N$147, FALSE), VLOOKUP($A46, LS_current!$B$4:$BW$137,LS_current!BJ$147, FALSE))/2)</f>
        <v>-1195.7423062004736</v>
      </c>
      <c r="CJ46" s="102">
        <f t="array" ref="CJ46">IF($BT46=0, INDEX(LS_current!$D$4:$BW$137, MATCH('Staging Table'!$A46, LS_current!$B$4:$B$137, 0), MATCH(CJ$4&amp;CJ$5, LS_current!$D$2:$BW$2&amp;LS_current!$D$3:$BW$3, 0)),SUM(VLOOKUP($A46, LS_current!$B$4:$BW$137, LS_current!O$147, FALSE), VLOOKUP($A46, LS_current!$B$4:$BW$137,LS_current!BK$147, FALSE))/2)</f>
        <v>-412.2185511247435</v>
      </c>
      <c r="CK46" s="102">
        <f t="array" ref="CK46">IF($BT46=0, INDEX(LS_current!$D$4:$BW$137, MATCH('Staging Table'!$A46, LS_current!$B$4:$B$137, 0), MATCH(CK$4&amp;CK$5, LS_current!$D$2:$BW$2&amp;LS_current!$D$3:$BW$3, 0)),SUM(VLOOKUP($A46, LS_current!$B$4:$BW$137, LS_current!P$147, FALSE), VLOOKUP($A46, LS_current!$B$4:$BW$137,LS_current!BL$147, FALSE))/2)</f>
        <v>1583.5835469422682</v>
      </c>
      <c r="CL46" s="102">
        <f t="array" ref="CL46">IF($BT46=0, INDEX(LS_current!$D$4:$BW$137, MATCH('Staging Table'!$A46, LS_current!$B$4:$B$137, 0), MATCH(CL$4&amp;CL$5, LS_current!$D$2:$BW$2&amp;LS_current!$D$3:$BW$3, 0)),SUM(VLOOKUP($A46, LS_current!$B$4:$BW$137, LS_current!Q$147, FALSE), VLOOKUP($A46, LS_current!$B$4:$BW$137,LS_current!BM$147, FALSE))/2)</f>
        <v>1340.4332213281418</v>
      </c>
      <c r="CM46" s="102">
        <f t="array" ref="CM46">IF($BT46=0, INDEX(LS_current!$D$4:$BW$137, MATCH('Staging Table'!$A46, LS_current!$B$4:$B$137, 0), MATCH(CM$4&amp;CM$5, LS_current!$D$2:$BW$2&amp;LS_current!$D$3:$BW$3, 0)),SUM(VLOOKUP($A46, LS_current!$B$4:$BW$137, LS_current!R$147, FALSE), VLOOKUP($A46, LS_current!$B$4:$BW$137,LS_current!BN$147, FALSE))/2)</f>
        <v>1689.8565705742312</v>
      </c>
      <c r="CN46" s="102">
        <f t="array" ref="CN46">IF($BT46=0, INDEX(LS_current!$D$4:$BW$137, MATCH('Staging Table'!$A46, LS_current!$B$4:$B$137, 0), MATCH(CN$4&amp;CN$5, LS_current!$D$2:$BW$2&amp;LS_current!$D$3:$BW$3, 0)),SUM(VLOOKUP($A46, LS_current!$B$4:$BW$137, LS_current!S$147, FALSE), VLOOKUP($A46, LS_current!$B$4:$BW$137,LS_current!BO$147, FALSE))/2)</f>
        <v>1091.5129630060624</v>
      </c>
      <c r="CO46" s="102">
        <f t="array" ref="CO46">IF($BT46=0, INDEX(LS_current!$D$4:$BW$137, MATCH('Staging Table'!$A46, LS_current!$B$4:$B$137, 0), MATCH(CO$4&amp;CO$5, LS_current!$D$2:$BW$2&amp;LS_current!$D$3:$BW$3, 0)),SUM(VLOOKUP($A46, LS_current!$B$4:$BW$137, LS_current!T$147, FALSE), VLOOKUP($A46, LS_current!$B$4:$BW$137,LS_current!BP$147, FALSE))/2)</f>
        <v>1569.815189374297</v>
      </c>
      <c r="CP46" s="102">
        <f t="array" ref="CP46">IF($BT46=0, INDEX(LS_current!$D$4:$BW$137, MATCH('Staging Table'!$A46, LS_current!$B$4:$B$137, 0), MATCH(CP$4&amp;CP$5, LS_current!$D$2:$BW$2&amp;LS_current!$D$3:$BW$3, 0)),SUM(VLOOKUP($A46, LS_current!$B$4:$BW$137, LS_current!U$147, FALSE), VLOOKUP($A46, LS_current!$B$4:$BW$137,LS_current!BQ$147, FALSE))/2)</f>
        <v>1788.9495526625738</v>
      </c>
      <c r="CQ46" s="102">
        <f t="array" ref="CQ46">IF($BT46=0, INDEX(LS_current!$D$4:$BW$137, MATCH('Staging Table'!$A46, LS_current!$B$4:$B$137, 0), MATCH(CQ$4&amp;CQ$5, LS_current!$D$2:$BW$2&amp;LS_current!$D$3:$BW$3, 0)),SUM(VLOOKUP($A46, LS_current!$B$4:$BW$137, LS_current!V$147, FALSE), VLOOKUP($A46, LS_current!$B$4:$BW$137,LS_current!BR$147, FALSE))/2)</f>
        <v>2337.8158393782032</v>
      </c>
      <c r="CR46" s="102">
        <f t="array" ref="CR46">IF($BT46=0, INDEX(LS_current!$D$4:$BW$137, MATCH('Staging Table'!$A46, LS_current!$B$4:$B$137, 0), MATCH(CR$4&amp;CR$5, LS_current!$D$2:$BW$2&amp;LS_current!$D$3:$BW$3, 0)),SUM(VLOOKUP($A46, LS_current!$B$4:$BW$137, LS_current!W$147, FALSE), VLOOKUP($A46, LS_current!$B$4:$BW$137,LS_current!BS$147, FALSE))/2)</f>
        <v>2336.7471285785673</v>
      </c>
      <c r="CS46" s="102">
        <f t="array" ref="CS46">IF($BT46=0, INDEX(LS_current!$D$4:$BW$137, MATCH('Staging Table'!$A46, LS_current!$B$4:$B$137, 0), MATCH(CS$4&amp;CS$5, LS_current!$D$2:$BW$2&amp;LS_current!$D$3:$BW$3, 0)),SUM(VLOOKUP($A46, LS_current!$B$4:$BW$137, LS_current!X$147, FALSE), VLOOKUP($A46, LS_current!$B$4:$BW$137,LS_current!BT$147, FALSE))/2)</f>
        <v>2617.1418526657235</v>
      </c>
      <c r="CT46" s="102">
        <f t="array" ref="CT46">IF($BT46=0, INDEX(LS_current!$D$4:$BW$137, MATCH('Staging Table'!$A46, LS_current!$B$4:$B$137, 0), MATCH(CT$4&amp;CT$5, LS_current!$D$2:$BW$2&amp;LS_current!$D$3:$BW$3, 0)),SUM(VLOOKUP($A46, LS_current!$B$4:$BW$137, LS_current!Y$147, FALSE), VLOOKUP($A46, LS_current!$B$4:$BW$137,LS_current!BU$147, FALSE))/2)</f>
        <v>1655.9310259679492</v>
      </c>
      <c r="CU46" s="102">
        <f t="array" ref="CU46">IF($BT46=0, INDEX(LS_current!$D$4:$BW$137, MATCH('Staging Table'!$A46, LS_current!$B$4:$B$137, 0), MATCH(CU$4&amp;CU$5, LS_current!$D$2:$BW$2&amp;LS_current!$D$3:$BW$3, 0)),SUM(VLOOKUP($A46, LS_current!$B$4:$BW$137, LS_current!Z$147, FALSE), VLOOKUP($A46, LS_current!$B$4:$BW$137,LS_current!BV$147, FALSE))/2)</f>
        <v>1592.7236279115868</v>
      </c>
      <c r="CV46" s="102">
        <f t="array" ref="CV46">IF($BT46=0, INDEX(LS_current!$D$4:$BW$137, MATCH('Staging Table'!$A46, LS_current!$B$4:$B$137, 0), MATCH(CV$4&amp;CV$5, LS_current!$D$2:$BW$2&amp;LS_current!$D$3:$BW$3, 0)),SUM(VLOOKUP($A46, LS_current!$B$4:$BW$137, LS_current!AA$147, FALSE), VLOOKUP($A46, LS_current!$B$4:$BW$137,LS_current!BW$147, FALSE))/2)</f>
        <v>1813.7708386234067</v>
      </c>
      <c r="CW46" s="103">
        <f t="array" ref="CW46">INDEX(Demand_current!$D$4:$BW$137, MATCH($A46, Demand_current!$B$4:$B$137, 0), MATCH(CW$4&amp;CW$5,Demand_current!$D$2:$BW$2&amp;Demand_current!$D$3:$BW$3, 0))/1000</f>
        <v>3.641502314814816</v>
      </c>
      <c r="CX46" s="103">
        <f t="array" ref="CX46">INDEX(Demand_current!$D$4:$BW$137, MATCH($A46, Demand_current!$B$4:$B$137, 0), MATCH(CX$4&amp;CX$5,Demand_current!$D$2:$BW$2&amp;Demand_current!$D$3:$BW$3, 0))/1000</f>
        <v>1.2881927083333311</v>
      </c>
      <c r="CY46" s="103">
        <f t="array" ref="CY46">INDEX(Demand_current!$D$4:$BW$137, MATCH($A46, Demand_current!$B$4:$B$137, 0), MATCH(CY$4&amp;CY$5,Demand_current!$D$2:$BW$2&amp;Demand_current!$D$3:$BW$3, 0))/1000</f>
        <v>5.1416586538461511</v>
      </c>
      <c r="CZ46" s="103">
        <f t="array" ref="CZ46">INDEX(Demand_current!$D$4:$BW$137, MATCH($A46, Demand_current!$B$4:$B$137, 0), MATCH(CZ$4&amp;CZ$5,Demand_current!$D$2:$BW$2&amp;Demand_current!$D$3:$BW$3, 0))/1000</f>
        <v>6.9722932692307733</v>
      </c>
      <c r="DA46" s="103">
        <f t="array" ref="DA46">INDEX(Demand_current!$D$4:$BW$137, MATCH($A46, Demand_current!$B$4:$B$137, 0), MATCH(DA$4&amp;DA$5,Demand_current!$D$2:$BW$2&amp;Demand_current!$D$3:$BW$3, 0))/1000</f>
        <v>2.4712708333333326</v>
      </c>
      <c r="DB46" s="103">
        <f t="array" ref="DB46">INDEX(Demand_current!$D$4:$BW$137, MATCH($A46, Demand_current!$B$4:$B$137, 0), MATCH(DB$4&amp;DB$5,Demand_current!$D$2:$BW$2&amp;Demand_current!$D$3:$BW$3, 0))/1000</f>
        <v>8.0505000000000067</v>
      </c>
      <c r="DC46" s="103">
        <f t="array" ref="DC46">INDEX(Demand_current!$D$4:$BW$137, MATCH($A46, Demand_current!$B$4:$B$137, 0), MATCH(DC$4&amp;DC$5,Demand_current!$D$2:$BW$2&amp;Demand_current!$D$3:$BW$3, 0))/1000</f>
        <v>0</v>
      </c>
      <c r="DD46" s="103">
        <f t="array" ref="DD46">INDEX(Demand_current!$D$4:$BW$137, MATCH($A46, Demand_current!$B$4:$B$137, 0), MATCH(DD$4&amp;DD$5,Demand_current!$D$2:$BW$2&amp;Demand_current!$D$3:$BW$3, 0))/1000</f>
        <v>3.5215749999999963</v>
      </c>
      <c r="DE46" s="103">
        <f t="array" ref="DE46">INDEX(Demand_current!$D$4:$BW$137, MATCH($A46, Demand_current!$B$4:$B$137, 0), MATCH(DE$4&amp;DE$5,Demand_current!$D$2:$BW$2&amp;Demand_current!$D$3:$BW$3, 0))/1000</f>
        <v>0</v>
      </c>
      <c r="DF46" s="103">
        <f t="array" ref="DF46">INDEX(Demand_current!$D$4:$BW$137, MATCH($A46, Demand_current!$B$4:$B$137, 0), MATCH(DF$4&amp;DF$5,Demand_current!$D$2:$BW$2&amp;Demand_current!$D$3:$BW$3, 0))/1000</f>
        <v>11.5851875</v>
      </c>
      <c r="DG46" s="103">
        <f t="array" ref="DG46">INDEX(Demand_current!$D$4:$BW$137, MATCH($A46, Demand_current!$B$4:$B$137, 0), MATCH(DG$4&amp;DG$5,Demand_current!$D$2:$BW$2&amp;Demand_current!$D$3:$BW$3, 0))/1000</f>
        <v>0</v>
      </c>
      <c r="DH46" s="103">
        <f t="array" ref="DH46">INDEX(Demand_current!$D$4:$BW$137, MATCH($A46, Demand_current!$B$4:$B$137, 0), MATCH(DH$4&amp;DH$5,Demand_current!$D$2:$BW$2&amp;Demand_current!$D$3:$BW$3, 0))/1000</f>
        <v>7.9646249999999998</v>
      </c>
      <c r="DI46" s="102">
        <f>$BS46*(VLOOKUP(DI$4, Rates_current!$H$6:$R$41, 10, FALSE)+VLOOKUP(DI$4, Rates_current!$H$6:$R$41, 11, FALSE))</f>
        <v>7114.8380475556787</v>
      </c>
      <c r="DJ46" s="102">
        <f>$BS46*(VLOOKUP(DJ$4, Rates_current!$H$6:$R$41, 10, FALSE)+VLOOKUP(DJ$4, Rates_current!$H$6:$R$41, 11, FALSE))</f>
        <v>9096.0862796809724</v>
      </c>
      <c r="DK46" s="102">
        <f>$BS46*(VLOOKUP(DK$4, Rates_current!$H$6:$R$41, 10, FALSE)+VLOOKUP(DK$4, Rates_current!$H$6:$R$41, 11, FALSE))</f>
        <v>10341.489331052187</v>
      </c>
      <c r="DL46" s="102">
        <f>$BS46*(VLOOKUP(DL$4, Rates_current!$H$6:$R$41, 10, FALSE)+VLOOKUP(DL$4, Rates_current!$H$6:$R$41, 11, FALSE))</f>
        <v>10911.078489389942</v>
      </c>
      <c r="DM46" s="102">
        <f>$BS46*(VLOOKUP(DM$4, Rates_current!$H$6:$R$41, 10, FALSE)+VLOOKUP(DM$4, Rates_current!$H$6:$R$41, 11, FALSE))</f>
        <v>8695.1447935696378</v>
      </c>
      <c r="DN46" s="102">
        <f>$BS46*(VLOOKUP(DN$4, Rates_current!$H$6:$R$41, 10, FALSE)+VLOOKUP(DN$4, Rates_current!$H$6:$R$41, 11, FALSE))</f>
        <v>9505.5788573252157</v>
      </c>
      <c r="DO46" s="102">
        <f>$BS46*(VLOOKUP(DO$4, Rates_current!$H$6:$R$41, 10, FALSE)+VLOOKUP(DO$4, Rates_current!$H$6:$R$41, 11, FALSE))</f>
        <v>7366.9192317295892</v>
      </c>
      <c r="DP46" s="102">
        <f>$BS46*(VLOOKUP(DP$4, Rates_current!$H$6:$R$41, 10, FALSE)+VLOOKUP(DP$4, Rates_current!$H$6:$R$41, 11, FALSE))</f>
        <v>9534.0064664197052</v>
      </c>
      <c r="DQ46" s="102">
        <f>$BS46*(VLOOKUP(DQ$4, Rates_current!$H$6:$R$41, 10, FALSE)+VLOOKUP(DQ$4, Rates_current!$H$6:$R$41, 11, FALSE))</f>
        <v>9737.5852579631282</v>
      </c>
      <c r="DR46" s="102">
        <f>$BS46*(VLOOKUP(DR$4, Rates_current!$H$6:$R$41, 10, FALSE)+VLOOKUP(DR$4, Rates_current!$H$6:$R$41, 11, FALSE))</f>
        <v>8667.293032043226</v>
      </c>
      <c r="DS46" s="102">
        <f>$BS46*(VLOOKUP(DS$4, Rates_current!$H$6:$R$41, 10, FALSE)+VLOOKUP(DS$4, Rates_current!$H$6:$R$41, 11, FALSE))</f>
        <v>8891.0531213663253</v>
      </c>
      <c r="DT46" s="102">
        <f>$BS46*(VLOOKUP(DT$4, Rates_current!$H$6:$R$41, 10, FALSE)+VLOOKUP(DT$4, Rates_current!$H$6:$R$41, 11, FALSE))</f>
        <v>6904.9685334650076</v>
      </c>
      <c r="DU46" s="261">
        <f>IF(D46=0,IF(C46=0,MAX(0,DW46 - (VLOOKUP($A46,TOCA_current!$A$2:$AV$136,MATCH("RHWM "&amp;Init!$D$1,TOCA_current!$A$2:$AV$2,0),FALSE)*$BS$2)), 0),0)</f>
        <v>0</v>
      </c>
      <c r="DV46" s="262">
        <f>MIN(VLOOKUP($A46,TOCA_current!$A$2:$AV$136,MATCH("TRL - NLSL - Existing Resource "&amp;$BS$1,TOCA_current!$A$2:$AV$2,0),FALSE)*$BS$2, VLOOKUP($A46,TOCA_current!$A$2:$AV$136,MATCH("RHWM "&amp;Init!$D$1,TOCA_current!$A$2:$AV$2,0),FALSE)*$BS$2)</f>
        <v>106766.88</v>
      </c>
      <c r="DW46" s="262">
        <f>SUM(BY46:CV46)+(BS46*RT1SC!$C$4*$BS$2)</f>
        <v>106765.38830237537</v>
      </c>
      <c r="DX46" s="262">
        <f>VLOOKUP($A46,TOCA_current!$A$2:$AV$136,MATCH("Above RHWM Not Served with LS "&amp;$BS$1,TOCA_current!$A$2:$AV$2,0),FALSE)*$BS$2</f>
        <v>142183.56000000003</v>
      </c>
      <c r="DY46" s="262">
        <f t="shared" si="28"/>
        <v>-1.4916976246313425</v>
      </c>
      <c r="DZ46" s="262">
        <f>(VLOOKUP($A46,TOCA_current!$A$2:$AV$136,MATCH("RHWM "&amp;Init!$D$1,TOCA_current!$A$2:$AV$2,0),FALSE)*$BS$2) - $DV46</f>
        <v>0</v>
      </c>
      <c r="EA46" s="262">
        <f t="shared" si="29"/>
        <v>0</v>
      </c>
      <c r="EB46" s="262">
        <f t="shared" si="30"/>
        <v>0</v>
      </c>
      <c r="EC46" s="262">
        <f t="shared" si="31"/>
        <v>0</v>
      </c>
      <c r="ED46" s="262">
        <f t="shared" si="32"/>
        <v>0</v>
      </c>
    </row>
    <row r="47" spans="1:134">
      <c r="A47" s="2">
        <v>10111</v>
      </c>
      <c r="B47" s="3" t="s">
        <v>49</v>
      </c>
      <c r="C47">
        <f>VLOOKUP(A47, TOCA_current!$A$3:$D$136, 4, FALSE)</f>
        <v>0</v>
      </c>
      <c r="D47">
        <v>0</v>
      </c>
      <c r="E47" s="84">
        <f>VLOOKUP($A47,TOCA_previous!$A$2:$AJ$136,MATCH(E$4,TOCA_previous!$A$2:$AJ$2,0),FALSE)</f>
        <v>4.5409999999999998E-4</v>
      </c>
      <c r="F47" s="85">
        <f>VLOOKUP($A47,TOCA_previous!$A$2:$AJ$136,MATCH(F$4,TOCA_previous!$A$2:$AJ$2,0),FALSE)</f>
        <v>4.5409999999999998E-4</v>
      </c>
      <c r="G47" s="85">
        <f t="shared" si="18"/>
        <v>0</v>
      </c>
      <c r="H47" s="85">
        <f>VLOOKUP($A47,TOCA_previous!$A$2:$AJ$136,MATCH(H$4,TOCA_previous!$A$2:$AJ$2,0),FALSE)</f>
        <v>7.0000000000000007E-2</v>
      </c>
      <c r="I47" s="85">
        <f t="shared" si="19"/>
        <v>0</v>
      </c>
      <c r="J47" s="85">
        <f t="shared" si="20"/>
        <v>0</v>
      </c>
      <c r="K47" s="101">
        <f>VLOOKUP(A47, IRD!$A$5:$C$138, 3, FALSE)</f>
        <v>5227.6489999999994</v>
      </c>
      <c r="L47" s="102">
        <f t="array" ref="L47">IF($G47=0, INDEX(LS_previous!$D$4:$AY$137, MATCH('Staging Table'!$A47, LS_previous!$B$4:$B$137, 0), MATCH(L$4&amp;L$5, LS_previous!$D$2:$AY$2&amp;LS_previous!$D$3:$AY$3, 0)),SUM(VLOOKUP($A47, LS_previous!$B$4:$AY$137, LS_previous!D$148, FALSE), VLOOKUP('Staging Table'!$A47, LS_previous!$B$4:$AY$137,LS_previous!AB$148, FALSE))/2)</f>
        <v>-131.73183674760003</v>
      </c>
      <c r="M47" s="102">
        <f t="array" ref="M47">IF($G47=0, INDEX(LS_previous!$D$4:$AY$137, MATCH('Staging Table'!$A47, LS_previous!$B$4:$B$137, 0), MATCH(M$4&amp;M$5, LS_previous!$D$2:$AY$2&amp;LS_previous!$D$3:$AY$3, 0)),SUM(VLOOKUP($A47, LS_previous!$B$4:$AY$137, LS_previous!E$148, FALSE), VLOOKUP('Staging Table'!$A47, LS_previous!$B$4:$AY$137,LS_previous!AC$148, FALSE))/2)</f>
        <v>-102.76295134954989</v>
      </c>
      <c r="N47" s="102">
        <f t="array" ref="N47">IF($G47=0, INDEX(LS_previous!$D$4:$AY$137, MATCH('Staging Table'!$A47, LS_previous!$B$4:$B$137, 0), MATCH(N$4&amp;N$5, LS_previous!$D$2:$AY$2&amp;LS_previous!$D$3:$AY$3, 0)),SUM(VLOOKUP($A47, LS_previous!$B$4:$AY$137, LS_previous!F$148, FALSE), VLOOKUP('Staging Table'!$A47, LS_previous!$B$4:$AY$137,LS_previous!AD$148, FALSE))/2)</f>
        <v>-287.8506956448</v>
      </c>
      <c r="O47" s="102">
        <f t="array" ref="O47">IF($G47=0, INDEX(LS_previous!$D$4:$AY$137, MATCH('Staging Table'!$A47, LS_previous!$B$4:$B$137, 0), MATCH(O$4&amp;O$5, LS_previous!$D$2:$AY$2&amp;LS_previous!$D$3:$AY$3, 0)),SUM(VLOOKUP($A47, LS_previous!$B$4:$AY$137, LS_previous!G$148, FALSE), VLOOKUP('Staging Table'!$A47, LS_previous!$B$4:$AY$137,LS_previous!AE$148, FALSE))/2)</f>
        <v>38.161513662900006</v>
      </c>
      <c r="P47" s="102">
        <f t="array" ref="P47">IF($G47=0, INDEX(LS_previous!$D$4:$AY$137, MATCH('Staging Table'!$A47, LS_previous!$B$4:$B$137, 0), MATCH(P$4&amp;P$5, LS_previous!$D$2:$AY$2&amp;LS_previous!$D$3:$AY$3, 0)),SUM(VLOOKUP($A47, LS_previous!$B$4:$AY$137, LS_previous!H$148, FALSE), VLOOKUP('Staging Table'!$A47, LS_previous!$B$4:$AY$137,LS_previous!AF$148, FALSE))/2)</f>
        <v>-75.484574079900085</v>
      </c>
      <c r="Q47" s="102">
        <f t="array" ref="Q47">IF($G47=0, INDEX(LS_previous!$D$4:$AY$137, MATCH('Staging Table'!$A47, LS_previous!$B$4:$B$137, 0), MATCH(Q$4&amp;Q$5, LS_previous!$D$2:$AY$2&amp;LS_previous!$D$3:$AY$3, 0)),SUM(VLOOKUP($A47, LS_previous!$B$4:$AY$137, LS_previous!I$148, FALSE), VLOOKUP('Staging Table'!$A47, LS_previous!$B$4:$AY$137,LS_previous!AG$148, FALSE))/2)</f>
        <v>96.516262646400037</v>
      </c>
      <c r="R47" s="102">
        <f t="array" ref="R47">IF($G47=0, INDEX(LS_previous!$D$4:$AY$137, MATCH('Staging Table'!$A47, LS_previous!$B$4:$B$137, 0), MATCH(R$4&amp;R$5, LS_previous!$D$2:$AY$2&amp;LS_previous!$D$3:$AY$3, 0)),SUM(VLOOKUP($A47, LS_previous!$B$4:$AY$137, LS_previous!J$148, FALSE), VLOOKUP('Staging Table'!$A47, LS_previous!$B$4:$AY$137,LS_previous!AH$148, FALSE))/2)</f>
        <v>-191.40360778149989</v>
      </c>
      <c r="S47" s="102">
        <f t="array" ref="S47">IF($G47=0, INDEX(LS_previous!$D$4:$AY$137, MATCH('Staging Table'!$A47, LS_previous!$B$4:$B$137, 0), MATCH(S$4&amp;S$5, LS_previous!$D$2:$AY$2&amp;LS_previous!$D$3:$AY$3, 0)),SUM(VLOOKUP($A47, LS_previous!$B$4:$AY$137, LS_previous!K$148, FALSE), VLOOKUP('Staging Table'!$A47, LS_previous!$B$4:$AY$137,LS_previous!AI$148, FALSE))/2)</f>
        <v>82.394521031100112</v>
      </c>
      <c r="T47" s="102">
        <f t="array" ref="T47">IF($G47=0, INDEX(LS_previous!$D$4:$AY$137, MATCH('Staging Table'!$A47, LS_previous!$B$4:$B$137, 0), MATCH(T$4&amp;T$5, LS_previous!$D$2:$AY$2&amp;LS_previous!$D$3:$AY$3, 0)),SUM(VLOOKUP($A47, LS_previous!$B$4:$AY$137, LS_previous!L$148, FALSE), VLOOKUP('Staging Table'!$A47, LS_previous!$B$4:$AY$137,LS_previous!AJ$148, FALSE))/2)</f>
        <v>-133.2061286538999</v>
      </c>
      <c r="U47" s="102">
        <f t="array" ref="U47">IF($G47=0, INDEX(LS_previous!$D$4:$AY$137, MATCH('Staging Table'!$A47, LS_previous!$B$4:$B$137, 0), MATCH(U$4&amp;U$5, LS_previous!$D$2:$AY$2&amp;LS_previous!$D$3:$AY$3, 0)),SUM(VLOOKUP($A47, LS_previous!$B$4:$AY$137, LS_previous!M$148, FALSE), VLOOKUP('Staging Table'!$A47, LS_previous!$B$4:$AY$137,LS_previous!AK$148, FALSE))/2)</f>
        <v>120.34352041810007</v>
      </c>
      <c r="V47" s="102">
        <f t="array" ref="V47">IF($G47=0, INDEX(LS_previous!$D$4:$AY$137, MATCH('Staging Table'!$A47, LS_previous!$B$4:$B$137, 0), MATCH(V$4&amp;V$5, LS_previous!$D$2:$AY$2&amp;LS_previous!$D$3:$AY$3, 0)),SUM(VLOOKUP($A47, LS_previous!$B$4:$AY$137, LS_previous!N$148, FALSE), VLOOKUP('Staging Table'!$A47, LS_previous!$B$4:$AY$137,LS_previous!AL$148, FALSE))/2)</f>
        <v>-323.41726921329996</v>
      </c>
      <c r="W47" s="102">
        <f t="array" ref="W47">IF($G47=0, INDEX(LS_previous!$D$4:$AY$137, MATCH('Staging Table'!$A47, LS_previous!$B$4:$B$137, 0), MATCH(W$4&amp;W$5, LS_previous!$D$2:$AY$2&amp;LS_previous!$D$3:$AY$3, 0)),SUM(VLOOKUP($A47, LS_previous!$B$4:$AY$137, LS_previous!O$148, FALSE), VLOOKUP('Staging Table'!$A47, LS_previous!$B$4:$AY$137,LS_previous!AM$148, FALSE))/2)</f>
        <v>-57.910129389799863</v>
      </c>
      <c r="X47" s="102">
        <f t="array" ref="X47">IF($G47=0, INDEX(LS_previous!$D$4:$AY$137, MATCH('Staging Table'!$A47, LS_previous!$B$4:$B$137, 0), MATCH(X$4&amp;X$5, LS_previous!$D$2:$AY$2&amp;LS_previous!$D$3:$AY$3, 0)),SUM(VLOOKUP($A47, LS_previous!$B$4:$AY$137, LS_previous!P$148, FALSE), VLOOKUP('Staging Table'!$A47, LS_previous!$B$4:$AY$137,LS_previous!AN$148, FALSE))/2)</f>
        <v>-37.681371762749905</v>
      </c>
      <c r="Y47" s="102">
        <f t="array" ref="Y47">IF($G47=0, INDEX(LS_previous!$D$4:$AY$137, MATCH('Staging Table'!$A47, LS_previous!$B$4:$B$137, 0), MATCH(Y$4&amp;Y$5, LS_previous!$D$2:$AY$2&amp;LS_previous!$D$3:$AY$3, 0)),SUM(VLOOKUP($A47, LS_previous!$B$4:$AY$137, LS_previous!Q$148, FALSE), VLOOKUP('Staging Table'!$A47, LS_previous!$B$4:$AY$137,LS_previous!AO$148, FALSE))/2)</f>
        <v>5.6330670193251535</v>
      </c>
      <c r="Z47" s="102">
        <f t="array" ref="Z47">IF($G47=0, INDEX(LS_previous!$D$4:$AY$137, MATCH('Staging Table'!$A47, LS_previous!$B$4:$B$137, 0), MATCH(Z$4&amp;Z$5, LS_previous!$D$2:$AY$2&amp;LS_previous!$D$3:$AY$3, 0)),SUM(VLOOKUP($A47, LS_previous!$B$4:$AY$137, LS_previous!R$148, FALSE), VLOOKUP('Staging Table'!$A47, LS_previous!$B$4:$AY$137,LS_previous!AP$148, FALSE))/2)</f>
        <v>-356.95803067680004</v>
      </c>
      <c r="AA47" s="102">
        <f t="array" ref="AA47">IF($G47=0, INDEX(LS_previous!$D$4:$AY$137, MATCH('Staging Table'!$A47, LS_previous!$B$4:$B$137, 0), MATCH(AA$4&amp;AA$5, LS_previous!$D$2:$AY$2&amp;LS_previous!$D$3:$AY$3, 0)),SUM(VLOOKUP($A47, LS_previous!$B$4:$AY$137, LS_previous!S$148, FALSE), VLOOKUP('Staging Table'!$A47, LS_previous!$B$4:$AY$137,LS_previous!AQ$148, FALSE))/2)</f>
        <v>-74.348104874849923</v>
      </c>
      <c r="AB47" s="102">
        <f t="array" ref="AB47">IF($G47=0, INDEX(LS_previous!$D$4:$AY$137, MATCH('Staging Table'!$A47, LS_previous!$B$4:$B$137, 0), MATCH(AB$4&amp;AB$5, LS_previous!$D$2:$AY$2&amp;LS_previous!$D$3:$AY$3, 0)),SUM(VLOOKUP($A47, LS_previous!$B$4:$AY$137, LS_previous!T$148, FALSE), VLOOKUP('Staging Table'!$A47, LS_previous!$B$4:$AY$137,LS_previous!AR$148, FALSE))/2)</f>
        <v>-242.26259919659992</v>
      </c>
      <c r="AC47" s="102">
        <f t="array" ref="AC47">IF($G47=0, INDEX(LS_previous!$D$4:$AY$137, MATCH('Staging Table'!$A47, LS_previous!$B$4:$B$137, 0), MATCH(AC$4&amp;AC$5, LS_previous!$D$2:$AY$2&amp;LS_previous!$D$3:$AY$3, 0)),SUM(VLOOKUP($A47, LS_previous!$B$4:$AY$137, LS_previous!U$148, FALSE), VLOOKUP('Staging Table'!$A47, LS_previous!$B$4:$AY$137,LS_previous!AS$148, FALSE))/2)</f>
        <v>-81.385802248449977</v>
      </c>
      <c r="AD47" s="102">
        <f t="array" ref="AD47">IF($G47=0, INDEX(LS_previous!$D$4:$AY$137, MATCH('Staging Table'!$A47, LS_previous!$B$4:$B$137, 0), MATCH(AD$4&amp;AD$5, LS_previous!$D$2:$AY$2&amp;LS_previous!$D$3:$AY$3, 0)),SUM(VLOOKUP($A47, LS_previous!$B$4:$AY$137, LS_previous!V$148, FALSE), VLOOKUP('Staging Table'!$A47, LS_previous!$B$4:$AY$137,LS_previous!AT$148, FALSE))/2)</f>
        <v>488.42487596759997</v>
      </c>
      <c r="AE47" s="102">
        <f t="array" ref="AE47">IF($G47=0, INDEX(LS_previous!$D$4:$AY$137, MATCH('Staging Table'!$A47, LS_previous!$B$4:$B$137, 0), MATCH(AE$4&amp;AE$5, LS_previous!$D$2:$AY$2&amp;LS_previous!$D$3:$AY$3, 0)),SUM(VLOOKUP($A47, LS_previous!$B$4:$AY$137, LS_previous!W$148, FALSE), VLOOKUP('Staging Table'!$A47, LS_previous!$B$4:$AY$137,LS_previous!AU$148, FALSE))/2)</f>
        <v>449.84745485225005</v>
      </c>
      <c r="AF47" s="102">
        <f t="array" ref="AF47">IF($G47=0, INDEX(LS_previous!$D$4:$AY$137, MATCH('Staging Table'!$A47, LS_previous!$B$4:$B$137, 0), MATCH(AF$4&amp;AF$5, LS_previous!$D$2:$AY$2&amp;LS_previous!$D$3:$AY$3, 0)),SUM(VLOOKUP($A47, LS_previous!$B$4:$AY$137, LS_previous!X$148, FALSE), VLOOKUP('Staging Table'!$A47, LS_previous!$B$4:$AY$137,LS_previous!AV$148, FALSE))/2)</f>
        <v>292.52943312184993</v>
      </c>
      <c r="AG47" s="102">
        <f t="array" ref="AG47">IF($G47=0, INDEX(LS_previous!$D$4:$AY$137, MATCH('Staging Table'!$A47, LS_previous!$B$4:$B$137, 0), MATCH(AG$4&amp;AG$5, LS_previous!$D$2:$AY$2&amp;LS_previous!$D$3:$AY$3, 0)),SUM(VLOOKUP($A47, LS_previous!$B$4:$AY$137, LS_previous!Y$148, FALSE), VLOOKUP('Staging Table'!$A47, LS_previous!$B$4:$AY$137,LS_previous!AW$148, FALSE))/2)</f>
        <v>366.26993794011514</v>
      </c>
      <c r="AH47" s="102">
        <f t="array" ref="AH47">IF($G47=0, INDEX(LS_previous!$D$4:$AY$137, MATCH('Staging Table'!$A47, LS_previous!$B$4:$B$137, 0), MATCH(AH$4&amp;AH$5, LS_previous!$D$2:$AY$2&amp;LS_previous!$D$3:$AY$3, 0)),SUM(VLOOKUP($A47, LS_previous!$B$4:$AY$137, LS_previous!Z$148, FALSE), VLOOKUP('Staging Table'!$A47, LS_previous!$B$4:$AY$137,LS_previous!AX$148, FALSE))/2)</f>
        <v>59.960529776599969</v>
      </c>
      <c r="AI47" s="102">
        <f t="array" ref="AI47">IF($G47=0, INDEX(LS_previous!$D$4:$AY$137, MATCH('Staging Table'!$A47, LS_previous!$B$4:$B$137, 0), MATCH(AI$4&amp;AI$5, LS_previous!$D$2:$AY$2&amp;LS_previous!$D$3:$AY$3, 0)),SUM(VLOOKUP($A47, LS_previous!$B$4:$AY$137, LS_previous!AA$148, FALSE), VLOOKUP('Staging Table'!$A47, LS_previous!$B$4:$AY$137,LS_previous!AY$148, FALSE))/2)</f>
        <v>98.656089873600081</v>
      </c>
      <c r="AJ47" s="103">
        <f t="array" ref="AJ47">INDEX(Demand_previous!$D$4:$AY$137, MATCH('Staging Table'!$A47, Demand_previous!$B$4:$B$137, 0), MATCH(AJ$4&amp;AJ$5,Demand_previous!$D$2:$AY$2&amp;Demand_previous!$D$3:$AY$3, 0))/1000</f>
        <v>1.1294495192307692</v>
      </c>
      <c r="AK47" s="103">
        <f t="array" ref="AK47">INDEX(Demand_previous!$D$4:$AY$137, MATCH('Staging Table'!$A47, Demand_previous!$B$4:$B$137, 0), MATCH(AK$4&amp;AK$5,Demand_previous!$D$2:$AY$2&amp;Demand_previous!$D$3:$AY$3, 0))/1000</f>
        <v>0.42661749999999965</v>
      </c>
      <c r="AL47" s="103">
        <f t="array" ref="AL47">INDEX(Demand_previous!$D$4:$AY$137, MATCH('Staging Table'!$A47, Demand_previous!$B$4:$B$137, 0), MATCH(AL$4&amp;AL$5,Demand_previous!$D$2:$AY$2&amp;Demand_previous!$D$3:$AY$3, 0))/1000</f>
        <v>0.37208000000000019</v>
      </c>
      <c r="AM47" s="103">
        <f t="array" ref="AM47">INDEX(Demand_previous!$D$4:$AY$137, MATCH('Staging Table'!$A47, Demand_previous!$B$4:$B$137, 0), MATCH(AM$4&amp;AM$5,Demand_previous!$D$2:$AY$2&amp;Demand_previous!$D$3:$AY$3, 0))/1000</f>
        <v>1.1042740384615384</v>
      </c>
      <c r="AN47" s="103">
        <f t="array" ref="AN47">INDEX(Demand_previous!$D$4:$AY$137, MATCH('Staging Table'!$A47, Demand_previous!$B$4:$B$137, 0), MATCH(AN$4&amp;AN$5,Demand_previous!$D$2:$AY$2&amp;Demand_previous!$D$3:$AY$3, 0))/1000</f>
        <v>0.61269500000000021</v>
      </c>
      <c r="AO47" s="103">
        <f t="array" ref="AO47">INDEX(Demand_previous!$D$4:$AY$137, MATCH('Staging Table'!$A47, Demand_previous!$B$4:$B$137, 0), MATCH(AO$4&amp;AO$5,Demand_previous!$D$2:$AY$2&amp;Demand_previous!$D$3:$AY$3, 0))/1000</f>
        <v>0.61856009615384577</v>
      </c>
      <c r="AP47" s="103">
        <f t="array" ref="AP47">INDEX(Demand_previous!$D$4:$AY$137, MATCH('Staging Table'!$A47, Demand_previous!$B$4:$B$137, 0), MATCH(AP$4&amp;AP$5,Demand_previous!$D$2:$AY$2&amp;Demand_previous!$D$3:$AY$3, 0))/1000</f>
        <v>0</v>
      </c>
      <c r="AQ47" s="103">
        <f t="array" ref="AQ47">INDEX(Demand_previous!$D$4:$AY$137, MATCH('Staging Table'!$A47, Demand_previous!$B$4:$B$137, 0), MATCH(AQ$4&amp;AQ$5,Demand_previous!$D$2:$AY$2&amp;Demand_previous!$D$3:$AY$3, 0))/1000</f>
        <v>0.22144230769230788</v>
      </c>
      <c r="AR47" s="103">
        <f t="array" ref="AR47">INDEX(Demand_previous!$D$4:$AY$137, MATCH('Staging Table'!$A47, Demand_previous!$B$4:$B$137, 0), MATCH(AR$4&amp;AR$5,Demand_previous!$D$2:$AY$2&amp;Demand_previous!$D$3:$AY$3, 0))/1000</f>
        <v>0.41015749999999995</v>
      </c>
      <c r="AS47" s="103">
        <f t="array" ref="AS47">INDEX(Demand_previous!$D$4:$AY$137, MATCH('Staging Table'!$A47, Demand_previous!$B$4:$B$137, 0), MATCH(AS$4&amp;AS$5,Demand_previous!$D$2:$AY$2&amp;Demand_previous!$D$3:$AY$3, 0))/1000</f>
        <v>0.60397115384615374</v>
      </c>
      <c r="AT47" s="103">
        <f t="array" ref="AT47">INDEX(Demand_previous!$D$4:$AY$137, MATCH('Staging Table'!$A47, Demand_previous!$B$4:$B$137, 0), MATCH(AT$4&amp;AT$5,Demand_previous!$D$2:$AY$2&amp;Demand_previous!$D$3:$AY$3, 0))/1000</f>
        <v>1.1611504629629632</v>
      </c>
      <c r="AU47" s="103">
        <f t="array" ref="AU47">INDEX(Demand_previous!$D$4:$AY$137, MATCH('Staging Table'!$A47, Demand_previous!$B$4:$B$137, 0), MATCH(AU$4&amp;AU$5,Demand_previous!$D$2:$AY$2&amp;Demand_previous!$D$3:$AY$3, 0))/1000</f>
        <v>0.76855208333333347</v>
      </c>
      <c r="AV47" s="102">
        <f>$F47*(VLOOKUP(AV$4, Rates_previous!$G$6:$Q$29, 10, FALSE)+VLOOKUP(AV$4, Rates_previous!$G$6:$Q$29, 11, FALSE))</f>
        <v>1915.7587880971498</v>
      </c>
      <c r="AW47" s="102">
        <f>$F47*(VLOOKUP(AW$4, Rates_previous!$G$6:$Q$29, 10, FALSE)+VLOOKUP(AW$4, Rates_previous!$G$6:$Q$29, 11, FALSE))</f>
        <v>2443.2241819819001</v>
      </c>
      <c r="AX47" s="102">
        <f>$F47*(VLOOKUP(AX$4, Rates_previous!$G$6:$Q$29, 10, FALSE)+VLOOKUP(AX$4, Rates_previous!$G$6:$Q$29, 11, FALSE))</f>
        <v>2636.7223114335002</v>
      </c>
      <c r="AY47" s="102">
        <f>$F47*(VLOOKUP(AY$4, Rates_previous!$G$6:$Q$29, 10, FALSE)+VLOOKUP(AY$4, Rates_previous!$G$6:$Q$29, 11, FALSE))</f>
        <v>2739.9620867504</v>
      </c>
      <c r="AZ47" s="102">
        <f>$F47*(VLOOKUP(AZ$4, Rates_previous!$G$6:$Q$29, 10, FALSE)+VLOOKUP(AZ$4, Rates_previous!$G$6:$Q$29, 11, FALSE))</f>
        <v>2356.7326082357995</v>
      </c>
      <c r="BA47" s="102">
        <f>$F47*(VLOOKUP(BA$4, Rates_previous!$G$6:$Q$29, 10, FALSE)+VLOOKUP(BA$4, Rates_previous!$G$6:$Q$29, 11, FALSE))</f>
        <v>2573.0853986030997</v>
      </c>
      <c r="BB47" s="102">
        <f>$F47*(VLOOKUP(BB$4, Rates_previous!$G$6:$Q$29, 10, FALSE)+VLOOKUP(BB$4, Rates_previous!$G$6:$Q$29, 11, FALSE))</f>
        <v>2031.0173047434248</v>
      </c>
      <c r="BC47" s="102">
        <f>$F47*(VLOOKUP(BC$4, Rates_previous!$G$6:$Q$29, 10, FALSE)+VLOOKUP(BC$4, Rates_previous!$G$6:$Q$29, 11, FALSE))</f>
        <v>2519.7491355516499</v>
      </c>
      <c r="BD47" s="102">
        <f>$F47*(VLOOKUP(BD$4, Rates_previous!$G$6:$Q$29, 10, FALSE)+VLOOKUP(BD$4, Rates_previous!$G$6:$Q$29, 11, FALSE))</f>
        <v>2574.4214014450499</v>
      </c>
      <c r="BE47" s="102">
        <f>$F47*(VLOOKUP(BE$4, Rates_previous!$G$6:$Q$29, 10, FALSE)+VLOOKUP(BE$4, Rates_previous!$G$6:$Q$29, 11, FALSE))</f>
        <v>2234.9686691801498</v>
      </c>
      <c r="BF47" s="102">
        <f>$F47*(VLOOKUP(BF$4, Rates_previous!$G$6:$Q$29, 10, FALSE)+VLOOKUP(BF$4, Rates_previous!$G$6:$Q$29, 11, FALSE))</f>
        <v>2160.6206289380352</v>
      </c>
      <c r="BG47" s="102">
        <f>$F47*(VLOOKUP(BG$4, Rates_previous!$G$6:$Q$29, 10, FALSE)+VLOOKUP(BG$4, Rates_previous!$G$6:$Q$29, 11, FALSE))</f>
        <v>1988.1893803498001</v>
      </c>
      <c r="BH47" s="103">
        <f>IF($D47=0,IF(C47=0, MAX(BJ47 - (VLOOKUP($A47,TOCA_previous!$A$2:$AJ$136,MATCH("RHWM "&amp;Init!$D$1-2,TOCA_previous!$A$2:$AJ$2,0),FALSE)*$F$2*TOCA_previous!C44),0),0), 0)</f>
        <v>0</v>
      </c>
      <c r="BI47" s="109">
        <f>MIN(VLOOKUP($A47,TOCA_previous!$A$2:$AJ$136,MATCH("TRL - NLSL - Existing Resource "&amp;$F$1,TOCA_previous!$A$2:$AJ$2,0),FALSE)*$F$2,(VLOOKUP($A47,TOCA_previous!$A$2:$AJ$136,MATCH("RHWM "&amp;Init!$D$1-2,TOCA_previous!$A$2:$AJ$2,0),FALSE)*$F$2))</f>
        <v>27555.407999999999</v>
      </c>
      <c r="BJ47" s="261">
        <f>SUM(L47:AI47)+(F47*RT1SC!$C$3*$F$2)</f>
        <v>28176.786129146039</v>
      </c>
      <c r="BK47" s="260">
        <f>VLOOKUP($A47,TOCA_previous!$A$2:$AJ$136,MATCH("Above RHWM Not Served with LS "&amp;$F$1,TOCA_previous!$A$2:$AJ$2,0),FALSE)*$F$2</f>
        <v>0</v>
      </c>
      <c r="BL47" s="261">
        <f t="shared" si="21"/>
        <v>621.37812914604001</v>
      </c>
      <c r="BM47" s="260">
        <f>(VLOOKUP($A47,TOCA_previous!$A$2:$AJ$136,MATCH("RHWM "&amp;Init!$D$1-2,TOCA_previous!$A$2:$AJ$2,0),FALSE)*$F$2) - $BI47</f>
        <v>860.83199999999852</v>
      </c>
      <c r="BN47" s="261">
        <f t="shared" si="22"/>
        <v>-621.37812914604001</v>
      </c>
      <c r="BO47" s="260">
        <f t="shared" si="23"/>
        <v>0</v>
      </c>
      <c r="BP47" s="261">
        <f t="shared" si="24"/>
        <v>0</v>
      </c>
      <c r="BQ47" s="260">
        <f t="shared" si="9"/>
        <v>-621.37812914604001</v>
      </c>
      <c r="BR47" s="85">
        <f>VLOOKUP($A47,TOCA_current!$A$2:$ZZ$136,MATCH(BR$4,TOCA_current!$A$2:$ZZ$2,0),FALSE)</f>
        <v>4.5249999999999999E-4</v>
      </c>
      <c r="BS47" s="85">
        <f>VLOOKUP($A47,TOCA_current!$A$2:$ZZ$136,MATCH(BS$4,TOCA_current!$A$2:$ZZ$2,0),FALSE)</f>
        <v>4.5249999999999999E-4</v>
      </c>
      <c r="BT47" s="108">
        <f t="shared" si="25"/>
        <v>0</v>
      </c>
      <c r="BU47" s="85">
        <f>VLOOKUP($A47,TOCA_current!A44:BG178,MATCH(BU$4,TOCA_current!$A$2:$BG$2,0),FALSE)</f>
        <v>7.0000000000000007E-2</v>
      </c>
      <c r="BV47" s="85">
        <f t="shared" si="26"/>
        <v>0</v>
      </c>
      <c r="BW47" s="85">
        <f t="shared" si="27"/>
        <v>0</v>
      </c>
      <c r="BX47" s="101">
        <f>VLOOKUP($A47,IRD!$A$4:$G$138, 7, FALSE)</f>
        <v>5227.6489999999994</v>
      </c>
      <c r="BY47" s="102">
        <f t="array" ref="BY47">IF($BT47=0, INDEX(LS_current!$D$4:$BW$137, MATCH('Staging Table'!$A47, LS_current!$B$4:$B$137, 0), MATCH(BY$4&amp;BY$5, LS_current!$D$2:$BW$2&amp;LS_current!$D$3:$BW$3, 0)),SUM(VLOOKUP($A47, LS_current!$B$4:$BW$137, LS_current!D$147, FALSE), VLOOKUP($A47, LS_current!$B$4:$BW$137,LS_current!AZ$147, FALSE))/2)</f>
        <v>-142.85133659084454</v>
      </c>
      <c r="BZ47" s="102">
        <f t="array" ref="BZ47">IF($BT47=0, INDEX(LS_current!$D$4:$BW$137, MATCH('Staging Table'!$A47, LS_current!$B$4:$B$137, 0), MATCH(BZ$4&amp;BZ$5, LS_current!$D$2:$BW$2&amp;LS_current!$D$3:$BW$3, 0)),SUM(VLOOKUP($A47, LS_current!$B$4:$BW$137, LS_current!E$147, FALSE), VLOOKUP($A47, LS_current!$B$4:$BW$137,LS_current!BA$147, FALSE))/2)</f>
        <v>-53.889806335681783</v>
      </c>
      <c r="CA47" s="102">
        <f t="array" ref="CA47">IF($BT47=0, INDEX(LS_current!$D$4:$BW$137, MATCH('Staging Table'!$A47, LS_current!$B$4:$B$137, 0), MATCH(CA$4&amp;CA$5, LS_current!$D$2:$BW$2&amp;LS_current!$D$3:$BW$3, 0)),SUM(VLOOKUP($A47, LS_current!$B$4:$BW$137, LS_current!F$147, FALSE), VLOOKUP($A47, LS_current!$B$4:$BW$137,LS_current!BB$147, FALSE))/2)</f>
        <v>-255.98064025651206</v>
      </c>
      <c r="CB47" s="102">
        <f t="array" ref="CB47">IF($BT47=0, INDEX(LS_current!$D$4:$BW$137, MATCH('Staging Table'!$A47, LS_current!$B$4:$B$137, 0), MATCH(CB$4&amp;CB$5, LS_current!$D$2:$BW$2&amp;LS_current!$D$3:$BW$3, 0)),SUM(VLOOKUP($A47, LS_current!$B$4:$BW$137, LS_current!G$147, FALSE), VLOOKUP($A47, LS_current!$B$4:$BW$137,LS_current!BC$147, FALSE))/2)</f>
        <v>48.547874080440693</v>
      </c>
      <c r="CC47" s="102">
        <f t="array" ref="CC47">IF($BT47=0, INDEX(LS_current!$D$4:$BW$137, MATCH('Staging Table'!$A47, LS_current!$B$4:$B$137, 0), MATCH(CC$4&amp;CC$5, LS_current!$D$2:$BW$2&amp;LS_current!$D$3:$BW$3, 0)),SUM(VLOOKUP($A47, LS_current!$B$4:$BW$137, LS_current!H$147, FALSE), VLOOKUP($A47, LS_current!$B$4:$BW$137,LS_current!BD$147, FALSE))/2)</f>
        <v>-226.60358335913384</v>
      </c>
      <c r="CD47" s="102">
        <f t="array" ref="CD47">IF($BT47=0, INDEX(LS_current!$D$4:$BW$137, MATCH('Staging Table'!$A47, LS_current!$B$4:$B$137, 0), MATCH(CD$4&amp;CD$5, LS_current!$D$2:$BW$2&amp;LS_current!$D$3:$BW$3, 0)),SUM(VLOOKUP($A47, LS_current!$B$4:$BW$137, LS_current!I$147, FALSE), VLOOKUP($A47, LS_current!$B$4:$BW$137,LS_current!BE$147, FALSE))/2)</f>
        <v>154.65804284632088</v>
      </c>
      <c r="CE47" s="102">
        <f t="array" ref="CE47">IF($BT47=0, INDEX(LS_current!$D$4:$BW$137, MATCH('Staging Table'!$A47, LS_current!$B$4:$B$137, 0), MATCH(CE$4&amp;CE$5, LS_current!$D$2:$BW$2&amp;LS_current!$D$3:$BW$3, 0)),SUM(VLOOKUP($A47, LS_current!$B$4:$BW$137, LS_current!J$147, FALSE), VLOOKUP($A47, LS_current!$B$4:$BW$137,LS_current!BF$147, FALSE))/2)</f>
        <v>-310.34255322363606</v>
      </c>
      <c r="CF47" s="102">
        <f t="array" ref="CF47">IF($BT47=0, INDEX(LS_current!$D$4:$BW$137, MATCH('Staging Table'!$A47, LS_current!$B$4:$B$137, 0), MATCH(CF$4&amp;CF$5, LS_current!$D$2:$BW$2&amp;LS_current!$D$3:$BW$3, 0)),SUM(VLOOKUP($A47, LS_current!$B$4:$BW$137, LS_current!K$147, FALSE), VLOOKUP($A47, LS_current!$B$4:$BW$137,LS_current!BG$147, FALSE))/2)</f>
        <v>61.249460679187223</v>
      </c>
      <c r="CG47" s="102">
        <f t="array" ref="CG47">IF($BT47=0, INDEX(LS_current!$D$4:$BW$137, MATCH('Staging Table'!$A47, LS_current!$B$4:$B$137, 0), MATCH(CG$4&amp;CG$5, LS_current!$D$2:$BW$2&amp;LS_current!$D$3:$BW$3, 0)),SUM(VLOOKUP($A47, LS_current!$B$4:$BW$137, LS_current!L$147, FALSE), VLOOKUP($A47, LS_current!$B$4:$BW$137,LS_current!BH$147, FALSE))/2)</f>
        <v>-95.185489294943409</v>
      </c>
      <c r="CH47" s="102">
        <f t="array" ref="CH47">IF($BT47=0, INDEX(LS_current!$D$4:$BW$137, MATCH('Staging Table'!$A47, LS_current!$B$4:$B$137, 0), MATCH(CH$4&amp;CH$5, LS_current!$D$2:$BW$2&amp;LS_current!$D$3:$BW$3, 0)),SUM(VLOOKUP($A47, LS_current!$B$4:$BW$137, LS_current!M$147, FALSE), VLOOKUP($A47, LS_current!$B$4:$BW$137,LS_current!BI$147, FALSE))/2)</f>
        <v>143.91868763230514</v>
      </c>
      <c r="CI47" s="102">
        <f t="array" ref="CI47">IF($BT47=0, INDEX(LS_current!$D$4:$BW$137, MATCH('Staging Table'!$A47, LS_current!$B$4:$B$137, 0), MATCH(CI$4&amp;CI$5, LS_current!$D$2:$BW$2&amp;LS_current!$D$3:$BW$3, 0)),SUM(VLOOKUP($A47, LS_current!$B$4:$BW$137, LS_current!N$147, FALSE), VLOOKUP($A47, LS_current!$B$4:$BW$137,LS_current!BJ$147, FALSE))/2)</f>
        <v>-388.61915782285132</v>
      </c>
      <c r="CJ47" s="102">
        <f t="array" ref="CJ47">IF($BT47=0, INDEX(LS_current!$D$4:$BW$137, MATCH('Staging Table'!$A47, LS_current!$B$4:$B$137, 0), MATCH(CJ$4&amp;CJ$5, LS_current!$D$2:$BW$2&amp;LS_current!$D$3:$BW$3, 0)),SUM(VLOOKUP($A47, LS_current!$B$4:$BW$137, LS_current!O$147, FALSE), VLOOKUP($A47, LS_current!$B$4:$BW$137,LS_current!BK$147, FALSE))/2)</f>
        <v>71.321314073413873</v>
      </c>
      <c r="CK47" s="102">
        <f t="array" ref="CK47">IF($BT47=0, INDEX(LS_current!$D$4:$BW$137, MATCH('Staging Table'!$A47, LS_current!$B$4:$B$137, 0), MATCH(CK$4&amp;CK$5, LS_current!$D$2:$BW$2&amp;LS_current!$D$3:$BW$3, 0)),SUM(VLOOKUP($A47, LS_current!$B$4:$BW$137, LS_current!P$147, FALSE), VLOOKUP($A47, LS_current!$B$4:$BW$137,LS_current!BL$147, FALSE))/2)</f>
        <v>1.2878931291936624</v>
      </c>
      <c r="CL47" s="102">
        <f t="array" ref="CL47">IF($BT47=0, INDEX(LS_current!$D$4:$BW$137, MATCH('Staging Table'!$A47, LS_current!$B$4:$B$137, 0), MATCH(CL$4&amp;CL$5, LS_current!$D$2:$BW$2&amp;LS_current!$D$3:$BW$3, 0)),SUM(VLOOKUP($A47, LS_current!$B$4:$BW$137, LS_current!Q$147, FALSE), VLOOKUP($A47, LS_current!$B$4:$BW$137,LS_current!BM$147, FALSE))/2)</f>
        <v>53.137589191497682</v>
      </c>
      <c r="CM47" s="102">
        <f t="array" ref="CM47">IF($BT47=0, INDEX(LS_current!$D$4:$BW$137, MATCH('Staging Table'!$A47, LS_current!$B$4:$B$137, 0), MATCH(CM$4&amp;CM$5, LS_current!$D$2:$BW$2&amp;LS_current!$D$3:$BW$3, 0)),SUM(VLOOKUP($A47, LS_current!$B$4:$BW$137, LS_current!R$147, FALSE), VLOOKUP($A47, LS_current!$B$4:$BW$137,LS_current!BN$147, FALSE))/2)</f>
        <v>-349.66470023634179</v>
      </c>
      <c r="CN47" s="102">
        <f t="array" ref="CN47">IF($BT47=0, INDEX(LS_current!$D$4:$BW$137, MATCH('Staging Table'!$A47, LS_current!$B$4:$B$137, 0), MATCH(CN$4&amp;CN$5, LS_current!$D$2:$BW$2&amp;LS_current!$D$3:$BW$3, 0)),SUM(VLOOKUP($A47, LS_current!$B$4:$BW$137, LS_current!S$147, FALSE), VLOOKUP($A47, LS_current!$B$4:$BW$137,LS_current!BO$147, FALSE))/2)</f>
        <v>-78.451785299980543</v>
      </c>
      <c r="CO47" s="102">
        <f t="array" ref="CO47">IF($BT47=0, INDEX(LS_current!$D$4:$BW$137, MATCH('Staging Table'!$A47, LS_current!$B$4:$B$137, 0), MATCH(CO$4&amp;CO$5, LS_current!$D$2:$BW$2&amp;LS_current!$D$3:$BW$3, 0)),SUM(VLOOKUP($A47, LS_current!$B$4:$BW$137, LS_current!T$147, FALSE), VLOOKUP($A47, LS_current!$B$4:$BW$137,LS_current!BP$147, FALSE))/2)</f>
        <v>-300.83653252530485</v>
      </c>
      <c r="CP47" s="102">
        <f t="array" ref="CP47">IF($BT47=0, INDEX(LS_current!$D$4:$BW$137, MATCH('Staging Table'!$A47, LS_current!$B$4:$B$137, 0), MATCH(CP$4&amp;CP$5, LS_current!$D$2:$BW$2&amp;LS_current!$D$3:$BW$3, 0)),SUM(VLOOKUP($A47, LS_current!$B$4:$BW$137, LS_current!U$147, FALSE), VLOOKUP($A47, LS_current!$B$4:$BW$137,LS_current!BQ$147, FALSE))/2)</f>
        <v>-18.685823729910339</v>
      </c>
      <c r="CQ47" s="102">
        <f t="array" ref="CQ47">IF($BT47=0, INDEX(LS_current!$D$4:$BW$137, MATCH('Staging Table'!$A47, LS_current!$B$4:$B$137, 0), MATCH(CQ$4&amp;CQ$5, LS_current!$D$2:$BW$2&amp;LS_current!$D$3:$BW$3, 0)),SUM(VLOOKUP($A47, LS_current!$B$4:$BW$137, LS_current!V$147, FALSE), VLOOKUP($A47, LS_current!$B$4:$BW$137,LS_current!BR$147, FALSE))/2)</f>
        <v>431.5015618728562</v>
      </c>
      <c r="CR47" s="102">
        <f t="array" ref="CR47">IF($BT47=0, INDEX(LS_current!$D$4:$BW$137, MATCH('Staging Table'!$A47, LS_current!$B$4:$B$137, 0), MATCH(CR$4&amp;CR$5, LS_current!$D$2:$BW$2&amp;LS_current!$D$3:$BW$3, 0)),SUM(VLOOKUP($A47, LS_current!$B$4:$BW$137, LS_current!W$147, FALSE), VLOOKUP($A47, LS_current!$B$4:$BW$137,LS_current!BS$147, FALSE))/2)</f>
        <v>453.95427975372002</v>
      </c>
      <c r="CS47" s="102">
        <f t="array" ref="CS47">IF($BT47=0, INDEX(LS_current!$D$4:$BW$137, MATCH('Staging Table'!$A47, LS_current!$B$4:$B$137, 0), MATCH(CS$4&amp;CS$5, LS_current!$D$2:$BW$2&amp;LS_current!$D$3:$BW$3, 0)),SUM(VLOOKUP($A47, LS_current!$B$4:$BW$137, LS_current!X$147, FALSE), VLOOKUP($A47, LS_current!$B$4:$BW$137,LS_current!BT$147, FALSE))/2)</f>
        <v>103.15632259886888</v>
      </c>
      <c r="CT47" s="102">
        <f t="array" ref="CT47">IF($BT47=0, INDEX(LS_current!$D$4:$BW$137, MATCH('Staging Table'!$A47, LS_current!$B$4:$B$137, 0), MATCH(CT$4&amp;CT$5, LS_current!$D$2:$BW$2&amp;LS_current!$D$3:$BW$3, 0)),SUM(VLOOKUP($A47, LS_current!$B$4:$BW$137, LS_current!Y$147, FALSE), VLOOKUP($A47, LS_current!$B$4:$BW$137,LS_current!BU$147, FALSE))/2)</f>
        <v>369.41567097386542</v>
      </c>
      <c r="CU47" s="102">
        <f t="array" ref="CU47">IF($BT47=0, INDEX(LS_current!$D$4:$BW$137, MATCH('Staging Table'!$A47, LS_current!$B$4:$B$137, 0), MATCH(CU$4&amp;CU$5, LS_current!$D$2:$BW$2&amp;LS_current!$D$3:$BW$3, 0)),SUM(VLOOKUP($A47, LS_current!$B$4:$BW$137, LS_current!Z$147, FALSE), VLOOKUP($A47, LS_current!$B$4:$BW$137,LS_current!BV$147, FALSE))/2)</f>
        <v>112.96636751443339</v>
      </c>
      <c r="CV47" s="102">
        <f t="array" ref="CV47">IF($BT47=0, INDEX(LS_current!$D$4:$BW$137, MATCH('Staging Table'!$A47, LS_current!$B$4:$B$137, 0), MATCH(CV$4&amp;CV$5, LS_current!$D$2:$BW$2&amp;LS_current!$D$3:$BW$3, 0)),SUM(VLOOKUP($A47, LS_current!$B$4:$BW$137, LS_current!AA$147, FALSE), VLOOKUP($A47, LS_current!$B$4:$BW$137,LS_current!BW$147, FALSE))/2)</f>
        <v>211.2308350796776</v>
      </c>
      <c r="CW47" s="103">
        <f t="array" ref="CW47">INDEX(Demand_current!$D$4:$BW$137, MATCH($A47, Demand_current!$B$4:$B$137, 0), MATCH(CW$4&amp;CW$5,Demand_current!$D$2:$BW$2&amp;Demand_current!$D$3:$BW$3, 0))/1000</f>
        <v>1.2209143518518517</v>
      </c>
      <c r="CX47" s="103">
        <f t="array" ref="CX47">INDEX(Demand_current!$D$4:$BW$137, MATCH($A47, Demand_current!$B$4:$B$137, 0), MATCH(CX$4&amp;CX$5,Demand_current!$D$2:$BW$2&amp;Demand_current!$D$3:$BW$3, 0))/1000</f>
        <v>0.30218489583333308</v>
      </c>
      <c r="CY47" s="103">
        <f t="array" ref="CY47">INDEX(Demand_current!$D$4:$BW$137, MATCH($A47, Demand_current!$B$4:$B$137, 0), MATCH(CY$4&amp;CY$5,Demand_current!$D$2:$BW$2&amp;Demand_current!$D$3:$BW$3, 0))/1000</f>
        <v>0.51853846153846184</v>
      </c>
      <c r="CZ47" s="103">
        <f t="array" ref="CZ47">INDEX(Demand_current!$D$4:$BW$137, MATCH($A47, Demand_current!$B$4:$B$137, 0), MATCH(CZ$4&amp;CZ$5,Demand_current!$D$2:$BW$2&amp;Demand_current!$D$3:$BW$3, 0))/1000</f>
        <v>1.1042740384615384</v>
      </c>
      <c r="DA47" s="103">
        <f t="array" ref="DA47">INDEX(Demand_current!$D$4:$BW$137, MATCH($A47, Demand_current!$B$4:$B$137, 0), MATCH(DA$4&amp;DA$5,Demand_current!$D$2:$BW$2&amp;Demand_current!$D$3:$BW$3, 0))/1000</f>
        <v>0.4704739583333335</v>
      </c>
      <c r="DB47" s="103">
        <f t="array" ref="DB47">INDEX(Demand_current!$D$4:$BW$137, MATCH($A47, Demand_current!$B$4:$B$137, 0), MATCH(DB$4&amp;DB$5,Demand_current!$D$2:$BW$2&amp;Demand_current!$D$3:$BW$3, 0))/1000</f>
        <v>0.61856009615384577</v>
      </c>
      <c r="DC47" s="103">
        <f t="array" ref="DC47">INDEX(Demand_current!$D$4:$BW$137, MATCH($A47, Demand_current!$B$4:$B$137, 0), MATCH(DC$4&amp;DC$5,Demand_current!$D$2:$BW$2&amp;Demand_current!$D$3:$BW$3, 0))/1000</f>
        <v>0</v>
      </c>
      <c r="DD47" s="103">
        <f t="array" ref="DD47">INDEX(Demand_current!$D$4:$BW$137, MATCH($A47, Demand_current!$B$4:$B$137, 0), MATCH(DD$4&amp;DD$5,Demand_current!$D$2:$BW$2&amp;Demand_current!$D$3:$BW$3, 0))/1000</f>
        <v>0.10854000000000019</v>
      </c>
      <c r="DE47" s="103">
        <f t="array" ref="DE47">INDEX(Demand_current!$D$4:$BW$137, MATCH($A47, Demand_current!$B$4:$B$137, 0), MATCH(DE$4&amp;DE$5,Demand_current!$D$2:$BW$2&amp;Demand_current!$D$3:$BW$3, 0))/1000</f>
        <v>0.54230528846153847</v>
      </c>
      <c r="DF47" s="103">
        <f t="array" ref="DF47">INDEX(Demand_current!$D$4:$BW$137, MATCH($A47, Demand_current!$B$4:$B$137, 0), MATCH(DF$4&amp;DF$5,Demand_current!$D$2:$BW$2&amp;Demand_current!$D$3:$BW$3, 0))/1000</f>
        <v>0.60397115384615374</v>
      </c>
      <c r="DG47" s="103">
        <f t="array" ref="DG47">INDEX(Demand_current!$D$4:$BW$137, MATCH($A47, Demand_current!$B$4:$B$137, 0), MATCH(DG$4&amp;DG$5,Demand_current!$D$2:$BW$2&amp;Demand_current!$D$3:$BW$3, 0))/1000</f>
        <v>1.0130793269230769</v>
      </c>
      <c r="DH47" s="103">
        <f t="array" ref="DH47">INDEX(Demand_current!$D$4:$BW$137, MATCH($A47, Demand_current!$B$4:$B$137, 0), MATCH(DH$4&amp;DH$5,Demand_current!$D$2:$BW$2&amp;Demand_current!$D$3:$BW$3, 0))/1000</f>
        <v>0.89849000000000001</v>
      </c>
      <c r="DI47" s="102">
        <f>$BS47*(VLOOKUP(DI$4, Rates_current!$H$6:$R$41, 10, FALSE)+VLOOKUP(DI$4, Rates_current!$H$6:$R$41, 11, FALSE))</f>
        <v>1878.0051429265266</v>
      </c>
      <c r="DJ47" s="102">
        <f>$BS47*(VLOOKUP(DJ$4, Rates_current!$H$6:$R$41, 10, FALSE)+VLOOKUP(DJ$4, Rates_current!$H$6:$R$41, 11, FALSE))</f>
        <v>2400.9677661760716</v>
      </c>
      <c r="DK47" s="102">
        <f>$BS47*(VLOOKUP(DK$4, Rates_current!$H$6:$R$41, 10, FALSE)+VLOOKUP(DK$4, Rates_current!$H$6:$R$41, 11, FALSE))</f>
        <v>2729.6995405128127</v>
      </c>
      <c r="DL47" s="102">
        <f>$BS47*(VLOOKUP(DL$4, Rates_current!$H$6:$R$41, 10, FALSE)+VLOOKUP(DL$4, Rates_current!$H$6:$R$41, 11, FALSE))</f>
        <v>2880.046092544449</v>
      </c>
      <c r="DM47" s="102">
        <f>$BS47*(VLOOKUP(DM$4, Rates_current!$H$6:$R$41, 10, FALSE)+VLOOKUP(DM$4, Rates_current!$H$6:$R$41, 11, FALSE))</f>
        <v>2295.1368016626384</v>
      </c>
      <c r="DN47" s="102">
        <f>$BS47*(VLOOKUP(DN$4, Rates_current!$H$6:$R$41, 10, FALSE)+VLOOKUP(DN$4, Rates_current!$H$6:$R$41, 11, FALSE))</f>
        <v>2509.0558437494374</v>
      </c>
      <c r="DO47" s="102">
        <f>$BS47*(VLOOKUP(DO$4, Rates_current!$H$6:$R$41, 10, FALSE)+VLOOKUP(DO$4, Rates_current!$H$6:$R$41, 11, FALSE))</f>
        <v>1944.5435176793087</v>
      </c>
      <c r="DP47" s="102">
        <f>$BS47*(VLOOKUP(DP$4, Rates_current!$H$6:$R$41, 10, FALSE)+VLOOKUP(DP$4, Rates_current!$H$6:$R$41, 11, FALSE))</f>
        <v>2516.559485536322</v>
      </c>
      <c r="DQ47" s="102">
        <f>$BS47*(VLOOKUP(DQ$4, Rates_current!$H$6:$R$41, 10, FALSE)+VLOOKUP(DQ$4, Rates_current!$H$6:$R$41, 11, FALSE))</f>
        <v>2570.2953562552152</v>
      </c>
      <c r="DR47" s="102">
        <f>$BS47*(VLOOKUP(DR$4, Rates_current!$H$6:$R$41, 10, FALSE)+VLOOKUP(DR$4, Rates_current!$H$6:$R$41, 11, FALSE))</f>
        <v>2287.7851583734237</v>
      </c>
      <c r="DS47" s="102">
        <f>$BS47*(VLOOKUP(DS$4, Rates_current!$H$6:$R$41, 10, FALSE)+VLOOKUP(DS$4, Rates_current!$H$6:$R$41, 11, FALSE))</f>
        <v>2346.8480064272658</v>
      </c>
      <c r="DT47" s="102">
        <f>$BS47*(VLOOKUP(DT$4, Rates_current!$H$6:$R$41, 10, FALSE)+VLOOKUP(DT$4, Rates_current!$H$6:$R$41, 11, FALSE))</f>
        <v>1822.6087974058892</v>
      </c>
      <c r="DU47" s="261">
        <f>IF(D47=0,IF(C47=0,MAX(0,DW47 - (VLOOKUP($A47,TOCA_current!$A$2:$AV$136,MATCH("RHWM "&amp;Init!$D$1,TOCA_current!$A$2:$AV$2,0),FALSE)*$BS$2)), 0),0)</f>
        <v>0</v>
      </c>
      <c r="DV47" s="262">
        <f>MIN(VLOOKUP($A47,TOCA_current!$A$2:$AV$136,MATCH("TRL - NLSL - Existing Resource "&amp;$BS$1,TOCA_current!$A$2:$AV$2,0),FALSE)*$BS$2, VLOOKUP($A47,TOCA_current!$A$2:$AV$136,MATCH("RHWM "&amp;Init!$D$1,TOCA_current!$A$2:$AV$2,0),FALSE)*$BS$2)</f>
        <v>28180.920000000002</v>
      </c>
      <c r="DW47" s="262">
        <f>SUM(BY47:CV47)+(BS47*RT1SC!$C$4*$BS$2)</f>
        <v>28176.78766355064</v>
      </c>
      <c r="DX47" s="262">
        <f>VLOOKUP($A47,TOCA_current!$A$2:$AV$136,MATCH("Above RHWM Not Served with LS "&amp;$BS$1,TOCA_current!$A$2:$AV$2,0),FALSE)*$BS$2</f>
        <v>0</v>
      </c>
      <c r="DY47" s="262">
        <f t="shared" si="28"/>
        <v>-4.132336449361901</v>
      </c>
      <c r="DZ47" s="262">
        <f>(VLOOKUP($A47,TOCA_current!$A$2:$AV$136,MATCH("RHWM "&amp;Init!$D$1,TOCA_current!$A$2:$AV$2,0),FALSE)*$BS$2) - $DV47</f>
        <v>315.36000000000058</v>
      </c>
      <c r="EA47" s="262">
        <f t="shared" si="29"/>
        <v>0</v>
      </c>
      <c r="EB47" s="262">
        <f t="shared" si="30"/>
        <v>4.132336449361901</v>
      </c>
      <c r="EC47" s="262">
        <f t="shared" si="31"/>
        <v>0</v>
      </c>
      <c r="ED47" s="262">
        <f t="shared" si="32"/>
        <v>4.132336449361901</v>
      </c>
    </row>
    <row r="48" spans="1:134">
      <c r="A48" s="2">
        <v>10112</v>
      </c>
      <c r="B48" s="3" t="s">
        <v>50</v>
      </c>
      <c r="C48">
        <f>VLOOKUP(A48, TOCA_current!$A$3:$D$136, 4, FALSE)</f>
        <v>0</v>
      </c>
      <c r="D48">
        <v>0</v>
      </c>
      <c r="E48" s="84">
        <f>VLOOKUP($A48,TOCA_previous!$A$2:$AJ$136,MATCH(E$4,TOCA_previous!$A$2:$AJ$2,0),FALSE)</f>
        <v>8.4329000000000001E-3</v>
      </c>
      <c r="F48" s="85">
        <f>VLOOKUP($A48,TOCA_previous!$A$2:$AJ$136,MATCH(F$4,TOCA_previous!$A$2:$AJ$2,0),FALSE)</f>
        <v>8.4329000000000001E-3</v>
      </c>
      <c r="G48" s="85">
        <f t="shared" si="18"/>
        <v>0</v>
      </c>
      <c r="H48" s="85">
        <f>VLOOKUP($A48,TOCA_previous!$A$2:$AJ$136,MATCH(H$4,TOCA_previous!$A$2:$AJ$2,0),FALSE)</f>
        <v>0</v>
      </c>
      <c r="I48" s="85">
        <f t="shared" si="19"/>
        <v>0</v>
      </c>
      <c r="J48" s="85">
        <f t="shared" si="20"/>
        <v>0</v>
      </c>
      <c r="K48" s="101">
        <f>VLOOKUP(A48, IRD!$A$5:$C$138, 3, FALSE)</f>
        <v>0</v>
      </c>
      <c r="L48" s="102">
        <f t="array" ref="L48">IF($G48=0, INDEX(LS_previous!$D$4:$AY$137, MATCH('Staging Table'!$A48, LS_previous!$B$4:$B$137, 0), MATCH(L$4&amp;L$5, LS_previous!$D$2:$AY$2&amp;LS_previous!$D$3:$AY$3, 0)),SUM(VLOOKUP($A48, LS_previous!$B$4:$AY$137, LS_previous!D$148, FALSE), VLOOKUP('Staging Table'!$A48, LS_previous!$B$4:$AY$137,LS_previous!AB$148, FALSE))/2)</f>
        <v>3692.4436888155979</v>
      </c>
      <c r="M48" s="102">
        <f t="array" ref="M48">IF($G48=0, INDEX(LS_previous!$D$4:$AY$137, MATCH('Staging Table'!$A48, LS_previous!$B$4:$B$137, 0), MATCH(M$4&amp;M$5, LS_previous!$D$2:$AY$2&amp;LS_previous!$D$3:$AY$3, 0)),SUM(VLOOKUP($A48, LS_previous!$B$4:$AY$137, LS_previous!E$148, FALSE), VLOOKUP('Staging Table'!$A48, LS_previous!$B$4:$AY$137,LS_previous!AC$148, FALSE))/2)</f>
        <v>742.60207083104979</v>
      </c>
      <c r="N48" s="102">
        <f t="array" ref="N48">IF($G48=0, INDEX(LS_previous!$D$4:$AY$137, MATCH('Staging Table'!$A48, LS_previous!$B$4:$B$137, 0), MATCH(N$4&amp;N$5, LS_previous!$D$2:$AY$2&amp;LS_previous!$D$3:$AY$3, 0)),SUM(VLOOKUP($A48, LS_previous!$B$4:$AY$137, LS_previous!F$148, FALSE), VLOOKUP('Staging Table'!$A48, LS_previous!$B$4:$AY$137,LS_previous!AD$148, FALSE))/2)</f>
        <v>-1809.2451882912028</v>
      </c>
      <c r="O48" s="102">
        <f t="array" ref="O48">IF($G48=0, INDEX(LS_previous!$D$4:$AY$137, MATCH('Staging Table'!$A48, LS_previous!$B$4:$B$137, 0), MATCH(O$4&amp;O$5, LS_previous!$D$2:$AY$2&amp;LS_previous!$D$3:$AY$3, 0)),SUM(VLOOKUP($A48, LS_previous!$B$4:$AY$137, LS_previous!G$148, FALSE), VLOOKUP('Staging Table'!$A48, LS_previous!$B$4:$AY$137,LS_previous!AE$148, FALSE))/2)</f>
        <v>-582.34090735990321</v>
      </c>
      <c r="P48" s="102">
        <f t="array" ref="P48">IF($G48=0, INDEX(LS_previous!$D$4:$AY$137, MATCH('Staging Table'!$A48, LS_previous!$B$4:$B$137, 0), MATCH(P$4&amp;P$5, LS_previous!$D$2:$AY$2&amp;LS_previous!$D$3:$AY$3, 0)),SUM(VLOOKUP($A48, LS_previous!$B$4:$AY$137, LS_previous!H$148, FALSE), VLOOKUP('Staging Table'!$A48, LS_previous!$B$4:$AY$137,LS_previous!AF$148, FALSE))/2)</f>
        <v>2535.8638115868998</v>
      </c>
      <c r="Q48" s="102">
        <f t="array" ref="Q48">IF($G48=0, INDEX(LS_previous!$D$4:$AY$137, MATCH('Staging Table'!$A48, LS_previous!$B$4:$B$137, 0), MATCH(Q$4&amp;Q$5, LS_previous!$D$2:$AY$2&amp;LS_previous!$D$3:$AY$3, 0)),SUM(VLOOKUP($A48, LS_previous!$B$4:$AY$137, LS_previous!I$148, FALSE), VLOOKUP('Staging Table'!$A48, LS_previous!$B$4:$AY$137,LS_previous!AG$148, FALSE))/2)</f>
        <v>2531.0177610015999</v>
      </c>
      <c r="R48" s="102">
        <f t="array" ref="R48">IF($G48=0, INDEX(LS_previous!$D$4:$AY$137, MATCH('Staging Table'!$A48, LS_previous!$B$4:$B$137, 0), MATCH(R$4&amp;R$5, LS_previous!$D$2:$AY$2&amp;LS_previous!$D$3:$AY$3, 0)),SUM(VLOOKUP($A48, LS_previous!$B$4:$AY$137, LS_previous!J$148, FALSE), VLOOKUP('Staging Table'!$A48, LS_previous!$B$4:$AY$137,LS_previous!AH$148, FALSE))/2)</f>
        <v>1020.6403365765</v>
      </c>
      <c r="S48" s="102">
        <f t="array" ref="S48">IF($G48=0, INDEX(LS_previous!$D$4:$AY$137, MATCH('Staging Table'!$A48, LS_previous!$B$4:$B$137, 0), MATCH(S$4&amp;S$5, LS_previous!$D$2:$AY$2&amp;LS_previous!$D$3:$AY$3, 0)),SUM(VLOOKUP($A48, LS_previous!$B$4:$AY$137, LS_previous!K$148, FALSE), VLOOKUP('Staging Table'!$A48, LS_previous!$B$4:$AY$137,LS_previous!AI$148, FALSE))/2)</f>
        <v>2980.4748152458997</v>
      </c>
      <c r="T48" s="102">
        <f t="array" ref="T48">IF($G48=0, INDEX(LS_previous!$D$4:$AY$137, MATCH('Staging Table'!$A48, LS_previous!$B$4:$B$137, 0), MATCH(T$4&amp;T$5, LS_previous!$D$2:$AY$2&amp;LS_previous!$D$3:$AY$3, 0)),SUM(VLOOKUP($A48, LS_previous!$B$4:$AY$137, LS_previous!L$148, FALSE), VLOOKUP('Staging Table'!$A48, LS_previous!$B$4:$AY$137,LS_previous!AJ$148, FALSE))/2)</f>
        <v>289.58375198089925</v>
      </c>
      <c r="U48" s="102">
        <f t="array" ref="U48">IF($G48=0, INDEX(LS_previous!$D$4:$AY$137, MATCH('Staging Table'!$A48, LS_previous!$B$4:$B$137, 0), MATCH(U$4&amp;U$5, LS_previous!$D$2:$AY$2&amp;LS_previous!$D$3:$AY$3, 0)),SUM(VLOOKUP($A48, LS_previous!$B$4:$AY$137, LS_previous!M$148, FALSE), VLOOKUP('Staging Table'!$A48, LS_previous!$B$4:$AY$137,LS_previous!AK$148, FALSE))/2)</f>
        <v>1472.711769948899</v>
      </c>
      <c r="V48" s="102">
        <f t="array" ref="V48">IF($G48=0, INDEX(LS_previous!$D$4:$AY$137, MATCH('Staging Table'!$A48, LS_previous!$B$4:$B$137, 0), MATCH(V$4&amp;V$5, LS_previous!$D$2:$AY$2&amp;LS_previous!$D$3:$AY$3, 0)),SUM(VLOOKUP($A48, LS_previous!$B$4:$AY$137, LS_previous!N$148, FALSE), VLOOKUP('Staging Table'!$A48, LS_previous!$B$4:$AY$137,LS_previous!AL$148, FALSE))/2)</f>
        <v>54.435111982300441</v>
      </c>
      <c r="W48" s="102">
        <f t="array" ref="W48">IF($G48=0, INDEX(LS_previous!$D$4:$AY$137, MATCH('Staging Table'!$A48, LS_previous!$B$4:$B$137, 0), MATCH(W$4&amp;W$5, LS_previous!$D$2:$AY$2&amp;LS_previous!$D$3:$AY$3, 0)),SUM(VLOOKUP($A48, LS_previous!$B$4:$AY$137, LS_previous!O$148, FALSE), VLOOKUP('Staging Table'!$A48, LS_previous!$B$4:$AY$137,LS_previous!AM$148, FALSE))/2)</f>
        <v>-779.79321169620016</v>
      </c>
      <c r="X48" s="102">
        <f t="array" ref="X48">IF($G48=0, INDEX(LS_previous!$D$4:$AY$137, MATCH('Staging Table'!$A48, LS_previous!$B$4:$B$137, 0), MATCH(X$4&amp;X$5, LS_previous!$D$2:$AY$2&amp;LS_previous!$D$3:$AY$3, 0)),SUM(VLOOKUP($A48, LS_previous!$B$4:$AY$137, LS_previous!P$148, FALSE), VLOOKUP('Staging Table'!$A48, LS_previous!$B$4:$AY$137,LS_previous!AN$148, FALSE))/2)</f>
        <v>2893.9594531202529</v>
      </c>
      <c r="Y48" s="102">
        <f t="array" ref="Y48">IF($G48=0, INDEX(LS_previous!$D$4:$AY$137, MATCH('Staging Table'!$A48, LS_previous!$B$4:$B$137, 0), MATCH(Y$4&amp;Y$5, LS_previous!$D$2:$AY$2&amp;LS_previous!$D$3:$AY$3, 0)),SUM(VLOOKUP($A48, LS_previous!$B$4:$AY$137, LS_previous!Q$148, FALSE), VLOOKUP('Staging Table'!$A48, LS_previous!$B$4:$AY$137,LS_previous!AO$148, FALSE))/2)</f>
        <v>1116.6268984084272</v>
      </c>
      <c r="Z48" s="102">
        <f t="array" ref="Z48">IF($G48=0, INDEX(LS_previous!$D$4:$AY$137, MATCH('Staging Table'!$A48, LS_previous!$B$4:$B$137, 0), MATCH(Z$4&amp;Z$5, LS_previous!$D$2:$AY$2&amp;LS_previous!$D$3:$AY$3, 0)),SUM(VLOOKUP($A48, LS_previous!$B$4:$AY$137, LS_previous!R$148, FALSE), VLOOKUP('Staging Table'!$A48, LS_previous!$B$4:$AY$137,LS_previous!AP$148, FALSE))/2)</f>
        <v>-4438.1692974992002</v>
      </c>
      <c r="AA48" s="102">
        <f t="array" ref="AA48">IF($G48=0, INDEX(LS_previous!$D$4:$AY$137, MATCH('Staging Table'!$A48, LS_previous!$B$4:$B$137, 0), MATCH(AA$4&amp;AA$5, LS_previous!$D$2:$AY$2&amp;LS_previous!$D$3:$AY$3, 0)),SUM(VLOOKUP($A48, LS_previous!$B$4:$AY$137, LS_previous!S$148, FALSE), VLOOKUP('Staging Table'!$A48, LS_previous!$B$4:$AY$137,LS_previous!AQ$148, FALSE))/2)</f>
        <v>-2635.7465067146495</v>
      </c>
      <c r="AB48" s="102">
        <f t="array" ref="AB48">IF($G48=0, INDEX(LS_previous!$D$4:$AY$137, MATCH('Staging Table'!$A48, LS_previous!$B$4:$B$137, 0), MATCH(AB$4&amp;AB$5, LS_previous!$D$2:$AY$2&amp;LS_previous!$D$3:$AY$3, 0)),SUM(VLOOKUP($A48, LS_previous!$B$4:$AY$137, LS_previous!T$148, FALSE), VLOOKUP('Staging Table'!$A48, LS_previous!$B$4:$AY$137,LS_previous!AR$148, FALSE))/2)</f>
        <v>-5437.3728391654004</v>
      </c>
      <c r="AC48" s="102">
        <f t="array" ref="AC48">IF($G48=0, INDEX(LS_previous!$D$4:$AY$137, MATCH('Staging Table'!$A48, LS_previous!$B$4:$B$137, 0), MATCH(AC$4&amp;AC$5, LS_previous!$D$2:$AY$2&amp;LS_previous!$D$3:$AY$3, 0)),SUM(VLOOKUP($A48, LS_previous!$B$4:$AY$137, LS_previous!U$148, FALSE), VLOOKUP('Staging Table'!$A48, LS_previous!$B$4:$AY$137,LS_previous!AS$148, FALSE))/2)</f>
        <v>-3376.1026070930511</v>
      </c>
      <c r="AD48" s="102">
        <f t="array" ref="AD48">IF($G48=0, INDEX(LS_previous!$D$4:$AY$137, MATCH('Staging Table'!$A48, LS_previous!$B$4:$B$137, 0), MATCH(AD$4&amp;AD$5, LS_previous!$D$2:$AY$2&amp;LS_previous!$D$3:$AY$3, 0)),SUM(VLOOKUP($A48, LS_previous!$B$4:$AY$137, LS_previous!V$148, FALSE), VLOOKUP('Staging Table'!$A48, LS_previous!$B$4:$AY$137,LS_previous!AT$148, FALSE))/2)</f>
        <v>-294.30616263559932</v>
      </c>
      <c r="AE48" s="102">
        <f t="array" ref="AE48">IF($G48=0, INDEX(LS_previous!$D$4:$AY$137, MATCH('Staging Table'!$A48, LS_previous!$B$4:$B$137, 0), MATCH(AE$4&amp;AE$5, LS_previous!$D$2:$AY$2&amp;LS_previous!$D$3:$AY$3, 0)),SUM(VLOOKUP($A48, LS_previous!$B$4:$AY$137, LS_previous!W$148, FALSE), VLOOKUP('Staging Table'!$A48, LS_previous!$B$4:$AY$137,LS_previous!AU$148, FALSE))/2)</f>
        <v>735.08055455525027</v>
      </c>
      <c r="AF48" s="102">
        <f t="array" ref="AF48">IF($G48=0, INDEX(LS_previous!$D$4:$AY$137, MATCH('Staging Table'!$A48, LS_previous!$B$4:$B$137, 0), MATCH(AF$4&amp;AF$5, LS_previous!$D$2:$AY$2&amp;LS_previous!$D$3:$AY$3, 0)),SUM(VLOOKUP($A48, LS_previous!$B$4:$AY$137, LS_previous!X$148, FALSE), VLOOKUP('Staging Table'!$A48, LS_previous!$B$4:$AY$137,LS_previous!AV$148, FALSE))/2)</f>
        <v>2481.8968127576481</v>
      </c>
      <c r="AG48" s="102">
        <f t="array" ref="AG48">IF($G48=0, INDEX(LS_previous!$D$4:$AY$137, MATCH('Staging Table'!$A48, LS_previous!$B$4:$B$137, 0), MATCH(AG$4&amp;AG$5, LS_previous!$D$2:$AY$2&amp;LS_previous!$D$3:$AY$3, 0)),SUM(VLOOKUP($A48, LS_previous!$B$4:$AY$137, LS_previous!Y$148, FALSE), VLOOKUP('Staging Table'!$A48, LS_previous!$B$4:$AY$137,LS_previous!AW$148, FALSE))/2)</f>
        <v>1070.4187464329352</v>
      </c>
      <c r="AH48" s="102">
        <f t="array" ref="AH48">IF($G48=0, INDEX(LS_previous!$D$4:$AY$137, MATCH('Staging Table'!$A48, LS_previous!$B$4:$B$137, 0), MATCH(AH$4&amp;AH$5, LS_previous!$D$2:$AY$2&amp;LS_previous!$D$3:$AY$3, 0)),SUM(VLOOKUP($A48, LS_previous!$B$4:$AY$137, LS_previous!Z$148, FALSE), VLOOKUP('Staging Table'!$A48, LS_previous!$B$4:$AY$137,LS_previous!AX$148, FALSE))/2)</f>
        <v>1345.6570291853968</v>
      </c>
      <c r="AI48" s="102">
        <f t="array" ref="AI48">IF($G48=0, INDEX(LS_previous!$D$4:$AY$137, MATCH('Staging Table'!$A48, LS_previous!$B$4:$B$137, 0), MATCH(AI$4&amp;AI$5, LS_previous!$D$2:$AY$2&amp;LS_previous!$D$3:$AY$3, 0)),SUM(VLOOKUP($A48, LS_previous!$B$4:$AY$137, LS_previous!AA$148, FALSE), VLOOKUP('Staging Table'!$A48, LS_previous!$B$4:$AY$137,LS_previous!AY$148, FALSE))/2)</f>
        <v>240.7686828784008</v>
      </c>
      <c r="AJ48" s="103">
        <f t="array" ref="AJ48">INDEX(Demand_previous!$D$4:$AY$137, MATCH('Staging Table'!$A48, Demand_previous!$B$4:$B$137, 0), MATCH(AJ$4&amp;AJ$5,Demand_previous!$D$2:$AY$2&amp;Demand_previous!$D$3:$AY$3, 0))/1000</f>
        <v>7.598334134615377</v>
      </c>
      <c r="AK48" s="103">
        <f t="array" ref="AK48">INDEX(Demand_previous!$D$4:$AY$137, MATCH('Staging Table'!$A48, Demand_previous!$B$4:$B$137, 0), MATCH(AK$4&amp;AK$5,Demand_previous!$D$2:$AY$2&amp;Demand_previous!$D$3:$AY$3, 0))/1000</f>
        <v>8.2943750000000112</v>
      </c>
      <c r="AL48" s="103">
        <f t="array" ref="AL48">INDEX(Demand_previous!$D$4:$AY$137, MATCH('Staging Table'!$A48, Demand_previous!$B$4:$B$137, 0), MATCH(AL$4&amp;AL$5,Demand_previous!$D$2:$AY$2&amp;Demand_previous!$D$3:$AY$3, 0))/1000</f>
        <v>13.725579999999997</v>
      </c>
      <c r="AM48" s="103">
        <f t="array" ref="AM48">INDEX(Demand_previous!$D$4:$AY$137, MATCH('Staging Table'!$A48, Demand_previous!$B$4:$B$137, 0), MATCH(AM$4&amp;AM$5,Demand_previous!$D$2:$AY$2&amp;Demand_previous!$D$3:$AY$3, 0))/1000</f>
        <v>5.2788581730769248</v>
      </c>
      <c r="AN48" s="103">
        <f t="array" ref="AN48">INDEX(Demand_previous!$D$4:$AY$137, MATCH('Staging Table'!$A48, Demand_previous!$B$4:$B$137, 0), MATCH(AN$4&amp;AN$5,Demand_previous!$D$2:$AY$2&amp;Demand_previous!$D$3:$AY$3, 0))/1000</f>
        <v>13.784702499999996</v>
      </c>
      <c r="AO48" s="103">
        <f t="array" ref="AO48">INDEX(Demand_previous!$D$4:$AY$137, MATCH('Staging Table'!$A48, Demand_previous!$B$4:$B$137, 0), MATCH(AO$4&amp;AO$5,Demand_previous!$D$2:$AY$2&amp;Demand_previous!$D$3:$AY$3, 0))/1000</f>
        <v>5.0254759615384508</v>
      </c>
      <c r="AP48" s="103">
        <f t="array" ref="AP48">INDEX(Demand_previous!$D$4:$AY$137, MATCH('Staging Table'!$A48, Demand_previous!$B$4:$B$137, 0), MATCH(AP$4&amp;AP$5,Demand_previous!$D$2:$AY$2&amp;Demand_previous!$D$3:$AY$3, 0))/1000</f>
        <v>12.79436538461538</v>
      </c>
      <c r="AQ48" s="103">
        <f t="array" ref="AQ48">INDEX(Demand_previous!$D$4:$AY$137, MATCH('Staging Table'!$A48, Demand_previous!$B$4:$B$137, 0), MATCH(AQ$4&amp;AQ$5,Demand_previous!$D$2:$AY$2&amp;Demand_previous!$D$3:$AY$3, 0))/1000</f>
        <v>15.523247596153848</v>
      </c>
      <c r="AR48" s="103">
        <f t="array" ref="AR48">INDEX(Demand_previous!$D$4:$AY$137, MATCH('Staging Table'!$A48, Demand_previous!$B$4:$B$137, 0), MATCH(AR$4&amp;AR$5,Demand_previous!$D$2:$AY$2&amp;Demand_previous!$D$3:$AY$3, 0))/1000</f>
        <v>16.323455000000003</v>
      </c>
      <c r="AS48" s="103">
        <f t="array" ref="AS48">INDEX(Demand_previous!$D$4:$AY$137, MATCH('Staging Table'!$A48, Demand_previous!$B$4:$B$137, 0), MATCH(AS$4&amp;AS$5,Demand_previous!$D$2:$AY$2&amp;Demand_previous!$D$3:$AY$3, 0))/1000</f>
        <v>20.748456730769224</v>
      </c>
      <c r="AT48" s="103">
        <f t="array" ref="AT48">INDEX(Demand_previous!$D$4:$AY$137, MATCH('Staging Table'!$A48, Demand_previous!$B$4:$B$137, 0), MATCH(AT$4&amp;AT$5,Demand_previous!$D$2:$AY$2&amp;Demand_previous!$D$3:$AY$3, 0))/1000</f>
        <v>26.589027777777773</v>
      </c>
      <c r="AU48" s="103">
        <f t="array" ref="AU48">INDEX(Demand_previous!$D$4:$AY$137, MATCH('Staging Table'!$A48, Demand_previous!$B$4:$B$137, 0), MATCH(AU$4&amp;AU$5,Demand_previous!$D$2:$AY$2&amp;Demand_previous!$D$3:$AY$3, 0))/1000</f>
        <v>14.932869791666661</v>
      </c>
      <c r="AV48" s="102">
        <f>$F48*(VLOOKUP(AV$4, Rates_previous!$G$6:$Q$29, 10, FALSE)+VLOOKUP(AV$4, Rates_previous!$G$6:$Q$29, 11, FALSE))</f>
        <v>35576.750240353351</v>
      </c>
      <c r="AW48" s="102">
        <f>$F48*(VLOOKUP(AW$4, Rates_previous!$G$6:$Q$29, 10, FALSE)+VLOOKUP(AW$4, Rates_previous!$G$6:$Q$29, 11, FALSE))</f>
        <v>45372.08809565111</v>
      </c>
      <c r="AX48" s="102">
        <f>$F48*(VLOOKUP(AX$4, Rates_previous!$G$6:$Q$29, 10, FALSE)+VLOOKUP(AX$4, Rates_previous!$G$6:$Q$29, 11, FALSE))</f>
        <v>48965.460427411504</v>
      </c>
      <c r="AY48" s="102">
        <f>$F48*(VLOOKUP(AY$4, Rates_previous!$G$6:$Q$29, 10, FALSE)+VLOOKUP(AY$4, Rates_previous!$G$6:$Q$29, 11, FALSE))</f>
        <v>50882.682848177603</v>
      </c>
      <c r="AZ48" s="102">
        <f>$F48*(VLOOKUP(AZ$4, Rates_previous!$G$6:$Q$29, 10, FALSE)+VLOOKUP(AZ$4, Rates_previous!$G$6:$Q$29, 11, FALSE))</f>
        <v>43765.889478070196</v>
      </c>
      <c r="BA48" s="102">
        <f>$F48*(VLOOKUP(BA$4, Rates_previous!$G$6:$Q$29, 10, FALSE)+VLOOKUP(BA$4, Rates_previous!$G$6:$Q$29, 11, FALSE))</f>
        <v>47783.686099713901</v>
      </c>
      <c r="BB48" s="102">
        <f>$F48*(VLOOKUP(BB$4, Rates_previous!$G$6:$Q$29, 10, FALSE)+VLOOKUP(BB$4, Rates_previous!$G$6:$Q$29, 11, FALSE))</f>
        <v>37717.167648471324</v>
      </c>
      <c r="BC48" s="102">
        <f>$F48*(VLOOKUP(BC$4, Rates_previous!$G$6:$Q$29, 10, FALSE)+VLOOKUP(BC$4, Rates_previous!$G$6:$Q$29, 11, FALSE))</f>
        <v>46793.200804213855</v>
      </c>
      <c r="BD48" s="102">
        <f>$F48*(VLOOKUP(BD$4, Rates_previous!$G$6:$Q$29, 10, FALSE)+VLOOKUP(BD$4, Rates_previous!$G$6:$Q$29, 11, FALSE))</f>
        <v>47808.496446258447</v>
      </c>
      <c r="BE48" s="102">
        <f>$F48*(VLOOKUP(BE$4, Rates_previous!$G$6:$Q$29, 10, FALSE)+VLOOKUP(BE$4, Rates_previous!$G$6:$Q$29, 11, FALSE))</f>
        <v>41504.662608080347</v>
      </c>
      <c r="BF48" s="102">
        <f>$F48*(VLOOKUP(BF$4, Rates_previous!$G$6:$Q$29, 10, FALSE)+VLOOKUP(BF$4, Rates_previous!$G$6:$Q$29, 11, FALSE))</f>
        <v>40123.97644080942</v>
      </c>
      <c r="BG48" s="102">
        <f>$F48*(VLOOKUP(BG$4, Rates_previous!$G$6:$Q$29, 10, FALSE)+VLOOKUP(BG$4, Rates_previous!$G$6:$Q$29, 11, FALSE))</f>
        <v>36921.828287936201</v>
      </c>
      <c r="BH48" s="103">
        <f>IF($D48=0,IF(C48=0, MAX(BJ48 - (VLOOKUP($A48,TOCA_previous!$A$2:$AJ$136,MATCH("RHWM "&amp;Init!$D$1-2,TOCA_previous!$A$2:$AJ$2,0),FALSE)*$F$2*TOCA_previous!C45),0),0), 0)</f>
        <v>17398.996398316696</v>
      </c>
      <c r="BI48" s="109">
        <f>MIN(VLOOKUP($A48,TOCA_previous!$A$2:$AJ$136,MATCH("TRL - NLSL - Existing Resource "&amp;$F$1,TOCA_previous!$A$2:$AJ$2,0),FALSE)*$F$2,(VLOOKUP($A48,TOCA_previous!$A$2:$AJ$136,MATCH("RHWM "&amp;Init!$D$1-2,TOCA_previous!$A$2:$AJ$2,0),FALSE)*$F$2))</f>
        <v>511668</v>
      </c>
      <c r="BJ48" s="261">
        <f>SUM(L48:AI48)+(F48*RT1SC!$C$3*$F$2)</f>
        <v>529066.9963983167</v>
      </c>
      <c r="BK48" s="260">
        <f>VLOOKUP($A48,TOCA_previous!$A$2:$AJ$136,MATCH("Above RHWM Not Served with LS "&amp;$F$1,TOCA_previous!$A$2:$AJ$2,0),FALSE)*$F$2</f>
        <v>0</v>
      </c>
      <c r="BL48" s="261">
        <f t="shared" si="21"/>
        <v>17398.996398316696</v>
      </c>
      <c r="BM48" s="260">
        <f>(VLOOKUP($A48,TOCA_previous!$A$2:$AJ$136,MATCH("RHWM "&amp;Init!$D$1-2,TOCA_previous!$A$2:$AJ$2,0),FALSE)*$F$2) - $BI48</f>
        <v>0</v>
      </c>
      <c r="BN48" s="261">
        <f t="shared" si="22"/>
        <v>0</v>
      </c>
      <c r="BO48" s="260">
        <f t="shared" si="23"/>
        <v>0</v>
      </c>
      <c r="BP48" s="261">
        <f t="shared" si="24"/>
        <v>0</v>
      </c>
      <c r="BQ48" s="260">
        <f t="shared" si="9"/>
        <v>0</v>
      </c>
      <c r="BR48" s="85">
        <f>VLOOKUP($A48,TOCA_current!$A$2:$ZZ$136,MATCH(BR$4,TOCA_current!$A$2:$ZZ$2,0),FALSE)</f>
        <v>8.2404999999999996E-3</v>
      </c>
      <c r="BS48" s="85">
        <f>VLOOKUP($A48,TOCA_current!$A$2:$ZZ$136,MATCH(BS$4,TOCA_current!$A$2:$ZZ$2,0),FALSE)</f>
        <v>8.2404999999999996E-3</v>
      </c>
      <c r="BT48" s="108">
        <f t="shared" si="25"/>
        <v>0</v>
      </c>
      <c r="BU48" s="85">
        <f>VLOOKUP($A48,TOCA_current!A45:BG179,MATCH(BU$4,TOCA_current!$A$2:$BG$2,0),FALSE)</f>
        <v>0</v>
      </c>
      <c r="BV48" s="85">
        <f t="shared" si="26"/>
        <v>0</v>
      </c>
      <c r="BW48" s="85">
        <f t="shared" si="27"/>
        <v>0</v>
      </c>
      <c r="BX48" s="101">
        <f>VLOOKUP($A48,IRD!$A$4:$G$138, 7, FALSE)</f>
        <v>0</v>
      </c>
      <c r="BY48" s="102">
        <f t="array" ref="BY48">IF($BT48=0, INDEX(LS_current!$D$4:$BW$137, MATCH('Staging Table'!$A48, LS_current!$B$4:$B$137, 0), MATCH(BY$4&amp;BY$5, LS_current!$D$2:$BW$2&amp;LS_current!$D$3:$BW$3, 0)),SUM(VLOOKUP($A48, LS_current!$B$4:$BW$137, LS_current!D$147, FALSE), VLOOKUP($A48, LS_current!$B$4:$BW$137,LS_current!AZ$147, FALSE))/2)</f>
        <v>3124.7438603826449</v>
      </c>
      <c r="BZ48" s="102">
        <f t="array" ref="BZ48">IF($BT48=0, INDEX(LS_current!$D$4:$BW$137, MATCH('Staging Table'!$A48, LS_current!$B$4:$B$137, 0), MATCH(BZ$4&amp;BZ$5, LS_current!$D$2:$BW$2&amp;LS_current!$D$3:$BW$3, 0)),SUM(VLOOKUP($A48, LS_current!$B$4:$BW$137, LS_current!E$147, FALSE), VLOOKUP($A48, LS_current!$B$4:$BW$137,LS_current!BA$147, FALSE))/2)</f>
        <v>1339.9671003111907</v>
      </c>
      <c r="CA48" s="102">
        <f t="array" ref="CA48">IF($BT48=0, INDEX(LS_current!$D$4:$BW$137, MATCH('Staging Table'!$A48, LS_current!$B$4:$B$137, 0), MATCH(CA$4&amp;CA$5, LS_current!$D$2:$BW$2&amp;LS_current!$D$3:$BW$3, 0)),SUM(VLOOKUP($A48, LS_current!$B$4:$BW$137, LS_current!F$147, FALSE), VLOOKUP($A48, LS_current!$B$4:$BW$137,LS_current!BB$147, FALSE))/2)</f>
        <v>-1390.9302486934575</v>
      </c>
      <c r="CB48" s="102">
        <f t="array" ref="CB48">IF($BT48=0, INDEX(LS_current!$D$4:$BW$137, MATCH('Staging Table'!$A48, LS_current!$B$4:$B$137, 0), MATCH(CB$4&amp;CB$5, LS_current!$D$2:$BW$2&amp;LS_current!$D$3:$BW$3, 0)),SUM(VLOOKUP($A48, LS_current!$B$4:$BW$137, LS_current!G$147, FALSE), VLOOKUP($A48, LS_current!$B$4:$BW$137,LS_current!BC$147, FALSE))/2)</f>
        <v>-657.72112627653041</v>
      </c>
      <c r="CC48" s="102">
        <f t="array" ref="CC48">IF($BT48=0, INDEX(LS_current!$D$4:$BW$137, MATCH('Staging Table'!$A48, LS_current!$B$4:$B$137, 0), MATCH(CC$4&amp;CC$5, LS_current!$D$2:$BW$2&amp;LS_current!$D$3:$BW$3, 0)),SUM(VLOOKUP($A48, LS_current!$B$4:$BW$137, LS_current!H$147, FALSE), VLOOKUP($A48, LS_current!$B$4:$BW$137,LS_current!BD$147, FALSE))/2)</f>
        <v>-394.36930977003431</v>
      </c>
      <c r="CD48" s="102">
        <f t="array" ref="CD48">IF($BT48=0, INDEX(LS_current!$D$4:$BW$137, MATCH('Staging Table'!$A48, LS_current!$B$4:$B$137, 0), MATCH(CD$4&amp;CD$5, LS_current!$D$2:$BW$2&amp;LS_current!$D$3:$BW$3, 0)),SUM(VLOOKUP($A48, LS_current!$B$4:$BW$137, LS_current!I$147, FALSE), VLOOKUP($A48, LS_current!$B$4:$BW$137,LS_current!BE$147, FALSE))/2)</f>
        <v>3369.3772465748225</v>
      </c>
      <c r="CE48" s="102">
        <f t="array" ref="CE48">IF($BT48=0, INDEX(LS_current!$D$4:$BW$137, MATCH('Staging Table'!$A48, LS_current!$B$4:$B$137, 0), MATCH(CE$4&amp;CE$5, LS_current!$D$2:$BW$2&amp;LS_current!$D$3:$BW$3, 0)),SUM(VLOOKUP($A48, LS_current!$B$4:$BW$137, LS_current!J$147, FALSE), VLOOKUP($A48, LS_current!$B$4:$BW$137,LS_current!BF$147, FALSE))/2)</f>
        <v>-1288.4250151146371</v>
      </c>
      <c r="CF48" s="102">
        <f t="array" ref="CF48">IF($BT48=0, INDEX(LS_current!$D$4:$BW$137, MATCH('Staging Table'!$A48, LS_current!$B$4:$B$137, 0), MATCH(CF$4&amp;CF$5, LS_current!$D$2:$BW$2&amp;LS_current!$D$3:$BW$3, 0)),SUM(VLOOKUP($A48, LS_current!$B$4:$BW$137, LS_current!K$147, FALSE), VLOOKUP($A48, LS_current!$B$4:$BW$137,LS_current!BG$147, FALSE))/2)</f>
        <v>2376.9204170758931</v>
      </c>
      <c r="CG48" s="102">
        <f t="array" ref="CG48">IF($BT48=0, INDEX(LS_current!$D$4:$BW$137, MATCH('Staging Table'!$A48, LS_current!$B$4:$B$137, 0), MATCH(CG$4&amp;CG$5, LS_current!$D$2:$BW$2&amp;LS_current!$D$3:$BW$3, 0)),SUM(VLOOKUP($A48, LS_current!$B$4:$BW$137, LS_current!L$147, FALSE), VLOOKUP($A48, LS_current!$B$4:$BW$137,LS_current!BH$147, FALSE))/2)</f>
        <v>825.70449053043194</v>
      </c>
      <c r="CH48" s="102">
        <f t="array" ref="CH48">IF($BT48=0, INDEX(LS_current!$D$4:$BW$137, MATCH('Staging Table'!$A48, LS_current!$B$4:$B$137, 0), MATCH(CH$4&amp;CH$5, LS_current!$D$2:$BW$2&amp;LS_current!$D$3:$BW$3, 0)),SUM(VLOOKUP($A48, LS_current!$B$4:$BW$137, LS_current!M$147, FALSE), VLOOKUP($A48, LS_current!$B$4:$BW$137,LS_current!BI$147, FALSE))/2)</f>
        <v>1689.3100915668747</v>
      </c>
      <c r="CI48" s="102">
        <f t="array" ref="CI48">IF($BT48=0, INDEX(LS_current!$D$4:$BW$137, MATCH('Staging Table'!$A48, LS_current!$B$4:$B$137, 0), MATCH(CI$4&amp;CI$5, LS_current!$D$2:$BW$2&amp;LS_current!$D$3:$BW$3, 0)),SUM(VLOOKUP($A48, LS_current!$B$4:$BW$137, LS_current!N$147, FALSE), VLOOKUP($A48, LS_current!$B$4:$BW$137,LS_current!BJ$147, FALSE))/2)</f>
        <v>-1322.6779238435447</v>
      </c>
      <c r="CJ48" s="102">
        <f t="array" ref="CJ48">IF($BT48=0, INDEX(LS_current!$D$4:$BW$137, MATCH('Staging Table'!$A48, LS_current!$B$4:$B$137, 0), MATCH(CJ$4&amp;CJ$5, LS_current!$D$2:$BW$2&amp;LS_current!$D$3:$BW$3, 0)),SUM(VLOOKUP($A48, LS_current!$B$4:$BW$137, LS_current!O$147, FALSE), VLOOKUP($A48, LS_current!$B$4:$BW$137,LS_current!BK$147, FALSE))/2)</f>
        <v>1343.6351936397077</v>
      </c>
      <c r="CK48" s="102">
        <f t="array" ref="CK48">IF($BT48=0, INDEX(LS_current!$D$4:$BW$137, MATCH('Staging Table'!$A48, LS_current!$B$4:$B$137, 0), MATCH(CK$4&amp;CK$5, LS_current!$D$2:$BW$2&amp;LS_current!$D$3:$BW$3, 0)),SUM(VLOOKUP($A48, LS_current!$B$4:$BW$137, LS_current!P$147, FALSE), VLOOKUP($A48, LS_current!$B$4:$BW$137,LS_current!BL$147, FALSE))/2)</f>
        <v>3295.1372847096609</v>
      </c>
      <c r="CL48" s="102">
        <f t="array" ref="CL48">IF($BT48=0, INDEX(LS_current!$D$4:$BW$137, MATCH('Staging Table'!$A48, LS_current!$B$4:$B$137, 0), MATCH(CL$4&amp;CL$5, LS_current!$D$2:$BW$2&amp;LS_current!$D$3:$BW$3, 0)),SUM(VLOOKUP($A48, LS_current!$B$4:$BW$137, LS_current!Q$147, FALSE), VLOOKUP($A48, LS_current!$B$4:$BW$137,LS_current!BM$147, FALSE))/2)</f>
        <v>1717.2380248232857</v>
      </c>
      <c r="CM48" s="102">
        <f t="array" ref="CM48">IF($BT48=0, INDEX(LS_current!$D$4:$BW$137, MATCH('Staging Table'!$A48, LS_current!$B$4:$B$137, 0), MATCH(CM$4&amp;CM$5, LS_current!$D$2:$BW$2&amp;LS_current!$D$3:$BW$3, 0)),SUM(VLOOKUP($A48, LS_current!$B$4:$BW$137, LS_current!R$147, FALSE), VLOOKUP($A48, LS_current!$B$4:$BW$137,LS_current!BN$147, FALSE))/2)</f>
        <v>-4478.8594514863471</v>
      </c>
      <c r="CN48" s="102">
        <f t="array" ref="CN48">IF($BT48=0, INDEX(LS_current!$D$4:$BW$137, MATCH('Staging Table'!$A48, LS_current!$B$4:$B$137, 0), MATCH(CN$4&amp;CN$5, LS_current!$D$2:$BW$2&amp;LS_current!$D$3:$BW$3, 0)),SUM(VLOOKUP($A48, LS_current!$B$4:$BW$137, LS_current!S$147, FALSE), VLOOKUP($A48, LS_current!$B$4:$BW$137,LS_current!BO$147, FALSE))/2)</f>
        <v>-2977.6854724077111</v>
      </c>
      <c r="CO48" s="102">
        <f t="array" ref="CO48">IF($BT48=0, INDEX(LS_current!$D$4:$BW$137, MATCH('Staging Table'!$A48, LS_current!$B$4:$B$137, 0), MATCH(CO$4&amp;CO$5, LS_current!$D$2:$BW$2&amp;LS_current!$D$3:$BW$3, 0)),SUM(VLOOKUP($A48, LS_current!$B$4:$BW$137, LS_current!T$147, FALSE), VLOOKUP($A48, LS_current!$B$4:$BW$137,LS_current!BP$147, FALSE))/2)</f>
        <v>-6675.8104967398322</v>
      </c>
      <c r="CP48" s="102">
        <f t="array" ref="CP48">IF($BT48=0, INDEX(LS_current!$D$4:$BW$137, MATCH('Staging Table'!$A48, LS_current!$B$4:$B$137, 0), MATCH(CP$4&amp;CP$5, LS_current!$D$2:$BW$2&amp;LS_current!$D$3:$BW$3, 0)),SUM(VLOOKUP($A48, LS_current!$B$4:$BW$137, LS_current!U$147, FALSE), VLOOKUP($A48, LS_current!$B$4:$BW$137,LS_current!BQ$147, FALSE))/2)</f>
        <v>-2440.1450407653629</v>
      </c>
      <c r="CQ48" s="102">
        <f t="array" ref="CQ48">IF($BT48=0, INDEX(LS_current!$D$4:$BW$137, MATCH('Staging Table'!$A48, LS_current!$B$4:$B$137, 0), MATCH(CQ$4&amp;CQ$5, LS_current!$D$2:$BW$2&amp;LS_current!$D$3:$BW$3, 0)),SUM(VLOOKUP($A48, LS_current!$B$4:$BW$137, LS_current!V$147, FALSE), VLOOKUP($A48, LS_current!$B$4:$BW$137,LS_current!BR$147, FALSE))/2)</f>
        <v>-1583.1687433960797</v>
      </c>
      <c r="CR48" s="102">
        <f t="array" ref="CR48">IF($BT48=0, INDEX(LS_current!$D$4:$BW$137, MATCH('Staging Table'!$A48, LS_current!$B$4:$B$137, 0), MATCH(CR$4&amp;CR$5, LS_current!$D$2:$BW$2&amp;LS_current!$D$3:$BW$3, 0)),SUM(VLOOKUP($A48, LS_current!$B$4:$BW$137, LS_current!W$147, FALSE), VLOOKUP($A48, LS_current!$B$4:$BW$137,LS_current!BS$147, FALSE))/2)</f>
        <v>518.99646698459583</v>
      </c>
      <c r="CS48" s="102">
        <f t="array" ref="CS48">IF($BT48=0, INDEX(LS_current!$D$4:$BW$137, MATCH('Staging Table'!$A48, LS_current!$B$4:$B$137, 0), MATCH(CS$4&amp;CS$5, LS_current!$D$2:$BW$2&amp;LS_current!$D$3:$BW$3, 0)),SUM(VLOOKUP($A48, LS_current!$B$4:$BW$137, LS_current!X$147, FALSE), VLOOKUP($A48, LS_current!$B$4:$BW$137,LS_current!BT$147, FALSE))/2)</f>
        <v>-1226.9732621525327</v>
      </c>
      <c r="CT48" s="102">
        <f t="array" ref="CT48">IF($BT48=0, INDEX(LS_current!$D$4:$BW$137, MATCH('Staging Table'!$A48, LS_current!$B$4:$B$137, 0), MATCH(CT$4&amp;CT$5, LS_current!$D$2:$BW$2&amp;LS_current!$D$3:$BW$3, 0)),SUM(VLOOKUP($A48, LS_current!$B$4:$BW$137, LS_current!Y$147, FALSE), VLOOKUP($A48, LS_current!$B$4:$BW$137,LS_current!BU$147, FALSE))/2)</f>
        <v>818.05952300582794</v>
      </c>
      <c r="CU48" s="102">
        <f t="array" ref="CU48">IF($BT48=0, INDEX(LS_current!$D$4:$BW$137, MATCH('Staging Table'!$A48, LS_current!$B$4:$B$137, 0), MATCH(CU$4&amp;CU$5, LS_current!$D$2:$BW$2&amp;LS_current!$D$3:$BW$3, 0)),SUM(VLOOKUP($A48, LS_current!$B$4:$BW$137, LS_current!Z$147, FALSE), VLOOKUP($A48, LS_current!$B$4:$BW$137,LS_current!BV$147, FALSE))/2)</f>
        <v>2013.8698663042815</v>
      </c>
      <c r="CV48" s="102">
        <f t="array" ref="CV48">IF($BT48=0, INDEX(LS_current!$D$4:$BW$137, MATCH('Staging Table'!$A48, LS_current!$B$4:$B$137, 0), MATCH(CV$4&amp;CV$5, LS_current!$D$2:$BW$2&amp;LS_current!$D$3:$BW$3, 0)),SUM(VLOOKUP($A48, LS_current!$B$4:$BW$137, LS_current!AA$147, FALSE), VLOOKUP($A48, LS_current!$B$4:$BW$137,LS_current!BW$147, FALSE))/2)</f>
        <v>1999.5646971802944</v>
      </c>
      <c r="CW48" s="103">
        <f t="array" ref="CW48">INDEX(Demand_current!$D$4:$BW$137, MATCH($A48, Demand_current!$B$4:$B$137, 0), MATCH(CW$4&amp;CW$5,Demand_current!$D$2:$BW$2&amp;Demand_current!$D$3:$BW$3, 0))/1000</f>
        <v>9.8434328703703642</v>
      </c>
      <c r="CX48" s="103">
        <f t="array" ref="CX48">INDEX(Demand_current!$D$4:$BW$137, MATCH($A48, Demand_current!$B$4:$B$137, 0), MATCH(CX$4&amp;CX$5,Demand_current!$D$2:$BW$2&amp;Demand_current!$D$3:$BW$3, 0))/1000</f>
        <v>5.6152239583333401</v>
      </c>
      <c r="CY48" s="103">
        <f t="array" ref="CY48">INDEX(Demand_current!$D$4:$BW$137, MATCH($A48, Demand_current!$B$4:$B$137, 0), MATCH(CY$4&amp;CY$5,Demand_current!$D$2:$BW$2&amp;Demand_current!$D$3:$BW$3, 0))/1000</f>
        <v>16.824019230769231</v>
      </c>
      <c r="CZ48" s="103">
        <f t="array" ref="CZ48">INDEX(Demand_current!$D$4:$BW$137, MATCH($A48, Demand_current!$B$4:$B$137, 0), MATCH(CZ$4&amp;CZ$5,Demand_current!$D$2:$BW$2&amp;Demand_current!$D$3:$BW$3, 0))/1000</f>
        <v>5.2788581730769248</v>
      </c>
      <c r="DA48" s="103">
        <f t="array" ref="DA48">INDEX(Demand_current!$D$4:$BW$137, MATCH($A48, Demand_current!$B$4:$B$137, 0), MATCH(DA$4&amp;DA$5,Demand_current!$D$2:$BW$2&amp;Demand_current!$D$3:$BW$3, 0))/1000</f>
        <v>10.855731770833332</v>
      </c>
      <c r="DB48" s="103">
        <f t="array" ref="DB48">INDEX(Demand_current!$D$4:$BW$137, MATCH($A48, Demand_current!$B$4:$B$137, 0), MATCH(DB$4&amp;DB$5,Demand_current!$D$2:$BW$2&amp;Demand_current!$D$3:$BW$3, 0))/1000</f>
        <v>5.0254759615384508</v>
      </c>
      <c r="DC48" s="103">
        <f t="array" ref="DC48">INDEX(Demand_current!$D$4:$BW$137, MATCH($A48, Demand_current!$B$4:$B$137, 0), MATCH(DC$4&amp;DC$5,Demand_current!$D$2:$BW$2&amp;Demand_current!$D$3:$BW$3, 0))/1000</f>
        <v>12.79436538461538</v>
      </c>
      <c r="DD48" s="103">
        <f t="array" ref="DD48">INDEX(Demand_current!$D$4:$BW$137, MATCH($A48, Demand_current!$B$4:$B$137, 0), MATCH(DD$4&amp;DD$5,Demand_current!$D$2:$BW$2&amp;Demand_current!$D$3:$BW$3, 0))/1000</f>
        <v>13.215937500000006</v>
      </c>
      <c r="DE48" s="103">
        <f t="array" ref="DE48">INDEX(Demand_current!$D$4:$BW$137, MATCH($A48, Demand_current!$B$4:$B$137, 0), MATCH(DE$4&amp;DE$5,Demand_current!$D$2:$BW$2&amp;Demand_current!$D$3:$BW$3, 0))/1000</f>
        <v>18.687283653846158</v>
      </c>
      <c r="DF48" s="103">
        <f t="array" ref="DF48">INDEX(Demand_current!$D$4:$BW$137, MATCH($A48, Demand_current!$B$4:$B$137, 0), MATCH(DF$4&amp;DF$5,Demand_current!$D$2:$BW$2&amp;Demand_current!$D$3:$BW$3, 0))/1000</f>
        <v>20.748456730769224</v>
      </c>
      <c r="DG48" s="103">
        <f t="array" ref="DG48">INDEX(Demand_current!$D$4:$BW$137, MATCH($A48, Demand_current!$B$4:$B$137, 0), MATCH(DG$4&amp;DG$5,Demand_current!$D$2:$BW$2&amp;Demand_current!$D$3:$BW$3, 0))/1000</f>
        <v>24.101951923076925</v>
      </c>
      <c r="DH48" s="103">
        <f t="array" ref="DH48">INDEX(Demand_current!$D$4:$BW$137, MATCH($A48, Demand_current!$B$4:$B$137, 0), MATCH(DH$4&amp;DH$5,Demand_current!$D$2:$BW$2&amp;Demand_current!$D$3:$BW$3, 0))/1000</f>
        <v>17.370075</v>
      </c>
      <c r="DI48" s="102">
        <f>$BS48*(VLOOKUP(DI$4, Rates_current!$H$6:$R$41, 10, FALSE)+VLOOKUP(DI$4, Rates_current!$H$6:$R$41, 11, FALSE))</f>
        <v>34200.445039306171</v>
      </c>
      <c r="DJ48" s="102">
        <f>$BS48*(VLOOKUP(DJ$4, Rates_current!$H$6:$R$41, 10, FALSE)+VLOOKUP(DJ$4, Rates_current!$H$6:$R$41, 11, FALSE))</f>
        <v>43724.143374969986</v>
      </c>
      <c r="DK48" s="102">
        <f>$BS48*(VLOOKUP(DK$4, Rates_current!$H$6:$R$41, 10, FALSE)+VLOOKUP(DK$4, Rates_current!$H$6:$R$41, 11, FALSE))</f>
        <v>49710.694063195209</v>
      </c>
      <c r="DL48" s="102">
        <f>$BS48*(VLOOKUP(DL$4, Rates_current!$H$6:$R$41, 10, FALSE)+VLOOKUP(DL$4, Rates_current!$H$6:$R$41, 11, FALSE))</f>
        <v>52448.66259803874</v>
      </c>
      <c r="DM48" s="102">
        <f>$BS48*(VLOOKUP(DM$4, Rates_current!$H$6:$R$41, 10, FALSE)+VLOOKUP(DM$4, Rates_current!$H$6:$R$41, 11, FALSE))</f>
        <v>41796.850417902693</v>
      </c>
      <c r="DN48" s="102">
        <f>$BS48*(VLOOKUP(DN$4, Rates_current!$H$6:$R$41, 10, FALSE)+VLOOKUP(DN$4, Rates_current!$H$6:$R$41, 11, FALSE))</f>
        <v>45692.540730203837</v>
      </c>
      <c r="DO48" s="102">
        <f>$BS48*(VLOOKUP(DO$4, Rates_current!$H$6:$R$41, 10, FALSE)+VLOOKUP(DO$4, Rates_current!$H$6:$R$41, 11, FALSE))</f>
        <v>35412.178690467059</v>
      </c>
      <c r="DP48" s="102">
        <f>$BS48*(VLOOKUP(DP$4, Rates_current!$H$6:$R$41, 10, FALSE)+VLOOKUP(DP$4, Rates_current!$H$6:$R$41, 11, FALSE))</f>
        <v>45829.18992389406</v>
      </c>
      <c r="DQ48" s="102">
        <f>$BS48*(VLOOKUP(DQ$4, Rates_current!$H$6:$R$41, 10, FALSE)+VLOOKUP(DQ$4, Rates_current!$H$6:$R$41, 11, FALSE))</f>
        <v>46807.776537505197</v>
      </c>
      <c r="DR48" s="102">
        <f>$BS48*(VLOOKUP(DR$4, Rates_current!$H$6:$R$41, 10, FALSE)+VLOOKUP(DR$4, Rates_current!$H$6:$R$41, 11, FALSE))</f>
        <v>41662.969276411481</v>
      </c>
      <c r="DS48" s="102">
        <f>$BS48*(VLOOKUP(DS$4, Rates_current!$H$6:$R$41, 10, FALSE)+VLOOKUP(DS$4, Rates_current!$H$6:$R$41, 11, FALSE))</f>
        <v>42738.565739146703</v>
      </c>
      <c r="DT48" s="102">
        <f>$BS48*(VLOOKUP(DT$4, Rates_current!$H$6:$R$41, 10, FALSE)+VLOOKUP(DT$4, Rates_current!$H$6:$R$41, 11, FALSE))</f>
        <v>33191.619436515422</v>
      </c>
      <c r="DU48" s="261">
        <f>IF(D48=0,IF(C48=0,MAX(0,DW48 - (VLOOKUP($A48,TOCA_current!$A$2:$AV$136,MATCH("RHWM "&amp;Init!$D$1,TOCA_current!$A$2:$AV$2,0),FALSE)*$BS$2)), 0),0)</f>
        <v>0</v>
      </c>
      <c r="DV48" s="262">
        <f>MIN(VLOOKUP($A48,TOCA_current!$A$2:$AV$136,MATCH("TRL - NLSL - Existing Resource "&amp;$BS$1,TOCA_current!$A$2:$AV$2,0),FALSE)*$BS$2, VLOOKUP($A48,TOCA_current!$A$2:$AV$136,MATCH("RHWM "&amp;Init!$D$1,TOCA_current!$A$2:$AV$2,0),FALSE)*$BS$2)</f>
        <v>513213.36</v>
      </c>
      <c r="DW48" s="262">
        <f>SUM(BY48:CV48)+(BS48*RT1SC!$C$4*$BS$2)</f>
        <v>513211.42429500347</v>
      </c>
      <c r="DX48" s="262">
        <f>VLOOKUP($A48,TOCA_current!$A$2:$AV$136,MATCH("Above RHWM Not Served with LS "&amp;$BS$1,TOCA_current!$A$2:$AV$2,0),FALSE)*$BS$2</f>
        <v>15855.6</v>
      </c>
      <c r="DY48" s="262">
        <f t="shared" si="28"/>
        <v>-1.9357049965183251</v>
      </c>
      <c r="DZ48" s="262">
        <f>(VLOOKUP($A48,TOCA_current!$A$2:$AV$136,MATCH("RHWM "&amp;Init!$D$1,TOCA_current!$A$2:$AV$2,0),FALSE)*$BS$2) - $DV48</f>
        <v>0</v>
      </c>
      <c r="EA48" s="262">
        <f t="shared" si="29"/>
        <v>0</v>
      </c>
      <c r="EB48" s="262">
        <f t="shared" si="30"/>
        <v>0</v>
      </c>
      <c r="EC48" s="262">
        <f t="shared" si="31"/>
        <v>0</v>
      </c>
      <c r="ED48" s="262">
        <f t="shared" si="32"/>
        <v>0</v>
      </c>
    </row>
    <row r="49" spans="1:134">
      <c r="A49" s="2">
        <v>10113</v>
      </c>
      <c r="B49" s="3" t="s">
        <v>51</v>
      </c>
      <c r="C49">
        <f>VLOOKUP(A49, TOCA_current!$A$3:$D$136, 4, FALSE)</f>
        <v>0</v>
      </c>
      <c r="D49">
        <v>0</v>
      </c>
      <c r="E49" s="84">
        <f>VLOOKUP($A49,TOCA_previous!$A$2:$AJ$136,MATCH(E$4,TOCA_previous!$A$2:$AJ$2,0),FALSE)</f>
        <v>5.4568000000000004E-3</v>
      </c>
      <c r="F49" s="85">
        <f>VLOOKUP($A49,TOCA_previous!$A$2:$AJ$136,MATCH(F$4,TOCA_previous!$A$2:$AJ$2,0),FALSE)</f>
        <v>5.4568000000000004E-3</v>
      </c>
      <c r="G49" s="85">
        <f t="shared" si="18"/>
        <v>0</v>
      </c>
      <c r="H49" s="85">
        <f>VLOOKUP($A49,TOCA_previous!$A$2:$AJ$136,MATCH(H$4,TOCA_previous!$A$2:$AJ$2,0),FALSE)</f>
        <v>8.0834372429894163E-2</v>
      </c>
      <c r="I49" s="85">
        <f t="shared" si="19"/>
        <v>0</v>
      </c>
      <c r="J49" s="85">
        <f t="shared" si="20"/>
        <v>0</v>
      </c>
      <c r="K49" s="101">
        <f>VLOOKUP(A49, IRD!$A$5:$C$138, 3, FALSE)</f>
        <v>134655.962</v>
      </c>
      <c r="L49" s="102">
        <f t="array" ref="L49">IF($G49=0, INDEX(LS_previous!$D$4:$AY$137, MATCH('Staging Table'!$A49, LS_previous!$B$4:$B$137, 0), MATCH(L$4&amp;L$5, LS_previous!$D$2:$AY$2&amp;LS_previous!$D$3:$AY$3, 0)),SUM(VLOOKUP($A49, LS_previous!$B$4:$AY$137, LS_previous!D$148, FALSE), VLOOKUP('Staging Table'!$A49, LS_previous!$B$4:$AY$137,LS_previous!AB$148, FALSE))/2)</f>
        <v>381.49838435519632</v>
      </c>
      <c r="M49" s="102">
        <f t="array" ref="M49">IF($G49=0, INDEX(LS_previous!$D$4:$AY$137, MATCH('Staging Table'!$A49, LS_previous!$B$4:$B$137, 0), MATCH(M$4&amp;M$5, LS_previous!$D$2:$AY$2&amp;LS_previous!$D$3:$AY$3, 0)),SUM(VLOOKUP($A49, LS_previous!$B$4:$AY$137, LS_previous!E$148, FALSE), VLOOKUP('Staging Table'!$A49, LS_previous!$B$4:$AY$137,LS_previous!AC$148, FALSE))/2)</f>
        <v>-1037.1607501084</v>
      </c>
      <c r="N49" s="102">
        <f t="array" ref="N49">IF($G49=0, INDEX(LS_previous!$D$4:$AY$137, MATCH('Staging Table'!$A49, LS_previous!$B$4:$B$137, 0), MATCH(N$4&amp;N$5, LS_previous!$D$2:$AY$2&amp;LS_previous!$D$3:$AY$3, 0)),SUM(VLOOKUP($A49, LS_previous!$B$4:$AY$137, LS_previous!F$148, FALSE), VLOOKUP('Staging Table'!$A49, LS_previous!$B$4:$AY$137,LS_previous!AD$148, FALSE))/2)</f>
        <v>-8934.5634514304038</v>
      </c>
      <c r="O49" s="102">
        <f t="array" ref="O49">IF($G49=0, INDEX(LS_previous!$D$4:$AY$137, MATCH('Staging Table'!$A49, LS_previous!$B$4:$B$137, 0), MATCH(O$4&amp;O$5, LS_previous!$D$2:$AY$2&amp;LS_previous!$D$3:$AY$3, 0)),SUM(VLOOKUP($A49, LS_previous!$B$4:$AY$137, LS_previous!G$148, FALSE), VLOOKUP('Staging Table'!$A49, LS_previous!$B$4:$AY$137,LS_previous!AE$148, FALSE))/2)</f>
        <v>-4841.5135136408007</v>
      </c>
      <c r="P49" s="102">
        <f t="array" ref="P49">IF($G49=0, INDEX(LS_previous!$D$4:$AY$137, MATCH('Staging Table'!$A49, LS_previous!$B$4:$B$137, 0), MATCH(P$4&amp;P$5, LS_previous!$D$2:$AY$2&amp;LS_previous!$D$3:$AY$3, 0)),SUM(VLOOKUP($A49, LS_previous!$B$4:$AY$137, LS_previous!H$148, FALSE), VLOOKUP('Staging Table'!$A49, LS_previous!$B$4:$AY$137,LS_previous!AF$148, FALSE))/2)</f>
        <v>-9198.1265805752009</v>
      </c>
      <c r="Q49" s="102">
        <f t="array" ref="Q49">IF($G49=0, INDEX(LS_previous!$D$4:$AY$137, MATCH('Staging Table'!$A49, LS_previous!$B$4:$B$137, 0), MATCH(Q$4&amp;Q$5, LS_previous!$D$2:$AY$2&amp;LS_previous!$D$3:$AY$3, 0)),SUM(VLOOKUP($A49, LS_previous!$B$4:$AY$137, LS_previous!I$148, FALSE), VLOOKUP('Staging Table'!$A49, LS_previous!$B$4:$AY$137,LS_previous!AG$148, FALSE))/2)</f>
        <v>-6022.2324003328004</v>
      </c>
      <c r="R49" s="102">
        <f t="array" ref="R49">IF($G49=0, INDEX(LS_previous!$D$4:$AY$137, MATCH('Staging Table'!$A49, LS_previous!$B$4:$B$137, 0), MATCH(R$4&amp;R$5, LS_previous!$D$2:$AY$2&amp;LS_previous!$D$3:$AY$3, 0)),SUM(VLOOKUP($A49, LS_previous!$B$4:$AY$137, LS_previous!J$148, FALSE), VLOOKUP('Staging Table'!$A49, LS_previous!$B$4:$AY$137,LS_previous!AH$148, FALSE))/2)</f>
        <v>-10602.795550412</v>
      </c>
      <c r="S49" s="102">
        <f t="array" ref="S49">IF($G49=0, INDEX(LS_previous!$D$4:$AY$137, MATCH('Staging Table'!$A49, LS_previous!$B$4:$B$137, 0), MATCH(S$4&amp;S$5, LS_previous!$D$2:$AY$2&amp;LS_previous!$D$3:$AY$3, 0)),SUM(VLOOKUP($A49, LS_previous!$B$4:$AY$137, LS_previous!K$148, FALSE), VLOOKUP('Staging Table'!$A49, LS_previous!$B$4:$AY$137,LS_previous!AI$148, FALSE))/2)</f>
        <v>-6186.5485966472006</v>
      </c>
      <c r="T49" s="102">
        <f t="array" ref="T49">IF($G49=0, INDEX(LS_previous!$D$4:$AY$137, MATCH('Staging Table'!$A49, LS_previous!$B$4:$B$137, 0), MATCH(T$4&amp;T$5, LS_previous!$D$2:$AY$2&amp;LS_previous!$D$3:$AY$3, 0)),SUM(VLOOKUP($A49, LS_previous!$B$4:$AY$137, LS_previous!L$148, FALSE), VLOOKUP('Staging Table'!$A49, LS_previous!$B$4:$AY$137,LS_previous!AJ$148, FALSE))/2)</f>
        <v>-10252.197512527202</v>
      </c>
      <c r="U49" s="102">
        <f t="array" ref="U49">IF($G49=0, INDEX(LS_previous!$D$4:$AY$137, MATCH('Staging Table'!$A49, LS_previous!$B$4:$B$137, 0), MATCH(U$4&amp;U$5, LS_previous!$D$2:$AY$2&amp;LS_previous!$D$3:$AY$3, 0)),SUM(VLOOKUP($A49, LS_previous!$B$4:$AY$137, LS_previous!M$148, FALSE), VLOOKUP('Staging Table'!$A49, LS_previous!$B$4:$AY$137,LS_previous!AK$148, FALSE))/2)</f>
        <v>-5480.8840098712017</v>
      </c>
      <c r="V49" s="102">
        <f t="array" ref="V49">IF($G49=0, INDEX(LS_previous!$D$4:$AY$137, MATCH('Staging Table'!$A49, LS_previous!$B$4:$B$137, 0), MATCH(V$4&amp;V$5, LS_previous!$D$2:$AY$2&amp;LS_previous!$D$3:$AY$3, 0)),SUM(VLOOKUP($A49, LS_previous!$B$4:$AY$137, LS_previous!N$148, FALSE), VLOOKUP('Staging Table'!$A49, LS_previous!$B$4:$AY$137,LS_previous!AL$148, FALSE))/2)</f>
        <v>-8957.1676158184</v>
      </c>
      <c r="W49" s="102">
        <f t="array" ref="W49">IF($G49=0, INDEX(LS_previous!$D$4:$AY$137, MATCH('Staging Table'!$A49, LS_previous!$B$4:$B$137, 0), MATCH(W$4&amp;W$5, LS_previous!$D$2:$AY$2&amp;LS_previous!$D$3:$AY$3, 0)),SUM(VLOOKUP($A49, LS_previous!$B$4:$AY$137, LS_previous!O$148, FALSE), VLOOKUP('Staging Table'!$A49, LS_previous!$B$4:$AY$137,LS_previous!AM$148, FALSE))/2)</f>
        <v>-5705.9333581904002</v>
      </c>
      <c r="X49" s="102">
        <f t="array" ref="X49">IF($G49=0, INDEX(LS_previous!$D$4:$AY$137, MATCH('Staging Table'!$A49, LS_previous!$B$4:$B$137, 0), MATCH(X$4&amp;X$5, LS_previous!$D$2:$AY$2&amp;LS_previous!$D$3:$AY$3, 0)),SUM(VLOOKUP($A49, LS_previous!$B$4:$AY$137, LS_previous!P$148, FALSE), VLOOKUP('Staging Table'!$A49, LS_previous!$B$4:$AY$137,LS_previous!AN$148, FALSE))/2)</f>
        <v>-641.59876026200072</v>
      </c>
      <c r="Y49" s="102">
        <f t="array" ref="Y49">IF($G49=0, INDEX(LS_previous!$D$4:$AY$137, MATCH('Staging Table'!$A49, LS_previous!$B$4:$B$137, 0), MATCH(Y$4&amp;Y$5, LS_previous!$D$2:$AY$2&amp;LS_previous!$D$3:$AY$3, 0)),SUM(VLOOKUP($A49, LS_previous!$B$4:$AY$137, LS_previous!Q$148, FALSE), VLOOKUP('Staging Table'!$A49, LS_previous!$B$4:$AY$137,LS_previous!AO$148, FALSE))/2)</f>
        <v>-1229.1048180773996</v>
      </c>
      <c r="Z49" s="102">
        <f t="array" ref="Z49">IF($G49=0, INDEX(LS_previous!$D$4:$AY$137, MATCH('Staging Table'!$A49, LS_previous!$B$4:$B$137, 0), MATCH(Z$4&amp;Z$5, LS_previous!$D$2:$AY$2&amp;LS_previous!$D$3:$AY$3, 0)),SUM(VLOOKUP($A49, LS_previous!$B$4:$AY$137, LS_previous!R$148, FALSE), VLOOKUP('Staging Table'!$A49, LS_previous!$B$4:$AY$137,LS_previous!AP$148, FALSE))/2)</f>
        <v>2999.4148238335947</v>
      </c>
      <c r="AA49" s="102">
        <f t="array" ref="AA49">IF($G49=0, INDEX(LS_previous!$D$4:$AY$137, MATCH('Staging Table'!$A49, LS_previous!$B$4:$B$137, 0), MATCH(AA$4&amp;AA$5, LS_previous!$D$2:$AY$2&amp;LS_previous!$D$3:$AY$3, 0)),SUM(VLOOKUP($A49, LS_previous!$B$4:$AY$137, LS_previous!S$148, FALSE), VLOOKUP('Staging Table'!$A49, LS_previous!$B$4:$AY$137,LS_previous!AQ$148, FALSE))/2)</f>
        <v>3514.1850158971993</v>
      </c>
      <c r="AB49" s="102">
        <f t="array" ref="AB49">IF($G49=0, INDEX(LS_previous!$D$4:$AY$137, MATCH('Staging Table'!$A49, LS_previous!$B$4:$B$137, 0), MATCH(AB$4&amp;AB$5, LS_previous!$D$2:$AY$2&amp;LS_previous!$D$3:$AY$3, 0)),SUM(VLOOKUP($A49, LS_previous!$B$4:$AY$137, LS_previous!T$148, FALSE), VLOOKUP('Staging Table'!$A49, LS_previous!$B$4:$AY$137,LS_previous!AR$148, FALSE))/2)</f>
        <v>9236.2167494032001</v>
      </c>
      <c r="AC49" s="102">
        <f t="array" ref="AC49">IF($G49=0, INDEX(LS_previous!$D$4:$AY$137, MATCH('Staging Table'!$A49, LS_previous!$B$4:$B$137, 0), MATCH(AC$4&amp;AC$5, LS_previous!$D$2:$AY$2&amp;LS_previous!$D$3:$AY$3, 0)),SUM(VLOOKUP($A49, LS_previous!$B$4:$AY$137, LS_previous!U$148, FALSE), VLOOKUP('Staging Table'!$A49, LS_previous!$B$4:$AY$137,LS_previous!AS$148, FALSE))/2)</f>
        <v>5857.1238826043991</v>
      </c>
      <c r="AD49" s="102">
        <f t="array" ref="AD49">IF($G49=0, INDEX(LS_previous!$D$4:$AY$137, MATCH('Staging Table'!$A49, LS_previous!$B$4:$B$137, 0), MATCH(AD$4&amp;AD$5, LS_previous!$D$2:$AY$2&amp;LS_previous!$D$3:$AY$3, 0)),SUM(VLOOKUP($A49, LS_previous!$B$4:$AY$137, LS_previous!V$148, FALSE), VLOOKUP('Staging Table'!$A49, LS_previous!$B$4:$AY$137,LS_previous!AT$148, FALSE))/2)</f>
        <v>17198.873070204794</v>
      </c>
      <c r="AE49" s="102">
        <f t="array" ref="AE49">IF($G49=0, INDEX(LS_previous!$D$4:$AY$137, MATCH('Staging Table'!$A49, LS_previous!$B$4:$B$137, 0), MATCH(AE$4&amp;AE$5, LS_previous!$D$2:$AY$2&amp;LS_previous!$D$3:$AY$3, 0)),SUM(VLOOKUP($A49, LS_previous!$B$4:$AY$137, LS_previous!W$148, FALSE), VLOOKUP('Staging Table'!$A49, LS_previous!$B$4:$AY$137,LS_previous!AU$148, FALSE))/2)</f>
        <v>12633.316566258001</v>
      </c>
      <c r="AF49" s="102">
        <f t="array" ref="AF49">IF($G49=0, INDEX(LS_previous!$D$4:$AY$137, MATCH('Staging Table'!$A49, LS_previous!$B$4:$B$137, 0), MATCH(AF$4&amp;AF$5, LS_previous!$D$2:$AY$2&amp;LS_previous!$D$3:$AY$3, 0)),SUM(VLOOKUP($A49, LS_previous!$B$4:$AY$137, LS_previous!X$148, FALSE), VLOOKUP('Staging Table'!$A49, LS_previous!$B$4:$AY$137,LS_previous!AV$148, FALSE))/2)</f>
        <v>13249.766192158797</v>
      </c>
      <c r="AG49" s="102">
        <f t="array" ref="AG49">IF($G49=0, INDEX(LS_previous!$D$4:$AY$137, MATCH('Staging Table'!$A49, LS_previous!$B$4:$B$137, 0), MATCH(AG$4&amp;AG$5, LS_previous!$D$2:$AY$2&amp;LS_previous!$D$3:$AY$3, 0)),SUM(VLOOKUP($A49, LS_previous!$B$4:$AY$137, LS_previous!Y$148, FALSE), VLOOKUP('Staging Table'!$A49, LS_previous!$B$4:$AY$137,LS_previous!AW$148, FALSE))/2)</f>
        <v>10291.719245874523</v>
      </c>
      <c r="AH49" s="102">
        <f t="array" ref="AH49">IF($G49=0, INDEX(LS_previous!$D$4:$AY$137, MATCH('Staging Table'!$A49, LS_previous!$B$4:$B$137, 0), MATCH(AH$4&amp;AH$5, LS_previous!$D$2:$AY$2&amp;LS_previous!$D$3:$AY$3, 0)),SUM(VLOOKUP($A49, LS_previous!$B$4:$AY$137, LS_previous!Z$148, FALSE), VLOOKUP('Staging Table'!$A49, LS_previous!$B$4:$AY$137,LS_previous!AX$148, FALSE))/2)</f>
        <v>2692.6428264367969</v>
      </c>
      <c r="AI49" s="102">
        <f t="array" ref="AI49">IF($G49=0, INDEX(LS_previous!$D$4:$AY$137, MATCH('Staging Table'!$A49, LS_previous!$B$4:$B$137, 0), MATCH(AI$4&amp;AI$5, LS_previous!$D$2:$AY$2&amp;LS_previous!$D$3:$AY$3, 0)),SUM(VLOOKUP($A49, LS_previous!$B$4:$AY$137, LS_previous!AA$148, FALSE), VLOOKUP('Staging Table'!$A49, LS_previous!$B$4:$AY$137,LS_previous!AY$148, FALSE))/2)</f>
        <v>805.45447329280069</v>
      </c>
      <c r="AJ49" s="103">
        <f t="array" ref="AJ49">INDEX(Demand_previous!$D$4:$AY$137, MATCH('Staging Table'!$A49, Demand_previous!$B$4:$B$137, 0), MATCH(AJ$4&amp;AJ$5,Demand_previous!$D$2:$AY$2&amp;Demand_previous!$D$3:$AY$3, 0))/1000</f>
        <v>2.3017427884615422</v>
      </c>
      <c r="AK49" s="103">
        <f t="array" ref="AK49">INDEX(Demand_previous!$D$4:$AY$137, MATCH('Staging Table'!$A49, Demand_previous!$B$4:$B$137, 0), MATCH(AK$4&amp;AK$5,Demand_previous!$D$2:$AY$2&amp;Demand_previous!$D$3:$AY$3, 0))/1000</f>
        <v>3.3192724999999967</v>
      </c>
      <c r="AL49" s="103">
        <f t="array" ref="AL49">INDEX(Demand_previous!$D$4:$AY$137, MATCH('Staging Table'!$A49, Demand_previous!$B$4:$B$137, 0), MATCH(AL$4&amp;AL$5,Demand_previous!$D$2:$AY$2&amp;Demand_previous!$D$3:$AY$3, 0))/1000</f>
        <v>1.2988500000000018</v>
      </c>
      <c r="AM49" s="103">
        <f t="array" ref="AM49">INDEX(Demand_previous!$D$4:$AY$137, MATCH('Staging Table'!$A49, Demand_previous!$B$4:$B$137, 0), MATCH(AM$4&amp;AM$5,Demand_previous!$D$2:$AY$2&amp;Demand_previous!$D$3:$AY$3, 0))/1000</f>
        <v>2.0932716346153826</v>
      </c>
      <c r="AN49" s="103">
        <f t="array" ref="AN49">INDEX(Demand_previous!$D$4:$AY$137, MATCH('Staging Table'!$A49, Demand_previous!$B$4:$B$137, 0), MATCH(AN$4&amp;AN$5,Demand_previous!$D$2:$AY$2&amp;Demand_previous!$D$3:$AY$3, 0))/1000</f>
        <v>1.9039499999999983</v>
      </c>
      <c r="AO49" s="103">
        <f t="array" ref="AO49">INDEX(Demand_previous!$D$4:$AY$137, MATCH('Staging Table'!$A49, Demand_previous!$B$4:$B$137, 0), MATCH(AO$4&amp;AO$5,Demand_previous!$D$2:$AY$2&amp;Demand_previous!$D$3:$AY$3, 0))/1000</f>
        <v>3.6110024038461539</v>
      </c>
      <c r="AP49" s="103">
        <f t="array" ref="AP49">INDEX(Demand_previous!$D$4:$AY$137, MATCH('Staging Table'!$A49, Demand_previous!$B$4:$B$137, 0), MATCH(AP$4&amp;AP$5,Demand_previous!$D$2:$AY$2&amp;Demand_previous!$D$3:$AY$3, 0))/1000</f>
        <v>6.3256442307692291</v>
      </c>
      <c r="AQ49" s="103">
        <f t="array" ref="AQ49">INDEX(Demand_previous!$D$4:$AY$137, MATCH('Staging Table'!$A49, Demand_previous!$B$4:$B$137, 0), MATCH(AQ$4&amp;AQ$5,Demand_previous!$D$2:$AY$2&amp;Demand_previous!$D$3:$AY$3, 0))/1000</f>
        <v>0</v>
      </c>
      <c r="AR49" s="103">
        <f t="array" ref="AR49">INDEX(Demand_previous!$D$4:$AY$137, MATCH('Staging Table'!$A49, Demand_previous!$B$4:$B$137, 0), MATCH(AR$4&amp;AR$5,Demand_previous!$D$2:$AY$2&amp;Demand_previous!$D$3:$AY$3, 0))/1000</f>
        <v>14.918830000000012</v>
      </c>
      <c r="AS49" s="103">
        <f t="array" ref="AS49">INDEX(Demand_previous!$D$4:$AY$137, MATCH('Staging Table'!$A49, Demand_previous!$B$4:$B$137, 0), MATCH(AS$4&amp;AS$5,Demand_previous!$D$2:$AY$2&amp;Demand_previous!$D$3:$AY$3, 0))/1000</f>
        <v>9.3383557692307697</v>
      </c>
      <c r="AT49" s="103">
        <f t="array" ref="AT49">INDEX(Demand_previous!$D$4:$AY$137, MATCH('Staging Table'!$A49, Demand_previous!$B$4:$B$137, 0), MATCH(AT$4&amp;AT$5,Demand_previous!$D$2:$AY$2&amp;Demand_previous!$D$3:$AY$3, 0))/1000</f>
        <v>19.083768518518525</v>
      </c>
      <c r="AU49" s="103">
        <f t="array" ref="AU49">INDEX(Demand_previous!$D$4:$AY$137, MATCH('Staging Table'!$A49, Demand_previous!$B$4:$B$137, 0), MATCH(AU$4&amp;AU$5,Demand_previous!$D$2:$AY$2&amp;Demand_previous!$D$3:$AY$3, 0))/1000</f>
        <v>3.0285468749999964</v>
      </c>
      <c r="AV49" s="102">
        <f>$F49*(VLOOKUP(AV$4, Rates_previous!$G$6:$Q$29, 10, FALSE)+VLOOKUP(AV$4, Rates_previous!$G$6:$Q$29, 11, FALSE))</f>
        <v>23021.168365753201</v>
      </c>
      <c r="AW49" s="102">
        <f>$F49*(VLOOKUP(AW$4, Rates_previous!$G$6:$Q$29, 10, FALSE)+VLOOKUP(AW$4, Rates_previous!$G$6:$Q$29, 11, FALSE))</f>
        <v>29359.580965071207</v>
      </c>
      <c r="AX49" s="102">
        <f>$F49*(VLOOKUP(AX$4, Rates_previous!$G$6:$Q$29, 10, FALSE)+VLOOKUP(AX$4, Rates_previous!$G$6:$Q$29, 11, FALSE))</f>
        <v>31684.796980908006</v>
      </c>
      <c r="AY49" s="102">
        <f>$F49*(VLOOKUP(AY$4, Rates_previous!$G$6:$Q$29, 10, FALSE)+VLOOKUP(AY$4, Rates_previous!$G$6:$Q$29, 11, FALSE))</f>
        <v>32925.402147059205</v>
      </c>
      <c r="AZ49" s="102">
        <f>$F49*(VLOOKUP(AZ$4, Rates_previous!$G$6:$Q$29, 10, FALSE)+VLOOKUP(AZ$4, Rates_previous!$G$6:$Q$29, 11, FALSE))</f>
        <v>28320.234522398398</v>
      </c>
      <c r="BA49" s="102">
        <f>$F49*(VLOOKUP(BA$4, Rates_previous!$G$6:$Q$29, 10, FALSE)+VLOOKUP(BA$4, Rates_previous!$G$6:$Q$29, 11, FALSE))</f>
        <v>30920.088974008802</v>
      </c>
      <c r="BB49" s="102">
        <f>$F49*(VLOOKUP(BB$4, Rates_previous!$G$6:$Q$29, 10, FALSE)+VLOOKUP(BB$4, Rates_previous!$G$6:$Q$29, 11, FALSE))</f>
        <v>24406.199578339401</v>
      </c>
      <c r="BC49" s="102">
        <f>$F49*(VLOOKUP(BC$4, Rates_previous!$G$6:$Q$29, 10, FALSE)+VLOOKUP(BC$4, Rates_previous!$G$6:$Q$29, 11, FALSE))</f>
        <v>30279.161160269203</v>
      </c>
      <c r="BD49" s="102">
        <f>$F49*(VLOOKUP(BD$4, Rates_previous!$G$6:$Q$29, 10, FALSE)+VLOOKUP(BD$4, Rates_previous!$G$6:$Q$29, 11, FALSE))</f>
        <v>30936.143367992401</v>
      </c>
      <c r="BE49" s="102">
        <f>$F49*(VLOOKUP(BE$4, Rates_previous!$G$6:$Q$29, 10, FALSE)+VLOOKUP(BE$4, Rates_previous!$G$6:$Q$29, 11, FALSE))</f>
        <v>26857.0293635372</v>
      </c>
      <c r="BF49" s="102">
        <f>$F49*(VLOOKUP(BF$4, Rates_previous!$G$6:$Q$29, 10, FALSE)+VLOOKUP(BF$4, Rates_previous!$G$6:$Q$29, 11, FALSE))</f>
        <v>25963.608561966685</v>
      </c>
      <c r="BG49" s="102">
        <f>$F49*(VLOOKUP(BG$4, Rates_previous!$G$6:$Q$29, 10, FALSE)+VLOOKUP(BG$4, Rates_previous!$G$6:$Q$29, 11, FALSE))</f>
        <v>23891.547700270403</v>
      </c>
      <c r="BH49" s="103">
        <f>IF($D49=0,IF(C49=0, MAX(BJ49 - (VLOOKUP($A49,TOCA_previous!$A$2:$AJ$136,MATCH("RHWM "&amp;Init!$D$1-2,TOCA_previous!$A$2:$AJ$2,0),FALSE)*$F$2*TOCA_previous!C46),0),0), 0)</f>
        <v>7240.0355519138975</v>
      </c>
      <c r="BI49" s="109">
        <f>MIN(VLOOKUP($A49,TOCA_previous!$A$2:$AJ$136,MATCH("TRL - NLSL - Existing Resource "&amp;$F$1,TOCA_previous!$A$2:$AJ$2,0),FALSE)*$F$2,(VLOOKUP($A49,TOCA_previous!$A$2:$AJ$136,MATCH("RHWM "&amp;Init!$D$1-2,TOCA_previous!$A$2:$AJ$2,0),FALSE)*$F$2))</f>
        <v>331095.31199999998</v>
      </c>
      <c r="BJ49" s="261">
        <f>SUM(L49:AI49)+(F49*RT1SC!$C$3*$F$2)</f>
        <v>338335.34755191387</v>
      </c>
      <c r="BK49" s="260">
        <f>VLOOKUP($A49,TOCA_previous!$A$2:$AJ$136,MATCH("Above RHWM Not Served with LS "&amp;$F$1,TOCA_previous!$A$2:$AJ$2,0),FALSE)*$F$2</f>
        <v>51245.856</v>
      </c>
      <c r="BL49" s="261">
        <f t="shared" si="21"/>
        <v>7240.0355519138975</v>
      </c>
      <c r="BM49" s="260">
        <f>(VLOOKUP($A49,TOCA_previous!$A$2:$AJ$136,MATCH("RHWM "&amp;Init!$D$1-2,TOCA_previous!$A$2:$AJ$2,0),FALSE)*$F$2) - $BI49</f>
        <v>0</v>
      </c>
      <c r="BN49" s="261">
        <f t="shared" si="22"/>
        <v>0</v>
      </c>
      <c r="BO49" s="260">
        <f t="shared" si="23"/>
        <v>0</v>
      </c>
      <c r="BP49" s="261">
        <f t="shared" si="24"/>
        <v>0</v>
      </c>
      <c r="BQ49" s="260">
        <f t="shared" si="9"/>
        <v>0</v>
      </c>
      <c r="BR49" s="85">
        <f>VLOOKUP($A49,TOCA_current!$A$2:$ZZ$136,MATCH(BR$4,TOCA_current!$A$2:$ZZ$2,0),FALSE)</f>
        <v>5.3322999999999999E-3</v>
      </c>
      <c r="BS49" s="85">
        <f>VLOOKUP($A49,TOCA_current!$A$2:$ZZ$136,MATCH(BS$4,TOCA_current!$A$2:$ZZ$2,0),FALSE)</f>
        <v>5.3322999999999999E-3</v>
      </c>
      <c r="BT49" s="108">
        <f t="shared" si="25"/>
        <v>0</v>
      </c>
      <c r="BU49" s="85">
        <f>VLOOKUP($A49,TOCA_current!A46:BG180,MATCH(BU$4,TOCA_current!$A$2:$BG$2,0),FALSE)</f>
        <v>8.2118438406752842E-2</v>
      </c>
      <c r="BV49" s="85">
        <f t="shared" si="26"/>
        <v>0</v>
      </c>
      <c r="BW49" s="85">
        <f t="shared" si="27"/>
        <v>0</v>
      </c>
      <c r="BX49" s="101">
        <f>VLOOKUP($A49,IRD!$A$4:$G$138, 7, FALSE)</f>
        <v>134655.962</v>
      </c>
      <c r="BY49" s="102">
        <f t="array" ref="BY49">IF($BT49=0, INDEX(LS_current!$D$4:$BW$137, MATCH('Staging Table'!$A49, LS_current!$B$4:$B$137, 0), MATCH(BY$4&amp;BY$5, LS_current!$D$2:$BW$2&amp;LS_current!$D$3:$BW$3, 0)),SUM(VLOOKUP($A49, LS_current!$B$4:$BW$137, LS_current!D$147, FALSE), VLOOKUP($A49, LS_current!$B$4:$BW$137,LS_current!AZ$147, FALSE))/2)</f>
        <v>111.84733590417454</v>
      </c>
      <c r="BZ49" s="102">
        <f t="array" ref="BZ49">IF($BT49=0, INDEX(LS_current!$D$4:$BW$137, MATCH('Staging Table'!$A49, LS_current!$B$4:$B$137, 0), MATCH(BZ$4&amp;BZ$5, LS_current!$D$2:$BW$2&amp;LS_current!$D$3:$BW$3, 0)),SUM(VLOOKUP($A49, LS_current!$B$4:$BW$137, LS_current!E$147, FALSE), VLOOKUP($A49, LS_current!$B$4:$BW$137,LS_current!BA$147, FALSE))/2)</f>
        <v>-419.29595165470982</v>
      </c>
      <c r="CA49" s="102">
        <f t="array" ref="CA49">IF($BT49=0, INDEX(LS_current!$D$4:$BW$137, MATCH('Staging Table'!$A49, LS_current!$B$4:$B$137, 0), MATCH(CA$4&amp;CA$5, LS_current!$D$2:$BW$2&amp;LS_current!$D$3:$BW$3, 0)),SUM(VLOOKUP($A49, LS_current!$B$4:$BW$137, LS_current!F$147, FALSE), VLOOKUP($A49, LS_current!$B$4:$BW$137,LS_current!BB$147, FALSE))/2)</f>
        <v>-8400.7176407509396</v>
      </c>
      <c r="CB49" s="102">
        <f t="array" ref="CB49">IF($BT49=0, INDEX(LS_current!$D$4:$BW$137, MATCH('Staging Table'!$A49, LS_current!$B$4:$B$137, 0), MATCH(CB$4&amp;CB$5, LS_current!$D$2:$BW$2&amp;LS_current!$D$3:$BW$3, 0)),SUM(VLOOKUP($A49, LS_current!$B$4:$BW$137, LS_current!G$147, FALSE), VLOOKUP($A49, LS_current!$B$4:$BW$137,LS_current!BC$147, FALSE))/2)</f>
        <v>-4834.6037561124103</v>
      </c>
      <c r="CC49" s="102">
        <f t="array" ref="CC49">IF($BT49=0, INDEX(LS_current!$D$4:$BW$137, MATCH('Staging Table'!$A49, LS_current!$B$4:$B$137, 0), MATCH(CC$4&amp;CC$5, LS_current!$D$2:$BW$2&amp;LS_current!$D$3:$BW$3, 0)),SUM(VLOOKUP($A49, LS_current!$B$4:$BW$137, LS_current!H$147, FALSE), VLOOKUP($A49, LS_current!$B$4:$BW$137,LS_current!BD$147, FALSE))/2)</f>
        <v>-11003.611014245103</v>
      </c>
      <c r="CD49" s="102">
        <f t="array" ref="CD49">IF($BT49=0, INDEX(LS_current!$D$4:$BW$137, MATCH('Staging Table'!$A49, LS_current!$B$4:$B$137, 0), MATCH(CD$4&amp;CD$5, LS_current!$D$2:$BW$2&amp;LS_current!$D$3:$BW$3, 0)),SUM(VLOOKUP($A49, LS_current!$B$4:$BW$137, LS_current!I$147, FALSE), VLOOKUP($A49, LS_current!$B$4:$BW$137,LS_current!BE$147, FALSE))/2)</f>
        <v>-5241.3476705647818</v>
      </c>
      <c r="CE49" s="102">
        <f t="array" ref="CE49">IF($BT49=0, INDEX(LS_current!$D$4:$BW$137, MATCH('Staging Table'!$A49, LS_current!$B$4:$B$137, 0), MATCH(CE$4&amp;CE$5, LS_current!$D$2:$BW$2&amp;LS_current!$D$3:$BW$3, 0)),SUM(VLOOKUP($A49, LS_current!$B$4:$BW$137, LS_current!J$147, FALSE), VLOOKUP($A49, LS_current!$B$4:$BW$137,LS_current!BF$147, FALSE))/2)</f>
        <v>-11912.987733158885</v>
      </c>
      <c r="CF49" s="102">
        <f t="array" ref="CF49">IF($BT49=0, INDEX(LS_current!$D$4:$BW$137, MATCH('Staging Table'!$A49, LS_current!$B$4:$B$137, 0), MATCH(CF$4&amp;CF$5, LS_current!$D$2:$BW$2&amp;LS_current!$D$3:$BW$3, 0)),SUM(VLOOKUP($A49, LS_current!$B$4:$BW$137, LS_current!K$147, FALSE), VLOOKUP($A49, LS_current!$B$4:$BW$137,LS_current!BG$147, FALSE))/2)</f>
        <v>-6432.0480110947401</v>
      </c>
      <c r="CG49" s="102">
        <f t="array" ref="CG49">IF($BT49=0, INDEX(LS_current!$D$4:$BW$137, MATCH('Staging Table'!$A49, LS_current!$B$4:$B$137, 0), MATCH(CG$4&amp;CG$5, LS_current!$D$2:$BW$2&amp;LS_current!$D$3:$BW$3, 0)),SUM(VLOOKUP($A49, LS_current!$B$4:$BW$137, LS_current!L$147, FALSE), VLOOKUP($A49, LS_current!$B$4:$BW$137,LS_current!BH$147, FALSE))/2)</f>
        <v>-9642.1213594860237</v>
      </c>
      <c r="CH49" s="102">
        <f t="array" ref="CH49">IF($BT49=0, INDEX(LS_current!$D$4:$BW$137, MATCH('Staging Table'!$A49, LS_current!$B$4:$B$137, 0), MATCH(CH$4&amp;CH$5, LS_current!$D$2:$BW$2&amp;LS_current!$D$3:$BW$3, 0)),SUM(VLOOKUP($A49, LS_current!$B$4:$BW$137, LS_current!M$147, FALSE), VLOOKUP($A49, LS_current!$B$4:$BW$137,LS_current!BI$147, FALSE))/2)</f>
        <v>-5166.6925963276453</v>
      </c>
      <c r="CI49" s="102">
        <f t="array" ref="CI49">IF($BT49=0, INDEX(LS_current!$D$4:$BW$137, MATCH('Staging Table'!$A49, LS_current!$B$4:$B$137, 0), MATCH(CI$4&amp;CI$5, LS_current!$D$2:$BW$2&amp;LS_current!$D$3:$BW$3, 0)),SUM(VLOOKUP($A49, LS_current!$B$4:$BW$137, LS_current!N$147, FALSE), VLOOKUP($A49, LS_current!$B$4:$BW$137,LS_current!BJ$147, FALSE))/2)</f>
        <v>-9664.3081481962217</v>
      </c>
      <c r="CJ49" s="102">
        <f t="array" ref="CJ49">IF($BT49=0, INDEX(LS_current!$D$4:$BW$137, MATCH('Staging Table'!$A49, LS_current!$B$4:$B$137, 0), MATCH(CJ$4&amp;CJ$5, LS_current!$D$2:$BW$2&amp;LS_current!$D$3:$BW$3, 0)),SUM(VLOOKUP($A49, LS_current!$B$4:$BW$137, LS_current!O$147, FALSE), VLOOKUP($A49, LS_current!$B$4:$BW$137,LS_current!BK$147, FALSE))/2)</f>
        <v>-4187.2867095388629</v>
      </c>
      <c r="CK49" s="102">
        <f t="array" ref="CK49">IF($BT49=0, INDEX(LS_current!$D$4:$BW$137, MATCH('Staging Table'!$A49, LS_current!$B$4:$B$137, 0), MATCH(CK$4&amp;CK$5, LS_current!$D$2:$BW$2&amp;LS_current!$D$3:$BW$3, 0)),SUM(VLOOKUP($A49, LS_current!$B$4:$BW$137, LS_current!P$147, FALSE), VLOOKUP($A49, LS_current!$B$4:$BW$137,LS_current!BL$147, FALSE))/2)</f>
        <v>-198.03547992751555</v>
      </c>
      <c r="CL49" s="102">
        <f t="array" ref="CL49">IF($BT49=0, INDEX(LS_current!$D$4:$BW$137, MATCH('Staging Table'!$A49, LS_current!$B$4:$B$137, 0), MATCH(CL$4&amp;CL$5, LS_current!$D$2:$BW$2&amp;LS_current!$D$3:$BW$3, 0)),SUM(VLOOKUP($A49, LS_current!$B$4:$BW$137, LS_current!Q$147, FALSE), VLOOKUP($A49, LS_current!$B$4:$BW$137,LS_current!BM$147, FALSE))/2)</f>
        <v>-706.02122575508838</v>
      </c>
      <c r="CM49" s="102">
        <f t="array" ref="CM49">IF($BT49=0, INDEX(LS_current!$D$4:$BW$137, MATCH('Staging Table'!$A49, LS_current!$B$4:$B$137, 0), MATCH(CM$4&amp;CM$5, LS_current!$D$2:$BW$2&amp;LS_current!$D$3:$BW$3, 0)),SUM(VLOOKUP($A49, LS_current!$B$4:$BW$137, LS_current!R$147, FALSE), VLOOKUP($A49, LS_current!$B$4:$BW$137,LS_current!BN$147, FALSE))/2)</f>
        <v>3243.3212115574679</v>
      </c>
      <c r="CN49" s="102">
        <f t="array" ref="CN49">IF($BT49=0, INDEX(LS_current!$D$4:$BW$137, MATCH('Staging Table'!$A49, LS_current!$B$4:$B$137, 0), MATCH(CN$4&amp;CN$5, LS_current!$D$2:$BW$2&amp;LS_current!$D$3:$BW$3, 0)),SUM(VLOOKUP($A49, LS_current!$B$4:$BW$137, LS_current!S$147, FALSE), VLOOKUP($A49, LS_current!$B$4:$BW$137,LS_current!BO$147, FALSE))/2)</f>
        <v>3351.7043525854424</v>
      </c>
      <c r="CO49" s="102">
        <f t="array" ref="CO49">IF($BT49=0, INDEX(LS_current!$D$4:$BW$137, MATCH('Staging Table'!$A49, LS_current!$B$4:$B$137, 0), MATCH(CO$4&amp;CO$5, LS_current!$D$2:$BW$2&amp;LS_current!$D$3:$BW$3, 0)),SUM(VLOOKUP($A49, LS_current!$B$4:$BW$137, LS_current!T$147, FALSE), VLOOKUP($A49, LS_current!$B$4:$BW$137,LS_current!BP$147, FALSE))/2)</f>
        <v>8525.4670110835759</v>
      </c>
      <c r="CP49" s="102">
        <f t="array" ref="CP49">IF($BT49=0, INDEX(LS_current!$D$4:$BW$137, MATCH('Staging Table'!$A49, LS_current!$B$4:$B$137, 0), MATCH(CP$4&amp;CP$5, LS_current!$D$2:$BW$2&amp;LS_current!$D$3:$BW$3, 0)),SUM(VLOOKUP($A49, LS_current!$B$4:$BW$137, LS_current!U$147, FALSE), VLOOKUP($A49, LS_current!$B$4:$BW$137,LS_current!BQ$147, FALSE))/2)</f>
        <v>6690.5493023756899</v>
      </c>
      <c r="CQ49" s="102">
        <f t="array" ref="CQ49">IF($BT49=0, INDEX(LS_current!$D$4:$BW$137, MATCH('Staging Table'!$A49, LS_current!$B$4:$B$137, 0), MATCH(CQ$4&amp;CQ$5, LS_current!$D$2:$BW$2&amp;LS_current!$D$3:$BW$3, 0)),SUM(VLOOKUP($A49, LS_current!$B$4:$BW$137, LS_current!V$147, FALSE), VLOOKUP($A49, LS_current!$B$4:$BW$137,LS_current!BR$147, FALSE))/2)</f>
        <v>16548.837682153884</v>
      </c>
      <c r="CR49" s="102">
        <f t="array" ref="CR49">IF($BT49=0, INDEX(LS_current!$D$4:$BW$137, MATCH('Staging Table'!$A49, LS_current!$B$4:$B$137, 0), MATCH(CR$4&amp;CR$5, LS_current!$D$2:$BW$2&amp;LS_current!$D$3:$BW$3, 0)),SUM(VLOOKUP($A49, LS_current!$B$4:$BW$137, LS_current!W$147, FALSE), VLOOKUP($A49, LS_current!$B$4:$BW$137,LS_current!BS$147, FALSE))/2)</f>
        <v>12638.542776421571</v>
      </c>
      <c r="CS49" s="102">
        <f t="array" ref="CS49">IF($BT49=0, INDEX(LS_current!$D$4:$BW$137, MATCH('Staging Table'!$A49, LS_current!$B$4:$B$137, 0), MATCH(CS$4&amp;CS$5, LS_current!$D$2:$BW$2&amp;LS_current!$D$3:$BW$3, 0)),SUM(VLOOKUP($A49, LS_current!$B$4:$BW$137, LS_current!X$147, FALSE), VLOOKUP($A49, LS_current!$B$4:$BW$137,LS_current!BT$147, FALSE))/2)</f>
        <v>11127.125366837456</v>
      </c>
      <c r="CT49" s="102">
        <f t="array" ref="CT49">IF($BT49=0, INDEX(LS_current!$D$4:$BW$137, MATCH('Staging Table'!$A49, LS_current!$B$4:$B$137, 0), MATCH(CT$4&amp;CT$5, LS_current!$D$2:$BW$2&amp;LS_current!$D$3:$BW$3, 0)),SUM(VLOOKUP($A49, LS_current!$B$4:$BW$137, LS_current!Y$147, FALSE), VLOOKUP($A49, LS_current!$B$4:$BW$137,LS_current!BU$147, FALSE))/2)</f>
        <v>10180.128269246281</v>
      </c>
      <c r="CU49" s="102">
        <f t="array" ref="CU49">IF($BT49=0, INDEX(LS_current!$D$4:$BW$137, MATCH('Staging Table'!$A49, LS_current!$B$4:$B$137, 0), MATCH(CU$4&amp;CU$5, LS_current!$D$2:$BW$2&amp;LS_current!$D$3:$BW$3, 0)),SUM(VLOOKUP($A49, LS_current!$B$4:$BW$137, LS_current!Z$147, FALSE), VLOOKUP($A49, LS_current!$B$4:$BW$137,LS_current!BV$147, FALSE))/2)</f>
        <v>3208.580657010416</v>
      </c>
      <c r="CV49" s="102">
        <f t="array" ref="CV49">IF($BT49=0, INDEX(LS_current!$D$4:$BW$137, MATCH('Staging Table'!$A49, LS_current!$B$4:$B$137, 0), MATCH(CV$4&amp;CV$5, LS_current!$D$2:$BW$2&amp;LS_current!$D$3:$BW$3, 0)),SUM(VLOOKUP($A49, LS_current!$B$4:$BW$137, LS_current!AA$147, FALSE), VLOOKUP($A49, LS_current!$B$4:$BW$137,LS_current!BW$147, FALSE))/2)</f>
        <v>2178.4011597687631</v>
      </c>
      <c r="CW49" s="103">
        <f t="array" ref="CW49">INDEX(Demand_current!$D$4:$BW$137, MATCH($A49, Demand_current!$B$4:$B$137, 0), MATCH(CW$4&amp;CW$5,Demand_current!$D$2:$BW$2&amp;Demand_current!$D$3:$BW$3, 0))/1000</f>
        <v>3.7918263888888966</v>
      </c>
      <c r="CX49" s="103">
        <f t="array" ref="CX49">INDEX(Demand_current!$D$4:$BW$137, MATCH($A49, Demand_current!$B$4:$B$137, 0), MATCH(CX$4&amp;CX$5,Demand_current!$D$2:$BW$2&amp;Demand_current!$D$3:$BW$3, 0))/1000</f>
        <v>2.1512838541666675</v>
      </c>
      <c r="CY49" s="103">
        <f t="array" ref="CY49">INDEX(Demand_current!$D$4:$BW$137, MATCH($A49, Demand_current!$B$4:$B$137, 0), MATCH(CY$4&amp;CY$5,Demand_current!$D$2:$BW$2&amp;Demand_current!$D$3:$BW$3, 0))/1000</f>
        <v>2.4859711538461582</v>
      </c>
      <c r="CZ49" s="103">
        <f t="array" ref="CZ49">INDEX(Demand_current!$D$4:$BW$137, MATCH($A49, Demand_current!$B$4:$B$137, 0), MATCH(CZ$4&amp;CZ$5,Demand_current!$D$2:$BW$2&amp;Demand_current!$D$3:$BW$3, 0))/1000</f>
        <v>2.0932716346153826</v>
      </c>
      <c r="DA49" s="103">
        <f t="array" ref="DA49">INDEX(Demand_current!$D$4:$BW$137, MATCH($A49, Demand_current!$B$4:$B$137, 0), MATCH(DA$4&amp;DA$5,Demand_current!$D$2:$BW$2&amp;Demand_current!$D$3:$BW$3, 0))/1000</f>
        <v>0.85303124999999724</v>
      </c>
      <c r="DB49" s="103">
        <f t="array" ref="DB49">INDEX(Demand_current!$D$4:$BW$137, MATCH($A49, Demand_current!$B$4:$B$137, 0), MATCH(DB$4&amp;DB$5,Demand_current!$D$2:$BW$2&amp;Demand_current!$D$3:$BW$3, 0))/1000</f>
        <v>3.6110024038461539</v>
      </c>
      <c r="DC49" s="103">
        <f t="array" ref="DC49">INDEX(Demand_current!$D$4:$BW$137, MATCH($A49, Demand_current!$B$4:$B$137, 0), MATCH(DC$4&amp;DC$5,Demand_current!$D$2:$BW$2&amp;Demand_current!$D$3:$BW$3, 0))/1000</f>
        <v>6.3256442307692291</v>
      </c>
      <c r="DD49" s="103">
        <f t="array" ref="DD49">INDEX(Demand_current!$D$4:$BW$137, MATCH($A49, Demand_current!$B$4:$B$137, 0), MATCH(DD$4&amp;DD$5,Demand_current!$D$2:$BW$2&amp;Demand_current!$D$3:$BW$3, 0))/1000</f>
        <v>0</v>
      </c>
      <c r="DE49" s="103">
        <f t="array" ref="DE49">INDEX(Demand_current!$D$4:$BW$137, MATCH($A49, Demand_current!$B$4:$B$137, 0), MATCH(DE$4&amp;DE$5,Demand_current!$D$2:$BW$2&amp;Demand_current!$D$3:$BW$3, 0))/1000</f>
        <v>17.899221153846156</v>
      </c>
      <c r="DF49" s="103">
        <f t="array" ref="DF49">INDEX(Demand_current!$D$4:$BW$137, MATCH($A49, Demand_current!$B$4:$B$137, 0), MATCH(DF$4&amp;DF$5,Demand_current!$D$2:$BW$2&amp;Demand_current!$D$3:$BW$3, 0))/1000</f>
        <v>9.3383557692307697</v>
      </c>
      <c r="DG49" s="103">
        <f t="array" ref="DG49">INDEX(Demand_current!$D$4:$BW$137, MATCH($A49, Demand_current!$B$4:$B$137, 0), MATCH(DG$4&amp;DG$5,Demand_current!$D$2:$BW$2&amp;Demand_current!$D$3:$BW$3, 0))/1000</f>
        <v>16.213374999999999</v>
      </c>
      <c r="DH49" s="103">
        <f t="array" ref="DH49">INDEX(Demand_current!$D$4:$BW$137, MATCH($A49, Demand_current!$B$4:$B$137, 0), MATCH(DH$4&amp;DH$5,Demand_current!$D$2:$BW$2&amp;Demand_current!$D$3:$BW$3, 0))/1000</f>
        <v>5.0287649999999999</v>
      </c>
      <c r="DI49" s="102">
        <f>$BS49*(VLOOKUP(DI$4, Rates_current!$H$6:$R$41, 10, FALSE)+VLOOKUP(DI$4, Rates_current!$H$6:$R$41, 11, FALSE))</f>
        <v>22130.578615750535</v>
      </c>
      <c r="DJ49" s="102">
        <f>$BS49*(VLOOKUP(DJ$4, Rates_current!$H$6:$R$41, 10, FALSE)+VLOOKUP(DJ$4, Rates_current!$H$6:$R$41, 11, FALSE))</f>
        <v>28293.216396863354</v>
      </c>
      <c r="DK49" s="102">
        <f>$BS49*(VLOOKUP(DK$4, Rates_current!$H$6:$R$41, 10, FALSE)+VLOOKUP(DK$4, Rates_current!$H$6:$R$41, 11, FALSE))</f>
        <v>32167.020684809882</v>
      </c>
      <c r="DL49" s="102">
        <f>$BS49*(VLOOKUP(DL$4, Rates_current!$H$6:$R$41, 10, FALSE)+VLOOKUP(DL$4, Rates_current!$H$6:$R$41, 11, FALSE))</f>
        <v>33938.717744253627</v>
      </c>
      <c r="DM49" s="102">
        <f>$BS49*(VLOOKUP(DM$4, Rates_current!$H$6:$R$41, 10, FALSE)+VLOOKUP(DM$4, Rates_current!$H$6:$R$41, 11, FALSE))</f>
        <v>27046.094955813671</v>
      </c>
      <c r="DN49" s="102">
        <f>$BS49*(VLOOKUP(DN$4, Rates_current!$H$6:$R$41, 10, FALSE)+VLOOKUP(DN$4, Rates_current!$H$6:$R$41, 11, FALSE))</f>
        <v>29566.935857735079</v>
      </c>
      <c r="DO49" s="102">
        <f>$BS49*(VLOOKUP(DO$4, Rates_current!$H$6:$R$41, 10, FALSE)+VLOOKUP(DO$4, Rates_current!$H$6:$R$41, 11, FALSE))</f>
        <v>22914.672705682602</v>
      </c>
      <c r="DP49" s="102">
        <f>$BS49*(VLOOKUP(DP$4, Rates_current!$H$6:$R$41, 10, FALSE)+VLOOKUP(DP$4, Rates_current!$H$6:$R$41, 11, FALSE))</f>
        <v>29655.359435857084</v>
      </c>
      <c r="DQ49" s="102">
        <f>$BS49*(VLOOKUP(DQ$4, Rates_current!$H$6:$R$41, 10, FALSE)+VLOOKUP(DQ$4, Rates_current!$H$6:$R$41, 11, FALSE))</f>
        <v>30288.587686540741</v>
      </c>
      <c r="DR49" s="102">
        <f>$BS49*(VLOOKUP(DR$4, Rates_current!$H$6:$R$41, 10, FALSE)+VLOOKUP(DR$4, Rates_current!$H$6:$R$41, 11, FALSE))</f>
        <v>26959.462541424546</v>
      </c>
      <c r="DS49" s="102">
        <f>$BS49*(VLOOKUP(DS$4, Rates_current!$H$6:$R$41, 10, FALSE)+VLOOKUP(DS$4, Rates_current!$H$6:$R$41, 11, FALSE))</f>
        <v>27655.464363916264</v>
      </c>
      <c r="DT49" s="102">
        <f>$BS49*(VLOOKUP(DT$4, Rates_current!$H$6:$R$41, 10, FALSE)+VLOOKUP(DT$4, Rates_current!$H$6:$R$41, 11, FALSE))</f>
        <v>21477.783183220825</v>
      </c>
      <c r="DU49" s="261">
        <f>IF(D49=0,IF(C49=0,MAX(0,DW49 - (VLOOKUP($A49,TOCA_current!$A$2:$AV$136,MATCH("RHWM "&amp;Init!$D$1,TOCA_current!$A$2:$AV$2,0),FALSE)*$BS$2)), 0),0)</f>
        <v>0</v>
      </c>
      <c r="DV49" s="262">
        <f>MIN(VLOOKUP($A49,TOCA_current!$A$2:$AV$136,MATCH("TRL - NLSL - Existing Resource "&amp;$BS$1,TOCA_current!$A$2:$AV$2,0),FALSE)*$BS$2, VLOOKUP($A49,TOCA_current!$A$2:$AV$136,MATCH("RHWM "&amp;Init!$D$1,TOCA_current!$A$2:$AV$2,0),FALSE)*$BS$2)</f>
        <v>332091.59999999998</v>
      </c>
      <c r="DW49" s="262">
        <f>SUM(BY49:CV49)+(BS49*RT1SC!$C$4*$BS$2)</f>
        <v>332089.34160342778</v>
      </c>
      <c r="DX49" s="262">
        <f>VLOOKUP($A49,TOCA_current!$A$2:$AV$136,MATCH("Above RHWM Not Served with LS "&amp;$BS$1,TOCA_current!$A$2:$AV$2,0),FALSE)*$BS$2</f>
        <v>57491.88</v>
      </c>
      <c r="DY49" s="262">
        <f t="shared" si="28"/>
        <v>-2.2583965722005814</v>
      </c>
      <c r="DZ49" s="262">
        <f>(VLOOKUP($A49,TOCA_current!$A$2:$AV$136,MATCH("RHWM "&amp;Init!$D$1,TOCA_current!$A$2:$AV$2,0),FALSE)*$BS$2) - $DV49</f>
        <v>0</v>
      </c>
      <c r="EA49" s="262">
        <f t="shared" si="29"/>
        <v>0</v>
      </c>
      <c r="EB49" s="262">
        <f t="shared" si="30"/>
        <v>0</v>
      </c>
      <c r="EC49" s="262">
        <f t="shared" si="31"/>
        <v>0</v>
      </c>
      <c r="ED49" s="262">
        <f t="shared" si="32"/>
        <v>0</v>
      </c>
    </row>
    <row r="50" spans="1:134">
      <c r="A50" s="2">
        <v>10116</v>
      </c>
      <c r="B50" s="3" t="s">
        <v>52</v>
      </c>
      <c r="C50">
        <f>VLOOKUP(A50, TOCA_current!$A$3:$D$136, 4, FALSE)</f>
        <v>0</v>
      </c>
      <c r="D50">
        <v>0</v>
      </c>
      <c r="E50" s="84">
        <f>VLOOKUP($A50,TOCA_previous!$A$2:$AJ$136,MATCH(E$4,TOCA_previous!$A$2:$AJ$2,0),FALSE)</f>
        <v>3.3000000000000003E-5</v>
      </c>
      <c r="F50" s="85">
        <f>VLOOKUP($A50,TOCA_previous!$A$2:$AJ$136,MATCH(F$4,TOCA_previous!$A$2:$AJ$2,0),FALSE)</f>
        <v>3.3000000000000003E-5</v>
      </c>
      <c r="G50" s="85">
        <f t="shared" si="18"/>
        <v>0</v>
      </c>
      <c r="H50" s="85">
        <f>VLOOKUP($A50,TOCA_previous!$A$2:$AJ$136,MATCH(H$4,TOCA_previous!$A$2:$AJ$2,0),FALSE)</f>
        <v>0</v>
      </c>
      <c r="I50" s="85">
        <f t="shared" si="19"/>
        <v>0</v>
      </c>
      <c r="J50" s="85">
        <f t="shared" si="20"/>
        <v>0</v>
      </c>
      <c r="K50" s="101">
        <f>VLOOKUP(A50, IRD!$A$5:$C$138, 3, FALSE)</f>
        <v>0</v>
      </c>
      <c r="L50" s="102">
        <f t="array" ref="L50">IF($G50=0, INDEX(LS_previous!$D$4:$AY$137, MATCH('Staging Table'!$A50, LS_previous!$B$4:$B$137, 0), MATCH(L$4&amp;L$5, LS_previous!$D$2:$AY$2&amp;LS_previous!$D$3:$AY$3, 0)),SUM(VLOOKUP($A50, LS_previous!$B$4:$AY$137, LS_previous!D$148, FALSE), VLOOKUP('Staging Table'!$A50, LS_previous!$B$4:$AY$137,LS_previous!AB$148, FALSE))/2)</f>
        <v>25.843346811999979</v>
      </c>
      <c r="M50" s="102">
        <f t="array" ref="M50">IF($G50=0, INDEX(LS_previous!$D$4:$AY$137, MATCH('Staging Table'!$A50, LS_previous!$B$4:$B$137, 0), MATCH(M$4&amp;M$5, LS_previous!$D$2:$AY$2&amp;LS_previous!$D$3:$AY$3, 0)),SUM(VLOOKUP($A50, LS_previous!$B$4:$AY$137, LS_previous!E$148, FALSE), VLOOKUP('Staging Table'!$A50, LS_previous!$B$4:$AY$137,LS_previous!AC$148, FALSE))/2)</f>
        <v>26.527129058499995</v>
      </c>
      <c r="N50" s="102">
        <f t="array" ref="N50">IF($G50=0, INDEX(LS_previous!$D$4:$AY$137, MATCH('Staging Table'!$A50, LS_previous!$B$4:$B$137, 0), MATCH(N$4&amp;N$5, LS_previous!$D$2:$AY$2&amp;LS_previous!$D$3:$AY$3, 0)),SUM(VLOOKUP($A50, LS_previous!$B$4:$AY$137, LS_previous!F$148, FALSE), VLOOKUP('Staging Table'!$A50, LS_previous!$B$4:$AY$137,LS_previous!AD$148, FALSE))/2)</f>
        <v>-0.51908182400001124</v>
      </c>
      <c r="O50" s="102">
        <f t="array" ref="O50">IF($G50=0, INDEX(LS_previous!$D$4:$AY$137, MATCH('Staging Table'!$A50, LS_previous!$B$4:$B$137, 0), MATCH(O$4&amp;O$5, LS_previous!$D$2:$AY$2&amp;LS_previous!$D$3:$AY$3, 0)),SUM(VLOOKUP($A50, LS_previous!$B$4:$AY$137, LS_previous!G$148, FALSE), VLOOKUP('Staging Table'!$A50, LS_previous!$B$4:$AY$137,LS_previous!AE$148, FALSE))/2)</f>
        <v>13.352005176999995</v>
      </c>
      <c r="P50" s="102">
        <f t="array" ref="P50">IF($G50=0, INDEX(LS_previous!$D$4:$AY$137, MATCH('Staging Table'!$A50, LS_previous!$B$4:$B$137, 0), MATCH(P$4&amp;P$5, LS_previous!$D$2:$AY$2&amp;LS_previous!$D$3:$AY$3, 0)),SUM(VLOOKUP($A50, LS_previous!$B$4:$AY$137, LS_previous!H$148, FALSE), VLOOKUP('Staging Table'!$A50, LS_previous!$B$4:$AY$137,LS_previous!AF$148, FALSE))/2)</f>
        <v>-8.1029387000015163E-2</v>
      </c>
      <c r="Q50" s="102">
        <f t="array" ref="Q50">IF($G50=0, INDEX(LS_previous!$D$4:$AY$137, MATCH('Staging Table'!$A50, LS_previous!$B$4:$B$137, 0), MATCH(Q$4&amp;Q$5, LS_previous!$D$2:$AY$2&amp;LS_previous!$D$3:$AY$3, 0)),SUM(VLOOKUP($A50, LS_previous!$B$4:$AY$137, LS_previous!I$148, FALSE), VLOOKUP('Staging Table'!$A50, LS_previous!$B$4:$AY$137,LS_previous!AG$148, FALSE))/2)</f>
        <v>13.358208032000007</v>
      </c>
      <c r="R50" s="102">
        <f t="array" ref="R50">IF($G50=0, INDEX(LS_previous!$D$4:$AY$137, MATCH('Staging Table'!$A50, LS_previous!$B$4:$B$137, 0), MATCH(R$4&amp;R$5, LS_previous!$D$2:$AY$2&amp;LS_previous!$D$3:$AY$3, 0)),SUM(VLOOKUP($A50, LS_previous!$B$4:$AY$137, LS_previous!J$148, FALSE), VLOOKUP('Staging Table'!$A50, LS_previous!$B$4:$AY$137,LS_previous!AH$148, FALSE))/2)</f>
        <v>-2.2928265950000082</v>
      </c>
      <c r="S50" s="102">
        <f t="array" ref="S50">IF($G50=0, INDEX(LS_previous!$D$4:$AY$137, MATCH('Staging Table'!$A50, LS_previous!$B$4:$B$137, 0), MATCH(S$4&amp;S$5, LS_previous!$D$2:$AY$2&amp;LS_previous!$D$3:$AY$3, 0)),SUM(VLOOKUP($A50, LS_previous!$B$4:$AY$137, LS_previous!K$148, FALSE), VLOOKUP('Staging Table'!$A50, LS_previous!$B$4:$AY$137,LS_previous!AI$148, FALSE))/2)</f>
        <v>17.792445042999987</v>
      </c>
      <c r="T50" s="102">
        <f t="array" ref="T50">IF($G50=0, INDEX(LS_previous!$D$4:$AY$137, MATCH('Staging Table'!$A50, LS_previous!$B$4:$B$137, 0), MATCH(T$4&amp;T$5, LS_previous!$D$2:$AY$2&amp;LS_previous!$D$3:$AY$3, 0)),SUM(VLOOKUP($A50, LS_previous!$B$4:$AY$137, LS_previous!L$148, FALSE), VLOOKUP('Staging Table'!$A50, LS_previous!$B$4:$AY$137,LS_previous!AJ$148, FALSE))/2)</f>
        <v>5.5611359929999935</v>
      </c>
      <c r="U50" s="102">
        <f t="array" ref="U50">IF($G50=0, INDEX(LS_previous!$D$4:$AY$137, MATCH('Staging Table'!$A50, LS_previous!$B$4:$B$137, 0), MATCH(U$4&amp;U$5, LS_previous!$D$2:$AY$2&amp;LS_previous!$D$3:$AY$3, 0)),SUM(VLOOKUP($A50, LS_previous!$B$4:$AY$137, LS_previous!M$148, FALSE), VLOOKUP('Staging Table'!$A50, LS_previous!$B$4:$AY$137,LS_previous!AK$148, FALSE))/2)</f>
        <v>18.616235353</v>
      </c>
      <c r="V50" s="102">
        <f t="array" ref="V50">IF($G50=0, INDEX(LS_previous!$D$4:$AY$137, MATCH('Staging Table'!$A50, LS_previous!$B$4:$B$137, 0), MATCH(V$4&amp;V$5, LS_previous!$D$2:$AY$2&amp;LS_previous!$D$3:$AY$3, 0)),SUM(VLOOKUP($A50, LS_previous!$B$4:$AY$137, LS_previous!N$148, FALSE), VLOOKUP('Staging Table'!$A50, LS_previous!$B$4:$AY$137,LS_previous!AL$148, FALSE))/2)</f>
        <v>9.1236692709999971</v>
      </c>
      <c r="W50" s="102">
        <f t="array" ref="W50">IF($G50=0, INDEX(LS_previous!$D$4:$AY$137, MATCH('Staging Table'!$A50, LS_previous!$B$4:$B$137, 0), MATCH(W$4&amp;W$5, LS_previous!$D$2:$AY$2&amp;LS_previous!$D$3:$AY$3, 0)),SUM(VLOOKUP($A50, LS_previous!$B$4:$AY$137, LS_previous!O$148, FALSE), VLOOKUP('Staging Table'!$A50, LS_previous!$B$4:$AY$137,LS_previous!AM$148, FALSE))/2)</f>
        <v>11.472081325999994</v>
      </c>
      <c r="X50" s="102">
        <f t="array" ref="X50">IF($G50=0, INDEX(LS_previous!$D$4:$AY$137, MATCH('Staging Table'!$A50, LS_previous!$B$4:$B$137, 0), MATCH(X$4&amp;X$5, LS_previous!$D$2:$AY$2&amp;LS_previous!$D$3:$AY$3, 0)),SUM(VLOOKUP($A50, LS_previous!$B$4:$AY$137, LS_previous!P$148, FALSE), VLOOKUP('Staging Table'!$A50, LS_previous!$B$4:$AY$137,LS_previous!AN$148, FALSE))/2)</f>
        <v>27.849543342499985</v>
      </c>
      <c r="Y50" s="102">
        <f t="array" ref="Y50">IF($G50=0, INDEX(LS_previous!$D$4:$AY$137, MATCH('Staging Table'!$A50, LS_previous!$B$4:$B$137, 0), MATCH(Y$4&amp;Y$5, LS_previous!$D$2:$AY$2&amp;LS_previous!$D$3:$AY$3, 0)),SUM(VLOOKUP($A50, LS_previous!$B$4:$AY$137, LS_previous!Q$148, FALSE), VLOOKUP('Staging Table'!$A50, LS_previous!$B$4:$AY$137,LS_previous!AO$148, FALSE))/2)</f>
        <v>24.34895576225</v>
      </c>
      <c r="Z50" s="102">
        <f t="array" ref="Z50">IF($G50=0, INDEX(LS_previous!$D$4:$AY$137, MATCH('Staging Table'!$A50, LS_previous!$B$4:$B$137, 0), MATCH(Z$4&amp;Z$5, LS_previous!$D$2:$AY$2&amp;LS_previous!$D$3:$AY$3, 0)),SUM(VLOOKUP($A50, LS_previous!$B$4:$AY$137, LS_previous!R$148, FALSE), VLOOKUP('Staging Table'!$A50, LS_previous!$B$4:$AY$137,LS_previous!AP$148, FALSE))/2)</f>
        <v>-13.913955984000026</v>
      </c>
      <c r="AA50" s="102">
        <f t="array" ref="AA50">IF($G50=0, INDEX(LS_previous!$D$4:$AY$137, MATCH('Staging Table'!$A50, LS_previous!$B$4:$B$137, 0), MATCH(AA$4&amp;AA$5, LS_previous!$D$2:$AY$2&amp;LS_previous!$D$3:$AY$3, 0)),SUM(VLOOKUP($A50, LS_previous!$B$4:$AY$137, LS_previous!S$148, FALSE), VLOOKUP('Staging Table'!$A50, LS_previous!$B$4:$AY$137,LS_previous!AQ$148, FALSE))/2)</f>
        <v>-0.6632822305000019</v>
      </c>
      <c r="AB50" s="102">
        <f t="array" ref="AB50">IF($G50=0, INDEX(LS_previous!$D$4:$AY$137, MATCH('Staging Table'!$A50, LS_previous!$B$4:$B$137, 0), MATCH(AB$4&amp;AB$5, LS_previous!$D$2:$AY$2&amp;LS_previous!$D$3:$AY$3, 0)),SUM(VLOOKUP($A50, LS_previous!$B$4:$AY$137, LS_previous!T$148, FALSE), VLOOKUP('Staging Table'!$A50, LS_previous!$B$4:$AY$137,LS_previous!AR$148, FALSE))/2)</f>
        <v>-14.855261558000009</v>
      </c>
      <c r="AC50" s="102">
        <f t="array" ref="AC50">IF($G50=0, INDEX(LS_previous!$D$4:$AY$137, MATCH('Staging Table'!$A50, LS_previous!$B$4:$B$137, 0), MATCH(AC$4&amp;AC$5, LS_previous!$D$2:$AY$2&amp;LS_previous!$D$3:$AY$3, 0)),SUM(VLOOKUP($A50, LS_previous!$B$4:$AY$137, LS_previous!U$148, FALSE), VLOOKUP('Staging Table'!$A50, LS_previous!$B$4:$AY$137,LS_previous!AS$148, FALSE))/2)</f>
        <v>3.0379232014999928</v>
      </c>
      <c r="AD50" s="102">
        <f t="array" ref="AD50">IF($G50=0, INDEX(LS_previous!$D$4:$AY$137, MATCH('Staging Table'!$A50, LS_previous!$B$4:$B$137, 0), MATCH(AD$4&amp;AD$5, LS_previous!$D$2:$AY$2&amp;LS_previous!$D$3:$AY$3, 0)),SUM(VLOOKUP($A50, LS_previous!$B$4:$AY$137, LS_previous!V$148, FALSE), VLOOKUP('Staging Table'!$A50, LS_previous!$B$4:$AY$137,LS_previous!AT$148, FALSE))/2)</f>
        <v>-4.2330482120000141</v>
      </c>
      <c r="AE50" s="102">
        <f t="array" ref="AE50">IF($G50=0, INDEX(LS_previous!$D$4:$AY$137, MATCH('Staging Table'!$A50, LS_previous!$B$4:$B$137, 0), MATCH(AE$4&amp;AE$5, LS_previous!$D$2:$AY$2&amp;LS_previous!$D$3:$AY$3, 0)),SUM(VLOOKUP($A50, LS_previous!$B$4:$AY$137, LS_previous!W$148, FALSE), VLOOKUP('Staging Table'!$A50, LS_previous!$B$4:$AY$137,LS_previous!AU$148, FALSE))/2)</f>
        <v>3.0611532924999949</v>
      </c>
      <c r="AF50" s="102">
        <f t="array" ref="AF50">IF($G50=0, INDEX(LS_previous!$D$4:$AY$137, MATCH('Staging Table'!$A50, LS_previous!$B$4:$B$137, 0), MATCH(AF$4&amp;AF$5, LS_previous!$D$2:$AY$2&amp;LS_previous!$D$3:$AY$3, 0)),SUM(VLOOKUP($A50, LS_previous!$B$4:$AY$137, LS_previous!X$148, FALSE), VLOOKUP('Staging Table'!$A50, LS_previous!$B$4:$AY$137,LS_previous!AV$148, FALSE))/2)</f>
        <v>-12.555575659500008</v>
      </c>
      <c r="AG50" s="102">
        <f t="array" ref="AG50">IF($G50=0, INDEX(LS_previous!$D$4:$AY$137, MATCH('Staging Table'!$A50, LS_previous!$B$4:$B$137, 0), MATCH(AG$4&amp;AG$5, LS_previous!$D$2:$AY$2&amp;LS_previous!$D$3:$AY$3, 0)),SUM(VLOOKUP($A50, LS_previous!$B$4:$AY$137, LS_previous!Y$148, FALSE), VLOOKUP('Staging Table'!$A50, LS_previous!$B$4:$AY$137,LS_previous!AW$148, FALSE))/2)</f>
        <v>0.26964336494999941</v>
      </c>
      <c r="AH50" s="102">
        <f t="array" ref="AH50">IF($G50=0, INDEX(LS_previous!$D$4:$AY$137, MATCH('Staging Table'!$A50, LS_previous!$B$4:$B$137, 0), MATCH(AH$4&amp;AH$5, LS_previous!$D$2:$AY$2&amp;LS_previous!$D$3:$AY$3, 0)),SUM(VLOOKUP($A50, LS_previous!$B$4:$AY$137, LS_previous!Z$148, FALSE), VLOOKUP('Staging Table'!$A50, LS_previous!$B$4:$AY$137,LS_previous!AX$148, FALSE))/2)</f>
        <v>11.418036957999988</v>
      </c>
      <c r="AI50" s="102">
        <f t="array" ref="AI50">IF($G50=0, INDEX(LS_previous!$D$4:$AY$137, MATCH('Staging Table'!$A50, LS_previous!$B$4:$B$137, 0), MATCH(AI$4&amp;AI$5, LS_previous!$D$2:$AY$2&amp;LS_previous!$D$3:$AY$3, 0)),SUM(VLOOKUP($A50, LS_previous!$B$4:$AY$137, LS_previous!AA$148, FALSE), VLOOKUP('Staging Table'!$A50, LS_previous!$B$4:$AY$137,LS_previous!AY$148, FALSE))/2)</f>
        <v>9.9568195679999931</v>
      </c>
      <c r="AJ50" s="103">
        <f t="array" ref="AJ50">INDEX(Demand_previous!$D$4:$AY$137, MATCH('Staging Table'!$A50, Demand_previous!$B$4:$B$137, 0), MATCH(AJ$4&amp;AJ$5,Demand_previous!$D$2:$AY$2&amp;Demand_previous!$D$3:$AY$3, 0))/1000</f>
        <v>0.36039903846153848</v>
      </c>
      <c r="AK50" s="103">
        <f t="array" ref="AK50">INDEX(Demand_previous!$D$4:$AY$137, MATCH('Staging Table'!$A50, Demand_previous!$B$4:$B$137, 0), MATCH(AK$4&amp;AK$5,Demand_previous!$D$2:$AY$2&amp;Demand_previous!$D$3:$AY$3, 0))/1000</f>
        <v>0</v>
      </c>
      <c r="AL50" s="103">
        <f t="array" ref="AL50">INDEX(Demand_previous!$D$4:$AY$137, MATCH('Staging Table'!$A50, Demand_previous!$B$4:$B$137, 0), MATCH(AL$4&amp;AL$5,Demand_previous!$D$2:$AY$2&amp;Demand_previous!$D$3:$AY$3, 0))/1000</f>
        <v>0</v>
      </c>
      <c r="AM50" s="103">
        <f t="array" ref="AM50">INDEX(Demand_previous!$D$4:$AY$137, MATCH('Staging Table'!$A50, Demand_previous!$B$4:$B$137, 0), MATCH(AM$4&amp;AM$5,Demand_previous!$D$2:$AY$2&amp;Demand_previous!$D$3:$AY$3, 0))/1000</f>
        <v>0</v>
      </c>
      <c r="AN50" s="103">
        <f t="array" ref="AN50">INDEX(Demand_previous!$D$4:$AY$137, MATCH('Staging Table'!$A50, Demand_previous!$B$4:$B$137, 0), MATCH(AN$4&amp;AN$5,Demand_previous!$D$2:$AY$2&amp;Demand_previous!$D$3:$AY$3, 0))/1000</f>
        <v>0</v>
      </c>
      <c r="AO50" s="103">
        <f t="array" ref="AO50">INDEX(Demand_previous!$D$4:$AY$137, MATCH('Staging Table'!$A50, Demand_previous!$B$4:$B$137, 0), MATCH(AO$4&amp;AO$5,Demand_previous!$D$2:$AY$2&amp;Demand_previous!$D$3:$AY$3, 0))/1000</f>
        <v>0</v>
      </c>
      <c r="AP50" s="103">
        <f t="array" ref="AP50">INDEX(Demand_previous!$D$4:$AY$137, MATCH('Staging Table'!$A50, Demand_previous!$B$4:$B$137, 0), MATCH(AP$4&amp;AP$5,Demand_previous!$D$2:$AY$2&amp;Demand_previous!$D$3:$AY$3, 0))/1000</f>
        <v>0.28109374999999998</v>
      </c>
      <c r="AQ50" s="103">
        <f t="array" ref="AQ50">INDEX(Demand_previous!$D$4:$AY$137, MATCH('Staging Table'!$A50, Demand_previous!$B$4:$B$137, 0), MATCH(AQ$4&amp;AQ$5,Demand_previous!$D$2:$AY$2&amp;Demand_previous!$D$3:$AY$3, 0))/1000</f>
        <v>0.70297115384615394</v>
      </c>
      <c r="AR50" s="103">
        <f t="array" ref="AR50">INDEX(Demand_previous!$D$4:$AY$137, MATCH('Staging Table'!$A50, Demand_previous!$B$4:$B$137, 0), MATCH(AR$4&amp;AR$5,Demand_previous!$D$2:$AY$2&amp;Demand_previous!$D$3:$AY$3, 0))/1000</f>
        <v>0.90843750000000001</v>
      </c>
      <c r="AS50" s="103">
        <f t="array" ref="AS50">INDEX(Demand_previous!$D$4:$AY$137, MATCH('Staging Table'!$A50, Demand_previous!$B$4:$B$137, 0), MATCH(AS$4&amp;AS$5,Demand_previous!$D$2:$AY$2&amp;Demand_previous!$D$3:$AY$3, 0))/1000</f>
        <v>0.78687740384615401</v>
      </c>
      <c r="AT50" s="103">
        <f t="array" ref="AT50">INDEX(Demand_previous!$D$4:$AY$137, MATCH('Staging Table'!$A50, Demand_previous!$B$4:$B$137, 0), MATCH(AT$4&amp;AT$5,Demand_previous!$D$2:$AY$2&amp;Demand_previous!$D$3:$AY$3, 0))/1000</f>
        <v>0.89549999999999996</v>
      </c>
      <c r="AU50" s="103">
        <f t="array" ref="AU50">INDEX(Demand_previous!$D$4:$AY$137, MATCH('Staging Table'!$A50, Demand_previous!$B$4:$B$137, 0), MATCH(AU$4&amp;AU$5,Demand_previous!$D$2:$AY$2&amp;Demand_previous!$D$3:$AY$3, 0))/1000</f>
        <v>1.0825442708333335</v>
      </c>
      <c r="AV50" s="102">
        <f>$F50*(VLOOKUP(AV$4, Rates_previous!$G$6:$Q$29, 10, FALSE)+VLOOKUP(AV$4, Rates_previous!$G$6:$Q$29, 11, FALSE))</f>
        <v>139.22052412950001</v>
      </c>
      <c r="AW50" s="102">
        <f>$F50*(VLOOKUP(AW$4, Rates_previous!$G$6:$Q$29, 10, FALSE)+VLOOKUP(AW$4, Rates_previous!$G$6:$Q$29, 11, FALSE))</f>
        <v>177.55207664700004</v>
      </c>
      <c r="AX50" s="102">
        <f>$F50*(VLOOKUP(AX$4, Rates_previous!$G$6:$Q$29, 10, FALSE)+VLOOKUP(AX$4, Rates_previous!$G$6:$Q$29, 11, FALSE))</f>
        <v>191.61382135500003</v>
      </c>
      <c r="AY50" s="102">
        <f>$F50*(VLOOKUP(AY$4, Rates_previous!$G$6:$Q$29, 10, FALSE)+VLOOKUP(AY$4, Rates_previous!$G$6:$Q$29, 11, FALSE))</f>
        <v>199.11638155200001</v>
      </c>
      <c r="AZ50" s="102">
        <f>$F50*(VLOOKUP(AZ$4, Rates_previous!$G$6:$Q$29, 10, FALSE)+VLOOKUP(AZ$4, Rates_previous!$G$6:$Q$29, 11, FALSE))</f>
        <v>171.26662865399999</v>
      </c>
      <c r="BA50" s="102">
        <f>$F50*(VLOOKUP(BA$4, Rates_previous!$G$6:$Q$29, 10, FALSE)+VLOOKUP(BA$4, Rates_previous!$G$6:$Q$29, 11, FALSE))</f>
        <v>186.989249403</v>
      </c>
      <c r="BB50" s="102">
        <f>$F50*(VLOOKUP(BB$4, Rates_previous!$G$6:$Q$29, 10, FALSE)+VLOOKUP(BB$4, Rates_previous!$G$6:$Q$29, 11, FALSE))</f>
        <v>147.59650089524999</v>
      </c>
      <c r="BC50" s="102">
        <f>$F50*(VLOOKUP(BC$4, Rates_previous!$G$6:$Q$29, 10, FALSE)+VLOOKUP(BC$4, Rates_previous!$G$6:$Q$29, 11, FALSE))</f>
        <v>183.11323821450003</v>
      </c>
      <c r="BD50" s="102">
        <f>$F50*(VLOOKUP(BD$4, Rates_previous!$G$6:$Q$29, 10, FALSE)+VLOOKUP(BD$4, Rates_previous!$G$6:$Q$29, 11, FALSE))</f>
        <v>187.08633835649999</v>
      </c>
      <c r="BE50" s="102">
        <f>$F50*(VLOOKUP(BE$4, Rates_previous!$G$6:$Q$29, 10, FALSE)+VLOOKUP(BE$4, Rates_previous!$G$6:$Q$29, 11, FALSE))</f>
        <v>162.41789491950001</v>
      </c>
      <c r="BF50" s="102">
        <f>$F50*(VLOOKUP(BF$4, Rates_previous!$G$6:$Q$29, 10, FALSE)+VLOOKUP(BF$4, Rates_previous!$G$6:$Q$29, 11, FALSE))</f>
        <v>157.01493229455002</v>
      </c>
      <c r="BG50" s="102">
        <f>$F50*(VLOOKUP(BG$4, Rates_previous!$G$6:$Q$29, 10, FALSE)+VLOOKUP(BG$4, Rates_previous!$G$6:$Q$29, 11, FALSE))</f>
        <v>144.48414347400004</v>
      </c>
      <c r="BH50" s="103">
        <f>IF($D50=0,IF(C50=0, MAX(BJ50 - (VLOOKUP($A50,TOCA_previous!$A$2:$AJ$136,MATCH("RHWM "&amp;Init!$D$1-2,TOCA_previous!$A$2:$AJ$2,0),FALSE)*$F$2*TOCA_previous!C47),0),0), 0)</f>
        <v>217.19400938520016</v>
      </c>
      <c r="BI50" s="109">
        <f>MIN(VLOOKUP($A50,TOCA_previous!$A$2:$AJ$136,MATCH("TRL - NLSL - Existing Resource "&amp;$F$1,TOCA_previous!$A$2:$AJ$2,0),FALSE)*$F$2,(VLOOKUP($A50,TOCA_previous!$A$2:$AJ$136,MATCH("RHWM "&amp;Init!$D$1-2,TOCA_previous!$A$2:$AJ$2,0),FALSE)*$F$2))</f>
        <v>2002.7520000000002</v>
      </c>
      <c r="BJ50" s="261">
        <f>SUM(L50:AI50)+(F50*RT1SC!$C$3*$F$2)</f>
        <v>2219.9460093852003</v>
      </c>
      <c r="BK50" s="260">
        <f>VLOOKUP($A50,TOCA_previous!$A$2:$AJ$136,MATCH("Above RHWM Not Served with LS "&amp;$F$1,TOCA_previous!$A$2:$AJ$2,0),FALSE)*$F$2</f>
        <v>0</v>
      </c>
      <c r="BL50" s="261">
        <f t="shared" si="21"/>
        <v>217.19400938520016</v>
      </c>
      <c r="BM50" s="260">
        <f>(VLOOKUP($A50,TOCA_previous!$A$2:$AJ$136,MATCH("RHWM "&amp;Init!$D$1-2,TOCA_previous!$A$2:$AJ$2,0),FALSE)*$F$2) - $BI50</f>
        <v>0</v>
      </c>
      <c r="BN50" s="261">
        <f t="shared" si="22"/>
        <v>0</v>
      </c>
      <c r="BO50" s="260">
        <f t="shared" si="23"/>
        <v>0</v>
      </c>
      <c r="BP50" s="261">
        <f t="shared" si="24"/>
        <v>0</v>
      </c>
      <c r="BQ50" s="260">
        <f t="shared" si="9"/>
        <v>0</v>
      </c>
      <c r="BR50" s="85">
        <f>VLOOKUP($A50,TOCA_current!$A$2:$ZZ$136,MATCH(BR$4,TOCA_current!$A$2:$ZZ$2,0),FALSE)</f>
        <v>3.2199999999999997E-5</v>
      </c>
      <c r="BS50" s="85">
        <f>VLOOKUP($A50,TOCA_current!$A$2:$ZZ$136,MATCH(BS$4,TOCA_current!$A$2:$ZZ$2,0),FALSE)</f>
        <v>3.2199999999999997E-5</v>
      </c>
      <c r="BT50" s="108">
        <f t="shared" si="25"/>
        <v>0</v>
      </c>
      <c r="BU50" s="85">
        <f>VLOOKUP($A50,TOCA_current!A47:BG181,MATCH(BU$4,TOCA_current!$A$2:$BG$2,0),FALSE)</f>
        <v>0</v>
      </c>
      <c r="BV50" s="85">
        <f t="shared" si="26"/>
        <v>0</v>
      </c>
      <c r="BW50" s="85">
        <f t="shared" si="27"/>
        <v>0</v>
      </c>
      <c r="BX50" s="101">
        <f>VLOOKUP($A50,IRD!$A$4:$G$138, 7, FALSE)</f>
        <v>0</v>
      </c>
      <c r="BY50" s="102">
        <f t="array" ref="BY50">IF($BT50=0, INDEX(LS_current!$D$4:$BW$137, MATCH('Staging Table'!$A50, LS_current!$B$4:$B$137, 0), MATCH(BY$4&amp;BY$5, LS_current!$D$2:$BW$2&amp;LS_current!$D$3:$BW$3, 0)),SUM(VLOOKUP($A50, LS_current!$B$4:$BW$137, LS_current!D$147, FALSE), VLOOKUP($A50, LS_current!$B$4:$BW$137,LS_current!AZ$147, FALSE))/2)</f>
        <v>26.803424003922231</v>
      </c>
      <c r="BZ50" s="102">
        <f t="array" ref="BZ50">IF($BT50=0, INDEX(LS_current!$D$4:$BW$137, MATCH('Staging Table'!$A50, LS_current!$B$4:$B$137, 0), MATCH(BZ$4&amp;BZ$5, LS_current!$D$2:$BW$2&amp;LS_current!$D$3:$BW$3, 0)),SUM(VLOOKUP($A50, LS_current!$B$4:$BW$137, LS_current!E$147, FALSE), VLOOKUP($A50, LS_current!$B$4:$BW$137,LS_current!BA$147, FALSE))/2)</f>
        <v>31.148314996665292</v>
      </c>
      <c r="CA50" s="102">
        <f t="array" ref="CA50">IF($BT50=0, INDEX(LS_current!$D$4:$BW$137, MATCH('Staging Table'!$A50, LS_current!$B$4:$B$137, 0), MATCH(CA$4&amp;CA$5, LS_current!$D$2:$BW$2&amp;LS_current!$D$3:$BW$3, 0)),SUM(VLOOKUP($A50, LS_current!$B$4:$BW$137, LS_current!F$147, FALSE), VLOOKUP($A50, LS_current!$B$4:$BW$137,LS_current!BB$147, FALSE))/2)</f>
        <v>3.9887055994260976</v>
      </c>
      <c r="CB50" s="102">
        <f t="array" ref="CB50">IF($BT50=0, INDEX(LS_current!$D$4:$BW$137, MATCH('Staging Table'!$A50, LS_current!$B$4:$B$137, 0), MATCH(CB$4&amp;CB$5, LS_current!$D$2:$BW$2&amp;LS_current!$D$3:$BW$3, 0)),SUM(VLOOKUP($A50, LS_current!$B$4:$BW$137, LS_current!G$147, FALSE), VLOOKUP($A50, LS_current!$B$4:$BW$137,LS_current!BC$147, FALSE))/2)</f>
        <v>15.542897558873364</v>
      </c>
      <c r="CC50" s="102">
        <f t="array" ref="CC50">IF($BT50=0, INDEX(LS_current!$D$4:$BW$137, MATCH('Staging Table'!$A50, LS_current!$B$4:$B$137, 0), MATCH(CC$4&amp;CC$5, LS_current!$D$2:$BW$2&amp;LS_current!$D$3:$BW$3, 0)),SUM(VLOOKUP($A50, LS_current!$B$4:$BW$137, LS_current!H$147, FALSE), VLOOKUP($A50, LS_current!$B$4:$BW$137,LS_current!BD$147, FALSE))/2)</f>
        <v>-8.4191325616886274</v>
      </c>
      <c r="CD50" s="102">
        <f t="array" ref="CD50">IF($BT50=0, INDEX(LS_current!$D$4:$BW$137, MATCH('Staging Table'!$A50, LS_current!$B$4:$B$137, 0), MATCH(CD$4&amp;CD$5, LS_current!$D$2:$BW$2&amp;LS_current!$D$3:$BW$3, 0)),SUM(VLOOKUP($A50, LS_current!$B$4:$BW$137, LS_current!I$147, FALSE), VLOOKUP($A50, LS_current!$B$4:$BW$137,LS_current!BE$147, FALSE))/2)</f>
        <v>19.064110010279634</v>
      </c>
      <c r="CE50" s="102">
        <f t="array" ref="CE50">IF($BT50=0, INDEX(LS_current!$D$4:$BW$137, MATCH('Staging Table'!$A50, LS_current!$B$4:$B$137, 0), MATCH(CE$4&amp;CE$5, LS_current!$D$2:$BW$2&amp;LS_current!$D$3:$BW$3, 0)),SUM(VLOOKUP($A50, LS_current!$B$4:$BW$137, LS_current!J$147, FALSE), VLOOKUP($A50, LS_current!$B$4:$BW$137,LS_current!BF$147, FALSE))/2)</f>
        <v>-8.1933271023228116</v>
      </c>
      <c r="CF50" s="102">
        <f t="array" ref="CF50">IF($BT50=0, INDEX(LS_current!$D$4:$BW$137, MATCH('Staging Table'!$A50, LS_current!$B$4:$B$137, 0), MATCH(CF$4&amp;CF$5, LS_current!$D$2:$BW$2&amp;LS_current!$D$3:$BW$3, 0)),SUM(VLOOKUP($A50, LS_current!$B$4:$BW$137, LS_current!K$147, FALSE), VLOOKUP($A50, LS_current!$B$4:$BW$137,LS_current!BG$147, FALSE))/2)</f>
        <v>17.864610682585251</v>
      </c>
      <c r="CG50" s="102">
        <f t="array" ref="CG50">IF($BT50=0, INDEX(LS_current!$D$4:$BW$137, MATCH('Staging Table'!$A50, LS_current!$B$4:$B$137, 0), MATCH(CG$4&amp;CG$5, LS_current!$D$2:$BW$2&amp;LS_current!$D$3:$BW$3, 0)),SUM(VLOOKUP($A50, LS_current!$B$4:$BW$137, LS_current!L$147, FALSE), VLOOKUP($A50, LS_current!$B$4:$BW$137,LS_current!BH$147, FALSE))/2)</f>
        <v>10.530964297685813</v>
      </c>
      <c r="CH50" s="102">
        <f t="array" ref="CH50">IF($BT50=0, INDEX(LS_current!$D$4:$BW$137, MATCH('Staging Table'!$A50, LS_current!$B$4:$B$137, 0), MATCH(CH$4&amp;CH$5, LS_current!$D$2:$BW$2&amp;LS_current!$D$3:$BW$3, 0)),SUM(VLOOKUP($A50, LS_current!$B$4:$BW$137, LS_current!M$147, FALSE), VLOOKUP($A50, LS_current!$B$4:$BW$137,LS_current!BI$147, FALSE))/2)</f>
        <v>21.590593683448027</v>
      </c>
      <c r="CI50" s="102">
        <f t="array" ref="CI50">IF($BT50=0, INDEX(LS_current!$D$4:$BW$137, MATCH('Staging Table'!$A50, LS_current!$B$4:$B$137, 0), MATCH(CI$4&amp;CI$5, LS_current!$D$2:$BW$2&amp;LS_current!$D$3:$BW$3, 0)),SUM(VLOOKUP($A50, LS_current!$B$4:$BW$137, LS_current!N$147, FALSE), VLOOKUP($A50, LS_current!$B$4:$BW$137,LS_current!BJ$147, FALSE))/2)</f>
        <v>6.8510285482965685</v>
      </c>
      <c r="CJ50" s="102">
        <f t="array" ref="CJ50">IF($BT50=0, INDEX(LS_current!$D$4:$BW$137, MATCH('Staging Table'!$A50, LS_current!$B$4:$B$137, 0), MATCH(CJ$4&amp;CJ$5, LS_current!$D$2:$BW$2&amp;LS_current!$D$3:$BW$3, 0)),SUM(VLOOKUP($A50, LS_current!$B$4:$BW$137, LS_current!O$147, FALSE), VLOOKUP($A50, LS_current!$B$4:$BW$137,LS_current!BK$147, FALSE))/2)</f>
        <v>22.18900312301421</v>
      </c>
      <c r="CK50" s="102">
        <f t="array" ref="CK50">IF($BT50=0, INDEX(LS_current!$D$4:$BW$137, MATCH('Staging Table'!$A50, LS_current!$B$4:$B$137, 0), MATCH(CK$4&amp;CK$5, LS_current!$D$2:$BW$2&amp;LS_current!$D$3:$BW$3, 0)),SUM(VLOOKUP($A50, LS_current!$B$4:$BW$137, LS_current!P$147, FALSE), VLOOKUP($A50, LS_current!$B$4:$BW$137,LS_current!BL$147, FALSE))/2)</f>
        <v>32.490567643668584</v>
      </c>
      <c r="CL50" s="102">
        <f t="array" ref="CL50">IF($BT50=0, INDEX(LS_current!$D$4:$BW$137, MATCH('Staging Table'!$A50, LS_current!$B$4:$B$137, 0), MATCH(CL$4&amp;CL$5, LS_current!$D$2:$BW$2&amp;LS_current!$D$3:$BW$3, 0)),SUM(VLOOKUP($A50, LS_current!$B$4:$BW$137, LS_current!Q$147, FALSE), VLOOKUP($A50, LS_current!$B$4:$BW$137,LS_current!BM$147, FALSE))/2)</f>
        <v>28.93028590489773</v>
      </c>
      <c r="CM50" s="102">
        <f t="array" ref="CM50">IF($BT50=0, INDEX(LS_current!$D$4:$BW$137, MATCH('Staging Table'!$A50, LS_current!$B$4:$B$137, 0), MATCH(CM$4&amp;CM$5, LS_current!$D$2:$BW$2&amp;LS_current!$D$3:$BW$3, 0)),SUM(VLOOKUP($A50, LS_current!$B$4:$BW$137, LS_current!R$147, FALSE), VLOOKUP($A50, LS_current!$B$4:$BW$137,LS_current!BN$147, FALSE))/2)</f>
        <v>-11.081410270961769</v>
      </c>
      <c r="CN50" s="102">
        <f t="array" ref="CN50">IF($BT50=0, INDEX(LS_current!$D$4:$BW$137, MATCH('Staging Table'!$A50, LS_current!$B$4:$B$137, 0), MATCH(CN$4&amp;CN$5, LS_current!$D$2:$BW$2&amp;LS_current!$D$3:$BW$3, 0)),SUM(VLOOKUP($A50, LS_current!$B$4:$BW$137, LS_current!S$147, FALSE), VLOOKUP($A50, LS_current!$B$4:$BW$137,LS_current!BO$147, FALSE))/2)</f>
        <v>0.53848113445442891</v>
      </c>
      <c r="CO50" s="102">
        <f t="array" ref="CO50">IF($BT50=0, INDEX(LS_current!$D$4:$BW$137, MATCH('Staging Table'!$A50, LS_current!$B$4:$B$137, 0), MATCH(CO$4&amp;CO$5, LS_current!$D$2:$BW$2&amp;LS_current!$D$3:$BW$3, 0)),SUM(VLOOKUP($A50, LS_current!$B$4:$BW$137, LS_current!T$147, FALSE), VLOOKUP($A50, LS_current!$B$4:$BW$137,LS_current!BP$147, FALSE))/2)</f>
        <v>-16.580718778596264</v>
      </c>
      <c r="CP50" s="102">
        <f t="array" ref="CP50">IF($BT50=0, INDEX(LS_current!$D$4:$BW$137, MATCH('Staging Table'!$A50, LS_current!$B$4:$B$137, 0), MATCH(CP$4&amp;CP$5, LS_current!$D$2:$BW$2&amp;LS_current!$D$3:$BW$3, 0)),SUM(VLOOKUP($A50, LS_current!$B$4:$BW$137, LS_current!U$147, FALSE), VLOOKUP($A50, LS_current!$B$4:$BW$137,LS_current!BQ$147, FALSE))/2)</f>
        <v>8.9469332064019653</v>
      </c>
      <c r="CQ50" s="102">
        <f t="array" ref="CQ50">IF($BT50=0, INDEX(LS_current!$D$4:$BW$137, MATCH('Staging Table'!$A50, LS_current!$B$4:$B$137, 0), MATCH(CQ$4&amp;CQ$5, LS_current!$D$2:$BW$2&amp;LS_current!$D$3:$BW$3, 0)),SUM(VLOOKUP($A50, LS_current!$B$4:$BW$137, LS_current!V$147, FALSE), VLOOKUP($A50, LS_current!$B$4:$BW$137,LS_current!BR$147, FALSE))/2)</f>
        <v>-6.1792994645171717</v>
      </c>
      <c r="CR50" s="102">
        <f t="array" ref="CR50">IF($BT50=0, INDEX(LS_current!$D$4:$BW$137, MATCH('Staging Table'!$A50, LS_current!$B$4:$B$137, 0), MATCH(CR$4&amp;CR$5, LS_current!$D$2:$BW$2&amp;LS_current!$D$3:$BW$3, 0)),SUM(VLOOKUP($A50, LS_current!$B$4:$BW$137, LS_current!W$147, FALSE), VLOOKUP($A50, LS_current!$B$4:$BW$137,LS_current!BS$147, FALSE))/2)</f>
        <v>4.6260020067840557</v>
      </c>
      <c r="CS50" s="102">
        <f t="array" ref="CS50">IF($BT50=0, INDEX(LS_current!$D$4:$BW$137, MATCH('Staging Table'!$A50, LS_current!$B$4:$B$137, 0), MATCH(CS$4&amp;CS$5, LS_current!$D$2:$BW$2&amp;LS_current!$D$3:$BW$3, 0)),SUM(VLOOKUP($A50, LS_current!$B$4:$BW$137, LS_current!X$147, FALSE), VLOOKUP($A50, LS_current!$B$4:$BW$137,LS_current!BT$147, FALSE))/2)</f>
        <v>-23.960427430533514</v>
      </c>
      <c r="CT50" s="102">
        <f t="array" ref="CT50">IF($BT50=0, INDEX(LS_current!$D$4:$BW$137, MATCH('Staging Table'!$A50, LS_current!$B$4:$B$137, 0), MATCH(CT$4&amp;CT$5, LS_current!$D$2:$BW$2&amp;LS_current!$D$3:$BW$3, 0)),SUM(VLOOKUP($A50, LS_current!$B$4:$BW$137, LS_current!Y$147, FALSE), VLOOKUP($A50, LS_current!$B$4:$BW$137,LS_current!BU$147, FALSE))/2)</f>
        <v>1.6872046527258888</v>
      </c>
      <c r="CU50" s="102">
        <f t="array" ref="CU50">IF($BT50=0, INDEX(LS_current!$D$4:$BW$137, MATCH('Staging Table'!$A50, LS_current!$B$4:$B$137, 0), MATCH(CU$4&amp;CU$5, LS_current!$D$2:$BW$2&amp;LS_current!$D$3:$BW$3, 0)),SUM(VLOOKUP($A50, LS_current!$B$4:$BW$137, LS_current!Z$147, FALSE), VLOOKUP($A50, LS_current!$B$4:$BW$137,LS_current!BV$147, FALSE))/2)</f>
        <v>16.984167367877916</v>
      </c>
      <c r="CV50" s="102">
        <f t="array" ref="CV50">IF($BT50=0, INDEX(LS_current!$D$4:$BW$137, MATCH('Staging Table'!$A50, LS_current!$B$4:$B$137, 0), MATCH(CV$4&amp;CV$5, LS_current!$D$2:$BW$2&amp;LS_current!$D$3:$BW$3, 0)),SUM(VLOOKUP($A50, LS_current!$B$4:$BW$137, LS_current!AA$147, FALSE), VLOOKUP($A50, LS_current!$B$4:$BW$137,LS_current!BW$147, FALSE))/2)</f>
        <v>19.177587822244462</v>
      </c>
      <c r="CW50" s="103">
        <f t="array" ref="CW50">INDEX(Demand_current!$D$4:$BW$137, MATCH($A50, Demand_current!$B$4:$B$137, 0), MATCH(CW$4&amp;CW$5,Demand_current!$D$2:$BW$2&amp;Demand_current!$D$3:$BW$3, 0))/1000</f>
        <v>0.37019907407407415</v>
      </c>
      <c r="CX50" s="103">
        <f t="array" ref="CX50">INDEX(Demand_current!$D$4:$BW$137, MATCH($A50, Demand_current!$B$4:$B$137, 0), MATCH(CX$4&amp;CX$5,Demand_current!$D$2:$BW$2&amp;Demand_current!$D$3:$BW$3, 0))/1000</f>
        <v>0</v>
      </c>
      <c r="CY50" s="103">
        <f t="array" ref="CY50">INDEX(Demand_current!$D$4:$BW$137, MATCH($A50, Demand_current!$B$4:$B$137, 0), MATCH(CY$4&amp;CY$5,Demand_current!$D$2:$BW$2&amp;Demand_current!$D$3:$BW$3, 0))/1000</f>
        <v>0</v>
      </c>
      <c r="CZ50" s="103">
        <f t="array" ref="CZ50">INDEX(Demand_current!$D$4:$BW$137, MATCH($A50, Demand_current!$B$4:$B$137, 0), MATCH(CZ$4&amp;CZ$5,Demand_current!$D$2:$BW$2&amp;Demand_current!$D$3:$BW$3, 0))/1000</f>
        <v>0</v>
      </c>
      <c r="DA50" s="103">
        <f t="array" ref="DA50">INDEX(Demand_current!$D$4:$BW$137, MATCH($A50, Demand_current!$B$4:$B$137, 0), MATCH(DA$4&amp;DA$5,Demand_current!$D$2:$BW$2&amp;Demand_current!$D$3:$BW$3, 0))/1000</f>
        <v>0</v>
      </c>
      <c r="DB50" s="103">
        <f t="array" ref="DB50">INDEX(Demand_current!$D$4:$BW$137, MATCH($A50, Demand_current!$B$4:$B$137, 0), MATCH(DB$4&amp;DB$5,Demand_current!$D$2:$BW$2&amp;Demand_current!$D$3:$BW$3, 0))/1000</f>
        <v>0</v>
      </c>
      <c r="DC50" s="103">
        <f t="array" ref="DC50">INDEX(Demand_current!$D$4:$BW$137, MATCH($A50, Demand_current!$B$4:$B$137, 0), MATCH(DC$4&amp;DC$5,Demand_current!$D$2:$BW$2&amp;Demand_current!$D$3:$BW$3, 0))/1000</f>
        <v>0.28109374999999998</v>
      </c>
      <c r="DD50" s="103">
        <f t="array" ref="DD50">INDEX(Demand_current!$D$4:$BW$137, MATCH($A50, Demand_current!$B$4:$B$137, 0), MATCH(DD$4&amp;DD$5,Demand_current!$D$2:$BW$2&amp;Demand_current!$D$3:$BW$3, 0))/1000</f>
        <v>0.69361000000000006</v>
      </c>
      <c r="DE50" s="103">
        <f t="array" ref="DE50">INDEX(Demand_current!$D$4:$BW$137, MATCH($A50, Demand_current!$B$4:$B$137, 0), MATCH(DE$4&amp;DE$5,Demand_current!$D$2:$BW$2&amp;Demand_current!$D$3:$BW$3, 0))/1000</f>
        <v>0.91830528846153858</v>
      </c>
      <c r="DF50" s="103">
        <f t="array" ref="DF50">INDEX(Demand_current!$D$4:$BW$137, MATCH($A50, Demand_current!$B$4:$B$137, 0), MATCH(DF$4&amp;DF$5,Demand_current!$D$2:$BW$2&amp;Demand_current!$D$3:$BW$3, 0))/1000</f>
        <v>0.78687740384615401</v>
      </c>
      <c r="DG50" s="103">
        <f t="array" ref="DG50">INDEX(Demand_current!$D$4:$BW$137, MATCH($A50, Demand_current!$B$4:$B$137, 0), MATCH(DG$4&amp;DG$5,Demand_current!$D$2:$BW$2&amp;Demand_current!$D$3:$BW$3, 0))/1000</f>
        <v>0.88775000000000004</v>
      </c>
      <c r="DH50" s="103">
        <f t="array" ref="DH50">INDEX(Demand_current!$D$4:$BW$137, MATCH($A50, Demand_current!$B$4:$B$137, 0), MATCH(DH$4&amp;DH$5,Demand_current!$D$2:$BW$2&amp;Demand_current!$D$3:$BW$3, 0))/1000</f>
        <v>1.0927225000000003</v>
      </c>
      <c r="DI50" s="102">
        <f>$BS50*(VLOOKUP(DI$4, Rates_current!$H$6:$R$41, 10, FALSE)+VLOOKUP(DI$4, Rates_current!$H$6:$R$41, 11, FALSE))</f>
        <v>133.63926099941247</v>
      </c>
      <c r="DJ50" s="102">
        <f>$BS50*(VLOOKUP(DJ$4, Rates_current!$H$6:$R$41, 10, FALSE)+VLOOKUP(DJ$4, Rates_current!$H$6:$R$41, 11, FALSE))</f>
        <v>170.85339684170057</v>
      </c>
      <c r="DK50" s="102">
        <f>$BS50*(VLOOKUP(DK$4, Rates_current!$H$6:$R$41, 10, FALSE)+VLOOKUP(DK$4, Rates_current!$H$6:$R$41, 11, FALSE))</f>
        <v>194.24602255140897</v>
      </c>
      <c r="DL50" s="102">
        <f>$BS50*(VLOOKUP(DL$4, Rates_current!$H$6:$R$41, 10, FALSE)+VLOOKUP(DL$4, Rates_current!$H$6:$R$41, 11, FALSE))</f>
        <v>204.94471641973757</v>
      </c>
      <c r="DM50" s="102">
        <f>$BS50*(VLOOKUP(DM$4, Rates_current!$H$6:$R$41, 10, FALSE)+VLOOKUP(DM$4, Rates_current!$H$6:$R$41, 11, FALSE))</f>
        <v>163.32244201886618</v>
      </c>
      <c r="DN50" s="102">
        <f>$BS50*(VLOOKUP(DN$4, Rates_current!$H$6:$R$41, 10, FALSE)+VLOOKUP(DN$4, Rates_current!$H$6:$R$41, 11, FALSE))</f>
        <v>178.54496832868921</v>
      </c>
      <c r="DO50" s="102">
        <f>$BS50*(VLOOKUP(DO$4, Rates_current!$H$6:$R$41, 10, FALSE)+VLOOKUP(DO$4, Rates_current!$H$6:$R$41, 11, FALSE))</f>
        <v>138.37414645143369</v>
      </c>
      <c r="DP50" s="102">
        <f>$BS50*(VLOOKUP(DP$4, Rates_current!$H$6:$R$41, 10, FALSE)+VLOOKUP(DP$4, Rates_current!$H$6:$R$41, 11, FALSE))</f>
        <v>179.07892913650733</v>
      </c>
      <c r="DQ50" s="102">
        <f>$BS50*(VLOOKUP(DQ$4, Rates_current!$H$6:$R$41, 10, FALSE)+VLOOKUP(DQ$4, Rates_current!$H$6:$R$41, 11, FALSE))</f>
        <v>182.90278557219432</v>
      </c>
      <c r="DR50" s="102">
        <f>$BS50*(VLOOKUP(DR$4, Rates_current!$H$6:$R$41, 10, FALSE)+VLOOKUP(DR$4, Rates_current!$H$6:$R$41, 11, FALSE))</f>
        <v>162.7992974577331</v>
      </c>
      <c r="DS50" s="102">
        <f>$BS50*(VLOOKUP(DS$4, Rates_current!$H$6:$R$41, 10, FALSE)+VLOOKUP(DS$4, Rates_current!$H$6:$R$41, 11, FALSE))</f>
        <v>167.00222277780765</v>
      </c>
      <c r="DT50" s="102">
        <f>$BS50*(VLOOKUP(DT$4, Rates_current!$H$6:$R$41, 10, FALSE)+VLOOKUP(DT$4, Rates_current!$H$6:$R$41, 11, FALSE))</f>
        <v>129.69724480987762</v>
      </c>
      <c r="DU50" s="261">
        <f>IF(D50=0,IF(C50=0,MAX(0,DW50 - (VLOOKUP($A50,TOCA_current!$A$2:$AV$136,MATCH("RHWM "&amp;Init!$D$1,TOCA_current!$A$2:$AV$2,0),FALSE)*$BS$2)), 0),0)</f>
        <v>213.90611837863094</v>
      </c>
      <c r="DV50" s="262">
        <f>MIN(VLOOKUP($A50,TOCA_current!$A$2:$AV$136,MATCH("TRL - NLSL - Existing Resource "&amp;$BS$1,TOCA_current!$A$2:$AV$2,0),FALSE)*$BS$2, VLOOKUP($A50,TOCA_current!$A$2:$AV$136,MATCH("RHWM "&amp;Init!$D$1,TOCA_current!$A$2:$AV$2,0),FALSE)*$BS$2)</f>
        <v>2006.0400000000002</v>
      </c>
      <c r="DW50" s="262">
        <f>SUM(BY50:CV50)+(BS50*RT1SC!$C$4*$BS$2)</f>
        <v>2219.9461183786311</v>
      </c>
      <c r="DX50" s="262">
        <f>VLOOKUP($A50,TOCA_current!$A$2:$AV$136,MATCH("Above RHWM Not Served with LS "&amp;$BS$1,TOCA_current!$A$2:$AV$2,0),FALSE)*$BS$2</f>
        <v>0</v>
      </c>
      <c r="DY50" s="262">
        <f t="shared" si="28"/>
        <v>213.90611837863094</v>
      </c>
      <c r="DZ50" s="262">
        <f>(VLOOKUP($A50,TOCA_current!$A$2:$AV$136,MATCH("RHWM "&amp;Init!$D$1,TOCA_current!$A$2:$AV$2,0),FALSE)*$BS$2) - $DV50</f>
        <v>0</v>
      </c>
      <c r="EA50" s="262">
        <f t="shared" si="29"/>
        <v>0</v>
      </c>
      <c r="EB50" s="262">
        <f t="shared" si="30"/>
        <v>0</v>
      </c>
      <c r="EC50" s="262">
        <f t="shared" si="31"/>
        <v>0</v>
      </c>
      <c r="ED50" s="262">
        <f t="shared" si="32"/>
        <v>0</v>
      </c>
    </row>
    <row r="51" spans="1:134">
      <c r="A51" s="2">
        <v>10118</v>
      </c>
      <c r="B51" s="3" t="s">
        <v>53</v>
      </c>
      <c r="C51">
        <f>VLOOKUP(A51, TOCA_current!$A$3:$D$136, 4, FALSE)</f>
        <v>1</v>
      </c>
      <c r="D51">
        <v>0</v>
      </c>
      <c r="E51" s="84">
        <f>VLOOKUP($A51,TOCA_previous!$A$2:$AJ$136,MATCH(E$4,TOCA_previous!$A$2:$AJ$2,0),FALSE)</f>
        <v>6.6122999999999998E-3</v>
      </c>
      <c r="F51" s="85">
        <f>VLOOKUP($A51,TOCA_previous!$A$2:$AJ$136,MATCH(F$4,TOCA_previous!$A$2:$AJ$2,0),FALSE)</f>
        <v>6.6122999999999998E-3</v>
      </c>
      <c r="G51" s="85">
        <f t="shared" si="18"/>
        <v>0</v>
      </c>
      <c r="H51" s="85">
        <f>VLOOKUP($A51,TOCA_previous!$A$2:$AJ$136,MATCH(H$4,TOCA_previous!$A$2:$AJ$2,0),FALSE)</f>
        <v>7.0042146516617762E-2</v>
      </c>
      <c r="I51" s="85">
        <f t="shared" si="19"/>
        <v>7.0042146516617762E-2</v>
      </c>
      <c r="J51" s="85">
        <f t="shared" si="20"/>
        <v>6.6122999999999998E-3</v>
      </c>
      <c r="K51" s="101">
        <f>VLOOKUP(A51, IRD!$A$5:$C$138, 3, FALSE)</f>
        <v>0</v>
      </c>
      <c r="L51" s="102">
        <f t="array" ref="L51">IF($G51=0, INDEX(LS_previous!$D$4:$AY$137, MATCH('Staging Table'!$A51, LS_previous!$B$4:$B$137, 0), MATCH(L$4&amp;L$5, LS_previous!$D$2:$AY$2&amp;LS_previous!$D$3:$AY$3, 0)),SUM(VLOOKUP($A51, LS_previous!$B$4:$AY$137, LS_previous!D$148, FALSE), VLOOKUP('Staging Table'!$A51, LS_previous!$B$4:$AY$137,LS_previous!AB$148, FALSE))/2)</f>
        <v>0</v>
      </c>
      <c r="M51" s="102">
        <f t="array" ref="M51">IF($G51=0, INDEX(LS_previous!$D$4:$AY$137, MATCH('Staging Table'!$A51, LS_previous!$B$4:$B$137, 0), MATCH(M$4&amp;M$5, LS_previous!$D$2:$AY$2&amp;LS_previous!$D$3:$AY$3, 0)),SUM(VLOOKUP($A51, LS_previous!$B$4:$AY$137, LS_previous!E$148, FALSE), VLOOKUP('Staging Table'!$A51, LS_previous!$B$4:$AY$137,LS_previous!AC$148, FALSE))/2)</f>
        <v>0</v>
      </c>
      <c r="N51" s="102">
        <f t="array" ref="N51">IF($G51=0, INDEX(LS_previous!$D$4:$AY$137, MATCH('Staging Table'!$A51, LS_previous!$B$4:$B$137, 0), MATCH(N$4&amp;N$5, LS_previous!$D$2:$AY$2&amp;LS_previous!$D$3:$AY$3, 0)),SUM(VLOOKUP($A51, LS_previous!$B$4:$AY$137, LS_previous!F$148, FALSE), VLOOKUP('Staging Table'!$A51, LS_previous!$B$4:$AY$137,LS_previous!AD$148, FALSE))/2)</f>
        <v>0</v>
      </c>
      <c r="O51" s="102">
        <f t="array" ref="O51">IF($G51=0, INDEX(LS_previous!$D$4:$AY$137, MATCH('Staging Table'!$A51, LS_previous!$B$4:$B$137, 0), MATCH(O$4&amp;O$5, LS_previous!$D$2:$AY$2&amp;LS_previous!$D$3:$AY$3, 0)),SUM(VLOOKUP($A51, LS_previous!$B$4:$AY$137, LS_previous!G$148, FALSE), VLOOKUP('Staging Table'!$A51, LS_previous!$B$4:$AY$137,LS_previous!AE$148, FALSE))/2)</f>
        <v>0</v>
      </c>
      <c r="P51" s="102">
        <f t="array" ref="P51">IF($G51=0, INDEX(LS_previous!$D$4:$AY$137, MATCH('Staging Table'!$A51, LS_previous!$B$4:$B$137, 0), MATCH(P$4&amp;P$5, LS_previous!$D$2:$AY$2&amp;LS_previous!$D$3:$AY$3, 0)),SUM(VLOOKUP($A51, LS_previous!$B$4:$AY$137, LS_previous!H$148, FALSE), VLOOKUP('Staging Table'!$A51, LS_previous!$B$4:$AY$137,LS_previous!AF$148, FALSE))/2)</f>
        <v>0</v>
      </c>
      <c r="Q51" s="102">
        <f t="array" ref="Q51">IF($G51=0, INDEX(LS_previous!$D$4:$AY$137, MATCH('Staging Table'!$A51, LS_previous!$B$4:$B$137, 0), MATCH(Q$4&amp;Q$5, LS_previous!$D$2:$AY$2&amp;LS_previous!$D$3:$AY$3, 0)),SUM(VLOOKUP($A51, LS_previous!$B$4:$AY$137, LS_previous!I$148, FALSE), VLOOKUP('Staging Table'!$A51, LS_previous!$B$4:$AY$137,LS_previous!AG$148, FALSE))/2)</f>
        <v>0</v>
      </c>
      <c r="R51" s="102">
        <f t="array" ref="R51">IF($G51=0, INDEX(LS_previous!$D$4:$AY$137, MATCH('Staging Table'!$A51, LS_previous!$B$4:$B$137, 0), MATCH(R$4&amp;R$5, LS_previous!$D$2:$AY$2&amp;LS_previous!$D$3:$AY$3, 0)),SUM(VLOOKUP($A51, LS_previous!$B$4:$AY$137, LS_previous!J$148, FALSE), VLOOKUP('Staging Table'!$A51, LS_previous!$B$4:$AY$137,LS_previous!AH$148, FALSE))/2)</f>
        <v>0</v>
      </c>
      <c r="S51" s="102">
        <f t="array" ref="S51">IF($G51=0, INDEX(LS_previous!$D$4:$AY$137, MATCH('Staging Table'!$A51, LS_previous!$B$4:$B$137, 0), MATCH(S$4&amp;S$5, LS_previous!$D$2:$AY$2&amp;LS_previous!$D$3:$AY$3, 0)),SUM(VLOOKUP($A51, LS_previous!$B$4:$AY$137, LS_previous!K$148, FALSE), VLOOKUP('Staging Table'!$A51, LS_previous!$B$4:$AY$137,LS_previous!AI$148, FALSE))/2)</f>
        <v>0</v>
      </c>
      <c r="T51" s="102">
        <f t="array" ref="T51">IF($G51=0, INDEX(LS_previous!$D$4:$AY$137, MATCH('Staging Table'!$A51, LS_previous!$B$4:$B$137, 0), MATCH(T$4&amp;T$5, LS_previous!$D$2:$AY$2&amp;LS_previous!$D$3:$AY$3, 0)),SUM(VLOOKUP($A51, LS_previous!$B$4:$AY$137, LS_previous!L$148, FALSE), VLOOKUP('Staging Table'!$A51, LS_previous!$B$4:$AY$137,LS_previous!AJ$148, FALSE))/2)</f>
        <v>0</v>
      </c>
      <c r="U51" s="102">
        <f t="array" ref="U51">IF($G51=0, INDEX(LS_previous!$D$4:$AY$137, MATCH('Staging Table'!$A51, LS_previous!$B$4:$B$137, 0), MATCH(U$4&amp;U$5, LS_previous!$D$2:$AY$2&amp;LS_previous!$D$3:$AY$3, 0)),SUM(VLOOKUP($A51, LS_previous!$B$4:$AY$137, LS_previous!M$148, FALSE), VLOOKUP('Staging Table'!$A51, LS_previous!$B$4:$AY$137,LS_previous!AK$148, FALSE))/2)</f>
        <v>0</v>
      </c>
      <c r="V51" s="102">
        <f t="array" ref="V51">IF($G51=0, INDEX(LS_previous!$D$4:$AY$137, MATCH('Staging Table'!$A51, LS_previous!$B$4:$B$137, 0), MATCH(V$4&amp;V$5, LS_previous!$D$2:$AY$2&amp;LS_previous!$D$3:$AY$3, 0)),SUM(VLOOKUP($A51, LS_previous!$B$4:$AY$137, LS_previous!N$148, FALSE), VLOOKUP('Staging Table'!$A51, LS_previous!$B$4:$AY$137,LS_previous!AL$148, FALSE))/2)</f>
        <v>0</v>
      </c>
      <c r="W51" s="102">
        <f t="array" ref="W51">IF($G51=0, INDEX(LS_previous!$D$4:$AY$137, MATCH('Staging Table'!$A51, LS_previous!$B$4:$B$137, 0), MATCH(W$4&amp;W$5, LS_previous!$D$2:$AY$2&amp;LS_previous!$D$3:$AY$3, 0)),SUM(VLOOKUP($A51, LS_previous!$B$4:$AY$137, LS_previous!O$148, FALSE), VLOOKUP('Staging Table'!$A51, LS_previous!$B$4:$AY$137,LS_previous!AM$148, FALSE))/2)</f>
        <v>0</v>
      </c>
      <c r="X51" s="102">
        <f t="array" ref="X51">IF($G51=0, INDEX(LS_previous!$D$4:$AY$137, MATCH('Staging Table'!$A51, LS_previous!$B$4:$B$137, 0), MATCH(X$4&amp;X$5, LS_previous!$D$2:$AY$2&amp;LS_previous!$D$3:$AY$3, 0)),SUM(VLOOKUP($A51, LS_previous!$B$4:$AY$137, LS_previous!P$148, FALSE), VLOOKUP('Staging Table'!$A51, LS_previous!$B$4:$AY$137,LS_previous!AN$148, FALSE))/2)</f>
        <v>0</v>
      </c>
      <c r="Y51" s="102">
        <f t="array" ref="Y51">IF($G51=0, INDEX(LS_previous!$D$4:$AY$137, MATCH('Staging Table'!$A51, LS_previous!$B$4:$B$137, 0), MATCH(Y$4&amp;Y$5, LS_previous!$D$2:$AY$2&amp;LS_previous!$D$3:$AY$3, 0)),SUM(VLOOKUP($A51, LS_previous!$B$4:$AY$137, LS_previous!Q$148, FALSE), VLOOKUP('Staging Table'!$A51, LS_previous!$B$4:$AY$137,LS_previous!AO$148, FALSE))/2)</f>
        <v>0</v>
      </c>
      <c r="Z51" s="102">
        <f t="array" ref="Z51">IF($G51=0, INDEX(LS_previous!$D$4:$AY$137, MATCH('Staging Table'!$A51, LS_previous!$B$4:$B$137, 0), MATCH(Z$4&amp;Z$5, LS_previous!$D$2:$AY$2&amp;LS_previous!$D$3:$AY$3, 0)),SUM(VLOOKUP($A51, LS_previous!$B$4:$AY$137, LS_previous!R$148, FALSE), VLOOKUP('Staging Table'!$A51, LS_previous!$B$4:$AY$137,LS_previous!AP$148, FALSE))/2)</f>
        <v>0</v>
      </c>
      <c r="AA51" s="102">
        <f t="array" ref="AA51">IF($G51=0, INDEX(LS_previous!$D$4:$AY$137, MATCH('Staging Table'!$A51, LS_previous!$B$4:$B$137, 0), MATCH(AA$4&amp;AA$5, LS_previous!$D$2:$AY$2&amp;LS_previous!$D$3:$AY$3, 0)),SUM(VLOOKUP($A51, LS_previous!$B$4:$AY$137, LS_previous!S$148, FALSE), VLOOKUP('Staging Table'!$A51, LS_previous!$B$4:$AY$137,LS_previous!AQ$148, FALSE))/2)</f>
        <v>0</v>
      </c>
      <c r="AB51" s="102">
        <f t="array" ref="AB51">IF($G51=0, INDEX(LS_previous!$D$4:$AY$137, MATCH('Staging Table'!$A51, LS_previous!$B$4:$B$137, 0), MATCH(AB$4&amp;AB$5, LS_previous!$D$2:$AY$2&amp;LS_previous!$D$3:$AY$3, 0)),SUM(VLOOKUP($A51, LS_previous!$B$4:$AY$137, LS_previous!T$148, FALSE), VLOOKUP('Staging Table'!$A51, LS_previous!$B$4:$AY$137,LS_previous!AR$148, FALSE))/2)</f>
        <v>0</v>
      </c>
      <c r="AC51" s="102">
        <f t="array" ref="AC51">IF($G51=0, INDEX(LS_previous!$D$4:$AY$137, MATCH('Staging Table'!$A51, LS_previous!$B$4:$B$137, 0), MATCH(AC$4&amp;AC$5, LS_previous!$D$2:$AY$2&amp;LS_previous!$D$3:$AY$3, 0)),SUM(VLOOKUP($A51, LS_previous!$B$4:$AY$137, LS_previous!U$148, FALSE), VLOOKUP('Staging Table'!$A51, LS_previous!$B$4:$AY$137,LS_previous!AS$148, FALSE))/2)</f>
        <v>0</v>
      </c>
      <c r="AD51" s="102">
        <f t="array" ref="AD51">IF($G51=0, INDEX(LS_previous!$D$4:$AY$137, MATCH('Staging Table'!$A51, LS_previous!$B$4:$B$137, 0), MATCH(AD$4&amp;AD$5, LS_previous!$D$2:$AY$2&amp;LS_previous!$D$3:$AY$3, 0)),SUM(VLOOKUP($A51, LS_previous!$B$4:$AY$137, LS_previous!V$148, FALSE), VLOOKUP('Staging Table'!$A51, LS_previous!$B$4:$AY$137,LS_previous!AT$148, FALSE))/2)</f>
        <v>0</v>
      </c>
      <c r="AE51" s="102">
        <f t="array" ref="AE51">IF($G51=0, INDEX(LS_previous!$D$4:$AY$137, MATCH('Staging Table'!$A51, LS_previous!$B$4:$B$137, 0), MATCH(AE$4&amp;AE$5, LS_previous!$D$2:$AY$2&amp;LS_previous!$D$3:$AY$3, 0)),SUM(VLOOKUP($A51, LS_previous!$B$4:$AY$137, LS_previous!W$148, FALSE), VLOOKUP('Staging Table'!$A51, LS_previous!$B$4:$AY$137,LS_previous!AU$148, FALSE))/2)</f>
        <v>0</v>
      </c>
      <c r="AF51" s="102">
        <f t="array" ref="AF51">IF($G51=0, INDEX(LS_previous!$D$4:$AY$137, MATCH('Staging Table'!$A51, LS_previous!$B$4:$B$137, 0), MATCH(AF$4&amp;AF$5, LS_previous!$D$2:$AY$2&amp;LS_previous!$D$3:$AY$3, 0)),SUM(VLOOKUP($A51, LS_previous!$B$4:$AY$137, LS_previous!X$148, FALSE), VLOOKUP('Staging Table'!$A51, LS_previous!$B$4:$AY$137,LS_previous!AV$148, FALSE))/2)</f>
        <v>0</v>
      </c>
      <c r="AG51" s="102">
        <f t="array" ref="AG51">IF($G51=0, INDEX(LS_previous!$D$4:$AY$137, MATCH('Staging Table'!$A51, LS_previous!$B$4:$B$137, 0), MATCH(AG$4&amp;AG$5, LS_previous!$D$2:$AY$2&amp;LS_previous!$D$3:$AY$3, 0)),SUM(VLOOKUP($A51, LS_previous!$B$4:$AY$137, LS_previous!Y$148, FALSE), VLOOKUP('Staging Table'!$A51, LS_previous!$B$4:$AY$137,LS_previous!AW$148, FALSE))/2)</f>
        <v>0</v>
      </c>
      <c r="AH51" s="102">
        <f t="array" ref="AH51">IF($G51=0, INDEX(LS_previous!$D$4:$AY$137, MATCH('Staging Table'!$A51, LS_previous!$B$4:$B$137, 0), MATCH(AH$4&amp;AH$5, LS_previous!$D$2:$AY$2&amp;LS_previous!$D$3:$AY$3, 0)),SUM(VLOOKUP($A51, LS_previous!$B$4:$AY$137, LS_previous!Z$148, FALSE), VLOOKUP('Staging Table'!$A51, LS_previous!$B$4:$AY$137,LS_previous!AX$148, FALSE))/2)</f>
        <v>0</v>
      </c>
      <c r="AI51" s="102">
        <f t="array" ref="AI51">IF($G51=0, INDEX(LS_previous!$D$4:$AY$137, MATCH('Staging Table'!$A51, LS_previous!$B$4:$B$137, 0), MATCH(AI$4&amp;AI$5, LS_previous!$D$2:$AY$2&amp;LS_previous!$D$3:$AY$3, 0)),SUM(VLOOKUP($A51, LS_previous!$B$4:$AY$137, LS_previous!AA$148, FALSE), VLOOKUP('Staging Table'!$A51, LS_previous!$B$4:$AY$137,LS_previous!AY$148, FALSE))/2)</f>
        <v>0</v>
      </c>
      <c r="AJ51" s="103">
        <f t="array" ref="AJ51">INDEX(Demand_previous!$D$4:$AY$137, MATCH('Staging Table'!$A51, Demand_previous!$B$4:$B$137, 0), MATCH(AJ$4&amp;AJ$5,Demand_previous!$D$2:$AY$2&amp;Demand_previous!$D$3:$AY$3, 0))/1000</f>
        <v>0</v>
      </c>
      <c r="AK51" s="103">
        <f t="array" ref="AK51">INDEX(Demand_previous!$D$4:$AY$137, MATCH('Staging Table'!$A51, Demand_previous!$B$4:$B$137, 0), MATCH(AK$4&amp;AK$5,Demand_previous!$D$2:$AY$2&amp;Demand_previous!$D$3:$AY$3, 0))/1000</f>
        <v>0</v>
      </c>
      <c r="AL51" s="103">
        <f t="array" ref="AL51">INDEX(Demand_previous!$D$4:$AY$137, MATCH('Staging Table'!$A51, Demand_previous!$B$4:$B$137, 0), MATCH(AL$4&amp;AL$5,Demand_previous!$D$2:$AY$2&amp;Demand_previous!$D$3:$AY$3, 0))/1000</f>
        <v>0</v>
      </c>
      <c r="AM51" s="103">
        <f t="array" ref="AM51">INDEX(Demand_previous!$D$4:$AY$137, MATCH('Staging Table'!$A51, Demand_previous!$B$4:$B$137, 0), MATCH(AM$4&amp;AM$5,Demand_previous!$D$2:$AY$2&amp;Demand_previous!$D$3:$AY$3, 0))/1000</f>
        <v>0</v>
      </c>
      <c r="AN51" s="103">
        <f t="array" ref="AN51">INDEX(Demand_previous!$D$4:$AY$137, MATCH('Staging Table'!$A51, Demand_previous!$B$4:$B$137, 0), MATCH(AN$4&amp;AN$5,Demand_previous!$D$2:$AY$2&amp;Demand_previous!$D$3:$AY$3, 0))/1000</f>
        <v>0</v>
      </c>
      <c r="AO51" s="103">
        <f t="array" ref="AO51">INDEX(Demand_previous!$D$4:$AY$137, MATCH('Staging Table'!$A51, Demand_previous!$B$4:$B$137, 0), MATCH(AO$4&amp;AO$5,Demand_previous!$D$2:$AY$2&amp;Demand_previous!$D$3:$AY$3, 0))/1000</f>
        <v>0</v>
      </c>
      <c r="AP51" s="103">
        <f t="array" ref="AP51">INDEX(Demand_previous!$D$4:$AY$137, MATCH('Staging Table'!$A51, Demand_previous!$B$4:$B$137, 0), MATCH(AP$4&amp;AP$5,Demand_previous!$D$2:$AY$2&amp;Demand_previous!$D$3:$AY$3, 0))/1000</f>
        <v>0</v>
      </c>
      <c r="AQ51" s="103">
        <f t="array" ref="AQ51">INDEX(Demand_previous!$D$4:$AY$137, MATCH('Staging Table'!$A51, Demand_previous!$B$4:$B$137, 0), MATCH(AQ$4&amp;AQ$5,Demand_previous!$D$2:$AY$2&amp;Demand_previous!$D$3:$AY$3, 0))/1000</f>
        <v>0</v>
      </c>
      <c r="AR51" s="103">
        <f t="array" ref="AR51">INDEX(Demand_previous!$D$4:$AY$137, MATCH('Staging Table'!$A51, Demand_previous!$B$4:$B$137, 0), MATCH(AR$4&amp;AR$5,Demand_previous!$D$2:$AY$2&amp;Demand_previous!$D$3:$AY$3, 0))/1000</f>
        <v>0</v>
      </c>
      <c r="AS51" s="103">
        <f t="array" ref="AS51">INDEX(Demand_previous!$D$4:$AY$137, MATCH('Staging Table'!$A51, Demand_previous!$B$4:$B$137, 0), MATCH(AS$4&amp;AS$5,Demand_previous!$D$2:$AY$2&amp;Demand_previous!$D$3:$AY$3, 0))/1000</f>
        <v>0</v>
      </c>
      <c r="AT51" s="103">
        <f t="array" ref="AT51">INDEX(Demand_previous!$D$4:$AY$137, MATCH('Staging Table'!$A51, Demand_previous!$B$4:$B$137, 0), MATCH(AT$4&amp;AT$5,Demand_previous!$D$2:$AY$2&amp;Demand_previous!$D$3:$AY$3, 0))/1000</f>
        <v>0</v>
      </c>
      <c r="AU51" s="103">
        <f t="array" ref="AU51">INDEX(Demand_previous!$D$4:$AY$137, MATCH('Staging Table'!$A51, Demand_previous!$B$4:$B$137, 0), MATCH(AU$4&amp;AU$5,Demand_previous!$D$2:$AY$2&amp;Demand_previous!$D$3:$AY$3, 0))/1000</f>
        <v>0</v>
      </c>
      <c r="AV51" s="102">
        <f>$F51*(VLOOKUP(AV$4, Rates_previous!$G$6:$Q$29, 10, FALSE)+VLOOKUP(AV$4, Rates_previous!$G$6:$Q$29, 11, FALSE))</f>
        <v>27895.996112166449</v>
      </c>
      <c r="AW51" s="102">
        <f>$F51*(VLOOKUP(AW$4, Rates_previous!$G$6:$Q$29, 10, FALSE)+VLOOKUP(AW$4, Rates_previous!$G$6:$Q$29, 11, FALSE))</f>
        <v>35576.593830695703</v>
      </c>
      <c r="AX51" s="102">
        <f>$F51*(VLOOKUP(AX$4, Rates_previous!$G$6:$Q$29, 10, FALSE)+VLOOKUP(AX$4, Rates_previous!$G$6:$Q$29, 11, FALSE))</f>
        <v>38394.1839680505</v>
      </c>
      <c r="AY51" s="102">
        <f>$F51*(VLOOKUP(AY$4, Rates_previous!$G$6:$Q$29, 10, FALSE)+VLOOKUP(AY$4, Rates_previous!$G$6:$Q$29, 11, FALSE))</f>
        <v>39897.492416251196</v>
      </c>
      <c r="AZ51" s="102">
        <f>$F51*(VLOOKUP(AZ$4, Rates_previous!$G$6:$Q$29, 10, FALSE)+VLOOKUP(AZ$4, Rates_previous!$G$6:$Q$29, 11, FALSE))</f>
        <v>34317.161474207394</v>
      </c>
      <c r="BA51" s="102">
        <f>$F51*(VLOOKUP(BA$4, Rates_previous!$G$6:$Q$29, 10, FALSE)+VLOOKUP(BA$4, Rates_previous!$G$6:$Q$29, 11, FALSE))</f>
        <v>37467.545873559298</v>
      </c>
      <c r="BB51" s="102">
        <f>$F51*(VLOOKUP(BB$4, Rates_previous!$G$6:$Q$29, 10, FALSE)+VLOOKUP(BB$4, Rates_previous!$G$6:$Q$29, 11, FALSE))</f>
        <v>29574.313420292772</v>
      </c>
      <c r="BC51" s="102">
        <f>$F51*(VLOOKUP(BC$4, Rates_previous!$G$6:$Q$29, 10, FALSE)+VLOOKUP(BC$4, Rates_previous!$G$6:$Q$29, 11, FALSE))</f>
        <v>36690.898940779953</v>
      </c>
      <c r="BD51" s="102">
        <f>$F51*(VLOOKUP(BD$4, Rates_previous!$G$6:$Q$29, 10, FALSE)+VLOOKUP(BD$4, Rates_previous!$G$6:$Q$29, 11, FALSE))</f>
        <v>37486.999851960143</v>
      </c>
      <c r="BE51" s="102">
        <f>$F51*(VLOOKUP(BE$4, Rates_previous!$G$6:$Q$29, 10, FALSE)+VLOOKUP(BE$4, Rates_previous!$G$6:$Q$29, 11, FALSE))</f>
        <v>32544.116562915449</v>
      </c>
      <c r="BF51" s="102">
        <f>$F51*(VLOOKUP(BF$4, Rates_previous!$G$6:$Q$29, 10, FALSE)+VLOOKUP(BF$4, Rates_previous!$G$6:$Q$29, 11, FALSE))</f>
        <v>31461.510206401606</v>
      </c>
      <c r="BG51" s="102">
        <f>$F51*(VLOOKUP(BG$4, Rates_previous!$G$6:$Q$29, 10, FALSE)+VLOOKUP(BG$4, Rates_previous!$G$6:$Q$29, 11, FALSE))</f>
        <v>28950.681875549402</v>
      </c>
      <c r="BH51" s="103">
        <f>IF($D51=0,IF(C51=0, MAX(BJ51 - (VLOOKUP($A51,TOCA_previous!$A$2:$AJ$136,MATCH("RHWM "&amp;Init!$D$1-2,TOCA_previous!$A$2:$AJ$2,0),FALSE)*$F$2*TOCA_previous!C48),0),0), 0)</f>
        <v>0</v>
      </c>
      <c r="BI51" s="109">
        <f>MIN(VLOOKUP($A51,TOCA_previous!$A$2:$AJ$136,MATCH("TRL - NLSL - Existing Resource "&amp;$F$1,TOCA_previous!$A$2:$AJ$2,0),FALSE)*$F$2,(VLOOKUP($A51,TOCA_previous!$A$2:$AJ$136,MATCH("RHWM "&amp;Init!$D$1-2,TOCA_previous!$A$2:$AJ$2,0),FALSE)*$F$2))</f>
        <v>401200.41599999997</v>
      </c>
      <c r="BJ51" s="261">
        <f>SUM(L51:AI51)+(F51*RT1SC!$C$3*$F$2)</f>
        <v>410257.49641336798</v>
      </c>
      <c r="BK51" s="260">
        <f>VLOOKUP($A51,TOCA_previous!$A$2:$AJ$136,MATCH("Above RHWM Not Served with LS "&amp;$F$1,TOCA_previous!$A$2:$AJ$2,0),FALSE)*$F$2</f>
        <v>31121.712</v>
      </c>
      <c r="BL51" s="261">
        <f t="shared" si="21"/>
        <v>9057.0804133680067</v>
      </c>
      <c r="BM51" s="260">
        <f>(VLOOKUP($A51,TOCA_previous!$A$2:$AJ$136,MATCH("RHWM "&amp;Init!$D$1-2,TOCA_previous!$A$2:$AJ$2,0),FALSE)*$F$2) - $BI51</f>
        <v>0</v>
      </c>
      <c r="BN51" s="261">
        <f t="shared" si="22"/>
        <v>0</v>
      </c>
      <c r="BO51" s="260">
        <f t="shared" si="23"/>
        <v>0</v>
      </c>
      <c r="BP51" s="261">
        <f t="shared" si="24"/>
        <v>0</v>
      </c>
      <c r="BQ51" s="260">
        <f t="shared" si="9"/>
        <v>0</v>
      </c>
      <c r="BR51" s="85">
        <f>VLOOKUP($A51,TOCA_current!$A$2:$ZZ$136,MATCH(BR$4,TOCA_current!$A$2:$ZZ$2,0),FALSE)</f>
        <v>6.4612999999999997E-3</v>
      </c>
      <c r="BS51" s="85">
        <f>VLOOKUP($A51,TOCA_current!$A$2:$ZZ$136,MATCH(BS$4,TOCA_current!$A$2:$ZZ$2,0),FALSE)</f>
        <v>6.4612999999999997E-3</v>
      </c>
      <c r="BT51" s="108">
        <f t="shared" si="25"/>
        <v>0</v>
      </c>
      <c r="BU51" s="85">
        <f>VLOOKUP($A51,TOCA_current!A48:BG182,MATCH(BU$4,TOCA_current!$A$2:$BG$2,0),FALSE)</f>
        <v>6.9993469316672843E-2</v>
      </c>
      <c r="BV51" s="85">
        <f t="shared" si="26"/>
        <v>6.9993469316672843E-2</v>
      </c>
      <c r="BW51" s="85">
        <f t="shared" si="27"/>
        <v>6.4612999999999997E-3</v>
      </c>
      <c r="BX51" s="101">
        <f>VLOOKUP($A51,IRD!$A$4:$G$138, 7, FALSE)</f>
        <v>0</v>
      </c>
      <c r="BY51" s="102">
        <f t="array" ref="BY51">IF($BT51=0, INDEX(LS_current!$D$4:$BW$137, MATCH('Staging Table'!$A51, LS_current!$B$4:$B$137, 0), MATCH(BY$4&amp;BY$5, LS_current!$D$2:$BW$2&amp;LS_current!$D$3:$BW$3, 0)),SUM(VLOOKUP($A51, LS_current!$B$4:$BW$137, LS_current!D$147, FALSE), VLOOKUP($A51, LS_current!$B$4:$BW$137,LS_current!AZ$147, FALSE))/2)</f>
        <v>0</v>
      </c>
      <c r="BZ51" s="102">
        <f t="array" ref="BZ51">IF($BT51=0, INDEX(LS_current!$D$4:$BW$137, MATCH('Staging Table'!$A51, LS_current!$B$4:$B$137, 0), MATCH(BZ$4&amp;BZ$5, LS_current!$D$2:$BW$2&amp;LS_current!$D$3:$BW$3, 0)),SUM(VLOOKUP($A51, LS_current!$B$4:$BW$137, LS_current!E$147, FALSE), VLOOKUP($A51, LS_current!$B$4:$BW$137,LS_current!BA$147, FALSE))/2)</f>
        <v>0</v>
      </c>
      <c r="CA51" s="102">
        <f t="array" ref="CA51">IF($BT51=0, INDEX(LS_current!$D$4:$BW$137, MATCH('Staging Table'!$A51, LS_current!$B$4:$B$137, 0), MATCH(CA$4&amp;CA$5, LS_current!$D$2:$BW$2&amp;LS_current!$D$3:$BW$3, 0)),SUM(VLOOKUP($A51, LS_current!$B$4:$BW$137, LS_current!F$147, FALSE), VLOOKUP($A51, LS_current!$B$4:$BW$137,LS_current!BB$147, FALSE))/2)</f>
        <v>0</v>
      </c>
      <c r="CB51" s="102">
        <f t="array" ref="CB51">IF($BT51=0, INDEX(LS_current!$D$4:$BW$137, MATCH('Staging Table'!$A51, LS_current!$B$4:$B$137, 0), MATCH(CB$4&amp;CB$5, LS_current!$D$2:$BW$2&amp;LS_current!$D$3:$BW$3, 0)),SUM(VLOOKUP($A51, LS_current!$B$4:$BW$137, LS_current!G$147, FALSE), VLOOKUP($A51, LS_current!$B$4:$BW$137,LS_current!BC$147, FALSE))/2)</f>
        <v>0</v>
      </c>
      <c r="CC51" s="102">
        <f t="array" ref="CC51">IF($BT51=0, INDEX(LS_current!$D$4:$BW$137, MATCH('Staging Table'!$A51, LS_current!$B$4:$B$137, 0), MATCH(CC$4&amp;CC$5, LS_current!$D$2:$BW$2&amp;LS_current!$D$3:$BW$3, 0)),SUM(VLOOKUP($A51, LS_current!$B$4:$BW$137, LS_current!H$147, FALSE), VLOOKUP($A51, LS_current!$B$4:$BW$137,LS_current!BD$147, FALSE))/2)</f>
        <v>0</v>
      </c>
      <c r="CD51" s="102">
        <f t="array" ref="CD51">IF($BT51=0, INDEX(LS_current!$D$4:$BW$137, MATCH('Staging Table'!$A51, LS_current!$B$4:$B$137, 0), MATCH(CD$4&amp;CD$5, LS_current!$D$2:$BW$2&amp;LS_current!$D$3:$BW$3, 0)),SUM(VLOOKUP($A51, LS_current!$B$4:$BW$137, LS_current!I$147, FALSE), VLOOKUP($A51, LS_current!$B$4:$BW$137,LS_current!BE$147, FALSE))/2)</f>
        <v>0</v>
      </c>
      <c r="CE51" s="102">
        <f t="array" ref="CE51">IF($BT51=0, INDEX(LS_current!$D$4:$BW$137, MATCH('Staging Table'!$A51, LS_current!$B$4:$B$137, 0), MATCH(CE$4&amp;CE$5, LS_current!$D$2:$BW$2&amp;LS_current!$D$3:$BW$3, 0)),SUM(VLOOKUP($A51, LS_current!$B$4:$BW$137, LS_current!J$147, FALSE), VLOOKUP($A51, LS_current!$B$4:$BW$137,LS_current!BF$147, FALSE))/2)</f>
        <v>0</v>
      </c>
      <c r="CF51" s="102">
        <f t="array" ref="CF51">IF($BT51=0, INDEX(LS_current!$D$4:$BW$137, MATCH('Staging Table'!$A51, LS_current!$B$4:$B$137, 0), MATCH(CF$4&amp;CF$5, LS_current!$D$2:$BW$2&amp;LS_current!$D$3:$BW$3, 0)),SUM(VLOOKUP($A51, LS_current!$B$4:$BW$137, LS_current!K$147, FALSE), VLOOKUP($A51, LS_current!$B$4:$BW$137,LS_current!BG$147, FALSE))/2)</f>
        <v>0</v>
      </c>
      <c r="CG51" s="102">
        <f t="array" ref="CG51">IF($BT51=0, INDEX(LS_current!$D$4:$BW$137, MATCH('Staging Table'!$A51, LS_current!$B$4:$B$137, 0), MATCH(CG$4&amp;CG$5, LS_current!$D$2:$BW$2&amp;LS_current!$D$3:$BW$3, 0)),SUM(VLOOKUP($A51, LS_current!$B$4:$BW$137, LS_current!L$147, FALSE), VLOOKUP($A51, LS_current!$B$4:$BW$137,LS_current!BH$147, FALSE))/2)</f>
        <v>0</v>
      </c>
      <c r="CH51" s="102">
        <f t="array" ref="CH51">IF($BT51=0, INDEX(LS_current!$D$4:$BW$137, MATCH('Staging Table'!$A51, LS_current!$B$4:$B$137, 0), MATCH(CH$4&amp;CH$5, LS_current!$D$2:$BW$2&amp;LS_current!$D$3:$BW$3, 0)),SUM(VLOOKUP($A51, LS_current!$B$4:$BW$137, LS_current!M$147, FALSE), VLOOKUP($A51, LS_current!$B$4:$BW$137,LS_current!BI$147, FALSE))/2)</f>
        <v>0</v>
      </c>
      <c r="CI51" s="102">
        <f t="array" ref="CI51">IF($BT51=0, INDEX(LS_current!$D$4:$BW$137, MATCH('Staging Table'!$A51, LS_current!$B$4:$B$137, 0), MATCH(CI$4&amp;CI$5, LS_current!$D$2:$BW$2&amp;LS_current!$D$3:$BW$3, 0)),SUM(VLOOKUP($A51, LS_current!$B$4:$BW$137, LS_current!N$147, FALSE), VLOOKUP($A51, LS_current!$B$4:$BW$137,LS_current!BJ$147, FALSE))/2)</f>
        <v>0</v>
      </c>
      <c r="CJ51" s="102">
        <f t="array" ref="CJ51">IF($BT51=0, INDEX(LS_current!$D$4:$BW$137, MATCH('Staging Table'!$A51, LS_current!$B$4:$B$137, 0), MATCH(CJ$4&amp;CJ$5, LS_current!$D$2:$BW$2&amp;LS_current!$D$3:$BW$3, 0)),SUM(VLOOKUP($A51, LS_current!$B$4:$BW$137, LS_current!O$147, FALSE), VLOOKUP($A51, LS_current!$B$4:$BW$137,LS_current!BK$147, FALSE))/2)</f>
        <v>0</v>
      </c>
      <c r="CK51" s="102">
        <f t="array" ref="CK51">IF($BT51=0, INDEX(LS_current!$D$4:$BW$137, MATCH('Staging Table'!$A51, LS_current!$B$4:$B$137, 0), MATCH(CK$4&amp;CK$5, LS_current!$D$2:$BW$2&amp;LS_current!$D$3:$BW$3, 0)),SUM(VLOOKUP($A51, LS_current!$B$4:$BW$137, LS_current!P$147, FALSE), VLOOKUP($A51, LS_current!$B$4:$BW$137,LS_current!BL$147, FALSE))/2)</f>
        <v>0</v>
      </c>
      <c r="CL51" s="102">
        <f t="array" ref="CL51">IF($BT51=0, INDEX(LS_current!$D$4:$BW$137, MATCH('Staging Table'!$A51, LS_current!$B$4:$B$137, 0), MATCH(CL$4&amp;CL$5, LS_current!$D$2:$BW$2&amp;LS_current!$D$3:$BW$3, 0)),SUM(VLOOKUP($A51, LS_current!$B$4:$BW$137, LS_current!Q$147, FALSE), VLOOKUP($A51, LS_current!$B$4:$BW$137,LS_current!BM$147, FALSE))/2)</f>
        <v>0</v>
      </c>
      <c r="CM51" s="102">
        <f t="array" ref="CM51">IF($BT51=0, INDEX(LS_current!$D$4:$BW$137, MATCH('Staging Table'!$A51, LS_current!$B$4:$B$137, 0), MATCH(CM$4&amp;CM$5, LS_current!$D$2:$BW$2&amp;LS_current!$D$3:$BW$3, 0)),SUM(VLOOKUP($A51, LS_current!$B$4:$BW$137, LS_current!R$147, FALSE), VLOOKUP($A51, LS_current!$B$4:$BW$137,LS_current!BN$147, FALSE))/2)</f>
        <v>0</v>
      </c>
      <c r="CN51" s="102">
        <f t="array" ref="CN51">IF($BT51=0, INDEX(LS_current!$D$4:$BW$137, MATCH('Staging Table'!$A51, LS_current!$B$4:$B$137, 0), MATCH(CN$4&amp;CN$5, LS_current!$D$2:$BW$2&amp;LS_current!$D$3:$BW$3, 0)),SUM(VLOOKUP($A51, LS_current!$B$4:$BW$137, LS_current!S$147, FALSE), VLOOKUP($A51, LS_current!$B$4:$BW$137,LS_current!BO$147, FALSE))/2)</f>
        <v>0</v>
      </c>
      <c r="CO51" s="102">
        <f t="array" ref="CO51">IF($BT51=0, INDEX(LS_current!$D$4:$BW$137, MATCH('Staging Table'!$A51, LS_current!$B$4:$B$137, 0), MATCH(CO$4&amp;CO$5, LS_current!$D$2:$BW$2&amp;LS_current!$D$3:$BW$3, 0)),SUM(VLOOKUP($A51, LS_current!$B$4:$BW$137, LS_current!T$147, FALSE), VLOOKUP($A51, LS_current!$B$4:$BW$137,LS_current!BP$147, FALSE))/2)</f>
        <v>0</v>
      </c>
      <c r="CP51" s="102">
        <f t="array" ref="CP51">IF($BT51=0, INDEX(LS_current!$D$4:$BW$137, MATCH('Staging Table'!$A51, LS_current!$B$4:$B$137, 0), MATCH(CP$4&amp;CP$5, LS_current!$D$2:$BW$2&amp;LS_current!$D$3:$BW$3, 0)),SUM(VLOOKUP($A51, LS_current!$B$4:$BW$137, LS_current!U$147, FALSE), VLOOKUP($A51, LS_current!$B$4:$BW$137,LS_current!BQ$147, FALSE))/2)</f>
        <v>0</v>
      </c>
      <c r="CQ51" s="102">
        <f t="array" ref="CQ51">IF($BT51=0, INDEX(LS_current!$D$4:$BW$137, MATCH('Staging Table'!$A51, LS_current!$B$4:$B$137, 0), MATCH(CQ$4&amp;CQ$5, LS_current!$D$2:$BW$2&amp;LS_current!$D$3:$BW$3, 0)),SUM(VLOOKUP($A51, LS_current!$B$4:$BW$137, LS_current!V$147, FALSE), VLOOKUP($A51, LS_current!$B$4:$BW$137,LS_current!BR$147, FALSE))/2)</f>
        <v>0</v>
      </c>
      <c r="CR51" s="102">
        <f t="array" ref="CR51">IF($BT51=0, INDEX(LS_current!$D$4:$BW$137, MATCH('Staging Table'!$A51, LS_current!$B$4:$B$137, 0), MATCH(CR$4&amp;CR$5, LS_current!$D$2:$BW$2&amp;LS_current!$D$3:$BW$3, 0)),SUM(VLOOKUP($A51, LS_current!$B$4:$BW$137, LS_current!W$147, FALSE), VLOOKUP($A51, LS_current!$B$4:$BW$137,LS_current!BS$147, FALSE))/2)</f>
        <v>0</v>
      </c>
      <c r="CS51" s="102">
        <f t="array" ref="CS51">IF($BT51=0, INDEX(LS_current!$D$4:$BW$137, MATCH('Staging Table'!$A51, LS_current!$B$4:$B$137, 0), MATCH(CS$4&amp;CS$5, LS_current!$D$2:$BW$2&amp;LS_current!$D$3:$BW$3, 0)),SUM(VLOOKUP($A51, LS_current!$B$4:$BW$137, LS_current!X$147, FALSE), VLOOKUP($A51, LS_current!$B$4:$BW$137,LS_current!BT$147, FALSE))/2)</f>
        <v>0</v>
      </c>
      <c r="CT51" s="102">
        <f t="array" ref="CT51">IF($BT51=0, INDEX(LS_current!$D$4:$BW$137, MATCH('Staging Table'!$A51, LS_current!$B$4:$B$137, 0), MATCH(CT$4&amp;CT$5, LS_current!$D$2:$BW$2&amp;LS_current!$D$3:$BW$3, 0)),SUM(VLOOKUP($A51, LS_current!$B$4:$BW$137, LS_current!Y$147, FALSE), VLOOKUP($A51, LS_current!$B$4:$BW$137,LS_current!BU$147, FALSE))/2)</f>
        <v>0</v>
      </c>
      <c r="CU51" s="102">
        <f t="array" ref="CU51">IF($BT51=0, INDEX(LS_current!$D$4:$BW$137, MATCH('Staging Table'!$A51, LS_current!$B$4:$B$137, 0), MATCH(CU$4&amp;CU$5, LS_current!$D$2:$BW$2&amp;LS_current!$D$3:$BW$3, 0)),SUM(VLOOKUP($A51, LS_current!$B$4:$BW$137, LS_current!Z$147, FALSE), VLOOKUP($A51, LS_current!$B$4:$BW$137,LS_current!BV$147, FALSE))/2)</f>
        <v>0</v>
      </c>
      <c r="CV51" s="102">
        <f t="array" ref="CV51">IF($BT51=0, INDEX(LS_current!$D$4:$BW$137, MATCH('Staging Table'!$A51, LS_current!$B$4:$B$137, 0), MATCH(CV$4&amp;CV$5, LS_current!$D$2:$BW$2&amp;LS_current!$D$3:$BW$3, 0)),SUM(VLOOKUP($A51, LS_current!$B$4:$BW$137, LS_current!AA$147, FALSE), VLOOKUP($A51, LS_current!$B$4:$BW$137,LS_current!BW$147, FALSE))/2)</f>
        <v>0</v>
      </c>
      <c r="CW51" s="103">
        <f t="array" ref="CW51">INDEX(Demand_current!$D$4:$BW$137, MATCH($A51, Demand_current!$B$4:$B$137, 0), MATCH(CW$4&amp;CW$5,Demand_current!$D$2:$BW$2&amp;Demand_current!$D$3:$BW$3, 0))/1000</f>
        <v>0</v>
      </c>
      <c r="CX51" s="103">
        <f t="array" ref="CX51">INDEX(Demand_current!$D$4:$BW$137, MATCH($A51, Demand_current!$B$4:$B$137, 0), MATCH(CX$4&amp;CX$5,Demand_current!$D$2:$BW$2&amp;Demand_current!$D$3:$BW$3, 0))/1000</f>
        <v>0</v>
      </c>
      <c r="CY51" s="103">
        <f t="array" ref="CY51">INDEX(Demand_current!$D$4:$BW$137, MATCH($A51, Demand_current!$B$4:$B$137, 0), MATCH(CY$4&amp;CY$5,Demand_current!$D$2:$BW$2&amp;Demand_current!$D$3:$BW$3, 0))/1000</f>
        <v>0</v>
      </c>
      <c r="CZ51" s="103">
        <f t="array" ref="CZ51">INDEX(Demand_current!$D$4:$BW$137, MATCH($A51, Demand_current!$B$4:$B$137, 0), MATCH(CZ$4&amp;CZ$5,Demand_current!$D$2:$BW$2&amp;Demand_current!$D$3:$BW$3, 0))/1000</f>
        <v>0</v>
      </c>
      <c r="DA51" s="103">
        <f t="array" ref="DA51">INDEX(Demand_current!$D$4:$BW$137, MATCH($A51, Demand_current!$B$4:$B$137, 0), MATCH(DA$4&amp;DA$5,Demand_current!$D$2:$BW$2&amp;Demand_current!$D$3:$BW$3, 0))/1000</f>
        <v>0</v>
      </c>
      <c r="DB51" s="103">
        <f t="array" ref="DB51">INDEX(Demand_current!$D$4:$BW$137, MATCH($A51, Demand_current!$B$4:$B$137, 0), MATCH(DB$4&amp;DB$5,Demand_current!$D$2:$BW$2&amp;Demand_current!$D$3:$BW$3, 0))/1000</f>
        <v>0</v>
      </c>
      <c r="DC51" s="103">
        <f t="array" ref="DC51">INDEX(Demand_current!$D$4:$BW$137, MATCH($A51, Demand_current!$B$4:$B$137, 0), MATCH(DC$4&amp;DC$5,Demand_current!$D$2:$BW$2&amp;Demand_current!$D$3:$BW$3, 0))/1000</f>
        <v>0</v>
      </c>
      <c r="DD51" s="103">
        <f t="array" ref="DD51">INDEX(Demand_current!$D$4:$BW$137, MATCH($A51, Demand_current!$B$4:$B$137, 0), MATCH(DD$4&amp;DD$5,Demand_current!$D$2:$BW$2&amp;Demand_current!$D$3:$BW$3, 0))/1000</f>
        <v>0</v>
      </c>
      <c r="DE51" s="103">
        <f t="array" ref="DE51">INDEX(Demand_current!$D$4:$BW$137, MATCH($A51, Demand_current!$B$4:$B$137, 0), MATCH(DE$4&amp;DE$5,Demand_current!$D$2:$BW$2&amp;Demand_current!$D$3:$BW$3, 0))/1000</f>
        <v>0</v>
      </c>
      <c r="DF51" s="103">
        <f t="array" ref="DF51">INDEX(Demand_current!$D$4:$BW$137, MATCH($A51, Demand_current!$B$4:$B$137, 0), MATCH(DF$4&amp;DF$5,Demand_current!$D$2:$BW$2&amp;Demand_current!$D$3:$BW$3, 0))/1000</f>
        <v>0</v>
      </c>
      <c r="DG51" s="103">
        <f t="array" ref="DG51">INDEX(Demand_current!$D$4:$BW$137, MATCH($A51, Demand_current!$B$4:$B$137, 0), MATCH(DG$4&amp;DG$5,Demand_current!$D$2:$BW$2&amp;Demand_current!$D$3:$BW$3, 0))/1000</f>
        <v>0</v>
      </c>
      <c r="DH51" s="103">
        <f t="array" ref="DH51">INDEX(Demand_current!$D$4:$BW$137, MATCH($A51, Demand_current!$B$4:$B$137, 0), MATCH(DH$4&amp;DH$5,Demand_current!$D$2:$BW$2&amp;Demand_current!$D$3:$BW$3, 0))/1000</f>
        <v>0</v>
      </c>
      <c r="DI51" s="102">
        <f>$BS51*(VLOOKUP(DI$4, Rates_current!$H$6:$R$41, 10, FALSE)+VLOOKUP(DI$4, Rates_current!$H$6:$R$41, 11, FALSE))</f>
        <v>26816.253325947328</v>
      </c>
      <c r="DJ51" s="102">
        <f>$BS51*(VLOOKUP(DJ$4, Rates_current!$H$6:$R$41, 10, FALSE)+VLOOKUP(DJ$4, Rates_current!$H$6:$R$41, 11, FALSE))</f>
        <v>34283.697298549065</v>
      </c>
      <c r="DK51" s="102">
        <f>$BS51*(VLOOKUP(DK$4, Rates_current!$H$6:$R$41, 10, FALSE)+VLOOKUP(DK$4, Rates_current!$H$6:$R$41, 11, FALSE))</f>
        <v>38977.696444454006</v>
      </c>
      <c r="DL51" s="102">
        <f>$BS51*(VLOOKUP(DL$4, Rates_current!$H$6:$R$41, 10, FALSE)+VLOOKUP(DL$4, Rates_current!$H$6:$R$41, 11, FALSE))</f>
        <v>41124.51230443635</v>
      </c>
      <c r="DM51" s="102">
        <f>$BS51*(VLOOKUP(DM$4, Rates_current!$H$6:$R$41, 10, FALSE)+VLOOKUP(DM$4, Rates_current!$H$6:$R$41, 11, FALSE))</f>
        <v>32772.524677531059</v>
      </c>
      <c r="DN51" s="102">
        <f>$BS51*(VLOOKUP(DN$4, Rates_current!$H$6:$R$41, 10, FALSE)+VLOOKUP(DN$4, Rates_current!$H$6:$R$41, 11, FALSE))</f>
        <v>35827.099498824835</v>
      </c>
      <c r="DO51" s="102">
        <f>$BS51*(VLOOKUP(DO$4, Rates_current!$H$6:$R$41, 10, FALSE)+VLOOKUP(DO$4, Rates_current!$H$6:$R$41, 11, FALSE))</f>
        <v>27766.362498964238</v>
      </c>
      <c r="DP51" s="102">
        <f>$BS51*(VLOOKUP(DP$4, Rates_current!$H$6:$R$41, 10, FALSE)+VLOOKUP(DP$4, Rates_current!$H$6:$R$41, 11, FALSE))</f>
        <v>35934.244870488037</v>
      </c>
      <c r="DQ51" s="102">
        <f>$BS51*(VLOOKUP(DQ$4, Rates_current!$H$6:$R$41, 10, FALSE)+VLOOKUP(DQ$4, Rates_current!$H$6:$R$41, 11, FALSE))</f>
        <v>36701.545603031649</v>
      </c>
      <c r="DR51" s="102">
        <f>$BS51*(VLOOKUP(DR$4, Rates_current!$H$6:$R$41, 10, FALSE)+VLOOKUP(DR$4, Rates_current!$H$6:$R$41, 11, FALSE))</f>
        <v>32667.549710051273</v>
      </c>
      <c r="DS51" s="102">
        <f>$BS51*(VLOOKUP(DS$4, Rates_current!$H$6:$R$41, 10, FALSE)+VLOOKUP(DS$4, Rates_current!$H$6:$R$41, 11, FALSE))</f>
        <v>33510.914970007718</v>
      </c>
      <c r="DT51" s="102">
        <f>$BS51*(VLOOKUP(DT$4, Rates_current!$H$6:$R$41, 10, FALSE)+VLOOKUP(DT$4, Rates_current!$H$6:$R$41, 11, FALSE))</f>
        <v>26025.242481057838</v>
      </c>
      <c r="DU51" s="261">
        <f>IF(D51=0,IF(C51=0,MAX(0,DW51 - (VLOOKUP($A51,TOCA_current!$A$2:$AV$136,MATCH("RHWM "&amp;Init!$D$1,TOCA_current!$A$2:$AV$2,0),FALSE)*$BS$2)), 0),0)</f>
        <v>0</v>
      </c>
      <c r="DV51" s="262">
        <f>MIN(VLOOKUP($A51,TOCA_current!$A$2:$AV$136,MATCH("TRL - NLSL - Existing Resource "&amp;$BS$1,TOCA_current!$A$2:$AV$2,0),FALSE)*$BS$2, VLOOKUP($A51,TOCA_current!$A$2:$AV$136,MATCH("RHWM "&amp;Init!$D$1,TOCA_current!$A$2:$AV$2,0),FALSE)*$BS$2)</f>
        <v>402408.12</v>
      </c>
      <c r="DW51" s="262">
        <f>SUM(BY51:CV51)+(BS51*RT1SC!$C$4*$BS$2)</f>
        <v>402407.66743737599</v>
      </c>
      <c r="DX51" s="262">
        <f>VLOOKUP($A51,TOCA_current!$A$2:$AV$136,MATCH("Above RHWM Not Served with LS "&amp;$BS$1,TOCA_current!$A$2:$AV$2,0),FALSE)*$BS$2</f>
        <v>30914.04</v>
      </c>
      <c r="DY51" s="262">
        <f t="shared" si="28"/>
        <v>-0.45256262400653213</v>
      </c>
      <c r="DZ51" s="262">
        <f>(VLOOKUP($A51,TOCA_current!$A$2:$AV$136,MATCH("RHWM "&amp;Init!$D$1,TOCA_current!$A$2:$AV$2,0),FALSE)*$BS$2) - $DV51</f>
        <v>0</v>
      </c>
      <c r="EA51" s="262">
        <f t="shared" si="29"/>
        <v>0</v>
      </c>
      <c r="EB51" s="262">
        <f t="shared" si="30"/>
        <v>0</v>
      </c>
      <c r="EC51" s="262">
        <f t="shared" si="31"/>
        <v>0</v>
      </c>
      <c r="ED51" s="262">
        <f t="shared" si="32"/>
        <v>0</v>
      </c>
    </row>
    <row r="52" spans="1:134">
      <c r="A52" s="2">
        <v>10121</v>
      </c>
      <c r="B52" s="3" t="s">
        <v>54</v>
      </c>
      <c r="C52">
        <f>VLOOKUP(A52, TOCA_current!$A$3:$D$136, 4, FALSE)</f>
        <v>1</v>
      </c>
      <c r="D52">
        <v>0</v>
      </c>
      <c r="E52" s="84">
        <f>VLOOKUP($A52,TOCA_previous!$A$2:$AJ$136,MATCH(E$4,TOCA_previous!$A$2:$AJ$2,0),FALSE)</f>
        <v>5.7175999999999998E-3</v>
      </c>
      <c r="F52" s="85">
        <f>VLOOKUP($A52,TOCA_previous!$A$2:$AJ$136,MATCH(F$4,TOCA_previous!$A$2:$AJ$2,0),FALSE)</f>
        <v>5.7175999999999998E-3</v>
      </c>
      <c r="G52" s="85">
        <f t="shared" si="18"/>
        <v>0</v>
      </c>
      <c r="H52" s="85">
        <f>VLOOKUP($A52,TOCA_previous!$A$2:$AJ$136,MATCH(H$4,TOCA_previous!$A$2:$AJ$2,0),FALSE)</f>
        <v>0.06</v>
      </c>
      <c r="I52" s="85">
        <f t="shared" si="19"/>
        <v>0.06</v>
      </c>
      <c r="J52" s="85">
        <f t="shared" si="20"/>
        <v>5.7175999999999998E-3</v>
      </c>
      <c r="K52" s="101">
        <f>VLOOKUP(A52, IRD!$A$5:$C$138, 3, FALSE)</f>
        <v>0</v>
      </c>
      <c r="L52" s="102">
        <f t="array" ref="L52">IF($G52=0, INDEX(LS_previous!$D$4:$AY$137, MATCH('Staging Table'!$A52, LS_previous!$B$4:$B$137, 0), MATCH(L$4&amp;L$5, LS_previous!$D$2:$AY$2&amp;LS_previous!$D$3:$AY$3, 0)),SUM(VLOOKUP($A52, LS_previous!$B$4:$AY$137, LS_previous!D$148, FALSE), VLOOKUP('Staging Table'!$A52, LS_previous!$B$4:$AY$137,LS_previous!AB$148, FALSE))/2)</f>
        <v>0</v>
      </c>
      <c r="M52" s="102">
        <f t="array" ref="M52">IF($G52=0, INDEX(LS_previous!$D$4:$AY$137, MATCH('Staging Table'!$A52, LS_previous!$B$4:$B$137, 0), MATCH(M$4&amp;M$5, LS_previous!$D$2:$AY$2&amp;LS_previous!$D$3:$AY$3, 0)),SUM(VLOOKUP($A52, LS_previous!$B$4:$AY$137, LS_previous!E$148, FALSE), VLOOKUP('Staging Table'!$A52, LS_previous!$B$4:$AY$137,LS_previous!AC$148, FALSE))/2)</f>
        <v>0</v>
      </c>
      <c r="N52" s="102">
        <f t="array" ref="N52">IF($G52=0, INDEX(LS_previous!$D$4:$AY$137, MATCH('Staging Table'!$A52, LS_previous!$B$4:$B$137, 0), MATCH(N$4&amp;N$5, LS_previous!$D$2:$AY$2&amp;LS_previous!$D$3:$AY$3, 0)),SUM(VLOOKUP($A52, LS_previous!$B$4:$AY$137, LS_previous!F$148, FALSE), VLOOKUP('Staging Table'!$A52, LS_previous!$B$4:$AY$137,LS_previous!AD$148, FALSE))/2)</f>
        <v>0</v>
      </c>
      <c r="O52" s="102">
        <f t="array" ref="O52">IF($G52=0, INDEX(LS_previous!$D$4:$AY$137, MATCH('Staging Table'!$A52, LS_previous!$B$4:$B$137, 0), MATCH(O$4&amp;O$5, LS_previous!$D$2:$AY$2&amp;LS_previous!$D$3:$AY$3, 0)),SUM(VLOOKUP($A52, LS_previous!$B$4:$AY$137, LS_previous!G$148, FALSE), VLOOKUP('Staging Table'!$A52, LS_previous!$B$4:$AY$137,LS_previous!AE$148, FALSE))/2)</f>
        <v>0</v>
      </c>
      <c r="P52" s="102">
        <f t="array" ref="P52">IF($G52=0, INDEX(LS_previous!$D$4:$AY$137, MATCH('Staging Table'!$A52, LS_previous!$B$4:$B$137, 0), MATCH(P$4&amp;P$5, LS_previous!$D$2:$AY$2&amp;LS_previous!$D$3:$AY$3, 0)),SUM(VLOOKUP($A52, LS_previous!$B$4:$AY$137, LS_previous!H$148, FALSE), VLOOKUP('Staging Table'!$A52, LS_previous!$B$4:$AY$137,LS_previous!AF$148, FALSE))/2)</f>
        <v>0</v>
      </c>
      <c r="Q52" s="102">
        <f t="array" ref="Q52">IF($G52=0, INDEX(LS_previous!$D$4:$AY$137, MATCH('Staging Table'!$A52, LS_previous!$B$4:$B$137, 0), MATCH(Q$4&amp;Q$5, LS_previous!$D$2:$AY$2&amp;LS_previous!$D$3:$AY$3, 0)),SUM(VLOOKUP($A52, LS_previous!$B$4:$AY$137, LS_previous!I$148, FALSE), VLOOKUP('Staging Table'!$A52, LS_previous!$B$4:$AY$137,LS_previous!AG$148, FALSE))/2)</f>
        <v>0</v>
      </c>
      <c r="R52" s="102">
        <f t="array" ref="R52">IF($G52=0, INDEX(LS_previous!$D$4:$AY$137, MATCH('Staging Table'!$A52, LS_previous!$B$4:$B$137, 0), MATCH(R$4&amp;R$5, LS_previous!$D$2:$AY$2&amp;LS_previous!$D$3:$AY$3, 0)),SUM(VLOOKUP($A52, LS_previous!$B$4:$AY$137, LS_previous!J$148, FALSE), VLOOKUP('Staging Table'!$A52, LS_previous!$B$4:$AY$137,LS_previous!AH$148, FALSE))/2)</f>
        <v>0</v>
      </c>
      <c r="S52" s="102">
        <f t="array" ref="S52">IF($G52=0, INDEX(LS_previous!$D$4:$AY$137, MATCH('Staging Table'!$A52, LS_previous!$B$4:$B$137, 0), MATCH(S$4&amp;S$5, LS_previous!$D$2:$AY$2&amp;LS_previous!$D$3:$AY$3, 0)),SUM(VLOOKUP($A52, LS_previous!$B$4:$AY$137, LS_previous!K$148, FALSE), VLOOKUP('Staging Table'!$A52, LS_previous!$B$4:$AY$137,LS_previous!AI$148, FALSE))/2)</f>
        <v>0</v>
      </c>
      <c r="T52" s="102">
        <f t="array" ref="T52">IF($G52=0, INDEX(LS_previous!$D$4:$AY$137, MATCH('Staging Table'!$A52, LS_previous!$B$4:$B$137, 0), MATCH(T$4&amp;T$5, LS_previous!$D$2:$AY$2&amp;LS_previous!$D$3:$AY$3, 0)),SUM(VLOOKUP($A52, LS_previous!$B$4:$AY$137, LS_previous!L$148, FALSE), VLOOKUP('Staging Table'!$A52, LS_previous!$B$4:$AY$137,LS_previous!AJ$148, FALSE))/2)</f>
        <v>0</v>
      </c>
      <c r="U52" s="102">
        <f t="array" ref="U52">IF($G52=0, INDEX(LS_previous!$D$4:$AY$137, MATCH('Staging Table'!$A52, LS_previous!$B$4:$B$137, 0), MATCH(U$4&amp;U$5, LS_previous!$D$2:$AY$2&amp;LS_previous!$D$3:$AY$3, 0)),SUM(VLOOKUP($A52, LS_previous!$B$4:$AY$137, LS_previous!M$148, FALSE), VLOOKUP('Staging Table'!$A52, LS_previous!$B$4:$AY$137,LS_previous!AK$148, FALSE))/2)</f>
        <v>0</v>
      </c>
      <c r="V52" s="102">
        <f t="array" ref="V52">IF($G52=0, INDEX(LS_previous!$D$4:$AY$137, MATCH('Staging Table'!$A52, LS_previous!$B$4:$B$137, 0), MATCH(V$4&amp;V$5, LS_previous!$D$2:$AY$2&amp;LS_previous!$D$3:$AY$3, 0)),SUM(VLOOKUP($A52, LS_previous!$B$4:$AY$137, LS_previous!N$148, FALSE), VLOOKUP('Staging Table'!$A52, LS_previous!$B$4:$AY$137,LS_previous!AL$148, FALSE))/2)</f>
        <v>0</v>
      </c>
      <c r="W52" s="102">
        <f t="array" ref="W52">IF($G52=0, INDEX(LS_previous!$D$4:$AY$137, MATCH('Staging Table'!$A52, LS_previous!$B$4:$B$137, 0), MATCH(W$4&amp;W$5, LS_previous!$D$2:$AY$2&amp;LS_previous!$D$3:$AY$3, 0)),SUM(VLOOKUP($A52, LS_previous!$B$4:$AY$137, LS_previous!O$148, FALSE), VLOOKUP('Staging Table'!$A52, LS_previous!$B$4:$AY$137,LS_previous!AM$148, FALSE))/2)</f>
        <v>0</v>
      </c>
      <c r="X52" s="102">
        <f t="array" ref="X52">IF($G52=0, INDEX(LS_previous!$D$4:$AY$137, MATCH('Staging Table'!$A52, LS_previous!$B$4:$B$137, 0), MATCH(X$4&amp;X$5, LS_previous!$D$2:$AY$2&amp;LS_previous!$D$3:$AY$3, 0)),SUM(VLOOKUP($A52, LS_previous!$B$4:$AY$137, LS_previous!P$148, FALSE), VLOOKUP('Staging Table'!$A52, LS_previous!$B$4:$AY$137,LS_previous!AN$148, FALSE))/2)</f>
        <v>0</v>
      </c>
      <c r="Y52" s="102">
        <f t="array" ref="Y52">IF($G52=0, INDEX(LS_previous!$D$4:$AY$137, MATCH('Staging Table'!$A52, LS_previous!$B$4:$B$137, 0), MATCH(Y$4&amp;Y$5, LS_previous!$D$2:$AY$2&amp;LS_previous!$D$3:$AY$3, 0)),SUM(VLOOKUP($A52, LS_previous!$B$4:$AY$137, LS_previous!Q$148, FALSE), VLOOKUP('Staging Table'!$A52, LS_previous!$B$4:$AY$137,LS_previous!AO$148, FALSE))/2)</f>
        <v>0</v>
      </c>
      <c r="Z52" s="102">
        <f t="array" ref="Z52">IF($G52=0, INDEX(LS_previous!$D$4:$AY$137, MATCH('Staging Table'!$A52, LS_previous!$B$4:$B$137, 0), MATCH(Z$4&amp;Z$5, LS_previous!$D$2:$AY$2&amp;LS_previous!$D$3:$AY$3, 0)),SUM(VLOOKUP($A52, LS_previous!$B$4:$AY$137, LS_previous!R$148, FALSE), VLOOKUP('Staging Table'!$A52, LS_previous!$B$4:$AY$137,LS_previous!AP$148, FALSE))/2)</f>
        <v>0</v>
      </c>
      <c r="AA52" s="102">
        <f t="array" ref="AA52">IF($G52=0, INDEX(LS_previous!$D$4:$AY$137, MATCH('Staging Table'!$A52, LS_previous!$B$4:$B$137, 0), MATCH(AA$4&amp;AA$5, LS_previous!$D$2:$AY$2&amp;LS_previous!$D$3:$AY$3, 0)),SUM(VLOOKUP($A52, LS_previous!$B$4:$AY$137, LS_previous!S$148, FALSE), VLOOKUP('Staging Table'!$A52, LS_previous!$B$4:$AY$137,LS_previous!AQ$148, FALSE))/2)</f>
        <v>0</v>
      </c>
      <c r="AB52" s="102">
        <f t="array" ref="AB52">IF($G52=0, INDEX(LS_previous!$D$4:$AY$137, MATCH('Staging Table'!$A52, LS_previous!$B$4:$B$137, 0), MATCH(AB$4&amp;AB$5, LS_previous!$D$2:$AY$2&amp;LS_previous!$D$3:$AY$3, 0)),SUM(VLOOKUP($A52, LS_previous!$B$4:$AY$137, LS_previous!T$148, FALSE), VLOOKUP('Staging Table'!$A52, LS_previous!$B$4:$AY$137,LS_previous!AR$148, FALSE))/2)</f>
        <v>0</v>
      </c>
      <c r="AC52" s="102">
        <f t="array" ref="AC52">IF($G52=0, INDEX(LS_previous!$D$4:$AY$137, MATCH('Staging Table'!$A52, LS_previous!$B$4:$B$137, 0), MATCH(AC$4&amp;AC$5, LS_previous!$D$2:$AY$2&amp;LS_previous!$D$3:$AY$3, 0)),SUM(VLOOKUP($A52, LS_previous!$B$4:$AY$137, LS_previous!U$148, FALSE), VLOOKUP('Staging Table'!$A52, LS_previous!$B$4:$AY$137,LS_previous!AS$148, FALSE))/2)</f>
        <v>0</v>
      </c>
      <c r="AD52" s="102">
        <f t="array" ref="AD52">IF($G52=0, INDEX(LS_previous!$D$4:$AY$137, MATCH('Staging Table'!$A52, LS_previous!$B$4:$B$137, 0), MATCH(AD$4&amp;AD$5, LS_previous!$D$2:$AY$2&amp;LS_previous!$D$3:$AY$3, 0)),SUM(VLOOKUP($A52, LS_previous!$B$4:$AY$137, LS_previous!V$148, FALSE), VLOOKUP('Staging Table'!$A52, LS_previous!$B$4:$AY$137,LS_previous!AT$148, FALSE))/2)</f>
        <v>0</v>
      </c>
      <c r="AE52" s="102">
        <f t="array" ref="AE52">IF($G52=0, INDEX(LS_previous!$D$4:$AY$137, MATCH('Staging Table'!$A52, LS_previous!$B$4:$B$137, 0), MATCH(AE$4&amp;AE$5, LS_previous!$D$2:$AY$2&amp;LS_previous!$D$3:$AY$3, 0)),SUM(VLOOKUP($A52, LS_previous!$B$4:$AY$137, LS_previous!W$148, FALSE), VLOOKUP('Staging Table'!$A52, LS_previous!$B$4:$AY$137,LS_previous!AU$148, FALSE))/2)</f>
        <v>0</v>
      </c>
      <c r="AF52" s="102">
        <f t="array" ref="AF52">IF($G52=0, INDEX(LS_previous!$D$4:$AY$137, MATCH('Staging Table'!$A52, LS_previous!$B$4:$B$137, 0), MATCH(AF$4&amp;AF$5, LS_previous!$D$2:$AY$2&amp;LS_previous!$D$3:$AY$3, 0)),SUM(VLOOKUP($A52, LS_previous!$B$4:$AY$137, LS_previous!X$148, FALSE), VLOOKUP('Staging Table'!$A52, LS_previous!$B$4:$AY$137,LS_previous!AV$148, FALSE))/2)</f>
        <v>0</v>
      </c>
      <c r="AG52" s="102">
        <f t="array" ref="AG52">IF($G52=0, INDEX(LS_previous!$D$4:$AY$137, MATCH('Staging Table'!$A52, LS_previous!$B$4:$B$137, 0), MATCH(AG$4&amp;AG$5, LS_previous!$D$2:$AY$2&amp;LS_previous!$D$3:$AY$3, 0)),SUM(VLOOKUP($A52, LS_previous!$B$4:$AY$137, LS_previous!Y$148, FALSE), VLOOKUP('Staging Table'!$A52, LS_previous!$B$4:$AY$137,LS_previous!AW$148, FALSE))/2)</f>
        <v>0</v>
      </c>
      <c r="AH52" s="102">
        <f t="array" ref="AH52">IF($G52=0, INDEX(LS_previous!$D$4:$AY$137, MATCH('Staging Table'!$A52, LS_previous!$B$4:$B$137, 0), MATCH(AH$4&amp;AH$5, LS_previous!$D$2:$AY$2&amp;LS_previous!$D$3:$AY$3, 0)),SUM(VLOOKUP($A52, LS_previous!$B$4:$AY$137, LS_previous!Z$148, FALSE), VLOOKUP('Staging Table'!$A52, LS_previous!$B$4:$AY$137,LS_previous!AX$148, FALSE))/2)</f>
        <v>0</v>
      </c>
      <c r="AI52" s="102">
        <f t="array" ref="AI52">IF($G52=0, INDEX(LS_previous!$D$4:$AY$137, MATCH('Staging Table'!$A52, LS_previous!$B$4:$B$137, 0), MATCH(AI$4&amp;AI$5, LS_previous!$D$2:$AY$2&amp;LS_previous!$D$3:$AY$3, 0)),SUM(VLOOKUP($A52, LS_previous!$B$4:$AY$137, LS_previous!AA$148, FALSE), VLOOKUP('Staging Table'!$A52, LS_previous!$B$4:$AY$137,LS_previous!AY$148, FALSE))/2)</f>
        <v>0</v>
      </c>
      <c r="AJ52" s="103">
        <f t="array" ref="AJ52">INDEX(Demand_previous!$D$4:$AY$137, MATCH('Staging Table'!$A52, Demand_previous!$B$4:$B$137, 0), MATCH(AJ$4&amp;AJ$5,Demand_previous!$D$2:$AY$2&amp;Demand_previous!$D$3:$AY$3, 0))/1000</f>
        <v>0</v>
      </c>
      <c r="AK52" s="103">
        <f t="array" ref="AK52">INDEX(Demand_previous!$D$4:$AY$137, MATCH('Staging Table'!$A52, Demand_previous!$B$4:$B$137, 0), MATCH(AK$4&amp;AK$5,Demand_previous!$D$2:$AY$2&amp;Demand_previous!$D$3:$AY$3, 0))/1000</f>
        <v>0</v>
      </c>
      <c r="AL52" s="103">
        <f t="array" ref="AL52">INDEX(Demand_previous!$D$4:$AY$137, MATCH('Staging Table'!$A52, Demand_previous!$B$4:$B$137, 0), MATCH(AL$4&amp;AL$5,Demand_previous!$D$2:$AY$2&amp;Demand_previous!$D$3:$AY$3, 0))/1000</f>
        <v>0</v>
      </c>
      <c r="AM52" s="103">
        <f t="array" ref="AM52">INDEX(Demand_previous!$D$4:$AY$137, MATCH('Staging Table'!$A52, Demand_previous!$B$4:$B$137, 0), MATCH(AM$4&amp;AM$5,Demand_previous!$D$2:$AY$2&amp;Demand_previous!$D$3:$AY$3, 0))/1000</f>
        <v>0</v>
      </c>
      <c r="AN52" s="103">
        <f t="array" ref="AN52">INDEX(Demand_previous!$D$4:$AY$137, MATCH('Staging Table'!$A52, Demand_previous!$B$4:$B$137, 0), MATCH(AN$4&amp;AN$5,Demand_previous!$D$2:$AY$2&amp;Demand_previous!$D$3:$AY$3, 0))/1000</f>
        <v>0</v>
      </c>
      <c r="AO52" s="103">
        <f t="array" ref="AO52">INDEX(Demand_previous!$D$4:$AY$137, MATCH('Staging Table'!$A52, Demand_previous!$B$4:$B$137, 0), MATCH(AO$4&amp;AO$5,Demand_previous!$D$2:$AY$2&amp;Demand_previous!$D$3:$AY$3, 0))/1000</f>
        <v>0</v>
      </c>
      <c r="AP52" s="103">
        <f t="array" ref="AP52">INDEX(Demand_previous!$D$4:$AY$137, MATCH('Staging Table'!$A52, Demand_previous!$B$4:$B$137, 0), MATCH(AP$4&amp;AP$5,Demand_previous!$D$2:$AY$2&amp;Demand_previous!$D$3:$AY$3, 0))/1000</f>
        <v>0</v>
      </c>
      <c r="AQ52" s="103">
        <f t="array" ref="AQ52">INDEX(Demand_previous!$D$4:$AY$137, MATCH('Staging Table'!$A52, Demand_previous!$B$4:$B$137, 0), MATCH(AQ$4&amp;AQ$5,Demand_previous!$D$2:$AY$2&amp;Demand_previous!$D$3:$AY$3, 0))/1000</f>
        <v>0</v>
      </c>
      <c r="AR52" s="103">
        <f t="array" ref="AR52">INDEX(Demand_previous!$D$4:$AY$137, MATCH('Staging Table'!$A52, Demand_previous!$B$4:$B$137, 0), MATCH(AR$4&amp;AR$5,Demand_previous!$D$2:$AY$2&amp;Demand_previous!$D$3:$AY$3, 0))/1000</f>
        <v>0</v>
      </c>
      <c r="AS52" s="103">
        <f t="array" ref="AS52">INDEX(Demand_previous!$D$4:$AY$137, MATCH('Staging Table'!$A52, Demand_previous!$B$4:$B$137, 0), MATCH(AS$4&amp;AS$5,Demand_previous!$D$2:$AY$2&amp;Demand_previous!$D$3:$AY$3, 0))/1000</f>
        <v>0</v>
      </c>
      <c r="AT52" s="103">
        <f t="array" ref="AT52">INDEX(Demand_previous!$D$4:$AY$137, MATCH('Staging Table'!$A52, Demand_previous!$B$4:$B$137, 0), MATCH(AT$4&amp;AT$5,Demand_previous!$D$2:$AY$2&amp;Demand_previous!$D$3:$AY$3, 0))/1000</f>
        <v>0</v>
      </c>
      <c r="AU52" s="103">
        <f t="array" ref="AU52">INDEX(Demand_previous!$D$4:$AY$137, MATCH('Staging Table'!$A52, Demand_previous!$B$4:$B$137, 0), MATCH(AU$4&amp;AU$5,Demand_previous!$D$2:$AY$2&amp;Demand_previous!$D$3:$AY$3, 0))/1000</f>
        <v>0</v>
      </c>
      <c r="AV52" s="102">
        <f>$F52*(VLOOKUP(AV$4, Rates_previous!$G$6:$Q$29, 10, FALSE)+VLOOKUP(AV$4, Rates_previous!$G$6:$Q$29, 11, FALSE))</f>
        <v>24121.4323867524</v>
      </c>
      <c r="AW52" s="102">
        <f>$F52*(VLOOKUP(AW$4, Rates_previous!$G$6:$Q$29, 10, FALSE)+VLOOKUP(AW$4, Rates_previous!$G$6:$Q$29, 11, FALSE))</f>
        <v>30762.780407178401</v>
      </c>
      <c r="AX52" s="102">
        <f>$F52*(VLOOKUP(AX$4, Rates_previous!$G$6:$Q$29, 10, FALSE)+VLOOKUP(AX$4, Rates_previous!$G$6:$Q$29, 11, FALSE))</f>
        <v>33199.126817556004</v>
      </c>
      <c r="AY52" s="102">
        <f>$F52*(VLOOKUP(AY$4, Rates_previous!$G$6:$Q$29, 10, FALSE)+VLOOKUP(AY$4, Rates_previous!$G$6:$Q$29, 11, FALSE))</f>
        <v>34499.024944294397</v>
      </c>
      <c r="AZ52" s="102">
        <f>$F52*(VLOOKUP(AZ$4, Rates_previous!$G$6:$Q$29, 10, FALSE)+VLOOKUP(AZ$4, Rates_previous!$G$6:$Q$29, 11, FALSE))</f>
        <v>29673.759878548797</v>
      </c>
      <c r="BA52" s="102">
        <f>$F52*(VLOOKUP(BA$4, Rates_previous!$G$6:$Q$29, 10, FALSE)+VLOOKUP(BA$4, Rates_previous!$G$6:$Q$29, 11, FALSE))</f>
        <v>32397.870678381598</v>
      </c>
      <c r="BB52" s="102">
        <f>$F52*(VLOOKUP(BB$4, Rates_previous!$G$6:$Q$29, 10, FALSE)+VLOOKUP(BB$4, Rates_previous!$G$6:$Q$29, 11, FALSE))</f>
        <v>25572.659197535795</v>
      </c>
      <c r="BC52" s="102">
        <f>$F52*(VLOOKUP(BC$4, Rates_previous!$G$6:$Q$29, 10, FALSE)+VLOOKUP(BC$4, Rates_previous!$G$6:$Q$29, 11, FALSE))</f>
        <v>31726.310630764401</v>
      </c>
      <c r="BD52" s="102">
        <f>$F52*(VLOOKUP(BD$4, Rates_previous!$G$6:$Q$29, 10, FALSE)+VLOOKUP(BD$4, Rates_previous!$G$6:$Q$29, 11, FALSE))</f>
        <v>32414.692369306795</v>
      </c>
      <c r="BE52" s="102">
        <f>$F52*(VLOOKUP(BE$4, Rates_previous!$G$6:$Q$29, 10, FALSE)+VLOOKUP(BE$4, Rates_previous!$G$6:$Q$29, 11, FALSE))</f>
        <v>28140.6229088404</v>
      </c>
      <c r="BF52" s="102">
        <f>$F52*(VLOOKUP(BF$4, Rates_previous!$G$6:$Q$29, 10, FALSE)+VLOOKUP(BF$4, Rates_previous!$G$6:$Q$29, 11, FALSE))</f>
        <v>27204.502329918763</v>
      </c>
      <c r="BG52" s="102">
        <f>$F52*(VLOOKUP(BG$4, Rates_previous!$G$6:$Q$29, 10, FALSE)+VLOOKUP(BG$4, Rates_previous!$G$6:$Q$29, 11, FALSE))</f>
        <v>25033.410264452803</v>
      </c>
      <c r="BH52" s="103">
        <f>IF($D52=0,IF(C52=0, MAX(BJ52 - (VLOOKUP($A52,TOCA_previous!$A$2:$AJ$136,MATCH("RHWM "&amp;Init!$D$1-2,TOCA_previous!$A$2:$AJ$2,0),FALSE)*$F$2*TOCA_previous!C49),0),0), 0)</f>
        <v>0</v>
      </c>
      <c r="BI52" s="109">
        <f>MIN(VLOOKUP($A52,TOCA_previous!$A$2:$AJ$136,MATCH("TRL - NLSL - Existing Resource "&amp;$F$1,TOCA_previous!$A$2:$AJ$2,0),FALSE)*$F$2,(VLOOKUP($A52,TOCA_previous!$A$2:$AJ$136,MATCH("RHWM "&amp;Init!$D$1-2,TOCA_previous!$A$2:$AJ$2,0),FALSE)*$F$2))</f>
        <v>346915.29599999997</v>
      </c>
      <c r="BJ52" s="261">
        <f>SUM(L52:AI52)+(F52*RT1SC!$C$3*$F$2)</f>
        <v>354746.19443961594</v>
      </c>
      <c r="BK52" s="260">
        <f>VLOOKUP($A52,TOCA_previous!$A$2:$AJ$136,MATCH("Above RHWM Not Served with LS "&amp;$F$1,TOCA_previous!$A$2:$AJ$2,0),FALSE)*$F$2</f>
        <v>0</v>
      </c>
      <c r="BL52" s="261">
        <f t="shared" si="21"/>
        <v>7830.8984396159649</v>
      </c>
      <c r="BM52" s="260">
        <f>(VLOOKUP($A52,TOCA_previous!$A$2:$AJ$136,MATCH("RHWM "&amp;Init!$D$1-2,TOCA_previous!$A$2:$AJ$2,0),FALSE)*$F$2) - $BI52</f>
        <v>12130.704000000027</v>
      </c>
      <c r="BN52" s="261">
        <f t="shared" si="22"/>
        <v>-7830.8984396159649</v>
      </c>
      <c r="BO52" s="260">
        <f t="shared" si="23"/>
        <v>0</v>
      </c>
      <c r="BP52" s="261">
        <f t="shared" si="24"/>
        <v>0</v>
      </c>
      <c r="BQ52" s="260">
        <f t="shared" si="9"/>
        <v>-7830.8984396159649</v>
      </c>
      <c r="BR52" s="85">
        <f>VLOOKUP($A52,TOCA_current!$A$2:$ZZ$136,MATCH(BR$4,TOCA_current!$A$2:$ZZ$2,0),FALSE)</f>
        <v>5.6528000000000004E-3</v>
      </c>
      <c r="BS52" s="85">
        <f>VLOOKUP($A52,TOCA_current!$A$2:$ZZ$136,MATCH(BS$4,TOCA_current!$A$2:$ZZ$2,0),FALSE)</f>
        <v>5.6528000000000004E-3</v>
      </c>
      <c r="BT52" s="108">
        <f t="shared" si="25"/>
        <v>0</v>
      </c>
      <c r="BU52" s="85">
        <f>VLOOKUP($A52,TOCA_current!A49:BG183,MATCH(BU$4,TOCA_current!$A$2:$BG$2,0),FALSE)</f>
        <v>0.06</v>
      </c>
      <c r="BV52" s="85">
        <f t="shared" si="26"/>
        <v>0.06</v>
      </c>
      <c r="BW52" s="85">
        <f t="shared" si="27"/>
        <v>5.6528000000000004E-3</v>
      </c>
      <c r="BX52" s="101">
        <f>VLOOKUP($A52,IRD!$A$4:$G$138, 7, FALSE)</f>
        <v>0</v>
      </c>
      <c r="BY52" s="102">
        <f t="array" ref="BY52">IF($BT52=0, INDEX(LS_current!$D$4:$BW$137, MATCH('Staging Table'!$A52, LS_current!$B$4:$B$137, 0), MATCH(BY$4&amp;BY$5, LS_current!$D$2:$BW$2&amp;LS_current!$D$3:$BW$3, 0)),SUM(VLOOKUP($A52, LS_current!$B$4:$BW$137, LS_current!D$147, FALSE), VLOOKUP($A52, LS_current!$B$4:$BW$137,LS_current!AZ$147, FALSE))/2)</f>
        <v>0</v>
      </c>
      <c r="BZ52" s="102">
        <f t="array" ref="BZ52">IF($BT52=0, INDEX(LS_current!$D$4:$BW$137, MATCH('Staging Table'!$A52, LS_current!$B$4:$B$137, 0), MATCH(BZ$4&amp;BZ$5, LS_current!$D$2:$BW$2&amp;LS_current!$D$3:$BW$3, 0)),SUM(VLOOKUP($A52, LS_current!$B$4:$BW$137, LS_current!E$147, FALSE), VLOOKUP($A52, LS_current!$B$4:$BW$137,LS_current!BA$147, FALSE))/2)</f>
        <v>0</v>
      </c>
      <c r="CA52" s="102">
        <f t="array" ref="CA52">IF($BT52=0, INDEX(LS_current!$D$4:$BW$137, MATCH('Staging Table'!$A52, LS_current!$B$4:$B$137, 0), MATCH(CA$4&amp;CA$5, LS_current!$D$2:$BW$2&amp;LS_current!$D$3:$BW$3, 0)),SUM(VLOOKUP($A52, LS_current!$B$4:$BW$137, LS_current!F$147, FALSE), VLOOKUP($A52, LS_current!$B$4:$BW$137,LS_current!BB$147, FALSE))/2)</f>
        <v>0</v>
      </c>
      <c r="CB52" s="102">
        <f t="array" ref="CB52">IF($BT52=0, INDEX(LS_current!$D$4:$BW$137, MATCH('Staging Table'!$A52, LS_current!$B$4:$B$137, 0), MATCH(CB$4&amp;CB$5, LS_current!$D$2:$BW$2&amp;LS_current!$D$3:$BW$3, 0)),SUM(VLOOKUP($A52, LS_current!$B$4:$BW$137, LS_current!G$147, FALSE), VLOOKUP($A52, LS_current!$B$4:$BW$137,LS_current!BC$147, FALSE))/2)</f>
        <v>0</v>
      </c>
      <c r="CC52" s="102">
        <f t="array" ref="CC52">IF($BT52=0, INDEX(LS_current!$D$4:$BW$137, MATCH('Staging Table'!$A52, LS_current!$B$4:$B$137, 0), MATCH(CC$4&amp;CC$5, LS_current!$D$2:$BW$2&amp;LS_current!$D$3:$BW$3, 0)),SUM(VLOOKUP($A52, LS_current!$B$4:$BW$137, LS_current!H$147, FALSE), VLOOKUP($A52, LS_current!$B$4:$BW$137,LS_current!BD$147, FALSE))/2)</f>
        <v>0</v>
      </c>
      <c r="CD52" s="102">
        <f t="array" ref="CD52">IF($BT52=0, INDEX(LS_current!$D$4:$BW$137, MATCH('Staging Table'!$A52, LS_current!$B$4:$B$137, 0), MATCH(CD$4&amp;CD$5, LS_current!$D$2:$BW$2&amp;LS_current!$D$3:$BW$3, 0)),SUM(VLOOKUP($A52, LS_current!$B$4:$BW$137, LS_current!I$147, FALSE), VLOOKUP($A52, LS_current!$B$4:$BW$137,LS_current!BE$147, FALSE))/2)</f>
        <v>0</v>
      </c>
      <c r="CE52" s="102">
        <f t="array" ref="CE52">IF($BT52=0, INDEX(LS_current!$D$4:$BW$137, MATCH('Staging Table'!$A52, LS_current!$B$4:$B$137, 0), MATCH(CE$4&amp;CE$5, LS_current!$D$2:$BW$2&amp;LS_current!$D$3:$BW$3, 0)),SUM(VLOOKUP($A52, LS_current!$B$4:$BW$137, LS_current!J$147, FALSE), VLOOKUP($A52, LS_current!$B$4:$BW$137,LS_current!BF$147, FALSE))/2)</f>
        <v>0</v>
      </c>
      <c r="CF52" s="102">
        <f t="array" ref="CF52">IF($BT52=0, INDEX(LS_current!$D$4:$BW$137, MATCH('Staging Table'!$A52, LS_current!$B$4:$B$137, 0), MATCH(CF$4&amp;CF$5, LS_current!$D$2:$BW$2&amp;LS_current!$D$3:$BW$3, 0)),SUM(VLOOKUP($A52, LS_current!$B$4:$BW$137, LS_current!K$147, FALSE), VLOOKUP($A52, LS_current!$B$4:$BW$137,LS_current!BG$147, FALSE))/2)</f>
        <v>0</v>
      </c>
      <c r="CG52" s="102">
        <f t="array" ref="CG52">IF($BT52=0, INDEX(LS_current!$D$4:$BW$137, MATCH('Staging Table'!$A52, LS_current!$B$4:$B$137, 0), MATCH(CG$4&amp;CG$5, LS_current!$D$2:$BW$2&amp;LS_current!$D$3:$BW$3, 0)),SUM(VLOOKUP($A52, LS_current!$B$4:$BW$137, LS_current!L$147, FALSE), VLOOKUP($A52, LS_current!$B$4:$BW$137,LS_current!BH$147, FALSE))/2)</f>
        <v>0</v>
      </c>
      <c r="CH52" s="102">
        <f t="array" ref="CH52">IF($BT52=0, INDEX(LS_current!$D$4:$BW$137, MATCH('Staging Table'!$A52, LS_current!$B$4:$B$137, 0), MATCH(CH$4&amp;CH$5, LS_current!$D$2:$BW$2&amp;LS_current!$D$3:$BW$3, 0)),SUM(VLOOKUP($A52, LS_current!$B$4:$BW$137, LS_current!M$147, FALSE), VLOOKUP($A52, LS_current!$B$4:$BW$137,LS_current!BI$147, FALSE))/2)</f>
        <v>0</v>
      </c>
      <c r="CI52" s="102">
        <f t="array" ref="CI52">IF($BT52=0, INDEX(LS_current!$D$4:$BW$137, MATCH('Staging Table'!$A52, LS_current!$B$4:$B$137, 0), MATCH(CI$4&amp;CI$5, LS_current!$D$2:$BW$2&amp;LS_current!$D$3:$BW$3, 0)),SUM(VLOOKUP($A52, LS_current!$B$4:$BW$137, LS_current!N$147, FALSE), VLOOKUP($A52, LS_current!$B$4:$BW$137,LS_current!BJ$147, FALSE))/2)</f>
        <v>0</v>
      </c>
      <c r="CJ52" s="102">
        <f t="array" ref="CJ52">IF($BT52=0, INDEX(LS_current!$D$4:$BW$137, MATCH('Staging Table'!$A52, LS_current!$B$4:$B$137, 0), MATCH(CJ$4&amp;CJ$5, LS_current!$D$2:$BW$2&amp;LS_current!$D$3:$BW$3, 0)),SUM(VLOOKUP($A52, LS_current!$B$4:$BW$137, LS_current!O$147, FALSE), VLOOKUP($A52, LS_current!$B$4:$BW$137,LS_current!BK$147, FALSE))/2)</f>
        <v>0</v>
      </c>
      <c r="CK52" s="102">
        <f t="array" ref="CK52">IF($BT52=0, INDEX(LS_current!$D$4:$BW$137, MATCH('Staging Table'!$A52, LS_current!$B$4:$B$137, 0), MATCH(CK$4&amp;CK$5, LS_current!$D$2:$BW$2&amp;LS_current!$D$3:$BW$3, 0)),SUM(VLOOKUP($A52, LS_current!$B$4:$BW$137, LS_current!P$147, FALSE), VLOOKUP($A52, LS_current!$B$4:$BW$137,LS_current!BL$147, FALSE))/2)</f>
        <v>0</v>
      </c>
      <c r="CL52" s="102">
        <f t="array" ref="CL52">IF($BT52=0, INDEX(LS_current!$D$4:$BW$137, MATCH('Staging Table'!$A52, LS_current!$B$4:$B$137, 0), MATCH(CL$4&amp;CL$5, LS_current!$D$2:$BW$2&amp;LS_current!$D$3:$BW$3, 0)),SUM(VLOOKUP($A52, LS_current!$B$4:$BW$137, LS_current!Q$147, FALSE), VLOOKUP($A52, LS_current!$B$4:$BW$137,LS_current!BM$147, FALSE))/2)</f>
        <v>0</v>
      </c>
      <c r="CM52" s="102">
        <f t="array" ref="CM52">IF($BT52=0, INDEX(LS_current!$D$4:$BW$137, MATCH('Staging Table'!$A52, LS_current!$B$4:$B$137, 0), MATCH(CM$4&amp;CM$5, LS_current!$D$2:$BW$2&amp;LS_current!$D$3:$BW$3, 0)),SUM(VLOOKUP($A52, LS_current!$B$4:$BW$137, LS_current!R$147, FALSE), VLOOKUP($A52, LS_current!$B$4:$BW$137,LS_current!BN$147, FALSE))/2)</f>
        <v>0</v>
      </c>
      <c r="CN52" s="102">
        <f t="array" ref="CN52">IF($BT52=0, INDEX(LS_current!$D$4:$BW$137, MATCH('Staging Table'!$A52, LS_current!$B$4:$B$137, 0), MATCH(CN$4&amp;CN$5, LS_current!$D$2:$BW$2&amp;LS_current!$D$3:$BW$3, 0)),SUM(VLOOKUP($A52, LS_current!$B$4:$BW$137, LS_current!S$147, FALSE), VLOOKUP($A52, LS_current!$B$4:$BW$137,LS_current!BO$147, FALSE))/2)</f>
        <v>0</v>
      </c>
      <c r="CO52" s="102">
        <f t="array" ref="CO52">IF($BT52=0, INDEX(LS_current!$D$4:$BW$137, MATCH('Staging Table'!$A52, LS_current!$B$4:$B$137, 0), MATCH(CO$4&amp;CO$5, LS_current!$D$2:$BW$2&amp;LS_current!$D$3:$BW$3, 0)),SUM(VLOOKUP($A52, LS_current!$B$4:$BW$137, LS_current!T$147, FALSE), VLOOKUP($A52, LS_current!$B$4:$BW$137,LS_current!BP$147, FALSE))/2)</f>
        <v>0</v>
      </c>
      <c r="CP52" s="102">
        <f t="array" ref="CP52">IF($BT52=0, INDEX(LS_current!$D$4:$BW$137, MATCH('Staging Table'!$A52, LS_current!$B$4:$B$137, 0), MATCH(CP$4&amp;CP$5, LS_current!$D$2:$BW$2&amp;LS_current!$D$3:$BW$3, 0)),SUM(VLOOKUP($A52, LS_current!$B$4:$BW$137, LS_current!U$147, FALSE), VLOOKUP($A52, LS_current!$B$4:$BW$137,LS_current!BQ$147, FALSE))/2)</f>
        <v>0</v>
      </c>
      <c r="CQ52" s="102">
        <f t="array" ref="CQ52">IF($BT52=0, INDEX(LS_current!$D$4:$BW$137, MATCH('Staging Table'!$A52, LS_current!$B$4:$B$137, 0), MATCH(CQ$4&amp;CQ$5, LS_current!$D$2:$BW$2&amp;LS_current!$D$3:$BW$3, 0)),SUM(VLOOKUP($A52, LS_current!$B$4:$BW$137, LS_current!V$147, FALSE), VLOOKUP($A52, LS_current!$B$4:$BW$137,LS_current!BR$147, FALSE))/2)</f>
        <v>0</v>
      </c>
      <c r="CR52" s="102">
        <f t="array" ref="CR52">IF($BT52=0, INDEX(LS_current!$D$4:$BW$137, MATCH('Staging Table'!$A52, LS_current!$B$4:$B$137, 0), MATCH(CR$4&amp;CR$5, LS_current!$D$2:$BW$2&amp;LS_current!$D$3:$BW$3, 0)),SUM(VLOOKUP($A52, LS_current!$B$4:$BW$137, LS_current!W$147, FALSE), VLOOKUP($A52, LS_current!$B$4:$BW$137,LS_current!BS$147, FALSE))/2)</f>
        <v>0</v>
      </c>
      <c r="CS52" s="102">
        <f t="array" ref="CS52">IF($BT52=0, INDEX(LS_current!$D$4:$BW$137, MATCH('Staging Table'!$A52, LS_current!$B$4:$B$137, 0), MATCH(CS$4&amp;CS$5, LS_current!$D$2:$BW$2&amp;LS_current!$D$3:$BW$3, 0)),SUM(VLOOKUP($A52, LS_current!$B$4:$BW$137, LS_current!X$147, FALSE), VLOOKUP($A52, LS_current!$B$4:$BW$137,LS_current!BT$147, FALSE))/2)</f>
        <v>0</v>
      </c>
      <c r="CT52" s="102">
        <f t="array" ref="CT52">IF($BT52=0, INDEX(LS_current!$D$4:$BW$137, MATCH('Staging Table'!$A52, LS_current!$B$4:$B$137, 0), MATCH(CT$4&amp;CT$5, LS_current!$D$2:$BW$2&amp;LS_current!$D$3:$BW$3, 0)),SUM(VLOOKUP($A52, LS_current!$B$4:$BW$137, LS_current!Y$147, FALSE), VLOOKUP($A52, LS_current!$B$4:$BW$137,LS_current!BU$147, FALSE))/2)</f>
        <v>0</v>
      </c>
      <c r="CU52" s="102">
        <f t="array" ref="CU52">IF($BT52=0, INDEX(LS_current!$D$4:$BW$137, MATCH('Staging Table'!$A52, LS_current!$B$4:$B$137, 0), MATCH(CU$4&amp;CU$5, LS_current!$D$2:$BW$2&amp;LS_current!$D$3:$BW$3, 0)),SUM(VLOOKUP($A52, LS_current!$B$4:$BW$137, LS_current!Z$147, FALSE), VLOOKUP($A52, LS_current!$B$4:$BW$137,LS_current!BV$147, FALSE))/2)</f>
        <v>0</v>
      </c>
      <c r="CV52" s="102">
        <f t="array" ref="CV52">IF($BT52=0, INDEX(LS_current!$D$4:$BW$137, MATCH('Staging Table'!$A52, LS_current!$B$4:$B$137, 0), MATCH(CV$4&amp;CV$5, LS_current!$D$2:$BW$2&amp;LS_current!$D$3:$BW$3, 0)),SUM(VLOOKUP($A52, LS_current!$B$4:$BW$137, LS_current!AA$147, FALSE), VLOOKUP($A52, LS_current!$B$4:$BW$137,LS_current!BW$147, FALSE))/2)</f>
        <v>0</v>
      </c>
      <c r="CW52" s="103">
        <f t="array" ref="CW52">INDEX(Demand_current!$D$4:$BW$137, MATCH($A52, Demand_current!$B$4:$B$137, 0), MATCH(CW$4&amp;CW$5,Demand_current!$D$2:$BW$2&amp;Demand_current!$D$3:$BW$3, 0))/1000</f>
        <v>0</v>
      </c>
      <c r="CX52" s="103">
        <f t="array" ref="CX52">INDEX(Demand_current!$D$4:$BW$137, MATCH($A52, Demand_current!$B$4:$B$137, 0), MATCH(CX$4&amp;CX$5,Demand_current!$D$2:$BW$2&amp;Demand_current!$D$3:$BW$3, 0))/1000</f>
        <v>0</v>
      </c>
      <c r="CY52" s="103">
        <f t="array" ref="CY52">INDEX(Demand_current!$D$4:$BW$137, MATCH($A52, Demand_current!$B$4:$B$137, 0), MATCH(CY$4&amp;CY$5,Demand_current!$D$2:$BW$2&amp;Demand_current!$D$3:$BW$3, 0))/1000</f>
        <v>0</v>
      </c>
      <c r="CZ52" s="103">
        <f t="array" ref="CZ52">INDEX(Demand_current!$D$4:$BW$137, MATCH($A52, Demand_current!$B$4:$B$137, 0), MATCH(CZ$4&amp;CZ$5,Demand_current!$D$2:$BW$2&amp;Demand_current!$D$3:$BW$3, 0))/1000</f>
        <v>0</v>
      </c>
      <c r="DA52" s="103">
        <f t="array" ref="DA52">INDEX(Demand_current!$D$4:$BW$137, MATCH($A52, Demand_current!$B$4:$B$137, 0), MATCH(DA$4&amp;DA$5,Demand_current!$D$2:$BW$2&amp;Demand_current!$D$3:$BW$3, 0))/1000</f>
        <v>0</v>
      </c>
      <c r="DB52" s="103">
        <f t="array" ref="DB52">INDEX(Demand_current!$D$4:$BW$137, MATCH($A52, Demand_current!$B$4:$B$137, 0), MATCH(DB$4&amp;DB$5,Demand_current!$D$2:$BW$2&amp;Demand_current!$D$3:$BW$3, 0))/1000</f>
        <v>0</v>
      </c>
      <c r="DC52" s="103">
        <f t="array" ref="DC52">INDEX(Demand_current!$D$4:$BW$137, MATCH($A52, Demand_current!$B$4:$B$137, 0), MATCH(DC$4&amp;DC$5,Demand_current!$D$2:$BW$2&amp;Demand_current!$D$3:$BW$3, 0))/1000</f>
        <v>0</v>
      </c>
      <c r="DD52" s="103">
        <f t="array" ref="DD52">INDEX(Demand_current!$D$4:$BW$137, MATCH($A52, Demand_current!$B$4:$B$137, 0), MATCH(DD$4&amp;DD$5,Demand_current!$D$2:$BW$2&amp;Demand_current!$D$3:$BW$3, 0))/1000</f>
        <v>0</v>
      </c>
      <c r="DE52" s="103">
        <f t="array" ref="DE52">INDEX(Demand_current!$D$4:$BW$137, MATCH($A52, Demand_current!$B$4:$B$137, 0), MATCH(DE$4&amp;DE$5,Demand_current!$D$2:$BW$2&amp;Demand_current!$D$3:$BW$3, 0))/1000</f>
        <v>0</v>
      </c>
      <c r="DF52" s="103">
        <f t="array" ref="DF52">INDEX(Demand_current!$D$4:$BW$137, MATCH($A52, Demand_current!$B$4:$B$137, 0), MATCH(DF$4&amp;DF$5,Demand_current!$D$2:$BW$2&amp;Demand_current!$D$3:$BW$3, 0))/1000</f>
        <v>0</v>
      </c>
      <c r="DG52" s="103">
        <f t="array" ref="DG52">INDEX(Demand_current!$D$4:$BW$137, MATCH($A52, Demand_current!$B$4:$B$137, 0), MATCH(DG$4&amp;DG$5,Demand_current!$D$2:$BW$2&amp;Demand_current!$D$3:$BW$3, 0))/1000</f>
        <v>0</v>
      </c>
      <c r="DH52" s="103">
        <f t="array" ref="DH52">INDEX(Demand_current!$D$4:$BW$137, MATCH($A52, Demand_current!$B$4:$B$137, 0), MATCH(DH$4&amp;DH$5,Demand_current!$D$2:$BW$2&amp;Demand_current!$D$3:$BW$3, 0))/1000</f>
        <v>0</v>
      </c>
      <c r="DI52" s="102">
        <f>$BS52*(VLOOKUP(DI$4, Rates_current!$H$6:$R$41, 10, FALSE)+VLOOKUP(DI$4, Rates_current!$H$6:$R$41, 11, FALSE))</f>
        <v>23460.745794331648</v>
      </c>
      <c r="DJ52" s="102">
        <f>$BS52*(VLOOKUP(DJ$4, Rates_current!$H$6:$R$41, 10, FALSE)+VLOOKUP(DJ$4, Rates_current!$H$6:$R$41, 11, FALSE))</f>
        <v>29993.791356110716</v>
      </c>
      <c r="DK52" s="102">
        <f>$BS52*(VLOOKUP(DK$4, Rates_current!$H$6:$R$41, 10, FALSE)+VLOOKUP(DK$4, Rates_current!$H$6:$R$41, 11, FALSE))</f>
        <v>34100.432182565368</v>
      </c>
      <c r="DL52" s="102">
        <f>$BS52*(VLOOKUP(DL$4, Rates_current!$H$6:$R$41, 10, FALSE)+VLOOKUP(DL$4, Rates_current!$H$6:$R$41, 11, FALSE))</f>
        <v>35978.617794332073</v>
      </c>
      <c r="DM52" s="102">
        <f>$BS52*(VLOOKUP(DM$4, Rates_current!$H$6:$R$41, 10, FALSE)+VLOOKUP(DM$4, Rates_current!$H$6:$R$41, 11, FALSE))</f>
        <v>28671.71118770953</v>
      </c>
      <c r="DN52" s="102">
        <f>$BS52*(VLOOKUP(DN$4, Rates_current!$H$6:$R$41, 10, FALSE)+VLOOKUP(DN$4, Rates_current!$H$6:$R$41, 11, FALSE))</f>
        <v>31344.068228832752</v>
      </c>
      <c r="DO52" s="102">
        <f>$BS52*(VLOOKUP(DO$4, Rates_current!$H$6:$R$41, 10, FALSE)+VLOOKUP(DO$4, Rates_current!$H$6:$R$41, 11, FALSE))</f>
        <v>24291.968169585853</v>
      </c>
      <c r="DP52" s="102">
        <f>$BS52*(VLOOKUP(DP$4, Rates_current!$H$6:$R$41, 10, FALSE)+VLOOKUP(DP$4, Rates_current!$H$6:$R$41, 11, FALSE))</f>
        <v>31437.80654108226</v>
      </c>
      <c r="DQ52" s="102">
        <f>$BS52*(VLOOKUP(DQ$4, Rates_current!$H$6:$R$41, 10, FALSE)+VLOOKUP(DQ$4, Rates_current!$H$6:$R$41, 11, FALSE))</f>
        <v>32109.095226164602</v>
      </c>
      <c r="DR52" s="102">
        <f>$BS52*(VLOOKUP(DR$4, Rates_current!$H$6:$R$41, 10, FALSE)+VLOOKUP(DR$4, Rates_current!$H$6:$R$41, 11, FALSE))</f>
        <v>28579.871697797327</v>
      </c>
      <c r="DS52" s="102">
        <f>$BS52*(VLOOKUP(DS$4, Rates_current!$H$6:$R$41, 10, FALSE)+VLOOKUP(DS$4, Rates_current!$H$6:$R$41, 11, FALSE))</f>
        <v>29317.706985043205</v>
      </c>
      <c r="DT52" s="102">
        <f>$BS52*(VLOOKUP(DT$4, Rates_current!$H$6:$R$41, 10, FALSE)+VLOOKUP(DT$4, Rates_current!$H$6:$R$41, 11, FALSE))</f>
        <v>22768.713834201128</v>
      </c>
      <c r="DU52" s="261">
        <f>IF(D52=0,IF(C52=0,MAX(0,DW52 - (VLOOKUP($A52,TOCA_current!$A$2:$AV$136,MATCH("RHWM "&amp;Init!$D$1,TOCA_current!$A$2:$AV$2,0),FALSE)*$BS$2)), 0),0)</f>
        <v>0</v>
      </c>
      <c r="DV52" s="262">
        <f>MIN(VLOOKUP($A52,TOCA_current!$A$2:$AV$136,MATCH("TRL - NLSL - Existing Resource "&amp;$BS$1,TOCA_current!$A$2:$AV$2,0),FALSE)*$BS$2, VLOOKUP($A52,TOCA_current!$A$2:$AV$136,MATCH("RHWM "&amp;Init!$D$1,TOCA_current!$A$2:$AV$2,0),FALSE)*$BS$2)</f>
        <v>352055.64</v>
      </c>
      <c r="DW52" s="262">
        <f>SUM(BY52:CV52)+(BS52*RT1SC!$C$4*$BS$2)</f>
        <v>352054.54977945605</v>
      </c>
      <c r="DX52" s="262">
        <f>VLOOKUP($A52,TOCA_current!$A$2:$AV$136,MATCH("Above RHWM Not Served with LS "&amp;$BS$1,TOCA_current!$A$2:$AV$2,0),FALSE)*$BS$2</f>
        <v>0</v>
      </c>
      <c r="DY52" s="262">
        <f t="shared" si="28"/>
        <v>-1.090220543963369</v>
      </c>
      <c r="DZ52" s="262">
        <f>(VLOOKUP($A52,TOCA_current!$A$2:$AV$136,MATCH("RHWM "&amp;Init!$D$1,TOCA_current!$A$2:$AV$2,0),FALSE)*$BS$2) - $DV52</f>
        <v>8076.7199999999721</v>
      </c>
      <c r="EA52" s="262">
        <f t="shared" si="29"/>
        <v>0</v>
      </c>
      <c r="EB52" s="262">
        <f t="shared" si="30"/>
        <v>1.090220543963369</v>
      </c>
      <c r="EC52" s="262">
        <f t="shared" si="31"/>
        <v>0</v>
      </c>
      <c r="ED52" s="262">
        <f t="shared" si="32"/>
        <v>1.090220543963369</v>
      </c>
    </row>
    <row r="53" spans="1:134">
      <c r="A53" s="2">
        <v>10123</v>
      </c>
      <c r="B53" s="3" t="s">
        <v>55</v>
      </c>
      <c r="C53">
        <f>VLOOKUP(A53, TOCA_current!$A$3:$D$136, 4, FALSE)</f>
        <v>0</v>
      </c>
      <c r="D53">
        <v>1</v>
      </c>
      <c r="E53" s="84">
        <f>VLOOKUP($A53,TOCA_previous!$A$2:$AJ$136,MATCH(E$4,TOCA_previous!$A$2:$AJ$2,0),FALSE)</f>
        <v>6.6594799999999996E-2</v>
      </c>
      <c r="F53" s="85">
        <f>VLOOKUP($A53,TOCA_previous!$A$2:$AJ$136,MATCH(F$4,TOCA_previous!$A$2:$AJ$2,0),FALSE)</f>
        <v>2.6728199999999994E-2</v>
      </c>
      <c r="G53" s="85">
        <f t="shared" si="18"/>
        <v>3.9866600000000002E-2</v>
      </c>
      <c r="H53" s="85">
        <f>VLOOKUP($A53,TOCA_previous!$A$2:$AJ$136,MATCH(H$4,TOCA_previous!$A$2:$AJ$2,0),FALSE)</f>
        <v>0</v>
      </c>
      <c r="I53" s="85">
        <f t="shared" si="19"/>
        <v>0</v>
      </c>
      <c r="J53" s="85">
        <f t="shared" si="20"/>
        <v>0</v>
      </c>
      <c r="K53" s="101">
        <f>VLOOKUP(A53, IRD!$A$5:$C$138, 3, FALSE)</f>
        <v>0</v>
      </c>
      <c r="L53" s="102">
        <f t="array" ref="L53">IF($G53=0, INDEX(LS_previous!$D$4:$AY$137, MATCH('Staging Table'!$A53, LS_previous!$B$4:$B$137, 0), MATCH(L$4&amp;L$5, LS_previous!$D$2:$AY$2&amp;LS_previous!$D$3:$AY$3, 0)),SUM(VLOOKUP($A53, LS_previous!$B$4:$AY$137, LS_previous!D$148, FALSE), VLOOKUP('Staging Table'!$A53, LS_previous!$B$4:$AY$137,LS_previous!AB$148, FALSE))/2)</f>
        <v>5843.8549384025537</v>
      </c>
      <c r="M53" s="102">
        <f t="array" ref="M53">IF($G53=0, INDEX(LS_previous!$D$4:$AY$137, MATCH('Staging Table'!$A53, LS_previous!$B$4:$B$137, 0), MATCH(M$4&amp;M$5, LS_previous!$D$2:$AY$2&amp;LS_previous!$D$3:$AY$3, 0)),SUM(VLOOKUP($A53, LS_previous!$B$4:$AY$137, LS_previous!E$148, FALSE), VLOOKUP('Staging Table'!$A53, LS_previous!$B$4:$AY$137,LS_previous!AC$148, FALSE))/2)</f>
        <v>11358.533826457788</v>
      </c>
      <c r="N53" s="102">
        <f t="array" ref="N53">IF($G53=0, INDEX(LS_previous!$D$4:$AY$137, MATCH('Staging Table'!$A53, LS_previous!$B$4:$B$137, 0), MATCH(N$4&amp;N$5, LS_previous!$D$2:$AY$2&amp;LS_previous!$D$3:$AY$3, 0)),SUM(VLOOKUP($A53, LS_previous!$B$4:$AY$137, LS_previous!F$148, FALSE), VLOOKUP('Staging Table'!$A53, LS_previous!$B$4:$AY$137,LS_previous!AD$148, FALSE))/2)</f>
        <v>-12616.6144173664</v>
      </c>
      <c r="O53" s="102">
        <f t="array" ref="O53">IF($G53=0, INDEX(LS_previous!$D$4:$AY$137, MATCH('Staging Table'!$A53, LS_previous!$B$4:$B$137, 0), MATCH(O$4&amp;O$5, LS_previous!$D$2:$AY$2&amp;LS_previous!$D$3:$AY$3, 0)),SUM(VLOOKUP($A53, LS_previous!$B$4:$AY$137, LS_previous!G$148, FALSE), VLOOKUP('Staging Table'!$A53, LS_previous!$B$4:$AY$137,LS_previous!AE$148, FALSE))/2)</f>
        <v>3385.1462136910195</v>
      </c>
      <c r="P53" s="102">
        <f t="array" ref="P53">IF($G53=0, INDEX(LS_previous!$D$4:$AY$137, MATCH('Staging Table'!$A53, LS_previous!$B$4:$B$137, 0), MATCH(P$4&amp;P$5, LS_previous!$D$2:$AY$2&amp;LS_previous!$D$3:$AY$3, 0)),SUM(VLOOKUP($A53, LS_previous!$B$4:$AY$137, LS_previous!H$148, FALSE), VLOOKUP('Staging Table'!$A53, LS_previous!$B$4:$AY$137,LS_previous!AF$148, FALSE))/2)</f>
        <v>-16731.50672720468</v>
      </c>
      <c r="Q53" s="102">
        <f t="array" ref="Q53">IF($G53=0, INDEX(LS_previous!$D$4:$AY$137, MATCH('Staging Table'!$A53, LS_previous!$B$4:$B$137, 0), MATCH(Q$4&amp;Q$5, LS_previous!$D$2:$AY$2&amp;LS_previous!$D$3:$AY$3, 0)),SUM(VLOOKUP($A53, LS_previous!$B$4:$AY$137, LS_previous!I$148, FALSE), VLOOKUP('Staging Table'!$A53, LS_previous!$B$4:$AY$137,LS_previous!AG$148, FALSE))/2)</f>
        <v>5495.550449962313</v>
      </c>
      <c r="R53" s="102">
        <f t="array" ref="R53">IF($G53=0, INDEX(LS_previous!$D$4:$AY$137, MATCH('Staging Table'!$A53, LS_previous!$B$4:$B$137, 0), MATCH(R$4&amp;R$5, LS_previous!$D$2:$AY$2&amp;LS_previous!$D$3:$AY$3, 0)),SUM(VLOOKUP($A53, LS_previous!$B$4:$AY$137, LS_previous!J$148, FALSE), VLOOKUP('Staging Table'!$A53, LS_previous!$B$4:$AY$137,LS_previous!AH$148, FALSE))/2)</f>
        <v>-20273.146238609312</v>
      </c>
      <c r="S53" s="102">
        <f t="array" ref="S53">IF($G53=0, INDEX(LS_previous!$D$4:$AY$137, MATCH('Staging Table'!$A53, LS_previous!$B$4:$B$137, 0), MATCH(S$4&amp;S$5, LS_previous!$D$2:$AY$2&amp;LS_previous!$D$3:$AY$3, 0)),SUM(VLOOKUP($A53, LS_previous!$B$4:$AY$137, LS_previous!K$148, FALSE), VLOOKUP('Staging Table'!$A53, LS_previous!$B$4:$AY$137,LS_previous!AI$148, FALSE))/2)</f>
        <v>1371.306224868149</v>
      </c>
      <c r="T53" s="102">
        <f t="array" ref="T53">IF($G53=0, INDEX(LS_previous!$D$4:$AY$137, MATCH('Staging Table'!$A53, LS_previous!$B$4:$B$137, 0), MATCH(T$4&amp;T$5, LS_previous!$D$2:$AY$2&amp;LS_previous!$D$3:$AY$3, 0)),SUM(VLOOKUP($A53, LS_previous!$B$4:$AY$137, LS_previous!L$148, FALSE), VLOOKUP('Staging Table'!$A53, LS_previous!$B$4:$AY$137,LS_previous!AJ$148, FALSE))/2)</f>
        <v>-15880.159581623884</v>
      </c>
      <c r="U53" s="102">
        <f t="array" ref="U53">IF($G53=0, INDEX(LS_previous!$D$4:$AY$137, MATCH('Staging Table'!$A53, LS_previous!$B$4:$B$137, 0), MATCH(U$4&amp;U$5, LS_previous!$D$2:$AY$2&amp;LS_previous!$D$3:$AY$3, 0)),SUM(VLOOKUP($A53, LS_previous!$B$4:$AY$137, LS_previous!M$148, FALSE), VLOOKUP('Staging Table'!$A53, LS_previous!$B$4:$AY$137,LS_previous!AK$148, FALSE))/2)</f>
        <v>3044.6355377834007</v>
      </c>
      <c r="V53" s="102">
        <f t="array" ref="V53">IF($G53=0, INDEX(LS_previous!$D$4:$AY$137, MATCH('Staging Table'!$A53, LS_previous!$B$4:$B$137, 0), MATCH(V$4&amp;V$5, LS_previous!$D$2:$AY$2&amp;LS_previous!$D$3:$AY$3, 0)),SUM(VLOOKUP($A53, LS_previous!$B$4:$AY$137, LS_previous!N$148, FALSE), VLOOKUP('Staging Table'!$A53, LS_previous!$B$4:$AY$137,LS_previous!AL$148, FALSE))/2)</f>
        <v>-18657.007712866616</v>
      </c>
      <c r="W53" s="102">
        <f t="array" ref="W53">IF($G53=0, INDEX(LS_previous!$D$4:$AY$137, MATCH('Staging Table'!$A53, LS_previous!$B$4:$B$137, 0), MATCH(W$4&amp;W$5, LS_previous!$D$2:$AY$2&amp;LS_previous!$D$3:$AY$3, 0)),SUM(VLOOKUP($A53, LS_previous!$B$4:$AY$137, LS_previous!O$148, FALSE), VLOOKUP('Staging Table'!$A53, LS_previous!$B$4:$AY$137,LS_previous!AM$148, FALSE))/2)</f>
        <v>-1382.3042530679195</v>
      </c>
      <c r="X53" s="102">
        <f t="array" ref="X53">IF($G53=0, INDEX(LS_previous!$D$4:$AY$137, MATCH('Staging Table'!$A53, LS_previous!$B$4:$B$137, 0), MATCH(X$4&amp;X$5, LS_previous!$D$2:$AY$2&amp;LS_previous!$D$3:$AY$3, 0)),SUM(VLOOKUP($A53, LS_previous!$B$4:$AY$137, LS_previous!P$148, FALSE), VLOOKUP('Staging Table'!$A53, LS_previous!$B$4:$AY$137,LS_previous!AN$148, FALSE))/2)</f>
        <v>1393.7896614155761</v>
      </c>
      <c r="Y53" s="102">
        <f t="array" ref="Y53">IF($G53=0, INDEX(LS_previous!$D$4:$AY$137, MATCH('Staging Table'!$A53, LS_previous!$B$4:$B$137, 0), MATCH(Y$4&amp;Y$5, LS_previous!$D$2:$AY$2&amp;LS_previous!$D$3:$AY$3, 0)),SUM(VLOOKUP($A53, LS_previous!$B$4:$AY$137, LS_previous!Q$148, FALSE), VLOOKUP('Staging Table'!$A53, LS_previous!$B$4:$AY$137,LS_previous!AO$148, FALSE))/2)</f>
        <v>7433.0696982703885</v>
      </c>
      <c r="Z53" s="102">
        <f t="array" ref="Z53">IF($G53=0, INDEX(LS_previous!$D$4:$AY$137, MATCH('Staging Table'!$A53, LS_previous!$B$4:$B$137, 0), MATCH(Z$4&amp;Z$5, LS_previous!$D$2:$AY$2&amp;LS_previous!$D$3:$AY$3, 0)),SUM(VLOOKUP($A53, LS_previous!$B$4:$AY$137, LS_previous!R$148, FALSE), VLOOKUP('Staging Table'!$A53, LS_previous!$B$4:$AY$137,LS_previous!AP$148, FALSE))/2)</f>
        <v>-19295.872574176712</v>
      </c>
      <c r="AA53" s="102">
        <f t="array" ref="AA53">IF($G53=0, INDEX(LS_previous!$D$4:$AY$137, MATCH('Staging Table'!$A53, LS_previous!$B$4:$B$137, 0), MATCH(AA$4&amp;AA$5, LS_previous!$D$2:$AY$2&amp;LS_previous!$D$3:$AY$3, 0)),SUM(VLOOKUP($A53, LS_previous!$B$4:$AY$137, LS_previous!S$148, FALSE), VLOOKUP('Staging Table'!$A53, LS_previous!$B$4:$AY$137,LS_previous!AQ$148, FALSE))/2)</f>
        <v>-2304.500931572602</v>
      </c>
      <c r="AB53" s="102">
        <f t="array" ref="AB53">IF($G53=0, INDEX(LS_previous!$D$4:$AY$137, MATCH('Staging Table'!$A53, LS_previous!$B$4:$B$137, 0), MATCH(AB$4&amp;AB$5, LS_previous!$D$2:$AY$2&amp;LS_previous!$D$3:$AY$3, 0)),SUM(VLOOKUP($A53, LS_previous!$B$4:$AY$137, LS_previous!T$148, FALSE), VLOOKUP('Staging Table'!$A53, LS_previous!$B$4:$AY$137,LS_previous!AR$148, FALSE))/2)</f>
        <v>-27414.375166046797</v>
      </c>
      <c r="AC53" s="102">
        <f t="array" ref="AC53">IF($G53=0, INDEX(LS_previous!$D$4:$AY$137, MATCH('Staging Table'!$A53, LS_previous!$B$4:$B$137, 0), MATCH(AC$4&amp;AC$5, LS_previous!$D$2:$AY$2&amp;LS_previous!$D$3:$AY$3, 0)),SUM(VLOOKUP($A53, LS_previous!$B$4:$AY$137, LS_previous!U$148, FALSE), VLOOKUP('Staging Table'!$A53, LS_previous!$B$4:$AY$137,LS_previous!AS$148, FALSE))/2)</f>
        <v>-2124.4152651759468</v>
      </c>
      <c r="AD53" s="102">
        <f t="array" ref="AD53">IF($G53=0, INDEX(LS_previous!$D$4:$AY$137, MATCH('Staging Table'!$A53, LS_previous!$B$4:$B$137, 0), MATCH(AD$4&amp;AD$5, LS_previous!$D$2:$AY$2&amp;LS_previous!$D$3:$AY$3, 0)),SUM(VLOOKUP($A53, LS_previous!$B$4:$AY$137, LS_previous!V$148, FALSE), VLOOKUP('Staging Table'!$A53, LS_previous!$B$4:$AY$137,LS_previous!AT$148, FALSE))/2)</f>
        <v>-10245.978623240277</v>
      </c>
      <c r="AE53" s="102">
        <f t="array" ref="AE53">IF($G53=0, INDEX(LS_previous!$D$4:$AY$137, MATCH('Staging Table'!$A53, LS_previous!$B$4:$B$137, 0), MATCH(AE$4&amp;AE$5, LS_previous!$D$2:$AY$2&amp;LS_previous!$D$3:$AY$3, 0)),SUM(VLOOKUP($A53, LS_previous!$B$4:$AY$137, LS_previous!W$148, FALSE), VLOOKUP('Staging Table'!$A53, LS_previous!$B$4:$AY$137,LS_previous!AU$148, FALSE))/2)</f>
        <v>7030.5451648535527</v>
      </c>
      <c r="AF53" s="102">
        <f t="array" ref="AF53">IF($G53=0, INDEX(LS_previous!$D$4:$AY$137, MATCH('Staging Table'!$A53, LS_previous!$B$4:$B$137, 0), MATCH(AF$4&amp;AF$5, LS_previous!$D$2:$AY$2&amp;LS_previous!$D$3:$AY$3, 0)),SUM(VLOOKUP($A53, LS_previous!$B$4:$AY$137, LS_previous!X$148, FALSE), VLOOKUP('Staging Table'!$A53, LS_previous!$B$4:$AY$137,LS_previous!AV$148, FALSE))/2)</f>
        <v>-7567.9318344949643</v>
      </c>
      <c r="AG53" s="102">
        <f t="array" ref="AG53">IF($G53=0, INDEX(LS_previous!$D$4:$AY$137, MATCH('Staging Table'!$A53, LS_previous!$B$4:$B$137, 0), MATCH(AG$4&amp;AG$5, LS_previous!$D$2:$AY$2&amp;LS_previous!$D$3:$AY$3, 0)),SUM(VLOOKUP($A53, LS_previous!$B$4:$AY$137, LS_previous!Y$148, FALSE), VLOOKUP('Staging Table'!$A53, LS_previous!$B$4:$AY$137,LS_previous!AW$148, FALSE))/2)</f>
        <v>8742.3727636520707</v>
      </c>
      <c r="AH53" s="102">
        <f t="array" ref="AH53">IF($G53=0, INDEX(LS_previous!$D$4:$AY$137, MATCH('Staging Table'!$A53, LS_previous!$B$4:$B$137, 0), MATCH(AH$4&amp;AH$5, LS_previous!$D$2:$AY$2&amp;LS_previous!$D$3:$AY$3, 0)),SUM(VLOOKUP($A53, LS_previous!$B$4:$AY$137, LS_previous!Z$148, FALSE), VLOOKUP('Staging Table'!$A53, LS_previous!$B$4:$AY$137,LS_previous!AX$148, FALSE))/2)</f>
        <v>-1712.6499723953457</v>
      </c>
      <c r="AI53" s="102">
        <f t="array" ref="AI53">IF($G53=0, INDEX(LS_previous!$D$4:$AY$137, MATCH('Staging Table'!$A53, LS_previous!$B$4:$B$137, 0), MATCH(AI$4&amp;AI$5, LS_previous!$D$2:$AY$2&amp;LS_previous!$D$3:$AY$3, 0)),SUM(VLOOKUP($A53, LS_previous!$B$4:$AY$137, LS_previous!AA$148, FALSE), VLOOKUP('Staging Table'!$A53, LS_previous!$B$4:$AY$137,LS_previous!AY$148, FALSE))/2)</f>
        <v>9928.0827810788287</v>
      </c>
      <c r="AJ53" s="103">
        <f t="array" ref="AJ53">INDEX(Demand_previous!$D$4:$AY$137, MATCH('Staging Table'!$A53, Demand_previous!$B$4:$B$137, 0), MATCH(AJ$4&amp;AJ$5,Demand_previous!$D$2:$AY$2&amp;Demand_previous!$D$3:$AY$3, 0))/1000</f>
        <v>0</v>
      </c>
      <c r="AK53" s="103">
        <f t="array" ref="AK53">INDEX(Demand_previous!$D$4:$AY$137, MATCH('Staging Table'!$A53, Demand_previous!$B$4:$B$137, 0), MATCH(AK$4&amp;AK$5,Demand_previous!$D$2:$AY$2&amp;Demand_previous!$D$3:$AY$3, 0))/1000</f>
        <v>0</v>
      </c>
      <c r="AL53" s="103">
        <f t="array" ref="AL53">INDEX(Demand_previous!$D$4:$AY$137, MATCH('Staging Table'!$A53, Demand_previous!$B$4:$B$137, 0), MATCH(AL$4&amp;AL$5,Demand_previous!$D$2:$AY$2&amp;Demand_previous!$D$3:$AY$3, 0))/1000</f>
        <v>0</v>
      </c>
      <c r="AM53" s="103">
        <f t="array" ref="AM53">INDEX(Demand_previous!$D$4:$AY$137, MATCH('Staging Table'!$A53, Demand_previous!$B$4:$B$137, 0), MATCH(AM$4&amp;AM$5,Demand_previous!$D$2:$AY$2&amp;Demand_previous!$D$3:$AY$3, 0))/1000</f>
        <v>0</v>
      </c>
      <c r="AN53" s="103">
        <f t="array" ref="AN53">INDEX(Demand_previous!$D$4:$AY$137, MATCH('Staging Table'!$A53, Demand_previous!$B$4:$B$137, 0), MATCH(AN$4&amp;AN$5,Demand_previous!$D$2:$AY$2&amp;Demand_previous!$D$3:$AY$3, 0))/1000</f>
        <v>0</v>
      </c>
      <c r="AO53" s="103">
        <f t="array" ref="AO53">INDEX(Demand_previous!$D$4:$AY$137, MATCH('Staging Table'!$A53, Demand_previous!$B$4:$B$137, 0), MATCH(AO$4&amp;AO$5,Demand_previous!$D$2:$AY$2&amp;Demand_previous!$D$3:$AY$3, 0))/1000</f>
        <v>0</v>
      </c>
      <c r="AP53" s="103">
        <f t="array" ref="AP53">INDEX(Demand_previous!$D$4:$AY$137, MATCH('Staging Table'!$A53, Demand_previous!$B$4:$B$137, 0), MATCH(AP$4&amp;AP$5,Demand_previous!$D$2:$AY$2&amp;Demand_previous!$D$3:$AY$3, 0))/1000</f>
        <v>0</v>
      </c>
      <c r="AQ53" s="103">
        <f t="array" ref="AQ53">INDEX(Demand_previous!$D$4:$AY$137, MATCH('Staging Table'!$A53, Demand_previous!$B$4:$B$137, 0), MATCH(AQ$4&amp;AQ$5,Demand_previous!$D$2:$AY$2&amp;Demand_previous!$D$3:$AY$3, 0))/1000</f>
        <v>0</v>
      </c>
      <c r="AR53" s="103">
        <f t="array" ref="AR53">INDEX(Demand_previous!$D$4:$AY$137, MATCH('Staging Table'!$A53, Demand_previous!$B$4:$B$137, 0), MATCH(AR$4&amp;AR$5,Demand_previous!$D$2:$AY$2&amp;Demand_previous!$D$3:$AY$3, 0))/1000</f>
        <v>0</v>
      </c>
      <c r="AS53" s="103">
        <f t="array" ref="AS53">INDEX(Demand_previous!$D$4:$AY$137, MATCH('Staging Table'!$A53, Demand_previous!$B$4:$B$137, 0), MATCH(AS$4&amp;AS$5,Demand_previous!$D$2:$AY$2&amp;Demand_previous!$D$3:$AY$3, 0))/1000</f>
        <v>0</v>
      </c>
      <c r="AT53" s="103">
        <f t="array" ref="AT53">INDEX(Demand_previous!$D$4:$AY$137, MATCH('Staging Table'!$A53, Demand_previous!$B$4:$B$137, 0), MATCH(AT$4&amp;AT$5,Demand_previous!$D$2:$AY$2&amp;Demand_previous!$D$3:$AY$3, 0))/1000</f>
        <v>0</v>
      </c>
      <c r="AU53" s="103">
        <f t="array" ref="AU53">INDEX(Demand_previous!$D$4:$AY$137, MATCH('Staging Table'!$A53, Demand_previous!$B$4:$B$137, 0), MATCH(AU$4&amp;AU$5,Demand_previous!$D$2:$AY$2&amp;Demand_previous!$D$3:$AY$3, 0))/1000</f>
        <v>0</v>
      </c>
      <c r="AV53" s="102">
        <f>$F53*(VLOOKUP(AV$4, Rates_previous!$G$6:$Q$29, 10, FALSE)+VLOOKUP(AV$4, Rates_previous!$G$6:$Q$29, 11, FALSE))</f>
        <v>112761.03069812428</v>
      </c>
      <c r="AW53" s="102">
        <f>$F53*(VLOOKUP(AW$4, Rates_previous!$G$6:$Q$29, 10, FALSE)+VLOOKUP(AW$4, Rates_previous!$G$6:$Q$29, 11, FALSE))</f>
        <v>143807.49742534378</v>
      </c>
      <c r="AX53" s="102">
        <f>$F53*(VLOOKUP(AX$4, Rates_previous!$G$6:$Q$29, 10, FALSE)+VLOOKUP(AX$4, Rates_previous!$G$6:$Q$29, 11, FALSE))</f>
        <v>155196.74363456698</v>
      </c>
      <c r="AY53" s="102">
        <f>$F53*(VLOOKUP(AY$4, Rates_previous!$G$6:$Q$29, 10, FALSE)+VLOOKUP(AY$4, Rates_previous!$G$6:$Q$29, 11, FALSE))</f>
        <v>161273.40816358075</v>
      </c>
      <c r="AZ53" s="102">
        <f>$F53*(VLOOKUP(AZ$4, Rates_previous!$G$6:$Q$29, 10, FALSE)+VLOOKUP(AZ$4, Rates_previous!$G$6:$Q$29, 11, FALSE))</f>
        <v>138716.62739363156</v>
      </c>
      <c r="BA53" s="102">
        <f>$F53*(VLOOKUP(BA$4, Rates_previous!$G$6:$Q$29, 10, FALSE)+VLOOKUP(BA$4, Rates_previous!$G$6:$Q$29, 11, FALSE))</f>
        <v>151451.09260282616</v>
      </c>
      <c r="BB53" s="102">
        <f>$F53*(VLOOKUP(BB$4, Rates_previous!$G$6:$Q$29, 10, FALSE)+VLOOKUP(BB$4, Rates_previous!$G$6:$Q$29, 11, FALSE))</f>
        <v>119545.11500692181</v>
      </c>
      <c r="BC53" s="102">
        <f>$F53*(VLOOKUP(BC$4, Rates_previous!$G$6:$Q$29, 10, FALSE)+VLOOKUP(BC$4, Rates_previous!$G$6:$Q$29, 11, FALSE))</f>
        <v>148311.73495893326</v>
      </c>
      <c r="BD53" s="102">
        <f>$F53*(VLOOKUP(BD$4, Rates_previous!$G$6:$Q$29, 10, FALSE)+VLOOKUP(BD$4, Rates_previous!$G$6:$Q$29, 11, FALSE))</f>
        <v>151529.72935940005</v>
      </c>
      <c r="BE53" s="102">
        <f>$F53*(VLOOKUP(BE$4, Rates_previous!$G$6:$Q$29, 10, FALSE)+VLOOKUP(BE$4, Rates_previous!$G$6:$Q$29, 11, FALSE))</f>
        <v>131549.63572689026</v>
      </c>
      <c r="BF53" s="102">
        <f>$F53*(VLOOKUP(BF$4, Rates_previous!$G$6:$Q$29, 10, FALSE)+VLOOKUP(BF$4, Rates_previous!$G$6:$Q$29, 11, FALSE))</f>
        <v>127173.53070773305</v>
      </c>
      <c r="BG53" s="102">
        <f>$F53*(VLOOKUP(BG$4, Rates_previous!$G$6:$Q$29, 10, FALSE)+VLOOKUP(BG$4, Rates_previous!$G$6:$Q$29, 11, FALSE))</f>
        <v>117024.27526065959</v>
      </c>
      <c r="BH53" s="103">
        <f>IF($D53=0,IF(C53=0, MAX(BJ53 - (VLOOKUP($A53,TOCA_previous!$A$2:$AJ$136,MATCH("RHWM "&amp;Init!$D$1-2,TOCA_previous!$A$2:$AJ$2,0),FALSE)*$F$2*TOCA_previous!C50),0),0), 0)</f>
        <v>0</v>
      </c>
      <c r="BI53" s="109">
        <f>MIN(VLOOKUP($A53,TOCA_previous!$A$2:$AJ$136,MATCH("TRL - NLSL - Existing Resource "&amp;$F$1,TOCA_previous!$A$2:$AJ$2,0),FALSE)*$F$2,(VLOOKUP($A53,TOCA_previous!$A$2:$AJ$136,MATCH("RHWM "&amp;Init!$D$1-2,TOCA_previous!$A$2:$AJ$2,0),FALSE)*$F$2))</f>
        <v>4040657.568</v>
      </c>
      <c r="BJ53" s="261">
        <f>SUM(L53:AI53)+(F53*RT1SC!$C$3*$F$2)</f>
        <v>1567160.8525027058</v>
      </c>
      <c r="BK53" s="260">
        <f>VLOOKUP($A53,TOCA_previous!$A$2:$AJ$136,MATCH("Above RHWM Not Served with LS "&amp;$F$1,TOCA_previous!$A$2:$AJ$2,0),FALSE)*$F$2</f>
        <v>0</v>
      </c>
      <c r="BL53" s="261">
        <f t="shared" si="21"/>
        <v>-2473496.7154972944</v>
      </c>
      <c r="BM53" s="260">
        <f>(VLOOKUP($A53,TOCA_previous!$A$2:$AJ$136,MATCH("RHWM "&amp;Init!$D$1-2,TOCA_previous!$A$2:$AJ$2,0),FALSE)*$F$2) - $BI53</f>
        <v>783506.44799999986</v>
      </c>
      <c r="BN53" s="261">
        <f t="shared" si="22"/>
        <v>0</v>
      </c>
      <c r="BO53" s="260">
        <f t="shared" si="23"/>
        <v>2473496.7154972944</v>
      </c>
      <c r="BP53" s="261">
        <f t="shared" si="24"/>
        <v>0</v>
      </c>
      <c r="BQ53" s="260">
        <f t="shared" si="9"/>
        <v>0</v>
      </c>
      <c r="BR53" s="85">
        <f>VLOOKUP($A53,TOCA_current!$A$2:$ZZ$136,MATCH(BR$4,TOCA_current!$A$2:$ZZ$2,0),FALSE)</f>
        <v>6.4879400000000004E-2</v>
      </c>
      <c r="BS53" s="85">
        <f>VLOOKUP($A53,TOCA_current!$A$2:$ZZ$136,MATCH(BS$4,TOCA_current!$A$2:$ZZ$2,0),FALSE)</f>
        <v>2.5034500000000001E-2</v>
      </c>
      <c r="BT53" s="108">
        <f t="shared" si="25"/>
        <v>3.9844900000000003E-2</v>
      </c>
      <c r="BU53" s="85">
        <f>VLOOKUP($A53,TOCA_current!A50:BG184,MATCH(BU$4,TOCA_current!$A$2:$BG$2,0),FALSE)</f>
        <v>0</v>
      </c>
      <c r="BV53" s="85">
        <f t="shared" si="26"/>
        <v>0</v>
      </c>
      <c r="BW53" s="85">
        <f t="shared" si="27"/>
        <v>0</v>
      </c>
      <c r="BX53" s="101">
        <f>VLOOKUP($A53,IRD!$A$4:$G$138, 7, FALSE)</f>
        <v>0</v>
      </c>
      <c r="BY53" s="102">
        <f t="array" ref="BY53">IF($BT53=0, INDEX(LS_current!$D$4:$BW$137, MATCH('Staging Table'!$A53, LS_current!$B$4:$B$137, 0), MATCH(BY$4&amp;BY$5, LS_current!$D$2:$BW$2&amp;LS_current!$D$3:$BW$3, 0)),SUM(VLOOKUP($A53, LS_current!$B$4:$BW$137, LS_current!D$147, FALSE), VLOOKUP($A53, LS_current!$B$4:$BW$137,LS_current!AZ$147, FALSE))/2)</f>
        <v>10847.680001645687</v>
      </c>
      <c r="BZ53" s="102">
        <f t="array" ref="BZ53">IF($BT53=0, INDEX(LS_current!$D$4:$BW$137, MATCH('Staging Table'!$A53, LS_current!$B$4:$B$137, 0), MATCH(BZ$4&amp;BZ$5, LS_current!$D$2:$BW$2&amp;LS_current!$D$3:$BW$3, 0)),SUM(VLOOKUP($A53, LS_current!$B$4:$BW$137, LS_current!E$147, FALSE), VLOOKUP($A53, LS_current!$B$4:$BW$137,LS_current!BA$147, FALSE))/2)</f>
        <v>15411.724174372579</v>
      </c>
      <c r="CA53" s="102">
        <f t="array" ref="CA53">IF($BT53=0, INDEX(LS_current!$D$4:$BW$137, MATCH('Staging Table'!$A53, LS_current!$B$4:$B$137, 0), MATCH(CA$4&amp;CA$5, LS_current!$D$2:$BW$2&amp;LS_current!$D$3:$BW$3, 0)),SUM(VLOOKUP($A53, LS_current!$B$4:$BW$137, LS_current!F$147, FALSE), VLOOKUP($A53, LS_current!$B$4:$BW$137,LS_current!BB$147, FALSE))/2)</f>
        <v>-8547.3944161643449</v>
      </c>
      <c r="CB53" s="102">
        <f t="array" ref="CB53">IF($BT53=0, INDEX(LS_current!$D$4:$BW$137, MATCH('Staging Table'!$A53, LS_current!$B$4:$B$137, 0), MATCH(CB$4&amp;CB$5, LS_current!$D$2:$BW$2&amp;LS_current!$D$3:$BW$3, 0)),SUM(VLOOKUP($A53, LS_current!$B$4:$BW$137, LS_current!G$147, FALSE), VLOOKUP($A53, LS_current!$B$4:$BW$137,LS_current!BC$147, FALSE))/2)</f>
        <v>10339.381926034599</v>
      </c>
      <c r="CC53" s="102">
        <f t="array" ref="CC53">IF($BT53=0, INDEX(LS_current!$D$4:$BW$137, MATCH('Staging Table'!$A53, LS_current!$B$4:$B$137, 0), MATCH(CC$4&amp;CC$5, LS_current!$D$2:$BW$2&amp;LS_current!$D$3:$BW$3, 0)),SUM(VLOOKUP($A53, LS_current!$B$4:$BW$137, LS_current!H$147, FALSE), VLOOKUP($A53, LS_current!$B$4:$BW$137,LS_current!BD$147, FALSE))/2)</f>
        <v>-16275.019740492455</v>
      </c>
      <c r="CD53" s="102">
        <f t="array" ref="CD53">IF($BT53=0, INDEX(LS_current!$D$4:$BW$137, MATCH('Staging Table'!$A53, LS_current!$B$4:$B$137, 0), MATCH(CD$4&amp;CD$5, LS_current!$D$2:$BW$2&amp;LS_current!$D$3:$BW$3, 0)),SUM(VLOOKUP($A53, LS_current!$B$4:$BW$137, LS_current!I$147, FALSE), VLOOKUP($A53, LS_current!$B$4:$BW$137,LS_current!BE$147, FALSE))/2)</f>
        <v>9274.9169311241239</v>
      </c>
      <c r="CE53" s="102">
        <f t="array" ref="CE53">IF($BT53=0, INDEX(LS_current!$D$4:$BW$137, MATCH('Staging Table'!$A53, LS_current!$B$4:$B$137, 0), MATCH(CE$4&amp;CE$5, LS_current!$D$2:$BW$2&amp;LS_current!$D$3:$BW$3, 0)),SUM(VLOOKUP($A53, LS_current!$B$4:$BW$137, LS_current!J$147, FALSE), VLOOKUP($A53, LS_current!$B$4:$BW$137,LS_current!BF$147, FALSE))/2)</f>
        <v>-22326.755139902947</v>
      </c>
      <c r="CF53" s="102">
        <f t="array" ref="CF53">IF($BT53=0, INDEX(LS_current!$D$4:$BW$137, MATCH('Staging Table'!$A53, LS_current!$B$4:$B$137, 0), MATCH(CF$4&amp;CF$5, LS_current!$D$2:$BW$2&amp;LS_current!$D$3:$BW$3, 0)),SUM(VLOOKUP($A53, LS_current!$B$4:$BW$137, LS_current!K$147, FALSE), VLOOKUP($A53, LS_current!$B$4:$BW$137,LS_current!BG$147, FALSE))/2)</f>
        <v>5446.0985189000385</v>
      </c>
      <c r="CG53" s="102">
        <f t="array" ref="CG53">IF($BT53=0, INDEX(LS_current!$D$4:$BW$137, MATCH('Staging Table'!$A53, LS_current!$B$4:$B$137, 0), MATCH(CG$4&amp;CG$5, LS_current!$D$2:$BW$2&amp;LS_current!$D$3:$BW$3, 0)),SUM(VLOOKUP($A53, LS_current!$B$4:$BW$137, LS_current!L$147, FALSE), VLOOKUP($A53, LS_current!$B$4:$BW$137,LS_current!BH$147, FALSE))/2)</f>
        <v>-10132.230901263654</v>
      </c>
      <c r="CH53" s="102">
        <f t="array" ref="CH53">IF($BT53=0, INDEX(LS_current!$D$4:$BW$137, MATCH('Staging Table'!$A53, LS_current!$B$4:$B$137, 0), MATCH(CH$4&amp;CH$5, LS_current!$D$2:$BW$2&amp;LS_current!$D$3:$BW$3, 0)),SUM(VLOOKUP($A53, LS_current!$B$4:$BW$137, LS_current!M$147, FALSE), VLOOKUP($A53, LS_current!$B$4:$BW$137,LS_current!BI$147, FALSE))/2)</f>
        <v>6822.8230140288579</v>
      </c>
      <c r="CI53" s="102">
        <f t="array" ref="CI53">IF($BT53=0, INDEX(LS_current!$D$4:$BW$137, MATCH('Staging Table'!$A53, LS_current!$B$4:$B$137, 0), MATCH(CI$4&amp;CI$5, LS_current!$D$2:$BW$2&amp;LS_current!$D$3:$BW$3, 0)),SUM(VLOOKUP($A53, LS_current!$B$4:$BW$137, LS_current!N$147, FALSE), VLOOKUP($A53, LS_current!$B$4:$BW$137,LS_current!BJ$147, FALSE))/2)</f>
        <v>-15218.018412535675</v>
      </c>
      <c r="CJ53" s="102">
        <f t="array" ref="CJ53">IF($BT53=0, INDEX(LS_current!$D$4:$BW$137, MATCH('Staging Table'!$A53, LS_current!$B$4:$B$137, 0), MATCH(CJ$4&amp;CJ$5, LS_current!$D$2:$BW$2&amp;LS_current!$D$3:$BW$3, 0)),SUM(VLOOKUP($A53, LS_current!$B$4:$BW$137, LS_current!O$147, FALSE), VLOOKUP($A53, LS_current!$B$4:$BW$137,LS_current!BK$147, FALSE))/2)</f>
        <v>7901.765261515262</v>
      </c>
      <c r="CK53" s="102">
        <f t="array" ref="CK53">IF($BT53=0, INDEX(LS_current!$D$4:$BW$137, MATCH('Staging Table'!$A53, LS_current!$B$4:$B$137, 0), MATCH(CK$4&amp;CK$5, LS_current!$D$2:$BW$2&amp;LS_current!$D$3:$BW$3, 0)),SUM(VLOOKUP($A53, LS_current!$B$4:$BW$137, LS_current!P$147, FALSE), VLOOKUP($A53, LS_current!$B$4:$BW$137,LS_current!BL$147, FALSE))/2)</f>
        <v>7924.5371469377351</v>
      </c>
      <c r="CL53" s="102">
        <f t="array" ref="CL53">IF($BT53=0, INDEX(LS_current!$D$4:$BW$137, MATCH('Staging Table'!$A53, LS_current!$B$4:$B$137, 0), MATCH(CL$4&amp;CL$5, LS_current!$D$2:$BW$2&amp;LS_current!$D$3:$BW$3, 0)),SUM(VLOOKUP($A53, LS_current!$B$4:$BW$137, LS_current!Q$147, FALSE), VLOOKUP($A53, LS_current!$B$4:$BW$137,LS_current!BM$147, FALSE))/2)</f>
        <v>12852.088603996224</v>
      </c>
      <c r="CM53" s="102">
        <f t="array" ref="CM53">IF($BT53=0, INDEX(LS_current!$D$4:$BW$137, MATCH('Staging Table'!$A53, LS_current!$B$4:$B$137, 0), MATCH(CM$4&amp;CM$5, LS_current!$D$2:$BW$2&amp;LS_current!$D$3:$BW$3, 0)),SUM(VLOOKUP($A53, LS_current!$B$4:$BW$137, LS_current!R$147, FALSE), VLOOKUP($A53, LS_current!$B$4:$BW$137,LS_current!BN$147, FALSE))/2)</f>
        <v>-16130.904354284292</v>
      </c>
      <c r="CN53" s="102">
        <f t="array" ref="CN53">IF($BT53=0, INDEX(LS_current!$D$4:$BW$137, MATCH('Staging Table'!$A53, LS_current!$B$4:$B$137, 0), MATCH(CN$4&amp;CN$5, LS_current!$D$2:$BW$2&amp;LS_current!$D$3:$BW$3, 0)),SUM(VLOOKUP($A53, LS_current!$B$4:$BW$137, LS_current!S$147, FALSE), VLOOKUP($A53, LS_current!$B$4:$BW$137,LS_current!BO$147, FALSE))/2)</f>
        <v>3704.6971674628476</v>
      </c>
      <c r="CO53" s="102">
        <f t="array" ref="CO53">IF($BT53=0, INDEX(LS_current!$D$4:$BW$137, MATCH('Staging Table'!$A53, LS_current!$B$4:$B$137, 0), MATCH(CO$4&amp;CO$5, LS_current!$D$2:$BW$2&amp;LS_current!$D$3:$BW$3, 0)),SUM(VLOOKUP($A53, LS_current!$B$4:$BW$137, LS_current!T$147, FALSE), VLOOKUP($A53, LS_current!$B$4:$BW$137,LS_current!BP$147, FALSE))/2)</f>
        <v>-22124.515664849569</v>
      </c>
      <c r="CP53" s="102">
        <f t="array" ref="CP53">IF($BT53=0, INDEX(LS_current!$D$4:$BW$137, MATCH('Staging Table'!$A53, LS_current!$B$4:$B$137, 0), MATCH(CP$4&amp;CP$5, LS_current!$D$2:$BW$2&amp;LS_current!$D$3:$BW$3, 0)),SUM(VLOOKUP($A53, LS_current!$B$4:$BW$137, LS_current!U$147, FALSE), VLOOKUP($A53, LS_current!$B$4:$BW$137,LS_current!BQ$147, FALSE))/2)</f>
        <v>2031.2779569325539</v>
      </c>
      <c r="CQ53" s="102">
        <f t="array" ref="CQ53">IF($BT53=0, INDEX(LS_current!$D$4:$BW$137, MATCH('Staging Table'!$A53, LS_current!$B$4:$B$137, 0), MATCH(CQ$4&amp;CQ$5, LS_current!$D$2:$BW$2&amp;LS_current!$D$3:$BW$3, 0)),SUM(VLOOKUP($A53, LS_current!$B$4:$BW$137, LS_current!V$147, FALSE), VLOOKUP($A53, LS_current!$B$4:$BW$137,LS_current!BR$147, FALSE))/2)</f>
        <v>-8426.5765151370142</v>
      </c>
      <c r="CR53" s="102">
        <f t="array" ref="CR53">IF($BT53=0, INDEX(LS_current!$D$4:$BW$137, MATCH('Staging Table'!$A53, LS_current!$B$4:$B$137, 0), MATCH(CR$4&amp;CR$5, LS_current!$D$2:$BW$2&amp;LS_current!$D$3:$BW$3, 0)),SUM(VLOOKUP($A53, LS_current!$B$4:$BW$137, LS_current!W$147, FALSE), VLOOKUP($A53, LS_current!$B$4:$BW$137,LS_current!BS$147, FALSE))/2)</f>
        <v>10218.715719171905</v>
      </c>
      <c r="CS53" s="102">
        <f t="array" ref="CS53">IF($BT53=0, INDEX(LS_current!$D$4:$BW$137, MATCH('Staging Table'!$A53, LS_current!$B$4:$B$137, 0), MATCH(CS$4&amp;CS$5, LS_current!$D$2:$BW$2&amp;LS_current!$D$3:$BW$3, 0)),SUM(VLOOKUP($A53, LS_current!$B$4:$BW$137, LS_current!X$147, FALSE), VLOOKUP($A53, LS_current!$B$4:$BW$137,LS_current!BT$147, FALSE))/2)</f>
        <v>-14528.100666362923</v>
      </c>
      <c r="CT53" s="102">
        <f t="array" ref="CT53">IF($BT53=0, INDEX(LS_current!$D$4:$BW$137, MATCH('Staging Table'!$A53, LS_current!$B$4:$B$137, 0), MATCH(CT$4&amp;CT$5, LS_current!$D$2:$BW$2&amp;LS_current!$D$3:$BW$3, 0)),SUM(VLOOKUP($A53, LS_current!$B$4:$BW$137, LS_current!Y$147, FALSE), VLOOKUP($A53, LS_current!$B$4:$BW$137,LS_current!BU$147, FALSE))/2)</f>
        <v>13053.509639088337</v>
      </c>
      <c r="CU53" s="102">
        <f t="array" ref="CU53">IF($BT53=0, INDEX(LS_current!$D$4:$BW$137, MATCH('Staging Table'!$A53, LS_current!$B$4:$B$137, 0), MATCH(CU$4&amp;CU$5, LS_current!$D$2:$BW$2&amp;LS_current!$D$3:$BW$3, 0)),SUM(VLOOKUP($A53, LS_current!$B$4:$BW$137, LS_current!Z$147, FALSE), VLOOKUP($A53, LS_current!$B$4:$BW$137,LS_current!BV$147, FALSE))/2)</f>
        <v>6809.4946332377185</v>
      </c>
      <c r="CV53" s="102">
        <f t="array" ref="CV53">IF($BT53=0, INDEX(LS_current!$D$4:$BW$137, MATCH('Staging Table'!$A53, LS_current!$B$4:$B$137, 0), MATCH(CV$4&amp;CV$5, LS_current!$D$2:$BW$2&amp;LS_current!$D$3:$BW$3, 0)),SUM(VLOOKUP($A53, LS_current!$B$4:$BW$137, LS_current!AA$147, FALSE), VLOOKUP($A53, LS_current!$B$4:$BW$137,LS_current!BW$147, FALSE))/2)</f>
        <v>17581.311612850168</v>
      </c>
      <c r="CW53" s="103">
        <f t="array" ref="CW53">INDEX(Demand_current!$D$4:$BW$137, MATCH($A53, Demand_current!$B$4:$B$137, 0), MATCH(CW$4&amp;CW$5,Demand_current!$D$2:$BW$2&amp;Demand_current!$D$3:$BW$3, 0))/1000</f>
        <v>0</v>
      </c>
      <c r="CX53" s="103">
        <f t="array" ref="CX53">INDEX(Demand_current!$D$4:$BW$137, MATCH($A53, Demand_current!$B$4:$B$137, 0), MATCH(CX$4&amp;CX$5,Demand_current!$D$2:$BW$2&amp;Demand_current!$D$3:$BW$3, 0))/1000</f>
        <v>0</v>
      </c>
      <c r="CY53" s="103">
        <f t="array" ref="CY53">INDEX(Demand_current!$D$4:$BW$137, MATCH($A53, Demand_current!$B$4:$B$137, 0), MATCH(CY$4&amp;CY$5,Demand_current!$D$2:$BW$2&amp;Demand_current!$D$3:$BW$3, 0))/1000</f>
        <v>0</v>
      </c>
      <c r="CZ53" s="103">
        <f t="array" ref="CZ53">INDEX(Demand_current!$D$4:$BW$137, MATCH($A53, Demand_current!$B$4:$B$137, 0), MATCH(CZ$4&amp;CZ$5,Demand_current!$D$2:$BW$2&amp;Demand_current!$D$3:$BW$3, 0))/1000</f>
        <v>0</v>
      </c>
      <c r="DA53" s="103">
        <f t="array" ref="DA53">INDEX(Demand_current!$D$4:$BW$137, MATCH($A53, Demand_current!$B$4:$B$137, 0), MATCH(DA$4&amp;DA$5,Demand_current!$D$2:$BW$2&amp;Demand_current!$D$3:$BW$3, 0))/1000</f>
        <v>0</v>
      </c>
      <c r="DB53" s="103">
        <f t="array" ref="DB53">INDEX(Demand_current!$D$4:$BW$137, MATCH($A53, Demand_current!$B$4:$B$137, 0), MATCH(DB$4&amp;DB$5,Demand_current!$D$2:$BW$2&amp;Demand_current!$D$3:$BW$3, 0))/1000</f>
        <v>0</v>
      </c>
      <c r="DC53" s="103">
        <f t="array" ref="DC53">INDEX(Demand_current!$D$4:$BW$137, MATCH($A53, Demand_current!$B$4:$B$137, 0), MATCH(DC$4&amp;DC$5,Demand_current!$D$2:$BW$2&amp;Demand_current!$D$3:$BW$3, 0))/1000</f>
        <v>0</v>
      </c>
      <c r="DD53" s="103">
        <f t="array" ref="DD53">INDEX(Demand_current!$D$4:$BW$137, MATCH($A53, Demand_current!$B$4:$B$137, 0), MATCH(DD$4&amp;DD$5,Demand_current!$D$2:$BW$2&amp;Demand_current!$D$3:$BW$3, 0))/1000</f>
        <v>0</v>
      </c>
      <c r="DE53" s="103">
        <f t="array" ref="DE53">INDEX(Demand_current!$D$4:$BW$137, MATCH($A53, Demand_current!$B$4:$B$137, 0), MATCH(DE$4&amp;DE$5,Demand_current!$D$2:$BW$2&amp;Demand_current!$D$3:$BW$3, 0))/1000</f>
        <v>0</v>
      </c>
      <c r="DF53" s="103">
        <f t="array" ref="DF53">INDEX(Demand_current!$D$4:$BW$137, MATCH($A53, Demand_current!$B$4:$B$137, 0), MATCH(DF$4&amp;DF$5,Demand_current!$D$2:$BW$2&amp;Demand_current!$D$3:$BW$3, 0))/1000</f>
        <v>0</v>
      </c>
      <c r="DG53" s="103">
        <f t="array" ref="DG53">INDEX(Demand_current!$D$4:$BW$137, MATCH($A53, Demand_current!$B$4:$B$137, 0), MATCH(DG$4&amp;DG$5,Demand_current!$D$2:$BW$2&amp;Demand_current!$D$3:$BW$3, 0))/1000</f>
        <v>0</v>
      </c>
      <c r="DH53" s="103">
        <f t="array" ref="DH53">INDEX(Demand_current!$D$4:$BW$137, MATCH($A53, Demand_current!$B$4:$B$137, 0), MATCH(DH$4&amp;DH$5,Demand_current!$D$2:$BW$2&amp;Demand_current!$D$3:$BW$3, 0))/1000</f>
        <v>0</v>
      </c>
      <c r="DI53" s="102">
        <f>$BS53*(VLOOKUP(DI$4, Rates_current!$H$6:$R$41, 10, FALSE)+VLOOKUP(DI$4, Rates_current!$H$6:$R$41, 11, FALSE))</f>
        <v>103900.37513943455</v>
      </c>
      <c r="DJ53" s="102">
        <f>$BS53*(VLOOKUP(DJ$4, Rates_current!$H$6:$R$41, 10, FALSE)+VLOOKUP(DJ$4, Rates_current!$H$6:$R$41, 11, FALSE))</f>
        <v>132833.2100383091</v>
      </c>
      <c r="DK53" s="102">
        <f>$BS53*(VLOOKUP(DK$4, Rates_current!$H$6:$R$41, 10, FALSE)+VLOOKUP(DK$4, Rates_current!$H$6:$R$41, 11, FALSE))</f>
        <v>151020.2500485481</v>
      </c>
      <c r="DL53" s="102">
        <f>$BS53*(VLOOKUP(DL$4, Rates_current!$H$6:$R$41, 10, FALSE)+VLOOKUP(DL$4, Rates_current!$H$6:$R$41, 11, FALSE))</f>
        <v>159338.15227360002</v>
      </c>
      <c r="DM53" s="102">
        <f>$BS53*(VLOOKUP(DM$4, Rates_current!$H$6:$R$41, 10, FALSE)+VLOOKUP(DM$4, Rates_current!$H$6:$R$41, 11, FALSE))</f>
        <v>126978.12654413994</v>
      </c>
      <c r="DN53" s="102">
        <f>$BS53*(VLOOKUP(DN$4, Rates_current!$H$6:$R$41, 10, FALSE)+VLOOKUP(DN$4, Rates_current!$H$6:$R$41, 11, FALSE))</f>
        <v>138813.16800076308</v>
      </c>
      <c r="DO53" s="102">
        <f>$BS53*(VLOOKUP(DO$4, Rates_current!$H$6:$R$41, 10, FALSE)+VLOOKUP(DO$4, Rates_current!$H$6:$R$41, 11, FALSE))</f>
        <v>107581.60153224897</v>
      </c>
      <c r="DP53" s="102">
        <f>$BS53*(VLOOKUP(DP$4, Rates_current!$H$6:$R$41, 10, FALSE)+VLOOKUP(DP$4, Rates_current!$H$6:$R$41, 11, FALSE))</f>
        <v>139228.30594620787</v>
      </c>
      <c r="DQ53" s="102">
        <f>$BS53*(VLOOKUP(DQ$4, Rates_current!$H$6:$R$41, 10, FALSE)+VLOOKUP(DQ$4, Rates_current!$H$6:$R$41, 11, FALSE))</f>
        <v>142201.23557164904</v>
      </c>
      <c r="DR53" s="102">
        <f>$BS53*(VLOOKUP(DR$4, Rates_current!$H$6:$R$41, 10, FALSE)+VLOOKUP(DR$4, Rates_current!$H$6:$R$41, 11, FALSE))</f>
        <v>126571.39789458447</v>
      </c>
      <c r="DS53" s="102">
        <f>$BS53*(VLOOKUP(DS$4, Rates_current!$H$6:$R$41, 10, FALSE)+VLOOKUP(DS$4, Rates_current!$H$6:$R$41, 11, FALSE))</f>
        <v>129839.04180531137</v>
      </c>
      <c r="DT53" s="102">
        <f>$BS53*(VLOOKUP(DT$4, Rates_current!$H$6:$R$41, 10, FALSE)+VLOOKUP(DT$4, Rates_current!$H$6:$R$41, 11, FALSE))</f>
        <v>100835.57997493423</v>
      </c>
      <c r="DU53" s="261">
        <f>IF(D53=0,IF(C53=0,MAX(0,DW53 - (VLOOKUP($A53,TOCA_current!$A$2:$AV$136,MATCH("RHWM "&amp;Init!$D$1,TOCA_current!$A$2:$AV$2,0),FALSE)*$BS$2)), 0),0)</f>
        <v>0</v>
      </c>
      <c r="DV53" s="262">
        <f>MIN(VLOOKUP($A53,TOCA_current!$A$2:$AV$136,MATCH("TRL - NLSL - Existing Resource "&amp;$BS$1,TOCA_current!$A$2:$AV$2,0),FALSE)*$BS$2, VLOOKUP($A53,TOCA_current!$A$2:$AV$136,MATCH("RHWM "&amp;Init!$D$1,TOCA_current!$A$2:$AV$2,0),FALSE)*$BS$2)</f>
        <v>4040663.88</v>
      </c>
      <c r="DW53" s="262">
        <f>SUM(BY53:CV53)+(BS53*RT1SC!$C$4*$BS$2)</f>
        <v>1565651.043301746</v>
      </c>
      <c r="DX53" s="262">
        <f>VLOOKUP($A53,TOCA_current!$A$2:$AV$136,MATCH("Above RHWM Not Served with LS "&amp;$BS$1,TOCA_current!$A$2:$AV$2,0),FALSE)*$BS$2</f>
        <v>0</v>
      </c>
      <c r="DY53" s="262">
        <f t="shared" si="28"/>
        <v>-2475012.8366982536</v>
      </c>
      <c r="DZ53" s="262">
        <f>(VLOOKUP($A53,TOCA_current!$A$2:$AV$136,MATCH("RHWM "&amp;Init!$D$1,TOCA_current!$A$2:$AV$2,0),FALSE)*$BS$2) - $DV53</f>
        <v>798053.52000000048</v>
      </c>
      <c r="EA53" s="262">
        <f t="shared" si="29"/>
        <v>0</v>
      </c>
      <c r="EB53" s="262">
        <f t="shared" si="30"/>
        <v>2475012.8366982536</v>
      </c>
      <c r="EC53" s="262">
        <f t="shared" si="31"/>
        <v>0</v>
      </c>
      <c r="ED53" s="262">
        <f t="shared" si="32"/>
        <v>0</v>
      </c>
    </row>
    <row r="54" spans="1:134">
      <c r="A54" s="2">
        <v>10136</v>
      </c>
      <c r="B54" s="3" t="s">
        <v>56</v>
      </c>
      <c r="C54">
        <f>VLOOKUP(A54, TOCA_current!$A$3:$D$136, 4, FALSE)</f>
        <v>1</v>
      </c>
      <c r="D54">
        <v>0</v>
      </c>
      <c r="E54" s="84">
        <f>VLOOKUP($A54,TOCA_previous!$A$2:$AJ$136,MATCH(E$4,TOCA_previous!$A$2:$AJ$2,0),FALSE)</f>
        <v>2.6632000000000001E-3</v>
      </c>
      <c r="F54" s="85">
        <f>VLOOKUP($A54,TOCA_previous!$A$2:$AJ$136,MATCH(F$4,TOCA_previous!$A$2:$AJ$2,0),FALSE)</f>
        <v>2.6632000000000001E-3</v>
      </c>
      <c r="G54" s="85">
        <f t="shared" si="18"/>
        <v>0</v>
      </c>
      <c r="H54" s="85">
        <f>VLOOKUP($A54,TOCA_previous!$A$2:$AJ$136,MATCH(H$4,TOCA_previous!$A$2:$AJ$2,0),FALSE)</f>
        <v>7.0000000000000007E-2</v>
      </c>
      <c r="I54" s="85">
        <f t="shared" si="19"/>
        <v>7.0000000000000007E-2</v>
      </c>
      <c r="J54" s="85">
        <f t="shared" si="20"/>
        <v>2.6632000000000001E-3</v>
      </c>
      <c r="K54" s="101">
        <f>VLOOKUP(A54, IRD!$A$5:$C$138, 3, FALSE)</f>
        <v>0</v>
      </c>
      <c r="L54" s="102">
        <f t="array" ref="L54">IF($G54=0, INDEX(LS_previous!$D$4:$AY$137, MATCH('Staging Table'!$A54, LS_previous!$B$4:$B$137, 0), MATCH(L$4&amp;L$5, LS_previous!$D$2:$AY$2&amp;LS_previous!$D$3:$AY$3, 0)),SUM(VLOOKUP($A54, LS_previous!$B$4:$AY$137, LS_previous!D$148, FALSE), VLOOKUP('Staging Table'!$A54, LS_previous!$B$4:$AY$137,LS_previous!AB$148, FALSE))/2)</f>
        <v>0</v>
      </c>
      <c r="M54" s="102">
        <f t="array" ref="M54">IF($G54=0, INDEX(LS_previous!$D$4:$AY$137, MATCH('Staging Table'!$A54, LS_previous!$B$4:$B$137, 0), MATCH(M$4&amp;M$5, LS_previous!$D$2:$AY$2&amp;LS_previous!$D$3:$AY$3, 0)),SUM(VLOOKUP($A54, LS_previous!$B$4:$AY$137, LS_previous!E$148, FALSE), VLOOKUP('Staging Table'!$A54, LS_previous!$B$4:$AY$137,LS_previous!AC$148, FALSE))/2)</f>
        <v>0</v>
      </c>
      <c r="N54" s="102">
        <f t="array" ref="N54">IF($G54=0, INDEX(LS_previous!$D$4:$AY$137, MATCH('Staging Table'!$A54, LS_previous!$B$4:$B$137, 0), MATCH(N$4&amp;N$5, LS_previous!$D$2:$AY$2&amp;LS_previous!$D$3:$AY$3, 0)),SUM(VLOOKUP($A54, LS_previous!$B$4:$AY$137, LS_previous!F$148, FALSE), VLOOKUP('Staging Table'!$A54, LS_previous!$B$4:$AY$137,LS_previous!AD$148, FALSE))/2)</f>
        <v>0</v>
      </c>
      <c r="O54" s="102">
        <f t="array" ref="O54">IF($G54=0, INDEX(LS_previous!$D$4:$AY$137, MATCH('Staging Table'!$A54, LS_previous!$B$4:$B$137, 0), MATCH(O$4&amp;O$5, LS_previous!$D$2:$AY$2&amp;LS_previous!$D$3:$AY$3, 0)),SUM(VLOOKUP($A54, LS_previous!$B$4:$AY$137, LS_previous!G$148, FALSE), VLOOKUP('Staging Table'!$A54, LS_previous!$B$4:$AY$137,LS_previous!AE$148, FALSE))/2)</f>
        <v>0</v>
      </c>
      <c r="P54" s="102">
        <f t="array" ref="P54">IF($G54=0, INDEX(LS_previous!$D$4:$AY$137, MATCH('Staging Table'!$A54, LS_previous!$B$4:$B$137, 0), MATCH(P$4&amp;P$5, LS_previous!$D$2:$AY$2&amp;LS_previous!$D$3:$AY$3, 0)),SUM(VLOOKUP($A54, LS_previous!$B$4:$AY$137, LS_previous!H$148, FALSE), VLOOKUP('Staging Table'!$A54, LS_previous!$B$4:$AY$137,LS_previous!AF$148, FALSE))/2)</f>
        <v>0</v>
      </c>
      <c r="Q54" s="102">
        <f t="array" ref="Q54">IF($G54=0, INDEX(LS_previous!$D$4:$AY$137, MATCH('Staging Table'!$A54, LS_previous!$B$4:$B$137, 0), MATCH(Q$4&amp;Q$5, LS_previous!$D$2:$AY$2&amp;LS_previous!$D$3:$AY$3, 0)),SUM(VLOOKUP($A54, LS_previous!$B$4:$AY$137, LS_previous!I$148, FALSE), VLOOKUP('Staging Table'!$A54, LS_previous!$B$4:$AY$137,LS_previous!AG$148, FALSE))/2)</f>
        <v>0</v>
      </c>
      <c r="R54" s="102">
        <f t="array" ref="R54">IF($G54=0, INDEX(LS_previous!$D$4:$AY$137, MATCH('Staging Table'!$A54, LS_previous!$B$4:$B$137, 0), MATCH(R$4&amp;R$5, LS_previous!$D$2:$AY$2&amp;LS_previous!$D$3:$AY$3, 0)),SUM(VLOOKUP($A54, LS_previous!$B$4:$AY$137, LS_previous!J$148, FALSE), VLOOKUP('Staging Table'!$A54, LS_previous!$B$4:$AY$137,LS_previous!AH$148, FALSE))/2)</f>
        <v>0</v>
      </c>
      <c r="S54" s="102">
        <f t="array" ref="S54">IF($G54=0, INDEX(LS_previous!$D$4:$AY$137, MATCH('Staging Table'!$A54, LS_previous!$B$4:$B$137, 0), MATCH(S$4&amp;S$5, LS_previous!$D$2:$AY$2&amp;LS_previous!$D$3:$AY$3, 0)),SUM(VLOOKUP($A54, LS_previous!$B$4:$AY$137, LS_previous!K$148, FALSE), VLOOKUP('Staging Table'!$A54, LS_previous!$B$4:$AY$137,LS_previous!AI$148, FALSE))/2)</f>
        <v>0</v>
      </c>
      <c r="T54" s="102">
        <f t="array" ref="T54">IF($G54=0, INDEX(LS_previous!$D$4:$AY$137, MATCH('Staging Table'!$A54, LS_previous!$B$4:$B$137, 0), MATCH(T$4&amp;T$5, LS_previous!$D$2:$AY$2&amp;LS_previous!$D$3:$AY$3, 0)),SUM(VLOOKUP($A54, LS_previous!$B$4:$AY$137, LS_previous!L$148, FALSE), VLOOKUP('Staging Table'!$A54, LS_previous!$B$4:$AY$137,LS_previous!AJ$148, FALSE))/2)</f>
        <v>0</v>
      </c>
      <c r="U54" s="102">
        <f t="array" ref="U54">IF($G54=0, INDEX(LS_previous!$D$4:$AY$137, MATCH('Staging Table'!$A54, LS_previous!$B$4:$B$137, 0), MATCH(U$4&amp;U$5, LS_previous!$D$2:$AY$2&amp;LS_previous!$D$3:$AY$3, 0)),SUM(VLOOKUP($A54, LS_previous!$B$4:$AY$137, LS_previous!M$148, FALSE), VLOOKUP('Staging Table'!$A54, LS_previous!$B$4:$AY$137,LS_previous!AK$148, FALSE))/2)</f>
        <v>0</v>
      </c>
      <c r="V54" s="102">
        <f t="array" ref="V54">IF($G54=0, INDEX(LS_previous!$D$4:$AY$137, MATCH('Staging Table'!$A54, LS_previous!$B$4:$B$137, 0), MATCH(V$4&amp;V$5, LS_previous!$D$2:$AY$2&amp;LS_previous!$D$3:$AY$3, 0)),SUM(VLOOKUP($A54, LS_previous!$B$4:$AY$137, LS_previous!N$148, FALSE), VLOOKUP('Staging Table'!$A54, LS_previous!$B$4:$AY$137,LS_previous!AL$148, FALSE))/2)</f>
        <v>0</v>
      </c>
      <c r="W54" s="102">
        <f t="array" ref="W54">IF($G54=0, INDEX(LS_previous!$D$4:$AY$137, MATCH('Staging Table'!$A54, LS_previous!$B$4:$B$137, 0), MATCH(W$4&amp;W$5, LS_previous!$D$2:$AY$2&amp;LS_previous!$D$3:$AY$3, 0)),SUM(VLOOKUP($A54, LS_previous!$B$4:$AY$137, LS_previous!O$148, FALSE), VLOOKUP('Staging Table'!$A54, LS_previous!$B$4:$AY$137,LS_previous!AM$148, FALSE))/2)</f>
        <v>0</v>
      </c>
      <c r="X54" s="102">
        <f t="array" ref="X54">IF($G54=0, INDEX(LS_previous!$D$4:$AY$137, MATCH('Staging Table'!$A54, LS_previous!$B$4:$B$137, 0), MATCH(X$4&amp;X$5, LS_previous!$D$2:$AY$2&amp;LS_previous!$D$3:$AY$3, 0)),SUM(VLOOKUP($A54, LS_previous!$B$4:$AY$137, LS_previous!P$148, FALSE), VLOOKUP('Staging Table'!$A54, LS_previous!$B$4:$AY$137,LS_previous!AN$148, FALSE))/2)</f>
        <v>0</v>
      </c>
      <c r="Y54" s="102">
        <f t="array" ref="Y54">IF($G54=0, INDEX(LS_previous!$D$4:$AY$137, MATCH('Staging Table'!$A54, LS_previous!$B$4:$B$137, 0), MATCH(Y$4&amp;Y$5, LS_previous!$D$2:$AY$2&amp;LS_previous!$D$3:$AY$3, 0)),SUM(VLOOKUP($A54, LS_previous!$B$4:$AY$137, LS_previous!Q$148, FALSE), VLOOKUP('Staging Table'!$A54, LS_previous!$B$4:$AY$137,LS_previous!AO$148, FALSE))/2)</f>
        <v>0</v>
      </c>
      <c r="Z54" s="102">
        <f t="array" ref="Z54">IF($G54=0, INDEX(LS_previous!$D$4:$AY$137, MATCH('Staging Table'!$A54, LS_previous!$B$4:$B$137, 0), MATCH(Z$4&amp;Z$5, LS_previous!$D$2:$AY$2&amp;LS_previous!$D$3:$AY$3, 0)),SUM(VLOOKUP($A54, LS_previous!$B$4:$AY$137, LS_previous!R$148, FALSE), VLOOKUP('Staging Table'!$A54, LS_previous!$B$4:$AY$137,LS_previous!AP$148, FALSE))/2)</f>
        <v>0</v>
      </c>
      <c r="AA54" s="102">
        <f t="array" ref="AA54">IF($G54=0, INDEX(LS_previous!$D$4:$AY$137, MATCH('Staging Table'!$A54, LS_previous!$B$4:$B$137, 0), MATCH(AA$4&amp;AA$5, LS_previous!$D$2:$AY$2&amp;LS_previous!$D$3:$AY$3, 0)),SUM(VLOOKUP($A54, LS_previous!$B$4:$AY$137, LS_previous!S$148, FALSE), VLOOKUP('Staging Table'!$A54, LS_previous!$B$4:$AY$137,LS_previous!AQ$148, FALSE))/2)</f>
        <v>0</v>
      </c>
      <c r="AB54" s="102">
        <f t="array" ref="AB54">IF($G54=0, INDEX(LS_previous!$D$4:$AY$137, MATCH('Staging Table'!$A54, LS_previous!$B$4:$B$137, 0), MATCH(AB$4&amp;AB$5, LS_previous!$D$2:$AY$2&amp;LS_previous!$D$3:$AY$3, 0)),SUM(VLOOKUP($A54, LS_previous!$B$4:$AY$137, LS_previous!T$148, FALSE), VLOOKUP('Staging Table'!$A54, LS_previous!$B$4:$AY$137,LS_previous!AR$148, FALSE))/2)</f>
        <v>0</v>
      </c>
      <c r="AC54" s="102">
        <f t="array" ref="AC54">IF($G54=0, INDEX(LS_previous!$D$4:$AY$137, MATCH('Staging Table'!$A54, LS_previous!$B$4:$B$137, 0), MATCH(AC$4&amp;AC$5, LS_previous!$D$2:$AY$2&amp;LS_previous!$D$3:$AY$3, 0)),SUM(VLOOKUP($A54, LS_previous!$B$4:$AY$137, LS_previous!U$148, FALSE), VLOOKUP('Staging Table'!$A54, LS_previous!$B$4:$AY$137,LS_previous!AS$148, FALSE))/2)</f>
        <v>0</v>
      </c>
      <c r="AD54" s="102">
        <f t="array" ref="AD54">IF($G54=0, INDEX(LS_previous!$D$4:$AY$137, MATCH('Staging Table'!$A54, LS_previous!$B$4:$B$137, 0), MATCH(AD$4&amp;AD$5, LS_previous!$D$2:$AY$2&amp;LS_previous!$D$3:$AY$3, 0)),SUM(VLOOKUP($A54, LS_previous!$B$4:$AY$137, LS_previous!V$148, FALSE), VLOOKUP('Staging Table'!$A54, LS_previous!$B$4:$AY$137,LS_previous!AT$148, FALSE))/2)</f>
        <v>0</v>
      </c>
      <c r="AE54" s="102">
        <f t="array" ref="AE54">IF($G54=0, INDEX(LS_previous!$D$4:$AY$137, MATCH('Staging Table'!$A54, LS_previous!$B$4:$B$137, 0), MATCH(AE$4&amp;AE$5, LS_previous!$D$2:$AY$2&amp;LS_previous!$D$3:$AY$3, 0)),SUM(VLOOKUP($A54, LS_previous!$B$4:$AY$137, LS_previous!W$148, FALSE), VLOOKUP('Staging Table'!$A54, LS_previous!$B$4:$AY$137,LS_previous!AU$148, FALSE))/2)</f>
        <v>0</v>
      </c>
      <c r="AF54" s="102">
        <f t="array" ref="AF54">IF($G54=0, INDEX(LS_previous!$D$4:$AY$137, MATCH('Staging Table'!$A54, LS_previous!$B$4:$B$137, 0), MATCH(AF$4&amp;AF$5, LS_previous!$D$2:$AY$2&amp;LS_previous!$D$3:$AY$3, 0)),SUM(VLOOKUP($A54, LS_previous!$B$4:$AY$137, LS_previous!X$148, FALSE), VLOOKUP('Staging Table'!$A54, LS_previous!$B$4:$AY$137,LS_previous!AV$148, FALSE))/2)</f>
        <v>0</v>
      </c>
      <c r="AG54" s="102">
        <f t="array" ref="AG54">IF($G54=0, INDEX(LS_previous!$D$4:$AY$137, MATCH('Staging Table'!$A54, LS_previous!$B$4:$B$137, 0), MATCH(AG$4&amp;AG$5, LS_previous!$D$2:$AY$2&amp;LS_previous!$D$3:$AY$3, 0)),SUM(VLOOKUP($A54, LS_previous!$B$4:$AY$137, LS_previous!Y$148, FALSE), VLOOKUP('Staging Table'!$A54, LS_previous!$B$4:$AY$137,LS_previous!AW$148, FALSE))/2)</f>
        <v>0</v>
      </c>
      <c r="AH54" s="102">
        <f t="array" ref="AH54">IF($G54=0, INDEX(LS_previous!$D$4:$AY$137, MATCH('Staging Table'!$A54, LS_previous!$B$4:$B$137, 0), MATCH(AH$4&amp;AH$5, LS_previous!$D$2:$AY$2&amp;LS_previous!$D$3:$AY$3, 0)),SUM(VLOOKUP($A54, LS_previous!$B$4:$AY$137, LS_previous!Z$148, FALSE), VLOOKUP('Staging Table'!$A54, LS_previous!$B$4:$AY$137,LS_previous!AX$148, FALSE))/2)</f>
        <v>0</v>
      </c>
      <c r="AI54" s="102">
        <f t="array" ref="AI54">IF($G54=0, INDEX(LS_previous!$D$4:$AY$137, MATCH('Staging Table'!$A54, LS_previous!$B$4:$B$137, 0), MATCH(AI$4&amp;AI$5, LS_previous!$D$2:$AY$2&amp;LS_previous!$D$3:$AY$3, 0)),SUM(VLOOKUP($A54, LS_previous!$B$4:$AY$137, LS_previous!AA$148, FALSE), VLOOKUP('Staging Table'!$A54, LS_previous!$B$4:$AY$137,LS_previous!AY$148, FALSE))/2)</f>
        <v>0</v>
      </c>
      <c r="AJ54" s="103">
        <f t="array" ref="AJ54">INDEX(Demand_previous!$D$4:$AY$137, MATCH('Staging Table'!$A54, Demand_previous!$B$4:$B$137, 0), MATCH(AJ$4&amp;AJ$5,Demand_previous!$D$2:$AY$2&amp;Demand_previous!$D$3:$AY$3, 0))/1000</f>
        <v>0</v>
      </c>
      <c r="AK54" s="103">
        <f t="array" ref="AK54">INDEX(Demand_previous!$D$4:$AY$137, MATCH('Staging Table'!$A54, Demand_previous!$B$4:$B$137, 0), MATCH(AK$4&amp;AK$5,Demand_previous!$D$2:$AY$2&amp;Demand_previous!$D$3:$AY$3, 0))/1000</f>
        <v>0</v>
      </c>
      <c r="AL54" s="103">
        <f t="array" ref="AL54">INDEX(Demand_previous!$D$4:$AY$137, MATCH('Staging Table'!$A54, Demand_previous!$B$4:$B$137, 0), MATCH(AL$4&amp;AL$5,Demand_previous!$D$2:$AY$2&amp;Demand_previous!$D$3:$AY$3, 0))/1000</f>
        <v>0</v>
      </c>
      <c r="AM54" s="103">
        <f t="array" ref="AM54">INDEX(Demand_previous!$D$4:$AY$137, MATCH('Staging Table'!$A54, Demand_previous!$B$4:$B$137, 0), MATCH(AM$4&amp;AM$5,Demand_previous!$D$2:$AY$2&amp;Demand_previous!$D$3:$AY$3, 0))/1000</f>
        <v>0</v>
      </c>
      <c r="AN54" s="103">
        <f t="array" ref="AN54">INDEX(Demand_previous!$D$4:$AY$137, MATCH('Staging Table'!$A54, Demand_previous!$B$4:$B$137, 0), MATCH(AN$4&amp;AN$5,Demand_previous!$D$2:$AY$2&amp;Demand_previous!$D$3:$AY$3, 0))/1000</f>
        <v>0</v>
      </c>
      <c r="AO54" s="103">
        <f t="array" ref="AO54">INDEX(Demand_previous!$D$4:$AY$137, MATCH('Staging Table'!$A54, Demand_previous!$B$4:$B$137, 0), MATCH(AO$4&amp;AO$5,Demand_previous!$D$2:$AY$2&amp;Demand_previous!$D$3:$AY$3, 0))/1000</f>
        <v>0</v>
      </c>
      <c r="AP54" s="103">
        <f t="array" ref="AP54">INDEX(Demand_previous!$D$4:$AY$137, MATCH('Staging Table'!$A54, Demand_previous!$B$4:$B$137, 0), MATCH(AP$4&amp;AP$5,Demand_previous!$D$2:$AY$2&amp;Demand_previous!$D$3:$AY$3, 0))/1000</f>
        <v>0</v>
      </c>
      <c r="AQ54" s="103">
        <f t="array" ref="AQ54">INDEX(Demand_previous!$D$4:$AY$137, MATCH('Staging Table'!$A54, Demand_previous!$B$4:$B$137, 0), MATCH(AQ$4&amp;AQ$5,Demand_previous!$D$2:$AY$2&amp;Demand_previous!$D$3:$AY$3, 0))/1000</f>
        <v>0</v>
      </c>
      <c r="AR54" s="103">
        <f t="array" ref="AR54">INDEX(Demand_previous!$D$4:$AY$137, MATCH('Staging Table'!$A54, Demand_previous!$B$4:$B$137, 0), MATCH(AR$4&amp;AR$5,Demand_previous!$D$2:$AY$2&amp;Demand_previous!$D$3:$AY$3, 0))/1000</f>
        <v>0</v>
      </c>
      <c r="AS54" s="103">
        <f t="array" ref="AS54">INDEX(Demand_previous!$D$4:$AY$137, MATCH('Staging Table'!$A54, Demand_previous!$B$4:$B$137, 0), MATCH(AS$4&amp;AS$5,Demand_previous!$D$2:$AY$2&amp;Demand_previous!$D$3:$AY$3, 0))/1000</f>
        <v>0</v>
      </c>
      <c r="AT54" s="103">
        <f t="array" ref="AT54">INDEX(Demand_previous!$D$4:$AY$137, MATCH('Staging Table'!$A54, Demand_previous!$B$4:$B$137, 0), MATCH(AT$4&amp;AT$5,Demand_previous!$D$2:$AY$2&amp;Demand_previous!$D$3:$AY$3, 0))/1000</f>
        <v>0</v>
      </c>
      <c r="AU54" s="103">
        <f t="array" ref="AU54">INDEX(Demand_previous!$D$4:$AY$137, MATCH('Staging Table'!$A54, Demand_previous!$B$4:$B$137, 0), MATCH(AU$4&amp;AU$5,Demand_previous!$D$2:$AY$2&amp;Demand_previous!$D$3:$AY$3, 0))/1000</f>
        <v>0</v>
      </c>
      <c r="AV54" s="102">
        <f>$F54*(VLOOKUP(AV$4, Rates_previous!$G$6:$Q$29, 10, FALSE)+VLOOKUP(AV$4, Rates_previous!$G$6:$Q$29, 11, FALSE))</f>
        <v>11235.5181776268</v>
      </c>
      <c r="AW54" s="102">
        <f>$F54*(VLOOKUP(AW$4, Rates_previous!$G$6:$Q$29, 10, FALSE)+VLOOKUP(AW$4, Rates_previous!$G$6:$Q$29, 11, FALSE))</f>
        <v>14328.990622008803</v>
      </c>
      <c r="AX54" s="102">
        <f>$F54*(VLOOKUP(AX$4, Rates_previous!$G$6:$Q$29, 10, FALSE)+VLOOKUP(AX$4, Rates_previous!$G$6:$Q$29, 11, FALSE))</f>
        <v>15463.816031292003</v>
      </c>
      <c r="AY54" s="102">
        <f>$F54*(VLOOKUP(AY$4, Rates_previous!$G$6:$Q$29, 10, FALSE)+VLOOKUP(AY$4, Rates_previous!$G$6:$Q$29, 11, FALSE))</f>
        <v>16069.295374220801</v>
      </c>
      <c r="AZ54" s="102">
        <f>$F54*(VLOOKUP(AZ$4, Rates_previous!$G$6:$Q$29, 10, FALSE)+VLOOKUP(AZ$4, Rates_previous!$G$6:$Q$29, 11, FALSE))</f>
        <v>13821.735922161599</v>
      </c>
      <c r="BA54" s="102">
        <f>$F54*(VLOOKUP(BA$4, Rates_previous!$G$6:$Q$29, 10, FALSE)+VLOOKUP(BA$4, Rates_previous!$G$6:$Q$29, 11, FALSE))</f>
        <v>15090.5990609112</v>
      </c>
      <c r="BB54" s="102">
        <f>$F54*(VLOOKUP(BB$4, Rates_previous!$G$6:$Q$29, 10, FALSE)+VLOOKUP(BB$4, Rates_previous!$G$6:$Q$29, 11, FALSE))</f>
        <v>11911.4848843706</v>
      </c>
      <c r="BC54" s="102">
        <f>$F54*(VLOOKUP(BC$4, Rates_previous!$G$6:$Q$29, 10, FALSE)+VLOOKUP(BC$4, Rates_previous!$G$6:$Q$29, 11, FALSE))</f>
        <v>14777.793212510802</v>
      </c>
      <c r="BD54" s="102">
        <f>$F54*(VLOOKUP(BD$4, Rates_previous!$G$6:$Q$29, 10, FALSE)+VLOOKUP(BD$4, Rates_previous!$G$6:$Q$29, 11, FALSE))</f>
        <v>15098.4344336676</v>
      </c>
      <c r="BE54" s="102">
        <f>$F54*(VLOOKUP(BE$4, Rates_previous!$G$6:$Q$29, 10, FALSE)+VLOOKUP(BE$4, Rates_previous!$G$6:$Q$29, 11, FALSE))</f>
        <v>13107.6162954428</v>
      </c>
      <c r="BF54" s="102">
        <f>$F54*(VLOOKUP(BF$4, Rates_previous!$G$6:$Q$29, 10, FALSE)+VLOOKUP(BF$4, Rates_previous!$G$6:$Q$29, 11, FALSE))</f>
        <v>12671.580838995322</v>
      </c>
      <c r="BG54" s="102">
        <f>$F54*(VLOOKUP(BG$4, Rates_previous!$G$6:$Q$29, 10, FALSE)+VLOOKUP(BG$4, Rates_previous!$G$6:$Q$29, 11, FALSE))</f>
        <v>11660.308209089602</v>
      </c>
      <c r="BH54" s="103">
        <f>IF($D54=0,IF(C54=0, MAX(BJ54 - (VLOOKUP($A54,TOCA_previous!$A$2:$AJ$136,MATCH("RHWM "&amp;Init!$D$1-2,TOCA_previous!$A$2:$AJ$2,0),FALSE)*$F$2*TOCA_previous!C51),0),0), 0)</f>
        <v>0</v>
      </c>
      <c r="BI54" s="109">
        <f>MIN(VLOOKUP($A54,TOCA_previous!$A$2:$AJ$136,MATCH("TRL - NLSL - Existing Resource "&amp;$F$1,TOCA_previous!$A$2:$AJ$2,0),FALSE)*$F$2,(VLOOKUP($A54,TOCA_previous!$A$2:$AJ$136,MATCH("RHWM "&amp;Init!$D$1-2,TOCA_previous!$A$2:$AJ$2,0),FALSE)*$F$2))</f>
        <v>161590.46400000001</v>
      </c>
      <c r="BJ54" s="261">
        <f>SUM(L54:AI54)+(F54*RT1SC!$C$3*$F$2)</f>
        <v>165237.17381971198</v>
      </c>
      <c r="BK54" s="260">
        <f>VLOOKUP($A54,TOCA_previous!$A$2:$AJ$136,MATCH("Above RHWM Not Served with LS "&amp;$F$1,TOCA_previous!$A$2:$AJ$2,0),FALSE)*$F$2</f>
        <v>0</v>
      </c>
      <c r="BL54" s="261">
        <f t="shared" si="21"/>
        <v>3646.7098197119776</v>
      </c>
      <c r="BM54" s="260">
        <f>(VLOOKUP($A54,TOCA_previous!$A$2:$AJ$136,MATCH("RHWM "&amp;Init!$D$1-2,TOCA_previous!$A$2:$AJ$2,0),FALSE)*$F$2) - $BI54</f>
        <v>1238.5439999999944</v>
      </c>
      <c r="BN54" s="261">
        <f t="shared" si="22"/>
        <v>-1238.5439999999944</v>
      </c>
      <c r="BO54" s="260">
        <f t="shared" si="23"/>
        <v>0</v>
      </c>
      <c r="BP54" s="261">
        <f t="shared" si="24"/>
        <v>0</v>
      </c>
      <c r="BQ54" s="260">
        <f t="shared" si="9"/>
        <v>-1238.5439999999944</v>
      </c>
      <c r="BR54" s="85">
        <f>VLOOKUP($A54,TOCA_current!$A$2:$ZZ$136,MATCH(BR$4,TOCA_current!$A$2:$ZZ$2,0),FALSE)</f>
        <v>2.5993000000000001E-3</v>
      </c>
      <c r="BS54" s="85">
        <f>VLOOKUP($A54,TOCA_current!$A$2:$ZZ$136,MATCH(BS$4,TOCA_current!$A$2:$ZZ$2,0),FALSE)</f>
        <v>2.5993000000000001E-3</v>
      </c>
      <c r="BT54" s="108">
        <f t="shared" si="25"/>
        <v>0</v>
      </c>
      <c r="BU54" s="85">
        <f>VLOOKUP($A54,TOCA_current!A51:BG185,MATCH(BU$4,TOCA_current!$A$2:$BG$2,0),FALSE)</f>
        <v>7.0000000000000007E-2</v>
      </c>
      <c r="BV54" s="85">
        <f t="shared" si="26"/>
        <v>7.0000000000000007E-2</v>
      </c>
      <c r="BW54" s="85">
        <f t="shared" si="27"/>
        <v>2.5993000000000001E-3</v>
      </c>
      <c r="BX54" s="101">
        <f>VLOOKUP($A54,IRD!$A$4:$G$138, 7, FALSE)</f>
        <v>0</v>
      </c>
      <c r="BY54" s="102">
        <f t="array" ref="BY54">IF($BT54=0, INDEX(LS_current!$D$4:$BW$137, MATCH('Staging Table'!$A54, LS_current!$B$4:$B$137, 0), MATCH(BY$4&amp;BY$5, LS_current!$D$2:$BW$2&amp;LS_current!$D$3:$BW$3, 0)),SUM(VLOOKUP($A54, LS_current!$B$4:$BW$137, LS_current!D$147, FALSE), VLOOKUP($A54, LS_current!$B$4:$BW$137,LS_current!AZ$147, FALSE))/2)</f>
        <v>0</v>
      </c>
      <c r="BZ54" s="102">
        <f t="array" ref="BZ54">IF($BT54=0, INDEX(LS_current!$D$4:$BW$137, MATCH('Staging Table'!$A54, LS_current!$B$4:$B$137, 0), MATCH(BZ$4&amp;BZ$5, LS_current!$D$2:$BW$2&amp;LS_current!$D$3:$BW$3, 0)),SUM(VLOOKUP($A54, LS_current!$B$4:$BW$137, LS_current!E$147, FALSE), VLOOKUP($A54, LS_current!$B$4:$BW$137,LS_current!BA$147, FALSE))/2)</f>
        <v>0</v>
      </c>
      <c r="CA54" s="102">
        <f t="array" ref="CA54">IF($BT54=0, INDEX(LS_current!$D$4:$BW$137, MATCH('Staging Table'!$A54, LS_current!$B$4:$B$137, 0), MATCH(CA$4&amp;CA$5, LS_current!$D$2:$BW$2&amp;LS_current!$D$3:$BW$3, 0)),SUM(VLOOKUP($A54, LS_current!$B$4:$BW$137, LS_current!F$147, FALSE), VLOOKUP($A54, LS_current!$B$4:$BW$137,LS_current!BB$147, FALSE))/2)</f>
        <v>0</v>
      </c>
      <c r="CB54" s="102">
        <f t="array" ref="CB54">IF($BT54=0, INDEX(LS_current!$D$4:$BW$137, MATCH('Staging Table'!$A54, LS_current!$B$4:$B$137, 0), MATCH(CB$4&amp;CB$5, LS_current!$D$2:$BW$2&amp;LS_current!$D$3:$BW$3, 0)),SUM(VLOOKUP($A54, LS_current!$B$4:$BW$137, LS_current!G$147, FALSE), VLOOKUP($A54, LS_current!$B$4:$BW$137,LS_current!BC$147, FALSE))/2)</f>
        <v>0</v>
      </c>
      <c r="CC54" s="102">
        <f t="array" ref="CC54">IF($BT54=0, INDEX(LS_current!$D$4:$BW$137, MATCH('Staging Table'!$A54, LS_current!$B$4:$B$137, 0), MATCH(CC$4&amp;CC$5, LS_current!$D$2:$BW$2&amp;LS_current!$D$3:$BW$3, 0)),SUM(VLOOKUP($A54, LS_current!$B$4:$BW$137, LS_current!H$147, FALSE), VLOOKUP($A54, LS_current!$B$4:$BW$137,LS_current!BD$147, FALSE))/2)</f>
        <v>0</v>
      </c>
      <c r="CD54" s="102">
        <f t="array" ref="CD54">IF($BT54=0, INDEX(LS_current!$D$4:$BW$137, MATCH('Staging Table'!$A54, LS_current!$B$4:$B$137, 0), MATCH(CD$4&amp;CD$5, LS_current!$D$2:$BW$2&amp;LS_current!$D$3:$BW$3, 0)),SUM(VLOOKUP($A54, LS_current!$B$4:$BW$137, LS_current!I$147, FALSE), VLOOKUP($A54, LS_current!$B$4:$BW$137,LS_current!BE$147, FALSE))/2)</f>
        <v>0</v>
      </c>
      <c r="CE54" s="102">
        <f t="array" ref="CE54">IF($BT54=0, INDEX(LS_current!$D$4:$BW$137, MATCH('Staging Table'!$A54, LS_current!$B$4:$B$137, 0), MATCH(CE$4&amp;CE$5, LS_current!$D$2:$BW$2&amp;LS_current!$D$3:$BW$3, 0)),SUM(VLOOKUP($A54, LS_current!$B$4:$BW$137, LS_current!J$147, FALSE), VLOOKUP($A54, LS_current!$B$4:$BW$137,LS_current!BF$147, FALSE))/2)</f>
        <v>0</v>
      </c>
      <c r="CF54" s="102">
        <f t="array" ref="CF54">IF($BT54=0, INDEX(LS_current!$D$4:$BW$137, MATCH('Staging Table'!$A54, LS_current!$B$4:$B$137, 0), MATCH(CF$4&amp;CF$5, LS_current!$D$2:$BW$2&amp;LS_current!$D$3:$BW$3, 0)),SUM(VLOOKUP($A54, LS_current!$B$4:$BW$137, LS_current!K$147, FALSE), VLOOKUP($A54, LS_current!$B$4:$BW$137,LS_current!BG$147, FALSE))/2)</f>
        <v>0</v>
      </c>
      <c r="CG54" s="102">
        <f t="array" ref="CG54">IF($BT54=0, INDEX(LS_current!$D$4:$BW$137, MATCH('Staging Table'!$A54, LS_current!$B$4:$B$137, 0), MATCH(CG$4&amp;CG$5, LS_current!$D$2:$BW$2&amp;LS_current!$D$3:$BW$3, 0)),SUM(VLOOKUP($A54, LS_current!$B$4:$BW$137, LS_current!L$147, FALSE), VLOOKUP($A54, LS_current!$B$4:$BW$137,LS_current!BH$147, FALSE))/2)</f>
        <v>0</v>
      </c>
      <c r="CH54" s="102">
        <f t="array" ref="CH54">IF($BT54=0, INDEX(LS_current!$D$4:$BW$137, MATCH('Staging Table'!$A54, LS_current!$B$4:$B$137, 0), MATCH(CH$4&amp;CH$5, LS_current!$D$2:$BW$2&amp;LS_current!$D$3:$BW$3, 0)),SUM(VLOOKUP($A54, LS_current!$B$4:$BW$137, LS_current!M$147, FALSE), VLOOKUP($A54, LS_current!$B$4:$BW$137,LS_current!BI$147, FALSE))/2)</f>
        <v>0</v>
      </c>
      <c r="CI54" s="102">
        <f t="array" ref="CI54">IF($BT54=0, INDEX(LS_current!$D$4:$BW$137, MATCH('Staging Table'!$A54, LS_current!$B$4:$B$137, 0), MATCH(CI$4&amp;CI$5, LS_current!$D$2:$BW$2&amp;LS_current!$D$3:$BW$3, 0)),SUM(VLOOKUP($A54, LS_current!$B$4:$BW$137, LS_current!N$147, FALSE), VLOOKUP($A54, LS_current!$B$4:$BW$137,LS_current!BJ$147, FALSE))/2)</f>
        <v>0</v>
      </c>
      <c r="CJ54" s="102">
        <f t="array" ref="CJ54">IF($BT54=0, INDEX(LS_current!$D$4:$BW$137, MATCH('Staging Table'!$A54, LS_current!$B$4:$B$137, 0), MATCH(CJ$4&amp;CJ$5, LS_current!$D$2:$BW$2&amp;LS_current!$D$3:$BW$3, 0)),SUM(VLOOKUP($A54, LS_current!$B$4:$BW$137, LS_current!O$147, FALSE), VLOOKUP($A54, LS_current!$B$4:$BW$137,LS_current!BK$147, FALSE))/2)</f>
        <v>0</v>
      </c>
      <c r="CK54" s="102">
        <f t="array" ref="CK54">IF($BT54=0, INDEX(LS_current!$D$4:$BW$137, MATCH('Staging Table'!$A54, LS_current!$B$4:$B$137, 0), MATCH(CK$4&amp;CK$5, LS_current!$D$2:$BW$2&amp;LS_current!$D$3:$BW$3, 0)),SUM(VLOOKUP($A54, LS_current!$B$4:$BW$137, LS_current!P$147, FALSE), VLOOKUP($A54, LS_current!$B$4:$BW$137,LS_current!BL$147, FALSE))/2)</f>
        <v>0</v>
      </c>
      <c r="CL54" s="102">
        <f t="array" ref="CL54">IF($BT54=0, INDEX(LS_current!$D$4:$BW$137, MATCH('Staging Table'!$A54, LS_current!$B$4:$B$137, 0), MATCH(CL$4&amp;CL$5, LS_current!$D$2:$BW$2&amp;LS_current!$D$3:$BW$3, 0)),SUM(VLOOKUP($A54, LS_current!$B$4:$BW$137, LS_current!Q$147, FALSE), VLOOKUP($A54, LS_current!$B$4:$BW$137,LS_current!BM$147, FALSE))/2)</f>
        <v>0</v>
      </c>
      <c r="CM54" s="102">
        <f t="array" ref="CM54">IF($BT54=0, INDEX(LS_current!$D$4:$BW$137, MATCH('Staging Table'!$A54, LS_current!$B$4:$B$137, 0), MATCH(CM$4&amp;CM$5, LS_current!$D$2:$BW$2&amp;LS_current!$D$3:$BW$3, 0)),SUM(VLOOKUP($A54, LS_current!$B$4:$BW$137, LS_current!R$147, FALSE), VLOOKUP($A54, LS_current!$B$4:$BW$137,LS_current!BN$147, FALSE))/2)</f>
        <v>0</v>
      </c>
      <c r="CN54" s="102">
        <f t="array" ref="CN54">IF($BT54=0, INDEX(LS_current!$D$4:$BW$137, MATCH('Staging Table'!$A54, LS_current!$B$4:$B$137, 0), MATCH(CN$4&amp;CN$5, LS_current!$D$2:$BW$2&amp;LS_current!$D$3:$BW$3, 0)),SUM(VLOOKUP($A54, LS_current!$B$4:$BW$137, LS_current!S$147, FALSE), VLOOKUP($A54, LS_current!$B$4:$BW$137,LS_current!BO$147, FALSE))/2)</f>
        <v>0</v>
      </c>
      <c r="CO54" s="102">
        <f t="array" ref="CO54">IF($BT54=0, INDEX(LS_current!$D$4:$BW$137, MATCH('Staging Table'!$A54, LS_current!$B$4:$B$137, 0), MATCH(CO$4&amp;CO$5, LS_current!$D$2:$BW$2&amp;LS_current!$D$3:$BW$3, 0)),SUM(VLOOKUP($A54, LS_current!$B$4:$BW$137, LS_current!T$147, FALSE), VLOOKUP($A54, LS_current!$B$4:$BW$137,LS_current!BP$147, FALSE))/2)</f>
        <v>0</v>
      </c>
      <c r="CP54" s="102">
        <f t="array" ref="CP54">IF($BT54=0, INDEX(LS_current!$D$4:$BW$137, MATCH('Staging Table'!$A54, LS_current!$B$4:$B$137, 0), MATCH(CP$4&amp;CP$5, LS_current!$D$2:$BW$2&amp;LS_current!$D$3:$BW$3, 0)),SUM(VLOOKUP($A54, LS_current!$B$4:$BW$137, LS_current!U$147, FALSE), VLOOKUP($A54, LS_current!$B$4:$BW$137,LS_current!BQ$147, FALSE))/2)</f>
        <v>0</v>
      </c>
      <c r="CQ54" s="102">
        <f t="array" ref="CQ54">IF($BT54=0, INDEX(LS_current!$D$4:$BW$137, MATCH('Staging Table'!$A54, LS_current!$B$4:$B$137, 0), MATCH(CQ$4&amp;CQ$5, LS_current!$D$2:$BW$2&amp;LS_current!$D$3:$BW$3, 0)),SUM(VLOOKUP($A54, LS_current!$B$4:$BW$137, LS_current!V$147, FALSE), VLOOKUP($A54, LS_current!$B$4:$BW$137,LS_current!BR$147, FALSE))/2)</f>
        <v>0</v>
      </c>
      <c r="CR54" s="102">
        <f t="array" ref="CR54">IF($BT54=0, INDEX(LS_current!$D$4:$BW$137, MATCH('Staging Table'!$A54, LS_current!$B$4:$B$137, 0), MATCH(CR$4&amp;CR$5, LS_current!$D$2:$BW$2&amp;LS_current!$D$3:$BW$3, 0)),SUM(VLOOKUP($A54, LS_current!$B$4:$BW$137, LS_current!W$147, FALSE), VLOOKUP($A54, LS_current!$B$4:$BW$137,LS_current!BS$147, FALSE))/2)</f>
        <v>0</v>
      </c>
      <c r="CS54" s="102">
        <f t="array" ref="CS54">IF($BT54=0, INDEX(LS_current!$D$4:$BW$137, MATCH('Staging Table'!$A54, LS_current!$B$4:$B$137, 0), MATCH(CS$4&amp;CS$5, LS_current!$D$2:$BW$2&amp;LS_current!$D$3:$BW$3, 0)),SUM(VLOOKUP($A54, LS_current!$B$4:$BW$137, LS_current!X$147, FALSE), VLOOKUP($A54, LS_current!$B$4:$BW$137,LS_current!BT$147, FALSE))/2)</f>
        <v>0</v>
      </c>
      <c r="CT54" s="102">
        <f t="array" ref="CT54">IF($BT54=0, INDEX(LS_current!$D$4:$BW$137, MATCH('Staging Table'!$A54, LS_current!$B$4:$B$137, 0), MATCH(CT$4&amp;CT$5, LS_current!$D$2:$BW$2&amp;LS_current!$D$3:$BW$3, 0)),SUM(VLOOKUP($A54, LS_current!$B$4:$BW$137, LS_current!Y$147, FALSE), VLOOKUP($A54, LS_current!$B$4:$BW$137,LS_current!BU$147, FALSE))/2)</f>
        <v>0</v>
      </c>
      <c r="CU54" s="102">
        <f t="array" ref="CU54">IF($BT54=0, INDEX(LS_current!$D$4:$BW$137, MATCH('Staging Table'!$A54, LS_current!$B$4:$B$137, 0), MATCH(CU$4&amp;CU$5, LS_current!$D$2:$BW$2&amp;LS_current!$D$3:$BW$3, 0)),SUM(VLOOKUP($A54, LS_current!$B$4:$BW$137, LS_current!Z$147, FALSE), VLOOKUP($A54, LS_current!$B$4:$BW$137,LS_current!BV$147, FALSE))/2)</f>
        <v>0</v>
      </c>
      <c r="CV54" s="102">
        <f t="array" ref="CV54">IF($BT54=0, INDEX(LS_current!$D$4:$BW$137, MATCH('Staging Table'!$A54, LS_current!$B$4:$B$137, 0), MATCH(CV$4&amp;CV$5, LS_current!$D$2:$BW$2&amp;LS_current!$D$3:$BW$3, 0)),SUM(VLOOKUP($A54, LS_current!$B$4:$BW$137, LS_current!AA$147, FALSE), VLOOKUP($A54, LS_current!$B$4:$BW$137,LS_current!BW$147, FALSE))/2)</f>
        <v>0</v>
      </c>
      <c r="CW54" s="103">
        <f t="array" ref="CW54">INDEX(Demand_current!$D$4:$BW$137, MATCH($A54, Demand_current!$B$4:$B$137, 0), MATCH(CW$4&amp;CW$5,Demand_current!$D$2:$BW$2&amp;Demand_current!$D$3:$BW$3, 0))/1000</f>
        <v>0</v>
      </c>
      <c r="CX54" s="103">
        <f t="array" ref="CX54">INDEX(Demand_current!$D$4:$BW$137, MATCH($A54, Demand_current!$B$4:$B$137, 0), MATCH(CX$4&amp;CX$5,Demand_current!$D$2:$BW$2&amp;Demand_current!$D$3:$BW$3, 0))/1000</f>
        <v>0</v>
      </c>
      <c r="CY54" s="103">
        <f t="array" ref="CY54">INDEX(Demand_current!$D$4:$BW$137, MATCH($A54, Demand_current!$B$4:$B$137, 0), MATCH(CY$4&amp;CY$5,Demand_current!$D$2:$BW$2&amp;Demand_current!$D$3:$BW$3, 0))/1000</f>
        <v>0</v>
      </c>
      <c r="CZ54" s="103">
        <f t="array" ref="CZ54">INDEX(Demand_current!$D$4:$BW$137, MATCH($A54, Demand_current!$B$4:$B$137, 0), MATCH(CZ$4&amp;CZ$5,Demand_current!$D$2:$BW$2&amp;Demand_current!$D$3:$BW$3, 0))/1000</f>
        <v>0</v>
      </c>
      <c r="DA54" s="103">
        <f t="array" ref="DA54">INDEX(Demand_current!$D$4:$BW$137, MATCH($A54, Demand_current!$B$4:$B$137, 0), MATCH(DA$4&amp;DA$5,Demand_current!$D$2:$BW$2&amp;Demand_current!$D$3:$BW$3, 0))/1000</f>
        <v>0</v>
      </c>
      <c r="DB54" s="103">
        <f t="array" ref="DB54">INDEX(Demand_current!$D$4:$BW$137, MATCH($A54, Demand_current!$B$4:$B$137, 0), MATCH(DB$4&amp;DB$5,Demand_current!$D$2:$BW$2&amp;Demand_current!$D$3:$BW$3, 0))/1000</f>
        <v>0</v>
      </c>
      <c r="DC54" s="103">
        <f t="array" ref="DC54">INDEX(Demand_current!$D$4:$BW$137, MATCH($A54, Demand_current!$B$4:$B$137, 0), MATCH(DC$4&amp;DC$5,Demand_current!$D$2:$BW$2&amp;Demand_current!$D$3:$BW$3, 0))/1000</f>
        <v>0</v>
      </c>
      <c r="DD54" s="103">
        <f t="array" ref="DD54">INDEX(Demand_current!$D$4:$BW$137, MATCH($A54, Demand_current!$B$4:$B$137, 0), MATCH(DD$4&amp;DD$5,Demand_current!$D$2:$BW$2&amp;Demand_current!$D$3:$BW$3, 0))/1000</f>
        <v>0</v>
      </c>
      <c r="DE54" s="103">
        <f t="array" ref="DE54">INDEX(Demand_current!$D$4:$BW$137, MATCH($A54, Demand_current!$B$4:$B$137, 0), MATCH(DE$4&amp;DE$5,Demand_current!$D$2:$BW$2&amp;Demand_current!$D$3:$BW$3, 0))/1000</f>
        <v>0</v>
      </c>
      <c r="DF54" s="103">
        <f t="array" ref="DF54">INDEX(Demand_current!$D$4:$BW$137, MATCH($A54, Demand_current!$B$4:$B$137, 0), MATCH(DF$4&amp;DF$5,Demand_current!$D$2:$BW$2&amp;Demand_current!$D$3:$BW$3, 0))/1000</f>
        <v>0</v>
      </c>
      <c r="DG54" s="103">
        <f t="array" ref="DG54">INDEX(Demand_current!$D$4:$BW$137, MATCH($A54, Demand_current!$B$4:$B$137, 0), MATCH(DG$4&amp;DG$5,Demand_current!$D$2:$BW$2&amp;Demand_current!$D$3:$BW$3, 0))/1000</f>
        <v>0</v>
      </c>
      <c r="DH54" s="103">
        <f t="array" ref="DH54">INDEX(Demand_current!$D$4:$BW$137, MATCH($A54, Demand_current!$B$4:$B$137, 0), MATCH(DH$4&amp;DH$5,Demand_current!$D$2:$BW$2&amp;Demand_current!$D$3:$BW$3, 0))/1000</f>
        <v>0</v>
      </c>
      <c r="DI54" s="102">
        <f>$BS54*(VLOOKUP(DI$4, Rates_current!$H$6:$R$41, 10, FALSE)+VLOOKUP(DI$4, Rates_current!$H$6:$R$41, 11, FALSE))</f>
        <v>10787.842581235183</v>
      </c>
      <c r="DJ54" s="102">
        <f>$BS54*(VLOOKUP(DJ$4, Rates_current!$H$6:$R$41, 10, FALSE)+VLOOKUP(DJ$4, Rates_current!$H$6:$R$41, 11, FALSE))</f>
        <v>13791.90168977119</v>
      </c>
      <c r="DK54" s="102">
        <f>$BS54*(VLOOKUP(DK$4, Rates_current!$H$6:$R$41, 10, FALSE)+VLOOKUP(DK$4, Rates_current!$H$6:$R$41, 11, FALSE))</f>
        <v>15680.238708629733</v>
      </c>
      <c r="DL54" s="102">
        <f>$BS54*(VLOOKUP(DL$4, Rates_current!$H$6:$R$41, 10, FALSE)+VLOOKUP(DL$4, Rates_current!$H$6:$R$41, 11, FALSE))</f>
        <v>16543.875819559751</v>
      </c>
      <c r="DM54" s="102">
        <f>$BS54*(VLOOKUP(DM$4, Rates_current!$H$6:$R$41, 10, FALSE)+VLOOKUP(DM$4, Rates_current!$H$6:$R$41, 11, FALSE))</f>
        <v>13183.97588632419</v>
      </c>
      <c r="DN54" s="102">
        <f>$BS54*(VLOOKUP(DN$4, Rates_current!$H$6:$R$41, 10, FALSE)+VLOOKUP(DN$4, Rates_current!$H$6:$R$41, 11, FALSE))</f>
        <v>14412.793048967762</v>
      </c>
      <c r="DO54" s="102">
        <f>$BS54*(VLOOKUP(DO$4, Rates_current!$H$6:$R$41, 10, FALSE)+VLOOKUP(DO$4, Rates_current!$H$6:$R$41, 11, FALSE))</f>
        <v>11170.059592273652</v>
      </c>
      <c r="DP54" s="102">
        <f>$BS54*(VLOOKUP(DP$4, Rates_current!$H$6:$R$41, 10, FALSE)+VLOOKUP(DP$4, Rates_current!$H$6:$R$41, 11, FALSE))</f>
        <v>14455.896288960359</v>
      </c>
      <c r="DQ54" s="102">
        <f>$BS54*(VLOOKUP(DQ$4, Rates_current!$H$6:$R$41, 10, FALSE)+VLOOKUP(DQ$4, Rates_current!$H$6:$R$41, 11, FALSE))</f>
        <v>14764.571755832445</v>
      </c>
      <c r="DR54" s="102">
        <f>$BS54*(VLOOKUP(DR$4, Rates_current!$H$6:$R$41, 10, FALSE)+VLOOKUP(DR$4, Rates_current!$H$6:$R$41, 11, FALSE))</f>
        <v>13141.745772729371</v>
      </c>
      <c r="DS54" s="102">
        <f>$BS54*(VLOOKUP(DS$4, Rates_current!$H$6:$R$41, 10, FALSE)+VLOOKUP(DS$4, Rates_current!$H$6:$R$41, 11, FALSE))</f>
        <v>13481.02104553899</v>
      </c>
      <c r="DT54" s="102">
        <f>$BS54*(VLOOKUP(DT$4, Rates_current!$H$6:$R$41, 10, FALSE)+VLOOKUP(DT$4, Rates_current!$H$6:$R$41, 11, FALSE))</f>
        <v>10469.628833363819</v>
      </c>
      <c r="DU54" s="261">
        <f>IF(D54=0,IF(C54=0,MAX(0,DW54 - (VLOOKUP($A54,TOCA_current!$A$2:$AV$136,MATCH("RHWM "&amp;Init!$D$1,TOCA_current!$A$2:$AV$2,0),FALSE)*$BS$2)), 0),0)</f>
        <v>0</v>
      </c>
      <c r="DV54" s="262">
        <f>MIN(VLOOKUP($A54,TOCA_current!$A$2:$AV$136,MATCH("TRL - NLSL - Existing Resource "&amp;$BS$1,TOCA_current!$A$2:$AV$2,0),FALSE)*$BS$2, VLOOKUP($A54,TOCA_current!$A$2:$AV$136,MATCH("RHWM "&amp;Init!$D$1,TOCA_current!$A$2:$AV$2,0),FALSE)*$BS$2)</f>
        <v>161884.80000000002</v>
      </c>
      <c r="DW54" s="262">
        <f>SUM(BY54:CV54)+(BS54*RT1SC!$C$4*$BS$2)</f>
        <v>161883.56057913604</v>
      </c>
      <c r="DX54" s="262">
        <f>VLOOKUP($A54,TOCA_current!$A$2:$AV$136,MATCH("Above RHWM Not Served with LS "&amp;$BS$1,TOCA_current!$A$2:$AV$2,0),FALSE)*$BS$2</f>
        <v>0</v>
      </c>
      <c r="DY54" s="262">
        <f t="shared" si="28"/>
        <v>-1.2394208639743738</v>
      </c>
      <c r="DZ54" s="262">
        <f>(VLOOKUP($A54,TOCA_current!$A$2:$AV$136,MATCH("RHWM "&amp;Init!$D$1,TOCA_current!$A$2:$AV$2,0),FALSE)*$BS$2) - $DV54</f>
        <v>1436.6399999999558</v>
      </c>
      <c r="EA54" s="262">
        <f t="shared" si="29"/>
        <v>0</v>
      </c>
      <c r="EB54" s="262">
        <f t="shared" si="30"/>
        <v>1.2394208639743738</v>
      </c>
      <c r="EC54" s="262">
        <f t="shared" si="31"/>
        <v>0</v>
      </c>
      <c r="ED54" s="262">
        <f t="shared" si="32"/>
        <v>1.2394208639743738</v>
      </c>
    </row>
    <row r="55" spans="1:134">
      <c r="A55" s="2">
        <v>10142</v>
      </c>
      <c r="B55" s="3" t="s">
        <v>57</v>
      </c>
      <c r="C55">
        <f>VLOOKUP(A55, TOCA_current!$A$3:$D$136, 4, FALSE)</f>
        <v>0</v>
      </c>
      <c r="D55">
        <v>0</v>
      </c>
      <c r="E55" s="84">
        <f>VLOOKUP($A55,TOCA_previous!$A$2:$AJ$136,MATCH(E$4,TOCA_previous!$A$2:$AJ$2,0),FALSE)</f>
        <v>3.8900000000000002E-4</v>
      </c>
      <c r="F55" s="85">
        <f>VLOOKUP($A55,TOCA_previous!$A$2:$AJ$136,MATCH(F$4,TOCA_previous!$A$2:$AJ$2,0),FALSE)</f>
        <v>3.8900000000000002E-4</v>
      </c>
      <c r="G55" s="85">
        <f t="shared" si="18"/>
        <v>0</v>
      </c>
      <c r="H55" s="85">
        <f>VLOOKUP($A55,TOCA_previous!$A$2:$AJ$136,MATCH(H$4,TOCA_previous!$A$2:$AJ$2,0),FALSE)</f>
        <v>3.0833643468552292E-2</v>
      </c>
      <c r="I55" s="85">
        <f t="shared" si="19"/>
        <v>0</v>
      </c>
      <c r="J55" s="85">
        <f t="shared" si="20"/>
        <v>0</v>
      </c>
      <c r="K55" s="101">
        <f>VLOOKUP(A55, IRD!$A$5:$C$138, 3, FALSE)</f>
        <v>5769.4840000000004</v>
      </c>
      <c r="L55" s="102">
        <f t="array" ref="L55">IF($G55=0, INDEX(LS_previous!$D$4:$AY$137, MATCH('Staging Table'!$A55, LS_previous!$B$4:$B$137, 0), MATCH(L$4&amp;L$5, LS_previous!$D$2:$AY$2&amp;LS_previous!$D$3:$AY$3, 0)),SUM(VLOOKUP($A55, LS_previous!$B$4:$AY$137, LS_previous!D$148, FALSE), VLOOKUP('Staging Table'!$A55, LS_previous!$B$4:$AY$137,LS_previous!AB$148, FALSE))/2)</f>
        <v>223.78926999599992</v>
      </c>
      <c r="M55" s="102">
        <f t="array" ref="M55">IF($G55=0, INDEX(LS_previous!$D$4:$AY$137, MATCH('Staging Table'!$A55, LS_previous!$B$4:$B$137, 0), MATCH(M$4&amp;M$5, LS_previous!$D$2:$AY$2&amp;LS_previous!$D$3:$AY$3, 0)),SUM(VLOOKUP($A55, LS_previous!$B$4:$AY$137, LS_previous!E$148, FALSE), VLOOKUP('Staging Table'!$A55, LS_previous!$B$4:$AY$137,LS_previous!AC$148, FALSE))/2)</f>
        <v>109.18006678049994</v>
      </c>
      <c r="N55" s="102">
        <f t="array" ref="N55">IF($G55=0, INDEX(LS_previous!$D$4:$AY$137, MATCH('Staging Table'!$A55, LS_previous!$B$4:$B$137, 0), MATCH(N$4&amp;N$5, LS_previous!$D$2:$AY$2&amp;LS_previous!$D$3:$AY$3, 0)),SUM(VLOOKUP($A55, LS_previous!$B$4:$AY$137, LS_previous!F$148, FALSE), VLOOKUP('Staging Table'!$A55, LS_previous!$B$4:$AY$137,LS_previous!AD$148, FALSE))/2)</f>
        <v>-163.34357059200033</v>
      </c>
      <c r="O55" s="102">
        <f t="array" ref="O55">IF($G55=0, INDEX(LS_previous!$D$4:$AY$137, MATCH('Staging Table'!$A55, LS_previous!$B$4:$B$137, 0), MATCH(O$4&amp;O$5, LS_previous!$D$2:$AY$2&amp;LS_previous!$D$3:$AY$3, 0)),SUM(VLOOKUP($A55, LS_previous!$B$4:$AY$137, LS_previous!G$148, FALSE), VLOOKUP('Staging Table'!$A55, LS_previous!$B$4:$AY$137,LS_previous!AE$148, FALSE))/2)</f>
        <v>65.520212540999864</v>
      </c>
      <c r="P55" s="102">
        <f t="array" ref="P55">IF($G55=0, INDEX(LS_previous!$D$4:$AY$137, MATCH('Staging Table'!$A55, LS_previous!$B$4:$B$137, 0), MATCH(P$4&amp;P$5, LS_previous!$D$2:$AY$2&amp;LS_previous!$D$3:$AY$3, 0)),SUM(VLOOKUP($A55, LS_previous!$B$4:$AY$137, LS_previous!H$148, FALSE), VLOOKUP('Staging Table'!$A55, LS_previous!$B$4:$AY$137,LS_previous!AF$148, FALSE))/2)</f>
        <v>138.90604752899981</v>
      </c>
      <c r="Q55" s="102">
        <f t="array" ref="Q55">IF($G55=0, INDEX(LS_previous!$D$4:$AY$137, MATCH('Staging Table'!$A55, LS_previous!$B$4:$B$137, 0), MATCH(Q$4&amp;Q$5, LS_previous!$D$2:$AY$2&amp;LS_previous!$D$3:$AY$3, 0)),SUM(VLOOKUP($A55, LS_previous!$B$4:$AY$137, LS_previous!I$148, FALSE), VLOOKUP('Staging Table'!$A55, LS_previous!$B$4:$AY$137,LS_previous!AG$148, FALSE))/2)</f>
        <v>199.03245225600006</v>
      </c>
      <c r="R55" s="102">
        <f t="array" ref="R55">IF($G55=0, INDEX(LS_previous!$D$4:$AY$137, MATCH('Staging Table'!$A55, LS_previous!$B$4:$B$137, 0), MATCH(R$4&amp;R$5, LS_previous!$D$2:$AY$2&amp;LS_previous!$D$3:$AY$3, 0)),SUM(VLOOKUP($A55, LS_previous!$B$4:$AY$137, LS_previous!J$148, FALSE), VLOOKUP('Staging Table'!$A55, LS_previous!$B$4:$AY$137,LS_previous!AH$148, FALSE))/2)</f>
        <v>30.004922865000026</v>
      </c>
      <c r="S55" s="102">
        <f t="array" ref="S55">IF($G55=0, INDEX(LS_previous!$D$4:$AY$137, MATCH('Staging Table'!$A55, LS_previous!$B$4:$B$137, 0), MATCH(S$4&amp;S$5, LS_previous!$D$2:$AY$2&amp;LS_previous!$D$3:$AY$3, 0)),SUM(VLOOKUP($A55, LS_previous!$B$4:$AY$137, LS_previous!K$148, FALSE), VLOOKUP('Staging Table'!$A55, LS_previous!$B$4:$AY$137,LS_previous!AI$148, FALSE))/2)</f>
        <v>198.82430671899988</v>
      </c>
      <c r="T55" s="102">
        <f t="array" ref="T55">IF($G55=0, INDEX(LS_previous!$D$4:$AY$137, MATCH('Staging Table'!$A55, LS_previous!$B$4:$B$137, 0), MATCH(T$4&amp;T$5, LS_previous!$D$2:$AY$2&amp;LS_previous!$D$3:$AY$3, 0)),SUM(VLOOKUP($A55, LS_previous!$B$4:$AY$137, LS_previous!L$148, FALSE), VLOOKUP('Staging Table'!$A55, LS_previous!$B$4:$AY$137,LS_previous!AJ$148, FALSE))/2)</f>
        <v>-64.412396930999876</v>
      </c>
      <c r="U55" s="102">
        <f t="array" ref="U55">IF($G55=0, INDEX(LS_previous!$D$4:$AY$137, MATCH('Staging Table'!$A55, LS_previous!$B$4:$B$137, 0), MATCH(U$4&amp;U$5, LS_previous!$D$2:$AY$2&amp;LS_previous!$D$3:$AY$3, 0)),SUM(VLOOKUP($A55, LS_previous!$B$4:$AY$137, LS_previous!M$148, FALSE), VLOOKUP('Staging Table'!$A55, LS_previous!$B$4:$AY$137,LS_previous!AK$148, FALSE))/2)</f>
        <v>108.11113794899995</v>
      </c>
      <c r="V55" s="102">
        <f t="array" ref="V55">IF($G55=0, INDEX(LS_previous!$D$4:$AY$137, MATCH('Staging Table'!$A55, LS_previous!$B$4:$B$137, 0), MATCH(V$4&amp;V$5, LS_previous!$D$2:$AY$2&amp;LS_previous!$D$3:$AY$3, 0)),SUM(VLOOKUP($A55, LS_previous!$B$4:$AY$137, LS_previous!N$148, FALSE), VLOOKUP('Staging Table'!$A55, LS_previous!$B$4:$AY$137,LS_previous!AL$148, FALSE))/2)</f>
        <v>-213.99853495699995</v>
      </c>
      <c r="W55" s="102">
        <f t="array" ref="W55">IF($G55=0, INDEX(LS_previous!$D$4:$AY$137, MATCH('Staging Table'!$A55, LS_previous!$B$4:$B$137, 0), MATCH(W$4&amp;W$5, LS_previous!$D$2:$AY$2&amp;LS_previous!$D$3:$AY$3, 0)),SUM(VLOOKUP($A55, LS_previous!$B$4:$AY$137, LS_previous!O$148, FALSE), VLOOKUP('Staging Table'!$A55, LS_previous!$B$4:$AY$137,LS_previous!AM$148, FALSE))/2)</f>
        <v>-55.231071642000074</v>
      </c>
      <c r="X55" s="102">
        <f t="array" ref="X55">IF($G55=0, INDEX(LS_previous!$D$4:$AY$137, MATCH('Staging Table'!$A55, LS_previous!$B$4:$B$137, 0), MATCH(X$4&amp;X$5, LS_previous!$D$2:$AY$2&amp;LS_previous!$D$3:$AY$3, 0)),SUM(VLOOKUP($A55, LS_previous!$B$4:$AY$137, LS_previous!P$148, FALSE), VLOOKUP('Staging Table'!$A55, LS_previous!$B$4:$AY$137,LS_previous!AN$148, FALSE))/2)</f>
        <v>149.20837455249989</v>
      </c>
      <c r="Y55" s="102">
        <f t="array" ref="Y55">IF($G55=0, INDEX(LS_previous!$D$4:$AY$137, MATCH('Staging Table'!$A55, LS_previous!$B$4:$B$137, 0), MATCH(Y$4&amp;Y$5, LS_previous!$D$2:$AY$2&amp;LS_previous!$D$3:$AY$3, 0)),SUM(VLOOKUP($A55, LS_previous!$B$4:$AY$137, LS_previous!Q$148, FALSE), VLOOKUP('Staging Table'!$A55, LS_previous!$B$4:$AY$137,LS_previous!AO$148, FALSE))/2)</f>
        <v>61.847963379250132</v>
      </c>
      <c r="Z55" s="102">
        <f t="array" ref="Z55">IF($G55=0, INDEX(LS_previous!$D$4:$AY$137, MATCH('Staging Table'!$A55, LS_previous!$B$4:$B$137, 0), MATCH(Z$4&amp;Z$5, LS_previous!$D$2:$AY$2&amp;LS_previous!$D$3:$AY$3, 0)),SUM(VLOOKUP($A55, LS_previous!$B$4:$AY$137, LS_previous!R$148, FALSE), VLOOKUP('Staging Table'!$A55, LS_previous!$B$4:$AY$137,LS_previous!AP$148, FALSE))/2)</f>
        <v>370.52624612799991</v>
      </c>
      <c r="AA55" s="102">
        <f t="array" ref="AA55">IF($G55=0, INDEX(LS_previous!$D$4:$AY$137, MATCH('Staging Table'!$A55, LS_previous!$B$4:$B$137, 0), MATCH(AA$4&amp;AA$5, LS_previous!$D$2:$AY$2&amp;LS_previous!$D$3:$AY$3, 0)),SUM(VLOOKUP($A55, LS_previous!$B$4:$AY$137, LS_previous!S$148, FALSE), VLOOKUP('Staging Table'!$A55, LS_previous!$B$4:$AY$137,LS_previous!AQ$148, FALSE))/2)</f>
        <v>301.91209734349991</v>
      </c>
      <c r="AB55" s="102">
        <f t="array" ref="AB55">IF($G55=0, INDEX(LS_previous!$D$4:$AY$137, MATCH('Staging Table'!$A55, LS_previous!$B$4:$B$137, 0), MATCH(AB$4&amp;AB$5, LS_previous!$D$2:$AY$2&amp;LS_previous!$D$3:$AY$3, 0)),SUM(VLOOKUP($A55, LS_previous!$B$4:$AY$137, LS_previous!T$148, FALSE), VLOOKUP('Staging Table'!$A55, LS_previous!$B$4:$AY$137,LS_previous!AR$148, FALSE))/2)</f>
        <v>873.00491678599997</v>
      </c>
      <c r="AC55" s="102">
        <f t="array" ref="AC55">IF($G55=0, INDEX(LS_previous!$D$4:$AY$137, MATCH('Staging Table'!$A55, LS_previous!$B$4:$B$137, 0), MATCH(AC$4&amp;AC$5, LS_previous!$D$2:$AY$2&amp;LS_previous!$D$3:$AY$3, 0)),SUM(VLOOKUP($A55, LS_previous!$B$4:$AY$137, LS_previous!U$148, FALSE), VLOOKUP('Staging Table'!$A55, LS_previous!$B$4:$AY$137,LS_previous!AS$148, FALSE))/2)</f>
        <v>528.05400379949981</v>
      </c>
      <c r="AD55" s="102">
        <f t="array" ref="AD55">IF($G55=0, INDEX(LS_previous!$D$4:$AY$137, MATCH('Staging Table'!$A55, LS_previous!$B$4:$B$137, 0), MATCH(AD$4&amp;AD$5, LS_previous!$D$2:$AY$2&amp;LS_previous!$D$3:$AY$3, 0)),SUM(VLOOKUP($A55, LS_previous!$B$4:$AY$137, LS_previous!V$148, FALSE), VLOOKUP('Staging Table'!$A55, LS_previous!$B$4:$AY$137,LS_previous!AT$148, FALSE))/2)</f>
        <v>1109.1646438039998</v>
      </c>
      <c r="AE55" s="102">
        <f t="array" ref="AE55">IF($G55=0, INDEX(LS_previous!$D$4:$AY$137, MATCH('Staging Table'!$A55, LS_previous!$B$4:$B$137, 0), MATCH(AE$4&amp;AE$5, LS_previous!$D$2:$AY$2&amp;LS_previous!$D$3:$AY$3, 0)),SUM(VLOOKUP($A55, LS_previous!$B$4:$AY$137, LS_previous!W$148, FALSE), VLOOKUP('Staging Table'!$A55, LS_previous!$B$4:$AY$137,LS_previous!AU$148, FALSE))/2)</f>
        <v>763.26589790249989</v>
      </c>
      <c r="AF55" s="102">
        <f t="array" ref="AF55">IF($G55=0, INDEX(LS_previous!$D$4:$AY$137, MATCH('Staging Table'!$A55, LS_previous!$B$4:$B$137, 0), MATCH(AF$4&amp;AF$5, LS_previous!$D$2:$AY$2&amp;LS_previous!$D$3:$AY$3, 0)),SUM(VLOOKUP($A55, LS_previous!$B$4:$AY$137, LS_previous!X$148, FALSE), VLOOKUP('Staging Table'!$A55, LS_previous!$B$4:$AY$137,LS_previous!AV$148, FALSE))/2)</f>
        <v>917.02312328649987</v>
      </c>
      <c r="AG55" s="102">
        <f t="array" ref="AG55">IF($G55=0, INDEX(LS_previous!$D$4:$AY$137, MATCH('Staging Table'!$A55, LS_previous!$B$4:$B$137, 0), MATCH(AG$4&amp;AG$5, LS_previous!$D$2:$AY$2&amp;LS_previous!$D$3:$AY$3, 0)),SUM(VLOOKUP($A55, LS_previous!$B$4:$AY$137, LS_previous!Y$148, FALSE), VLOOKUP('Staging Table'!$A55, LS_previous!$B$4:$AY$137,LS_previous!AW$148, FALSE))/2)</f>
        <v>590.65288693835009</v>
      </c>
      <c r="AH55" s="102">
        <f t="array" ref="AH55">IF($G55=0, INDEX(LS_previous!$D$4:$AY$137, MATCH('Staging Table'!$A55, LS_previous!$B$4:$B$137, 0), MATCH(AH$4&amp;AH$5, LS_previous!$D$2:$AY$2&amp;LS_previous!$D$3:$AY$3, 0)),SUM(VLOOKUP($A55, LS_previous!$B$4:$AY$137, LS_previous!Z$148, FALSE), VLOOKUP('Staging Table'!$A55, LS_previous!$B$4:$AY$137,LS_previous!AX$148, FALSE))/2)</f>
        <v>471.84801141399987</v>
      </c>
      <c r="AI55" s="102">
        <f t="array" ref="AI55">IF($G55=0, INDEX(LS_previous!$D$4:$AY$137, MATCH('Staging Table'!$A55, LS_previous!$B$4:$B$137, 0), MATCH(AI$4&amp;AI$5, LS_previous!$D$2:$AY$2&amp;LS_previous!$D$3:$AY$3, 0)),SUM(VLOOKUP($A55, LS_previous!$B$4:$AY$137, LS_previous!AA$148, FALSE), VLOOKUP('Staging Table'!$A55, LS_previous!$B$4:$AY$137,LS_previous!AY$148, FALSE))/2)</f>
        <v>254.90741854399994</v>
      </c>
      <c r="AJ55" s="103">
        <f t="array" ref="AJ55">INDEX(Demand_previous!$D$4:$AY$137, MATCH('Staging Table'!$A55, Demand_previous!$B$4:$B$137, 0), MATCH(AJ$4&amp;AJ$5,Demand_previous!$D$2:$AY$2&amp;Demand_previous!$D$3:$AY$3, 0))/1000</f>
        <v>0.83026442307692294</v>
      </c>
      <c r="AK55" s="103">
        <f t="array" ref="AK55">INDEX(Demand_previous!$D$4:$AY$137, MATCH('Staging Table'!$A55, Demand_previous!$B$4:$B$137, 0), MATCH(AK$4&amp;AK$5,Demand_previous!$D$2:$AY$2&amp;Demand_previous!$D$3:$AY$3, 0))/1000</f>
        <v>0.80864499999999973</v>
      </c>
      <c r="AL55" s="103">
        <f t="array" ref="AL55">INDEX(Demand_previous!$D$4:$AY$137, MATCH('Staging Table'!$A55, Demand_previous!$B$4:$B$137, 0), MATCH(AL$4&amp;AL$5,Demand_previous!$D$2:$AY$2&amp;Demand_previous!$D$3:$AY$3, 0))/1000</f>
        <v>1.0620625000000004</v>
      </c>
      <c r="AM55" s="103">
        <f t="array" ref="AM55">INDEX(Demand_previous!$D$4:$AY$137, MATCH('Staging Table'!$A55, Demand_previous!$B$4:$B$137, 0), MATCH(AM$4&amp;AM$5,Demand_previous!$D$2:$AY$2&amp;Demand_previous!$D$3:$AY$3, 0))/1000</f>
        <v>0.79464182692307639</v>
      </c>
      <c r="AN55" s="103">
        <f t="array" ref="AN55">INDEX(Demand_previous!$D$4:$AY$137, MATCH('Staging Table'!$A55, Demand_previous!$B$4:$B$137, 0), MATCH(AN$4&amp;AN$5,Demand_previous!$D$2:$AY$2&amp;Demand_previous!$D$3:$AY$3, 0))/1000</f>
        <v>0.8507849999999999</v>
      </c>
      <c r="AO55" s="103">
        <f t="array" ref="AO55">INDEX(Demand_previous!$D$4:$AY$137, MATCH('Staging Table'!$A55, Demand_previous!$B$4:$B$137, 0), MATCH(AO$4&amp;AO$5,Demand_previous!$D$2:$AY$2&amp;Demand_previous!$D$3:$AY$3, 0))/1000</f>
        <v>0.69141346153846128</v>
      </c>
      <c r="AP55" s="103">
        <f t="array" ref="AP55">INDEX(Demand_previous!$D$4:$AY$137, MATCH('Staging Table'!$A55, Demand_previous!$B$4:$B$137, 0), MATCH(AP$4&amp;AP$5,Demand_previous!$D$2:$AY$2&amp;Demand_previous!$D$3:$AY$3, 0))/1000</f>
        <v>0.83761298076923163</v>
      </c>
      <c r="AQ55" s="103">
        <f t="array" ref="AQ55">INDEX(Demand_previous!$D$4:$AY$137, MATCH('Staging Table'!$A55, Demand_previous!$B$4:$B$137, 0), MATCH(AQ$4&amp;AQ$5,Demand_previous!$D$2:$AY$2&amp;Demand_previous!$D$3:$AY$3, 0))/1000</f>
        <v>0.77133894230769173</v>
      </c>
      <c r="AR55" s="103">
        <f t="array" ref="AR55">INDEX(Demand_previous!$D$4:$AY$137, MATCH('Staging Table'!$A55, Demand_previous!$B$4:$B$137, 0), MATCH(AR$4&amp;AR$5,Demand_previous!$D$2:$AY$2&amp;Demand_previous!$D$3:$AY$3, 0))/1000</f>
        <v>0.80037999999999987</v>
      </c>
      <c r="AS55" s="103">
        <f t="array" ref="AS55">INDEX(Demand_previous!$D$4:$AY$137, MATCH('Staging Table'!$A55, Demand_previous!$B$4:$B$137, 0), MATCH(AS$4&amp;AS$5,Demand_previous!$D$2:$AY$2&amp;Demand_previous!$D$3:$AY$3, 0))/1000</f>
        <v>1.4367692307692312</v>
      </c>
      <c r="AT55" s="103">
        <f t="array" ref="AT55">INDEX(Demand_previous!$D$4:$AY$137, MATCH('Staging Table'!$A55, Demand_previous!$B$4:$B$137, 0), MATCH(AT$4&amp;AT$5,Demand_previous!$D$2:$AY$2&amp;Demand_previous!$D$3:$AY$3, 0))/1000</f>
        <v>1.2104027777777786</v>
      </c>
      <c r="AU55" s="103">
        <f t="array" ref="AU55">INDEX(Demand_previous!$D$4:$AY$137, MATCH('Staging Table'!$A55, Demand_previous!$B$4:$B$137, 0), MATCH(AU$4&amp;AU$5,Demand_previous!$D$2:$AY$2&amp;Demand_previous!$D$3:$AY$3, 0))/1000</f>
        <v>0.64524218749999984</v>
      </c>
      <c r="AV55" s="102">
        <f>$F55*(VLOOKUP(AV$4, Rates_previous!$G$6:$Q$29, 10, FALSE)+VLOOKUP(AV$4, Rates_previous!$G$6:$Q$29, 11, FALSE))</f>
        <v>1641.1146632235002</v>
      </c>
      <c r="AW55" s="102">
        <f>$F55*(VLOOKUP(AW$4, Rates_previous!$G$6:$Q$29, 10, FALSE)+VLOOKUP(AW$4, Rates_previous!$G$6:$Q$29, 11, FALSE))</f>
        <v>2092.9623580510006</v>
      </c>
      <c r="AX55" s="102">
        <f>$F55*(VLOOKUP(AX$4, Rates_previous!$G$6:$Q$29, 10, FALSE)+VLOOKUP(AX$4, Rates_previous!$G$6:$Q$29, 11, FALSE))</f>
        <v>2258.7205002150004</v>
      </c>
      <c r="AY55" s="102">
        <f>$F55*(VLOOKUP(AY$4, Rates_previous!$G$6:$Q$29, 10, FALSE)+VLOOKUP(AY$4, Rates_previous!$G$6:$Q$29, 11, FALSE))</f>
        <v>2347.1597704159999</v>
      </c>
      <c r="AZ55" s="102">
        <f>$F55*(VLOOKUP(AZ$4, Rates_previous!$G$6:$Q$29, 10, FALSE)+VLOOKUP(AZ$4, Rates_previous!$G$6:$Q$29, 11, FALSE))</f>
        <v>2018.870258982</v>
      </c>
      <c r="BA55" s="102">
        <f>$F55*(VLOOKUP(BA$4, Rates_previous!$G$6:$Q$29, 10, FALSE)+VLOOKUP(BA$4, Rates_previous!$G$6:$Q$29, 11, FALSE))</f>
        <v>2204.2066065990002</v>
      </c>
      <c r="BB55" s="102">
        <f>$F55*(VLOOKUP(BB$4, Rates_previous!$G$6:$Q$29, 10, FALSE)+VLOOKUP(BB$4, Rates_previous!$G$6:$Q$29, 11, FALSE))</f>
        <v>1739.8496620682499</v>
      </c>
      <c r="BC55" s="102">
        <f>$F55*(VLOOKUP(BC$4, Rates_previous!$G$6:$Q$29, 10, FALSE)+VLOOKUP(BC$4, Rates_previous!$G$6:$Q$29, 11, FALSE))</f>
        <v>2158.5166565285003</v>
      </c>
      <c r="BD55" s="102">
        <f>$F55*(VLOOKUP(BD$4, Rates_previous!$G$6:$Q$29, 10, FALSE)+VLOOKUP(BD$4, Rates_previous!$G$6:$Q$29, 11, FALSE))</f>
        <v>2205.3510794145</v>
      </c>
      <c r="BE55" s="102">
        <f>$F55*(VLOOKUP(BE$4, Rates_previous!$G$6:$Q$29, 10, FALSE)+VLOOKUP(BE$4, Rates_previous!$G$6:$Q$29, 11, FALSE))</f>
        <v>1914.5624582935002</v>
      </c>
      <c r="BF55" s="102">
        <f>$F55*(VLOOKUP(BF$4, Rates_previous!$G$6:$Q$29, 10, FALSE)+VLOOKUP(BF$4, Rates_previous!$G$6:$Q$29, 11, FALSE))</f>
        <v>1850.8729897751502</v>
      </c>
      <c r="BG55" s="102">
        <f>$F55*(VLOOKUP(BG$4, Rates_previous!$G$6:$Q$29, 10, FALSE)+VLOOKUP(BG$4, Rates_previous!$G$6:$Q$29, 11, FALSE))</f>
        <v>1703.1615700420002</v>
      </c>
      <c r="BH55" s="103">
        <f>IF($D55=0,IF(C55=0, MAX(BJ55 - (VLOOKUP($A55,TOCA_previous!$A$2:$AJ$136,MATCH("RHWM "&amp;Init!$D$1-2,TOCA_previous!$A$2:$AJ$2,0),FALSE)*$F$2*TOCA_previous!C52),0),0), 0)</f>
        <v>7500.5391106316019</v>
      </c>
      <c r="BI55" s="109">
        <f>MIN(VLOOKUP($A55,TOCA_previous!$A$2:$AJ$136,MATCH("TRL - NLSL - Existing Resource "&amp;$F$1,TOCA_previous!$A$2:$AJ$2,0),FALSE)*$F$2,(VLOOKUP($A55,TOCA_previous!$A$2:$AJ$136,MATCH("RHWM "&amp;Init!$D$1-2,TOCA_previous!$A$2:$AJ$2,0),FALSE)*$F$2))</f>
        <v>23602.608</v>
      </c>
      <c r="BJ55" s="261">
        <f>SUM(L55:AI55)+(F55*RT1SC!$C$3*$F$2)</f>
        <v>31103.147110631602</v>
      </c>
      <c r="BK55" s="260">
        <f>VLOOKUP($A55,TOCA_previous!$A$2:$AJ$136,MATCH("Above RHWM Not Served with LS "&amp;$F$1,TOCA_previous!$A$2:$AJ$2,0),FALSE)*$F$2</f>
        <v>0</v>
      </c>
      <c r="BL55" s="261">
        <f t="shared" si="21"/>
        <v>7500.5391106316019</v>
      </c>
      <c r="BM55" s="260">
        <f>(VLOOKUP($A55,TOCA_previous!$A$2:$AJ$136,MATCH("RHWM "&amp;Init!$D$1-2,TOCA_previous!$A$2:$AJ$2,0),FALSE)*$F$2) - $BI55</f>
        <v>0</v>
      </c>
      <c r="BN55" s="261">
        <f t="shared" si="22"/>
        <v>0</v>
      </c>
      <c r="BO55" s="260">
        <f t="shared" si="23"/>
        <v>0</v>
      </c>
      <c r="BP55" s="261">
        <f t="shared" si="24"/>
        <v>0</v>
      </c>
      <c r="BQ55" s="260">
        <f t="shared" si="9"/>
        <v>0</v>
      </c>
      <c r="BR55" s="85">
        <f>VLOOKUP($A55,TOCA_current!$A$2:$ZZ$136,MATCH(BR$4,TOCA_current!$A$2:$ZZ$2,0),FALSE)</f>
        <v>3.8010000000000002E-4</v>
      </c>
      <c r="BS55" s="85">
        <f>VLOOKUP($A55,TOCA_current!$A$2:$ZZ$136,MATCH(BS$4,TOCA_current!$A$2:$ZZ$2,0),FALSE)</f>
        <v>3.8010000000000002E-4</v>
      </c>
      <c r="BT55" s="108">
        <f t="shared" si="25"/>
        <v>0</v>
      </c>
      <c r="BU55" s="85">
        <f>VLOOKUP($A55,TOCA_current!A52:BG186,MATCH(BU$4,TOCA_current!$A$2:$BG$2,0),FALSE)</f>
        <v>3.2855292376017767E-2</v>
      </c>
      <c r="BV55" s="85">
        <f t="shared" si="26"/>
        <v>0</v>
      </c>
      <c r="BW55" s="85">
        <f t="shared" si="27"/>
        <v>0</v>
      </c>
      <c r="BX55" s="101">
        <f>VLOOKUP($A55,IRD!$A$4:$G$138, 7, FALSE)</f>
        <v>5769.4840000000004</v>
      </c>
      <c r="BY55" s="102">
        <f t="array" ref="BY55">IF($BT55=0, INDEX(LS_current!$D$4:$BW$137, MATCH('Staging Table'!$A55, LS_current!$B$4:$B$137, 0), MATCH(BY$4&amp;BY$5, LS_current!$D$2:$BW$2&amp;LS_current!$D$3:$BW$3, 0)),SUM(VLOOKUP($A55, LS_current!$B$4:$BW$137, LS_current!D$147, FALSE), VLOOKUP($A55, LS_current!$B$4:$BW$137,LS_current!AZ$147, FALSE))/2)</f>
        <v>233.73515726369055</v>
      </c>
      <c r="BZ55" s="102">
        <f t="array" ref="BZ55">IF($BT55=0, INDEX(LS_current!$D$4:$BW$137, MATCH('Staging Table'!$A55, LS_current!$B$4:$B$137, 0), MATCH(BZ$4&amp;BZ$5, LS_current!$D$2:$BW$2&amp;LS_current!$D$3:$BW$3, 0)),SUM(VLOOKUP($A55, LS_current!$B$4:$BW$137, LS_current!E$147, FALSE), VLOOKUP($A55, LS_current!$B$4:$BW$137,LS_current!BA$147, FALSE))/2)</f>
        <v>162.82452267802717</v>
      </c>
      <c r="CA55" s="102">
        <f t="array" ref="CA55">IF($BT55=0, INDEX(LS_current!$D$4:$BW$137, MATCH('Staging Table'!$A55, LS_current!$B$4:$B$137, 0), MATCH(CA$4&amp;CA$5, LS_current!$D$2:$BW$2&amp;LS_current!$D$3:$BW$3, 0)),SUM(VLOOKUP($A55, LS_current!$B$4:$BW$137, LS_current!F$147, FALSE), VLOOKUP($A55, LS_current!$B$4:$BW$137,LS_current!BB$147, FALSE))/2)</f>
        <v>-111.90625781547033</v>
      </c>
      <c r="CB55" s="102">
        <f t="array" ref="CB55">IF($BT55=0, INDEX(LS_current!$D$4:$BW$137, MATCH('Staging Table'!$A55, LS_current!$B$4:$B$137, 0), MATCH(CB$4&amp;CB$5, LS_current!$D$2:$BW$2&amp;LS_current!$D$3:$BW$3, 0)),SUM(VLOOKUP($A55, LS_current!$B$4:$BW$137, LS_current!G$147, FALSE), VLOOKUP($A55, LS_current!$B$4:$BW$137,LS_current!BC$147, FALSE))/2)</f>
        <v>90.23233422757005</v>
      </c>
      <c r="CC55" s="102">
        <f t="array" ref="CC55">IF($BT55=0, INDEX(LS_current!$D$4:$BW$137, MATCH('Staging Table'!$A55, LS_current!$B$4:$B$137, 0), MATCH(CC$4&amp;CC$5, LS_current!$D$2:$BW$2&amp;LS_current!$D$3:$BW$3, 0)),SUM(VLOOKUP($A55, LS_current!$B$4:$BW$137, LS_current!H$147, FALSE), VLOOKUP($A55, LS_current!$B$4:$BW$137,LS_current!BD$147, FALSE))/2)</f>
        <v>38.566869978327531</v>
      </c>
      <c r="CD55" s="102">
        <f t="array" ref="CD55">IF($BT55=0, INDEX(LS_current!$D$4:$BW$137, MATCH('Staging Table'!$A55, LS_current!$B$4:$B$137, 0), MATCH(CD$4&amp;CD$5, LS_current!$D$2:$BW$2&amp;LS_current!$D$3:$BW$3, 0)),SUM(VLOOKUP($A55, LS_current!$B$4:$BW$137, LS_current!I$147, FALSE), VLOOKUP($A55, LS_current!$B$4:$BW$137,LS_current!BE$147, FALSE))/2)</f>
        <v>265.14451599090955</v>
      </c>
      <c r="CE55" s="102">
        <f t="array" ref="CE55">IF($BT55=0, INDEX(LS_current!$D$4:$BW$137, MATCH('Staging Table'!$A55, LS_current!$B$4:$B$137, 0), MATCH(CE$4&amp;CE$5, LS_current!$D$2:$BW$2&amp;LS_current!$D$3:$BW$3, 0)),SUM(VLOOKUP($A55, LS_current!$B$4:$BW$137, LS_current!J$147, FALSE), VLOOKUP($A55, LS_current!$B$4:$BW$137,LS_current!BF$147, FALSE))/2)</f>
        <v>-41.676904707854419</v>
      </c>
      <c r="CF55" s="102">
        <f t="array" ref="CF55">IF($BT55=0, INDEX(LS_current!$D$4:$BW$137, MATCH('Staging Table'!$A55, LS_current!$B$4:$B$137, 0), MATCH(CF$4&amp;CF$5, LS_current!$D$2:$BW$2&amp;LS_current!$D$3:$BW$3, 0)),SUM(VLOOKUP($A55, LS_current!$B$4:$BW$137, LS_current!K$147, FALSE), VLOOKUP($A55, LS_current!$B$4:$BW$137,LS_current!BG$147, FALSE))/2)</f>
        <v>198.42718697051703</v>
      </c>
      <c r="CG55" s="102">
        <f t="array" ref="CG55">IF($BT55=0, INDEX(LS_current!$D$4:$BW$137, MATCH('Staging Table'!$A55, LS_current!$B$4:$B$137, 0), MATCH(CG$4&amp;CG$5, LS_current!$D$2:$BW$2&amp;LS_current!$D$3:$BW$3, 0)),SUM(VLOOKUP($A55, LS_current!$B$4:$BW$137, LS_current!L$147, FALSE), VLOOKUP($A55, LS_current!$B$4:$BW$137,LS_current!BH$147, FALSE))/2)</f>
        <v>-7.5402910077523302</v>
      </c>
      <c r="CH55" s="102">
        <f t="array" ref="CH55">IF($BT55=0, INDEX(LS_current!$D$4:$BW$137, MATCH('Staging Table'!$A55, LS_current!$B$4:$B$137, 0), MATCH(CH$4&amp;CH$5, LS_current!$D$2:$BW$2&amp;LS_current!$D$3:$BW$3, 0)),SUM(VLOOKUP($A55, LS_current!$B$4:$BW$137, LS_current!M$147, FALSE), VLOOKUP($A55, LS_current!$B$4:$BW$137,LS_current!BI$147, FALSE))/2)</f>
        <v>142.19437761113636</v>
      </c>
      <c r="CI55" s="102">
        <f t="array" ref="CI55">IF($BT55=0, INDEX(LS_current!$D$4:$BW$137, MATCH('Staging Table'!$A55, LS_current!$B$4:$B$137, 0), MATCH(CI$4&amp;CI$5, LS_current!$D$2:$BW$2&amp;LS_current!$D$3:$BW$3, 0)),SUM(VLOOKUP($A55, LS_current!$B$4:$BW$137, LS_current!N$147, FALSE), VLOOKUP($A55, LS_current!$B$4:$BW$137,LS_current!BJ$147, FALSE))/2)</f>
        <v>-242.70053257119525</v>
      </c>
      <c r="CJ55" s="102">
        <f t="array" ref="CJ55">IF($BT55=0, INDEX(LS_current!$D$4:$BW$137, MATCH('Staging Table'!$A55, LS_current!$B$4:$B$137, 0), MATCH(CJ$4&amp;CJ$5, LS_current!$D$2:$BW$2&amp;LS_current!$D$3:$BW$3, 0)),SUM(VLOOKUP($A55, LS_current!$B$4:$BW$137, LS_current!O$147, FALSE), VLOOKUP($A55, LS_current!$B$4:$BW$137,LS_current!BK$147, FALSE))/2)</f>
        <v>70.070623821667596</v>
      </c>
      <c r="CK55" s="102">
        <f t="array" ref="CK55">IF($BT55=0, INDEX(LS_current!$D$4:$BW$137, MATCH('Staging Table'!$A55, LS_current!$B$4:$B$137, 0), MATCH(CK$4&amp;CK$5, LS_current!$D$2:$BW$2&amp;LS_current!$D$3:$BW$3, 0)),SUM(VLOOKUP($A55, LS_current!$B$4:$BW$137, LS_current!P$147, FALSE), VLOOKUP($A55, LS_current!$B$4:$BW$137,LS_current!BL$147, FALSE))/2)</f>
        <v>202.51307022852245</v>
      </c>
      <c r="CL55" s="102">
        <f t="array" ref="CL55">IF($BT55=0, INDEX(LS_current!$D$4:$BW$137, MATCH('Staging Table'!$A55, LS_current!$B$4:$B$137, 0), MATCH(CL$4&amp;CL$5, LS_current!$D$2:$BW$2&amp;LS_current!$D$3:$BW$3, 0)),SUM(VLOOKUP($A55, LS_current!$B$4:$BW$137, LS_current!Q$147, FALSE), VLOOKUP($A55, LS_current!$B$4:$BW$137,LS_current!BM$147, FALSE))/2)</f>
        <v>114.97637492085801</v>
      </c>
      <c r="CM55" s="102">
        <f t="array" ref="CM55">IF($BT55=0, INDEX(LS_current!$D$4:$BW$137, MATCH('Staging Table'!$A55, LS_current!$B$4:$B$137, 0), MATCH(CM$4&amp;CM$5, LS_current!$D$2:$BW$2&amp;LS_current!$D$3:$BW$3, 0)),SUM(VLOOKUP($A55, LS_current!$B$4:$BW$137, LS_current!R$147, FALSE), VLOOKUP($A55, LS_current!$B$4:$BW$137,LS_current!BN$147, FALSE))/2)</f>
        <v>402.13009180147287</v>
      </c>
      <c r="CN55" s="102">
        <f t="array" ref="CN55">IF($BT55=0, INDEX(LS_current!$D$4:$BW$137, MATCH('Staging Table'!$A55, LS_current!$B$4:$B$137, 0), MATCH(CN$4&amp;CN$5, LS_current!$D$2:$BW$2&amp;LS_current!$D$3:$BW$3, 0)),SUM(VLOOKUP($A55, LS_current!$B$4:$BW$137, LS_current!S$147, FALSE), VLOOKUP($A55, LS_current!$B$4:$BW$137,LS_current!BO$147, FALSE))/2)</f>
        <v>314.9149403480161</v>
      </c>
      <c r="CO55" s="102">
        <f t="array" ref="CO55">IF($BT55=0, INDEX(LS_current!$D$4:$BW$137, MATCH('Staging Table'!$A55, LS_current!$B$4:$B$137, 0), MATCH(CO$4&amp;CO$5, LS_current!$D$2:$BW$2&amp;LS_current!$D$3:$BW$3, 0)),SUM(VLOOKUP($A55, LS_current!$B$4:$BW$137, LS_current!T$147, FALSE), VLOOKUP($A55, LS_current!$B$4:$BW$137,LS_current!BP$147, FALSE))/2)</f>
        <v>850.70223267874371</v>
      </c>
      <c r="CP55" s="102">
        <f t="array" ref="CP55">IF($BT55=0, INDEX(LS_current!$D$4:$BW$137, MATCH('Staging Table'!$A55, LS_current!$B$4:$B$137, 0), MATCH(CP$4&amp;CP$5, LS_current!$D$2:$BW$2&amp;LS_current!$D$3:$BW$3, 0)),SUM(VLOOKUP($A55, LS_current!$B$4:$BW$137, LS_current!U$147, FALSE), VLOOKUP($A55, LS_current!$B$4:$BW$137,LS_current!BQ$147, FALSE))/2)</f>
        <v>596.65966806687516</v>
      </c>
      <c r="CQ55" s="102">
        <f t="array" ref="CQ55">IF($BT55=0, INDEX(LS_current!$D$4:$BW$137, MATCH('Staging Table'!$A55, LS_current!$B$4:$B$137, 0), MATCH(CQ$4&amp;CQ$5, LS_current!$D$2:$BW$2&amp;LS_current!$D$3:$BW$3, 0)),SUM(VLOOKUP($A55, LS_current!$B$4:$BW$137, LS_current!V$147, FALSE), VLOOKUP($A55, LS_current!$B$4:$BW$137,LS_current!BR$147, FALSE))/2)</f>
        <v>1084.5235519731989</v>
      </c>
      <c r="CR55" s="102">
        <f t="array" ref="CR55">IF($BT55=0, INDEX(LS_current!$D$4:$BW$137, MATCH('Staging Table'!$A55, LS_current!$B$4:$B$137, 0), MATCH(CR$4&amp;CR$5, LS_current!$D$2:$BW$2&amp;LS_current!$D$3:$BW$3, 0)),SUM(VLOOKUP($A55, LS_current!$B$4:$BW$137, LS_current!W$147, FALSE), VLOOKUP($A55, LS_current!$B$4:$BW$137,LS_current!BS$147, FALSE))/2)</f>
        <v>780.72991499312468</v>
      </c>
      <c r="CS55" s="102">
        <f t="array" ref="CS55">IF($BT55=0, INDEX(LS_current!$D$4:$BW$137, MATCH('Staging Table'!$A55, LS_current!$B$4:$B$137, 0), MATCH(CS$4&amp;CS$5, LS_current!$D$2:$BW$2&amp;LS_current!$D$3:$BW$3, 0)),SUM(VLOOKUP($A55, LS_current!$B$4:$BW$137, LS_current!X$147, FALSE), VLOOKUP($A55, LS_current!$B$4:$BW$137,LS_current!BT$147, FALSE))/2)</f>
        <v>780.75591098304972</v>
      </c>
      <c r="CT55" s="102">
        <f t="array" ref="CT55">IF($BT55=0, INDEX(LS_current!$D$4:$BW$137, MATCH('Staging Table'!$A55, LS_current!$B$4:$B$137, 0), MATCH(CT$4&amp;CT$5, LS_current!$D$2:$BW$2&amp;LS_current!$D$3:$BW$3, 0)),SUM(VLOOKUP($A55, LS_current!$B$4:$BW$137, LS_current!Y$147, FALSE), VLOOKUP($A55, LS_current!$B$4:$BW$137,LS_current!BU$147, FALSE))/2)</f>
        <v>606.44076361804684</v>
      </c>
      <c r="CU55" s="102">
        <f t="array" ref="CU55">IF($BT55=0, INDEX(LS_current!$D$4:$BW$137, MATCH('Staging Table'!$A55, LS_current!$B$4:$B$137, 0), MATCH(CU$4&amp;CU$5, LS_current!$D$2:$BW$2&amp;LS_current!$D$3:$BW$3, 0)),SUM(VLOOKUP($A55, LS_current!$B$4:$BW$137, LS_current!Z$147, FALSE), VLOOKUP($A55, LS_current!$B$4:$BW$137,LS_current!BV$147, FALSE))/2)</f>
        <v>536.13138871212391</v>
      </c>
      <c r="CV55" s="102">
        <f t="array" ref="CV55">IF($BT55=0, INDEX(LS_current!$D$4:$BW$137, MATCH('Staging Table'!$A55, LS_current!$B$4:$B$137, 0), MATCH(CV$4&amp;CV$5, LS_current!$D$2:$BW$2&amp;LS_current!$D$3:$BW$3, 0)),SUM(VLOOKUP($A55, LS_current!$B$4:$BW$137, LS_current!AA$147, FALSE), VLOOKUP($A55, LS_current!$B$4:$BW$137,LS_current!BW$147, FALSE))/2)</f>
        <v>362.79422146692912</v>
      </c>
      <c r="CW55" s="103">
        <f t="array" ref="CW55">INDEX(Demand_current!$D$4:$BW$137, MATCH($A55, Demand_current!$B$4:$B$137, 0), MATCH(CW$4&amp;CW$5,Demand_current!$D$2:$BW$2&amp;Demand_current!$D$3:$BW$3, 0))/1000</f>
        <v>0.93858796296296287</v>
      </c>
      <c r="CX55" s="103">
        <f t="array" ref="CX55">INDEX(Demand_current!$D$4:$BW$137, MATCH($A55, Demand_current!$B$4:$B$137, 0), MATCH(CX$4&amp;CX$5,Demand_current!$D$2:$BW$2&amp;Demand_current!$D$3:$BW$3, 0))/1000</f>
        <v>0.69338020833333303</v>
      </c>
      <c r="CY55" s="103">
        <f t="array" ref="CY55">INDEX(Demand_current!$D$4:$BW$137, MATCH($A55, Demand_current!$B$4:$B$137, 0), MATCH(CY$4&amp;CY$5,Demand_current!$D$2:$BW$2&amp;Demand_current!$D$3:$BW$3, 0))/1000</f>
        <v>1.2070985576923079</v>
      </c>
      <c r="CZ55" s="103">
        <f t="array" ref="CZ55">INDEX(Demand_current!$D$4:$BW$137, MATCH($A55, Demand_current!$B$4:$B$137, 0), MATCH(CZ$4&amp;CZ$5,Demand_current!$D$2:$BW$2&amp;Demand_current!$D$3:$BW$3, 0))/1000</f>
        <v>0.79464182692307639</v>
      </c>
      <c r="DA55" s="103">
        <f t="array" ref="DA55">INDEX(Demand_current!$D$4:$BW$137, MATCH($A55, Demand_current!$B$4:$B$137, 0), MATCH(DA$4&amp;DA$5,Demand_current!$D$2:$BW$2&amp;Demand_current!$D$3:$BW$3, 0))/1000</f>
        <v>0.72377604166666676</v>
      </c>
      <c r="DB55" s="103">
        <f t="array" ref="DB55">INDEX(Demand_current!$D$4:$BW$137, MATCH($A55, Demand_current!$B$4:$B$137, 0), MATCH(DB$4&amp;DB$5,Demand_current!$D$2:$BW$2&amp;Demand_current!$D$3:$BW$3, 0))/1000</f>
        <v>0.69141346153846128</v>
      </c>
      <c r="DC55" s="103">
        <f t="array" ref="DC55">INDEX(Demand_current!$D$4:$BW$137, MATCH($A55, Demand_current!$B$4:$B$137, 0), MATCH(DC$4&amp;DC$5,Demand_current!$D$2:$BW$2&amp;Demand_current!$D$3:$BW$3, 0))/1000</f>
        <v>0.83761298076923163</v>
      </c>
      <c r="DD55" s="103">
        <f t="array" ref="DD55">INDEX(Demand_current!$D$4:$BW$137, MATCH($A55, Demand_current!$B$4:$B$137, 0), MATCH(DD$4&amp;DD$5,Demand_current!$D$2:$BW$2&amp;Demand_current!$D$3:$BW$3, 0))/1000</f>
        <v>0.60959249999999998</v>
      </c>
      <c r="DE55" s="103">
        <f t="array" ref="DE55">INDEX(Demand_current!$D$4:$BW$137, MATCH($A55, Demand_current!$B$4:$B$137, 0), MATCH(DE$4&amp;DE$5,Demand_current!$D$2:$BW$2&amp;Demand_current!$D$3:$BW$3, 0))/1000</f>
        <v>1.017480769230769</v>
      </c>
      <c r="DF55" s="103">
        <f t="array" ref="DF55">INDEX(Demand_current!$D$4:$BW$137, MATCH($A55, Demand_current!$B$4:$B$137, 0), MATCH(DF$4&amp;DF$5,Demand_current!$D$2:$BW$2&amp;Demand_current!$D$3:$BW$3, 0))/1000</f>
        <v>1.4367692307692312</v>
      </c>
      <c r="DG55" s="103">
        <f t="array" ref="DG55">INDEX(Demand_current!$D$4:$BW$137, MATCH($A55, Demand_current!$B$4:$B$137, 0), MATCH(DG$4&amp;DG$5,Demand_current!$D$2:$BW$2&amp;Demand_current!$D$3:$BW$3, 0))/1000</f>
        <v>1.0242259615384619</v>
      </c>
      <c r="DH55" s="103">
        <f t="array" ref="DH55">INDEX(Demand_current!$D$4:$BW$137, MATCH($A55, Demand_current!$B$4:$B$137, 0), MATCH(DH$4&amp;DH$5,Demand_current!$D$2:$BW$2&amp;Demand_current!$D$3:$BW$3, 0))/1000</f>
        <v>0.80035250000000002</v>
      </c>
      <c r="DI55" s="102">
        <f>$BS55*(VLOOKUP(DI$4, Rates_current!$H$6:$R$41, 10, FALSE)+VLOOKUP(DI$4, Rates_current!$H$6:$R$41, 11, FALSE))</f>
        <v>1577.5243200582825</v>
      </c>
      <c r="DJ55" s="102">
        <f>$BS55*(VLOOKUP(DJ$4, Rates_current!$H$6:$R$41, 10, FALSE)+VLOOKUP(DJ$4, Rates_current!$H$6:$R$41, 11, FALSE))</f>
        <v>2016.8129235879005</v>
      </c>
      <c r="DK55" s="102">
        <f>$BS55*(VLOOKUP(DK$4, Rates_current!$H$6:$R$41, 10, FALSE)+VLOOKUP(DK$4, Rates_current!$H$6:$R$41, 11, FALSE))</f>
        <v>2292.9476140307629</v>
      </c>
      <c r="DL55" s="102">
        <f>$BS55*(VLOOKUP(DL$4, Rates_current!$H$6:$R$41, 10, FALSE)+VLOOKUP(DL$4, Rates_current!$H$6:$R$41, 11, FALSE))</f>
        <v>2419.2387177373371</v>
      </c>
      <c r="DM55" s="102">
        <f>$BS55*(VLOOKUP(DM$4, Rates_current!$H$6:$R$41, 10, FALSE)+VLOOKUP(DM$4, Rates_current!$H$6:$R$41, 11, FALSE))</f>
        <v>1927.9149133966164</v>
      </c>
      <c r="DN55" s="102">
        <f>$BS55*(VLOOKUP(DN$4, Rates_current!$H$6:$R$41, 10, FALSE)+VLOOKUP(DN$4, Rates_current!$H$6:$R$41, 11, FALSE))</f>
        <v>2107.6069087495275</v>
      </c>
      <c r="DO55" s="102">
        <f>$BS55*(VLOOKUP(DO$4, Rates_current!$H$6:$R$41, 10, FALSE)+VLOOKUP(DO$4, Rates_current!$H$6:$R$41, 11, FALSE))</f>
        <v>1633.4165548506196</v>
      </c>
      <c r="DP55" s="102">
        <f>$BS55*(VLOOKUP(DP$4, Rates_current!$H$6:$R$41, 10, FALSE)+VLOOKUP(DP$4, Rates_current!$H$6:$R$41, 11, FALSE))</f>
        <v>2113.9099678505108</v>
      </c>
      <c r="DQ55" s="102">
        <f>$BS55*(VLOOKUP(DQ$4, Rates_current!$H$6:$R$41, 10, FALSE)+VLOOKUP(DQ$4, Rates_current!$H$6:$R$41, 11, FALSE))</f>
        <v>2159.0480992543812</v>
      </c>
      <c r="DR55" s="102">
        <f>$BS55*(VLOOKUP(DR$4, Rates_current!$H$6:$R$41, 10, FALSE)+VLOOKUP(DR$4, Rates_current!$H$6:$R$41, 11, FALSE))</f>
        <v>1921.739533033676</v>
      </c>
      <c r="DS55" s="102">
        <f>$BS55*(VLOOKUP(DS$4, Rates_current!$H$6:$R$41, 10, FALSE)+VLOOKUP(DS$4, Rates_current!$H$6:$R$41, 11, FALSE))</f>
        <v>1971.3523253989035</v>
      </c>
      <c r="DT55" s="102">
        <f>$BS55*(VLOOKUP(DT$4, Rates_current!$H$6:$R$41, 10, FALSE)+VLOOKUP(DT$4, Rates_current!$H$6:$R$41, 11, FALSE))</f>
        <v>1530.991389820947</v>
      </c>
      <c r="DU55" s="261">
        <f>IF(D55=0,IF(C55=0,MAX(0,DW55 - (VLOOKUP($A55,TOCA_current!$A$2:$AV$136,MATCH("RHWM "&amp;Init!$D$1,TOCA_current!$A$2:$AV$2,0),FALSE)*$BS$2)), 0),0)</f>
        <v>7433.6283973825412</v>
      </c>
      <c r="DV55" s="262">
        <f>MIN(VLOOKUP($A55,TOCA_current!$A$2:$AV$136,MATCH("TRL - NLSL - Existing Resource "&amp;$BS$1,TOCA_current!$A$2:$AV$2,0),FALSE)*$BS$2, VLOOKUP($A55,TOCA_current!$A$2:$AV$136,MATCH("RHWM "&amp;Init!$D$1,TOCA_current!$A$2:$AV$2,0),FALSE)*$BS$2)</f>
        <v>23669.52</v>
      </c>
      <c r="DW55" s="262">
        <f>SUM(BY55:CV55)+(BS55*RT1SC!$C$4*$BS$2)</f>
        <v>31103.148397382542</v>
      </c>
      <c r="DX55" s="262">
        <f>VLOOKUP($A55,TOCA_current!$A$2:$AV$136,MATCH("Above RHWM Not Served with LS "&amp;$BS$1,TOCA_current!$A$2:$AV$2,0),FALSE)*$BS$2</f>
        <v>0</v>
      </c>
      <c r="DY55" s="262">
        <f t="shared" si="28"/>
        <v>7433.6283973825412</v>
      </c>
      <c r="DZ55" s="262">
        <f>(VLOOKUP($A55,TOCA_current!$A$2:$AV$136,MATCH("RHWM "&amp;Init!$D$1,TOCA_current!$A$2:$AV$2,0),FALSE)*$BS$2) - $DV55</f>
        <v>0</v>
      </c>
      <c r="EA55" s="262">
        <f t="shared" si="29"/>
        <v>0</v>
      </c>
      <c r="EB55" s="262">
        <f t="shared" si="30"/>
        <v>0</v>
      </c>
      <c r="EC55" s="262">
        <f t="shared" si="31"/>
        <v>0</v>
      </c>
      <c r="ED55" s="262">
        <f t="shared" si="32"/>
        <v>0</v>
      </c>
    </row>
    <row r="56" spans="1:134">
      <c r="A56" s="2">
        <v>10144</v>
      </c>
      <c r="B56" s="3" t="s">
        <v>58</v>
      </c>
      <c r="C56">
        <f>VLOOKUP(A56, TOCA_current!$A$3:$D$136, 4, FALSE)</f>
        <v>0</v>
      </c>
      <c r="D56">
        <v>0</v>
      </c>
      <c r="E56" s="84">
        <f>VLOOKUP($A56,TOCA_previous!$A$2:$AJ$136,MATCH(E$4,TOCA_previous!$A$2:$AJ$2,0),FALSE)</f>
        <v>4.7150000000000002E-4</v>
      </c>
      <c r="F56" s="85">
        <f>VLOOKUP($A56,TOCA_previous!$A$2:$AJ$136,MATCH(F$4,TOCA_previous!$A$2:$AJ$2,0),FALSE)</f>
        <v>4.7150000000000002E-4</v>
      </c>
      <c r="G56" s="85">
        <f t="shared" si="18"/>
        <v>0</v>
      </c>
      <c r="H56" s="85">
        <f>VLOOKUP($A56,TOCA_previous!$A$2:$AJ$136,MATCH(H$4,TOCA_previous!$A$2:$AJ$2,0),FALSE)</f>
        <v>0</v>
      </c>
      <c r="I56" s="85">
        <f t="shared" si="19"/>
        <v>0</v>
      </c>
      <c r="J56" s="85">
        <f t="shared" si="20"/>
        <v>0</v>
      </c>
      <c r="K56" s="101">
        <f>VLOOKUP(A56, IRD!$A$5:$C$138, 3, FALSE)</f>
        <v>0</v>
      </c>
      <c r="L56" s="102">
        <f t="array" ref="L56">IF($G56=0, INDEX(LS_previous!$D$4:$AY$137, MATCH('Staging Table'!$A56, LS_previous!$B$4:$B$137, 0), MATCH(L$4&amp;L$5, LS_previous!$D$2:$AY$2&amp;LS_previous!$D$3:$AY$3, 0)),SUM(VLOOKUP($A56, LS_previous!$B$4:$AY$137, LS_previous!D$148, FALSE), VLOOKUP('Staging Table'!$A56, LS_previous!$B$4:$AY$137,LS_previous!AB$148, FALSE))/2)</f>
        <v>291.98363702599977</v>
      </c>
      <c r="M56" s="102">
        <f t="array" ref="M56">IF($G56=0, INDEX(LS_previous!$D$4:$AY$137, MATCH('Staging Table'!$A56, LS_previous!$B$4:$B$137, 0), MATCH(M$4&amp;M$5, LS_previous!$D$2:$AY$2&amp;LS_previous!$D$3:$AY$3, 0)),SUM(VLOOKUP($A56, LS_previous!$B$4:$AY$137, LS_previous!E$148, FALSE), VLOOKUP('Staging Table'!$A56, LS_previous!$B$4:$AY$137,LS_previous!AC$148, FALSE))/2)</f>
        <v>49.901389426750029</v>
      </c>
      <c r="N56" s="102">
        <f t="array" ref="N56">IF($G56=0, INDEX(LS_previous!$D$4:$AY$137, MATCH('Staging Table'!$A56, LS_previous!$B$4:$B$137, 0), MATCH(N$4&amp;N$5, LS_previous!$D$2:$AY$2&amp;LS_previous!$D$3:$AY$3, 0)),SUM(VLOOKUP($A56, LS_previous!$B$4:$AY$137, LS_previous!F$148, FALSE), VLOOKUP('Staging Table'!$A56, LS_previous!$B$4:$AY$137,LS_previous!AD$148, FALSE))/2)</f>
        <v>14.820224847999953</v>
      </c>
      <c r="O56" s="102">
        <f t="array" ref="O56">IF($G56=0, INDEX(LS_previous!$D$4:$AY$137, MATCH('Staging Table'!$A56, LS_previous!$B$4:$B$137, 0), MATCH(O$4&amp;O$5, LS_previous!$D$2:$AY$2&amp;LS_previous!$D$3:$AY$3, 0)),SUM(VLOOKUP($A56, LS_previous!$B$4:$AY$137, LS_previous!G$148, FALSE), VLOOKUP('Staging Table'!$A56, LS_previous!$B$4:$AY$137,LS_previous!AE$148, FALSE))/2)</f>
        <v>143.74722548349996</v>
      </c>
      <c r="P56" s="102">
        <f t="array" ref="P56">IF($G56=0, INDEX(LS_previous!$D$4:$AY$137, MATCH('Staging Table'!$A56, LS_previous!$B$4:$B$137, 0), MATCH(P$4&amp;P$5, LS_previous!$D$2:$AY$2&amp;LS_previous!$D$3:$AY$3, 0)),SUM(VLOOKUP($A56, LS_previous!$B$4:$AY$137, LS_previous!H$148, FALSE), VLOOKUP('Staging Table'!$A56, LS_previous!$B$4:$AY$137,LS_previous!AF$148, FALSE))/2)</f>
        <v>453.59097406149999</v>
      </c>
      <c r="Q56" s="102">
        <f t="array" ref="Q56">IF($G56=0, INDEX(LS_previous!$D$4:$AY$137, MATCH('Staging Table'!$A56, LS_previous!$B$4:$B$137, 0), MATCH(Q$4&amp;Q$5, LS_previous!$D$2:$AY$2&amp;LS_previous!$D$3:$AY$3, 0)),SUM(VLOOKUP($A56, LS_previous!$B$4:$AY$137, LS_previous!I$148, FALSE), VLOOKUP('Staging Table'!$A56, LS_previous!$B$4:$AY$137,LS_previous!AG$148, FALSE))/2)</f>
        <v>288.95697233600004</v>
      </c>
      <c r="R56" s="102">
        <f t="array" ref="R56">IF($G56=0, INDEX(LS_previous!$D$4:$AY$137, MATCH('Staging Table'!$A56, LS_previous!$B$4:$B$137, 0), MATCH(R$4&amp;R$5, LS_previous!$D$2:$AY$2&amp;LS_previous!$D$3:$AY$3, 0)),SUM(VLOOKUP($A56, LS_previous!$B$4:$AY$137, LS_previous!J$148, FALSE), VLOOKUP('Staging Table'!$A56, LS_previous!$B$4:$AY$137,LS_previous!AH$148, FALSE))/2)</f>
        <v>440.5093563774999</v>
      </c>
      <c r="S56" s="102">
        <f t="array" ref="S56">IF($G56=0, INDEX(LS_previous!$D$4:$AY$137, MATCH('Staging Table'!$A56, LS_previous!$B$4:$B$137, 0), MATCH(S$4&amp;S$5, LS_previous!$D$2:$AY$2&amp;LS_previous!$D$3:$AY$3, 0)),SUM(VLOOKUP($A56, LS_previous!$B$4:$AY$137, LS_previous!K$148, FALSE), VLOOKUP('Staging Table'!$A56, LS_previous!$B$4:$AY$137,LS_previous!AI$148, FALSE))/2)</f>
        <v>344.73891932649985</v>
      </c>
      <c r="T56" s="102">
        <f t="array" ref="T56">IF($G56=0, INDEX(LS_previous!$D$4:$AY$137, MATCH('Staging Table'!$A56, LS_previous!$B$4:$B$137, 0), MATCH(T$4&amp;T$5, LS_previous!$D$2:$AY$2&amp;LS_previous!$D$3:$AY$3, 0)),SUM(VLOOKUP($A56, LS_previous!$B$4:$AY$137, LS_previous!L$148, FALSE), VLOOKUP('Staging Table'!$A56, LS_previous!$B$4:$AY$137,LS_previous!AJ$148, FALSE))/2)</f>
        <v>202.58894305150011</v>
      </c>
      <c r="U56" s="102">
        <f t="array" ref="U56">IF($G56=0, INDEX(LS_previous!$D$4:$AY$137, MATCH('Staging Table'!$A56, LS_previous!$B$4:$B$137, 0), MATCH(U$4&amp;U$5, LS_previous!$D$2:$AY$2&amp;LS_previous!$D$3:$AY$3, 0)),SUM(VLOOKUP($A56, LS_previous!$B$4:$AY$137, LS_previous!M$148, FALSE), VLOOKUP('Staging Table'!$A56, LS_previous!$B$4:$AY$137,LS_previous!AK$148, FALSE))/2)</f>
        <v>213.82122633150004</v>
      </c>
      <c r="V56" s="102">
        <f t="array" ref="V56">IF($G56=0, INDEX(LS_previous!$D$4:$AY$137, MATCH('Staging Table'!$A56, LS_previous!$B$4:$B$137, 0), MATCH(V$4&amp;V$5, LS_previous!$D$2:$AY$2&amp;LS_previous!$D$3:$AY$3, 0)),SUM(VLOOKUP($A56, LS_previous!$B$4:$AY$137, LS_previous!N$148, FALSE), VLOOKUP('Staging Table'!$A56, LS_previous!$B$4:$AY$137,LS_previous!AL$148, FALSE))/2)</f>
        <v>8.271138220499779</v>
      </c>
      <c r="W56" s="102">
        <f t="array" ref="W56">IF($G56=0, INDEX(LS_previous!$D$4:$AY$137, MATCH('Staging Table'!$A56, LS_previous!$B$4:$B$137, 0), MATCH(W$4&amp;W$5, LS_previous!$D$2:$AY$2&amp;LS_previous!$D$3:$AY$3, 0)),SUM(VLOOKUP($A56, LS_previous!$B$4:$AY$137, LS_previous!O$148, FALSE), VLOOKUP('Staging Table'!$A56, LS_previous!$B$4:$AY$137,LS_previous!AM$148, FALSE))/2)</f>
        <v>49.205131673000096</v>
      </c>
      <c r="X56" s="102">
        <f t="array" ref="X56">IF($G56=0, INDEX(LS_previous!$D$4:$AY$137, MATCH('Staging Table'!$A56, LS_previous!$B$4:$B$137, 0), MATCH(X$4&amp;X$5, LS_previous!$D$2:$AY$2&amp;LS_previous!$D$3:$AY$3, 0)),SUM(VLOOKUP($A56, LS_previous!$B$4:$AY$137, LS_previous!P$148, FALSE), VLOOKUP('Staging Table'!$A56, LS_previous!$B$4:$AY$137,LS_previous!AN$148, FALSE))/2)</f>
        <v>193.50173290875</v>
      </c>
      <c r="Y56" s="102">
        <f t="array" ref="Y56">IF($G56=0, INDEX(LS_previous!$D$4:$AY$137, MATCH('Staging Table'!$A56, LS_previous!$B$4:$B$137, 0), MATCH(Y$4&amp;Y$5, LS_previous!$D$2:$AY$2&amp;LS_previous!$D$3:$AY$3, 0)),SUM(VLOOKUP($A56, LS_previous!$B$4:$AY$137, LS_previous!Q$148, FALSE), VLOOKUP('Staging Table'!$A56, LS_previous!$B$4:$AY$137,LS_previous!AO$148, FALSE))/2)</f>
        <v>62.44335278487506</v>
      </c>
      <c r="Z56" s="102">
        <f t="array" ref="Z56">IF($G56=0, INDEX(LS_previous!$D$4:$AY$137, MATCH('Staging Table'!$A56, LS_previous!$B$4:$B$137, 0), MATCH(Z$4&amp;Z$5, LS_previous!$D$2:$AY$2&amp;LS_previous!$D$3:$AY$3, 0)),SUM(VLOOKUP($A56, LS_previous!$B$4:$AY$137, LS_previous!R$148, FALSE), VLOOKUP('Staging Table'!$A56, LS_previous!$B$4:$AY$137,LS_previous!AP$148, FALSE))/2)</f>
        <v>-539.15064383200001</v>
      </c>
      <c r="AA56" s="102">
        <f t="array" ref="AA56">IF($G56=0, INDEX(LS_previous!$D$4:$AY$137, MATCH('Staging Table'!$A56, LS_previous!$B$4:$B$137, 0), MATCH(AA$4&amp;AA$5, LS_previous!$D$2:$AY$2&amp;LS_previous!$D$3:$AY$3, 0)),SUM(VLOOKUP($A56, LS_previous!$B$4:$AY$137, LS_previous!S$148, FALSE), VLOOKUP('Staging Table'!$A56, LS_previous!$B$4:$AY$137,LS_previous!AQ$148, FALSE))/2)</f>
        <v>-322.40210823274992</v>
      </c>
      <c r="AB56" s="102">
        <f t="array" ref="AB56">IF($G56=0, INDEX(LS_previous!$D$4:$AY$137, MATCH('Staging Table'!$A56, LS_previous!$B$4:$B$137, 0), MATCH(AB$4&amp;AB$5, LS_previous!$D$2:$AY$2&amp;LS_previous!$D$3:$AY$3, 0)),SUM(VLOOKUP($A56, LS_previous!$B$4:$AY$137, LS_previous!T$148, FALSE), VLOOKUP('Staging Table'!$A56, LS_previous!$B$4:$AY$137,LS_previous!AR$148, FALSE))/2)</f>
        <v>-542.51073710900027</v>
      </c>
      <c r="AC56" s="102">
        <f t="array" ref="AC56">IF($G56=0, INDEX(LS_previous!$D$4:$AY$137, MATCH('Staging Table'!$A56, LS_previous!$B$4:$B$137, 0), MATCH(AC$4&amp;AC$5, LS_previous!$D$2:$AY$2&amp;LS_previous!$D$3:$AY$3, 0)),SUM(VLOOKUP($A56, LS_previous!$B$4:$AY$137, LS_previous!U$148, FALSE), VLOOKUP('Staging Table'!$A56, LS_previous!$B$4:$AY$137,LS_previous!AS$148, FALSE))/2)</f>
        <v>-366.63018819675005</v>
      </c>
      <c r="AD56" s="102">
        <f t="array" ref="AD56">IF($G56=0, INDEX(LS_previous!$D$4:$AY$137, MATCH('Staging Table'!$A56, LS_previous!$B$4:$B$137, 0), MATCH(AD$4&amp;AD$5, LS_previous!$D$2:$AY$2&amp;LS_previous!$D$3:$AY$3, 0)),SUM(VLOOKUP($A56, LS_previous!$B$4:$AY$137, LS_previous!V$148, FALSE), VLOOKUP('Staging Table'!$A56, LS_previous!$B$4:$AY$137,LS_previous!AT$148, FALSE))/2)</f>
        <v>-234.40647672599994</v>
      </c>
      <c r="AE56" s="102">
        <f t="array" ref="AE56">IF($G56=0, INDEX(LS_previous!$D$4:$AY$137, MATCH('Staging Table'!$A56, LS_previous!$B$4:$B$137, 0), MATCH(AE$4&amp;AE$5, LS_previous!$D$2:$AY$2&amp;LS_previous!$D$3:$AY$3, 0)),SUM(VLOOKUP($A56, LS_previous!$B$4:$AY$137, LS_previous!W$148, FALSE), VLOOKUP('Staging Table'!$A56, LS_previous!$B$4:$AY$137,LS_previous!AU$148, FALSE))/2)</f>
        <v>-153.93971886625002</v>
      </c>
      <c r="AF56" s="102">
        <f t="array" ref="AF56">IF($G56=0, INDEX(LS_previous!$D$4:$AY$137, MATCH('Staging Table'!$A56, LS_previous!$B$4:$B$137, 0), MATCH(AF$4&amp;AF$5, LS_previous!$D$2:$AY$2&amp;LS_previous!$D$3:$AY$3, 0)),SUM(VLOOKUP($A56, LS_previous!$B$4:$AY$137, LS_previous!X$148, FALSE), VLOOKUP('Staging Table'!$A56, LS_previous!$B$4:$AY$137,LS_previous!AV$148, FALSE))/2)</f>
        <v>-232.35581586225021</v>
      </c>
      <c r="AG56" s="102">
        <f t="array" ref="AG56">IF($G56=0, INDEX(LS_previous!$D$4:$AY$137, MATCH('Staging Table'!$A56, LS_previous!$B$4:$B$137, 0), MATCH(AG$4&amp;AG$5, LS_previous!$D$2:$AY$2&amp;LS_previous!$D$3:$AY$3, 0)),SUM(VLOOKUP($A56, LS_previous!$B$4:$AY$137, LS_previous!Y$148, FALSE), VLOOKUP('Staging Table'!$A56, LS_previous!$B$4:$AY$137,LS_previous!AW$148, FALSE))/2)</f>
        <v>-121.50350464927499</v>
      </c>
      <c r="AH56" s="102">
        <f t="array" ref="AH56">IF($G56=0, INDEX(LS_previous!$D$4:$AY$137, MATCH('Staging Table'!$A56, LS_previous!$B$4:$B$137, 0), MATCH(AH$4&amp;AH$5, LS_previous!$D$2:$AY$2&amp;LS_previous!$D$3:$AY$3, 0)),SUM(VLOOKUP($A56, LS_previous!$B$4:$AY$137, LS_previous!Z$148, FALSE), VLOOKUP('Staging Table'!$A56, LS_previous!$B$4:$AY$137,LS_previous!AX$148, FALSE))/2)</f>
        <v>-192.03339619100007</v>
      </c>
      <c r="AI56" s="102">
        <f t="array" ref="AI56">IF($G56=0, INDEX(LS_previous!$D$4:$AY$137, MATCH('Staging Table'!$A56, LS_previous!$B$4:$B$137, 0), MATCH(AI$4&amp;AI$5, LS_previous!$D$2:$AY$2&amp;LS_previous!$D$3:$AY$3, 0)),SUM(VLOOKUP($A56, LS_previous!$B$4:$AY$137, LS_previous!AA$148, FALSE), VLOOKUP('Staging Table'!$A56, LS_previous!$B$4:$AY$137,LS_previous!AY$148, FALSE))/2)</f>
        <v>-213.57053253600009</v>
      </c>
      <c r="AJ56" s="103">
        <f t="array" ref="AJ56">INDEX(Demand_previous!$D$4:$AY$137, MATCH('Staging Table'!$A56, Demand_previous!$B$4:$B$137, 0), MATCH(AJ$4&amp;AJ$5,Demand_previous!$D$2:$AY$2&amp;Demand_previous!$D$3:$AY$3, 0))/1000</f>
        <v>0.3661418269230774</v>
      </c>
      <c r="AK56" s="103">
        <f t="array" ref="AK56">INDEX(Demand_previous!$D$4:$AY$137, MATCH('Staging Table'!$A56, Demand_previous!$B$4:$B$137, 0), MATCH(AK$4&amp;AK$5,Demand_previous!$D$2:$AY$2&amp;Demand_previous!$D$3:$AY$3, 0))/1000</f>
        <v>0.49093500000000034</v>
      </c>
      <c r="AL56" s="103">
        <f t="array" ref="AL56">INDEX(Demand_previous!$D$4:$AY$137, MATCH('Staging Table'!$A56, Demand_previous!$B$4:$B$137, 0), MATCH(AL$4&amp;AL$5,Demand_previous!$D$2:$AY$2&amp;Demand_previous!$D$3:$AY$3, 0))/1000</f>
        <v>0.93324999999999925</v>
      </c>
      <c r="AM56" s="103">
        <f t="array" ref="AM56">INDEX(Demand_previous!$D$4:$AY$137, MATCH('Staging Table'!$A56, Demand_previous!$B$4:$B$137, 0), MATCH(AM$4&amp;AM$5,Demand_previous!$D$2:$AY$2&amp;Demand_previous!$D$3:$AY$3, 0))/1000</f>
        <v>1.5130000000000003</v>
      </c>
      <c r="AN56" s="103">
        <f t="array" ref="AN56">INDEX(Demand_previous!$D$4:$AY$137, MATCH('Staging Table'!$A56, Demand_previous!$B$4:$B$137, 0), MATCH(AN$4&amp;AN$5,Demand_previous!$D$2:$AY$2&amp;Demand_previous!$D$3:$AY$3, 0))/1000</f>
        <v>1.1136574999999993</v>
      </c>
      <c r="AO56" s="103">
        <f t="array" ref="AO56">INDEX(Demand_previous!$D$4:$AY$137, MATCH('Staging Table'!$A56, Demand_previous!$B$4:$B$137, 0), MATCH(AO$4&amp;AO$5,Demand_previous!$D$2:$AY$2&amp;Demand_previous!$D$3:$AY$3, 0))/1000</f>
        <v>1.1689326923076924</v>
      </c>
      <c r="AP56" s="103">
        <f t="array" ref="AP56">INDEX(Demand_previous!$D$4:$AY$137, MATCH('Staging Table'!$A56, Demand_previous!$B$4:$B$137, 0), MATCH(AP$4&amp;AP$5,Demand_previous!$D$2:$AY$2&amp;Demand_previous!$D$3:$AY$3, 0))/1000</f>
        <v>0.75923798076923044</v>
      </c>
      <c r="AQ56" s="103">
        <f t="array" ref="AQ56">INDEX(Demand_previous!$D$4:$AY$137, MATCH('Staging Table'!$A56, Demand_previous!$B$4:$B$137, 0), MATCH(AQ$4&amp;AQ$5,Demand_previous!$D$2:$AY$2&amp;Demand_previous!$D$3:$AY$3, 0))/1000</f>
        <v>0.73437259615384587</v>
      </c>
      <c r="AR56" s="103">
        <f t="array" ref="AR56">INDEX(Demand_previous!$D$4:$AY$137, MATCH('Staging Table'!$A56, Demand_previous!$B$4:$B$137, 0), MATCH(AR$4&amp;AR$5,Demand_previous!$D$2:$AY$2&amp;Demand_previous!$D$3:$AY$3, 0))/1000</f>
        <v>0.47591750000000005</v>
      </c>
      <c r="AS56" s="103">
        <f t="array" ref="AS56">INDEX(Demand_previous!$D$4:$AY$137, MATCH('Staging Table'!$A56, Demand_previous!$B$4:$B$137, 0), MATCH(AS$4&amp;AS$5,Demand_previous!$D$2:$AY$2&amp;Demand_previous!$D$3:$AY$3, 0))/1000</f>
        <v>0.61626201923076873</v>
      </c>
      <c r="AT56" s="103">
        <f t="array" ref="AT56">INDEX(Demand_previous!$D$4:$AY$137, MATCH('Staging Table'!$A56, Demand_previous!$B$4:$B$137, 0), MATCH(AT$4&amp;AT$5,Demand_previous!$D$2:$AY$2&amp;Demand_previous!$D$3:$AY$3, 0))/1000</f>
        <v>0.90559259259259273</v>
      </c>
      <c r="AU56" s="103">
        <f t="array" ref="AU56">INDEX(Demand_previous!$D$4:$AY$137, MATCH('Staging Table'!$A56, Demand_previous!$B$4:$B$137, 0), MATCH(AU$4&amp;AU$5,Demand_previous!$D$2:$AY$2&amp;Demand_previous!$D$3:$AY$3, 0))/1000</f>
        <v>0.31729687499999959</v>
      </c>
      <c r="AV56" s="102">
        <f>$F56*(VLOOKUP(AV$4, Rates_previous!$G$6:$Q$29, 10, FALSE)+VLOOKUP(AV$4, Rates_previous!$G$6:$Q$29, 11, FALSE))</f>
        <v>1989.1659735472501</v>
      </c>
      <c r="AW56" s="102">
        <f>$F56*(VLOOKUP(AW$4, Rates_previous!$G$6:$Q$29, 10, FALSE)+VLOOKUP(AW$4, Rates_previous!$G$6:$Q$29, 11, FALSE))</f>
        <v>2536.8425496685004</v>
      </c>
      <c r="AX56" s="102">
        <f>$F56*(VLOOKUP(AX$4, Rates_previous!$G$6:$Q$29, 10, FALSE)+VLOOKUP(AX$4, Rates_previous!$G$6:$Q$29, 11, FALSE))</f>
        <v>2737.7550536025005</v>
      </c>
      <c r="AY56" s="102">
        <f>$F56*(VLOOKUP(AY$4, Rates_previous!$G$6:$Q$29, 10, FALSE)+VLOOKUP(AY$4, Rates_previous!$G$6:$Q$29, 11, FALSE))</f>
        <v>2844.9507242960003</v>
      </c>
      <c r="AZ56" s="102">
        <f>$F56*(VLOOKUP(AZ$4, Rates_previous!$G$6:$Q$29, 10, FALSE)+VLOOKUP(AZ$4, Rates_previous!$G$6:$Q$29, 11, FALSE))</f>
        <v>2447.0368306169999</v>
      </c>
      <c r="BA56" s="102">
        <f>$F56*(VLOOKUP(BA$4, Rates_previous!$G$6:$Q$29, 10, FALSE)+VLOOKUP(BA$4, Rates_previous!$G$6:$Q$29, 11, FALSE))</f>
        <v>2671.6797301064998</v>
      </c>
      <c r="BB56" s="102">
        <f>$F56*(VLOOKUP(BB$4, Rates_previous!$G$6:$Q$29, 10, FALSE)+VLOOKUP(BB$4, Rates_previous!$G$6:$Q$29, 11, FALSE))</f>
        <v>2108.840914306375</v>
      </c>
      <c r="BC56" s="102">
        <f>$F56*(VLOOKUP(BC$4, Rates_previous!$G$6:$Q$29, 10, FALSE)+VLOOKUP(BC$4, Rates_previous!$G$6:$Q$29, 11, FALSE))</f>
        <v>2616.29975206475</v>
      </c>
      <c r="BD56" s="102">
        <f>$F56*(VLOOKUP(BD$4, Rates_previous!$G$6:$Q$29, 10, FALSE)+VLOOKUP(BD$4, Rates_previous!$G$6:$Q$29, 11, FALSE))</f>
        <v>2673.0669253057499</v>
      </c>
      <c r="BE56" s="102">
        <f>$F56*(VLOOKUP(BE$4, Rates_previous!$G$6:$Q$29, 10, FALSE)+VLOOKUP(BE$4, Rates_previous!$G$6:$Q$29, 11, FALSE))</f>
        <v>2320.6071955922503</v>
      </c>
      <c r="BF56" s="102">
        <f>$F56*(VLOOKUP(BF$4, Rates_previous!$G$6:$Q$29, 10, FALSE)+VLOOKUP(BF$4, Rates_previous!$G$6:$Q$29, 11, FALSE))</f>
        <v>2243.4103205115252</v>
      </c>
      <c r="BG56" s="102">
        <f>$F56*(VLOOKUP(BG$4, Rates_previous!$G$6:$Q$29, 10, FALSE)+VLOOKUP(BG$4, Rates_previous!$G$6:$Q$29, 11, FALSE))</f>
        <v>2064.3719287270005</v>
      </c>
      <c r="BH56" s="103">
        <f>IF($D56=0,IF(C56=0, MAX(BJ56 - (VLOOKUP($A56,TOCA_previous!$A$2:$AJ$136,MATCH("RHWM "&amp;Init!$D$1-2,TOCA_previous!$A$2:$AJ$2,0),FALSE)*$F$2*TOCA_previous!C53),0),0), 0)</f>
        <v>0</v>
      </c>
      <c r="BI56" s="109">
        <f>MIN(VLOOKUP($A56,TOCA_previous!$A$2:$AJ$136,MATCH("TRL - NLSL - Existing Resource "&amp;$F$1,TOCA_previous!$A$2:$AJ$2,0),FALSE)*$F$2,(VLOOKUP($A56,TOCA_previous!$A$2:$AJ$136,MATCH("RHWM "&amp;Init!$D$1-2,TOCA_previous!$A$2:$AJ$2,0),FALSE)*$F$2))</f>
        <v>28609.488000000001</v>
      </c>
      <c r="BJ56" s="261">
        <f>SUM(L56:AI56)+(F56*RT1SC!$C$3*$F$2)</f>
        <v>29093.6051340946</v>
      </c>
      <c r="BK56" s="260">
        <f>VLOOKUP($A56,TOCA_previous!$A$2:$AJ$136,MATCH("Above RHWM Not Served with LS "&amp;$F$1,TOCA_previous!$A$2:$AJ$2,0),FALSE)*$F$2</f>
        <v>0</v>
      </c>
      <c r="BL56" s="261">
        <f t="shared" si="21"/>
        <v>484.11713409459844</v>
      </c>
      <c r="BM56" s="260">
        <f>(VLOOKUP($A56,TOCA_previous!$A$2:$AJ$136,MATCH("RHWM "&amp;Init!$D$1-2,TOCA_previous!$A$2:$AJ$2,0),FALSE)*$F$2) - $BI56</f>
        <v>975.02399999999761</v>
      </c>
      <c r="BN56" s="261">
        <f t="shared" si="22"/>
        <v>-484.11713409459844</v>
      </c>
      <c r="BO56" s="260">
        <f t="shared" si="23"/>
        <v>0</v>
      </c>
      <c r="BP56" s="261">
        <f t="shared" si="24"/>
        <v>0</v>
      </c>
      <c r="BQ56" s="260">
        <f t="shared" si="9"/>
        <v>-484.11713409459844</v>
      </c>
      <c r="BR56" s="85">
        <f>VLOOKUP($A56,TOCA_current!$A$2:$ZZ$136,MATCH(BR$4,TOCA_current!$A$2:$ZZ$2,0),FALSE)</f>
        <v>4.6710000000000002E-4</v>
      </c>
      <c r="BS56" s="85">
        <f>VLOOKUP($A56,TOCA_current!$A$2:$ZZ$136,MATCH(BS$4,TOCA_current!$A$2:$ZZ$2,0),FALSE)</f>
        <v>4.6710000000000002E-4</v>
      </c>
      <c r="BT56" s="108">
        <f t="shared" si="25"/>
        <v>0</v>
      </c>
      <c r="BU56" s="85">
        <f>VLOOKUP($A56,TOCA_current!A53:BG187,MATCH(BU$4,TOCA_current!$A$2:$BG$2,0),FALSE)</f>
        <v>0</v>
      </c>
      <c r="BV56" s="85">
        <f t="shared" si="26"/>
        <v>0</v>
      </c>
      <c r="BW56" s="85">
        <f t="shared" si="27"/>
        <v>0</v>
      </c>
      <c r="BX56" s="101">
        <f>VLOOKUP($A56,IRD!$A$4:$G$138, 7, FALSE)</f>
        <v>0</v>
      </c>
      <c r="BY56" s="102">
        <f t="array" ref="BY56">IF($BT56=0, INDEX(LS_current!$D$4:$BW$137, MATCH('Staging Table'!$A56, LS_current!$B$4:$B$137, 0), MATCH(BY$4&amp;BY$5, LS_current!$D$2:$BW$2&amp;LS_current!$D$3:$BW$3, 0)),SUM(VLOOKUP($A56, LS_current!$B$4:$BW$137, LS_current!D$147, FALSE), VLOOKUP($A56, LS_current!$B$4:$BW$137,LS_current!AZ$147, FALSE))/2)</f>
        <v>287.5204395103126</v>
      </c>
      <c r="BZ56" s="102">
        <f t="array" ref="BZ56">IF($BT56=0, INDEX(LS_current!$D$4:$BW$137, MATCH('Staging Table'!$A56, LS_current!$B$4:$B$137, 0), MATCH(BZ$4&amp;BZ$5, LS_current!$D$2:$BW$2&amp;LS_current!$D$3:$BW$3, 0)),SUM(VLOOKUP($A56, LS_current!$B$4:$BW$137, LS_current!E$147, FALSE), VLOOKUP($A56, LS_current!$B$4:$BW$137,LS_current!BA$147, FALSE))/2)</f>
        <v>104.93121847647069</v>
      </c>
      <c r="CA56" s="102">
        <f t="array" ref="CA56">IF($BT56=0, INDEX(LS_current!$D$4:$BW$137, MATCH('Staging Table'!$A56, LS_current!$B$4:$B$137, 0), MATCH(CA$4&amp;CA$5, LS_current!$D$2:$BW$2&amp;LS_current!$D$3:$BW$3, 0)),SUM(VLOOKUP($A56, LS_current!$B$4:$BW$137, LS_current!F$147, FALSE), VLOOKUP($A56, LS_current!$B$4:$BW$137,LS_current!BB$147, FALSE))/2)</f>
        <v>56.690611350680911</v>
      </c>
      <c r="CB56" s="102">
        <f t="array" ref="CB56">IF($BT56=0, INDEX(LS_current!$D$4:$BW$137, MATCH('Staging Table'!$A56, LS_current!$B$4:$B$137, 0), MATCH(CB$4&amp;CB$5, LS_current!$D$2:$BW$2&amp;LS_current!$D$3:$BW$3, 0)),SUM(VLOOKUP($A56, LS_current!$B$4:$BW$137, LS_current!G$147, FALSE), VLOOKUP($A56, LS_current!$B$4:$BW$137,LS_current!BC$147, FALSE))/2)</f>
        <v>160.28393322204158</v>
      </c>
      <c r="CC56" s="102">
        <f t="array" ref="CC56">IF($BT56=0, INDEX(LS_current!$D$4:$BW$137, MATCH('Staging Table'!$A56, LS_current!$B$4:$B$137, 0), MATCH(CC$4&amp;CC$5, LS_current!$D$2:$BW$2&amp;LS_current!$D$3:$BW$3, 0)),SUM(VLOOKUP($A56, LS_current!$B$4:$BW$137, LS_current!H$147, FALSE), VLOOKUP($A56, LS_current!$B$4:$BW$137,LS_current!BD$147, FALSE))/2)</f>
        <v>307.27169815016259</v>
      </c>
      <c r="CD56" s="102">
        <f t="array" ref="CD56">IF($BT56=0, INDEX(LS_current!$D$4:$BW$137, MATCH('Staging Table'!$A56, LS_current!$B$4:$B$137, 0), MATCH(CD$4&amp;CD$5, LS_current!$D$2:$BW$2&amp;LS_current!$D$3:$BW$3, 0)),SUM(VLOOKUP($A56, LS_current!$B$4:$BW$137, LS_current!I$147, FALSE), VLOOKUP($A56, LS_current!$B$4:$BW$137,LS_current!BE$147, FALSE))/2)</f>
        <v>355.25747781992595</v>
      </c>
      <c r="CE56" s="102">
        <f t="array" ref="CE56">IF($BT56=0, INDEX(LS_current!$D$4:$BW$137, MATCH('Staging Table'!$A56, LS_current!$B$4:$B$137, 0), MATCH(CE$4&amp;CE$5, LS_current!$D$2:$BW$2&amp;LS_current!$D$3:$BW$3, 0)),SUM(VLOOKUP($A56, LS_current!$B$4:$BW$137, LS_current!J$147, FALSE), VLOOKUP($A56, LS_current!$B$4:$BW$137,LS_current!BF$147, FALSE))/2)</f>
        <v>327.99990715854028</v>
      </c>
      <c r="CF56" s="102">
        <f t="array" ref="CF56">IF($BT56=0, INDEX(LS_current!$D$4:$BW$137, MATCH('Staging Table'!$A56, LS_current!$B$4:$B$137, 0), MATCH(CF$4&amp;CF$5, LS_current!$D$2:$BW$2&amp;LS_current!$D$3:$BW$3, 0)),SUM(VLOOKUP($A56, LS_current!$B$4:$BW$137, LS_current!K$147, FALSE), VLOOKUP($A56, LS_current!$B$4:$BW$137,LS_current!BG$147, FALSE))/2)</f>
        <v>329.22775620607354</v>
      </c>
      <c r="CG56" s="102">
        <f t="array" ref="CG56">IF($BT56=0, INDEX(LS_current!$D$4:$BW$137, MATCH('Staging Table'!$A56, LS_current!$B$4:$B$137, 0), MATCH(CG$4&amp;CG$5, LS_current!$D$2:$BW$2&amp;LS_current!$D$3:$BW$3, 0)),SUM(VLOOKUP($A56, LS_current!$B$4:$BW$137, LS_current!L$147, FALSE), VLOOKUP($A56, LS_current!$B$4:$BW$137,LS_current!BH$147, FALSE))/2)</f>
        <v>250.90595414438008</v>
      </c>
      <c r="CH56" s="102">
        <f t="array" ref="CH56">IF($BT56=0, INDEX(LS_current!$D$4:$BW$137, MATCH('Staging Table'!$A56, LS_current!$B$4:$B$137, 0), MATCH(CH$4&amp;CH$5, LS_current!$D$2:$BW$2&amp;LS_current!$D$3:$BW$3, 0)),SUM(VLOOKUP($A56, LS_current!$B$4:$BW$137, LS_current!M$147, FALSE), VLOOKUP($A56, LS_current!$B$4:$BW$137,LS_current!BI$147, FALSE))/2)</f>
        <v>243.351211476353</v>
      </c>
      <c r="CI56" s="102">
        <f t="array" ref="CI56">IF($BT56=0, INDEX(LS_current!$D$4:$BW$137, MATCH('Staging Table'!$A56, LS_current!$B$4:$B$137, 0), MATCH(CI$4&amp;CI$5, LS_current!$D$2:$BW$2&amp;LS_current!$D$3:$BW$3, 0)),SUM(VLOOKUP($A56, LS_current!$B$4:$BW$137, LS_current!N$147, FALSE), VLOOKUP($A56, LS_current!$B$4:$BW$137,LS_current!BJ$147, FALSE))/2)</f>
        <v>-49.552828108406402</v>
      </c>
      <c r="CJ56" s="102">
        <f t="array" ref="CJ56">IF($BT56=0, INDEX(LS_current!$D$4:$BW$137, MATCH('Staging Table'!$A56, LS_current!$B$4:$B$137, 0), MATCH(CJ$4&amp;CJ$5, LS_current!$D$2:$BW$2&amp;LS_current!$D$3:$BW$3, 0)),SUM(VLOOKUP($A56, LS_current!$B$4:$BW$137, LS_current!O$147, FALSE), VLOOKUP($A56, LS_current!$B$4:$BW$137,LS_current!BK$147, FALSE))/2)</f>
        <v>188.69781238384883</v>
      </c>
      <c r="CK56" s="102">
        <f t="array" ref="CK56">IF($BT56=0, INDEX(LS_current!$D$4:$BW$137, MATCH('Staging Table'!$A56, LS_current!$B$4:$B$137, 0), MATCH(CK$4&amp;CK$5, LS_current!$D$2:$BW$2&amp;LS_current!$D$3:$BW$3, 0)),SUM(VLOOKUP($A56, LS_current!$B$4:$BW$137, LS_current!P$147, FALSE), VLOOKUP($A56, LS_current!$B$4:$BW$137,LS_current!BL$147, FALSE))/2)</f>
        <v>241.21054802352774</v>
      </c>
      <c r="CL56" s="102">
        <f t="array" ref="CL56">IF($BT56=0, INDEX(LS_current!$D$4:$BW$137, MATCH('Staging Table'!$A56, LS_current!$B$4:$B$137, 0), MATCH(CL$4&amp;CL$5, LS_current!$D$2:$BW$2&amp;LS_current!$D$3:$BW$3, 0)),SUM(VLOOKUP($A56, LS_current!$B$4:$BW$137, LS_current!Q$147, FALSE), VLOOKUP($A56, LS_current!$B$4:$BW$137,LS_current!BM$147, FALSE))/2)</f>
        <v>116.29086168253821</v>
      </c>
      <c r="CM56" s="102">
        <f t="array" ref="CM56">IF($BT56=0, INDEX(LS_current!$D$4:$BW$137, MATCH('Staging Table'!$A56, LS_current!$B$4:$B$137, 0), MATCH(CM$4&amp;CM$5, LS_current!$D$2:$BW$2&amp;LS_current!$D$3:$BW$3, 0)),SUM(VLOOKUP($A56, LS_current!$B$4:$BW$137, LS_current!R$147, FALSE), VLOOKUP($A56, LS_current!$B$4:$BW$137,LS_current!BN$147, FALSE))/2)</f>
        <v>-522.35497321634307</v>
      </c>
      <c r="CN56" s="102">
        <f t="array" ref="CN56">IF($BT56=0, INDEX(LS_current!$D$4:$BW$137, MATCH('Staging Table'!$A56, LS_current!$B$4:$B$137, 0), MATCH(CN$4&amp;CN$5, LS_current!$D$2:$BW$2&amp;LS_current!$D$3:$BW$3, 0)),SUM(VLOOKUP($A56, LS_current!$B$4:$BW$137, LS_current!S$147, FALSE), VLOOKUP($A56, LS_current!$B$4:$BW$137,LS_current!BO$147, FALSE))/2)</f>
        <v>-320.65479074833365</v>
      </c>
      <c r="CO56" s="102">
        <f t="array" ref="CO56">IF($BT56=0, INDEX(LS_current!$D$4:$BW$137, MATCH('Staging Table'!$A56, LS_current!$B$4:$B$137, 0), MATCH(CO$4&amp;CO$5, LS_current!$D$2:$BW$2&amp;LS_current!$D$3:$BW$3, 0)),SUM(VLOOKUP($A56, LS_current!$B$4:$BW$137, LS_current!T$147, FALSE), VLOOKUP($A56, LS_current!$B$4:$BW$137,LS_current!BP$147, FALSE))/2)</f>
        <v>-593.19033048081769</v>
      </c>
      <c r="CP56" s="102">
        <f t="array" ref="CP56">IF($BT56=0, INDEX(LS_current!$D$4:$BW$137, MATCH('Staging Table'!$A56, LS_current!$B$4:$B$137, 0), MATCH(CP$4&amp;CP$5, LS_current!$D$2:$BW$2&amp;LS_current!$D$3:$BW$3, 0)),SUM(VLOOKUP($A56, LS_current!$B$4:$BW$137, LS_current!U$147, FALSE), VLOOKUP($A56, LS_current!$B$4:$BW$137,LS_current!BQ$147, FALSE))/2)</f>
        <v>-296.11010246241142</v>
      </c>
      <c r="CQ56" s="102">
        <f t="array" ref="CQ56">IF($BT56=0, INDEX(LS_current!$D$4:$BW$137, MATCH('Staging Table'!$A56, LS_current!$B$4:$B$137, 0), MATCH(CQ$4&amp;CQ$5, LS_current!$D$2:$BW$2&amp;LS_current!$D$3:$BW$3, 0)),SUM(VLOOKUP($A56, LS_current!$B$4:$BW$137, LS_current!V$147, FALSE), VLOOKUP($A56, LS_current!$B$4:$BW$137,LS_current!BR$147, FALSE))/2)</f>
        <v>-284.73707701478202</v>
      </c>
      <c r="CR56" s="102">
        <f t="array" ref="CR56">IF($BT56=0, INDEX(LS_current!$D$4:$BW$137, MATCH('Staging Table'!$A56, LS_current!$B$4:$B$137, 0), MATCH(CR$4&amp;CR$5, LS_current!$D$2:$BW$2&amp;LS_current!$D$3:$BW$3, 0)),SUM(VLOOKUP($A56, LS_current!$B$4:$BW$137, LS_current!W$147, FALSE), VLOOKUP($A56, LS_current!$B$4:$BW$137,LS_current!BS$147, FALSE))/2)</f>
        <v>-144.6029118829556</v>
      </c>
      <c r="CS56" s="102">
        <f t="array" ref="CS56">IF($BT56=0, INDEX(LS_current!$D$4:$BW$137, MATCH('Staging Table'!$A56, LS_current!$B$4:$B$137, 0), MATCH(CS$4&amp;CS$5, LS_current!$D$2:$BW$2&amp;LS_current!$D$3:$BW$3, 0)),SUM(VLOOKUP($A56, LS_current!$B$4:$BW$137, LS_current!X$147, FALSE), VLOOKUP($A56, LS_current!$B$4:$BW$137,LS_current!BT$147, FALSE))/2)</f>
        <v>-419.54369108081414</v>
      </c>
      <c r="CT56" s="102">
        <f t="array" ref="CT56">IF($BT56=0, INDEX(LS_current!$D$4:$BW$137, MATCH('Staging Table'!$A56, LS_current!$B$4:$B$137, 0), MATCH(CT$4&amp;CT$5, LS_current!$D$2:$BW$2&amp;LS_current!$D$3:$BW$3, 0)),SUM(VLOOKUP($A56, LS_current!$B$4:$BW$137, LS_current!Y$147, FALSE), VLOOKUP($A56, LS_current!$B$4:$BW$137,LS_current!BU$147, FALSE))/2)</f>
        <v>-113.47482008421559</v>
      </c>
      <c r="CU56" s="102">
        <f t="array" ref="CU56">IF($BT56=0, INDEX(LS_current!$D$4:$BW$137, MATCH('Staging Table'!$A56, LS_current!$B$4:$B$137, 0), MATCH(CU$4&amp;CU$5, LS_current!$D$2:$BW$2&amp;LS_current!$D$3:$BW$3, 0)),SUM(VLOOKUP($A56, LS_current!$B$4:$BW$137, LS_current!Z$147, FALSE), VLOOKUP($A56, LS_current!$B$4:$BW$137,LS_current!BV$147, FALSE))/2)</f>
        <v>-130.13048206410645</v>
      </c>
      <c r="CV56" s="102">
        <f t="array" ref="CV56">IF($BT56=0, INDEX(LS_current!$D$4:$BW$137, MATCH('Staging Table'!$A56, LS_current!$B$4:$B$137, 0), MATCH(CV$4&amp;CV$5, LS_current!$D$2:$BW$2&amp;LS_current!$D$3:$BW$3, 0)),SUM(VLOOKUP($A56, LS_current!$B$4:$BW$137, LS_current!AA$147, FALSE), VLOOKUP($A56, LS_current!$B$4:$BW$137,LS_current!BW$147, FALSE))/2)</f>
        <v>-92.517140628248967</v>
      </c>
      <c r="CW56" s="103">
        <f t="array" ref="CW56">INDEX(Demand_current!$D$4:$BW$137, MATCH($A56, Demand_current!$B$4:$B$137, 0), MATCH(CW$4&amp;CW$5,Demand_current!$D$2:$BW$2&amp;Demand_current!$D$3:$BW$3, 0))/1000</f>
        <v>0.49928472222222231</v>
      </c>
      <c r="CX56" s="103">
        <f t="array" ref="CX56">INDEX(Demand_current!$D$4:$BW$137, MATCH($A56, Demand_current!$B$4:$B$137, 0), MATCH(CX$4&amp;CX$5,Demand_current!$D$2:$BW$2&amp;Demand_current!$D$3:$BW$3, 0))/1000</f>
        <v>0.32905729166666653</v>
      </c>
      <c r="CY56" s="103">
        <f t="array" ref="CY56">INDEX(Demand_current!$D$4:$BW$137, MATCH($A56, Demand_current!$B$4:$B$137, 0), MATCH(CY$4&amp;CY$5,Demand_current!$D$2:$BW$2&amp;Demand_current!$D$3:$BW$3, 0))/1000</f>
        <v>1.1364711538461538</v>
      </c>
      <c r="CZ56" s="103">
        <f t="array" ref="CZ56">INDEX(Demand_current!$D$4:$BW$137, MATCH($A56, Demand_current!$B$4:$B$137, 0), MATCH(CZ$4&amp;CZ$5,Demand_current!$D$2:$BW$2&amp;Demand_current!$D$3:$BW$3, 0))/1000</f>
        <v>1.5130000000000003</v>
      </c>
      <c r="DA56" s="103">
        <f t="array" ref="DA56">INDEX(Demand_current!$D$4:$BW$137, MATCH($A56, Demand_current!$B$4:$B$137, 0), MATCH(DA$4&amp;DA$5,Demand_current!$D$2:$BW$2&amp;Demand_current!$D$3:$BW$3, 0))/1000</f>
        <v>0.93047656249999977</v>
      </c>
      <c r="DB56" s="103">
        <f t="array" ref="DB56">INDEX(Demand_current!$D$4:$BW$137, MATCH($A56, Demand_current!$B$4:$B$137, 0), MATCH(DB$4&amp;DB$5,Demand_current!$D$2:$BW$2&amp;Demand_current!$D$3:$BW$3, 0))/1000</f>
        <v>1.1689326923076924</v>
      </c>
      <c r="DC56" s="103">
        <f t="array" ref="DC56">INDEX(Demand_current!$D$4:$BW$137, MATCH($A56, Demand_current!$B$4:$B$137, 0), MATCH(DC$4&amp;DC$5,Demand_current!$D$2:$BW$2&amp;Demand_current!$D$3:$BW$3, 0))/1000</f>
        <v>0.75923798076923044</v>
      </c>
      <c r="DD56" s="103">
        <f t="array" ref="DD56">INDEX(Demand_current!$D$4:$BW$137, MATCH($A56, Demand_current!$B$4:$B$137, 0), MATCH(DD$4&amp;DD$5,Demand_current!$D$2:$BW$2&amp;Demand_current!$D$3:$BW$3, 0))/1000</f>
        <v>0.63334749999999973</v>
      </c>
      <c r="DE56" s="103">
        <f t="array" ref="DE56">INDEX(Demand_current!$D$4:$BW$137, MATCH($A56, Demand_current!$B$4:$B$137, 0), MATCH(DE$4&amp;DE$5,Demand_current!$D$2:$BW$2&amp;Demand_current!$D$3:$BW$3, 0))/1000</f>
        <v>0.58515144230769245</v>
      </c>
      <c r="DF56" s="103">
        <f t="array" ref="DF56">INDEX(Demand_current!$D$4:$BW$137, MATCH($A56, Demand_current!$B$4:$B$137, 0), MATCH(DF$4&amp;DF$5,Demand_current!$D$2:$BW$2&amp;Demand_current!$D$3:$BW$3, 0))/1000</f>
        <v>0.61626201923076873</v>
      </c>
      <c r="DG56" s="103">
        <f t="array" ref="DG56">INDEX(Demand_current!$D$4:$BW$137, MATCH($A56, Demand_current!$B$4:$B$137, 0), MATCH(DG$4&amp;DG$5,Demand_current!$D$2:$BW$2&amp;Demand_current!$D$3:$BW$3, 0))/1000</f>
        <v>0.79957692307692341</v>
      </c>
      <c r="DH56" s="103">
        <f t="array" ref="DH56">INDEX(Demand_current!$D$4:$BW$137, MATCH($A56, Demand_current!$B$4:$B$137, 0), MATCH(DH$4&amp;DH$5,Demand_current!$D$2:$BW$2&amp;Demand_current!$D$3:$BW$3, 0))/1000</f>
        <v>0.42572499999999969</v>
      </c>
      <c r="DI56" s="102">
        <f>$BS56*(VLOOKUP(DI$4, Rates_current!$H$6:$R$41, 10, FALSE)+VLOOKUP(DI$4, Rates_current!$H$6:$R$41, 11, FALSE))</f>
        <v>1938.5993420132168</v>
      </c>
      <c r="DJ56" s="102">
        <f>$BS56*(VLOOKUP(DJ$4, Rates_current!$H$6:$R$41, 10, FALSE)+VLOOKUP(DJ$4, Rates_current!$H$6:$R$41, 11, FALSE))</f>
        <v>2478.4354554272777</v>
      </c>
      <c r="DK56" s="102">
        <f>$BS56*(VLOOKUP(DK$4, Rates_current!$H$6:$R$41, 10, FALSE)+VLOOKUP(DK$4, Rates_current!$H$6:$R$41, 11, FALSE))</f>
        <v>2817.7738240299113</v>
      </c>
      <c r="DL56" s="102">
        <f>$BS56*(VLOOKUP(DL$4, Rates_current!$H$6:$R$41, 10, FALSE)+VLOOKUP(DL$4, Rates_current!$H$6:$R$41, 11, FALSE))</f>
        <v>2972.9713366353863</v>
      </c>
      <c r="DM56" s="102">
        <f>$BS56*(VLOOKUP(DM$4, Rates_current!$H$6:$R$41, 10, FALSE)+VLOOKUP(DM$4, Rates_current!$H$6:$R$41, 11, FALSE))</f>
        <v>2369.1898343792673</v>
      </c>
      <c r="DN56" s="102">
        <f>$BS56*(VLOOKUP(DN$4, Rates_current!$H$6:$R$41, 10, FALSE)+VLOOKUP(DN$4, Rates_current!$H$6:$R$41, 11, FALSE))</f>
        <v>2590.0110157245572</v>
      </c>
      <c r="DO56" s="102">
        <f>$BS56*(VLOOKUP(DO$4, Rates_current!$H$6:$R$41, 10, FALSE)+VLOOKUP(DO$4, Rates_current!$H$6:$R$41, 11, FALSE))</f>
        <v>2007.2845902939341</v>
      </c>
      <c r="DP56" s="102">
        <f>$BS56*(VLOOKUP(DP$4, Rates_current!$H$6:$R$41, 10, FALSE)+VLOOKUP(DP$4, Rates_current!$H$6:$R$41, 11, FALSE))</f>
        <v>2597.7567639646763</v>
      </c>
      <c r="DQ56" s="102">
        <f>$BS56*(VLOOKUP(DQ$4, Rates_current!$H$6:$R$41, 10, FALSE)+VLOOKUP(DQ$4, Rates_current!$H$6:$R$41, 11, FALSE))</f>
        <v>2653.2264329432292</v>
      </c>
      <c r="DR56" s="102">
        <f>$BS56*(VLOOKUP(DR$4, Rates_current!$H$6:$R$41, 10, FALSE)+VLOOKUP(DR$4, Rates_current!$H$6:$R$41, 11, FALSE))</f>
        <v>2361.6009888977374</v>
      </c>
      <c r="DS56" s="102">
        <f>$BS56*(VLOOKUP(DS$4, Rates_current!$H$6:$R$41, 10, FALSE)+VLOOKUP(DS$4, Rates_current!$H$6:$R$41, 11, FALSE))</f>
        <v>2422.5695111650298</v>
      </c>
      <c r="DT56" s="102">
        <f>$BS56*(VLOOKUP(DT$4, Rates_current!$H$6:$R$41, 10, FALSE)+VLOOKUP(DT$4, Rates_current!$H$6:$R$41, 11, FALSE))</f>
        <v>1881.4156226923556</v>
      </c>
      <c r="DU56" s="261">
        <f>IF(D56=0,IF(C56=0,MAX(0,DW56 - (VLOOKUP($A56,TOCA_current!$A$2:$AV$136,MATCH("RHWM "&amp;Init!$D$1,TOCA_current!$A$2:$AV$2,0),FALSE)*$BS$2)), 0),0)</f>
        <v>0</v>
      </c>
      <c r="DV56" s="262">
        <f>MIN(VLOOKUP($A56,TOCA_current!$A$2:$AV$136,MATCH("TRL - NLSL - Existing Resource "&amp;$BS$1,TOCA_current!$A$2:$AV$2,0),FALSE)*$BS$2, VLOOKUP($A56,TOCA_current!$A$2:$AV$136,MATCH("RHWM "&amp;Init!$D$1,TOCA_current!$A$2:$AV$2,0),FALSE)*$BS$2)</f>
        <v>29091.960000000003</v>
      </c>
      <c r="DW56" s="262">
        <f>SUM(BY56:CV56)+(BS56*RT1SC!$C$4*$BS$2)</f>
        <v>29093.606717225422</v>
      </c>
      <c r="DX56" s="262">
        <f>VLOOKUP($A56,TOCA_current!$A$2:$AV$136,MATCH("Above RHWM Not Served with LS "&amp;$BS$1,TOCA_current!$A$2:$AV$2,0),FALSE)*$BS$2</f>
        <v>0</v>
      </c>
      <c r="DY56" s="262">
        <f t="shared" si="28"/>
        <v>1.6467172254197067</v>
      </c>
      <c r="DZ56" s="262">
        <f>(VLOOKUP($A56,TOCA_current!$A$2:$AV$136,MATCH("RHWM "&amp;Init!$D$1,TOCA_current!$A$2:$AV$2,0),FALSE)*$BS$2) - $DV56</f>
        <v>578.15999999999622</v>
      </c>
      <c r="EA56" s="262">
        <f t="shared" si="29"/>
        <v>-1.6467172254197067</v>
      </c>
      <c r="EB56" s="262">
        <f t="shared" si="30"/>
        <v>0</v>
      </c>
      <c r="EC56" s="262">
        <f t="shared" si="31"/>
        <v>0</v>
      </c>
      <c r="ED56" s="262">
        <f t="shared" si="32"/>
        <v>-1.6467172254197067</v>
      </c>
    </row>
    <row r="57" spans="1:134">
      <c r="A57" s="2">
        <v>10156</v>
      </c>
      <c r="B57" s="3" t="s">
        <v>59</v>
      </c>
      <c r="C57">
        <f>VLOOKUP(A57, TOCA_current!$A$3:$D$136, 4, FALSE)</f>
        <v>0</v>
      </c>
      <c r="D57">
        <v>0</v>
      </c>
      <c r="E57" s="84">
        <f>VLOOKUP($A57,TOCA_previous!$A$2:$AJ$136,MATCH(E$4,TOCA_previous!$A$2:$AJ$2,0),FALSE)</f>
        <v>4.6671000000000004E-3</v>
      </c>
      <c r="F57" s="85">
        <f>VLOOKUP($A57,TOCA_previous!$A$2:$AJ$136,MATCH(F$4,TOCA_previous!$A$2:$AJ$2,0),FALSE)</f>
        <v>4.6671000000000004E-3</v>
      </c>
      <c r="G57" s="85">
        <f t="shared" si="18"/>
        <v>0</v>
      </c>
      <c r="H57" s="85">
        <f>VLOOKUP($A57,TOCA_previous!$A$2:$AJ$136,MATCH(H$4,TOCA_previous!$A$2:$AJ$2,0),FALSE)</f>
        <v>0</v>
      </c>
      <c r="I57" s="85">
        <f t="shared" si="19"/>
        <v>0</v>
      </c>
      <c r="J57" s="85">
        <f t="shared" si="20"/>
        <v>0</v>
      </c>
      <c r="K57" s="101">
        <f>VLOOKUP(A57, IRD!$A$5:$C$138, 3, FALSE)</f>
        <v>0</v>
      </c>
      <c r="L57" s="102">
        <f t="array" ref="L57">IF($G57=0, INDEX(LS_previous!$D$4:$AY$137, MATCH('Staging Table'!$A57, LS_previous!$B$4:$B$137, 0), MATCH(L$4&amp;L$5, LS_previous!$D$2:$AY$2&amp;LS_previous!$D$3:$AY$3, 0)),SUM(VLOOKUP($A57, LS_previous!$B$4:$AY$137, LS_previous!D$148, FALSE), VLOOKUP('Staging Table'!$A57, LS_previous!$B$4:$AY$137,LS_previous!AB$148, FALSE))/2)</f>
        <v>2155.822439584399</v>
      </c>
      <c r="M57" s="102">
        <f t="array" ref="M57">IF($G57=0, INDEX(LS_previous!$D$4:$AY$137, MATCH('Staging Table'!$A57, LS_previous!$B$4:$B$137, 0), MATCH(M$4&amp;M$5, LS_previous!$D$2:$AY$2&amp;LS_previous!$D$3:$AY$3, 0)),SUM(VLOOKUP($A57, LS_previous!$B$4:$AY$137, LS_previous!E$148, FALSE), VLOOKUP('Staging Table'!$A57, LS_previous!$B$4:$AY$137,LS_previous!AC$148, FALSE))/2)</f>
        <v>1027.8355251189496</v>
      </c>
      <c r="N57" s="102">
        <f t="array" ref="N57">IF($G57=0, INDEX(LS_previous!$D$4:$AY$137, MATCH('Staging Table'!$A57, LS_previous!$B$4:$B$137, 0), MATCH(N$4&amp;N$5, LS_previous!$D$2:$AY$2&amp;LS_previous!$D$3:$AY$3, 0)),SUM(VLOOKUP($A57, LS_previous!$B$4:$AY$137, LS_previous!F$148, FALSE), VLOOKUP('Staging Table'!$A57, LS_previous!$B$4:$AY$137,LS_previous!AD$148, FALSE))/2)</f>
        <v>810.5271914911973</v>
      </c>
      <c r="O57" s="102">
        <f t="array" ref="O57">IF($G57=0, INDEX(LS_previous!$D$4:$AY$137, MATCH('Staging Table'!$A57, LS_previous!$B$4:$B$137, 0), MATCH(O$4&amp;O$5, LS_previous!$D$2:$AY$2&amp;LS_previous!$D$3:$AY$3, 0)),SUM(VLOOKUP($A57, LS_previous!$B$4:$AY$137, LS_previous!G$148, FALSE), VLOOKUP('Staging Table'!$A57, LS_previous!$B$4:$AY$137,LS_previous!AE$148, FALSE))/2)</f>
        <v>1780.2338412598983</v>
      </c>
      <c r="P57" s="102">
        <f t="array" ref="P57">IF($G57=0, INDEX(LS_previous!$D$4:$AY$137, MATCH('Staging Table'!$A57, LS_previous!$B$4:$B$137, 0), MATCH(P$4&amp;P$5, LS_previous!$D$2:$AY$2&amp;LS_previous!$D$3:$AY$3, 0)),SUM(VLOOKUP($A57, LS_previous!$B$4:$AY$137, LS_previous!H$148, FALSE), VLOOKUP('Staging Table'!$A57, LS_previous!$B$4:$AY$137,LS_previous!AF$148, FALSE))/2)</f>
        <v>3818.8340075130982</v>
      </c>
      <c r="Q57" s="102">
        <f t="array" ref="Q57">IF($G57=0, INDEX(LS_previous!$D$4:$AY$137, MATCH('Staging Table'!$A57, LS_previous!$B$4:$B$137, 0), MATCH(Q$4&amp;Q$5, LS_previous!$D$2:$AY$2&amp;LS_previous!$D$3:$AY$3, 0)),SUM(VLOOKUP($A57, LS_previous!$B$4:$AY$137, LS_previous!I$148, FALSE), VLOOKUP('Staging Table'!$A57, LS_previous!$B$4:$AY$137,LS_previous!AG$148, FALSE))/2)</f>
        <v>3772.182821398399</v>
      </c>
      <c r="R57" s="102">
        <f t="array" ref="R57">IF($G57=0, INDEX(LS_previous!$D$4:$AY$137, MATCH('Staging Table'!$A57, LS_previous!$B$4:$B$137, 0), MATCH(R$4&amp;R$5, LS_previous!$D$2:$AY$2&amp;LS_previous!$D$3:$AY$3, 0)),SUM(VLOOKUP($A57, LS_previous!$B$4:$AY$137, LS_previous!J$148, FALSE), VLOOKUP('Staging Table'!$A57, LS_previous!$B$4:$AY$137,LS_previous!AH$148, FALSE))/2)</f>
        <v>3208.6711969235002</v>
      </c>
      <c r="S57" s="102">
        <f t="array" ref="S57">IF($G57=0, INDEX(LS_previous!$D$4:$AY$137, MATCH('Staging Table'!$A57, LS_previous!$B$4:$B$137, 0), MATCH(S$4&amp;S$5, LS_previous!$D$2:$AY$2&amp;LS_previous!$D$3:$AY$3, 0)),SUM(VLOOKUP($A57, LS_previous!$B$4:$AY$137, LS_previous!K$148, FALSE), VLOOKUP('Staging Table'!$A57, LS_previous!$B$4:$AY$137,LS_previous!AI$148, FALSE))/2)</f>
        <v>3747.2020048540999</v>
      </c>
      <c r="T57" s="102">
        <f t="array" ref="T57">IF($G57=0, INDEX(LS_previous!$D$4:$AY$137, MATCH('Staging Table'!$A57, LS_previous!$B$4:$B$137, 0), MATCH(T$4&amp;T$5, LS_previous!$D$2:$AY$2&amp;LS_previous!$D$3:$AY$3, 0)),SUM(VLOOKUP($A57, LS_previous!$B$4:$AY$137, LS_previous!L$148, FALSE), VLOOKUP('Staging Table'!$A57, LS_previous!$B$4:$AY$137,LS_previous!AJ$148, FALSE))/2)</f>
        <v>1793.1632331191013</v>
      </c>
      <c r="U57" s="102">
        <f t="array" ref="U57">IF($G57=0, INDEX(LS_previous!$D$4:$AY$137, MATCH('Staging Table'!$A57, LS_previous!$B$4:$B$137, 0), MATCH(U$4&amp;U$5, LS_previous!$D$2:$AY$2&amp;LS_previous!$D$3:$AY$3, 0)),SUM(VLOOKUP($A57, LS_previous!$B$4:$AY$137, LS_previous!M$148, FALSE), VLOOKUP('Staging Table'!$A57, LS_previous!$B$4:$AY$137,LS_previous!AK$148, FALSE))/2)</f>
        <v>2721.4775671510997</v>
      </c>
      <c r="V57" s="102">
        <f t="array" ref="V57">IF($G57=0, INDEX(LS_previous!$D$4:$AY$137, MATCH('Staging Table'!$A57, LS_previous!$B$4:$B$137, 0), MATCH(V$4&amp;V$5, LS_previous!$D$2:$AY$2&amp;LS_previous!$D$3:$AY$3, 0)),SUM(VLOOKUP($A57, LS_previous!$B$4:$AY$137, LS_previous!N$148, FALSE), VLOOKUP('Staging Table'!$A57, LS_previous!$B$4:$AY$137,LS_previous!AL$148, FALSE))/2)</f>
        <v>376.54650771769957</v>
      </c>
      <c r="W57" s="102">
        <f t="array" ref="W57">IF($G57=0, INDEX(LS_previous!$D$4:$AY$137, MATCH('Staging Table'!$A57, LS_previous!$B$4:$B$137, 0), MATCH(W$4&amp;W$5, LS_previous!$D$2:$AY$2&amp;LS_previous!$D$3:$AY$3, 0)),SUM(VLOOKUP($A57, LS_previous!$B$4:$AY$137, LS_previous!O$148, FALSE), VLOOKUP('Staging Table'!$A57, LS_previous!$B$4:$AY$137,LS_previous!AM$148, FALSE))/2)</f>
        <v>563.58991989619972</v>
      </c>
      <c r="X57" s="102">
        <f t="array" ref="X57">IF($G57=0, INDEX(LS_previous!$D$4:$AY$137, MATCH('Staging Table'!$A57, LS_previous!$B$4:$B$137, 0), MATCH(X$4&amp;X$5, LS_previous!$D$2:$AY$2&amp;LS_previous!$D$3:$AY$3, 0)),SUM(VLOOKUP($A57, LS_previous!$B$4:$AY$137, LS_previous!P$148, FALSE), VLOOKUP('Staging Table'!$A57, LS_previous!$B$4:$AY$137,LS_previous!AN$148, FALSE))/2)</f>
        <v>755.77866162974897</v>
      </c>
      <c r="Y57" s="102">
        <f t="array" ref="Y57">IF($G57=0, INDEX(LS_previous!$D$4:$AY$137, MATCH('Staging Table'!$A57, LS_previous!$B$4:$B$137, 0), MATCH(Y$4&amp;Y$5, LS_previous!$D$2:$AY$2&amp;LS_previous!$D$3:$AY$3, 0)),SUM(VLOOKUP($A57, LS_previous!$B$4:$AY$137, LS_previous!Q$148, FALSE), VLOOKUP('Staging Table'!$A57, LS_previous!$B$4:$AY$137,LS_previous!AO$148, FALSE))/2)</f>
        <v>720.48875266657524</v>
      </c>
      <c r="Z57" s="102">
        <f t="array" ref="Z57">IF($G57=0, INDEX(LS_previous!$D$4:$AY$137, MATCH('Staging Table'!$A57, LS_previous!$B$4:$B$137, 0), MATCH(Z$4&amp;Z$5, LS_previous!$D$2:$AY$2&amp;LS_previous!$D$3:$AY$3, 0)),SUM(VLOOKUP($A57, LS_previous!$B$4:$AY$137, LS_previous!R$148, FALSE), VLOOKUP('Staging Table'!$A57, LS_previous!$B$4:$AY$137,LS_previous!AP$148, FALSE))/2)</f>
        <v>-4644.8614113008025</v>
      </c>
      <c r="AA57" s="102">
        <f t="array" ref="AA57">IF($G57=0, INDEX(LS_previous!$D$4:$AY$137, MATCH('Staging Table'!$A57, LS_previous!$B$4:$B$137, 0), MATCH(AA$4&amp;AA$5, LS_previous!$D$2:$AY$2&amp;LS_previous!$D$3:$AY$3, 0)),SUM(VLOOKUP($A57, LS_previous!$B$4:$AY$137, LS_previous!S$148, FALSE), VLOOKUP('Staging Table'!$A57, LS_previous!$B$4:$AY$137,LS_previous!AQ$148, FALSE))/2)</f>
        <v>-2303.2204696353501</v>
      </c>
      <c r="AB57" s="102">
        <f t="array" ref="AB57">IF($G57=0, INDEX(LS_previous!$D$4:$AY$137, MATCH('Staging Table'!$A57, LS_previous!$B$4:$B$137, 0), MATCH(AB$4&amp;AB$5, LS_previous!$D$2:$AY$2&amp;LS_previous!$D$3:$AY$3, 0)),SUM(VLOOKUP($A57, LS_previous!$B$4:$AY$137, LS_previous!T$148, FALSE), VLOOKUP('Staging Table'!$A57, LS_previous!$B$4:$AY$137,LS_previous!AR$148, FALSE))/2)</f>
        <v>-5976.5039914346016</v>
      </c>
      <c r="AC57" s="102">
        <f t="array" ref="AC57">IF($G57=0, INDEX(LS_previous!$D$4:$AY$137, MATCH('Staging Table'!$A57, LS_previous!$B$4:$B$137, 0), MATCH(AC$4&amp;AC$5, LS_previous!$D$2:$AY$2&amp;LS_previous!$D$3:$AY$3, 0)),SUM(VLOOKUP($A57, LS_previous!$B$4:$AY$137, LS_previous!U$148, FALSE), VLOOKUP('Staging Table'!$A57, LS_previous!$B$4:$AY$137,LS_previous!AS$148, FALSE))/2)</f>
        <v>-3179.8996068569513</v>
      </c>
      <c r="AD57" s="102">
        <f t="array" ref="AD57">IF($G57=0, INDEX(LS_previous!$D$4:$AY$137, MATCH('Staging Table'!$A57, LS_previous!$B$4:$B$137, 0), MATCH(AD$4&amp;AD$5, LS_previous!$D$2:$AY$2&amp;LS_previous!$D$3:$AY$3, 0)),SUM(VLOOKUP($A57, LS_previous!$B$4:$AY$137, LS_previous!V$148, FALSE), VLOOKUP('Staging Table'!$A57, LS_previous!$B$4:$AY$137,LS_previous!AT$148, FALSE))/2)</f>
        <v>-2883.8309457644009</v>
      </c>
      <c r="AE57" s="102">
        <f t="array" ref="AE57">IF($G57=0, INDEX(LS_previous!$D$4:$AY$137, MATCH('Staging Table'!$A57, LS_previous!$B$4:$B$137, 0), MATCH(AE$4&amp;AE$5, LS_previous!$D$2:$AY$2&amp;LS_previous!$D$3:$AY$3, 0)),SUM(VLOOKUP($A57, LS_previous!$B$4:$AY$137, LS_previous!W$148, FALSE), VLOOKUP('Staging Table'!$A57, LS_previous!$B$4:$AY$137,LS_previous!AU$148, FALSE))/2)</f>
        <v>-985.42697480525021</v>
      </c>
      <c r="AF57" s="102">
        <f t="array" ref="AF57">IF($G57=0, INDEX(LS_previous!$D$4:$AY$137, MATCH('Staging Table'!$A57, LS_previous!$B$4:$B$137, 0), MATCH(AF$4&amp;AF$5, LS_previous!$D$2:$AY$2&amp;LS_previous!$D$3:$AY$3, 0)),SUM(VLOOKUP($A57, LS_previous!$B$4:$AY$137, LS_previous!X$148, FALSE), VLOOKUP('Staging Table'!$A57, LS_previous!$B$4:$AY$137,LS_previous!AV$148, FALSE))/2)</f>
        <v>-2119.6800594076522</v>
      </c>
      <c r="AG57" s="102">
        <f t="array" ref="AG57">IF($G57=0, INDEX(LS_previous!$D$4:$AY$137, MATCH('Staging Table'!$A57, LS_previous!$B$4:$B$137, 0), MATCH(AG$4&amp;AG$5, LS_previous!$D$2:$AY$2&amp;LS_previous!$D$3:$AY$3, 0)),SUM(VLOOKUP($A57, LS_previous!$B$4:$AY$137, LS_previous!Y$148, FALSE), VLOOKUP('Staging Table'!$A57, LS_previous!$B$4:$AY$137,LS_previous!AW$148, FALSE))/2)</f>
        <v>-618.92459246793533</v>
      </c>
      <c r="AH57" s="102">
        <f t="array" ref="AH57">IF($G57=0, INDEX(LS_previous!$D$4:$AY$137, MATCH('Staging Table'!$A57, LS_previous!$B$4:$B$137, 0), MATCH(AH$4&amp;AH$5, LS_previous!$D$2:$AY$2&amp;LS_previous!$D$3:$AY$3, 0)),SUM(VLOOKUP($A57, LS_previous!$B$4:$AY$137, LS_previous!Z$148, FALSE), VLOOKUP('Staging Table'!$A57, LS_previous!$B$4:$AY$137,LS_previous!AX$148, FALSE))/2)</f>
        <v>-1880.8644185854009</v>
      </c>
      <c r="AI57" s="102">
        <f t="array" ref="AI57">IF($G57=0, INDEX(LS_previous!$D$4:$AY$137, MATCH('Staging Table'!$A57, LS_previous!$B$4:$B$137, 0), MATCH(AI$4&amp;AI$5, LS_previous!$D$2:$AY$2&amp;LS_previous!$D$3:$AY$3, 0)),SUM(VLOOKUP($A57, LS_previous!$B$4:$AY$137, LS_previous!AA$148, FALSE), VLOOKUP('Staging Table'!$A57, LS_previous!$B$4:$AY$137,LS_previous!AY$148, FALSE))/2)</f>
        <v>-1324.1379452784013</v>
      </c>
      <c r="AJ57" s="103">
        <f t="array" ref="AJ57">INDEX(Demand_previous!$D$4:$AY$137, MATCH('Staging Table'!$A57, Demand_previous!$B$4:$B$137, 0), MATCH(AJ$4&amp;AJ$5,Demand_previous!$D$2:$AY$2&amp;Demand_previous!$D$3:$AY$3, 0))/1000</f>
        <v>0</v>
      </c>
      <c r="AK57" s="103">
        <f t="array" ref="AK57">INDEX(Demand_previous!$D$4:$AY$137, MATCH('Staging Table'!$A57, Demand_previous!$B$4:$B$137, 0), MATCH(AK$4&amp;AK$5,Demand_previous!$D$2:$AY$2&amp;Demand_previous!$D$3:$AY$3, 0))/1000</f>
        <v>2.2324599999999926</v>
      </c>
      <c r="AL57" s="103">
        <f t="array" ref="AL57">INDEX(Demand_previous!$D$4:$AY$137, MATCH('Staging Table'!$A57, Demand_previous!$B$4:$B$137, 0), MATCH(AL$4&amp;AL$5,Demand_previous!$D$2:$AY$2&amp;Demand_previous!$D$3:$AY$3, 0))/1000</f>
        <v>9.4267675000000057</v>
      </c>
      <c r="AM57" s="103">
        <f t="array" ref="AM57">INDEX(Demand_previous!$D$4:$AY$137, MATCH('Staging Table'!$A57, Demand_previous!$B$4:$B$137, 0), MATCH(AM$4&amp;AM$5,Demand_previous!$D$2:$AY$2&amp;Demand_previous!$D$3:$AY$3, 0))/1000</f>
        <v>8.7531586538461461</v>
      </c>
      <c r="AN57" s="103">
        <f t="array" ref="AN57">INDEX(Demand_previous!$D$4:$AY$137, MATCH('Staging Table'!$A57, Demand_previous!$B$4:$B$137, 0), MATCH(AN$4&amp;AN$5,Demand_previous!$D$2:$AY$2&amp;Demand_previous!$D$3:$AY$3, 0))/1000</f>
        <v>8.8715650000000021</v>
      </c>
      <c r="AO57" s="103">
        <f t="array" ref="AO57">INDEX(Demand_previous!$D$4:$AY$137, MATCH('Staging Table'!$A57, Demand_previous!$B$4:$B$137, 0), MATCH(AO$4&amp;AO$5,Demand_previous!$D$2:$AY$2&amp;Demand_previous!$D$3:$AY$3, 0))/1000</f>
        <v>0.60023076923076946</v>
      </c>
      <c r="AP57" s="103">
        <f t="array" ref="AP57">INDEX(Demand_previous!$D$4:$AY$137, MATCH('Staging Table'!$A57, Demand_previous!$B$4:$B$137, 0), MATCH(AP$4&amp;AP$5,Demand_previous!$D$2:$AY$2&amp;Demand_previous!$D$3:$AY$3, 0))/1000</f>
        <v>5.4315576923076989</v>
      </c>
      <c r="AQ57" s="103">
        <f t="array" ref="AQ57">INDEX(Demand_previous!$D$4:$AY$137, MATCH('Staging Table'!$A57, Demand_previous!$B$4:$B$137, 0), MATCH(AQ$4&amp;AQ$5,Demand_previous!$D$2:$AY$2&amp;Demand_previous!$D$3:$AY$3, 0))/1000</f>
        <v>2.1081514423076921</v>
      </c>
      <c r="AR57" s="103">
        <f t="array" ref="AR57">INDEX(Demand_previous!$D$4:$AY$137, MATCH('Staging Table'!$A57, Demand_previous!$B$4:$B$137, 0), MATCH(AR$4&amp;AR$5,Demand_previous!$D$2:$AY$2&amp;Demand_previous!$D$3:$AY$3, 0))/1000</f>
        <v>7.4199774999999999</v>
      </c>
      <c r="AS57" s="103">
        <f t="array" ref="AS57">INDEX(Demand_previous!$D$4:$AY$137, MATCH('Staging Table'!$A57, Demand_previous!$B$4:$B$137, 0), MATCH(AS$4&amp;AS$5,Demand_previous!$D$2:$AY$2&amp;Demand_previous!$D$3:$AY$3, 0))/1000</f>
        <v>9.2242860576923107</v>
      </c>
      <c r="AT57" s="103">
        <f t="array" ref="AT57">INDEX(Demand_previous!$D$4:$AY$137, MATCH('Staging Table'!$A57, Demand_previous!$B$4:$B$137, 0), MATCH(AT$4&amp;AT$5,Demand_previous!$D$2:$AY$2&amp;Demand_previous!$D$3:$AY$3, 0))/1000</f>
        <v>10.194652777777776</v>
      </c>
      <c r="AU57" s="103">
        <f t="array" ref="AU57">INDEX(Demand_previous!$D$4:$AY$137, MATCH('Staging Table'!$A57, Demand_previous!$B$4:$B$137, 0), MATCH(AU$4&amp;AU$5,Demand_previous!$D$2:$AY$2&amp;Demand_previous!$D$3:$AY$3, 0))/1000</f>
        <v>4.7803697916666703</v>
      </c>
      <c r="AV57" s="102">
        <f>$F57*(VLOOKUP(AV$4, Rates_previous!$G$6:$Q$29, 10, FALSE)+VLOOKUP(AV$4, Rates_previous!$G$6:$Q$29, 11, FALSE))</f>
        <v>19689.579035296651</v>
      </c>
      <c r="AW57" s="102">
        <f>$F57*(VLOOKUP(AW$4, Rates_previous!$G$6:$Q$29, 10, FALSE)+VLOOKUP(AW$4, Rates_previous!$G$6:$Q$29, 11, FALSE))</f>
        <v>25110.705967248905</v>
      </c>
      <c r="AX57" s="102">
        <f>$F57*(VLOOKUP(AX$4, Rates_previous!$G$6:$Q$29, 10, FALSE)+VLOOKUP(AX$4, Rates_previous!$G$6:$Q$29, 11, FALSE))</f>
        <v>27099.420171088506</v>
      </c>
      <c r="AY57" s="102">
        <f>$F57*(VLOOKUP(AY$4, Rates_previous!$G$6:$Q$29, 10, FALSE)+VLOOKUP(AY$4, Rates_previous!$G$6:$Q$29, 11, FALSE))</f>
        <v>28160.486798222402</v>
      </c>
      <c r="AZ57" s="102">
        <f>$F57*(VLOOKUP(AZ$4, Rates_previous!$G$6:$Q$29, 10, FALSE)+VLOOKUP(AZ$4, Rates_previous!$G$6:$Q$29, 11, FALSE))</f>
        <v>24221.772199729799</v>
      </c>
      <c r="BA57" s="102">
        <f>$F57*(VLOOKUP(BA$4, Rates_previous!$G$6:$Q$29, 10, FALSE)+VLOOKUP(BA$4, Rates_previous!$G$6:$Q$29, 11, FALSE))</f>
        <v>26445.3795723861</v>
      </c>
      <c r="BB57" s="102">
        <f>$F57*(VLOOKUP(BB$4, Rates_previous!$G$6:$Q$29, 10, FALSE)+VLOOKUP(BB$4, Rates_previous!$G$6:$Q$29, 11, FALSE))</f>
        <v>20874.170585703676</v>
      </c>
      <c r="BC57" s="102">
        <f>$F57*(VLOOKUP(BC$4, Rates_previous!$G$6:$Q$29, 10, FALSE)+VLOOKUP(BC$4, Rates_previous!$G$6:$Q$29, 11, FALSE))</f>
        <v>25897.205880936152</v>
      </c>
      <c r="BD57" s="102">
        <f>$F57*(VLOOKUP(BD$4, Rates_previous!$G$6:$Q$29, 10, FALSE)+VLOOKUP(BD$4, Rates_previous!$G$6:$Q$29, 11, FALSE))</f>
        <v>26459.110598291551</v>
      </c>
      <c r="BE57" s="102">
        <f>$F57*(VLOOKUP(BE$4, Rates_previous!$G$6:$Q$29, 10, FALSE)+VLOOKUP(BE$4, Rates_previous!$G$6:$Q$29, 11, FALSE))</f>
        <v>22970.319920569651</v>
      </c>
      <c r="BF57" s="102">
        <f>$F57*(VLOOKUP(BF$4, Rates_previous!$G$6:$Q$29, 10, FALSE)+VLOOKUP(BF$4, Rates_previous!$G$6:$Q$29, 11, FALSE))</f>
        <v>22206.19365187559</v>
      </c>
      <c r="BG57" s="102">
        <f>$F57*(VLOOKUP(BG$4, Rates_previous!$G$6:$Q$29, 10, FALSE)+VLOOKUP(BG$4, Rates_previous!$G$6:$Q$29, 11, FALSE))</f>
        <v>20433.998363863804</v>
      </c>
      <c r="BH57" s="103">
        <f>IF($D57=0,IF(C57=0, MAX(BJ57 - (VLOOKUP($A57,TOCA_previous!$A$2:$AJ$136,MATCH("RHWM "&amp;Init!$D$1-2,TOCA_previous!$A$2:$AJ$2,0),FALSE)*$F$2*TOCA_previous!C54),0),0), 0)</f>
        <v>7724.755327323277</v>
      </c>
      <c r="BI57" s="109">
        <f>MIN(VLOOKUP($A57,TOCA_previous!$A$2:$AJ$136,MATCH("TRL - NLSL - Existing Resource "&amp;$F$1,TOCA_previous!$A$2:$AJ$2,0),FALSE)*$F$2,(VLOOKUP($A57,TOCA_previous!$A$2:$AJ$136,MATCH("RHWM "&amp;Init!$D$1-2,TOCA_previous!$A$2:$AJ$2,0),FALSE)*$F$2))</f>
        <v>283178.592</v>
      </c>
      <c r="BJ57" s="261">
        <f>SUM(L57:AI57)+(F57*RT1SC!$C$3*$F$2)</f>
        <v>290903.34732732328</v>
      </c>
      <c r="BK57" s="260">
        <f>VLOOKUP($A57,TOCA_previous!$A$2:$AJ$136,MATCH("Above RHWM Not Served with LS "&amp;$F$1,TOCA_previous!$A$2:$AJ$2,0),FALSE)*$F$2</f>
        <v>0</v>
      </c>
      <c r="BL57" s="261">
        <f t="shared" si="21"/>
        <v>7724.755327323277</v>
      </c>
      <c r="BM57" s="260">
        <f>(VLOOKUP($A57,TOCA_previous!$A$2:$AJ$136,MATCH("RHWM "&amp;Init!$D$1-2,TOCA_previous!$A$2:$AJ$2,0),FALSE)*$F$2) - $BI57</f>
        <v>0</v>
      </c>
      <c r="BN57" s="261">
        <f t="shared" si="22"/>
        <v>0</v>
      </c>
      <c r="BO57" s="260">
        <f t="shared" si="23"/>
        <v>0</v>
      </c>
      <c r="BP57" s="261">
        <f t="shared" si="24"/>
        <v>0</v>
      </c>
      <c r="BQ57" s="260">
        <f t="shared" si="9"/>
        <v>0</v>
      </c>
      <c r="BR57" s="85">
        <f>VLOOKUP($A57,TOCA_current!$A$2:$ZZ$136,MATCH(BR$4,TOCA_current!$A$2:$ZZ$2,0),FALSE)</f>
        <v>4.5605999999999997E-3</v>
      </c>
      <c r="BS57" s="85">
        <f>VLOOKUP($A57,TOCA_current!$A$2:$ZZ$136,MATCH(BS$4,TOCA_current!$A$2:$ZZ$2,0),FALSE)</f>
        <v>4.5605999999999997E-3</v>
      </c>
      <c r="BT57" s="108">
        <f t="shared" si="25"/>
        <v>0</v>
      </c>
      <c r="BU57" s="85">
        <f>VLOOKUP($A57,TOCA_current!A54:BG188,MATCH(BU$4,TOCA_current!$A$2:$BG$2,0),FALSE)</f>
        <v>0</v>
      </c>
      <c r="BV57" s="85">
        <f t="shared" si="26"/>
        <v>0</v>
      </c>
      <c r="BW57" s="85">
        <f t="shared" si="27"/>
        <v>0</v>
      </c>
      <c r="BX57" s="101">
        <f>VLOOKUP($A57,IRD!$A$4:$G$138, 7, FALSE)</f>
        <v>0</v>
      </c>
      <c r="BY57" s="102">
        <f t="array" ref="BY57">IF($BT57=0, INDEX(LS_current!$D$4:$BW$137, MATCH('Staging Table'!$A57, LS_current!$B$4:$B$137, 0), MATCH(BY$4&amp;BY$5, LS_current!$D$2:$BW$2&amp;LS_current!$D$3:$BW$3, 0)),SUM(VLOOKUP($A57, LS_current!$B$4:$BW$137, LS_current!D$147, FALSE), VLOOKUP($A57, LS_current!$B$4:$BW$137,LS_current!AZ$147, FALSE))/2)</f>
        <v>2274.4275128039662</v>
      </c>
      <c r="BZ57" s="102">
        <f t="array" ref="BZ57">IF($BT57=0, INDEX(LS_current!$D$4:$BW$137, MATCH('Staging Table'!$A57, LS_current!$B$4:$B$137, 0), MATCH(BZ$4&amp;BZ$5, LS_current!$D$2:$BW$2&amp;LS_current!$D$3:$BW$3, 0)),SUM(VLOOKUP($A57, LS_current!$B$4:$BW$137, LS_current!E$147, FALSE), VLOOKUP($A57, LS_current!$B$4:$BW$137,LS_current!BA$147, FALSE))/2)</f>
        <v>1671.0078190618551</v>
      </c>
      <c r="CA57" s="102">
        <f t="array" ref="CA57">IF($BT57=0, INDEX(LS_current!$D$4:$BW$137, MATCH('Staging Table'!$A57, LS_current!$B$4:$B$137, 0), MATCH(CA$4&amp;CA$5, LS_current!$D$2:$BW$2&amp;LS_current!$D$3:$BW$3, 0)),SUM(VLOOKUP($A57, LS_current!$B$4:$BW$137, LS_current!F$147, FALSE), VLOOKUP($A57, LS_current!$B$4:$BW$137,LS_current!BB$147, FALSE))/2)</f>
        <v>1426.76026573735</v>
      </c>
      <c r="CB57" s="102">
        <f t="array" ref="CB57">IF($BT57=0, INDEX(LS_current!$D$4:$BW$137, MATCH('Staging Table'!$A57, LS_current!$B$4:$B$137, 0), MATCH(CB$4&amp;CB$5, LS_current!$D$2:$BW$2&amp;LS_current!$D$3:$BW$3, 0)),SUM(VLOOKUP($A57, LS_current!$B$4:$BW$137, LS_current!G$147, FALSE), VLOOKUP($A57, LS_current!$B$4:$BW$137,LS_current!BC$147, FALSE))/2)</f>
        <v>2076.1352548757077</v>
      </c>
      <c r="CC57" s="102">
        <f t="array" ref="CC57">IF($BT57=0, INDEX(LS_current!$D$4:$BW$137, MATCH('Staging Table'!$A57, LS_current!$B$4:$B$137, 0), MATCH(CC$4&amp;CC$5, LS_current!$D$2:$BW$2&amp;LS_current!$D$3:$BW$3, 0)),SUM(VLOOKUP($A57, LS_current!$B$4:$BW$137, LS_current!H$147, FALSE), VLOOKUP($A57, LS_current!$B$4:$BW$137,LS_current!BD$147, FALSE))/2)</f>
        <v>2613.915578855991</v>
      </c>
      <c r="CD57" s="102">
        <f t="array" ref="CD57">IF($BT57=0, INDEX(LS_current!$D$4:$BW$137, MATCH('Staging Table'!$A57, LS_current!$B$4:$B$137, 0), MATCH(CD$4&amp;CD$5, LS_current!$D$2:$BW$2&amp;LS_current!$D$3:$BW$3, 0)),SUM(VLOOKUP($A57, LS_current!$B$4:$BW$137, LS_current!I$147, FALSE), VLOOKUP($A57, LS_current!$B$4:$BW$137,LS_current!BE$147, FALSE))/2)</f>
        <v>4564.7695438783012</v>
      </c>
      <c r="CE57" s="102">
        <f t="array" ref="CE57">IF($BT57=0, INDEX(LS_current!$D$4:$BW$137, MATCH('Staging Table'!$A57, LS_current!$B$4:$B$137, 0), MATCH(CE$4&amp;CE$5, LS_current!$D$2:$BW$2&amp;LS_current!$D$3:$BW$3, 0)),SUM(VLOOKUP($A57, LS_current!$B$4:$BW$137, LS_current!J$147, FALSE), VLOOKUP($A57, LS_current!$B$4:$BW$137,LS_current!BF$147, FALSE))/2)</f>
        <v>2347.5341930790855</v>
      </c>
      <c r="CF57" s="102">
        <f t="array" ref="CF57">IF($BT57=0, INDEX(LS_current!$D$4:$BW$137, MATCH('Staging Table'!$A57, LS_current!$B$4:$B$137, 0), MATCH(CF$4&amp;CF$5, LS_current!$D$2:$BW$2&amp;LS_current!$D$3:$BW$3, 0)),SUM(VLOOKUP($A57, LS_current!$B$4:$BW$137, LS_current!K$147, FALSE), VLOOKUP($A57, LS_current!$B$4:$BW$137,LS_current!BG$147, FALSE))/2)</f>
        <v>3741.7800397204446</v>
      </c>
      <c r="CG57" s="102">
        <f t="array" ref="CG57">IF($BT57=0, INDEX(LS_current!$D$4:$BW$137, MATCH('Staging Table'!$A57, LS_current!$B$4:$B$137, 0), MATCH(CG$4&amp;CG$5, LS_current!$D$2:$BW$2&amp;LS_current!$D$3:$BW$3, 0)),SUM(VLOOKUP($A57, LS_current!$B$4:$BW$137, LS_current!L$147, FALSE), VLOOKUP($A57, LS_current!$B$4:$BW$137,LS_current!BH$147, FALSE))/2)</f>
        <v>2474.5950924231656</v>
      </c>
      <c r="CH57" s="102">
        <f t="array" ref="CH57">IF($BT57=0, INDEX(LS_current!$D$4:$BW$137, MATCH('Staging Table'!$A57, LS_current!$B$4:$B$137, 0), MATCH(CH$4&amp;CH$5, LS_current!$D$2:$BW$2&amp;LS_current!$D$3:$BW$3, 0)),SUM(VLOOKUP($A57, LS_current!$B$4:$BW$137, LS_current!M$147, FALSE), VLOOKUP($A57, LS_current!$B$4:$BW$137,LS_current!BI$147, FALSE))/2)</f>
        <v>3129.8822221345654</v>
      </c>
      <c r="CI57" s="102">
        <f t="array" ref="CI57">IF($BT57=0, INDEX(LS_current!$D$4:$BW$137, MATCH('Staging Table'!$A57, LS_current!$B$4:$B$137, 0), MATCH(CI$4&amp;CI$5, LS_current!$D$2:$BW$2&amp;LS_current!$D$3:$BW$3, 0)),SUM(VLOOKUP($A57, LS_current!$B$4:$BW$137, LS_current!N$147, FALSE), VLOOKUP($A57, LS_current!$B$4:$BW$137,LS_current!BJ$147, FALSE))/2)</f>
        <v>31.181335321780352</v>
      </c>
      <c r="CJ57" s="102">
        <f t="array" ref="CJ57">IF($BT57=0, INDEX(LS_current!$D$4:$BW$137, MATCH('Staging Table'!$A57, LS_current!$B$4:$B$137, 0), MATCH(CJ$4&amp;CJ$5, LS_current!$D$2:$BW$2&amp;LS_current!$D$3:$BW$3, 0)),SUM(VLOOKUP($A57, LS_current!$B$4:$BW$137, LS_current!O$147, FALSE), VLOOKUP($A57, LS_current!$B$4:$BW$137,LS_current!BK$147, FALSE))/2)</f>
        <v>2066.3786845595841</v>
      </c>
      <c r="CK57" s="102">
        <f t="array" ref="CK57">IF($BT57=0, INDEX(LS_current!$D$4:$BW$137, MATCH('Staging Table'!$A57, LS_current!$B$4:$B$137, 0), MATCH(CK$4&amp;CK$5, LS_current!$D$2:$BW$2&amp;LS_current!$D$3:$BW$3, 0)),SUM(VLOOKUP($A57, LS_current!$B$4:$BW$137, LS_current!P$147, FALSE), VLOOKUP($A57, LS_current!$B$4:$BW$137,LS_current!BL$147, FALSE))/2)</f>
        <v>1394.5723911712721</v>
      </c>
      <c r="CL57" s="102">
        <f t="array" ref="CL57">IF($BT57=0, INDEX(LS_current!$D$4:$BW$137, MATCH('Staging Table'!$A57, LS_current!$B$4:$B$137, 0), MATCH(CL$4&amp;CL$5, LS_current!$D$2:$BW$2&amp;LS_current!$D$3:$BW$3, 0)),SUM(VLOOKUP($A57, LS_current!$B$4:$BW$137, LS_current!Q$147, FALSE), VLOOKUP($A57, LS_current!$B$4:$BW$137,LS_current!BM$147, FALSE))/2)</f>
        <v>1357.4453508657334</v>
      </c>
      <c r="CM57" s="102">
        <f t="array" ref="CM57">IF($BT57=0, INDEX(LS_current!$D$4:$BW$137, MATCH('Staging Table'!$A57, LS_current!$B$4:$B$137, 0), MATCH(CM$4&amp;CM$5, LS_current!$D$2:$BW$2&amp;LS_current!$D$3:$BW$3, 0)),SUM(VLOOKUP($A57, LS_current!$B$4:$BW$137, LS_current!R$147, FALSE), VLOOKUP($A57, LS_current!$B$4:$BW$137,LS_current!BN$147, FALSE))/2)</f>
        <v>-4266.6293255201308</v>
      </c>
      <c r="CN57" s="102">
        <f t="array" ref="CN57">IF($BT57=0, INDEX(LS_current!$D$4:$BW$137, MATCH('Staging Table'!$A57, LS_current!$B$4:$B$137, 0), MATCH(CN$4&amp;CN$5, LS_current!$D$2:$BW$2&amp;LS_current!$D$3:$BW$3, 0)),SUM(VLOOKUP($A57, LS_current!$B$4:$BW$137, LS_current!S$147, FALSE), VLOOKUP($A57, LS_current!$B$4:$BW$137,LS_current!BO$147, FALSE))/2)</f>
        <v>-2147.8294142300356</v>
      </c>
      <c r="CO57" s="102">
        <f t="array" ref="CO57">IF($BT57=0, INDEX(LS_current!$D$4:$BW$137, MATCH('Staging Table'!$A57, LS_current!$B$4:$B$137, 0), MATCH(CO$4&amp;CO$5, LS_current!$D$2:$BW$2&amp;LS_current!$D$3:$BW$3, 0)),SUM(VLOOKUP($A57, LS_current!$B$4:$BW$137, LS_current!T$147, FALSE), VLOOKUP($A57, LS_current!$B$4:$BW$137,LS_current!BP$147, FALSE))/2)</f>
        <v>-6245.118983281558</v>
      </c>
      <c r="CP57" s="102">
        <f t="array" ref="CP57">IF($BT57=0, INDEX(LS_current!$D$4:$BW$137, MATCH('Staging Table'!$A57, LS_current!$B$4:$B$137, 0), MATCH(CP$4&amp;CP$5, LS_current!$D$2:$BW$2&amp;LS_current!$D$3:$BW$3, 0)),SUM(VLOOKUP($A57, LS_current!$B$4:$BW$137, LS_current!U$147, FALSE), VLOOKUP($A57, LS_current!$B$4:$BW$137,LS_current!BQ$147, FALSE))/2)</f>
        <v>-2357.3430813317782</v>
      </c>
      <c r="CQ57" s="102">
        <f t="array" ref="CQ57">IF($BT57=0, INDEX(LS_current!$D$4:$BW$137, MATCH('Staging Table'!$A57, LS_current!$B$4:$B$137, 0), MATCH(CQ$4&amp;CQ$5, LS_current!$D$2:$BW$2&amp;LS_current!$D$3:$BW$3, 0)),SUM(VLOOKUP($A57, LS_current!$B$4:$BW$137, LS_current!V$147, FALSE), VLOOKUP($A57, LS_current!$B$4:$BW$137,LS_current!BR$147, FALSE))/2)</f>
        <v>-3180.3621719837593</v>
      </c>
      <c r="CR57" s="102">
        <f t="array" ref="CR57">IF($BT57=0, INDEX(LS_current!$D$4:$BW$137, MATCH('Staging Table'!$A57, LS_current!$B$4:$B$137, 0), MATCH(CR$4&amp;CR$5, LS_current!$D$2:$BW$2&amp;LS_current!$D$3:$BW$3, 0)),SUM(VLOOKUP($A57, LS_current!$B$4:$BW$137, LS_current!W$147, FALSE), VLOOKUP($A57, LS_current!$B$4:$BW$137,LS_current!BS$147, FALSE))/2)</f>
        <v>-776.41669713852934</v>
      </c>
      <c r="CS57" s="102">
        <f t="array" ref="CS57">IF($BT57=0, INDEX(LS_current!$D$4:$BW$137, MATCH('Staging Table'!$A57, LS_current!$B$4:$B$137, 0), MATCH(CS$4&amp;CS$5, LS_current!$D$2:$BW$2&amp;LS_current!$D$3:$BW$3, 0)),SUM(VLOOKUP($A57, LS_current!$B$4:$BW$137, LS_current!X$147, FALSE), VLOOKUP($A57, LS_current!$B$4:$BW$137,LS_current!BT$147, FALSE))/2)</f>
        <v>-3755.5345881891681</v>
      </c>
      <c r="CT57" s="102">
        <f t="array" ref="CT57">IF($BT57=0, INDEX(LS_current!$D$4:$BW$137, MATCH('Staging Table'!$A57, LS_current!$B$4:$B$137, 0), MATCH(CT$4&amp;CT$5, LS_current!$D$2:$BW$2&amp;LS_current!$D$3:$BW$3, 0)),SUM(VLOOKUP($A57, LS_current!$B$4:$BW$137, LS_current!Y$147, FALSE), VLOOKUP($A57, LS_current!$B$4:$BW$137,LS_current!BU$147, FALSE))/2)</f>
        <v>-429.99247393721453</v>
      </c>
      <c r="CU57" s="102">
        <f t="array" ref="CU57">IF($BT57=0, INDEX(LS_current!$D$4:$BW$137, MATCH('Staging Table'!$A57, LS_current!$B$4:$B$137, 0), MATCH(CU$4&amp;CU$5, LS_current!$D$2:$BW$2&amp;LS_current!$D$3:$BW$3, 0)),SUM(VLOOKUP($A57, LS_current!$B$4:$BW$137, LS_current!Z$147, FALSE), VLOOKUP($A57, LS_current!$B$4:$BW$137,LS_current!BV$147, FALSE))/2)</f>
        <v>-1110.3131087595029</v>
      </c>
      <c r="CV57" s="102">
        <f t="array" ref="CV57">IF($BT57=0, INDEX(LS_current!$D$4:$BW$137, MATCH('Staging Table'!$A57, LS_current!$B$4:$B$137, 0), MATCH(CV$4&amp;CV$5, LS_current!$D$2:$BW$2&amp;LS_current!$D$3:$BW$3, 0)),SUM(VLOOKUP($A57, LS_current!$B$4:$BW$137, LS_current!AA$147, FALSE), VLOOKUP($A57, LS_current!$B$4:$BW$137,LS_current!BW$147, FALSE))/2)</f>
        <v>-30.170850244468966</v>
      </c>
      <c r="CW57" s="103">
        <f t="array" ref="CW57">INDEX(Demand_current!$D$4:$BW$137, MATCH($A57, Demand_current!$B$4:$B$137, 0), MATCH(CW$4&amp;CW$5,Demand_current!$D$2:$BW$2&amp;Demand_current!$D$3:$BW$3, 0))/1000</f>
        <v>0.63541203703703542</v>
      </c>
      <c r="CX57" s="103">
        <f t="array" ref="CX57">INDEX(Demand_current!$D$4:$BW$137, MATCH($A57, Demand_current!$B$4:$B$137, 0), MATCH(CX$4&amp;CX$5,Demand_current!$D$2:$BW$2&amp;Demand_current!$D$3:$BW$3, 0))/1000</f>
        <v>0.56097916666665881</v>
      </c>
      <c r="CY57" s="103">
        <f t="array" ref="CY57">INDEX(Demand_current!$D$4:$BW$137, MATCH($A57, Demand_current!$B$4:$B$137, 0), MATCH(CY$4&amp;CY$5,Demand_current!$D$2:$BW$2&amp;Demand_current!$D$3:$BW$3, 0))/1000</f>
        <v>11.373814903846155</v>
      </c>
      <c r="CZ57" s="103">
        <f t="array" ref="CZ57">INDEX(Demand_current!$D$4:$BW$137, MATCH($A57, Demand_current!$B$4:$B$137, 0), MATCH(CZ$4&amp;CZ$5,Demand_current!$D$2:$BW$2&amp;Demand_current!$D$3:$BW$3, 0))/1000</f>
        <v>8.7531586538461461</v>
      </c>
      <c r="DA57" s="103">
        <f t="array" ref="DA57">INDEX(Demand_current!$D$4:$BW$137, MATCH($A57, Demand_current!$B$4:$B$137, 0), MATCH(DA$4&amp;DA$5,Demand_current!$D$2:$BW$2&amp;Demand_current!$D$3:$BW$3, 0))/1000</f>
        <v>7.0804635416666653</v>
      </c>
      <c r="DB57" s="103">
        <f t="array" ref="DB57">INDEX(Demand_current!$D$4:$BW$137, MATCH($A57, Demand_current!$B$4:$B$137, 0), MATCH(DB$4&amp;DB$5,Demand_current!$D$2:$BW$2&amp;Demand_current!$D$3:$BW$3, 0))/1000</f>
        <v>0.60023076923076946</v>
      </c>
      <c r="DC57" s="103">
        <f t="array" ref="DC57">INDEX(Demand_current!$D$4:$BW$137, MATCH($A57, Demand_current!$B$4:$B$137, 0), MATCH(DC$4&amp;DC$5,Demand_current!$D$2:$BW$2&amp;Demand_current!$D$3:$BW$3, 0))/1000</f>
        <v>5.4315576923076989</v>
      </c>
      <c r="DD57" s="103">
        <f t="array" ref="DD57">INDEX(Demand_current!$D$4:$BW$137, MATCH($A57, Demand_current!$B$4:$B$137, 0), MATCH(DD$4&amp;DD$5,Demand_current!$D$2:$BW$2&amp;Demand_current!$D$3:$BW$3, 0))/1000</f>
        <v>1.041637500000002</v>
      </c>
      <c r="DE57" s="103">
        <f t="array" ref="DE57">INDEX(Demand_current!$D$4:$BW$137, MATCH($A57, Demand_current!$B$4:$B$137, 0), MATCH(DE$4&amp;DE$5,Demand_current!$D$2:$BW$2&amp;Demand_current!$D$3:$BW$3, 0))/1000</f>
        <v>8.4429014423076918</v>
      </c>
      <c r="DF57" s="103">
        <f t="array" ref="DF57">INDEX(Demand_current!$D$4:$BW$137, MATCH($A57, Demand_current!$B$4:$B$137, 0), MATCH(DF$4&amp;DF$5,Demand_current!$D$2:$BW$2&amp;Demand_current!$D$3:$BW$3, 0))/1000</f>
        <v>9.2242860576923107</v>
      </c>
      <c r="DG57" s="103">
        <f t="array" ref="DG57">INDEX(Demand_current!$D$4:$BW$137, MATCH($A57, Demand_current!$B$4:$B$137, 0), MATCH(DG$4&amp;DG$5,Demand_current!$D$2:$BW$2&amp;Demand_current!$D$3:$BW$3, 0))/1000</f>
        <v>9.1292163461538429</v>
      </c>
      <c r="DH57" s="103">
        <f t="array" ref="DH57">INDEX(Demand_current!$D$4:$BW$137, MATCH($A57, Demand_current!$B$4:$B$137, 0), MATCH(DH$4&amp;DH$5,Demand_current!$D$2:$BW$2&amp;Demand_current!$D$3:$BW$3, 0))/1000</f>
        <v>5.8557150000000018</v>
      </c>
      <c r="DI57" s="102">
        <f>$BS57*(VLOOKUP(DI$4, Rates_current!$H$6:$R$41, 10, FALSE)+VLOOKUP(DI$4, Rates_current!$H$6:$R$41, 11, FALSE))</f>
        <v>18927.80166813418</v>
      </c>
      <c r="DJ57" s="102">
        <f>$BS57*(VLOOKUP(DJ$4, Rates_current!$H$6:$R$41, 10, FALSE)+VLOOKUP(DJ$4, Rates_current!$H$6:$R$41, 11, FALSE))</f>
        <v>24198.571479386945</v>
      </c>
      <c r="DK57" s="102">
        <f>$BS57*(VLOOKUP(DK$4, Rates_current!$H$6:$R$41, 10, FALSE)+VLOOKUP(DK$4, Rates_current!$H$6:$R$41, 11, FALSE))</f>
        <v>27511.751877265709</v>
      </c>
      <c r="DL57" s="102">
        <f>$BS57*(VLOOKUP(DL$4, Rates_current!$H$6:$R$41, 10, FALSE)+VLOOKUP(DL$4, Rates_current!$H$6:$R$41, 11, FALSE))</f>
        <v>29027.04576720047</v>
      </c>
      <c r="DM57" s="102">
        <f>$BS57*(VLOOKUP(DM$4, Rates_current!$H$6:$R$41, 10, FALSE)+VLOOKUP(DM$4, Rates_current!$H$6:$R$41, 11, FALSE))</f>
        <v>23131.935685442269</v>
      </c>
      <c r="DN57" s="102">
        <f>$BS57*(VLOOKUP(DN$4, Rates_current!$H$6:$R$41, 10, FALSE)+VLOOKUP(DN$4, Rates_current!$H$6:$R$41, 11, FALSE))</f>
        <v>25287.955980118637</v>
      </c>
      <c r="DO57" s="102">
        <f>$BS57*(VLOOKUP(DO$4, Rates_current!$H$6:$R$41, 10, FALSE)+VLOOKUP(DO$4, Rates_current!$H$6:$R$41, 11, FALSE))</f>
        <v>19598.420257962996</v>
      </c>
      <c r="DP57" s="102">
        <f>$BS57*(VLOOKUP(DP$4, Rates_current!$H$6:$R$41, 10, FALSE)+VLOOKUP(DP$4, Rates_current!$H$6:$R$41, 11, FALSE))</f>
        <v>25363.582739750167</v>
      </c>
      <c r="DQ57" s="102">
        <f>$BS57*(VLOOKUP(DQ$4, Rates_current!$H$6:$R$41, 10, FALSE)+VLOOKUP(DQ$4, Rates_current!$H$6:$R$41, 11, FALSE))</f>
        <v>25905.169064613336</v>
      </c>
      <c r="DR57" s="102">
        <f>$BS57*(VLOOKUP(DR$4, Rates_current!$H$6:$R$41, 10, FALSE)+VLOOKUP(DR$4, Rates_current!$H$6:$R$41, 11, FALSE))</f>
        <v>23057.840869122287</v>
      </c>
      <c r="DS57" s="102">
        <f>$BS57*(VLOOKUP(DS$4, Rates_current!$H$6:$R$41, 10, FALSE)+VLOOKUP(DS$4, Rates_current!$H$6:$R$41, 11, FALSE))</f>
        <v>23653.116062126384</v>
      </c>
      <c r="DT57" s="102">
        <f>$BS57*(VLOOKUP(DT$4, Rates_current!$H$6:$R$41, 10, FALSE)+VLOOKUP(DT$4, Rates_current!$H$6:$R$41, 11, FALSE))</f>
        <v>18369.479959003973</v>
      </c>
      <c r="DU57" s="261">
        <f>IF(D57=0,IF(C57=0,MAX(0,DW57 - (VLOOKUP($A57,TOCA_current!$A$2:$AV$136,MATCH("RHWM "&amp;Init!$D$1,TOCA_current!$A$2:$AV$2,0),FALSE)*$BS$2)), 0),0)</f>
        <v>6869.1227663846803</v>
      </c>
      <c r="DV57" s="262">
        <f>MIN(VLOOKUP($A57,TOCA_current!$A$2:$AV$136,MATCH("TRL - NLSL - Existing Resource "&amp;$BS$1,TOCA_current!$A$2:$AV$2,0),FALSE)*$BS$2, VLOOKUP($A57,TOCA_current!$A$2:$AV$136,MATCH("RHWM "&amp;Init!$D$1,TOCA_current!$A$2:$AV$2,0),FALSE)*$BS$2)</f>
        <v>284034.24</v>
      </c>
      <c r="DW57" s="262">
        <f>SUM(BY57:CV57)+(BS57*RT1SC!$C$4*$BS$2)</f>
        <v>290903.36276638467</v>
      </c>
      <c r="DX57" s="262">
        <f>VLOOKUP($A57,TOCA_current!$A$2:$AV$136,MATCH("Above RHWM Not Served with LS "&amp;$BS$1,TOCA_current!$A$2:$AV$2,0),FALSE)*$BS$2</f>
        <v>0</v>
      </c>
      <c r="DY57" s="262">
        <f t="shared" si="28"/>
        <v>6869.1227663846803</v>
      </c>
      <c r="DZ57" s="262">
        <f>(VLOOKUP($A57,TOCA_current!$A$2:$AV$136,MATCH("RHWM "&amp;Init!$D$1,TOCA_current!$A$2:$AV$2,0),FALSE)*$BS$2) - $DV57</f>
        <v>0</v>
      </c>
      <c r="EA57" s="262">
        <f t="shared" si="29"/>
        <v>0</v>
      </c>
      <c r="EB57" s="262">
        <f t="shared" si="30"/>
        <v>0</v>
      </c>
      <c r="EC57" s="262">
        <f t="shared" si="31"/>
        <v>0</v>
      </c>
      <c r="ED57" s="262">
        <f t="shared" si="32"/>
        <v>0</v>
      </c>
    </row>
    <row r="58" spans="1:134">
      <c r="A58" s="2">
        <v>10157</v>
      </c>
      <c r="B58" s="3" t="s">
        <v>60</v>
      </c>
      <c r="C58">
        <f>VLOOKUP(A58, TOCA_current!$A$3:$D$136, 4, FALSE)</f>
        <v>0</v>
      </c>
      <c r="D58">
        <v>0</v>
      </c>
      <c r="E58" s="84">
        <f>VLOOKUP($A58,TOCA_previous!$A$2:$AJ$136,MATCH(E$4,TOCA_previous!$A$2:$AJ$2,0),FALSE)</f>
        <v>7.2325000000000002E-3</v>
      </c>
      <c r="F58" s="85">
        <f>VLOOKUP($A58,TOCA_previous!$A$2:$AJ$136,MATCH(F$4,TOCA_previous!$A$2:$AJ$2,0),FALSE)</f>
        <v>7.2325000000000002E-3</v>
      </c>
      <c r="G58" s="85">
        <f t="shared" si="18"/>
        <v>0</v>
      </c>
      <c r="H58" s="85">
        <f>VLOOKUP($A58,TOCA_previous!$A$2:$AJ$136,MATCH(H$4,TOCA_previous!$A$2:$AJ$2,0),FALSE)</f>
        <v>6.0294347251691416E-2</v>
      </c>
      <c r="I58" s="85">
        <f t="shared" si="19"/>
        <v>0</v>
      </c>
      <c r="J58" s="85">
        <f t="shared" si="20"/>
        <v>0</v>
      </c>
      <c r="K58" s="101">
        <f>VLOOKUP(A58, IRD!$A$5:$C$138, 3, FALSE)</f>
        <v>0</v>
      </c>
      <c r="L58" s="102">
        <f t="array" ref="L58">IF($G58=0, INDEX(LS_previous!$D$4:$AY$137, MATCH('Staging Table'!$A58, LS_previous!$B$4:$B$137, 0), MATCH(L$4&amp;L$5, LS_previous!$D$2:$AY$2&amp;LS_previous!$D$3:$AY$3, 0)),SUM(VLOOKUP($A58, LS_previous!$B$4:$AY$137, LS_previous!D$148, FALSE), VLOOKUP('Staging Table'!$A58, LS_previous!$B$4:$AY$137,LS_previous!AB$148, FALSE))/2)</f>
        <v>4682.5885096299971</v>
      </c>
      <c r="M58" s="102">
        <f t="array" ref="M58">IF($G58=0, INDEX(LS_previous!$D$4:$AY$137, MATCH('Staging Table'!$A58, LS_previous!$B$4:$B$137, 0), MATCH(M$4&amp;M$5, LS_previous!$D$2:$AY$2&amp;LS_previous!$D$3:$AY$3, 0)),SUM(VLOOKUP($A58, LS_previous!$B$4:$AY$137, LS_previous!E$148, FALSE), VLOOKUP('Staging Table'!$A58, LS_previous!$B$4:$AY$137,LS_previous!AC$148, FALSE))/2)</f>
        <v>1614.3502853212522</v>
      </c>
      <c r="N58" s="102">
        <f t="array" ref="N58">IF($G58=0, INDEX(LS_previous!$D$4:$AY$137, MATCH('Staging Table'!$A58, LS_previous!$B$4:$B$137, 0), MATCH(N$4&amp;N$5, LS_previous!$D$2:$AY$2&amp;LS_previous!$D$3:$AY$3, 0)),SUM(VLOOKUP($A58, LS_previous!$B$4:$AY$137, LS_previous!F$148, FALSE), VLOOKUP('Staging Table'!$A58, LS_previous!$B$4:$AY$137,LS_previous!AD$148, FALSE))/2)</f>
        <v>546.15840024000136</v>
      </c>
      <c r="O58" s="102">
        <f t="array" ref="O58">IF($G58=0, INDEX(LS_previous!$D$4:$AY$137, MATCH('Staging Table'!$A58, LS_previous!$B$4:$B$137, 0), MATCH(O$4&amp;O$5, LS_previous!$D$2:$AY$2&amp;LS_previous!$D$3:$AY$3, 0)),SUM(VLOOKUP($A58, LS_previous!$B$4:$AY$137, LS_previous!G$148, FALSE), VLOOKUP('Staging Table'!$A58, LS_previous!$B$4:$AY$137,LS_previous!AE$148, FALSE))/2)</f>
        <v>524.51980129249932</v>
      </c>
      <c r="P58" s="102">
        <f t="array" ref="P58">IF($G58=0, INDEX(LS_previous!$D$4:$AY$137, MATCH('Staging Table'!$A58, LS_previous!$B$4:$B$137, 0), MATCH(P$4&amp;P$5, LS_previous!$D$2:$AY$2&amp;LS_previous!$D$3:$AY$3, 0)),SUM(VLOOKUP($A58, LS_previous!$B$4:$AY$137, LS_previous!H$148, FALSE), VLOOKUP('Staging Table'!$A58, LS_previous!$B$4:$AY$137,LS_previous!AF$148, FALSE))/2)</f>
        <v>5926.6778926824991</v>
      </c>
      <c r="Q58" s="102">
        <f t="array" ref="Q58">IF($G58=0, INDEX(LS_previous!$D$4:$AY$137, MATCH('Staging Table'!$A58, LS_previous!$B$4:$B$137, 0), MATCH(Q$4&amp;Q$5, LS_previous!$D$2:$AY$2&amp;LS_previous!$D$3:$AY$3, 0)),SUM(VLOOKUP($A58, LS_previous!$B$4:$AY$137, LS_previous!I$148, FALSE), VLOOKUP('Staging Table'!$A58, LS_previous!$B$4:$AY$137,LS_previous!AG$148, FALSE))/2)</f>
        <v>3990.1305936800018</v>
      </c>
      <c r="R58" s="102">
        <f t="array" ref="R58">IF($G58=0, INDEX(LS_previous!$D$4:$AY$137, MATCH('Staging Table'!$A58, LS_previous!$B$4:$B$137, 0), MATCH(R$4&amp;R$5, LS_previous!$D$2:$AY$2&amp;LS_previous!$D$3:$AY$3, 0)),SUM(VLOOKUP($A58, LS_previous!$B$4:$AY$137, LS_previous!J$148, FALSE), VLOOKUP('Staging Table'!$A58, LS_previous!$B$4:$AY$137,LS_previous!AH$148, FALSE))/2)</f>
        <v>3513.7226712625015</v>
      </c>
      <c r="S58" s="102">
        <f t="array" ref="S58">IF($G58=0, INDEX(LS_previous!$D$4:$AY$137, MATCH('Staging Table'!$A58, LS_previous!$B$4:$B$137, 0), MATCH(S$4&amp;S$5, LS_previous!$D$2:$AY$2&amp;LS_previous!$D$3:$AY$3, 0)),SUM(VLOOKUP($A58, LS_previous!$B$4:$AY$137, LS_previous!K$148, FALSE), VLOOKUP('Staging Table'!$A58, LS_previous!$B$4:$AY$137,LS_previous!AI$148, FALSE))/2)</f>
        <v>5174.5107052575004</v>
      </c>
      <c r="T58" s="102">
        <f t="array" ref="T58">IF($G58=0, INDEX(LS_previous!$D$4:$AY$137, MATCH('Staging Table'!$A58, LS_previous!$B$4:$B$137, 0), MATCH(T$4&amp;T$5, LS_previous!$D$2:$AY$2&amp;LS_previous!$D$3:$AY$3, 0)),SUM(VLOOKUP($A58, LS_previous!$B$4:$AY$137, LS_previous!L$148, FALSE), VLOOKUP('Staging Table'!$A58, LS_previous!$B$4:$AY$137,LS_previous!AJ$148, FALSE))/2)</f>
        <v>2142.8568051324983</v>
      </c>
      <c r="U58" s="102">
        <f t="array" ref="U58">IF($G58=0, INDEX(LS_previous!$D$4:$AY$137, MATCH('Staging Table'!$A58, LS_previous!$B$4:$B$137, 0), MATCH(U$4&amp;U$5, LS_previous!$D$2:$AY$2&amp;LS_previous!$D$3:$AY$3, 0)),SUM(VLOOKUP($A58, LS_previous!$B$4:$AY$137, LS_previous!M$148, FALSE), VLOOKUP('Staging Table'!$A58, LS_previous!$B$4:$AY$137,LS_previous!AK$148, FALSE))/2)</f>
        <v>2034.5440815325001</v>
      </c>
      <c r="V58" s="102">
        <f t="array" ref="V58">IF($G58=0, INDEX(LS_previous!$D$4:$AY$137, MATCH('Staging Table'!$A58, LS_previous!$B$4:$B$137, 0), MATCH(V$4&amp;V$5, LS_previous!$D$2:$AY$2&amp;LS_previous!$D$3:$AY$3, 0)),SUM(VLOOKUP($A58, LS_previous!$B$4:$AY$137, LS_previous!N$148, FALSE), VLOOKUP('Staging Table'!$A58, LS_previous!$B$4:$AY$137,LS_previous!AL$148, FALSE))/2)</f>
        <v>1289.0320152275017</v>
      </c>
      <c r="W58" s="102">
        <f t="array" ref="W58">IF($G58=0, INDEX(LS_previous!$D$4:$AY$137, MATCH('Staging Table'!$A58, LS_previous!$B$4:$B$137, 0), MATCH(W$4&amp;W$5, LS_previous!$D$2:$AY$2&amp;LS_previous!$D$3:$AY$3, 0)),SUM(VLOOKUP($A58, LS_previous!$B$4:$AY$137, LS_previous!O$148, FALSE), VLOOKUP('Staging Table'!$A58, LS_previous!$B$4:$AY$137,LS_previous!AM$148, FALSE))/2)</f>
        <v>-71.214509385003112</v>
      </c>
      <c r="X58" s="102">
        <f t="array" ref="X58">IF($G58=0, INDEX(LS_previous!$D$4:$AY$137, MATCH('Staging Table'!$A58, LS_previous!$B$4:$B$137, 0), MATCH(X$4&amp;X$5, LS_previous!$D$2:$AY$2&amp;LS_previous!$D$3:$AY$3, 0)),SUM(VLOOKUP($A58, LS_previous!$B$4:$AY$137, LS_previous!P$148, FALSE), VLOOKUP('Staging Table'!$A58, LS_previous!$B$4:$AY$137,LS_previous!AN$148, FALSE))/2)</f>
        <v>2953.5137492312533</v>
      </c>
      <c r="Y58" s="102">
        <f t="array" ref="Y58">IF($G58=0, INDEX(LS_previous!$D$4:$AY$137, MATCH('Staging Table'!$A58, LS_previous!$B$4:$B$137, 0), MATCH(Y$4&amp;Y$5, LS_previous!$D$2:$AY$2&amp;LS_previous!$D$3:$AY$3, 0)),SUM(VLOOKUP($A58, LS_previous!$B$4:$AY$137, LS_previous!Q$148, FALSE), VLOOKUP('Staging Table'!$A58, LS_previous!$B$4:$AY$137,LS_previous!AO$148, FALSE))/2)</f>
        <v>1369.8881378931237</v>
      </c>
      <c r="Z58" s="102">
        <f t="array" ref="Z58">IF($G58=0, INDEX(LS_previous!$D$4:$AY$137, MATCH('Staging Table'!$A58, LS_previous!$B$4:$B$137, 0), MATCH(Z$4&amp;Z$5, LS_previous!$D$2:$AY$2&amp;LS_previous!$D$3:$AY$3, 0)),SUM(VLOOKUP($A58, LS_previous!$B$4:$AY$137, LS_previous!R$148, FALSE), VLOOKUP('Staging Table'!$A58, LS_previous!$B$4:$AY$137,LS_previous!AP$148, FALSE))/2)</f>
        <v>-3753.76135316</v>
      </c>
      <c r="AA58" s="102">
        <f t="array" ref="AA58">IF($G58=0, INDEX(LS_previous!$D$4:$AY$137, MATCH('Staging Table'!$A58, LS_previous!$B$4:$B$137, 0), MATCH(AA$4&amp;AA$5, LS_previous!$D$2:$AY$2&amp;LS_previous!$D$3:$AY$3, 0)),SUM(VLOOKUP($A58, LS_previous!$B$4:$AY$137, LS_previous!S$148, FALSE), VLOOKUP('Staging Table'!$A58, LS_previous!$B$4:$AY$137,LS_previous!AQ$148, FALSE))/2)</f>
        <v>-2755.9206888512472</v>
      </c>
      <c r="AB58" s="102">
        <f t="array" ref="AB58">IF($G58=0, INDEX(LS_previous!$D$4:$AY$137, MATCH('Staging Table'!$A58, LS_previous!$B$4:$B$137, 0), MATCH(AB$4&amp;AB$5, LS_previous!$D$2:$AY$2&amp;LS_previous!$D$3:$AY$3, 0)),SUM(VLOOKUP($A58, LS_previous!$B$4:$AY$137, LS_previous!T$148, FALSE), VLOOKUP('Staging Table'!$A58, LS_previous!$B$4:$AY$137,LS_previous!AR$148, FALSE))/2)</f>
        <v>-4528.7523247949975</v>
      </c>
      <c r="AC58" s="102">
        <f t="array" ref="AC58">IF($G58=0, INDEX(LS_previous!$D$4:$AY$137, MATCH('Staging Table'!$A58, LS_previous!$B$4:$B$137, 0), MATCH(AC$4&amp;AC$5, LS_previous!$D$2:$AY$2&amp;LS_previous!$D$3:$AY$3, 0)),SUM(VLOOKUP($A58, LS_previous!$B$4:$AY$137, LS_previous!U$148, FALSE), VLOOKUP('Staging Table'!$A58, LS_previous!$B$4:$AY$137,LS_previous!AS$148, FALSE))/2)</f>
        <v>-3058.9248316712528</v>
      </c>
      <c r="AD58" s="102">
        <f t="array" ref="AD58">IF($G58=0, INDEX(LS_previous!$D$4:$AY$137, MATCH('Staging Table'!$A58, LS_previous!$B$4:$B$137, 0), MATCH(AD$4&amp;AD$5, LS_previous!$D$2:$AY$2&amp;LS_previous!$D$3:$AY$3, 0)),SUM(VLOOKUP($A58, LS_previous!$B$4:$AY$137, LS_previous!V$148, FALSE), VLOOKUP('Staging Table'!$A58, LS_previous!$B$4:$AY$137,LS_previous!AT$148, FALSE))/2)</f>
        <v>121.09576686999571</v>
      </c>
      <c r="AE58" s="102">
        <f t="array" ref="AE58">IF($G58=0, INDEX(LS_previous!$D$4:$AY$137, MATCH('Staging Table'!$A58, LS_previous!$B$4:$B$137, 0), MATCH(AE$4&amp;AE$5, LS_previous!$D$2:$AY$2&amp;LS_previous!$D$3:$AY$3, 0)),SUM(VLOOKUP($A58, LS_previous!$B$4:$AY$137, LS_previous!W$148, FALSE), VLOOKUP('Staging Table'!$A58, LS_previous!$B$4:$AY$137,LS_previous!AU$148, FALSE))/2)</f>
        <v>583.56259660625074</v>
      </c>
      <c r="AF58" s="102">
        <f t="array" ref="AF58">IF($G58=0, INDEX(LS_previous!$D$4:$AY$137, MATCH('Staging Table'!$A58, LS_previous!$B$4:$B$137, 0), MATCH(AF$4&amp;AF$5, LS_previous!$D$2:$AY$2&amp;LS_previous!$D$3:$AY$3, 0)),SUM(VLOOKUP($A58, LS_previous!$B$4:$AY$137, LS_previous!X$148, FALSE), VLOOKUP('Staging Table'!$A58, LS_previous!$B$4:$AY$137,LS_previous!AV$148, FALSE))/2)</f>
        <v>1875.4833346262531</v>
      </c>
      <c r="AG58" s="102">
        <f t="array" ref="AG58">IF($G58=0, INDEX(LS_previous!$D$4:$AY$137, MATCH('Staging Table'!$A58, LS_previous!$B$4:$B$137, 0), MATCH(AG$4&amp;AG$5, LS_previous!$D$2:$AY$2&amp;LS_previous!$D$3:$AY$3, 0)),SUM(VLOOKUP($A58, LS_previous!$B$4:$AY$137, LS_previous!Y$148, FALSE), VLOOKUP('Staging Table'!$A58, LS_previous!$B$4:$AY$137,LS_previous!AW$148, FALSE))/2)</f>
        <v>-227.4416625151207</v>
      </c>
      <c r="AH58" s="102">
        <f t="array" ref="AH58">IF($G58=0, INDEX(LS_previous!$D$4:$AY$137, MATCH('Staging Table'!$A58, LS_previous!$B$4:$B$137, 0), MATCH(AH$4&amp;AH$5, LS_previous!$D$2:$AY$2&amp;LS_previous!$D$3:$AY$3, 0)),SUM(VLOOKUP($A58, LS_previous!$B$4:$AY$137, LS_previous!Z$148, FALSE), VLOOKUP('Staging Table'!$A58, LS_previous!$B$4:$AY$137,LS_previous!AX$148, FALSE))/2)</f>
        <v>734.76293329499458</v>
      </c>
      <c r="AI58" s="102">
        <f t="array" ref="AI58">IF($G58=0, INDEX(LS_previous!$D$4:$AY$137, MATCH('Staging Table'!$A58, LS_previous!$B$4:$B$137, 0), MATCH(AI$4&amp;AI$5, LS_previous!$D$2:$AY$2&amp;LS_previous!$D$3:$AY$3, 0)),SUM(VLOOKUP($A58, LS_previous!$B$4:$AY$137, LS_previous!AA$148, FALSE), VLOOKUP('Staging Table'!$A58, LS_previous!$B$4:$AY$137,LS_previous!AY$148, FALSE))/2)</f>
        <v>-642.40104468000027</v>
      </c>
      <c r="AJ58" s="103">
        <f t="array" ref="AJ58">INDEX(Demand_previous!$D$4:$AY$137, MATCH('Staging Table'!$A58, Demand_previous!$B$4:$B$137, 0), MATCH(AJ$4&amp;AJ$5,Demand_previous!$D$2:$AY$2&amp;Demand_previous!$D$3:$AY$3, 0))/1000</f>
        <v>18.506971153846155</v>
      </c>
      <c r="AK58" s="103">
        <f t="array" ref="AK58">INDEX(Demand_previous!$D$4:$AY$137, MATCH('Staging Table'!$A58, Demand_previous!$B$4:$B$137, 0), MATCH(AK$4&amp;AK$5,Demand_previous!$D$2:$AY$2&amp;Demand_previous!$D$3:$AY$3, 0))/1000</f>
        <v>14.335592500000004</v>
      </c>
      <c r="AL58" s="103">
        <f t="array" ref="AL58">INDEX(Demand_previous!$D$4:$AY$137, MATCH('Staging Table'!$A58, Demand_previous!$B$4:$B$137, 0), MATCH(AL$4&amp;AL$5,Demand_previous!$D$2:$AY$2&amp;Demand_previous!$D$3:$AY$3, 0))/1000</f>
        <v>15.397022500000006</v>
      </c>
      <c r="AM58" s="103">
        <f t="array" ref="AM58">INDEX(Demand_previous!$D$4:$AY$137, MATCH('Staging Table'!$A58, Demand_previous!$B$4:$B$137, 0), MATCH(AM$4&amp;AM$5,Demand_previous!$D$2:$AY$2&amp;Demand_previous!$D$3:$AY$3, 0))/1000</f>
        <v>23.933036057692291</v>
      </c>
      <c r="AN58" s="103">
        <f t="array" ref="AN58">INDEX(Demand_previous!$D$4:$AY$137, MATCH('Staging Table'!$A58, Demand_previous!$B$4:$B$137, 0), MATCH(AN$4&amp;AN$5,Demand_previous!$D$2:$AY$2&amp;Demand_previous!$D$3:$AY$3, 0))/1000</f>
        <v>0.91130750000001381</v>
      </c>
      <c r="AO58" s="103">
        <f t="array" ref="AO58">INDEX(Demand_previous!$D$4:$AY$137, MATCH('Staging Table'!$A58, Demand_previous!$B$4:$B$137, 0), MATCH(AO$4&amp;AO$5,Demand_previous!$D$2:$AY$2&amp;Demand_previous!$D$3:$AY$3, 0))/1000</f>
        <v>10.711144230769236</v>
      </c>
      <c r="AP58" s="103">
        <f t="array" ref="AP58">INDEX(Demand_previous!$D$4:$AY$137, MATCH('Staging Table'!$A58, Demand_previous!$B$4:$B$137, 0), MATCH(AP$4&amp;AP$5,Demand_previous!$D$2:$AY$2&amp;Demand_previous!$D$3:$AY$3, 0))/1000</f>
        <v>10.178807692307686</v>
      </c>
      <c r="AQ58" s="103">
        <f t="array" ref="AQ58">INDEX(Demand_previous!$D$4:$AY$137, MATCH('Staging Table'!$A58, Demand_previous!$B$4:$B$137, 0), MATCH(AQ$4&amp;AQ$5,Demand_previous!$D$2:$AY$2&amp;Demand_previous!$D$3:$AY$3, 0))/1000</f>
        <v>0</v>
      </c>
      <c r="AR58" s="103">
        <f t="array" ref="AR58">INDEX(Demand_previous!$D$4:$AY$137, MATCH('Staging Table'!$A58, Demand_previous!$B$4:$B$137, 0), MATCH(AR$4&amp;AR$5,Demand_previous!$D$2:$AY$2&amp;Demand_previous!$D$3:$AY$3, 0))/1000</f>
        <v>14.807487499999985</v>
      </c>
      <c r="AS58" s="103">
        <f t="array" ref="AS58">INDEX(Demand_previous!$D$4:$AY$137, MATCH('Staging Table'!$A58, Demand_previous!$B$4:$B$137, 0), MATCH(AS$4&amp;AS$5,Demand_previous!$D$2:$AY$2&amp;Demand_previous!$D$3:$AY$3, 0))/1000</f>
        <v>12.81139663461539</v>
      </c>
      <c r="AT58" s="103">
        <f t="array" ref="AT58">INDEX(Demand_previous!$D$4:$AY$137, MATCH('Staging Table'!$A58, Demand_previous!$B$4:$B$137, 0), MATCH(AT$4&amp;AT$5,Demand_previous!$D$2:$AY$2&amp;Demand_previous!$D$3:$AY$3, 0))/1000</f>
        <v>16.38606712962962</v>
      </c>
      <c r="AU58" s="103">
        <f t="array" ref="AU58">INDEX(Demand_previous!$D$4:$AY$137, MATCH('Staging Table'!$A58, Demand_previous!$B$4:$B$137, 0), MATCH(AU$4&amp;AU$5,Demand_previous!$D$2:$AY$2&amp;Demand_previous!$D$3:$AY$3, 0))/1000</f>
        <v>8.519541666666683</v>
      </c>
      <c r="AV58" s="102">
        <f>$F58*(VLOOKUP(AV$4, Rates_previous!$G$6:$Q$29, 10, FALSE)+VLOOKUP(AV$4, Rates_previous!$G$6:$Q$29, 11, FALSE))</f>
        <v>30512.498205048752</v>
      </c>
      <c r="AW58" s="102">
        <f>$F58*(VLOOKUP(AW$4, Rates_previous!$G$6:$Q$29, 10, FALSE)+VLOOKUP(AW$4, Rates_previous!$G$6:$Q$29, 11, FALSE))</f>
        <v>38913.49679846751</v>
      </c>
      <c r="AX58" s="102">
        <f>$F58*(VLOOKUP(AX$4, Rates_previous!$G$6:$Q$29, 10, FALSE)+VLOOKUP(AX$4, Rates_previous!$G$6:$Q$29, 11, FALSE))</f>
        <v>41995.362513637505</v>
      </c>
      <c r="AY58" s="102">
        <f>$F58*(VLOOKUP(AY$4, Rates_previous!$G$6:$Q$29, 10, FALSE)+VLOOKUP(AY$4, Rates_previous!$G$6:$Q$29, 11, FALSE))</f>
        <v>43639.673623479997</v>
      </c>
      <c r="AZ58" s="102">
        <f>$F58*(VLOOKUP(AZ$4, Rates_previous!$G$6:$Q$29, 10, FALSE)+VLOOKUP(AZ$4, Rates_previous!$G$6:$Q$29, 11, FALSE))</f>
        <v>37535.936113334996</v>
      </c>
      <c r="BA58" s="102">
        <f>$F58*(VLOOKUP(BA$4, Rates_previous!$G$6:$Q$29, 10, FALSE)+VLOOKUP(BA$4, Rates_previous!$G$6:$Q$29, 11, FALSE))</f>
        <v>40981.8104941575</v>
      </c>
      <c r="BB58" s="102">
        <f>$F58*(VLOOKUP(BB$4, Rates_previous!$G$6:$Q$29, 10, FALSE)+VLOOKUP(BB$4, Rates_previous!$G$6:$Q$29, 11, FALSE))</f>
        <v>32348.233112875623</v>
      </c>
      <c r="BC58" s="102">
        <f>$F58*(VLOOKUP(BC$4, Rates_previous!$G$6:$Q$29, 10, FALSE)+VLOOKUP(BC$4, Rates_previous!$G$6:$Q$29, 11, FALSE))</f>
        <v>40132.318042011255</v>
      </c>
      <c r="BD58" s="102">
        <f>$F58*(VLOOKUP(BD$4, Rates_previous!$G$6:$Q$29, 10, FALSE)+VLOOKUP(BD$4, Rates_previous!$G$6:$Q$29, 11, FALSE))</f>
        <v>41003.089156466245</v>
      </c>
      <c r="BE58" s="102">
        <f>$F58*(VLOOKUP(BE$4, Rates_previous!$G$6:$Q$29, 10, FALSE)+VLOOKUP(BE$4, Rates_previous!$G$6:$Q$29, 11, FALSE))</f>
        <v>35596.588636523753</v>
      </c>
      <c r="BF58" s="102">
        <f>$F58*(VLOOKUP(BF$4, Rates_previous!$G$6:$Q$29, 10, FALSE)+VLOOKUP(BF$4, Rates_previous!$G$6:$Q$29, 11, FALSE))</f>
        <v>34412.439327888882</v>
      </c>
      <c r="BG58" s="102">
        <f>$F58*(VLOOKUP(BG$4, Rates_previous!$G$6:$Q$29, 10, FALSE)+VLOOKUP(BG$4, Rates_previous!$G$6:$Q$29, 11, FALSE))</f>
        <v>31666.108111385005</v>
      </c>
      <c r="BH58" s="103">
        <f>IF($D58=0,IF(C58=0, MAX(BJ58 - (VLOOKUP($A58,TOCA_previous!$A$2:$AJ$136,MATCH("RHWM "&amp;Init!$D$1-2,TOCA_previous!$A$2:$AJ$2,0),FALSE)*$F$2*TOCA_previous!C55),0),0), 0)</f>
        <v>33945.466056923033</v>
      </c>
      <c r="BI58" s="109">
        <f>MIN(VLOOKUP($A58,TOCA_previous!$A$2:$AJ$136,MATCH("TRL - NLSL - Existing Resource "&amp;$F$1,TOCA_previous!$A$2:$AJ$2,0),FALSE)*$F$2,(VLOOKUP($A58,TOCA_previous!$A$2:$AJ$136,MATCH("RHWM "&amp;Init!$D$1-2,TOCA_previous!$A$2:$AJ$2,0),FALSE)*$F$2))</f>
        <v>438831.07199999999</v>
      </c>
      <c r="BJ58" s="261">
        <f>SUM(L58:AI58)+(F58*RT1SC!$C$3*$F$2)</f>
        <v>472776.53805692302</v>
      </c>
      <c r="BK58" s="260">
        <f>VLOOKUP($A58,TOCA_previous!$A$2:$AJ$136,MATCH("Above RHWM Not Served with LS "&amp;$F$1,TOCA_previous!$A$2:$AJ$2,0),FALSE)*$F$2</f>
        <v>42242.256000000001</v>
      </c>
      <c r="BL58" s="261">
        <f t="shared" si="21"/>
        <v>33945.466056923033</v>
      </c>
      <c r="BM58" s="260">
        <f>(VLOOKUP($A58,TOCA_previous!$A$2:$AJ$136,MATCH("RHWM "&amp;Init!$D$1-2,TOCA_previous!$A$2:$AJ$2,0),FALSE)*$F$2) - $BI58</f>
        <v>0</v>
      </c>
      <c r="BN58" s="261">
        <f t="shared" si="22"/>
        <v>0</v>
      </c>
      <c r="BO58" s="260">
        <f t="shared" si="23"/>
        <v>0</v>
      </c>
      <c r="BP58" s="261">
        <f t="shared" si="24"/>
        <v>0</v>
      </c>
      <c r="BQ58" s="260">
        <f t="shared" si="9"/>
        <v>0</v>
      </c>
      <c r="BR58" s="85">
        <f>VLOOKUP($A58,TOCA_current!$A$2:$ZZ$136,MATCH(BR$4,TOCA_current!$A$2:$ZZ$2,0),FALSE)</f>
        <v>7.0673999999999997E-3</v>
      </c>
      <c r="BS58" s="85">
        <f>VLOOKUP($A58,TOCA_current!$A$2:$ZZ$136,MATCH(BS$4,TOCA_current!$A$2:$ZZ$2,0),FALSE)</f>
        <v>7.0673999999999997E-3</v>
      </c>
      <c r="BT58" s="108">
        <f t="shared" si="25"/>
        <v>0</v>
      </c>
      <c r="BU58" s="85">
        <f>VLOOKUP($A58,TOCA_current!A55:BG189,MATCH(BU$4,TOCA_current!$A$2:$BG$2,0),FALSE)</f>
        <v>6.4354575488596105E-2</v>
      </c>
      <c r="BV58" s="85">
        <f t="shared" si="26"/>
        <v>0</v>
      </c>
      <c r="BW58" s="85">
        <f t="shared" si="27"/>
        <v>0</v>
      </c>
      <c r="BX58" s="101">
        <f>VLOOKUP($A58,IRD!$A$4:$G$138, 7, FALSE)</f>
        <v>0</v>
      </c>
      <c r="BY58" s="102">
        <f t="array" ref="BY58">IF($BT58=0, INDEX(LS_current!$D$4:$BW$137, MATCH('Staging Table'!$A58, LS_current!$B$4:$B$137, 0), MATCH(BY$4&amp;BY$5, LS_current!$D$2:$BW$2&amp;LS_current!$D$3:$BW$3, 0)),SUM(VLOOKUP($A58, LS_current!$B$4:$BW$137, LS_current!D$147, FALSE), VLOOKUP($A58, LS_current!$B$4:$BW$137,LS_current!AZ$147, FALSE))/2)</f>
        <v>3175.2135902273258</v>
      </c>
      <c r="BZ58" s="102">
        <f t="array" ref="BZ58">IF($BT58=0, INDEX(LS_current!$D$4:$BW$137, MATCH('Staging Table'!$A58, LS_current!$B$4:$B$137, 0), MATCH(BZ$4&amp;BZ$5, LS_current!$D$2:$BW$2&amp;LS_current!$D$3:$BW$3, 0)),SUM(VLOOKUP($A58, LS_current!$B$4:$BW$137, LS_current!E$147, FALSE), VLOOKUP($A58, LS_current!$B$4:$BW$137,LS_current!BA$147, FALSE))/2)</f>
        <v>1522.1527642059737</v>
      </c>
      <c r="CA58" s="102">
        <f t="array" ref="CA58">IF($BT58=0, INDEX(LS_current!$D$4:$BW$137, MATCH('Staging Table'!$A58, LS_current!$B$4:$B$137, 0), MATCH(CA$4&amp;CA$5, LS_current!$D$2:$BW$2&amp;LS_current!$D$3:$BW$3, 0)),SUM(VLOOKUP($A58, LS_current!$B$4:$BW$137, LS_current!F$147, FALSE), VLOOKUP($A58, LS_current!$B$4:$BW$137,LS_current!BB$147, FALSE))/2)</f>
        <v>143.24717867652362</v>
      </c>
      <c r="CB58" s="102">
        <f t="array" ref="CB58">IF($BT58=0, INDEX(LS_current!$D$4:$BW$137, MATCH('Staging Table'!$A58, LS_current!$B$4:$B$137, 0), MATCH(CB$4&amp;CB$5, LS_current!$D$2:$BW$2&amp;LS_current!$D$3:$BW$3, 0)),SUM(VLOOKUP($A58, LS_current!$B$4:$BW$137, LS_current!G$147, FALSE), VLOOKUP($A58, LS_current!$B$4:$BW$137,LS_current!BC$147, FALSE))/2)</f>
        <v>-353.11678237324486</v>
      </c>
      <c r="CC58" s="102">
        <f t="array" ref="CC58">IF($BT58=0, INDEX(LS_current!$D$4:$BW$137, MATCH('Staging Table'!$A58, LS_current!$B$4:$B$137, 0), MATCH(CC$4&amp;CC$5, LS_current!$D$2:$BW$2&amp;LS_current!$D$3:$BW$3, 0)),SUM(VLOOKUP($A58, LS_current!$B$4:$BW$137, LS_current!H$147, FALSE), VLOOKUP($A58, LS_current!$B$4:$BW$137,LS_current!BD$147, FALSE))/2)</f>
        <v>2428.1363519727274</v>
      </c>
      <c r="CD58" s="102">
        <f t="array" ref="CD58">IF($BT58=0, INDEX(LS_current!$D$4:$BW$137, MATCH('Staging Table'!$A58, LS_current!$B$4:$B$137, 0), MATCH(CD$4&amp;CD$5, LS_current!$D$2:$BW$2&amp;LS_current!$D$3:$BW$3, 0)),SUM(VLOOKUP($A58, LS_current!$B$4:$BW$137, LS_current!I$147, FALSE), VLOOKUP($A58, LS_current!$B$4:$BW$137,LS_current!BE$147, FALSE))/2)</f>
        <v>4069.7209405792037</v>
      </c>
      <c r="CE58" s="102">
        <f t="array" ref="CE58">IF($BT58=0, INDEX(LS_current!$D$4:$BW$137, MATCH('Staging Table'!$A58, LS_current!$B$4:$B$137, 0), MATCH(CE$4&amp;CE$5, LS_current!$D$2:$BW$2&amp;LS_current!$D$3:$BW$3, 0)),SUM(VLOOKUP($A58, LS_current!$B$4:$BW$137, LS_current!J$147, FALSE), VLOOKUP($A58, LS_current!$B$4:$BW$137,LS_current!BF$147, FALSE))/2)</f>
        <v>624.88407568458933</v>
      </c>
      <c r="CF58" s="102">
        <f t="array" ref="CF58">IF($BT58=0, INDEX(LS_current!$D$4:$BW$137, MATCH('Staging Table'!$A58, LS_current!$B$4:$B$137, 0), MATCH(CF$4&amp;CF$5, LS_current!$D$2:$BW$2&amp;LS_current!$D$3:$BW$3, 0)),SUM(VLOOKUP($A58, LS_current!$B$4:$BW$137, LS_current!K$147, FALSE), VLOOKUP($A58, LS_current!$B$4:$BW$137,LS_current!BG$147, FALSE))/2)</f>
        <v>3940.5120415559904</v>
      </c>
      <c r="CG58" s="102">
        <f t="array" ref="CG58">IF($BT58=0, INDEX(LS_current!$D$4:$BW$137, MATCH('Staging Table'!$A58, LS_current!$B$4:$B$137, 0), MATCH(CG$4&amp;CG$5, LS_current!$D$2:$BW$2&amp;LS_current!$D$3:$BW$3, 0)),SUM(VLOOKUP($A58, LS_current!$B$4:$BW$137, LS_current!L$147, FALSE), VLOOKUP($A58, LS_current!$B$4:$BW$137,LS_current!BH$147, FALSE))/2)</f>
        <v>1840.9839837721956</v>
      </c>
      <c r="CH58" s="102">
        <f t="array" ref="CH58">IF($BT58=0, INDEX(LS_current!$D$4:$BW$137, MATCH('Staging Table'!$A58, LS_current!$B$4:$B$137, 0), MATCH(CH$4&amp;CH$5, LS_current!$D$2:$BW$2&amp;LS_current!$D$3:$BW$3, 0)),SUM(VLOOKUP($A58, LS_current!$B$4:$BW$137, LS_current!M$147, FALSE), VLOOKUP($A58, LS_current!$B$4:$BW$137,LS_current!BI$147, FALSE))/2)</f>
        <v>1629.7650558509486</v>
      </c>
      <c r="CI58" s="102">
        <f t="array" ref="CI58">IF($BT58=0, INDEX(LS_current!$D$4:$BW$137, MATCH('Staging Table'!$A58, LS_current!$B$4:$B$137, 0), MATCH(CI$4&amp;CI$5, LS_current!$D$2:$BW$2&amp;LS_current!$D$3:$BW$3, 0)),SUM(VLOOKUP($A58, LS_current!$B$4:$BW$137, LS_current!N$147, FALSE), VLOOKUP($A58, LS_current!$B$4:$BW$137,LS_current!BJ$147, FALSE))/2)</f>
        <v>-800.55062850213653</v>
      </c>
      <c r="CJ58" s="102">
        <f t="array" ref="CJ58">IF($BT58=0, INDEX(LS_current!$D$4:$BW$137, MATCH('Staging Table'!$A58, LS_current!$B$4:$B$137, 0), MATCH(CJ$4&amp;CJ$5, LS_current!$D$2:$BW$2&amp;LS_current!$D$3:$BW$3, 0)),SUM(VLOOKUP($A58, LS_current!$B$4:$BW$137, LS_current!O$147, FALSE), VLOOKUP($A58, LS_current!$B$4:$BW$137,LS_current!BK$147, FALSE))/2)</f>
        <v>1035.7395177512572</v>
      </c>
      <c r="CK58" s="102">
        <f t="array" ref="CK58">IF($BT58=0, INDEX(LS_current!$D$4:$BW$137, MATCH('Staging Table'!$A58, LS_current!$B$4:$B$137, 0), MATCH(CK$4&amp;CK$5, LS_current!$D$2:$BW$2&amp;LS_current!$D$3:$BW$3, 0)),SUM(VLOOKUP($A58, LS_current!$B$4:$BW$137, LS_current!P$147, FALSE), VLOOKUP($A58, LS_current!$B$4:$BW$137,LS_current!BL$147, FALSE))/2)</f>
        <v>2389.0030548094255</v>
      </c>
      <c r="CL58" s="102">
        <f t="array" ref="CL58">IF($BT58=0, INDEX(LS_current!$D$4:$BW$137, MATCH('Staging Table'!$A58, LS_current!$B$4:$B$137, 0), MATCH(CL$4&amp;CL$5, LS_current!$D$2:$BW$2&amp;LS_current!$D$3:$BW$3, 0)),SUM(VLOOKUP($A58, LS_current!$B$4:$BW$137, LS_current!Q$147, FALSE), VLOOKUP($A58, LS_current!$B$4:$BW$137,LS_current!BM$147, FALSE))/2)</f>
        <v>1221.015465971248</v>
      </c>
      <c r="CM58" s="102">
        <f t="array" ref="CM58">IF($BT58=0, INDEX(LS_current!$D$4:$BW$137, MATCH('Staging Table'!$A58, LS_current!$B$4:$B$137, 0), MATCH(CM$4&amp;CM$5, LS_current!$D$2:$BW$2&amp;LS_current!$D$3:$BW$3, 0)),SUM(VLOOKUP($A58, LS_current!$B$4:$BW$137, LS_current!R$147, FALSE), VLOOKUP($A58, LS_current!$B$4:$BW$137,LS_current!BN$147, FALSE))/2)</f>
        <v>-4585.2797437576119</v>
      </c>
      <c r="CN58" s="102">
        <f t="array" ref="CN58">IF($BT58=0, INDEX(LS_current!$D$4:$BW$137, MATCH('Staging Table'!$A58, LS_current!$B$4:$B$137, 0), MATCH(CN$4&amp;CN$5, LS_current!$D$2:$BW$2&amp;LS_current!$D$3:$BW$3, 0)),SUM(VLOOKUP($A58, LS_current!$B$4:$BW$137, LS_current!S$147, FALSE), VLOOKUP($A58, LS_current!$B$4:$BW$137,LS_current!BO$147, FALSE))/2)</f>
        <v>-3877.4564729924477</v>
      </c>
      <c r="CO58" s="102">
        <f t="array" ref="CO58">IF($BT58=0, INDEX(LS_current!$D$4:$BW$137, MATCH('Staging Table'!$A58, LS_current!$B$4:$B$137, 0), MATCH(CO$4&amp;CO$5, LS_current!$D$2:$BW$2&amp;LS_current!$D$3:$BW$3, 0)),SUM(VLOOKUP($A58, LS_current!$B$4:$BW$137, LS_current!T$147, FALSE), VLOOKUP($A58, LS_current!$B$4:$BW$137,LS_current!BP$147, FALSE))/2)</f>
        <v>-6576.3352514239486</v>
      </c>
      <c r="CP58" s="102">
        <f t="array" ref="CP58">IF($BT58=0, INDEX(LS_current!$D$4:$BW$137, MATCH('Staging Table'!$A58, LS_current!$B$4:$B$137, 0), MATCH(CP$4&amp;CP$5, LS_current!$D$2:$BW$2&amp;LS_current!$D$3:$BW$3, 0)),SUM(VLOOKUP($A58, LS_current!$B$4:$BW$137, LS_current!U$147, FALSE), VLOOKUP($A58, LS_current!$B$4:$BW$137,LS_current!BQ$147, FALSE))/2)</f>
        <v>-2843.2140763066727</v>
      </c>
      <c r="CQ58" s="102">
        <f t="array" ref="CQ58">IF($BT58=0, INDEX(LS_current!$D$4:$BW$137, MATCH('Staging Table'!$A58, LS_current!$B$4:$B$137, 0), MATCH(CQ$4&amp;CQ$5, LS_current!$D$2:$BW$2&amp;LS_current!$D$3:$BW$3, 0)),SUM(VLOOKUP($A58, LS_current!$B$4:$BW$137, LS_current!V$147, FALSE), VLOOKUP($A58, LS_current!$B$4:$BW$137,LS_current!BR$147, FALSE))/2)</f>
        <v>-1892.8338955133186</v>
      </c>
      <c r="CR58" s="102">
        <f t="array" ref="CR58">IF($BT58=0, INDEX(LS_current!$D$4:$BW$137, MATCH('Staging Table'!$A58, LS_current!$B$4:$B$137, 0), MATCH(CR$4&amp;CR$5, LS_current!$D$2:$BW$2&amp;LS_current!$D$3:$BW$3, 0)),SUM(VLOOKUP($A58, LS_current!$B$4:$BW$137, LS_current!W$147, FALSE), VLOOKUP($A58, LS_current!$B$4:$BW$137,LS_current!BS$147, FALSE))/2)</f>
        <v>-318.16495705759007</v>
      </c>
      <c r="CS58" s="102">
        <f t="array" ref="CS58">IF($BT58=0, INDEX(LS_current!$D$4:$BW$137, MATCH('Staging Table'!$A58, LS_current!$B$4:$B$137, 0), MATCH(CS$4&amp;CS$5, LS_current!$D$2:$BW$2&amp;LS_current!$D$3:$BW$3, 0)),SUM(VLOOKUP($A58, LS_current!$B$4:$BW$137, LS_current!X$147, FALSE), VLOOKUP($A58, LS_current!$B$4:$BW$137,LS_current!BT$147, FALSE))/2)</f>
        <v>-2137.0070876569116</v>
      </c>
      <c r="CT58" s="102">
        <f t="array" ref="CT58">IF($BT58=0, INDEX(LS_current!$D$4:$BW$137, MATCH('Staging Table'!$A58, LS_current!$B$4:$B$137, 0), MATCH(CT$4&amp;CT$5, LS_current!$D$2:$BW$2&amp;LS_current!$D$3:$BW$3, 0)),SUM(VLOOKUP($A58, LS_current!$B$4:$BW$137, LS_current!Y$147, FALSE), VLOOKUP($A58, LS_current!$B$4:$BW$137,LS_current!BU$147, FALSE))/2)</f>
        <v>-1237.2346098548132</v>
      </c>
      <c r="CU58" s="102">
        <f t="array" ref="CU58">IF($BT58=0, INDEX(LS_current!$D$4:$BW$137, MATCH('Staging Table'!$A58, LS_current!$B$4:$B$137, 0), MATCH(CU$4&amp;CU$5, LS_current!$D$2:$BW$2&amp;LS_current!$D$3:$BW$3, 0)),SUM(VLOOKUP($A58, LS_current!$B$4:$BW$137, LS_current!Z$147, FALSE), VLOOKUP($A58, LS_current!$B$4:$BW$137,LS_current!BV$147, FALSE))/2)</f>
        <v>357.2737594950413</v>
      </c>
      <c r="CV58" s="102">
        <f t="array" ref="CV58">IF($BT58=0, INDEX(LS_current!$D$4:$BW$137, MATCH('Staging Table'!$A58, LS_current!$B$4:$B$137, 0), MATCH(CV$4&amp;CV$5, LS_current!$D$2:$BW$2&amp;LS_current!$D$3:$BW$3, 0)),SUM(VLOOKUP($A58, LS_current!$B$4:$BW$137, LS_current!AA$147, FALSE), VLOOKUP($A58, LS_current!$B$4:$BW$137,LS_current!BW$147, FALSE))/2)</f>
        <v>244.02493710964336</v>
      </c>
      <c r="CW58" s="103">
        <f t="array" ref="CW58">INDEX(Demand_current!$D$4:$BW$137, MATCH($A58, Demand_current!$B$4:$B$137, 0), MATCH(CW$4&amp;CW$5,Demand_current!$D$2:$BW$2&amp;Demand_current!$D$3:$BW$3, 0))/1000</f>
        <v>20.830750000000013</v>
      </c>
      <c r="CX58" s="103">
        <f t="array" ref="CX58">INDEX(Demand_current!$D$4:$BW$137, MATCH($A58, Demand_current!$B$4:$B$137, 0), MATCH(CX$4&amp;CX$5,Demand_current!$D$2:$BW$2&amp;Demand_current!$D$3:$BW$3, 0))/1000</f>
        <v>11.51870052083332</v>
      </c>
      <c r="CY58" s="103">
        <f t="array" ref="CY58">INDEX(Demand_current!$D$4:$BW$137, MATCH($A58, Demand_current!$B$4:$B$137, 0), MATCH(CY$4&amp;CY$5,Demand_current!$D$2:$BW$2&amp;Demand_current!$D$3:$BW$3, 0))/1000</f>
        <v>18.704252403846155</v>
      </c>
      <c r="CZ58" s="103">
        <f t="array" ref="CZ58">INDEX(Demand_current!$D$4:$BW$137, MATCH($A58, Demand_current!$B$4:$B$137, 0), MATCH(CZ$4&amp;CZ$5,Demand_current!$D$2:$BW$2&amp;Demand_current!$D$3:$BW$3, 0))/1000</f>
        <v>23.933036057692291</v>
      </c>
      <c r="DA58" s="103">
        <f t="array" ref="DA58">INDEX(Demand_current!$D$4:$BW$137, MATCH($A58, Demand_current!$B$4:$B$137, 0), MATCH(DA$4&amp;DA$5,Demand_current!$D$2:$BW$2&amp;Demand_current!$D$3:$BW$3, 0))/1000</f>
        <v>0</v>
      </c>
      <c r="DB58" s="103">
        <f t="array" ref="DB58">INDEX(Demand_current!$D$4:$BW$137, MATCH($A58, Demand_current!$B$4:$B$137, 0), MATCH(DB$4&amp;DB$5,Demand_current!$D$2:$BW$2&amp;Demand_current!$D$3:$BW$3, 0))/1000</f>
        <v>10.711144230769236</v>
      </c>
      <c r="DC58" s="103">
        <f t="array" ref="DC58">INDEX(Demand_current!$D$4:$BW$137, MATCH($A58, Demand_current!$B$4:$B$137, 0), MATCH(DC$4&amp;DC$5,Demand_current!$D$2:$BW$2&amp;Demand_current!$D$3:$BW$3, 0))/1000</f>
        <v>10.178807692307686</v>
      </c>
      <c r="DD58" s="103">
        <f t="array" ref="DD58">INDEX(Demand_current!$D$4:$BW$137, MATCH($A58, Demand_current!$B$4:$B$137, 0), MATCH(DD$4&amp;DD$5,Demand_current!$D$2:$BW$2&amp;Demand_current!$D$3:$BW$3, 0))/1000</f>
        <v>0</v>
      </c>
      <c r="DE58" s="103">
        <f t="array" ref="DE58">INDEX(Demand_current!$D$4:$BW$137, MATCH($A58, Demand_current!$B$4:$B$137, 0), MATCH(DE$4&amp;DE$5,Demand_current!$D$2:$BW$2&amp;Demand_current!$D$3:$BW$3, 0))/1000</f>
        <v>17.137161057692296</v>
      </c>
      <c r="DF58" s="103">
        <f t="array" ref="DF58">INDEX(Demand_current!$D$4:$BW$137, MATCH($A58, Demand_current!$B$4:$B$137, 0), MATCH(DF$4&amp;DF$5,Demand_current!$D$2:$BW$2&amp;Demand_current!$D$3:$BW$3, 0))/1000</f>
        <v>12.81139663461539</v>
      </c>
      <c r="DG58" s="103">
        <f t="array" ref="DG58">INDEX(Demand_current!$D$4:$BW$137, MATCH($A58, Demand_current!$B$4:$B$137, 0), MATCH(DG$4&amp;DG$5,Demand_current!$D$2:$BW$2&amp;Demand_current!$D$3:$BW$3, 0))/1000</f>
        <v>14.008685096153851</v>
      </c>
      <c r="DH58" s="103">
        <f t="array" ref="DH58">INDEX(Demand_current!$D$4:$BW$137, MATCH($A58, Demand_current!$B$4:$B$137, 0), MATCH(DH$4&amp;DH$5,Demand_current!$D$2:$BW$2&amp;Demand_current!$D$3:$BW$3, 0))/1000</f>
        <v>10.853600000000007</v>
      </c>
      <c r="DI58" s="102">
        <f>$BS58*(VLOOKUP(DI$4, Rates_current!$H$6:$R$41, 10, FALSE)+VLOOKUP(DI$4, Rates_current!$H$6:$R$41, 11, FALSE))</f>
        <v>29331.742645566705</v>
      </c>
      <c r="DJ58" s="102">
        <f>$BS58*(VLOOKUP(DJ$4, Rates_current!$H$6:$R$41, 10, FALSE)+VLOOKUP(DJ$4, Rates_current!$H$6:$R$41, 11, FALSE))</f>
        <v>37499.667603696726</v>
      </c>
      <c r="DK58" s="102">
        <f>$BS58*(VLOOKUP(DK$4, Rates_current!$H$6:$R$41, 10, FALSE)+VLOOKUP(DK$4, Rates_current!$H$6:$R$41, 11, FALSE))</f>
        <v>42633.985707448068</v>
      </c>
      <c r="DL58" s="102">
        <f>$BS58*(VLOOKUP(DL$4, Rates_current!$H$6:$R$41, 10, FALSE)+VLOOKUP(DL$4, Rates_current!$H$6:$R$41, 11, FALSE))</f>
        <v>44982.182882759422</v>
      </c>
      <c r="DM58" s="102">
        <f>$BS58*(VLOOKUP(DM$4, Rates_current!$H$6:$R$41, 10, FALSE)+VLOOKUP(DM$4, Rates_current!$H$6:$R$41, 11, FALSE))</f>
        <v>35846.739960376857</v>
      </c>
      <c r="DN58" s="102">
        <f>$BS58*(VLOOKUP(DN$4, Rates_current!$H$6:$R$41, 10, FALSE)+VLOOKUP(DN$4, Rates_current!$H$6:$R$41, 11, FALSE))</f>
        <v>39187.848110750878</v>
      </c>
      <c r="DO58" s="102">
        <f>$BS58*(VLOOKUP(DO$4, Rates_current!$H$6:$R$41, 10, FALSE)+VLOOKUP(DO$4, Rates_current!$H$6:$R$41, 11, FALSE))</f>
        <v>30370.976479219331</v>
      </c>
      <c r="DP58" s="102">
        <f>$BS58*(VLOOKUP(DP$4, Rates_current!$H$6:$R$41, 10, FALSE)+VLOOKUP(DP$4, Rates_current!$H$6:$R$41, 11, FALSE))</f>
        <v>39305.044216750059</v>
      </c>
      <c r="DQ58" s="102">
        <f>$BS58*(VLOOKUP(DQ$4, Rates_current!$H$6:$R$41, 10, FALSE)+VLOOKUP(DQ$4, Rates_current!$H$6:$R$41, 11, FALSE))</f>
        <v>40144.321327730628</v>
      </c>
      <c r="DR58" s="102">
        <f>$BS58*(VLOOKUP(DR$4, Rates_current!$H$6:$R$41, 10, FALSE)+VLOOKUP(DR$4, Rates_current!$H$6:$R$41, 11, FALSE))</f>
        <v>35731.917852570899</v>
      </c>
      <c r="DS58" s="102">
        <f>$BS58*(VLOOKUP(DS$4, Rates_current!$H$6:$R$41, 10, FALSE)+VLOOKUP(DS$4, Rates_current!$H$6:$R$41, 11, FALSE))</f>
        <v>36654.394697511736</v>
      </c>
      <c r="DT58" s="102">
        <f>$BS58*(VLOOKUP(DT$4, Rates_current!$H$6:$R$41, 10, FALSE)+VLOOKUP(DT$4, Rates_current!$H$6:$R$41, 11, FALSE))</f>
        <v>28466.531303395317</v>
      </c>
      <c r="DU58" s="261">
        <f>IF(D58=0,IF(C58=0,MAX(0,DW58 - (VLOOKUP($A58,TOCA_current!$A$2:$AV$136,MATCH("RHWM "&amp;Init!$D$1,TOCA_current!$A$2:$AV$2,0),FALSE)*$BS$2)), 0),0)</f>
        <v>0.89798227132996544</v>
      </c>
      <c r="DV58" s="262">
        <f>MIN(VLOOKUP($A58,TOCA_current!$A$2:$AV$136,MATCH("TRL - NLSL - Existing Resource "&amp;$BS$1,TOCA_current!$A$2:$AV$2,0),FALSE)*$BS$2, VLOOKUP($A58,TOCA_current!$A$2:$AV$136,MATCH("RHWM "&amp;Init!$D$1,TOCA_current!$A$2:$AV$2,0),FALSE)*$BS$2)</f>
        <v>440154.96</v>
      </c>
      <c r="DW58" s="262">
        <f>SUM(BY58:CV58)+(BS58*RT1SC!$C$4*$BS$2)</f>
        <v>440155.85798227135</v>
      </c>
      <c r="DX58" s="262">
        <f>VLOOKUP($A58,TOCA_current!$A$2:$AV$136,MATCH("Above RHWM Not Served with LS "&amp;$BS$1,TOCA_current!$A$2:$AV$2,0),FALSE)*$BS$2</f>
        <v>74862.959999999992</v>
      </c>
      <c r="DY58" s="262">
        <f t="shared" si="28"/>
        <v>0.89798227132996544</v>
      </c>
      <c r="DZ58" s="262">
        <f>(VLOOKUP($A58,TOCA_current!$A$2:$AV$136,MATCH("RHWM "&amp;Init!$D$1,TOCA_current!$A$2:$AV$2,0),FALSE)*$BS$2) - $DV58</f>
        <v>0</v>
      </c>
      <c r="EA58" s="262">
        <f t="shared" si="29"/>
        <v>0</v>
      </c>
      <c r="EB58" s="262">
        <f t="shared" si="30"/>
        <v>0</v>
      </c>
      <c r="EC58" s="262">
        <f t="shared" si="31"/>
        <v>0</v>
      </c>
      <c r="ED58" s="262">
        <f t="shared" si="32"/>
        <v>0</v>
      </c>
    </row>
    <row r="59" spans="1:134">
      <c r="A59" s="2">
        <v>10158</v>
      </c>
      <c r="B59" s="3" t="s">
        <v>61</v>
      </c>
      <c r="C59">
        <f>VLOOKUP(A59, TOCA_current!$A$3:$D$136, 4, FALSE)</f>
        <v>0</v>
      </c>
      <c r="D59">
        <v>0</v>
      </c>
      <c r="E59" s="84">
        <f>VLOOKUP($A59,TOCA_previous!$A$2:$AJ$136,MATCH(E$4,TOCA_previous!$A$2:$AJ$2,0),FALSE)</f>
        <v>3.2850000000000002E-4</v>
      </c>
      <c r="F59" s="85">
        <f>VLOOKUP($A59,TOCA_previous!$A$2:$AJ$136,MATCH(F$4,TOCA_previous!$A$2:$AJ$2,0),FALSE)</f>
        <v>3.2850000000000002E-4</v>
      </c>
      <c r="G59" s="85">
        <f t="shared" si="18"/>
        <v>0</v>
      </c>
      <c r="H59" s="85">
        <f>VLOOKUP($A59,TOCA_previous!$A$2:$AJ$136,MATCH(H$4,TOCA_previous!$A$2:$AJ$2,0),FALSE)</f>
        <v>0</v>
      </c>
      <c r="I59" s="85">
        <f t="shared" si="19"/>
        <v>0</v>
      </c>
      <c r="J59" s="85">
        <f t="shared" si="20"/>
        <v>0</v>
      </c>
      <c r="K59" s="101">
        <f>VLOOKUP(A59, IRD!$A$5:$C$138, 3, FALSE)</f>
        <v>0</v>
      </c>
      <c r="L59" s="102">
        <f t="array" ref="L59">IF($G59=0, INDEX(LS_previous!$D$4:$AY$137, MATCH('Staging Table'!$A59, LS_previous!$B$4:$B$137, 0), MATCH(L$4&amp;L$5, LS_previous!$D$2:$AY$2&amp;LS_previous!$D$3:$AY$3, 0)),SUM(VLOOKUP($A59, LS_previous!$B$4:$AY$137, LS_previous!D$148, FALSE), VLOOKUP('Staging Table'!$A59, LS_previous!$B$4:$AY$137,LS_previous!AB$148, FALSE))/2)</f>
        <v>-24.833865826000192</v>
      </c>
      <c r="M59" s="102">
        <f t="array" ref="M59">IF($G59=0, INDEX(LS_previous!$D$4:$AY$137, MATCH('Staging Table'!$A59, LS_previous!$B$4:$B$137, 0), MATCH(M$4&amp;M$5, LS_previous!$D$2:$AY$2&amp;LS_previous!$D$3:$AY$3, 0)),SUM(VLOOKUP($A59, LS_previous!$B$4:$AY$137, LS_previous!E$148, FALSE), VLOOKUP('Staging Table'!$A59, LS_previous!$B$4:$AY$137,LS_previous!AC$148, FALSE))/2)</f>
        <v>26.376830173249914</v>
      </c>
      <c r="N59" s="102">
        <f t="array" ref="N59">IF($G59=0, INDEX(LS_previous!$D$4:$AY$137, MATCH('Staging Table'!$A59, LS_previous!$B$4:$B$137, 0), MATCH(N$4&amp;N$5, LS_previous!$D$2:$AY$2&amp;LS_previous!$D$3:$AY$3, 0)),SUM(VLOOKUP($A59, LS_previous!$B$4:$AY$137, LS_previous!F$148, FALSE), VLOOKUP('Staging Table'!$A59, LS_previous!$B$4:$AY$137,LS_previous!AD$148, FALSE))/2)</f>
        <v>-157.91308724800001</v>
      </c>
      <c r="O59" s="102">
        <f t="array" ref="O59">IF($G59=0, INDEX(LS_previous!$D$4:$AY$137, MATCH('Staging Table'!$A59, LS_previous!$B$4:$B$137, 0), MATCH(O$4&amp;O$5, LS_previous!$D$2:$AY$2&amp;LS_previous!$D$3:$AY$3, 0)),SUM(VLOOKUP($A59, LS_previous!$B$4:$AY$137, LS_previous!G$148, FALSE), VLOOKUP('Staging Table'!$A59, LS_previous!$B$4:$AY$137,LS_previous!AE$148, FALSE))/2)</f>
        <v>122.59986971650005</v>
      </c>
      <c r="P59" s="102">
        <f t="array" ref="P59">IF($G59=0, INDEX(LS_previous!$D$4:$AY$137, MATCH('Staging Table'!$A59, LS_previous!$B$4:$B$137, 0), MATCH(P$4&amp;P$5, LS_previous!$D$2:$AY$2&amp;LS_previous!$D$3:$AY$3, 0)),SUM(VLOOKUP($A59, LS_previous!$B$4:$AY$137, LS_previous!H$148, FALSE), VLOOKUP('Staging Table'!$A59, LS_previous!$B$4:$AY$137,LS_previous!AF$148, FALSE))/2)</f>
        <v>186.82243473849985</v>
      </c>
      <c r="Q59" s="102">
        <f t="array" ref="Q59">IF($G59=0, INDEX(LS_previous!$D$4:$AY$137, MATCH('Staging Table'!$A59, LS_previous!$B$4:$B$137, 0), MATCH(Q$4&amp;Q$5, LS_previous!$D$2:$AY$2&amp;LS_previous!$D$3:$AY$3, 0)),SUM(VLOOKUP($A59, LS_previous!$B$4:$AY$137, LS_previous!I$148, FALSE), VLOOKUP('Staging Table'!$A59, LS_previous!$B$4:$AY$137,LS_previous!AG$148, FALSE))/2)</f>
        <v>312.37307086399983</v>
      </c>
      <c r="R59" s="102">
        <f t="array" ref="R59">IF($G59=0, INDEX(LS_previous!$D$4:$AY$137, MATCH('Staging Table'!$A59, LS_previous!$B$4:$B$137, 0), MATCH(R$4&amp;R$5, LS_previous!$D$2:$AY$2&amp;LS_previous!$D$3:$AY$3, 0)),SUM(VLOOKUP($A59, LS_previous!$B$4:$AY$137, LS_previous!J$148, FALSE), VLOOKUP('Staging Table'!$A59, LS_previous!$B$4:$AY$137,LS_previous!AH$148, FALSE))/2)</f>
        <v>148.34927162249983</v>
      </c>
      <c r="S59" s="102">
        <f t="array" ref="S59">IF($G59=0, INDEX(LS_previous!$D$4:$AY$137, MATCH('Staging Table'!$A59, LS_previous!$B$4:$B$137, 0), MATCH(S$4&amp;S$5, LS_previous!$D$2:$AY$2&amp;LS_previous!$D$3:$AY$3, 0)),SUM(VLOOKUP($A59, LS_previous!$B$4:$AY$137, LS_previous!K$148, FALSE), VLOOKUP('Staging Table'!$A59, LS_previous!$B$4:$AY$137,LS_previous!AI$148, FALSE))/2)</f>
        <v>321.48365747349999</v>
      </c>
      <c r="T59" s="102">
        <f t="array" ref="T59">IF($G59=0, INDEX(LS_previous!$D$4:$AY$137, MATCH('Staging Table'!$A59, LS_previous!$B$4:$B$137, 0), MATCH(T$4&amp;T$5, LS_previous!$D$2:$AY$2&amp;LS_previous!$D$3:$AY$3, 0)),SUM(VLOOKUP($A59, LS_previous!$B$4:$AY$137, LS_previous!L$148, FALSE), VLOOKUP('Staging Table'!$A59, LS_previous!$B$4:$AY$137,LS_previous!AJ$148, FALSE))/2)</f>
        <v>-70.560646251499975</v>
      </c>
      <c r="U59" s="102">
        <f t="array" ref="U59">IF($G59=0, INDEX(LS_previous!$D$4:$AY$137, MATCH('Staging Table'!$A59, LS_previous!$B$4:$B$137, 0), MATCH(U$4&amp;U$5, LS_previous!$D$2:$AY$2&amp;LS_previous!$D$3:$AY$3, 0)),SUM(VLOOKUP($A59, LS_previous!$B$4:$AY$137, LS_previous!M$148, FALSE), VLOOKUP('Staging Table'!$A59, LS_previous!$B$4:$AY$137,LS_previous!AK$148, FALSE))/2)</f>
        <v>169.33520646850002</v>
      </c>
      <c r="V59" s="102">
        <f t="array" ref="V59">IF($G59=0, INDEX(LS_previous!$D$4:$AY$137, MATCH('Staging Table'!$A59, LS_previous!$B$4:$B$137, 0), MATCH(V$4&amp;V$5, LS_previous!$D$2:$AY$2&amp;LS_previous!$D$3:$AY$3, 0)),SUM(VLOOKUP($A59, LS_previous!$B$4:$AY$137, LS_previous!N$148, FALSE), VLOOKUP('Staging Table'!$A59, LS_previous!$B$4:$AY$137,LS_previous!AL$148, FALSE))/2)</f>
        <v>-105.89142862050016</v>
      </c>
      <c r="W59" s="102">
        <f t="array" ref="W59">IF($G59=0, INDEX(LS_previous!$D$4:$AY$137, MATCH('Staging Table'!$A59, LS_previous!$B$4:$B$137, 0), MATCH(W$4&amp;W$5, LS_previous!$D$2:$AY$2&amp;LS_previous!$D$3:$AY$3, 0)),SUM(VLOOKUP($A59, LS_previous!$B$4:$AY$137, LS_previous!O$148, FALSE), VLOOKUP('Staging Table'!$A59, LS_previous!$B$4:$AY$137,LS_previous!AM$148, FALSE))/2)</f>
        <v>125.48444592699991</v>
      </c>
      <c r="X59" s="102">
        <f t="array" ref="X59">IF($G59=0, INDEX(LS_previous!$D$4:$AY$137, MATCH('Staging Table'!$A59, LS_previous!$B$4:$B$137, 0), MATCH(X$4&amp;X$5, LS_previous!$D$2:$AY$2&amp;LS_previous!$D$3:$AY$3, 0)),SUM(VLOOKUP($A59, LS_previous!$B$4:$AY$137, LS_previous!P$148, FALSE), VLOOKUP('Staging Table'!$A59, LS_previous!$B$4:$AY$137,LS_previous!AN$148, FALSE))/2)</f>
        <v>-27.782954908749957</v>
      </c>
      <c r="Y59" s="102">
        <f t="array" ref="Y59">IF($G59=0, INDEX(LS_previous!$D$4:$AY$137, MATCH('Staging Table'!$A59, LS_previous!$B$4:$B$137, 0), MATCH(Y$4&amp;Y$5, LS_previous!$D$2:$AY$2&amp;LS_previous!$D$3:$AY$3, 0)),SUM(VLOOKUP($A59, LS_previous!$B$4:$AY$137, LS_previous!Q$148, FALSE), VLOOKUP('Staging Table'!$A59, LS_previous!$B$4:$AY$137,LS_previous!AO$148, FALSE))/2)</f>
        <v>77.759877815125037</v>
      </c>
      <c r="Z59" s="102">
        <f t="array" ref="Z59">IF($G59=0, INDEX(LS_previous!$D$4:$AY$137, MATCH('Staging Table'!$A59, LS_previous!$B$4:$B$137, 0), MATCH(Z$4&amp;Z$5, LS_previous!$D$2:$AY$2&amp;LS_previous!$D$3:$AY$3, 0)),SUM(VLOOKUP($A59, LS_previous!$B$4:$AY$137, LS_previous!R$148, FALSE), VLOOKUP('Staging Table'!$A59, LS_previous!$B$4:$AY$137,LS_previous!AP$148, FALSE))/2)</f>
        <v>-323.84383456800015</v>
      </c>
      <c r="AA59" s="102">
        <f t="array" ref="AA59">IF($G59=0, INDEX(LS_previous!$D$4:$AY$137, MATCH('Staging Table'!$A59, LS_previous!$B$4:$B$137, 0), MATCH(AA$4&amp;AA$5, LS_previous!$D$2:$AY$2&amp;LS_previous!$D$3:$AY$3, 0)),SUM(VLOOKUP($A59, LS_previous!$B$4:$AY$137, LS_previous!S$148, FALSE), VLOOKUP('Staging Table'!$A59, LS_previous!$B$4:$AY$137,LS_previous!AQ$148, FALSE))/2)</f>
        <v>-75.939218567250009</v>
      </c>
      <c r="AB59" s="102">
        <f t="array" ref="AB59">IF($G59=0, INDEX(LS_previous!$D$4:$AY$137, MATCH('Staging Table'!$A59, LS_previous!$B$4:$B$137, 0), MATCH(AB$4&amp;AB$5, LS_previous!$D$2:$AY$2&amp;LS_previous!$D$3:$AY$3, 0)),SUM(VLOOKUP($A59, LS_previous!$B$4:$AY$137, LS_previous!T$148, FALSE), VLOOKUP('Staging Table'!$A59, LS_previous!$B$4:$AY$137,LS_previous!AR$148, FALSE))/2)</f>
        <v>-374.28260369100019</v>
      </c>
      <c r="AC59" s="102">
        <f t="array" ref="AC59">IF($G59=0, INDEX(LS_previous!$D$4:$AY$137, MATCH('Staging Table'!$A59, LS_previous!$B$4:$B$137, 0), MATCH(AC$4&amp;AC$5, LS_previous!$D$2:$AY$2&amp;LS_previous!$D$3:$AY$3, 0)),SUM(VLOOKUP($A59, LS_previous!$B$4:$AY$137, LS_previous!U$148, FALSE), VLOOKUP('Staging Table'!$A59, LS_previous!$B$4:$AY$137,LS_previous!AS$148, FALSE))/2)</f>
        <v>-170.21785540325004</v>
      </c>
      <c r="AD59" s="102">
        <f t="array" ref="AD59">IF($G59=0, INDEX(LS_previous!$D$4:$AY$137, MATCH('Staging Table'!$A59, LS_previous!$B$4:$B$137, 0), MATCH(AD$4&amp;AD$5, LS_previous!$D$2:$AY$2&amp;LS_previous!$D$3:$AY$3, 0)),SUM(VLOOKUP($A59, LS_previous!$B$4:$AY$137, LS_previous!V$148, FALSE), VLOOKUP('Staging Table'!$A59, LS_previous!$B$4:$AY$137,LS_previous!AT$148, FALSE))/2)</f>
        <v>-183.366934474</v>
      </c>
      <c r="AE59" s="102">
        <f t="array" ref="AE59">IF($G59=0, INDEX(LS_previous!$D$4:$AY$137, MATCH('Staging Table'!$A59, LS_previous!$B$4:$B$137, 0), MATCH(AE$4&amp;AE$5, LS_previous!$D$2:$AY$2&amp;LS_previous!$D$3:$AY$3, 0)),SUM(VLOOKUP($A59, LS_previous!$B$4:$AY$137, LS_previous!W$148, FALSE), VLOOKUP('Staging Table'!$A59, LS_previous!$B$4:$AY$137,LS_previous!AU$148, FALSE))/2)</f>
        <v>-46.552383133749913</v>
      </c>
      <c r="AF59" s="102">
        <f t="array" ref="AF59">IF($G59=0, INDEX(LS_previous!$D$4:$AY$137, MATCH('Staging Table'!$A59, LS_previous!$B$4:$B$137, 0), MATCH(AF$4&amp;AF$5, LS_previous!$D$2:$AY$2&amp;LS_previous!$D$3:$AY$3, 0)),SUM(VLOOKUP($A59, LS_previous!$B$4:$AY$137, LS_previous!X$148, FALSE), VLOOKUP('Staging Table'!$A59, LS_previous!$B$4:$AY$137,LS_previous!AV$148, FALSE))/2)</f>
        <v>-166.0173213377501</v>
      </c>
      <c r="AG59" s="102">
        <f t="array" ref="AG59">IF($G59=0, INDEX(LS_previous!$D$4:$AY$137, MATCH('Staging Table'!$A59, LS_previous!$B$4:$B$137, 0), MATCH(AG$4&amp;AG$5, LS_previous!$D$2:$AY$2&amp;LS_previous!$D$3:$AY$3, 0)),SUM(VLOOKUP($A59, LS_previous!$B$4:$AY$137, LS_previous!Y$148, FALSE), VLOOKUP('Staging Table'!$A59, LS_previous!$B$4:$AY$137,LS_previous!AW$148, FALSE))/2)</f>
        <v>-8.947959230724905</v>
      </c>
      <c r="AH59" s="102">
        <f t="array" ref="AH59">IF($G59=0, INDEX(LS_previous!$D$4:$AY$137, MATCH('Staging Table'!$A59, LS_previous!$B$4:$B$137, 0), MATCH(AH$4&amp;AH$5, LS_previous!$D$2:$AY$2&amp;LS_previous!$D$3:$AY$3, 0)),SUM(VLOOKUP($A59, LS_previous!$B$4:$AY$137, LS_previous!Z$148, FALSE), VLOOKUP('Staging Table'!$A59, LS_previous!$B$4:$AY$137,LS_previous!AX$148, FALSE))/2)</f>
        <v>-183.60922300900006</v>
      </c>
      <c r="AI59" s="102">
        <f t="array" ref="AI59">IF($G59=0, INDEX(LS_previous!$D$4:$AY$137, MATCH('Staging Table'!$A59, LS_previous!$B$4:$B$137, 0), MATCH(AI$4&amp;AI$5, LS_previous!$D$2:$AY$2&amp;LS_previous!$D$3:$AY$3, 0)),SUM(VLOOKUP($A59, LS_previous!$B$4:$AY$137, LS_previous!AA$148, FALSE), VLOOKUP('Staging Table'!$A59, LS_previous!$B$4:$AY$137,LS_previous!AY$148, FALSE))/2)</f>
        <v>-84.270750664000047</v>
      </c>
      <c r="AJ59" s="103">
        <f t="array" ref="AJ59">INDEX(Demand_previous!$D$4:$AY$137, MATCH('Staging Table'!$A59, Demand_previous!$B$4:$B$137, 0), MATCH(AJ$4&amp;AJ$5,Demand_previous!$D$2:$AY$2&amp;Demand_previous!$D$3:$AY$3, 0))/1000</f>
        <v>8.5125000000000006E-2</v>
      </c>
      <c r="AK59" s="103">
        <f t="array" ref="AK59">INDEX(Demand_previous!$D$4:$AY$137, MATCH('Staging Table'!$A59, Demand_previous!$B$4:$B$137, 0), MATCH(AK$4&amp;AK$5,Demand_previous!$D$2:$AY$2&amp;Demand_previous!$D$3:$AY$3, 0))/1000</f>
        <v>0.13382249999999996</v>
      </c>
      <c r="AL59" s="103">
        <f t="array" ref="AL59">INDEX(Demand_previous!$D$4:$AY$137, MATCH('Staging Table'!$A59, Demand_previous!$B$4:$B$137, 0), MATCH(AL$4&amp;AL$5,Demand_previous!$D$2:$AY$2&amp;Demand_previous!$D$3:$AY$3, 0))/1000</f>
        <v>0.53374499999999991</v>
      </c>
      <c r="AM59" s="103">
        <f t="array" ref="AM59">INDEX(Demand_previous!$D$4:$AY$137, MATCH('Staging Table'!$A59, Demand_previous!$B$4:$B$137, 0), MATCH(AM$4&amp;AM$5,Demand_previous!$D$2:$AY$2&amp;Demand_previous!$D$3:$AY$3, 0))/1000</f>
        <v>0.53445192307692346</v>
      </c>
      <c r="AN59" s="103">
        <f t="array" ref="AN59">INDEX(Demand_previous!$D$4:$AY$137, MATCH('Staging Table'!$A59, Demand_previous!$B$4:$B$137, 0), MATCH(AN$4&amp;AN$5,Demand_previous!$D$2:$AY$2&amp;Demand_previous!$D$3:$AY$3, 0))/1000</f>
        <v>0.48027999999999971</v>
      </c>
      <c r="AO59" s="103">
        <f t="array" ref="AO59">INDEX(Demand_previous!$D$4:$AY$137, MATCH('Staging Table'!$A59, Demand_previous!$B$4:$B$137, 0), MATCH(AO$4&amp;AO$5,Demand_previous!$D$2:$AY$2&amp;Demand_previous!$D$3:$AY$3, 0))/1000</f>
        <v>0.6372716346153845</v>
      </c>
      <c r="AP59" s="103">
        <f t="array" ref="AP59">INDEX(Demand_previous!$D$4:$AY$137, MATCH('Staging Table'!$A59, Demand_previous!$B$4:$B$137, 0), MATCH(AP$4&amp;AP$5,Demand_previous!$D$2:$AY$2&amp;Demand_previous!$D$3:$AY$3, 0))/1000</f>
        <v>0.42299999999999971</v>
      </c>
      <c r="AQ59" s="103">
        <f t="array" ref="AQ59">INDEX(Demand_previous!$D$4:$AY$137, MATCH('Staging Table'!$A59, Demand_previous!$B$4:$B$137, 0), MATCH(AQ$4&amp;AQ$5,Demand_previous!$D$2:$AY$2&amp;Demand_previous!$D$3:$AY$3, 0))/1000</f>
        <v>0.26087019230769243</v>
      </c>
      <c r="AR59" s="103">
        <f t="array" ref="AR59">INDEX(Demand_previous!$D$4:$AY$137, MATCH('Staging Table'!$A59, Demand_previous!$B$4:$B$137, 0), MATCH(AR$4&amp;AR$5,Demand_previous!$D$2:$AY$2&amp;Demand_previous!$D$3:$AY$3, 0))/1000</f>
        <v>7.0050000000000334E-2</v>
      </c>
      <c r="AS59" s="103">
        <f t="array" ref="AS59">INDEX(Demand_previous!$D$4:$AY$137, MATCH('Staging Table'!$A59, Demand_previous!$B$4:$B$137, 0), MATCH(AS$4&amp;AS$5,Demand_previous!$D$2:$AY$2&amp;Demand_previous!$D$3:$AY$3, 0))/1000</f>
        <v>0.25886298076923064</v>
      </c>
      <c r="AT59" s="103">
        <f t="array" ref="AT59">INDEX(Demand_previous!$D$4:$AY$137, MATCH('Staging Table'!$A59, Demand_previous!$B$4:$B$137, 0), MATCH(AT$4&amp;AT$5,Demand_previous!$D$2:$AY$2&amp;Demand_previous!$D$3:$AY$3, 0))/1000</f>
        <v>0.33414120370370404</v>
      </c>
      <c r="AU59" s="103">
        <f t="array" ref="AU59">INDEX(Demand_previous!$D$4:$AY$137, MATCH('Staging Table'!$A59, Demand_previous!$B$4:$B$137, 0), MATCH(AU$4&amp;AU$5,Demand_previous!$D$2:$AY$2&amp;Demand_previous!$D$3:$AY$3, 0))/1000</f>
        <v>0</v>
      </c>
      <c r="AV59" s="102">
        <f>$F59*(VLOOKUP(AV$4, Rates_previous!$G$6:$Q$29, 10, FALSE)+VLOOKUP(AV$4, Rates_previous!$G$6:$Q$29, 11, FALSE))</f>
        <v>1385.87703565275</v>
      </c>
      <c r="AW59" s="102">
        <f>$F59*(VLOOKUP(AW$4, Rates_previous!$G$6:$Q$29, 10, FALSE)+VLOOKUP(AW$4, Rates_previous!$G$6:$Q$29, 11, FALSE))</f>
        <v>1767.4502175315004</v>
      </c>
      <c r="AX59" s="102">
        <f>$F59*(VLOOKUP(AX$4, Rates_previous!$G$6:$Q$29, 10, FALSE)+VLOOKUP(AX$4, Rates_previous!$G$6:$Q$29, 11, FALSE))</f>
        <v>1907.4284943975003</v>
      </c>
      <c r="AY59" s="102">
        <f>$F59*(VLOOKUP(AY$4, Rates_previous!$G$6:$Q$29, 10, FALSE)+VLOOKUP(AY$4, Rates_previous!$G$6:$Q$29, 11, FALSE))</f>
        <v>1982.1130709040001</v>
      </c>
      <c r="AZ59" s="102">
        <f>$F59*(VLOOKUP(AZ$4, Rates_previous!$G$6:$Q$29, 10, FALSE)+VLOOKUP(AZ$4, Rates_previous!$G$6:$Q$29, 11, FALSE))</f>
        <v>1704.8814397829999</v>
      </c>
      <c r="BA59" s="102">
        <f>$F59*(VLOOKUP(BA$4, Rates_previous!$G$6:$Q$29, 10, FALSE)+VLOOKUP(BA$4, Rates_previous!$G$6:$Q$29, 11, FALSE))</f>
        <v>1861.3929826935</v>
      </c>
      <c r="BB59" s="102">
        <f>$F59*(VLOOKUP(BB$4, Rates_previous!$G$6:$Q$29, 10, FALSE)+VLOOKUP(BB$4, Rates_previous!$G$6:$Q$29, 11, FALSE))</f>
        <v>1469.256077093625</v>
      </c>
      <c r="BC59" s="102">
        <f>$F59*(VLOOKUP(BC$4, Rates_previous!$G$6:$Q$29, 10, FALSE)+VLOOKUP(BC$4, Rates_previous!$G$6:$Q$29, 11, FALSE))</f>
        <v>1822.8090531352502</v>
      </c>
      <c r="BD59" s="102">
        <f>$F59*(VLOOKUP(BD$4, Rates_previous!$G$6:$Q$29, 10, FALSE)+VLOOKUP(BD$4, Rates_previous!$G$6:$Q$29, 11, FALSE))</f>
        <v>1862.35945909425</v>
      </c>
      <c r="BE59" s="102">
        <f>$F59*(VLOOKUP(BE$4, Rates_previous!$G$6:$Q$29, 10, FALSE)+VLOOKUP(BE$4, Rates_previous!$G$6:$Q$29, 11, FALSE))</f>
        <v>1616.7963176077501</v>
      </c>
      <c r="BF59" s="102">
        <f>$F59*(VLOOKUP(BF$4, Rates_previous!$G$6:$Q$29, 10, FALSE)+VLOOKUP(BF$4, Rates_previous!$G$6:$Q$29, 11, FALSE))</f>
        <v>1563.0122805684753</v>
      </c>
      <c r="BG59" s="102">
        <f>$F59*(VLOOKUP(BG$4, Rates_previous!$G$6:$Q$29, 10, FALSE)+VLOOKUP(BG$4, Rates_previous!$G$6:$Q$29, 11, FALSE))</f>
        <v>1438.2739736730002</v>
      </c>
      <c r="BH59" s="103">
        <f>IF($D59=0,IF(C59=0, MAX(BJ59 - (VLOOKUP($A59,TOCA_previous!$A$2:$AJ$136,MATCH("RHWM "&amp;Init!$D$1-2,TOCA_previous!$A$2:$AJ$2,0),FALSE)*$F$2*TOCA_previous!C56),0),0), 0)</f>
        <v>0</v>
      </c>
      <c r="BI59" s="109">
        <f>MIN(VLOOKUP($A59,TOCA_previous!$A$2:$AJ$136,MATCH("TRL - NLSL - Existing Resource "&amp;$F$1,TOCA_previous!$A$2:$AJ$2,0),FALSE)*$F$2,(VLOOKUP($A59,TOCA_previous!$A$2:$AJ$136,MATCH("RHWM "&amp;Init!$D$1-2,TOCA_previous!$A$2:$AJ$2,0),FALSE)*$F$2))</f>
        <v>19930.896000000001</v>
      </c>
      <c r="BJ59" s="261">
        <f>SUM(L59:AI59)+(F59*RT1SC!$C$3*$F$2)</f>
        <v>19868.205093425397</v>
      </c>
      <c r="BK59" s="260">
        <f>VLOOKUP($A59,TOCA_previous!$A$2:$AJ$136,MATCH("Above RHWM Not Served with LS "&amp;$F$1,TOCA_previous!$A$2:$AJ$2,0),FALSE)*$F$2</f>
        <v>0</v>
      </c>
      <c r="BL59" s="261">
        <f t="shared" si="21"/>
        <v>-62.690906574604014</v>
      </c>
      <c r="BM59" s="260">
        <f>(VLOOKUP($A59,TOCA_previous!$A$2:$AJ$136,MATCH("RHWM "&amp;Init!$D$1-2,TOCA_previous!$A$2:$AJ$2,0),FALSE)*$F$2) - $BI59</f>
        <v>4585.2479999999996</v>
      </c>
      <c r="BN59" s="261">
        <f t="shared" si="22"/>
        <v>0</v>
      </c>
      <c r="BO59" s="260">
        <f t="shared" si="23"/>
        <v>62.690906574604014</v>
      </c>
      <c r="BP59" s="261">
        <f t="shared" si="24"/>
        <v>0</v>
      </c>
      <c r="BQ59" s="260">
        <f t="shared" si="9"/>
        <v>62.690906574604014</v>
      </c>
      <c r="BR59" s="85">
        <f>VLOOKUP($A59,TOCA_current!$A$2:$ZZ$136,MATCH(BR$4,TOCA_current!$A$2:$ZZ$2,0),FALSE)</f>
        <v>3.19E-4</v>
      </c>
      <c r="BS59" s="85">
        <f>VLOOKUP($A59,TOCA_current!$A$2:$ZZ$136,MATCH(BS$4,TOCA_current!$A$2:$ZZ$2,0),FALSE)</f>
        <v>3.19E-4</v>
      </c>
      <c r="BT59" s="108">
        <f t="shared" si="25"/>
        <v>0</v>
      </c>
      <c r="BU59" s="85">
        <f>VLOOKUP($A59,TOCA_current!A56:BG190,MATCH(BU$4,TOCA_current!$A$2:$BG$2,0),FALSE)</f>
        <v>0</v>
      </c>
      <c r="BV59" s="85">
        <f t="shared" si="26"/>
        <v>0</v>
      </c>
      <c r="BW59" s="85">
        <f t="shared" si="27"/>
        <v>0</v>
      </c>
      <c r="BX59" s="101">
        <f>VLOOKUP($A59,IRD!$A$4:$G$138, 7, FALSE)</f>
        <v>0</v>
      </c>
      <c r="BY59" s="102">
        <f t="array" ref="BY59">IF($BT59=0, INDEX(LS_current!$D$4:$BW$137, MATCH('Staging Table'!$A59, LS_current!$B$4:$B$137, 0), MATCH(BY$4&amp;BY$5, LS_current!$D$2:$BW$2&amp;LS_current!$D$3:$BW$3, 0)),SUM(VLOOKUP($A59, LS_current!$B$4:$BW$137, LS_current!D$147, FALSE), VLOOKUP($A59, LS_current!$B$4:$BW$137,LS_current!AZ$147, FALSE))/2)</f>
        <v>-11.303631762385521</v>
      </c>
      <c r="BZ59" s="102">
        <f t="array" ref="BZ59">IF($BT59=0, INDEX(LS_current!$D$4:$BW$137, MATCH('Staging Table'!$A59, LS_current!$B$4:$B$137, 0), MATCH(BZ$4&amp;BZ$5, LS_current!$D$2:$BW$2&amp;LS_current!$D$3:$BW$3, 0)),SUM(VLOOKUP($A59, LS_current!$B$4:$BW$137, LS_current!E$147, FALSE), VLOOKUP($A59, LS_current!$B$4:$BW$137,LS_current!BA$147, FALSE))/2)</f>
        <v>74.781884594292762</v>
      </c>
      <c r="CA59" s="102">
        <f t="array" ref="CA59">IF($BT59=0, INDEX(LS_current!$D$4:$BW$137, MATCH('Staging Table'!$A59, LS_current!$B$4:$B$137, 0), MATCH(CA$4&amp;CA$5, LS_current!$D$2:$BW$2&amp;LS_current!$D$3:$BW$3, 0)),SUM(VLOOKUP($A59, LS_current!$B$4:$BW$137, LS_current!F$147, FALSE), VLOOKUP($A59, LS_current!$B$4:$BW$137,LS_current!BB$147, FALSE))/2)</f>
        <v>-108.11514639077882</v>
      </c>
      <c r="CB59" s="102">
        <f t="array" ref="CB59">IF($BT59=0, INDEX(LS_current!$D$4:$BW$137, MATCH('Staging Table'!$A59, LS_current!$B$4:$B$137, 0), MATCH(CB$4&amp;CB$5, LS_current!$D$2:$BW$2&amp;LS_current!$D$3:$BW$3, 0)),SUM(VLOOKUP($A59, LS_current!$B$4:$BW$137, LS_current!G$147, FALSE), VLOOKUP($A59, LS_current!$B$4:$BW$137,LS_current!BC$147, FALSE))/2)</f>
        <v>147.6361963130621</v>
      </c>
      <c r="CC59" s="102">
        <f t="array" ref="CC59">IF($BT59=0, INDEX(LS_current!$D$4:$BW$137, MATCH('Staging Table'!$A59, LS_current!$B$4:$B$137, 0), MATCH(CC$4&amp;CC$5, LS_current!$D$2:$BW$2&amp;LS_current!$D$3:$BW$3, 0)),SUM(VLOOKUP($A59, LS_current!$B$4:$BW$137, LS_current!H$147, FALSE), VLOOKUP($A59, LS_current!$B$4:$BW$137,LS_current!BD$147, FALSE))/2)</f>
        <v>109.76136996339505</v>
      </c>
      <c r="CD59" s="102">
        <f t="array" ref="CD59">IF($BT59=0, INDEX(LS_current!$D$4:$BW$137, MATCH('Staging Table'!$A59, LS_current!$B$4:$B$137, 0), MATCH(CD$4&amp;CD$5, LS_current!$D$2:$BW$2&amp;LS_current!$D$3:$BW$3, 0)),SUM(VLOOKUP($A59, LS_current!$B$4:$BW$137, LS_current!I$147, FALSE), VLOOKUP($A59, LS_current!$B$4:$BW$137,LS_current!BE$147, FALSE))/2)</f>
        <v>372.49986003972663</v>
      </c>
      <c r="CE59" s="102">
        <f t="array" ref="CE59">IF($BT59=0, INDEX(LS_current!$D$4:$BW$137, MATCH('Staging Table'!$A59, LS_current!$B$4:$B$137, 0), MATCH(CE$4&amp;CE$5, LS_current!$D$2:$BW$2&amp;LS_current!$D$3:$BW$3, 0)),SUM(VLOOKUP($A59, LS_current!$B$4:$BW$137, LS_current!J$147, FALSE), VLOOKUP($A59, LS_current!$B$4:$BW$137,LS_current!BF$147, FALSE))/2)</f>
        <v>95.775976843447552</v>
      </c>
      <c r="CF59" s="102">
        <f t="array" ref="CF59">IF($BT59=0, INDEX(LS_current!$D$4:$BW$137, MATCH('Staging Table'!$A59, LS_current!$B$4:$B$137, 0), MATCH(CF$4&amp;CF$5, LS_current!$D$2:$BW$2&amp;LS_current!$D$3:$BW$3, 0)),SUM(VLOOKUP($A59, LS_current!$B$4:$BW$137, LS_current!K$147, FALSE), VLOOKUP($A59, LS_current!$B$4:$BW$137,LS_current!BG$147, FALSE))/2)</f>
        <v>325.81708719704022</v>
      </c>
      <c r="CG59" s="102">
        <f t="array" ref="CG59">IF($BT59=0, INDEX(LS_current!$D$4:$BW$137, MATCH('Staging Table'!$A59, LS_current!$B$4:$B$137, 0), MATCH(CG$4&amp;CG$5, LS_current!$D$2:$BW$2&amp;LS_current!$D$3:$BW$3, 0)),SUM(VLOOKUP($A59, LS_current!$B$4:$BW$137, LS_current!L$147, FALSE), VLOOKUP($A59, LS_current!$B$4:$BW$137,LS_current!BH$147, FALSE))/2)</f>
        <v>-16.129434442181037</v>
      </c>
      <c r="CH59" s="102">
        <f t="array" ref="CH59">IF($BT59=0, INDEX(LS_current!$D$4:$BW$137, MATCH('Staging Table'!$A59, LS_current!$B$4:$B$137, 0), MATCH(CH$4&amp;CH$5, LS_current!$D$2:$BW$2&amp;LS_current!$D$3:$BW$3, 0)),SUM(VLOOKUP($A59, LS_current!$B$4:$BW$137, LS_current!M$147, FALSE), VLOOKUP($A59, LS_current!$B$4:$BW$137,LS_current!BI$147, FALSE))/2)</f>
        <v>201.77739083912786</v>
      </c>
      <c r="CI59" s="102">
        <f t="array" ref="CI59">IF($BT59=0, INDEX(LS_current!$D$4:$BW$137, MATCH('Staging Table'!$A59, LS_current!$B$4:$B$137, 0), MATCH(CI$4&amp;CI$5, LS_current!$D$2:$BW$2&amp;LS_current!$D$3:$BW$3, 0)),SUM(VLOOKUP($A59, LS_current!$B$4:$BW$137, LS_current!N$147, FALSE), VLOOKUP($A59, LS_current!$B$4:$BW$137,LS_current!BJ$147, FALSE))/2)</f>
        <v>-122.97408363644104</v>
      </c>
      <c r="CJ59" s="102">
        <f t="array" ref="CJ59">IF($BT59=0, INDEX(LS_current!$D$4:$BW$137, MATCH('Staging Table'!$A59, LS_current!$B$4:$B$137, 0), MATCH(CJ$4&amp;CJ$5, LS_current!$D$2:$BW$2&amp;LS_current!$D$3:$BW$3, 0)),SUM(VLOOKUP($A59, LS_current!$B$4:$BW$137, LS_current!O$147, FALSE), VLOOKUP($A59, LS_current!$B$4:$BW$137,LS_current!BK$147, FALSE))/2)</f>
        <v>235.14502472799779</v>
      </c>
      <c r="CK59" s="102">
        <f t="array" ref="CK59">IF($BT59=0, INDEX(LS_current!$D$4:$BW$137, MATCH('Staging Table'!$A59, LS_current!$B$4:$B$137, 0), MATCH(CK$4&amp;CK$5, LS_current!$D$2:$BW$2&amp;LS_current!$D$3:$BW$3, 0)),SUM(VLOOKUP($A59, LS_current!$B$4:$BW$137, LS_current!P$147, FALSE), VLOOKUP($A59, LS_current!$B$4:$BW$137,LS_current!BL$147, FALSE))/2)</f>
        <v>22.481418581685716</v>
      </c>
      <c r="CL59" s="102">
        <f t="array" ref="CL59">IF($BT59=0, INDEX(LS_current!$D$4:$BW$137, MATCH('Staging Table'!$A59, LS_current!$B$4:$B$137, 0), MATCH(CL$4&amp;CL$5, LS_current!$D$2:$BW$2&amp;LS_current!$D$3:$BW$3, 0)),SUM(VLOOKUP($A59, LS_current!$B$4:$BW$137, LS_current!Q$147, FALSE), VLOOKUP($A59, LS_current!$B$4:$BW$137,LS_current!BM$147, FALSE))/2)</f>
        <v>125.90211812616076</v>
      </c>
      <c r="CM59" s="102">
        <f t="array" ref="CM59">IF($BT59=0, INDEX(LS_current!$D$4:$BW$137, MATCH('Staging Table'!$A59, LS_current!$B$4:$B$137, 0), MATCH(CM$4&amp;CM$5, LS_current!$D$2:$BW$2&amp;LS_current!$D$3:$BW$3, 0)),SUM(VLOOKUP($A59, LS_current!$B$4:$BW$137, LS_current!R$147, FALSE), VLOOKUP($A59, LS_current!$B$4:$BW$137,LS_current!BN$147, FALSE))/2)</f>
        <v>-290.47323839865862</v>
      </c>
      <c r="CN59" s="102">
        <f t="array" ref="CN59">IF($BT59=0, INDEX(LS_current!$D$4:$BW$137, MATCH('Staging Table'!$A59, LS_current!$B$4:$B$137, 0), MATCH(CN$4&amp;CN$5, LS_current!$D$2:$BW$2&amp;LS_current!$D$3:$BW$3, 0)),SUM(VLOOKUP($A59, LS_current!$B$4:$BW$137, LS_current!S$147, FALSE), VLOOKUP($A59, LS_current!$B$4:$BW$137,LS_current!BO$147, FALSE))/2)</f>
        <v>-60.605680686616211</v>
      </c>
      <c r="CO59" s="102">
        <f t="array" ref="CO59">IF($BT59=0, INDEX(LS_current!$D$4:$BW$137, MATCH('Staging Table'!$A59, LS_current!$B$4:$B$137, 0), MATCH(CO$4&amp;CO$5, LS_current!$D$2:$BW$2&amp;LS_current!$D$3:$BW$3, 0)),SUM(VLOOKUP($A59, LS_current!$B$4:$BW$137, LS_current!T$147, FALSE), VLOOKUP($A59, LS_current!$B$4:$BW$137,LS_current!BP$147, FALSE))/2)</f>
        <v>-385.77106491839174</v>
      </c>
      <c r="CP59" s="102">
        <f t="array" ref="CP59">IF($BT59=0, INDEX(LS_current!$D$4:$BW$137, MATCH('Staging Table'!$A59, LS_current!$B$4:$B$137, 0), MATCH(CP$4&amp;CP$5, LS_current!$D$2:$BW$2&amp;LS_current!$D$3:$BW$3, 0)),SUM(VLOOKUP($A59, LS_current!$B$4:$BW$137, LS_current!U$147, FALSE), VLOOKUP($A59, LS_current!$B$4:$BW$137,LS_current!BQ$147, FALSE))/2)</f>
        <v>-108.35715860738435</v>
      </c>
      <c r="CQ59" s="102">
        <f t="array" ref="CQ59">IF($BT59=0, INDEX(LS_current!$D$4:$BW$137, MATCH('Staging Table'!$A59, LS_current!$B$4:$B$137, 0), MATCH(CQ$4&amp;CQ$5, LS_current!$D$2:$BW$2&amp;LS_current!$D$3:$BW$3, 0)),SUM(VLOOKUP($A59, LS_current!$B$4:$BW$137, LS_current!V$147, FALSE), VLOOKUP($A59, LS_current!$B$4:$BW$137,LS_current!BR$147, FALSE))/2)</f>
        <v>-197.81897295593114</v>
      </c>
      <c r="CR59" s="102">
        <f t="array" ref="CR59">IF($BT59=0, INDEX(LS_current!$D$4:$BW$137, MATCH('Staging Table'!$A59, LS_current!$B$4:$B$137, 0), MATCH(CR$4&amp;CR$5, LS_current!$D$2:$BW$2&amp;LS_current!$D$3:$BW$3, 0)),SUM(VLOOKUP($A59, LS_current!$B$4:$BW$137, LS_current!W$147, FALSE), VLOOKUP($A59, LS_current!$B$4:$BW$137,LS_current!BS$147, FALSE))/2)</f>
        <v>-28.129365212294601</v>
      </c>
      <c r="CS59" s="102">
        <f t="array" ref="CS59">IF($BT59=0, INDEX(LS_current!$D$4:$BW$137, MATCH('Staging Table'!$A59, LS_current!$B$4:$B$137, 0), MATCH(CS$4&amp;CS$5, LS_current!$D$2:$BW$2&amp;LS_current!$D$3:$BW$3, 0)),SUM(VLOOKUP($A59, LS_current!$B$4:$BW$137, LS_current!X$147, FALSE), VLOOKUP($A59, LS_current!$B$4:$BW$137,LS_current!BT$147, FALSE))/2)</f>
        <v>-274.25087423416767</v>
      </c>
      <c r="CT59" s="102">
        <f t="array" ref="CT59">IF($BT59=0, INDEX(LS_current!$D$4:$BW$137, MATCH('Staging Table'!$A59, LS_current!$B$4:$B$137, 0), MATCH(CT$4&amp;CT$5, LS_current!$D$2:$BW$2&amp;LS_current!$D$3:$BW$3, 0)),SUM(VLOOKUP($A59, LS_current!$B$4:$BW$137, LS_current!Y$147, FALSE), VLOOKUP($A59, LS_current!$B$4:$BW$137,LS_current!BU$147, FALSE))/2)</f>
        <v>7.8348597583714081</v>
      </c>
      <c r="CU59" s="102">
        <f t="array" ref="CU59">IF($BT59=0, INDEX(LS_current!$D$4:$BW$137, MATCH('Staging Table'!$A59, LS_current!$B$4:$B$137, 0), MATCH(CU$4&amp;CU$5, LS_current!$D$2:$BW$2&amp;LS_current!$D$3:$BW$3, 0)),SUM(VLOOKUP($A59, LS_current!$B$4:$BW$137, LS_current!Z$147, FALSE), VLOOKUP($A59, LS_current!$B$4:$BW$137,LS_current!BV$147, FALSE))/2)</f>
        <v>-124.34919284617843</v>
      </c>
      <c r="CV59" s="102">
        <f t="array" ref="CV59">IF($BT59=0, INDEX(LS_current!$D$4:$BW$137, MATCH('Staging Table'!$A59, LS_current!$B$4:$B$137, 0), MATCH(CV$4&amp;CV$5, LS_current!$D$2:$BW$2&amp;LS_current!$D$3:$BW$3, 0)),SUM(VLOOKUP($A59, LS_current!$B$4:$BW$137, LS_current!AA$147, FALSE), VLOOKUP($A59, LS_current!$B$4:$BW$137,LS_current!BW$147, FALSE))/2)</f>
        <v>9.8543389843472369</v>
      </c>
      <c r="CW59" s="103">
        <f t="array" ref="CW59">INDEX(Demand_current!$D$4:$BW$137, MATCH($A59, Demand_current!$B$4:$B$137, 0), MATCH(CW$4&amp;CW$5,Demand_current!$D$2:$BW$2&amp;Demand_current!$D$3:$BW$3, 0))/1000</f>
        <v>0.15756481481481488</v>
      </c>
      <c r="CX59" s="103">
        <f t="array" ref="CX59">INDEX(Demand_current!$D$4:$BW$137, MATCH($A59, Demand_current!$B$4:$B$137, 0), MATCH(CX$4&amp;CX$5,Demand_current!$D$2:$BW$2&amp;Demand_current!$D$3:$BW$3, 0))/1000</f>
        <v>3.8565104166666586E-2</v>
      </c>
      <c r="CY59" s="103">
        <f t="array" ref="CY59">INDEX(Demand_current!$D$4:$BW$137, MATCH($A59, Demand_current!$B$4:$B$137, 0), MATCH(CY$4&amp;CY$5,Demand_current!$D$2:$BW$2&amp;Demand_current!$D$3:$BW$3, 0))/1000</f>
        <v>0.66290865384615372</v>
      </c>
      <c r="CZ59" s="103">
        <f t="array" ref="CZ59">INDEX(Demand_current!$D$4:$BW$137, MATCH($A59, Demand_current!$B$4:$B$137, 0), MATCH(CZ$4&amp;CZ$5,Demand_current!$D$2:$BW$2&amp;Demand_current!$D$3:$BW$3, 0))/1000</f>
        <v>0.53445192307692346</v>
      </c>
      <c r="DA59" s="103">
        <f t="array" ref="DA59">INDEX(Demand_current!$D$4:$BW$137, MATCH($A59, Demand_current!$B$4:$B$137, 0), MATCH(DA$4&amp;DA$5,Demand_current!$D$2:$BW$2&amp;Demand_current!$D$3:$BW$3, 0))/1000</f>
        <v>0.37470833333333309</v>
      </c>
      <c r="DB59" s="103">
        <f t="array" ref="DB59">INDEX(Demand_current!$D$4:$BW$137, MATCH($A59, Demand_current!$B$4:$B$137, 0), MATCH(DB$4&amp;DB$5,Demand_current!$D$2:$BW$2&amp;Demand_current!$D$3:$BW$3, 0))/1000</f>
        <v>0.6372716346153845</v>
      </c>
      <c r="DC59" s="103">
        <f t="array" ref="DC59">INDEX(Demand_current!$D$4:$BW$137, MATCH($A59, Demand_current!$B$4:$B$137, 0), MATCH(DC$4&amp;DC$5,Demand_current!$D$2:$BW$2&amp;Demand_current!$D$3:$BW$3, 0))/1000</f>
        <v>0.42299999999999971</v>
      </c>
      <c r="DD59" s="103">
        <f t="array" ref="DD59">INDEX(Demand_current!$D$4:$BW$137, MATCH($A59, Demand_current!$B$4:$B$137, 0), MATCH(DD$4&amp;DD$5,Demand_current!$D$2:$BW$2&amp;Demand_current!$D$3:$BW$3, 0))/1000</f>
        <v>0.18550500000000009</v>
      </c>
      <c r="DE59" s="103">
        <f t="array" ref="DE59">INDEX(Demand_current!$D$4:$BW$137, MATCH($A59, Demand_current!$B$4:$B$137, 0), MATCH(DE$4&amp;DE$5,Demand_current!$D$2:$BW$2&amp;Demand_current!$D$3:$BW$3, 0))/1000</f>
        <v>0.14650961538461565</v>
      </c>
      <c r="DF59" s="103">
        <f t="array" ref="DF59">INDEX(Demand_current!$D$4:$BW$137, MATCH($A59, Demand_current!$B$4:$B$137, 0), MATCH(DF$4&amp;DF$5,Demand_current!$D$2:$BW$2&amp;Demand_current!$D$3:$BW$3, 0))/1000</f>
        <v>0.25886298076923064</v>
      </c>
      <c r="DG59" s="103">
        <f t="array" ref="DG59">INDEX(Demand_current!$D$4:$BW$137, MATCH($A59, Demand_current!$B$4:$B$137, 0), MATCH(DG$4&amp;DG$5,Demand_current!$D$2:$BW$2&amp;Demand_current!$D$3:$BW$3, 0))/1000</f>
        <v>0.26064663461538495</v>
      </c>
      <c r="DH59" s="103">
        <f t="array" ref="DH59">INDEX(Demand_current!$D$4:$BW$137, MATCH($A59, Demand_current!$B$4:$B$137, 0), MATCH(DH$4&amp;DH$5,Demand_current!$D$2:$BW$2&amp;Demand_current!$D$3:$BW$3, 0))/1000</f>
        <v>0</v>
      </c>
      <c r="DI59" s="102">
        <f>$BS59*(VLOOKUP(DI$4, Rates_current!$H$6:$R$41, 10, FALSE)+VLOOKUP(DI$4, Rates_current!$H$6:$R$41, 11, FALSE))</f>
        <v>1323.9417471680929</v>
      </c>
      <c r="DJ59" s="102">
        <f>$BS59*(VLOOKUP(DJ$4, Rates_current!$H$6:$R$41, 10, FALSE)+VLOOKUP(DJ$4, Rates_current!$H$6:$R$41, 11, FALSE))</f>
        <v>1692.6159500777169</v>
      </c>
      <c r="DK59" s="102">
        <f>$BS59*(VLOOKUP(DK$4, Rates_current!$H$6:$R$41, 10, FALSE)+VLOOKUP(DK$4, Rates_current!$H$6:$R$41, 11, FALSE))</f>
        <v>1924.3627699968779</v>
      </c>
      <c r="DL59" s="102">
        <f>$BS59*(VLOOKUP(DL$4, Rates_current!$H$6:$R$41, 10, FALSE)+VLOOKUP(DL$4, Rates_current!$H$6:$R$41, 11, FALSE))</f>
        <v>2030.352935959512</v>
      </c>
      <c r="DM59" s="102">
        <f>$BS59*(VLOOKUP(DM$4, Rates_current!$H$6:$R$41, 10, FALSE)+VLOOKUP(DM$4, Rates_current!$H$6:$R$41, 11, FALSE))</f>
        <v>1618.0080436030532</v>
      </c>
      <c r="DN59" s="102">
        <f>$BS59*(VLOOKUP(DN$4, Rates_current!$H$6:$R$41, 10, FALSE)+VLOOKUP(DN$4, Rates_current!$H$6:$R$41, 11, FALSE))</f>
        <v>1768.815058908443</v>
      </c>
      <c r="DO59" s="102">
        <f>$BS59*(VLOOKUP(DO$4, Rates_current!$H$6:$R$41, 10, FALSE)+VLOOKUP(DO$4, Rates_current!$H$6:$R$41, 11, FALSE))</f>
        <v>1370.8494632921536</v>
      </c>
      <c r="DP59" s="102">
        <f>$BS59*(VLOOKUP(DP$4, Rates_current!$H$6:$R$41, 10, FALSE)+VLOOKUP(DP$4, Rates_current!$H$6:$R$41, 11, FALSE))</f>
        <v>1774.1049190852746</v>
      </c>
      <c r="DQ59" s="102">
        <f>$BS59*(VLOOKUP(DQ$4, Rates_current!$H$6:$R$41, 10, FALSE)+VLOOKUP(DQ$4, Rates_current!$H$6:$R$41, 11, FALSE))</f>
        <v>1811.9872235257762</v>
      </c>
      <c r="DR59" s="102">
        <f>$BS59*(VLOOKUP(DR$4, Rates_current!$H$6:$R$41, 10, FALSE)+VLOOKUP(DR$4, Rates_current!$H$6:$R$41, 11, FALSE))</f>
        <v>1612.8253381682257</v>
      </c>
      <c r="DS59" s="102">
        <f>$BS59*(VLOOKUP(DS$4, Rates_current!$H$6:$R$41, 10, FALSE)+VLOOKUP(DS$4, Rates_current!$H$6:$R$41, 11, FALSE))</f>
        <v>1654.4630144757964</v>
      </c>
      <c r="DT59" s="102">
        <f>$BS59*(VLOOKUP(DT$4, Rates_current!$H$6:$R$41, 10, FALSE)+VLOOKUP(DT$4, Rates_current!$H$6:$R$41, 11, FALSE))</f>
        <v>1284.8888538618312</v>
      </c>
      <c r="DU59" s="261">
        <f>IF(D59=0,IF(C59=0,MAX(0,DW59 - (VLOOKUP($A59,TOCA_current!$A$2:$AV$136,MATCH("RHWM "&amp;Init!$D$1,TOCA_current!$A$2:$AV$2,0),FALSE)*$BS$2)), 0),0)</f>
        <v>0</v>
      </c>
      <c r="DV59" s="262">
        <f>MIN(VLOOKUP($A59,TOCA_current!$A$2:$AV$136,MATCH("TRL - NLSL - Existing Resource "&amp;$BS$1,TOCA_current!$A$2:$AV$2,0),FALSE)*$BS$2, VLOOKUP($A59,TOCA_current!$A$2:$AV$136,MATCH("RHWM "&amp;Init!$D$1,TOCA_current!$A$2:$AV$2,0),FALSE)*$BS$2)</f>
        <v>19867.679999999997</v>
      </c>
      <c r="DW59" s="262">
        <f>SUM(BY59:CV59)+(BS59*RT1SC!$C$4*$BS$2)</f>
        <v>19868.206172757247</v>
      </c>
      <c r="DX59" s="262">
        <f>VLOOKUP($A59,TOCA_current!$A$2:$AV$136,MATCH("Above RHWM Not Served with LS "&amp;$BS$1,TOCA_current!$A$2:$AV$2,0),FALSE)*$BS$2</f>
        <v>0</v>
      </c>
      <c r="DY59" s="262">
        <f t="shared" si="28"/>
        <v>0.52617275725060608</v>
      </c>
      <c r="DZ59" s="262">
        <f>(VLOOKUP($A59,TOCA_current!$A$2:$AV$136,MATCH("RHWM "&amp;Init!$D$1,TOCA_current!$A$2:$AV$2,0),FALSE)*$BS$2) - $DV59</f>
        <v>4721.6400000000031</v>
      </c>
      <c r="EA59" s="262">
        <f t="shared" si="29"/>
        <v>-0.52617275725060608</v>
      </c>
      <c r="EB59" s="262">
        <f t="shared" si="30"/>
        <v>0</v>
      </c>
      <c r="EC59" s="262">
        <f t="shared" si="31"/>
        <v>0</v>
      </c>
      <c r="ED59" s="262">
        <f t="shared" si="32"/>
        <v>-0.52617275725060608</v>
      </c>
    </row>
    <row r="60" spans="1:134">
      <c r="A60" s="2">
        <v>10170</v>
      </c>
      <c r="B60" s="3" t="s">
        <v>62</v>
      </c>
      <c r="C60">
        <f>VLOOKUP(A60, TOCA_current!$A$3:$D$136, 4, FALSE)</f>
        <v>0</v>
      </c>
      <c r="D60">
        <v>1</v>
      </c>
      <c r="E60" s="84">
        <f>VLOOKUP($A60,TOCA_previous!$A$2:$AJ$136,MATCH(E$4,TOCA_previous!$A$2:$AJ$2,0),FALSE)</f>
        <v>3.5914399999999999E-2</v>
      </c>
      <c r="F60" s="85">
        <f>VLOOKUP($A60,TOCA_previous!$A$2:$AJ$136,MATCH(F$4,TOCA_previous!$A$2:$AJ$2,0),FALSE)</f>
        <v>1.79886E-2</v>
      </c>
      <c r="G60" s="85">
        <f t="shared" si="18"/>
        <v>1.7925799999999999E-2</v>
      </c>
      <c r="H60" s="85">
        <f>VLOOKUP($A60,TOCA_previous!$A$2:$AJ$136,MATCH(H$4,TOCA_previous!$A$2:$AJ$2,0),FALSE)</f>
        <v>0</v>
      </c>
      <c r="I60" s="85">
        <f t="shared" si="19"/>
        <v>0</v>
      </c>
      <c r="J60" s="85">
        <f t="shared" si="20"/>
        <v>0</v>
      </c>
      <c r="K60" s="101">
        <f>VLOOKUP(A60, IRD!$A$5:$C$138, 3, FALSE)</f>
        <v>0</v>
      </c>
      <c r="L60" s="102">
        <f t="array" ref="L60">IF($G60=0, INDEX(LS_previous!$D$4:$AY$137, MATCH('Staging Table'!$A60, LS_previous!$B$4:$B$137, 0), MATCH(L$4&amp;L$5, LS_previous!$D$2:$AY$2&amp;LS_previous!$D$3:$AY$3, 0)),SUM(VLOOKUP($A60, LS_previous!$B$4:$AY$137, LS_previous!D$148, FALSE), VLOOKUP('Staging Table'!$A60, LS_previous!$B$4:$AY$137,LS_previous!AB$148, FALSE))/2)</f>
        <v>3335.6664680012691</v>
      </c>
      <c r="M60" s="102">
        <f t="array" ref="M60">IF($G60=0, INDEX(LS_previous!$D$4:$AY$137, MATCH('Staging Table'!$A60, LS_previous!$B$4:$B$137, 0), MATCH(M$4&amp;M$5, LS_previous!$D$2:$AY$2&amp;LS_previous!$D$3:$AY$3, 0)),SUM(VLOOKUP($A60, LS_previous!$B$4:$AY$137, LS_previous!E$148, FALSE), VLOOKUP('Staging Table'!$A60, LS_previous!$B$4:$AY$137,LS_previous!AC$148, FALSE))/2)</f>
        <v>7225.3268885352809</v>
      </c>
      <c r="N60" s="102">
        <f t="array" ref="N60">IF($G60=0, INDEX(LS_previous!$D$4:$AY$137, MATCH('Staging Table'!$A60, LS_previous!$B$4:$B$137, 0), MATCH(N$4&amp;N$5, LS_previous!$D$2:$AY$2&amp;LS_previous!$D$3:$AY$3, 0)),SUM(VLOOKUP($A60, LS_previous!$B$4:$AY$137, LS_previous!F$148, FALSE), VLOOKUP('Staging Table'!$A60, LS_previous!$B$4:$AY$137,LS_previous!AD$148, FALSE))/2)</f>
        <v>-13357.314954053007</v>
      </c>
      <c r="O60" s="102">
        <f t="array" ref="O60">IF($G60=0, INDEX(LS_previous!$D$4:$AY$137, MATCH('Staging Table'!$A60, LS_previous!$B$4:$B$137, 0), MATCH(O$4&amp;O$5, LS_previous!$D$2:$AY$2&amp;LS_previous!$D$3:$AY$3, 0)),SUM(VLOOKUP($A60, LS_previous!$B$4:$AY$137, LS_previous!G$148, FALSE), VLOOKUP('Staging Table'!$A60, LS_previous!$B$4:$AY$137,LS_previous!AE$148, FALSE))/2)</f>
        <v>-1545.1639777080381</v>
      </c>
      <c r="P60" s="102">
        <f t="array" ref="P60">IF($G60=0, INDEX(LS_previous!$D$4:$AY$137, MATCH('Staging Table'!$A60, LS_previous!$B$4:$B$137, 0), MATCH(P$4&amp;P$5, LS_previous!$D$2:$AY$2&amp;LS_previous!$D$3:$AY$3, 0)),SUM(VLOOKUP($A60, LS_previous!$B$4:$AY$137, LS_previous!H$148, FALSE), VLOOKUP('Staging Table'!$A60, LS_previous!$B$4:$AY$137,LS_previous!AF$148, FALSE))/2)</f>
        <v>-6684.197771696261</v>
      </c>
      <c r="Q60" s="102">
        <f t="array" ref="Q60">IF($G60=0, INDEX(LS_previous!$D$4:$AY$137, MATCH('Staging Table'!$A60, LS_previous!$B$4:$B$137, 0), MATCH(Q$4&amp;Q$5, LS_previous!$D$2:$AY$2&amp;LS_previous!$D$3:$AY$3, 0)),SUM(VLOOKUP($A60, LS_previous!$B$4:$AY$137, LS_previous!I$148, FALSE), VLOOKUP('Staging Table'!$A60, LS_previous!$B$4:$AY$137,LS_previous!AG$148, FALSE))/2)</f>
        <v>7754.450047851933</v>
      </c>
      <c r="R60" s="102">
        <f t="array" ref="R60">IF($G60=0, INDEX(LS_previous!$D$4:$AY$137, MATCH('Staging Table'!$A60, LS_previous!$B$4:$B$137, 0), MATCH(R$4&amp;R$5, LS_previous!$D$2:$AY$2&amp;LS_previous!$D$3:$AY$3, 0)),SUM(VLOOKUP($A60, LS_previous!$B$4:$AY$137, LS_previous!J$148, FALSE), VLOOKUP('Staging Table'!$A60, LS_previous!$B$4:$AY$137,LS_previous!AH$148, FALSE))/2)</f>
        <v>-4687.1225875073833</v>
      </c>
      <c r="S60" s="102">
        <f t="array" ref="S60">IF($G60=0, INDEX(LS_previous!$D$4:$AY$137, MATCH('Staging Table'!$A60, LS_previous!$B$4:$B$137, 0), MATCH(S$4&amp;S$5, LS_previous!$D$2:$AY$2&amp;LS_previous!$D$3:$AY$3, 0)),SUM(VLOOKUP($A60, LS_previous!$B$4:$AY$137, LS_previous!K$148, FALSE), VLOOKUP('Staging Table'!$A60, LS_previous!$B$4:$AY$137,LS_previous!AI$148, FALSE))/2)</f>
        <v>8090.076371282059</v>
      </c>
      <c r="T60" s="102">
        <f t="array" ref="T60">IF($G60=0, INDEX(LS_previous!$D$4:$AY$137, MATCH('Staging Table'!$A60, LS_previous!$B$4:$B$137, 0), MATCH(T$4&amp;T$5, LS_previous!$D$2:$AY$2&amp;LS_previous!$D$3:$AY$3, 0)),SUM(VLOOKUP($A60, LS_previous!$B$4:$AY$137, LS_previous!L$148, FALSE), VLOOKUP('Staging Table'!$A60, LS_previous!$B$4:$AY$137,LS_previous!AJ$148, FALSE))/2)</f>
        <v>-1555.9006833625826</v>
      </c>
      <c r="U60" s="102">
        <f t="array" ref="U60">IF($G60=0, INDEX(LS_previous!$D$4:$AY$137, MATCH('Staging Table'!$A60, LS_previous!$B$4:$B$137, 0), MATCH(U$4&amp;U$5, LS_previous!$D$2:$AY$2&amp;LS_previous!$D$3:$AY$3, 0)),SUM(VLOOKUP($A60, LS_previous!$B$4:$AY$137, LS_previous!M$148, FALSE), VLOOKUP('Staging Table'!$A60, LS_previous!$B$4:$AY$137,LS_previous!AK$148, FALSE))/2)</f>
        <v>8942.0132309748624</v>
      </c>
      <c r="V60" s="102">
        <f t="array" ref="V60">IF($G60=0, INDEX(LS_previous!$D$4:$AY$137, MATCH('Staging Table'!$A60, LS_previous!$B$4:$B$137, 0), MATCH(V$4&amp;V$5, LS_previous!$D$2:$AY$2&amp;LS_previous!$D$3:$AY$3, 0)),SUM(VLOOKUP($A60, LS_previous!$B$4:$AY$137, LS_previous!N$148, FALSE), VLOOKUP('Staging Table'!$A60, LS_previous!$B$4:$AY$137,LS_previous!AL$148, FALSE))/2)</f>
        <v>-7250.0915921878914</v>
      </c>
      <c r="W60" s="102">
        <f t="array" ref="W60">IF($G60=0, INDEX(LS_previous!$D$4:$AY$137, MATCH('Staging Table'!$A60, LS_previous!$B$4:$B$137, 0), MATCH(W$4&amp;W$5, LS_previous!$D$2:$AY$2&amp;LS_previous!$D$3:$AY$3, 0)),SUM(VLOOKUP($A60, LS_previous!$B$4:$AY$137, LS_previous!O$148, FALSE), VLOOKUP('Staging Table'!$A60, LS_previous!$B$4:$AY$137,LS_previous!AM$148, FALSE))/2)</f>
        <v>3321.0808925837227</v>
      </c>
      <c r="X60" s="102">
        <f t="array" ref="X60">IF($G60=0, INDEX(LS_previous!$D$4:$AY$137, MATCH('Staging Table'!$A60, LS_previous!$B$4:$B$137, 0), MATCH(X$4&amp;X$5, LS_previous!$D$2:$AY$2&amp;LS_previous!$D$3:$AY$3, 0)),SUM(VLOOKUP($A60, LS_previous!$B$4:$AY$137, LS_previous!P$148, FALSE), VLOOKUP('Staging Table'!$A60, LS_previous!$B$4:$AY$137,LS_previous!AN$148, FALSE))/2)</f>
        <v>915.11418569114903</v>
      </c>
      <c r="Y60" s="102">
        <f t="array" ref="Y60">IF($G60=0, INDEX(LS_previous!$D$4:$AY$137, MATCH('Staging Table'!$A60, LS_previous!$B$4:$B$137, 0), MATCH(Y$4&amp;Y$5, LS_previous!$D$2:$AY$2&amp;LS_previous!$D$3:$AY$3, 0)),SUM(VLOOKUP($A60, LS_previous!$B$4:$AY$137, LS_previous!Q$148, FALSE), VLOOKUP('Staging Table'!$A60, LS_previous!$B$4:$AY$137,LS_previous!AO$148, FALSE))/2)</f>
        <v>5024.5862808294587</v>
      </c>
      <c r="Z60" s="102">
        <f t="array" ref="Z60">IF($G60=0, INDEX(LS_previous!$D$4:$AY$137, MATCH('Staging Table'!$A60, LS_previous!$B$4:$B$137, 0), MATCH(Z$4&amp;Z$5, LS_previous!$D$2:$AY$2&amp;LS_previous!$D$3:$AY$3, 0)),SUM(VLOOKUP($A60, LS_previous!$B$4:$AY$137, LS_previous!R$148, FALSE), VLOOKUP('Staging Table'!$A60, LS_previous!$B$4:$AY$137,LS_previous!AP$148, FALSE))/2)</f>
        <v>-21584.263979274452</v>
      </c>
      <c r="AA60" s="102">
        <f t="array" ref="AA60">IF($G60=0, INDEX(LS_previous!$D$4:$AY$137, MATCH('Staging Table'!$A60, LS_previous!$B$4:$B$137, 0), MATCH(AA$4&amp;AA$5, LS_previous!$D$2:$AY$2&amp;LS_previous!$D$3:$AY$3, 0)),SUM(VLOOKUP($A60, LS_previous!$B$4:$AY$137, LS_previous!S$148, FALSE), VLOOKUP('Staging Table'!$A60, LS_previous!$B$4:$AY$137,LS_previous!AQ$148, FALSE))/2)</f>
        <v>-8252.0063265613735</v>
      </c>
      <c r="AB60" s="102">
        <f t="array" ref="AB60">IF($G60=0, INDEX(LS_previous!$D$4:$AY$137, MATCH('Staging Table'!$A60, LS_previous!$B$4:$B$137, 0), MATCH(AB$4&amp;AB$5, LS_previous!$D$2:$AY$2&amp;LS_previous!$D$3:$AY$3, 0)),SUM(VLOOKUP($A60, LS_previous!$B$4:$AY$137, LS_previous!T$148, FALSE), VLOOKUP('Staging Table'!$A60, LS_previous!$B$4:$AY$137,LS_previous!AR$148, FALSE))/2)</f>
        <v>-25265.859672420545</v>
      </c>
      <c r="AC60" s="102">
        <f t="array" ref="AC60">IF($G60=0, INDEX(LS_previous!$D$4:$AY$137, MATCH('Staging Table'!$A60, LS_previous!$B$4:$B$137, 0), MATCH(AC$4&amp;AC$5, LS_previous!$D$2:$AY$2&amp;LS_previous!$D$3:$AY$3, 0)),SUM(VLOOKUP($A60, LS_previous!$B$4:$AY$137, LS_previous!U$148, FALSE), VLOOKUP('Staging Table'!$A60, LS_previous!$B$4:$AY$137,LS_previous!AS$148, FALSE))/2)</f>
        <v>-6762.4963985793929</v>
      </c>
      <c r="AD60" s="102">
        <f t="array" ref="AD60">IF($G60=0, INDEX(LS_previous!$D$4:$AY$137, MATCH('Staging Table'!$A60, LS_previous!$B$4:$B$137, 0), MATCH(AD$4&amp;AD$5, LS_previous!$D$2:$AY$2&amp;LS_previous!$D$3:$AY$3, 0)),SUM(VLOOKUP($A60, LS_previous!$B$4:$AY$137, LS_previous!V$148, FALSE), VLOOKUP('Staging Table'!$A60, LS_previous!$B$4:$AY$137,LS_previous!AT$148, FALSE))/2)</f>
        <v>-6987.9709769445763</v>
      </c>
      <c r="AE60" s="102">
        <f t="array" ref="AE60">IF($G60=0, INDEX(LS_previous!$D$4:$AY$137, MATCH('Staging Table'!$A60, LS_previous!$B$4:$B$137, 0), MATCH(AE$4&amp;AE$5, LS_previous!$D$2:$AY$2&amp;LS_previous!$D$3:$AY$3, 0)),SUM(VLOOKUP($A60, LS_previous!$B$4:$AY$137, LS_previous!W$148, FALSE), VLOOKUP('Staging Table'!$A60, LS_previous!$B$4:$AY$137,LS_previous!AU$148, FALSE))/2)</f>
        <v>4750.2367704766257</v>
      </c>
      <c r="AF60" s="102">
        <f t="array" ref="AF60">IF($G60=0, INDEX(LS_previous!$D$4:$AY$137, MATCH('Staging Table'!$A60, LS_previous!$B$4:$B$137, 0), MATCH(AF$4&amp;AF$5, LS_previous!$D$2:$AY$2&amp;LS_previous!$D$3:$AY$3, 0)),SUM(VLOOKUP($A60, LS_previous!$B$4:$AY$137, LS_previous!X$148, FALSE), VLOOKUP('Staging Table'!$A60, LS_previous!$B$4:$AY$137,LS_previous!AV$148, FALSE))/2)</f>
        <v>-3946.8913445333928</v>
      </c>
      <c r="AG60" s="102">
        <f t="array" ref="AG60">IF($G60=0, INDEX(LS_previous!$D$4:$AY$137, MATCH('Staging Table'!$A60, LS_previous!$B$4:$B$137, 0), MATCH(AG$4&amp;AG$5, LS_previous!$D$2:$AY$2&amp;LS_previous!$D$3:$AY$3, 0)),SUM(VLOOKUP($A60, LS_previous!$B$4:$AY$137, LS_previous!Y$148, FALSE), VLOOKUP('Staging Table'!$A60, LS_previous!$B$4:$AY$137,LS_previous!AW$148, FALSE))/2)</f>
        <v>6847.5110927404203</v>
      </c>
      <c r="AH60" s="102">
        <f t="array" ref="AH60">IF($G60=0, INDEX(LS_previous!$D$4:$AY$137, MATCH('Staging Table'!$A60, LS_previous!$B$4:$B$137, 0), MATCH(AH$4&amp;AH$5, LS_previous!$D$2:$AY$2&amp;LS_previous!$D$3:$AY$3, 0)),SUM(VLOOKUP($A60, LS_previous!$B$4:$AY$137, LS_previous!Z$148, FALSE), VLOOKUP('Staging Table'!$A60, LS_previous!$B$4:$AY$137,LS_previous!AX$148, FALSE))/2)</f>
        <v>-2962.5285505196189</v>
      </c>
      <c r="AI60" s="102">
        <f t="array" ref="AI60">IF($G60=0, INDEX(LS_previous!$D$4:$AY$137, MATCH('Staging Table'!$A60, LS_previous!$B$4:$B$137, 0), MATCH(AI$4&amp;AI$5, LS_previous!$D$2:$AY$2&amp;LS_previous!$D$3:$AY$3, 0)),SUM(VLOOKUP($A60, LS_previous!$B$4:$AY$137, LS_previous!AA$148, FALSE), VLOOKUP('Staging Table'!$A60, LS_previous!$B$4:$AY$137,LS_previous!AY$148, FALSE))/2)</f>
        <v>5225.9967307914285</v>
      </c>
      <c r="AJ60" s="103">
        <f t="array" ref="AJ60">INDEX(Demand_previous!$D$4:$AY$137, MATCH('Staging Table'!$A60, Demand_previous!$B$4:$B$137, 0), MATCH(AJ$4&amp;AJ$5,Demand_previous!$D$2:$AY$2&amp;Demand_previous!$D$3:$AY$3, 0))/1000</f>
        <v>0</v>
      </c>
      <c r="AK60" s="103">
        <f t="array" ref="AK60">INDEX(Demand_previous!$D$4:$AY$137, MATCH('Staging Table'!$A60, Demand_previous!$B$4:$B$137, 0), MATCH(AK$4&amp;AK$5,Demand_previous!$D$2:$AY$2&amp;Demand_previous!$D$3:$AY$3, 0))/1000</f>
        <v>0</v>
      </c>
      <c r="AL60" s="103">
        <f t="array" ref="AL60">INDEX(Demand_previous!$D$4:$AY$137, MATCH('Staging Table'!$A60, Demand_previous!$B$4:$B$137, 0), MATCH(AL$4&amp;AL$5,Demand_previous!$D$2:$AY$2&amp;Demand_previous!$D$3:$AY$3, 0))/1000</f>
        <v>0</v>
      </c>
      <c r="AM60" s="103">
        <f t="array" ref="AM60">INDEX(Demand_previous!$D$4:$AY$137, MATCH('Staging Table'!$A60, Demand_previous!$B$4:$B$137, 0), MATCH(AM$4&amp;AM$5,Demand_previous!$D$2:$AY$2&amp;Demand_previous!$D$3:$AY$3, 0))/1000</f>
        <v>0</v>
      </c>
      <c r="AN60" s="103">
        <f t="array" ref="AN60">INDEX(Demand_previous!$D$4:$AY$137, MATCH('Staging Table'!$A60, Demand_previous!$B$4:$B$137, 0), MATCH(AN$4&amp;AN$5,Demand_previous!$D$2:$AY$2&amp;Demand_previous!$D$3:$AY$3, 0))/1000</f>
        <v>0</v>
      </c>
      <c r="AO60" s="103">
        <f t="array" ref="AO60">INDEX(Demand_previous!$D$4:$AY$137, MATCH('Staging Table'!$A60, Demand_previous!$B$4:$B$137, 0), MATCH(AO$4&amp;AO$5,Demand_previous!$D$2:$AY$2&amp;Demand_previous!$D$3:$AY$3, 0))/1000</f>
        <v>0</v>
      </c>
      <c r="AP60" s="103">
        <f t="array" ref="AP60">INDEX(Demand_previous!$D$4:$AY$137, MATCH('Staging Table'!$A60, Demand_previous!$B$4:$B$137, 0), MATCH(AP$4&amp;AP$5,Demand_previous!$D$2:$AY$2&amp;Demand_previous!$D$3:$AY$3, 0))/1000</f>
        <v>0</v>
      </c>
      <c r="AQ60" s="103">
        <f t="array" ref="AQ60">INDEX(Demand_previous!$D$4:$AY$137, MATCH('Staging Table'!$A60, Demand_previous!$B$4:$B$137, 0), MATCH(AQ$4&amp;AQ$5,Demand_previous!$D$2:$AY$2&amp;Demand_previous!$D$3:$AY$3, 0))/1000</f>
        <v>0</v>
      </c>
      <c r="AR60" s="103">
        <f t="array" ref="AR60">INDEX(Demand_previous!$D$4:$AY$137, MATCH('Staging Table'!$A60, Demand_previous!$B$4:$B$137, 0), MATCH(AR$4&amp;AR$5,Demand_previous!$D$2:$AY$2&amp;Demand_previous!$D$3:$AY$3, 0))/1000</f>
        <v>0</v>
      </c>
      <c r="AS60" s="103">
        <f t="array" ref="AS60">INDEX(Demand_previous!$D$4:$AY$137, MATCH('Staging Table'!$A60, Demand_previous!$B$4:$B$137, 0), MATCH(AS$4&amp;AS$5,Demand_previous!$D$2:$AY$2&amp;Demand_previous!$D$3:$AY$3, 0))/1000</f>
        <v>0</v>
      </c>
      <c r="AT60" s="103">
        <f t="array" ref="AT60">INDEX(Demand_previous!$D$4:$AY$137, MATCH('Staging Table'!$A60, Demand_previous!$B$4:$B$137, 0), MATCH(AT$4&amp;AT$5,Demand_previous!$D$2:$AY$2&amp;Demand_previous!$D$3:$AY$3, 0))/1000</f>
        <v>0</v>
      </c>
      <c r="AU60" s="103">
        <f t="array" ref="AU60">INDEX(Demand_previous!$D$4:$AY$137, MATCH('Staging Table'!$A60, Demand_previous!$B$4:$B$137, 0), MATCH(AU$4&amp;AU$5,Demand_previous!$D$2:$AY$2&amp;Demand_previous!$D$3:$AY$3, 0))/1000</f>
        <v>0</v>
      </c>
      <c r="AV60" s="102">
        <f>$F60*(VLOOKUP(AV$4, Rates_previous!$G$6:$Q$29, 10, FALSE)+VLOOKUP(AV$4, Rates_previous!$G$6:$Q$29, 11, FALSE))</f>
        <v>75890.373344118896</v>
      </c>
      <c r="AW60" s="102">
        <f>$F60*(VLOOKUP(AW$4, Rates_previous!$G$6:$Q$29, 10, FALSE)+VLOOKUP(AW$4, Rates_previous!$G$6:$Q$29, 11, FALSE))</f>
        <v>96785.25109006741</v>
      </c>
      <c r="AX60" s="102">
        <f>$F60*(VLOOKUP(AX$4, Rates_previous!$G$6:$Q$29, 10, FALSE)+VLOOKUP(AX$4, Rates_previous!$G$6:$Q$29, 11, FALSE))</f>
        <v>104450.43596444101</v>
      </c>
      <c r="AY60" s="102">
        <f>$F60*(VLOOKUP(AY$4, Rates_previous!$G$6:$Q$29, 10, FALSE)+VLOOKUP(AY$4, Rates_previous!$G$6:$Q$29, 11, FALSE))</f>
        <v>108540.14973291841</v>
      </c>
      <c r="AZ60" s="102">
        <f>$F60*(VLOOKUP(AZ$4, Rates_previous!$G$6:$Q$29, 10, FALSE)+VLOOKUP(AZ$4, Rates_previous!$G$6:$Q$29, 11, FALSE))</f>
        <v>93358.996248646799</v>
      </c>
      <c r="BA60" s="102">
        <f>$F60*(VLOOKUP(BA$4, Rates_previous!$G$6:$Q$29, 10, FALSE)+VLOOKUP(BA$4, Rates_previous!$G$6:$Q$29, 11, FALSE))</f>
        <v>101929.5397518426</v>
      </c>
      <c r="BB60" s="102">
        <f>$F60*(VLOOKUP(BB$4, Rates_previous!$G$6:$Q$29, 10, FALSE)+VLOOKUP(BB$4, Rates_previous!$G$6:$Q$29, 11, FALSE))</f>
        <v>80456.194424372545</v>
      </c>
      <c r="BC60" s="102">
        <f>$F60*(VLOOKUP(BC$4, Rates_previous!$G$6:$Q$29, 10, FALSE)+VLOOKUP(BC$4, Rates_previous!$G$6:$Q$29, 11, FALSE))</f>
        <v>99816.690816525908</v>
      </c>
      <c r="BD60" s="102">
        <f>$F60*(VLOOKUP(BD$4, Rates_previous!$G$6:$Q$29, 10, FALSE)+VLOOKUP(BD$4, Rates_previous!$G$6:$Q$29, 11, FALSE))</f>
        <v>101982.46382302229</v>
      </c>
      <c r="BE60" s="102">
        <f>$F60*(VLOOKUP(BE$4, Rates_previous!$G$6:$Q$29, 10, FALSE)+VLOOKUP(BE$4, Rates_previous!$G$6:$Q$29, 11, FALSE))</f>
        <v>88535.471046936902</v>
      </c>
      <c r="BF60" s="102">
        <f>$F60*(VLOOKUP(BF$4, Rates_previous!$G$6:$Q$29, 10, FALSE)+VLOOKUP(BF$4, Rates_previous!$G$6:$Q$29, 11, FALSE))</f>
        <v>85590.267002234614</v>
      </c>
      <c r="BG60" s="102">
        <f>$F60*(VLOOKUP(BG$4, Rates_previous!$G$6:$Q$29, 10, FALSE)+VLOOKUP(BG$4, Rates_previous!$G$6:$Q$29, 11, FALSE))</f>
        <v>78759.620099890817</v>
      </c>
      <c r="BH60" s="103">
        <f>IF($D60=0,IF(C60=0, MAX(BJ60 - (VLOOKUP($A60,TOCA_previous!$A$2:$AJ$136,MATCH("RHWM "&amp;Init!$D$1-2,TOCA_previous!$A$2:$AJ$2,0),FALSE)*$F$2*TOCA_previous!C57),0),0), 0)</f>
        <v>0</v>
      </c>
      <c r="BI60" s="109">
        <f>MIN(VLOOKUP($A60,TOCA_previous!$A$2:$AJ$136,MATCH("TRL - NLSL - Existing Resource "&amp;$F$1,TOCA_previous!$A$2:$AJ$2,0),FALSE)*$F$2,(VLOOKUP($A60,TOCA_previous!$A$2:$AJ$136,MATCH("RHWM "&amp;Init!$D$1-2,TOCA_previous!$A$2:$AJ$2,0),FALSE)*$F$2))</f>
        <v>2179117.1520000002</v>
      </c>
      <c r="BJ60" s="261">
        <f>SUM(L60:AI60)+(F60*RT1SC!$C$3*$F$2)</f>
        <v>1066685.7086053859</v>
      </c>
      <c r="BK60" s="260">
        <f>VLOOKUP($A60,TOCA_previous!$A$2:$AJ$136,MATCH("Above RHWM Not Served with LS "&amp;$F$1,TOCA_previous!$A$2:$AJ$2,0),FALSE)*$F$2</f>
        <v>0</v>
      </c>
      <c r="BL60" s="261">
        <f t="shared" si="21"/>
        <v>-1112431.4433946144</v>
      </c>
      <c r="BM60" s="260">
        <f>(VLOOKUP($A60,TOCA_previous!$A$2:$AJ$136,MATCH("RHWM "&amp;Init!$D$1-2,TOCA_previous!$A$2:$AJ$2,0),FALSE)*$F$2) - $BI60</f>
        <v>26518.895999999717</v>
      </c>
      <c r="BN60" s="261">
        <f t="shared" si="22"/>
        <v>0</v>
      </c>
      <c r="BO60" s="260">
        <f t="shared" si="23"/>
        <v>1112431.4433946144</v>
      </c>
      <c r="BP60" s="261">
        <f t="shared" si="24"/>
        <v>0</v>
      </c>
      <c r="BQ60" s="260">
        <f t="shared" si="9"/>
        <v>0</v>
      </c>
      <c r="BR60" s="85">
        <f>VLOOKUP($A60,TOCA_current!$A$2:$ZZ$136,MATCH(BR$4,TOCA_current!$A$2:$ZZ$2,0),FALSE)</f>
        <v>3.4989300000000001E-2</v>
      </c>
      <c r="BS60" s="85">
        <f>VLOOKUP($A60,TOCA_current!$A$2:$ZZ$136,MATCH(BS$4,TOCA_current!$A$2:$ZZ$2,0),FALSE)</f>
        <v>1.70733E-2</v>
      </c>
      <c r="BT60" s="108">
        <f t="shared" si="25"/>
        <v>1.7916000000000001E-2</v>
      </c>
      <c r="BU60" s="85">
        <f>VLOOKUP($A60,TOCA_current!A57:BG191,MATCH(BU$4,TOCA_current!$A$2:$BG$2,0),FALSE)</f>
        <v>0</v>
      </c>
      <c r="BV60" s="85">
        <f t="shared" si="26"/>
        <v>0</v>
      </c>
      <c r="BW60" s="85">
        <f t="shared" si="27"/>
        <v>0</v>
      </c>
      <c r="BX60" s="101">
        <f>VLOOKUP($A60,IRD!$A$4:$G$138, 7, FALSE)</f>
        <v>0</v>
      </c>
      <c r="BY60" s="102">
        <f t="array" ref="BY60">IF($BT60=0, INDEX(LS_current!$D$4:$BW$137, MATCH('Staging Table'!$A60, LS_current!$B$4:$B$137, 0), MATCH(BY$4&amp;BY$5, LS_current!$D$2:$BW$2&amp;LS_current!$D$3:$BW$3, 0)),SUM(VLOOKUP($A60, LS_current!$B$4:$BW$137, LS_current!D$147, FALSE), VLOOKUP($A60, LS_current!$B$4:$BW$137,LS_current!AZ$147, FALSE))/2)</f>
        <v>6082.0156961341418</v>
      </c>
      <c r="BZ60" s="102">
        <f t="array" ref="BZ60">IF($BT60=0, INDEX(LS_current!$D$4:$BW$137, MATCH('Staging Table'!$A60, LS_current!$B$4:$B$137, 0), MATCH(BZ$4&amp;BZ$5, LS_current!$D$2:$BW$2&amp;LS_current!$D$3:$BW$3, 0)),SUM(VLOOKUP($A60, LS_current!$B$4:$BW$137, LS_current!E$147, FALSE), VLOOKUP($A60, LS_current!$B$4:$BW$137,LS_current!BA$147, FALSE))/2)</f>
        <v>9654.2993472666076</v>
      </c>
      <c r="CA60" s="102">
        <f t="array" ref="CA60">IF($BT60=0, INDEX(LS_current!$D$4:$BW$137, MATCH('Staging Table'!$A60, LS_current!$B$4:$B$137, 0), MATCH(CA$4&amp;CA$5, LS_current!$D$2:$BW$2&amp;LS_current!$D$3:$BW$3, 0)),SUM(VLOOKUP($A60, LS_current!$B$4:$BW$137, LS_current!F$147, FALSE), VLOOKUP($A60, LS_current!$B$4:$BW$137,LS_current!BB$147, FALSE))/2)</f>
        <v>-11181.557855127496</v>
      </c>
      <c r="CB60" s="102">
        <f t="array" ref="CB60">IF($BT60=0, INDEX(LS_current!$D$4:$BW$137, MATCH('Staging Table'!$A60, LS_current!$B$4:$B$137, 0), MATCH(CB$4&amp;CB$5, LS_current!$D$2:$BW$2&amp;LS_current!$D$3:$BW$3, 0)),SUM(VLOOKUP($A60, LS_current!$B$4:$BW$137, LS_current!G$147, FALSE), VLOOKUP($A60, LS_current!$B$4:$BW$137,LS_current!BC$147, FALSE))/2)</f>
        <v>2547.3484485186054</v>
      </c>
      <c r="CC60" s="102">
        <f t="array" ref="CC60">IF($BT60=0, INDEX(LS_current!$D$4:$BW$137, MATCH('Staging Table'!$A60, LS_current!$B$4:$B$137, 0), MATCH(CC$4&amp;CC$5, LS_current!$D$2:$BW$2&amp;LS_current!$D$3:$BW$3, 0)),SUM(VLOOKUP($A60, LS_current!$B$4:$BW$137, LS_current!H$147, FALSE), VLOOKUP($A60, LS_current!$B$4:$BW$137,LS_current!BD$147, FALSE))/2)</f>
        <v>-7116.4111003360558</v>
      </c>
      <c r="CD60" s="102">
        <f t="array" ref="CD60">IF($BT60=0, INDEX(LS_current!$D$4:$BW$137, MATCH('Staging Table'!$A60, LS_current!$B$4:$B$137, 0), MATCH(CD$4&amp;CD$5, LS_current!$D$2:$BW$2&amp;LS_current!$D$3:$BW$3, 0)),SUM(VLOOKUP($A60, LS_current!$B$4:$BW$137, LS_current!I$147, FALSE), VLOOKUP($A60, LS_current!$B$4:$BW$137,LS_current!BE$147, FALSE))/2)</f>
        <v>9705.2528328309745</v>
      </c>
      <c r="CE60" s="102">
        <f t="array" ref="CE60">IF($BT60=0, INDEX(LS_current!$D$4:$BW$137, MATCH('Staging Table'!$A60, LS_current!$B$4:$B$137, 0), MATCH(CE$4&amp;CE$5, LS_current!$D$2:$BW$2&amp;LS_current!$D$3:$BW$3, 0)),SUM(VLOOKUP($A60, LS_current!$B$4:$BW$137, LS_current!J$147, FALSE), VLOOKUP($A60, LS_current!$B$4:$BW$137,LS_current!BF$147, FALSE))/2)</f>
        <v>-7247.5109146611721</v>
      </c>
      <c r="CF60" s="102">
        <f t="array" ref="CF60">IF($BT60=0, INDEX(LS_current!$D$4:$BW$137, MATCH('Staging Table'!$A60, LS_current!$B$4:$B$137, 0), MATCH(CF$4&amp;CF$5, LS_current!$D$2:$BW$2&amp;LS_current!$D$3:$BW$3, 0)),SUM(VLOOKUP($A60, LS_current!$B$4:$BW$137, LS_current!K$147, FALSE), VLOOKUP($A60, LS_current!$B$4:$BW$137,LS_current!BG$147, FALSE))/2)</f>
        <v>10571.484322766963</v>
      </c>
      <c r="CG60" s="102">
        <f t="array" ref="CG60">IF($BT60=0, INDEX(LS_current!$D$4:$BW$137, MATCH('Staging Table'!$A60, LS_current!$B$4:$B$137, 0), MATCH(CG$4&amp;CG$5, LS_current!$D$2:$BW$2&amp;LS_current!$D$3:$BW$3, 0)),SUM(VLOOKUP($A60, LS_current!$B$4:$BW$137, LS_current!L$147, FALSE), VLOOKUP($A60, LS_current!$B$4:$BW$137,LS_current!BH$147, FALSE))/2)</f>
        <v>1573.069359623194</v>
      </c>
      <c r="CH60" s="102">
        <f t="array" ref="CH60">IF($BT60=0, INDEX(LS_current!$D$4:$BW$137, MATCH('Staging Table'!$A60, LS_current!$B$4:$B$137, 0), MATCH(CH$4&amp;CH$5, LS_current!$D$2:$BW$2&amp;LS_current!$D$3:$BW$3, 0)),SUM(VLOOKUP($A60, LS_current!$B$4:$BW$137, LS_current!M$147, FALSE), VLOOKUP($A60, LS_current!$B$4:$BW$137,LS_current!BI$147, FALSE))/2)</f>
        <v>11171.64795062974</v>
      </c>
      <c r="CI60" s="102">
        <f t="array" ref="CI60">IF($BT60=0, INDEX(LS_current!$D$4:$BW$137, MATCH('Staging Table'!$A60, LS_current!$B$4:$B$137, 0), MATCH(CI$4&amp;CI$5, LS_current!$D$2:$BW$2&amp;LS_current!$D$3:$BW$3, 0)),SUM(VLOOKUP($A60, LS_current!$B$4:$BW$137, LS_current!N$147, FALSE), VLOOKUP($A60, LS_current!$B$4:$BW$137,LS_current!BJ$147, FALSE))/2)</f>
        <v>-5660.682756274131</v>
      </c>
      <c r="CJ60" s="102">
        <f t="array" ref="CJ60">IF($BT60=0, INDEX(LS_current!$D$4:$BW$137, MATCH('Staging Table'!$A60, LS_current!$B$4:$B$137, 0), MATCH(CJ$4&amp;CJ$5, LS_current!$D$2:$BW$2&amp;LS_current!$D$3:$BW$3, 0)),SUM(VLOOKUP($A60, LS_current!$B$4:$BW$137, LS_current!O$147, FALSE), VLOOKUP($A60, LS_current!$B$4:$BW$137,LS_current!BK$147, FALSE))/2)</f>
        <v>9125.4191468983954</v>
      </c>
      <c r="CK60" s="102">
        <f t="array" ref="CK60">IF($BT60=0, INDEX(LS_current!$D$4:$BW$137, MATCH('Staging Table'!$A60, LS_current!$B$4:$B$137, 0), MATCH(CK$4&amp;CK$5, LS_current!$D$2:$BW$2&amp;LS_current!$D$3:$BW$3, 0)),SUM(VLOOKUP($A60, LS_current!$B$4:$BW$137, LS_current!P$147, FALSE), VLOOKUP($A60, LS_current!$B$4:$BW$137,LS_current!BL$147, FALSE))/2)</f>
        <v>4792.4032467677462</v>
      </c>
      <c r="CL60" s="102">
        <f t="array" ref="CL60">IF($BT60=0, INDEX(LS_current!$D$4:$BW$137, MATCH('Staging Table'!$A60, LS_current!$B$4:$B$137, 0), MATCH(CL$4&amp;CL$5, LS_current!$D$2:$BW$2&amp;LS_current!$D$3:$BW$3, 0)),SUM(VLOOKUP($A60, LS_current!$B$4:$BW$137, LS_current!Q$147, FALSE), VLOOKUP($A60, LS_current!$B$4:$BW$137,LS_current!BM$147, FALSE))/2)</f>
        <v>8394.1980376395295</v>
      </c>
      <c r="CM60" s="102">
        <f t="array" ref="CM60">IF($BT60=0, INDEX(LS_current!$D$4:$BW$137, MATCH('Staging Table'!$A60, LS_current!$B$4:$B$137, 0), MATCH(CM$4&amp;CM$5, LS_current!$D$2:$BW$2&amp;LS_current!$D$3:$BW$3, 0)),SUM(VLOOKUP($A60, LS_current!$B$4:$BW$137, LS_current!R$147, FALSE), VLOOKUP($A60, LS_current!$B$4:$BW$137,LS_current!BN$147, FALSE))/2)</f>
        <v>-19973.893332983062</v>
      </c>
      <c r="CN60" s="102">
        <f t="array" ref="CN60">IF($BT60=0, INDEX(LS_current!$D$4:$BW$137, MATCH('Staging Table'!$A60, LS_current!$B$4:$B$137, 0), MATCH(CN$4&amp;CN$5, LS_current!$D$2:$BW$2&amp;LS_current!$D$3:$BW$3, 0)),SUM(VLOOKUP($A60, LS_current!$B$4:$BW$137, LS_current!S$147, FALSE), VLOOKUP($A60, LS_current!$B$4:$BW$137,LS_current!BO$147, FALSE))/2)</f>
        <v>-4999.6624526435571</v>
      </c>
      <c r="CO60" s="102">
        <f t="array" ref="CO60">IF($BT60=0, INDEX(LS_current!$D$4:$BW$137, MATCH('Staging Table'!$A60, LS_current!$B$4:$B$137, 0), MATCH(CO$4&amp;CO$5, LS_current!$D$2:$BW$2&amp;LS_current!$D$3:$BW$3, 0)),SUM(VLOOKUP($A60, LS_current!$B$4:$BW$137, LS_current!T$147, FALSE), VLOOKUP($A60, LS_current!$B$4:$BW$137,LS_current!BP$147, FALSE))/2)</f>
        <v>-22903.947662130984</v>
      </c>
      <c r="CP60" s="102">
        <f t="array" ref="CP60">IF($BT60=0, INDEX(LS_current!$D$4:$BW$137, MATCH('Staging Table'!$A60, LS_current!$B$4:$B$137, 0), MATCH(CP$4&amp;CP$5, LS_current!$D$2:$BW$2&amp;LS_current!$D$3:$BW$3, 0)),SUM(VLOOKUP($A60, LS_current!$B$4:$BW$137, LS_current!U$147, FALSE), VLOOKUP($A60, LS_current!$B$4:$BW$137,LS_current!BQ$147, FALSE))/2)</f>
        <v>-4128.7370011170806</v>
      </c>
      <c r="CQ60" s="102">
        <f t="array" ref="CQ60">IF($BT60=0, INDEX(LS_current!$D$4:$BW$137, MATCH('Staging Table'!$A60, LS_current!$B$4:$B$137, 0), MATCH(CQ$4&amp;CQ$5, LS_current!$D$2:$BW$2&amp;LS_current!$D$3:$BW$3, 0)),SUM(VLOOKUP($A60, LS_current!$B$4:$BW$137, LS_current!V$147, FALSE), VLOOKUP($A60, LS_current!$B$4:$BW$137,LS_current!BR$147, FALSE))/2)</f>
        <v>-6513.4615974500884</v>
      </c>
      <c r="CR60" s="102">
        <f t="array" ref="CR60">IF($BT60=0, INDEX(LS_current!$D$4:$BW$137, MATCH('Staging Table'!$A60, LS_current!$B$4:$B$137, 0), MATCH(CR$4&amp;CR$5, LS_current!$D$2:$BW$2&amp;LS_current!$D$3:$BW$3, 0)),SUM(VLOOKUP($A60, LS_current!$B$4:$BW$137, LS_current!W$147, FALSE), VLOOKUP($A60, LS_current!$B$4:$BW$137,LS_current!BS$147, FALSE))/2)</f>
        <v>6547.2328467243224</v>
      </c>
      <c r="CS60" s="102">
        <f t="array" ref="CS60">IF($BT60=0, INDEX(LS_current!$D$4:$BW$137, MATCH('Staging Table'!$A60, LS_current!$B$4:$B$137, 0), MATCH(CS$4&amp;CS$5, LS_current!$D$2:$BW$2&amp;LS_current!$D$3:$BW$3, 0)),SUM(VLOOKUP($A60, LS_current!$B$4:$BW$137, LS_current!X$147, FALSE), VLOOKUP($A60, LS_current!$B$4:$BW$137,LS_current!BT$147, FALSE))/2)</f>
        <v>-9529.9337008699767</v>
      </c>
      <c r="CT60" s="102">
        <f t="array" ref="CT60">IF($BT60=0, INDEX(LS_current!$D$4:$BW$137, MATCH('Staging Table'!$A60, LS_current!$B$4:$B$137, 0), MATCH(CT$4&amp;CT$5, LS_current!$D$2:$BW$2&amp;LS_current!$D$3:$BW$3, 0)),SUM(VLOOKUP($A60, LS_current!$B$4:$BW$137, LS_current!Y$147, FALSE), VLOOKUP($A60, LS_current!$B$4:$BW$137,LS_current!BU$147, FALSE))/2)</f>
        <v>9465.8920724855889</v>
      </c>
      <c r="CU60" s="102">
        <f t="array" ref="CU60">IF($BT60=0, INDEX(LS_current!$D$4:$BW$137, MATCH('Staging Table'!$A60, LS_current!$B$4:$B$137, 0), MATCH(CU$4&amp;CU$5, LS_current!$D$2:$BW$2&amp;LS_current!$D$3:$BW$3, 0)),SUM(VLOOKUP($A60, LS_current!$B$4:$BW$137, LS_current!Z$147, FALSE), VLOOKUP($A60, LS_current!$B$4:$BW$137,LS_current!BV$147, FALSE))/2)</f>
        <v>2243.8808384714139</v>
      </c>
      <c r="CV60" s="102">
        <f t="array" ref="CV60">IF($BT60=0, INDEX(LS_current!$D$4:$BW$137, MATCH('Staging Table'!$A60, LS_current!$B$4:$B$137, 0), MATCH(CV$4&amp;CV$5, LS_current!$D$2:$BW$2&amp;LS_current!$D$3:$BW$3, 0)),SUM(VLOOKUP($A60, LS_current!$B$4:$BW$137, LS_current!AA$147, FALSE), VLOOKUP($A60, LS_current!$B$4:$BW$137,LS_current!BW$147, FALSE))/2)</f>
        <v>10201.584488673059</v>
      </c>
      <c r="CW60" s="103">
        <f t="array" ref="CW60">INDEX(Demand_current!$D$4:$BW$137, MATCH($A60, Demand_current!$B$4:$B$137, 0), MATCH(CW$4&amp;CW$5,Demand_current!$D$2:$BW$2&amp;Demand_current!$D$3:$BW$3, 0))/1000</f>
        <v>0</v>
      </c>
      <c r="CX60" s="103">
        <f t="array" ref="CX60">INDEX(Demand_current!$D$4:$BW$137, MATCH($A60, Demand_current!$B$4:$B$137, 0), MATCH(CX$4&amp;CX$5,Demand_current!$D$2:$BW$2&amp;Demand_current!$D$3:$BW$3, 0))/1000</f>
        <v>0</v>
      </c>
      <c r="CY60" s="103">
        <f t="array" ref="CY60">INDEX(Demand_current!$D$4:$BW$137, MATCH($A60, Demand_current!$B$4:$B$137, 0), MATCH(CY$4&amp;CY$5,Demand_current!$D$2:$BW$2&amp;Demand_current!$D$3:$BW$3, 0))/1000</f>
        <v>0</v>
      </c>
      <c r="CZ60" s="103">
        <f t="array" ref="CZ60">INDEX(Demand_current!$D$4:$BW$137, MATCH($A60, Demand_current!$B$4:$B$137, 0), MATCH(CZ$4&amp;CZ$5,Demand_current!$D$2:$BW$2&amp;Demand_current!$D$3:$BW$3, 0))/1000</f>
        <v>0</v>
      </c>
      <c r="DA60" s="103">
        <f t="array" ref="DA60">INDEX(Demand_current!$D$4:$BW$137, MATCH($A60, Demand_current!$B$4:$B$137, 0), MATCH(DA$4&amp;DA$5,Demand_current!$D$2:$BW$2&amp;Demand_current!$D$3:$BW$3, 0))/1000</f>
        <v>0</v>
      </c>
      <c r="DB60" s="103">
        <f t="array" ref="DB60">INDEX(Demand_current!$D$4:$BW$137, MATCH($A60, Demand_current!$B$4:$B$137, 0), MATCH(DB$4&amp;DB$5,Demand_current!$D$2:$BW$2&amp;Demand_current!$D$3:$BW$3, 0))/1000</f>
        <v>0</v>
      </c>
      <c r="DC60" s="103">
        <f t="array" ref="DC60">INDEX(Demand_current!$D$4:$BW$137, MATCH($A60, Demand_current!$B$4:$B$137, 0), MATCH(DC$4&amp;DC$5,Demand_current!$D$2:$BW$2&amp;Demand_current!$D$3:$BW$3, 0))/1000</f>
        <v>0</v>
      </c>
      <c r="DD60" s="103">
        <f t="array" ref="DD60">INDEX(Demand_current!$D$4:$BW$137, MATCH($A60, Demand_current!$B$4:$B$137, 0), MATCH(DD$4&amp;DD$5,Demand_current!$D$2:$BW$2&amp;Demand_current!$D$3:$BW$3, 0))/1000</f>
        <v>0</v>
      </c>
      <c r="DE60" s="103">
        <f t="array" ref="DE60">INDEX(Demand_current!$D$4:$BW$137, MATCH($A60, Demand_current!$B$4:$B$137, 0), MATCH(DE$4&amp;DE$5,Demand_current!$D$2:$BW$2&amp;Demand_current!$D$3:$BW$3, 0))/1000</f>
        <v>0</v>
      </c>
      <c r="DF60" s="103">
        <f t="array" ref="DF60">INDEX(Demand_current!$D$4:$BW$137, MATCH($A60, Demand_current!$B$4:$B$137, 0), MATCH(DF$4&amp;DF$5,Demand_current!$D$2:$BW$2&amp;Demand_current!$D$3:$BW$3, 0))/1000</f>
        <v>0</v>
      </c>
      <c r="DG60" s="103">
        <f t="array" ref="DG60">INDEX(Demand_current!$D$4:$BW$137, MATCH($A60, Demand_current!$B$4:$B$137, 0), MATCH(DG$4&amp;DG$5,Demand_current!$D$2:$BW$2&amp;Demand_current!$D$3:$BW$3, 0))/1000</f>
        <v>0</v>
      </c>
      <c r="DH60" s="103">
        <f t="array" ref="DH60">INDEX(Demand_current!$D$4:$BW$137, MATCH($A60, Demand_current!$B$4:$B$137, 0), MATCH(DH$4&amp;DH$5,Demand_current!$D$2:$BW$2&amp;Demand_current!$D$3:$BW$3, 0))/1000</f>
        <v>0</v>
      </c>
      <c r="DI60" s="102">
        <f>$BS60*(VLOOKUP(DI$4, Rates_current!$H$6:$R$41, 10, FALSE)+VLOOKUP(DI$4, Rates_current!$H$6:$R$41, 11, FALSE))</f>
        <v>70859.105429231975</v>
      </c>
      <c r="DJ60" s="102">
        <f>$BS60*(VLOOKUP(DJ$4, Rates_current!$H$6:$R$41, 10, FALSE)+VLOOKUP(DJ$4, Rates_current!$H$6:$R$41, 11, FALSE))</f>
        <v>90591.034170726911</v>
      </c>
      <c r="DK60" s="102">
        <f>$BS60*(VLOOKUP(DK$4, Rates_current!$H$6:$R$41, 10, FALSE)+VLOOKUP(DK$4, Rates_current!$H$6:$R$41, 11, FALSE))</f>
        <v>102994.42909400532</v>
      </c>
      <c r="DL60" s="102">
        <f>$BS60*(VLOOKUP(DL$4, Rates_current!$H$6:$R$41, 10, FALSE)+VLOOKUP(DL$4, Rates_current!$H$6:$R$41, 11, FALSE))</f>
        <v>108667.16232450638</v>
      </c>
      <c r="DM60" s="102">
        <f>$BS60*(VLOOKUP(DM$4, Rates_current!$H$6:$R$41, 10, FALSE)+VLOOKUP(DM$4, Rates_current!$H$6:$R$41, 11, FALSE))</f>
        <v>86597.920786357397</v>
      </c>
      <c r="DN60" s="102">
        <f>$BS60*(VLOOKUP(DN$4, Rates_current!$H$6:$R$41, 10, FALSE)+VLOOKUP(DN$4, Rates_current!$H$6:$R$41, 11, FALSE))</f>
        <v>94669.310800192849</v>
      </c>
      <c r="DO60" s="102">
        <f>$BS60*(VLOOKUP(DO$4, Rates_current!$H$6:$R$41, 10, FALSE)+VLOOKUP(DO$4, Rates_current!$H$6:$R$41, 11, FALSE))</f>
        <v>73369.668155567168</v>
      </c>
      <c r="DP60" s="102">
        <f>$BS60*(VLOOKUP(DP$4, Rates_current!$H$6:$R$41, 10, FALSE)+VLOOKUP(DP$4, Rates_current!$H$6:$R$41, 11, FALSE))</f>
        <v>94952.43108156306</v>
      </c>
      <c r="DQ60" s="102">
        <f>$BS60*(VLOOKUP(DQ$4, Rates_current!$H$6:$R$41, 10, FALSE)+VLOOKUP(DQ$4, Rates_current!$H$6:$R$41, 11, FALSE))</f>
        <v>96979.941891606999</v>
      </c>
      <c r="DR60" s="102">
        <f>$BS60*(VLOOKUP(DR$4, Rates_current!$H$6:$R$41, 10, FALSE)+VLOOKUP(DR$4, Rates_current!$H$6:$R$41, 11, FALSE))</f>
        <v>86320.535567860716</v>
      </c>
      <c r="DS60" s="102">
        <f>$BS60*(VLOOKUP(DS$4, Rates_current!$H$6:$R$41, 10, FALSE)+VLOOKUP(DS$4, Rates_current!$H$6:$R$41, 11, FALSE))</f>
        <v>88549.038824606934</v>
      </c>
      <c r="DT60" s="102">
        <f>$BS60*(VLOOKUP(DT$4, Rates_current!$H$6:$R$41, 10, FALSE)+VLOOKUP(DT$4, Rates_current!$H$6:$R$41, 11, FALSE))</f>
        <v>68768.943161878386</v>
      </c>
      <c r="DU60" s="261">
        <f>IF(D60=0,IF(C60=0,MAX(0,DW60 - (VLOOKUP($A60,TOCA_current!$A$2:$AV$136,MATCH("RHWM "&amp;Init!$D$1,TOCA_current!$A$2:$AV$2,0),FALSE)*$BS$2)), 0),0)</f>
        <v>0</v>
      </c>
      <c r="DV60" s="262">
        <f>MIN(VLOOKUP($A60,TOCA_current!$A$2:$AV$136,MATCH("TRL - NLSL - Existing Resource "&amp;$BS$1,TOCA_current!$A$2:$AV$2,0),FALSE)*$BS$2, VLOOKUP($A60,TOCA_current!$A$2:$AV$136,MATCH("RHWM "&amp;Init!$D$1,TOCA_current!$A$2:$AV$2,0),FALSE)*$BS$2)</f>
        <v>2179120.08</v>
      </c>
      <c r="DW60" s="262">
        <f>SUM(BY60:CV60)+(BS60*RT1SC!$C$4*$BS$2)</f>
        <v>1066139.5143174527</v>
      </c>
      <c r="DX60" s="262">
        <f>VLOOKUP($A60,TOCA_current!$A$2:$AV$136,MATCH("Above RHWM Not Served with LS "&amp;$BS$1,TOCA_current!$A$2:$AV$2,0),FALSE)*$BS$2</f>
        <v>0</v>
      </c>
      <c r="DY60" s="262">
        <f t="shared" si="28"/>
        <v>-1112980.5656825474</v>
      </c>
      <c r="DZ60" s="262">
        <f>(VLOOKUP($A60,TOCA_current!$A$2:$AV$136,MATCH("RHWM "&amp;Init!$D$1,TOCA_current!$A$2:$AV$2,0),FALSE)*$BS$2) - $DV60</f>
        <v>33165.35999999987</v>
      </c>
      <c r="EA60" s="262">
        <f t="shared" si="29"/>
        <v>0</v>
      </c>
      <c r="EB60" s="262">
        <f t="shared" si="30"/>
        <v>1112980.5656825474</v>
      </c>
      <c r="EC60" s="262">
        <f t="shared" si="31"/>
        <v>0</v>
      </c>
      <c r="ED60" s="262">
        <f t="shared" si="32"/>
        <v>0</v>
      </c>
    </row>
    <row r="61" spans="1:134">
      <c r="A61" s="2">
        <v>10172</v>
      </c>
      <c r="B61" s="3" t="s">
        <v>63</v>
      </c>
      <c r="C61">
        <f>VLOOKUP(A61, TOCA_current!$A$3:$D$136, 4, FALSE)</f>
        <v>0</v>
      </c>
      <c r="D61">
        <v>0</v>
      </c>
      <c r="E61" s="84">
        <f>VLOOKUP($A61,TOCA_previous!$A$2:$AJ$136,MATCH(E$4,TOCA_previous!$A$2:$AJ$2,0),FALSE)</f>
        <v>7.6340000000000002E-4</v>
      </c>
      <c r="F61" s="85">
        <f>VLOOKUP($A61,TOCA_previous!$A$2:$AJ$136,MATCH(F$4,TOCA_previous!$A$2:$AJ$2,0),FALSE)</f>
        <v>7.6340000000000002E-4</v>
      </c>
      <c r="G61" s="85">
        <f t="shared" si="18"/>
        <v>0</v>
      </c>
      <c r="H61" s="85">
        <f>VLOOKUP($A61,TOCA_previous!$A$2:$AJ$136,MATCH(H$4,TOCA_previous!$A$2:$AJ$2,0),FALSE)</f>
        <v>0</v>
      </c>
      <c r="I61" s="85">
        <f t="shared" si="19"/>
        <v>0</v>
      </c>
      <c r="J61" s="85">
        <f t="shared" si="20"/>
        <v>0</v>
      </c>
      <c r="K61" s="101">
        <f>VLOOKUP(A61, IRD!$A$5:$C$138, 3, FALSE)</f>
        <v>0</v>
      </c>
      <c r="L61" s="102">
        <f t="array" ref="L61">IF($G61=0, INDEX(LS_previous!$D$4:$AY$137, MATCH('Staging Table'!$A61, LS_previous!$B$4:$B$137, 0), MATCH(L$4&amp;L$5, LS_previous!$D$2:$AY$2&amp;LS_previous!$D$3:$AY$3, 0)),SUM(VLOOKUP($A61, LS_previous!$B$4:$AY$137, LS_previous!D$148, FALSE), VLOOKUP('Staging Table'!$A61, LS_previous!$B$4:$AY$137,LS_previous!AB$148, FALSE))/2)</f>
        <v>324.47722291759965</v>
      </c>
      <c r="M61" s="102">
        <f t="array" ref="M61">IF($G61=0, INDEX(LS_previous!$D$4:$AY$137, MATCH('Staging Table'!$A61, LS_previous!$B$4:$B$137, 0), MATCH(M$4&amp;M$5, LS_previous!$D$2:$AY$2&amp;LS_previous!$D$3:$AY$3, 0)),SUM(VLOOKUP($A61, LS_previous!$B$4:$AY$137, LS_previous!E$148, FALSE), VLOOKUP('Staging Table'!$A61, LS_previous!$B$4:$AY$137,LS_previous!AC$148, FALSE))/2)</f>
        <v>95.963985553300063</v>
      </c>
      <c r="N61" s="102">
        <f t="array" ref="N61">IF($G61=0, INDEX(LS_previous!$D$4:$AY$137, MATCH('Staging Table'!$A61, LS_previous!$B$4:$B$137, 0), MATCH(N$4&amp;N$5, LS_previous!$D$2:$AY$2&amp;LS_previous!$D$3:$AY$3, 0)),SUM(VLOOKUP($A61, LS_previous!$B$4:$AY$137, LS_previous!F$148, FALSE), VLOOKUP('Staging Table'!$A61, LS_previous!$B$4:$AY$137,LS_previous!AD$148, FALSE))/2)</f>
        <v>-347.88062619520042</v>
      </c>
      <c r="O61" s="102">
        <f t="array" ref="O61">IF($G61=0, INDEX(LS_previous!$D$4:$AY$137, MATCH('Staging Table'!$A61, LS_previous!$B$4:$B$137, 0), MATCH(O$4&amp;O$5, LS_previous!$D$2:$AY$2&amp;LS_previous!$D$3:$AY$3, 0)),SUM(VLOOKUP($A61, LS_previous!$B$4:$AY$137, LS_previous!G$148, FALSE), VLOOKUP('Staging Table'!$A61, LS_previous!$B$4:$AY$137,LS_previous!AE$148, FALSE))/2)</f>
        <v>-140.36274690540017</v>
      </c>
      <c r="P61" s="102">
        <f t="array" ref="P61">IF($G61=0, INDEX(LS_previous!$D$4:$AY$137, MATCH('Staging Table'!$A61, LS_previous!$B$4:$B$137, 0), MATCH(P$4&amp;P$5, LS_previous!$D$2:$AY$2&amp;LS_previous!$D$3:$AY$3, 0)),SUM(VLOOKUP($A61, LS_previous!$B$4:$AY$137, LS_previous!H$148, FALSE), VLOOKUP('Staging Table'!$A61, LS_previous!$B$4:$AY$137,LS_previous!AF$148, FALSE))/2)</f>
        <v>-110.52781315260017</v>
      </c>
      <c r="Q61" s="102">
        <f t="array" ref="Q61">IF($G61=0, INDEX(LS_previous!$D$4:$AY$137, MATCH('Staging Table'!$A61, LS_previous!$B$4:$B$137, 0), MATCH(Q$4&amp;Q$5, LS_previous!$D$2:$AY$2&amp;LS_previous!$D$3:$AY$3, 0)),SUM(VLOOKUP($A61, LS_previous!$B$4:$AY$137, LS_previous!I$148, FALSE), VLOOKUP('Staging Table'!$A61, LS_previous!$B$4:$AY$137,LS_previous!AG$148, FALSE))/2)</f>
        <v>44.381412473599994</v>
      </c>
      <c r="R61" s="102">
        <f t="array" ref="R61">IF($G61=0, INDEX(LS_previous!$D$4:$AY$137, MATCH('Staging Table'!$A61, LS_previous!$B$4:$B$137, 0), MATCH(R$4&amp;R$5, LS_previous!$D$2:$AY$2&amp;LS_previous!$D$3:$AY$3, 0)),SUM(VLOOKUP($A61, LS_previous!$B$4:$AY$137, LS_previous!J$148, FALSE), VLOOKUP('Staging Table'!$A61, LS_previous!$B$4:$AY$137,LS_previous!AH$148, FALSE))/2)</f>
        <v>-297.86305523100009</v>
      </c>
      <c r="S61" s="102">
        <f t="array" ref="S61">IF($G61=0, INDEX(LS_previous!$D$4:$AY$137, MATCH('Staging Table'!$A61, LS_previous!$B$4:$B$137, 0), MATCH(S$4&amp;S$5, LS_previous!$D$2:$AY$2&amp;LS_previous!$D$3:$AY$3, 0)),SUM(VLOOKUP($A61, LS_previous!$B$4:$AY$137, LS_previous!K$148, FALSE), VLOOKUP('Staging Table'!$A61, LS_previous!$B$4:$AY$137,LS_previous!AI$148, FALSE))/2)</f>
        <v>-5.5025713386000916</v>
      </c>
      <c r="T61" s="102">
        <f t="array" ref="T61">IF($G61=0, INDEX(LS_previous!$D$4:$AY$137, MATCH('Staging Table'!$A61, LS_previous!$B$4:$B$137, 0), MATCH(T$4&amp;T$5, LS_previous!$D$2:$AY$2&amp;LS_previous!$D$3:$AY$3, 0)),SUM(VLOOKUP($A61, LS_previous!$B$4:$AY$137, LS_previous!L$148, FALSE), VLOOKUP('Staging Table'!$A61, LS_previous!$B$4:$AY$137,LS_previous!AJ$148, FALSE))/2)</f>
        <v>-262.59285402859996</v>
      </c>
      <c r="U61" s="102">
        <f t="array" ref="U61">IF($G61=0, INDEX(LS_previous!$D$4:$AY$137, MATCH('Staging Table'!$A61, LS_previous!$B$4:$B$137, 0), MATCH(U$4&amp;U$5, LS_previous!$D$2:$AY$2&amp;LS_previous!$D$3:$AY$3, 0)),SUM(VLOOKUP($A61, LS_previous!$B$4:$AY$137, LS_previous!M$148, FALSE), VLOOKUP('Staging Table'!$A61, LS_previous!$B$4:$AY$137,LS_previous!AK$148, FALSE))/2)</f>
        <v>22.515844499399918</v>
      </c>
      <c r="V61" s="102">
        <f t="array" ref="V61">IF($G61=0, INDEX(LS_previous!$D$4:$AY$137, MATCH('Staging Table'!$A61, LS_previous!$B$4:$B$137, 0), MATCH(V$4&amp;V$5, LS_previous!$D$2:$AY$2&amp;LS_previous!$D$3:$AY$3, 0)),SUM(VLOOKUP($A61, LS_previous!$B$4:$AY$137, LS_previous!N$148, FALSE), VLOOKUP('Staging Table'!$A61, LS_previous!$B$4:$AY$137,LS_previous!AL$148, FALSE))/2)</f>
        <v>-385.49525086419999</v>
      </c>
      <c r="W61" s="102">
        <f t="array" ref="W61">IF($G61=0, INDEX(LS_previous!$D$4:$AY$137, MATCH('Staging Table'!$A61, LS_previous!$B$4:$B$137, 0), MATCH(W$4&amp;W$5, LS_previous!$D$2:$AY$2&amp;LS_previous!$D$3:$AY$3, 0)),SUM(VLOOKUP($A61, LS_previous!$B$4:$AY$137, LS_previous!O$148, FALSE), VLOOKUP('Staging Table'!$A61, LS_previous!$B$4:$AY$137,LS_previous!AM$148, FALSE))/2)</f>
        <v>-269.86438532519992</v>
      </c>
      <c r="X61" s="102">
        <f t="array" ref="X61">IF($G61=0, INDEX(LS_previous!$D$4:$AY$137, MATCH('Staging Table'!$A61, LS_previous!$B$4:$B$137, 0), MATCH(X$4&amp;X$5, LS_previous!$D$2:$AY$2&amp;LS_previous!$D$3:$AY$3, 0)),SUM(VLOOKUP($A61, LS_previous!$B$4:$AY$137, LS_previous!P$148, FALSE), VLOOKUP('Staging Table'!$A61, LS_previous!$B$4:$AY$137,LS_previous!AN$148, FALSE))/2)</f>
        <v>101.90490265649987</v>
      </c>
      <c r="Y61" s="102">
        <f t="array" ref="Y61">IF($G61=0, INDEX(LS_previous!$D$4:$AY$137, MATCH('Staging Table'!$A61, LS_previous!$B$4:$B$137, 0), MATCH(Y$4&amp;Y$5, LS_previous!$D$2:$AY$2&amp;LS_previous!$D$3:$AY$3, 0)),SUM(VLOOKUP($A61, LS_previous!$B$4:$AY$137, LS_previous!Q$148, FALSE), VLOOKUP('Staging Table'!$A61, LS_previous!$B$4:$AY$137,LS_previous!AO$148, FALSE))/2)</f>
        <v>28.108043300050213</v>
      </c>
      <c r="Z61" s="102">
        <f t="array" ref="Z61">IF($G61=0, INDEX(LS_previous!$D$4:$AY$137, MATCH('Staging Table'!$A61, LS_previous!$B$4:$B$137, 0), MATCH(Z$4&amp;Z$5, LS_previous!$D$2:$AY$2&amp;LS_previous!$D$3:$AY$3, 0)),SUM(VLOOKUP($A61, LS_previous!$B$4:$AY$137, LS_previous!R$148, FALSE), VLOOKUP('Staging Table'!$A61, LS_previous!$B$4:$AY$137,LS_previous!AP$148, FALSE))/2)</f>
        <v>-387.31098176320029</v>
      </c>
      <c r="AA61" s="102">
        <f t="array" ref="AA61">IF($G61=0, INDEX(LS_previous!$D$4:$AY$137, MATCH('Staging Table'!$A61, LS_previous!$B$4:$B$137, 0), MATCH(AA$4&amp;AA$5, LS_previous!$D$2:$AY$2&amp;LS_previous!$D$3:$AY$3, 0)),SUM(VLOOKUP($A61, LS_previous!$B$4:$AY$137, LS_previous!S$148, FALSE), VLOOKUP('Staging Table'!$A61, LS_previous!$B$4:$AY$137,LS_previous!AQ$148, FALSE))/2)</f>
        <v>-234.7095955988998</v>
      </c>
      <c r="AB61" s="102">
        <f t="array" ref="AB61">IF($G61=0, INDEX(LS_previous!$D$4:$AY$137, MATCH('Staging Table'!$A61, LS_previous!$B$4:$B$137, 0), MATCH(AB$4&amp;AB$5, LS_previous!$D$2:$AY$2&amp;LS_previous!$D$3:$AY$3, 0)),SUM(VLOOKUP($A61, LS_previous!$B$4:$AY$137, LS_previous!T$148, FALSE), VLOOKUP('Staging Table'!$A61, LS_previous!$B$4:$AY$137,LS_previous!AR$148, FALSE))/2)</f>
        <v>-405.39605070840025</v>
      </c>
      <c r="AC61" s="102">
        <f t="array" ref="AC61">IF($G61=0, INDEX(LS_previous!$D$4:$AY$137, MATCH('Staging Table'!$A61, LS_previous!$B$4:$B$137, 0), MATCH(AC$4&amp;AC$5, LS_previous!$D$2:$AY$2&amp;LS_previous!$D$3:$AY$3, 0)),SUM(VLOOKUP($A61, LS_previous!$B$4:$AY$137, LS_previous!U$148, FALSE), VLOOKUP('Staging Table'!$A61, LS_previous!$B$4:$AY$137,LS_previous!AS$148, FALSE))/2)</f>
        <v>-250.32957660529996</v>
      </c>
      <c r="AD61" s="102">
        <f t="array" ref="AD61">IF($G61=0, INDEX(LS_previous!$D$4:$AY$137, MATCH('Staging Table'!$A61, LS_previous!$B$4:$B$137, 0), MATCH(AD$4&amp;AD$5, LS_previous!$D$2:$AY$2&amp;LS_previous!$D$3:$AY$3, 0)),SUM(VLOOKUP($A61, LS_previous!$B$4:$AY$137, LS_previous!V$148, FALSE), VLOOKUP('Staging Table'!$A61, LS_previous!$B$4:$AY$137,LS_previous!AT$148, FALSE))/2)</f>
        <v>152.7069513624001</v>
      </c>
      <c r="AE61" s="102">
        <f t="array" ref="AE61">IF($G61=0, INDEX(LS_previous!$D$4:$AY$137, MATCH('Staging Table'!$A61, LS_previous!$B$4:$B$137, 0), MATCH(AE$4&amp;AE$5, LS_previous!$D$2:$AY$2&amp;LS_previous!$D$3:$AY$3, 0)),SUM(VLOOKUP($A61, LS_previous!$B$4:$AY$137, LS_previous!W$148, FALSE), VLOOKUP('Staging Table'!$A61, LS_previous!$B$4:$AY$137,LS_previous!AU$148, FALSE))/2)</f>
        <v>142.06574616650005</v>
      </c>
      <c r="AF61" s="102">
        <f t="array" ref="AF61">IF($G61=0, INDEX(LS_previous!$D$4:$AY$137, MATCH('Staging Table'!$A61, LS_previous!$B$4:$B$137, 0), MATCH(AF$4&amp;AF$5, LS_previous!$D$2:$AY$2&amp;LS_previous!$D$3:$AY$3, 0)),SUM(VLOOKUP($A61, LS_previous!$B$4:$AY$137, LS_previous!X$148, FALSE), VLOOKUP('Staging Table'!$A61, LS_previous!$B$4:$AY$137,LS_previous!AV$148, FALSE))/2)</f>
        <v>225.40828307689981</v>
      </c>
      <c r="AG61" s="102">
        <f t="array" ref="AG61">IF($G61=0, INDEX(LS_previous!$D$4:$AY$137, MATCH('Staging Table'!$A61, LS_previous!$B$4:$B$137, 0), MATCH(AG$4&amp;AG$5, LS_previous!$D$2:$AY$2&amp;LS_previous!$D$3:$AY$3, 0)),SUM(VLOOKUP($A61, LS_previous!$B$4:$AY$137, LS_previous!Y$148, FALSE), VLOOKUP('Staging Table'!$A61, LS_previous!$B$4:$AY$137,LS_previous!AW$148, FALSE))/2)</f>
        <v>115.8589498425099</v>
      </c>
      <c r="AH61" s="102">
        <f t="array" ref="AH61">IF($G61=0, INDEX(LS_previous!$D$4:$AY$137, MATCH('Staging Table'!$A61, LS_previous!$B$4:$B$137, 0), MATCH(AH$4&amp;AH$5, LS_previous!$D$2:$AY$2&amp;LS_previous!$D$3:$AY$3, 0)),SUM(VLOOKUP($A61, LS_previous!$B$4:$AY$137, LS_previous!Z$148, FALSE), VLOOKUP('Staging Table'!$A61, LS_previous!$B$4:$AY$137,LS_previous!AX$148, FALSE))/2)</f>
        <v>132.57712162839971</v>
      </c>
      <c r="AI61" s="102">
        <f t="array" ref="AI61">IF($G61=0, INDEX(LS_previous!$D$4:$AY$137, MATCH('Staging Table'!$A61, LS_previous!$B$4:$B$137, 0), MATCH(AI$4&amp;AI$5, LS_previous!$D$2:$AY$2&amp;LS_previous!$D$3:$AY$3, 0)),SUM(VLOOKUP($A61, LS_previous!$B$4:$AY$137, LS_previous!AA$148, FALSE), VLOOKUP('Staging Table'!$A61, LS_previous!$B$4:$AY$137,LS_previous!AY$148, FALSE))/2)</f>
        <v>38.093026006399896</v>
      </c>
      <c r="AJ61" s="103">
        <f t="array" ref="AJ61">INDEX(Demand_previous!$D$4:$AY$137, MATCH('Staging Table'!$A61, Demand_previous!$B$4:$B$137, 0), MATCH(AJ$4&amp;AJ$5,Demand_previous!$D$2:$AY$2&amp;Demand_previous!$D$3:$AY$3, 0))/1000</f>
        <v>1.6460264423076922</v>
      </c>
      <c r="AK61" s="103">
        <f t="array" ref="AK61">INDEX(Demand_previous!$D$4:$AY$137, MATCH('Staging Table'!$A61, Demand_previous!$B$4:$B$137, 0), MATCH(AK$4&amp;AK$5,Demand_previous!$D$2:$AY$2&amp;Demand_previous!$D$3:$AY$3, 0))/1000</f>
        <v>2.1014274999999993</v>
      </c>
      <c r="AL61" s="103">
        <f t="array" ref="AL61">INDEX(Demand_previous!$D$4:$AY$137, MATCH('Staging Table'!$A61, Demand_previous!$B$4:$B$137, 0), MATCH(AL$4&amp;AL$5,Demand_previous!$D$2:$AY$2&amp;Demand_previous!$D$3:$AY$3, 0))/1000</f>
        <v>1.7614725000000013</v>
      </c>
      <c r="AM61" s="103">
        <f t="array" ref="AM61">INDEX(Demand_previous!$D$4:$AY$137, MATCH('Staging Table'!$A61, Demand_previous!$B$4:$B$137, 0), MATCH(AM$4&amp;AM$5,Demand_previous!$D$2:$AY$2&amp;Demand_previous!$D$3:$AY$3, 0))/1000</f>
        <v>2.2416634615384607</v>
      </c>
      <c r="AN61" s="103">
        <f t="array" ref="AN61">INDEX(Demand_previous!$D$4:$AY$137, MATCH('Staging Table'!$A61, Demand_previous!$B$4:$B$137, 0), MATCH(AN$4&amp;AN$5,Demand_previous!$D$2:$AY$2&amp;Demand_previous!$D$3:$AY$3, 0))/1000</f>
        <v>2.7284400000000004</v>
      </c>
      <c r="AO61" s="103">
        <f t="array" ref="AO61">INDEX(Demand_previous!$D$4:$AY$137, MATCH('Staging Table'!$A61, Demand_previous!$B$4:$B$137, 0), MATCH(AO$4&amp;AO$5,Demand_previous!$D$2:$AY$2&amp;Demand_previous!$D$3:$AY$3, 0))/1000</f>
        <v>1.7667379807692314</v>
      </c>
      <c r="AP61" s="103">
        <f t="array" ref="AP61">INDEX(Demand_previous!$D$4:$AY$137, MATCH('Staging Table'!$A61, Demand_previous!$B$4:$B$137, 0), MATCH(AP$4&amp;AP$5,Demand_previous!$D$2:$AY$2&amp;Demand_previous!$D$3:$AY$3, 0))/1000</f>
        <v>2.2551562500000006</v>
      </c>
      <c r="AQ61" s="103">
        <f t="array" ref="AQ61">INDEX(Demand_previous!$D$4:$AY$137, MATCH('Staging Table'!$A61, Demand_previous!$B$4:$B$137, 0), MATCH(AQ$4&amp;AQ$5,Demand_previous!$D$2:$AY$2&amp;Demand_previous!$D$3:$AY$3, 0))/1000</f>
        <v>1.9364278846153857</v>
      </c>
      <c r="AR61" s="103">
        <f t="array" ref="AR61">INDEX(Demand_previous!$D$4:$AY$137, MATCH('Staging Table'!$A61, Demand_previous!$B$4:$B$137, 0), MATCH(AR$4&amp;AR$5,Demand_previous!$D$2:$AY$2&amp;Demand_previous!$D$3:$AY$3, 0))/1000</f>
        <v>1.5672150000000009</v>
      </c>
      <c r="AS61" s="103">
        <f t="array" ref="AS61">INDEX(Demand_previous!$D$4:$AY$137, MATCH('Staging Table'!$A61, Demand_previous!$B$4:$B$137, 0), MATCH(AS$4&amp;AS$5,Demand_previous!$D$2:$AY$2&amp;Demand_previous!$D$3:$AY$3, 0))/1000</f>
        <v>2.0616177884615392</v>
      </c>
      <c r="AT61" s="103">
        <f t="array" ref="AT61">INDEX(Demand_previous!$D$4:$AY$137, MATCH('Staging Table'!$A61, Demand_previous!$B$4:$B$137, 0), MATCH(AT$4&amp;AT$5,Demand_previous!$D$2:$AY$2&amp;Demand_previous!$D$3:$AY$3, 0))/1000</f>
        <v>1.9135115740740738</v>
      </c>
      <c r="AU61" s="103">
        <f t="array" ref="AU61">INDEX(Demand_previous!$D$4:$AY$137, MATCH('Staging Table'!$A61, Demand_previous!$B$4:$B$137, 0), MATCH(AU$4&amp;AU$5,Demand_previous!$D$2:$AY$2&amp;Demand_previous!$D$3:$AY$3, 0))/1000</f>
        <v>1.4091953125000003</v>
      </c>
      <c r="AV61" s="102">
        <f>$F61*(VLOOKUP(AV$4, Rates_previous!$G$6:$Q$29, 10, FALSE)+VLOOKUP(AV$4, Rates_previous!$G$6:$Q$29, 11, FALSE))</f>
        <v>3220.6347915291003</v>
      </c>
      <c r="AW61" s="102">
        <f>$F61*(VLOOKUP(AW$4, Rates_previous!$G$6:$Q$29, 10, FALSE)+VLOOKUP(AW$4, Rates_previous!$G$6:$Q$29, 11, FALSE))</f>
        <v>4107.371373100601</v>
      </c>
      <c r="AX61" s="102">
        <f>$F61*(VLOOKUP(AX$4, Rates_previous!$G$6:$Q$29, 10, FALSE)+VLOOKUP(AX$4, Rates_previous!$G$6:$Q$29, 11, FALSE))</f>
        <v>4432.6664006790006</v>
      </c>
      <c r="AY61" s="102">
        <f>$F61*(VLOOKUP(AY$4, Rates_previous!$G$6:$Q$29, 10, FALSE)+VLOOKUP(AY$4, Rates_previous!$G$6:$Q$29, 11, FALSE))</f>
        <v>4606.2256265695996</v>
      </c>
      <c r="AZ61" s="102">
        <f>$F61*(VLOOKUP(AZ$4, Rates_previous!$G$6:$Q$29, 10, FALSE)+VLOOKUP(AZ$4, Rates_previous!$G$6:$Q$29, 11, FALSE))</f>
        <v>3961.9680095291997</v>
      </c>
      <c r="BA61" s="102">
        <f>$F61*(VLOOKUP(BA$4, Rates_previous!$G$6:$Q$29, 10, FALSE)+VLOOKUP(BA$4, Rates_previous!$G$6:$Q$29, 11, FALSE))</f>
        <v>4325.6846361894004</v>
      </c>
      <c r="BB61" s="102">
        <f>$F61*(VLOOKUP(BB$4, Rates_previous!$G$6:$Q$29, 10, FALSE)+VLOOKUP(BB$4, Rates_previous!$G$6:$Q$29, 11, FALSE))</f>
        <v>3414.3990540434497</v>
      </c>
      <c r="BC61" s="102">
        <f>$F61*(VLOOKUP(BC$4, Rates_previous!$G$6:$Q$29, 10, FALSE)+VLOOKUP(BC$4, Rates_previous!$G$6:$Q$29, 11, FALSE))</f>
        <v>4236.0195773620999</v>
      </c>
      <c r="BD61" s="102">
        <f>$F61*(VLOOKUP(BD$4, Rates_previous!$G$6:$Q$29, 10, FALSE)+VLOOKUP(BD$4, Rates_previous!$G$6:$Q$29, 11, FALSE))</f>
        <v>4327.9306273136999</v>
      </c>
      <c r="BE61" s="102">
        <f>$F61*(VLOOKUP(BE$4, Rates_previous!$G$6:$Q$29, 10, FALSE)+VLOOKUP(BE$4, Rates_previous!$G$6:$Q$29, 11, FALSE))</f>
        <v>3757.2673024710998</v>
      </c>
      <c r="BF61" s="102">
        <f>$F61*(VLOOKUP(BF$4, Rates_previous!$G$6:$Q$29, 10, FALSE)+VLOOKUP(BF$4, Rates_previous!$G$6:$Q$29, 11, FALSE))</f>
        <v>3632.2787670805906</v>
      </c>
      <c r="BG61" s="102">
        <f>$F61*(VLOOKUP(BG$4, Rates_previous!$G$6:$Q$29, 10, FALSE)+VLOOKUP(BG$4, Rates_previous!$G$6:$Q$29, 11, FALSE))</f>
        <v>3342.3998523652003</v>
      </c>
      <c r="BH61" s="103">
        <f>IF($D61=0,IF(C61=0, MAX(BJ61 - (VLOOKUP($A61,TOCA_previous!$A$2:$AJ$136,MATCH("RHWM "&amp;Init!$D$1-2,TOCA_previous!$A$2:$AJ$2,0),FALSE)*$F$2*TOCA_previous!C58),0),0), 0)</f>
        <v>0</v>
      </c>
      <c r="BI61" s="109">
        <f>MIN(VLOOKUP($A61,TOCA_previous!$A$2:$AJ$136,MATCH("TRL - NLSL - Existing Resource "&amp;$F$1,TOCA_previous!$A$2:$AJ$2,0),FALSE)*$F$2,(VLOOKUP($A61,TOCA_previous!$A$2:$AJ$136,MATCH("RHWM "&amp;Init!$D$1-2,TOCA_previous!$A$2:$AJ$2,0),FALSE)*$F$2))</f>
        <v>46318.031999999999</v>
      </c>
      <c r="BJ61" s="261">
        <f>SUM(L61:AI61)+(F61*RT1SC!$C$3*$F$2)</f>
        <v>45691.072217110952</v>
      </c>
      <c r="BK61" s="260">
        <f>VLOOKUP($A61,TOCA_previous!$A$2:$AJ$136,MATCH("Above RHWM Not Served with LS "&amp;$F$1,TOCA_previous!$A$2:$AJ$2,0),FALSE)*$F$2</f>
        <v>0</v>
      </c>
      <c r="BL61" s="261">
        <f t="shared" si="21"/>
        <v>-626.95978288904735</v>
      </c>
      <c r="BM61" s="260">
        <f>(VLOOKUP($A61,TOCA_previous!$A$2:$AJ$136,MATCH("RHWM "&amp;Init!$D$1-2,TOCA_previous!$A$2:$AJ$2,0),FALSE)*$F$2) - $BI61</f>
        <v>7281.9360000000015</v>
      </c>
      <c r="BN61" s="261">
        <f t="shared" si="22"/>
        <v>0</v>
      </c>
      <c r="BO61" s="260">
        <f t="shared" si="23"/>
        <v>626.95978288904735</v>
      </c>
      <c r="BP61" s="261">
        <f t="shared" si="24"/>
        <v>0</v>
      </c>
      <c r="BQ61" s="260">
        <f t="shared" si="9"/>
        <v>626.95978288904735</v>
      </c>
      <c r="BR61" s="85">
        <f>VLOOKUP($A61,TOCA_current!$A$2:$ZZ$136,MATCH(BR$4,TOCA_current!$A$2:$ZZ$2,0),FALSE)</f>
        <v>7.337E-4</v>
      </c>
      <c r="BS61" s="85">
        <f>VLOOKUP($A61,TOCA_current!$A$2:$ZZ$136,MATCH(BS$4,TOCA_current!$A$2:$ZZ$2,0),FALSE)</f>
        <v>7.337E-4</v>
      </c>
      <c r="BT61" s="108">
        <f t="shared" si="25"/>
        <v>0</v>
      </c>
      <c r="BU61" s="85">
        <f>VLOOKUP($A61,TOCA_current!A58:BG192,MATCH(BU$4,TOCA_current!$A$2:$BG$2,0),FALSE)</f>
        <v>0</v>
      </c>
      <c r="BV61" s="85">
        <f t="shared" si="26"/>
        <v>0</v>
      </c>
      <c r="BW61" s="85">
        <f t="shared" si="27"/>
        <v>0</v>
      </c>
      <c r="BX61" s="101">
        <f>VLOOKUP($A61,IRD!$A$4:$G$138, 7, FALSE)</f>
        <v>0</v>
      </c>
      <c r="BY61" s="102">
        <f t="array" ref="BY61">IF($BT61=0, INDEX(LS_current!$D$4:$BW$137, MATCH('Staging Table'!$A61, LS_current!$B$4:$B$137, 0), MATCH(BY$4&amp;BY$5, LS_current!$D$2:$BW$2&amp;LS_current!$D$3:$BW$3, 0)),SUM(VLOOKUP($A61, LS_current!$B$4:$BW$137, LS_current!D$147, FALSE), VLOOKUP($A61, LS_current!$B$4:$BW$137,LS_current!AZ$147, FALSE))/2)</f>
        <v>375.63344694651323</v>
      </c>
      <c r="BZ61" s="102">
        <f t="array" ref="BZ61">IF($BT61=0, INDEX(LS_current!$D$4:$BW$137, MATCH('Staging Table'!$A61, LS_current!$B$4:$B$137, 0), MATCH(BZ$4&amp;BZ$5, LS_current!$D$2:$BW$2&amp;LS_current!$D$3:$BW$3, 0)),SUM(VLOOKUP($A61, LS_current!$B$4:$BW$137, LS_current!E$147, FALSE), VLOOKUP($A61, LS_current!$B$4:$BW$137,LS_current!BA$147, FALSE))/2)</f>
        <v>220.37653456687349</v>
      </c>
      <c r="CA61" s="102">
        <f t="array" ref="CA61">IF($BT61=0, INDEX(LS_current!$D$4:$BW$137, MATCH('Staging Table'!$A61, LS_current!$B$4:$B$137, 0), MATCH(CA$4&amp;CA$5, LS_current!$D$2:$BW$2&amp;LS_current!$D$3:$BW$3, 0)),SUM(VLOOKUP($A61, LS_current!$B$4:$BW$137, LS_current!F$147, FALSE), VLOOKUP($A61, LS_current!$B$4:$BW$137,LS_current!BB$147, FALSE))/2)</f>
        <v>-207.71913669879132</v>
      </c>
      <c r="CB61" s="102">
        <f t="array" ref="CB61">IF($BT61=0, INDEX(LS_current!$D$4:$BW$137, MATCH('Staging Table'!$A61, LS_current!$B$4:$B$137, 0), MATCH(CB$4&amp;CB$5, LS_current!$D$2:$BW$2&amp;LS_current!$D$3:$BW$3, 0)),SUM(VLOOKUP($A61, LS_current!$B$4:$BW$137, LS_current!G$147, FALSE), VLOOKUP($A61, LS_current!$B$4:$BW$137,LS_current!BC$147, FALSE))/2)</f>
        <v>-66.169548479957484</v>
      </c>
      <c r="CC61" s="102">
        <f t="array" ref="CC61">IF($BT61=0, INDEX(LS_current!$D$4:$BW$137, MATCH('Staging Table'!$A61, LS_current!$B$4:$B$137, 0), MATCH(CC$4&amp;CC$5, LS_current!$D$2:$BW$2&amp;LS_current!$D$3:$BW$3, 0)),SUM(VLOOKUP($A61, LS_current!$B$4:$BW$137, LS_current!H$147, FALSE), VLOOKUP($A61, LS_current!$B$4:$BW$137,LS_current!BD$147, FALSE))/2)</f>
        <v>-260.13244908419119</v>
      </c>
      <c r="CD61" s="102">
        <f t="array" ref="CD61">IF($BT61=0, INDEX(LS_current!$D$4:$BW$137, MATCH('Staging Table'!$A61, LS_current!$B$4:$B$137, 0), MATCH(CD$4&amp;CD$5, LS_current!$D$2:$BW$2&amp;LS_current!$D$3:$BW$3, 0)),SUM(VLOOKUP($A61, LS_current!$B$4:$BW$137, LS_current!I$147, FALSE), VLOOKUP($A61, LS_current!$B$4:$BW$137,LS_current!BE$147, FALSE))/2)</f>
        <v>200.61807809137144</v>
      </c>
      <c r="CE61" s="102">
        <f t="array" ref="CE61">IF($BT61=0, INDEX(LS_current!$D$4:$BW$137, MATCH('Staging Table'!$A61, LS_current!$B$4:$B$137, 0), MATCH(CE$4&amp;CE$5, LS_current!$D$2:$BW$2&amp;LS_current!$D$3:$BW$3, 0)),SUM(VLOOKUP($A61, LS_current!$B$4:$BW$137, LS_current!J$147, FALSE), VLOOKUP($A61, LS_current!$B$4:$BW$137,LS_current!BF$147, FALSE))/2)</f>
        <v>-389.45645326007025</v>
      </c>
      <c r="CF61" s="102">
        <f t="array" ref="CF61">IF($BT61=0, INDEX(LS_current!$D$4:$BW$137, MATCH('Staging Table'!$A61, LS_current!$B$4:$B$137, 0), MATCH(CF$4&amp;CF$5, LS_current!$D$2:$BW$2&amp;LS_current!$D$3:$BW$3, 0)),SUM(VLOOKUP($A61, LS_current!$B$4:$BW$137, LS_current!K$147, FALSE), VLOOKUP($A61, LS_current!$B$4:$BW$137,LS_current!BG$147, FALSE))/2)</f>
        <v>22.504700553192379</v>
      </c>
      <c r="CG61" s="102">
        <f t="array" ref="CG61">IF($BT61=0, INDEX(LS_current!$D$4:$BW$137, MATCH('Staging Table'!$A61, LS_current!$B$4:$B$137, 0), MATCH(CG$4&amp;CG$5, LS_current!$D$2:$BW$2&amp;LS_current!$D$3:$BW$3, 0)),SUM(VLOOKUP($A61, LS_current!$B$4:$BW$137, LS_current!L$147, FALSE), VLOOKUP($A61, LS_current!$B$4:$BW$137,LS_current!BH$147, FALSE))/2)</f>
        <v>-111.49609921701631</v>
      </c>
      <c r="CH61" s="102">
        <f t="array" ref="CH61">IF($BT61=0, INDEX(LS_current!$D$4:$BW$137, MATCH('Staging Table'!$A61, LS_current!$B$4:$B$137, 0), MATCH(CH$4&amp;CH$5, LS_current!$D$2:$BW$2&amp;LS_current!$D$3:$BW$3, 0)),SUM(VLOOKUP($A61, LS_current!$B$4:$BW$137, LS_current!M$147, FALSE), VLOOKUP($A61, LS_current!$B$4:$BW$137,LS_current!BI$147, FALSE))/2)</f>
        <v>111.96859892999419</v>
      </c>
      <c r="CI61" s="102">
        <f t="array" ref="CI61">IF($BT61=0, INDEX(LS_current!$D$4:$BW$137, MATCH('Staging Table'!$A61, LS_current!$B$4:$B$137, 0), MATCH(CI$4&amp;CI$5, LS_current!$D$2:$BW$2&amp;LS_current!$D$3:$BW$3, 0)),SUM(VLOOKUP($A61, LS_current!$B$4:$BW$137, LS_current!N$147, FALSE), VLOOKUP($A61, LS_current!$B$4:$BW$137,LS_current!BJ$147, FALSE))/2)</f>
        <v>-397.7034923638148</v>
      </c>
      <c r="CJ61" s="102">
        <f t="array" ref="CJ61">IF($BT61=0, INDEX(LS_current!$D$4:$BW$137, MATCH('Staging Table'!$A61, LS_current!$B$4:$B$137, 0), MATCH(CJ$4&amp;CJ$5, LS_current!$D$2:$BW$2&amp;LS_current!$D$3:$BW$3, 0)),SUM(VLOOKUP($A61, LS_current!$B$4:$BW$137, LS_current!O$147, FALSE), VLOOKUP($A61, LS_current!$B$4:$BW$137,LS_current!BK$147, FALSE))/2)</f>
        <v>-0.2461431256049309</v>
      </c>
      <c r="CK61" s="102">
        <f t="array" ref="CK61">IF($BT61=0, INDEX(LS_current!$D$4:$BW$137, MATCH('Staging Table'!$A61, LS_current!$B$4:$B$137, 0), MATCH(CK$4&amp;CK$5, LS_current!$D$2:$BW$2&amp;LS_current!$D$3:$BW$3, 0)),SUM(VLOOKUP($A61, LS_current!$B$4:$BW$137, LS_current!P$147, FALSE), VLOOKUP($A61, LS_current!$B$4:$BW$137,LS_current!BL$147, FALSE))/2)</f>
        <v>238.88386273787683</v>
      </c>
      <c r="CL61" s="102">
        <f t="array" ref="CL61">IF($BT61=0, INDEX(LS_current!$D$4:$BW$137, MATCH('Staging Table'!$A61, LS_current!$B$4:$B$137, 0), MATCH(CL$4&amp;CL$5, LS_current!$D$2:$BW$2&amp;LS_current!$D$3:$BW$3, 0)),SUM(VLOOKUP($A61, LS_current!$B$4:$BW$137, LS_current!Q$147, FALSE), VLOOKUP($A61, LS_current!$B$4:$BW$137,LS_current!BM$147, FALSE))/2)</f>
        <v>152.57437169016976</v>
      </c>
      <c r="CM61" s="102">
        <f t="array" ref="CM61">IF($BT61=0, INDEX(LS_current!$D$4:$BW$137, MATCH('Staging Table'!$A61, LS_current!$B$4:$B$137, 0), MATCH(CM$4&amp;CM$5, LS_current!$D$2:$BW$2&amp;LS_current!$D$3:$BW$3, 0)),SUM(VLOOKUP($A61, LS_current!$B$4:$BW$137, LS_current!R$147, FALSE), VLOOKUP($A61, LS_current!$B$4:$BW$137,LS_current!BN$147, FALSE))/2)</f>
        <v>-284.08984831691487</v>
      </c>
      <c r="CN61" s="102">
        <f t="array" ref="CN61">IF($BT61=0, INDEX(LS_current!$D$4:$BW$137, MATCH('Staging Table'!$A61, LS_current!$B$4:$B$137, 0), MATCH(CN$4&amp;CN$5, LS_current!$D$2:$BW$2&amp;LS_current!$D$3:$BW$3, 0)),SUM(VLOOKUP($A61, LS_current!$B$4:$BW$137, LS_current!S$147, FALSE), VLOOKUP($A61, LS_current!$B$4:$BW$137,LS_current!BO$147, FALSE))/2)</f>
        <v>-182.3524655792171</v>
      </c>
      <c r="CO61" s="102">
        <f t="array" ref="CO61">IF($BT61=0, INDEX(LS_current!$D$4:$BW$137, MATCH('Staging Table'!$A61, LS_current!$B$4:$B$137, 0), MATCH(CO$4&amp;CO$5, LS_current!$D$2:$BW$2&amp;LS_current!$D$3:$BW$3, 0)),SUM(VLOOKUP($A61, LS_current!$B$4:$BW$137, LS_current!T$147, FALSE), VLOOKUP($A61, LS_current!$B$4:$BW$137,LS_current!BP$147, FALSE))/2)</f>
        <v>-403.87344931230109</v>
      </c>
      <c r="CP61" s="102">
        <f t="array" ref="CP61">IF($BT61=0, INDEX(LS_current!$D$4:$BW$137, MATCH('Staging Table'!$A61, LS_current!$B$4:$B$137, 0), MATCH(CP$4&amp;CP$5, LS_current!$D$2:$BW$2&amp;LS_current!$D$3:$BW$3, 0)),SUM(VLOOKUP($A61, LS_current!$B$4:$BW$137, LS_current!U$147, FALSE), VLOOKUP($A61, LS_current!$B$4:$BW$137,LS_current!BQ$147, FALSE))/2)</f>
        <v>-91.492164796983843</v>
      </c>
      <c r="CQ61" s="102">
        <f t="array" ref="CQ61">IF($BT61=0, INDEX(LS_current!$D$4:$BW$137, MATCH('Staging Table'!$A61, LS_current!$B$4:$B$137, 0), MATCH(CQ$4&amp;CQ$5, LS_current!$D$2:$BW$2&amp;LS_current!$D$3:$BW$3, 0)),SUM(VLOOKUP($A61, LS_current!$B$4:$BW$137, LS_current!V$147, FALSE), VLOOKUP($A61, LS_current!$B$4:$BW$137,LS_current!BR$147, FALSE))/2)</f>
        <v>143.54346220135858</v>
      </c>
      <c r="CR61" s="102">
        <f t="array" ref="CR61">IF($BT61=0, INDEX(LS_current!$D$4:$BW$137, MATCH('Staging Table'!$A61, LS_current!$B$4:$B$137, 0), MATCH(CR$4&amp;CR$5, LS_current!$D$2:$BW$2&amp;LS_current!$D$3:$BW$3, 0)),SUM(VLOOKUP($A61, LS_current!$B$4:$BW$137, LS_current!W$147, FALSE), VLOOKUP($A61, LS_current!$B$4:$BW$137,LS_current!BS$147, FALSE))/2)</f>
        <v>198.99826001172232</v>
      </c>
      <c r="CS61" s="102">
        <f t="array" ref="CS61">IF($BT61=0, INDEX(LS_current!$D$4:$BW$137, MATCH('Staging Table'!$A61, LS_current!$B$4:$B$137, 0), MATCH(CS$4&amp;CS$5, LS_current!$D$2:$BW$2&amp;LS_current!$D$3:$BW$3, 0)),SUM(VLOOKUP($A61, LS_current!$B$4:$BW$137, LS_current!X$147, FALSE), VLOOKUP($A61, LS_current!$B$4:$BW$137,LS_current!BT$147, FALSE))/2)</f>
        <v>0.16468926141442353</v>
      </c>
      <c r="CT61" s="102">
        <f t="array" ref="CT61">IF($BT61=0, INDEX(LS_current!$D$4:$BW$137, MATCH('Staging Table'!$A61, LS_current!$B$4:$B$137, 0), MATCH(CT$4&amp;CT$5, LS_current!$D$2:$BW$2&amp;LS_current!$D$3:$BW$3, 0)),SUM(VLOOKUP($A61, LS_current!$B$4:$BW$137, LS_current!Y$147, FALSE), VLOOKUP($A61, LS_current!$B$4:$BW$137,LS_current!BU$147, FALSE))/2)</f>
        <v>168.11637744425389</v>
      </c>
      <c r="CU61" s="102">
        <f t="array" ref="CU61">IF($BT61=0, INDEX(LS_current!$D$4:$BW$137, MATCH('Staging Table'!$A61, LS_current!$B$4:$B$137, 0), MATCH(CU$4&amp;CU$5, LS_current!$D$2:$BW$2&amp;LS_current!$D$3:$BW$3, 0)),SUM(VLOOKUP($A61, LS_current!$B$4:$BW$137, LS_current!Z$147, FALSE), VLOOKUP($A61, LS_current!$B$4:$BW$137,LS_current!BV$147, FALSE))/2)</f>
        <v>289.40245645378945</v>
      </c>
      <c r="CV61" s="102">
        <f t="array" ref="CV61">IF($BT61=0, INDEX(LS_current!$D$4:$BW$137, MATCH('Staging Table'!$A61, LS_current!$B$4:$B$137, 0), MATCH(CV$4&amp;CV$5, LS_current!$D$2:$BW$2&amp;LS_current!$D$3:$BW$3, 0)),SUM(VLOOKUP($A61, LS_current!$B$4:$BW$137, LS_current!AA$147, FALSE), VLOOKUP($A61, LS_current!$B$4:$BW$137,LS_current!BW$147, FALSE))/2)</f>
        <v>268.42317966399878</v>
      </c>
      <c r="CW61" s="103">
        <f t="array" ref="CW61">INDEX(Demand_current!$D$4:$BW$137, MATCH($A61, Demand_current!$B$4:$B$137, 0), MATCH(CW$4&amp;CW$5,Demand_current!$D$2:$BW$2&amp;Demand_current!$D$3:$BW$3, 0))/1000</f>
        <v>1.8483958333333335</v>
      </c>
      <c r="CX61" s="103">
        <f t="array" ref="CX61">INDEX(Demand_current!$D$4:$BW$137, MATCH($A61, Demand_current!$B$4:$B$137, 0), MATCH(CX$4&amp;CX$5,Demand_current!$D$2:$BW$2&amp;Demand_current!$D$3:$BW$3, 0))/1000</f>
        <v>1.8780703124999998</v>
      </c>
      <c r="CY61" s="103">
        <f t="array" ref="CY61">INDEX(Demand_current!$D$4:$BW$137, MATCH($A61, Demand_current!$B$4:$B$137, 0), MATCH(CY$4&amp;CY$5,Demand_current!$D$2:$BW$2&amp;Demand_current!$D$3:$BW$3, 0))/1000</f>
        <v>2.0092620192307695</v>
      </c>
      <c r="CZ61" s="103">
        <f t="array" ref="CZ61">INDEX(Demand_current!$D$4:$BW$137, MATCH($A61, Demand_current!$B$4:$B$137, 0), MATCH(CZ$4&amp;CZ$5,Demand_current!$D$2:$BW$2&amp;Demand_current!$D$3:$BW$3, 0))/1000</f>
        <v>2.2416634615384607</v>
      </c>
      <c r="DA61" s="103">
        <f t="array" ref="DA61">INDEX(Demand_current!$D$4:$BW$137, MATCH($A61, Demand_current!$B$4:$B$137, 0), MATCH(DA$4&amp;DA$5,Demand_current!$D$2:$BW$2&amp;Demand_current!$D$3:$BW$3, 0))/1000</f>
        <v>2.4933749999999999</v>
      </c>
      <c r="DB61" s="103">
        <f t="array" ref="DB61">INDEX(Demand_current!$D$4:$BW$137, MATCH($A61, Demand_current!$B$4:$B$137, 0), MATCH(DB$4&amp;DB$5,Demand_current!$D$2:$BW$2&amp;Demand_current!$D$3:$BW$3, 0))/1000</f>
        <v>1.7667379807692314</v>
      </c>
      <c r="DC61" s="103">
        <f t="array" ref="DC61">INDEX(Demand_current!$D$4:$BW$137, MATCH($A61, Demand_current!$B$4:$B$137, 0), MATCH(DC$4&amp;DC$5,Demand_current!$D$2:$BW$2&amp;Demand_current!$D$3:$BW$3, 0))/1000</f>
        <v>2.2551562500000006</v>
      </c>
      <c r="DD61" s="103">
        <f t="array" ref="DD61">INDEX(Demand_current!$D$4:$BW$137, MATCH($A61, Demand_current!$B$4:$B$137, 0), MATCH(DD$4&amp;DD$5,Demand_current!$D$2:$BW$2&amp;Demand_current!$D$3:$BW$3, 0))/1000</f>
        <v>1.7261650000000011</v>
      </c>
      <c r="DE61" s="103">
        <f t="array" ref="DE61">INDEX(Demand_current!$D$4:$BW$137, MATCH($A61, Demand_current!$B$4:$B$137, 0), MATCH(DE$4&amp;DE$5,Demand_current!$D$2:$BW$2&amp;Demand_current!$D$3:$BW$3, 0))/1000</f>
        <v>1.7895528846153859</v>
      </c>
      <c r="DF61" s="103">
        <f t="array" ref="DF61">INDEX(Demand_current!$D$4:$BW$137, MATCH($A61, Demand_current!$B$4:$B$137, 0), MATCH(DF$4&amp;DF$5,Demand_current!$D$2:$BW$2&amp;Demand_current!$D$3:$BW$3, 0))/1000</f>
        <v>2.0616177884615392</v>
      </c>
      <c r="DG61" s="103">
        <f t="array" ref="DG61">INDEX(Demand_current!$D$4:$BW$137, MATCH($A61, Demand_current!$B$4:$B$137, 0), MATCH(DG$4&amp;DG$5,Demand_current!$D$2:$BW$2&amp;Demand_current!$D$3:$BW$3, 0))/1000</f>
        <v>1.6883004807692312</v>
      </c>
      <c r="DH61" s="103">
        <f t="array" ref="DH61">INDEX(Demand_current!$D$4:$BW$137, MATCH($A61, Demand_current!$B$4:$B$137, 0), MATCH(DH$4&amp;DH$5,Demand_current!$D$2:$BW$2&amp;Demand_current!$D$3:$BW$3, 0))/1000</f>
        <v>1.6309475000000002</v>
      </c>
      <c r="DI61" s="102">
        <f>$BS61*(VLOOKUP(DI$4, Rates_current!$H$6:$R$41, 10, FALSE)+VLOOKUP(DI$4, Rates_current!$H$6:$R$41, 11, FALSE))</f>
        <v>3045.0660184866133</v>
      </c>
      <c r="DJ61" s="102">
        <f>$BS61*(VLOOKUP(DJ$4, Rates_current!$H$6:$R$41, 10, FALSE)+VLOOKUP(DJ$4, Rates_current!$H$6:$R$41, 11, FALSE))</f>
        <v>3893.016685178749</v>
      </c>
      <c r="DK61" s="102">
        <f>$BS61*(VLOOKUP(DK$4, Rates_current!$H$6:$R$41, 10, FALSE)+VLOOKUP(DK$4, Rates_current!$H$6:$R$41, 11, FALSE))</f>
        <v>4426.0343709928193</v>
      </c>
      <c r="DL61" s="102">
        <f>$BS61*(VLOOKUP(DL$4, Rates_current!$H$6:$R$41, 10, FALSE)+VLOOKUP(DL$4, Rates_current!$H$6:$R$41, 11, FALSE))</f>
        <v>4669.811752706878</v>
      </c>
      <c r="DM61" s="102">
        <f>$BS61*(VLOOKUP(DM$4, Rates_current!$H$6:$R$41, 10, FALSE)+VLOOKUP(DM$4, Rates_current!$H$6:$R$41, 11, FALSE))</f>
        <v>3721.4185002870227</v>
      </c>
      <c r="DN61" s="102">
        <f>$BS61*(VLOOKUP(DN$4, Rates_current!$H$6:$R$41, 10, FALSE)+VLOOKUP(DN$4, Rates_current!$H$6:$R$41, 11, FALSE))</f>
        <v>4068.2746354894189</v>
      </c>
      <c r="DO61" s="102">
        <f>$BS61*(VLOOKUP(DO$4, Rates_current!$H$6:$R$41, 10, FALSE)+VLOOKUP(DO$4, Rates_current!$H$6:$R$41, 11, FALSE))</f>
        <v>3152.9537655719532</v>
      </c>
      <c r="DP61" s="102">
        <f>$BS61*(VLOOKUP(DP$4, Rates_current!$H$6:$R$41, 10, FALSE)+VLOOKUP(DP$4, Rates_current!$H$6:$R$41, 11, FALSE))</f>
        <v>4080.4413138961318</v>
      </c>
      <c r="DQ61" s="102">
        <f>$BS61*(VLOOKUP(DQ$4, Rates_current!$H$6:$R$41, 10, FALSE)+VLOOKUP(DQ$4, Rates_current!$H$6:$R$41, 11, FALSE))</f>
        <v>4167.5706141092851</v>
      </c>
      <c r="DR61" s="102">
        <f>$BS61*(VLOOKUP(DR$4, Rates_current!$H$6:$R$41, 10, FALSE)+VLOOKUP(DR$4, Rates_current!$H$6:$R$41, 11, FALSE))</f>
        <v>3709.4982777869191</v>
      </c>
      <c r="DS61" s="102">
        <f>$BS61*(VLOOKUP(DS$4, Rates_current!$H$6:$R$41, 10, FALSE)+VLOOKUP(DS$4, Rates_current!$H$6:$R$41, 11, FALSE))</f>
        <v>3805.2649332943315</v>
      </c>
      <c r="DT61" s="102">
        <f>$BS61*(VLOOKUP(DT$4, Rates_current!$H$6:$R$41, 10, FALSE)+VLOOKUP(DT$4, Rates_current!$H$6:$R$41, 11, FALSE))</f>
        <v>2955.2443638822119</v>
      </c>
      <c r="DU61" s="261">
        <f>IF(D61=0,IF(C61=0,MAX(0,DW61 - (VLOOKUP($A61,TOCA_current!$A$2:$AV$136,MATCH("RHWM "&amp;Init!$D$1,TOCA_current!$A$2:$AV$2,0),FALSE)*$BS$2)), 0),0)</f>
        <v>0</v>
      </c>
      <c r="DV61" s="262">
        <f>MIN(VLOOKUP($A61,TOCA_current!$A$2:$AV$136,MATCH("TRL - NLSL - Existing Resource "&amp;$BS$1,TOCA_current!$A$2:$AV$2,0),FALSE)*$BS$2, VLOOKUP($A61,TOCA_current!$A$2:$AV$136,MATCH("RHWM "&amp;Init!$D$1,TOCA_current!$A$2:$AV$2,0),FALSE)*$BS$2)</f>
        <v>45692.160000000003</v>
      </c>
      <c r="DW61" s="262">
        <f>SUM(BY61:CV61)+(BS61*RT1SC!$C$4*$BS$2)</f>
        <v>45691.074697341668</v>
      </c>
      <c r="DX61" s="262">
        <f>VLOOKUP($A61,TOCA_current!$A$2:$AV$136,MATCH("Above RHWM Not Served with LS "&amp;$BS$1,TOCA_current!$A$2:$AV$2,0),FALSE)*$BS$2</f>
        <v>0</v>
      </c>
      <c r="DY61" s="262">
        <f t="shared" si="28"/>
        <v>-1.0853026583354222</v>
      </c>
      <c r="DZ61" s="262">
        <f>(VLOOKUP($A61,TOCA_current!$A$2:$AV$136,MATCH("RHWM "&amp;Init!$D$1,TOCA_current!$A$2:$AV$2,0),FALSE)*$BS$2) - $DV61</f>
        <v>8067.9599999999919</v>
      </c>
      <c r="EA61" s="262">
        <f t="shared" si="29"/>
        <v>0</v>
      </c>
      <c r="EB61" s="262">
        <f t="shared" si="30"/>
        <v>1.0853026583354222</v>
      </c>
      <c r="EC61" s="262">
        <f t="shared" si="31"/>
        <v>0</v>
      </c>
      <c r="ED61" s="262">
        <f t="shared" si="32"/>
        <v>1.0853026583354222</v>
      </c>
    </row>
    <row r="62" spans="1:134">
      <c r="A62" s="2">
        <v>10173</v>
      </c>
      <c r="B62" s="3" t="s">
        <v>64</v>
      </c>
      <c r="C62">
        <f>VLOOKUP(A62, TOCA_current!$A$3:$D$136, 4, FALSE)</f>
        <v>1</v>
      </c>
      <c r="D62">
        <v>0</v>
      </c>
      <c r="E62" s="84">
        <f>VLOOKUP($A62,TOCA_previous!$A$2:$AJ$136,MATCH(E$4,TOCA_previous!$A$2:$AJ$2,0),FALSE)</f>
        <v>4.7962999999999999E-3</v>
      </c>
      <c r="F62" s="85">
        <f>VLOOKUP($A62,TOCA_previous!$A$2:$AJ$136,MATCH(F$4,TOCA_previous!$A$2:$AJ$2,0),FALSE)</f>
        <v>4.7962999999999999E-3</v>
      </c>
      <c r="G62" s="85">
        <f t="shared" si="18"/>
        <v>0</v>
      </c>
      <c r="H62" s="85">
        <f>VLOOKUP($A62,TOCA_previous!$A$2:$AJ$136,MATCH(H$4,TOCA_previous!$A$2:$AJ$2,0),FALSE)</f>
        <v>8.4775430123754894E-2</v>
      </c>
      <c r="I62" s="85">
        <f t="shared" si="19"/>
        <v>8.4775430123754894E-2</v>
      </c>
      <c r="J62" s="85">
        <f t="shared" si="20"/>
        <v>4.7962999999999999E-3</v>
      </c>
      <c r="K62" s="101">
        <f>VLOOKUP(A62, IRD!$A$5:$C$138, 3, FALSE)</f>
        <v>44309.995999999999</v>
      </c>
      <c r="L62" s="102">
        <f t="array" ref="L62">IF($G62=0, INDEX(LS_previous!$D$4:$AY$137, MATCH('Staging Table'!$A62, LS_previous!$B$4:$B$137, 0), MATCH(L$4&amp;L$5, LS_previous!$D$2:$AY$2&amp;LS_previous!$D$3:$AY$3, 0)),SUM(VLOOKUP($A62, LS_previous!$B$4:$AY$137, LS_previous!D$148, FALSE), VLOOKUP('Staging Table'!$A62, LS_previous!$B$4:$AY$137,LS_previous!AB$148, FALSE))/2)</f>
        <v>0</v>
      </c>
      <c r="M62" s="102">
        <f t="array" ref="M62">IF($G62=0, INDEX(LS_previous!$D$4:$AY$137, MATCH('Staging Table'!$A62, LS_previous!$B$4:$B$137, 0), MATCH(M$4&amp;M$5, LS_previous!$D$2:$AY$2&amp;LS_previous!$D$3:$AY$3, 0)),SUM(VLOOKUP($A62, LS_previous!$B$4:$AY$137, LS_previous!E$148, FALSE), VLOOKUP('Staging Table'!$A62, LS_previous!$B$4:$AY$137,LS_previous!AC$148, FALSE))/2)</f>
        <v>0</v>
      </c>
      <c r="N62" s="102">
        <f t="array" ref="N62">IF($G62=0, INDEX(LS_previous!$D$4:$AY$137, MATCH('Staging Table'!$A62, LS_previous!$B$4:$B$137, 0), MATCH(N$4&amp;N$5, LS_previous!$D$2:$AY$2&amp;LS_previous!$D$3:$AY$3, 0)),SUM(VLOOKUP($A62, LS_previous!$B$4:$AY$137, LS_previous!F$148, FALSE), VLOOKUP('Staging Table'!$A62, LS_previous!$B$4:$AY$137,LS_previous!AD$148, FALSE))/2)</f>
        <v>0</v>
      </c>
      <c r="O62" s="102">
        <f t="array" ref="O62">IF($G62=0, INDEX(LS_previous!$D$4:$AY$137, MATCH('Staging Table'!$A62, LS_previous!$B$4:$B$137, 0), MATCH(O$4&amp;O$5, LS_previous!$D$2:$AY$2&amp;LS_previous!$D$3:$AY$3, 0)),SUM(VLOOKUP($A62, LS_previous!$B$4:$AY$137, LS_previous!G$148, FALSE), VLOOKUP('Staging Table'!$A62, LS_previous!$B$4:$AY$137,LS_previous!AE$148, FALSE))/2)</f>
        <v>0</v>
      </c>
      <c r="P62" s="102">
        <f t="array" ref="P62">IF($G62=0, INDEX(LS_previous!$D$4:$AY$137, MATCH('Staging Table'!$A62, LS_previous!$B$4:$B$137, 0), MATCH(P$4&amp;P$5, LS_previous!$D$2:$AY$2&amp;LS_previous!$D$3:$AY$3, 0)),SUM(VLOOKUP($A62, LS_previous!$B$4:$AY$137, LS_previous!H$148, FALSE), VLOOKUP('Staging Table'!$A62, LS_previous!$B$4:$AY$137,LS_previous!AF$148, FALSE))/2)</f>
        <v>0</v>
      </c>
      <c r="Q62" s="102">
        <f t="array" ref="Q62">IF($G62=0, INDEX(LS_previous!$D$4:$AY$137, MATCH('Staging Table'!$A62, LS_previous!$B$4:$B$137, 0), MATCH(Q$4&amp;Q$5, LS_previous!$D$2:$AY$2&amp;LS_previous!$D$3:$AY$3, 0)),SUM(VLOOKUP($A62, LS_previous!$B$4:$AY$137, LS_previous!I$148, FALSE), VLOOKUP('Staging Table'!$A62, LS_previous!$B$4:$AY$137,LS_previous!AG$148, FALSE))/2)</f>
        <v>0</v>
      </c>
      <c r="R62" s="102">
        <f t="array" ref="R62">IF($G62=0, INDEX(LS_previous!$D$4:$AY$137, MATCH('Staging Table'!$A62, LS_previous!$B$4:$B$137, 0), MATCH(R$4&amp;R$5, LS_previous!$D$2:$AY$2&amp;LS_previous!$D$3:$AY$3, 0)),SUM(VLOOKUP($A62, LS_previous!$B$4:$AY$137, LS_previous!J$148, FALSE), VLOOKUP('Staging Table'!$A62, LS_previous!$B$4:$AY$137,LS_previous!AH$148, FALSE))/2)</f>
        <v>0</v>
      </c>
      <c r="S62" s="102">
        <f t="array" ref="S62">IF($G62=0, INDEX(LS_previous!$D$4:$AY$137, MATCH('Staging Table'!$A62, LS_previous!$B$4:$B$137, 0), MATCH(S$4&amp;S$5, LS_previous!$D$2:$AY$2&amp;LS_previous!$D$3:$AY$3, 0)),SUM(VLOOKUP($A62, LS_previous!$B$4:$AY$137, LS_previous!K$148, FALSE), VLOOKUP('Staging Table'!$A62, LS_previous!$B$4:$AY$137,LS_previous!AI$148, FALSE))/2)</f>
        <v>0</v>
      </c>
      <c r="T62" s="102">
        <f t="array" ref="T62">IF($G62=0, INDEX(LS_previous!$D$4:$AY$137, MATCH('Staging Table'!$A62, LS_previous!$B$4:$B$137, 0), MATCH(T$4&amp;T$5, LS_previous!$D$2:$AY$2&amp;LS_previous!$D$3:$AY$3, 0)),SUM(VLOOKUP($A62, LS_previous!$B$4:$AY$137, LS_previous!L$148, FALSE), VLOOKUP('Staging Table'!$A62, LS_previous!$B$4:$AY$137,LS_previous!AJ$148, FALSE))/2)</f>
        <v>0</v>
      </c>
      <c r="U62" s="102">
        <f t="array" ref="U62">IF($G62=0, INDEX(LS_previous!$D$4:$AY$137, MATCH('Staging Table'!$A62, LS_previous!$B$4:$B$137, 0), MATCH(U$4&amp;U$5, LS_previous!$D$2:$AY$2&amp;LS_previous!$D$3:$AY$3, 0)),SUM(VLOOKUP($A62, LS_previous!$B$4:$AY$137, LS_previous!M$148, FALSE), VLOOKUP('Staging Table'!$A62, LS_previous!$B$4:$AY$137,LS_previous!AK$148, FALSE))/2)</f>
        <v>0</v>
      </c>
      <c r="V62" s="102">
        <f t="array" ref="V62">IF($G62=0, INDEX(LS_previous!$D$4:$AY$137, MATCH('Staging Table'!$A62, LS_previous!$B$4:$B$137, 0), MATCH(V$4&amp;V$5, LS_previous!$D$2:$AY$2&amp;LS_previous!$D$3:$AY$3, 0)),SUM(VLOOKUP($A62, LS_previous!$B$4:$AY$137, LS_previous!N$148, FALSE), VLOOKUP('Staging Table'!$A62, LS_previous!$B$4:$AY$137,LS_previous!AL$148, FALSE))/2)</f>
        <v>0</v>
      </c>
      <c r="W62" s="102">
        <f t="array" ref="W62">IF($G62=0, INDEX(LS_previous!$D$4:$AY$137, MATCH('Staging Table'!$A62, LS_previous!$B$4:$B$137, 0), MATCH(W$4&amp;W$5, LS_previous!$D$2:$AY$2&amp;LS_previous!$D$3:$AY$3, 0)),SUM(VLOOKUP($A62, LS_previous!$B$4:$AY$137, LS_previous!O$148, FALSE), VLOOKUP('Staging Table'!$A62, LS_previous!$B$4:$AY$137,LS_previous!AM$148, FALSE))/2)</f>
        <v>0</v>
      </c>
      <c r="X62" s="102">
        <f t="array" ref="X62">IF($G62=0, INDEX(LS_previous!$D$4:$AY$137, MATCH('Staging Table'!$A62, LS_previous!$B$4:$B$137, 0), MATCH(X$4&amp;X$5, LS_previous!$D$2:$AY$2&amp;LS_previous!$D$3:$AY$3, 0)),SUM(VLOOKUP($A62, LS_previous!$B$4:$AY$137, LS_previous!P$148, FALSE), VLOOKUP('Staging Table'!$A62, LS_previous!$B$4:$AY$137,LS_previous!AN$148, FALSE))/2)</f>
        <v>0</v>
      </c>
      <c r="Y62" s="102">
        <f t="array" ref="Y62">IF($G62=0, INDEX(LS_previous!$D$4:$AY$137, MATCH('Staging Table'!$A62, LS_previous!$B$4:$B$137, 0), MATCH(Y$4&amp;Y$5, LS_previous!$D$2:$AY$2&amp;LS_previous!$D$3:$AY$3, 0)),SUM(VLOOKUP($A62, LS_previous!$B$4:$AY$137, LS_previous!Q$148, FALSE), VLOOKUP('Staging Table'!$A62, LS_previous!$B$4:$AY$137,LS_previous!AO$148, FALSE))/2)</f>
        <v>0</v>
      </c>
      <c r="Z62" s="102">
        <f t="array" ref="Z62">IF($G62=0, INDEX(LS_previous!$D$4:$AY$137, MATCH('Staging Table'!$A62, LS_previous!$B$4:$B$137, 0), MATCH(Z$4&amp;Z$5, LS_previous!$D$2:$AY$2&amp;LS_previous!$D$3:$AY$3, 0)),SUM(VLOOKUP($A62, LS_previous!$B$4:$AY$137, LS_previous!R$148, FALSE), VLOOKUP('Staging Table'!$A62, LS_previous!$B$4:$AY$137,LS_previous!AP$148, FALSE))/2)</f>
        <v>0</v>
      </c>
      <c r="AA62" s="102">
        <f t="array" ref="AA62">IF($G62=0, INDEX(LS_previous!$D$4:$AY$137, MATCH('Staging Table'!$A62, LS_previous!$B$4:$B$137, 0), MATCH(AA$4&amp;AA$5, LS_previous!$D$2:$AY$2&amp;LS_previous!$D$3:$AY$3, 0)),SUM(VLOOKUP($A62, LS_previous!$B$4:$AY$137, LS_previous!S$148, FALSE), VLOOKUP('Staging Table'!$A62, LS_previous!$B$4:$AY$137,LS_previous!AQ$148, FALSE))/2)</f>
        <v>0</v>
      </c>
      <c r="AB62" s="102">
        <f t="array" ref="AB62">IF($G62=0, INDEX(LS_previous!$D$4:$AY$137, MATCH('Staging Table'!$A62, LS_previous!$B$4:$B$137, 0), MATCH(AB$4&amp;AB$5, LS_previous!$D$2:$AY$2&amp;LS_previous!$D$3:$AY$3, 0)),SUM(VLOOKUP($A62, LS_previous!$B$4:$AY$137, LS_previous!T$148, FALSE), VLOOKUP('Staging Table'!$A62, LS_previous!$B$4:$AY$137,LS_previous!AR$148, FALSE))/2)</f>
        <v>0</v>
      </c>
      <c r="AC62" s="102">
        <f t="array" ref="AC62">IF($G62=0, INDEX(LS_previous!$D$4:$AY$137, MATCH('Staging Table'!$A62, LS_previous!$B$4:$B$137, 0), MATCH(AC$4&amp;AC$5, LS_previous!$D$2:$AY$2&amp;LS_previous!$D$3:$AY$3, 0)),SUM(VLOOKUP($A62, LS_previous!$B$4:$AY$137, LS_previous!U$148, FALSE), VLOOKUP('Staging Table'!$A62, LS_previous!$B$4:$AY$137,LS_previous!AS$148, FALSE))/2)</f>
        <v>0</v>
      </c>
      <c r="AD62" s="102">
        <f t="array" ref="AD62">IF($G62=0, INDEX(LS_previous!$D$4:$AY$137, MATCH('Staging Table'!$A62, LS_previous!$B$4:$B$137, 0), MATCH(AD$4&amp;AD$5, LS_previous!$D$2:$AY$2&amp;LS_previous!$D$3:$AY$3, 0)),SUM(VLOOKUP($A62, LS_previous!$B$4:$AY$137, LS_previous!V$148, FALSE), VLOOKUP('Staging Table'!$A62, LS_previous!$B$4:$AY$137,LS_previous!AT$148, FALSE))/2)</f>
        <v>0</v>
      </c>
      <c r="AE62" s="102">
        <f t="array" ref="AE62">IF($G62=0, INDEX(LS_previous!$D$4:$AY$137, MATCH('Staging Table'!$A62, LS_previous!$B$4:$B$137, 0), MATCH(AE$4&amp;AE$5, LS_previous!$D$2:$AY$2&amp;LS_previous!$D$3:$AY$3, 0)),SUM(VLOOKUP($A62, LS_previous!$B$4:$AY$137, LS_previous!W$148, FALSE), VLOOKUP('Staging Table'!$A62, LS_previous!$B$4:$AY$137,LS_previous!AU$148, FALSE))/2)</f>
        <v>0</v>
      </c>
      <c r="AF62" s="102">
        <f t="array" ref="AF62">IF($G62=0, INDEX(LS_previous!$D$4:$AY$137, MATCH('Staging Table'!$A62, LS_previous!$B$4:$B$137, 0), MATCH(AF$4&amp;AF$5, LS_previous!$D$2:$AY$2&amp;LS_previous!$D$3:$AY$3, 0)),SUM(VLOOKUP($A62, LS_previous!$B$4:$AY$137, LS_previous!X$148, FALSE), VLOOKUP('Staging Table'!$A62, LS_previous!$B$4:$AY$137,LS_previous!AV$148, FALSE))/2)</f>
        <v>0</v>
      </c>
      <c r="AG62" s="102">
        <f t="array" ref="AG62">IF($G62=0, INDEX(LS_previous!$D$4:$AY$137, MATCH('Staging Table'!$A62, LS_previous!$B$4:$B$137, 0), MATCH(AG$4&amp;AG$5, LS_previous!$D$2:$AY$2&amp;LS_previous!$D$3:$AY$3, 0)),SUM(VLOOKUP($A62, LS_previous!$B$4:$AY$137, LS_previous!Y$148, FALSE), VLOOKUP('Staging Table'!$A62, LS_previous!$B$4:$AY$137,LS_previous!AW$148, FALSE))/2)</f>
        <v>0</v>
      </c>
      <c r="AH62" s="102">
        <f t="array" ref="AH62">IF($G62=0, INDEX(LS_previous!$D$4:$AY$137, MATCH('Staging Table'!$A62, LS_previous!$B$4:$B$137, 0), MATCH(AH$4&amp;AH$5, LS_previous!$D$2:$AY$2&amp;LS_previous!$D$3:$AY$3, 0)),SUM(VLOOKUP($A62, LS_previous!$B$4:$AY$137, LS_previous!Z$148, FALSE), VLOOKUP('Staging Table'!$A62, LS_previous!$B$4:$AY$137,LS_previous!AX$148, FALSE))/2)</f>
        <v>0</v>
      </c>
      <c r="AI62" s="102">
        <f t="array" ref="AI62">IF($G62=0, INDEX(LS_previous!$D$4:$AY$137, MATCH('Staging Table'!$A62, LS_previous!$B$4:$B$137, 0), MATCH(AI$4&amp;AI$5, LS_previous!$D$2:$AY$2&amp;LS_previous!$D$3:$AY$3, 0)),SUM(VLOOKUP($A62, LS_previous!$B$4:$AY$137, LS_previous!AA$148, FALSE), VLOOKUP('Staging Table'!$A62, LS_previous!$B$4:$AY$137,LS_previous!AY$148, FALSE))/2)</f>
        <v>0</v>
      </c>
      <c r="AJ62" s="103">
        <f t="array" ref="AJ62">INDEX(Demand_previous!$D$4:$AY$137, MATCH('Staging Table'!$A62, Demand_previous!$B$4:$B$137, 0), MATCH(AJ$4&amp;AJ$5,Demand_previous!$D$2:$AY$2&amp;Demand_previous!$D$3:$AY$3, 0))/1000</f>
        <v>0</v>
      </c>
      <c r="AK62" s="103">
        <f t="array" ref="AK62">INDEX(Demand_previous!$D$4:$AY$137, MATCH('Staging Table'!$A62, Demand_previous!$B$4:$B$137, 0), MATCH(AK$4&amp;AK$5,Demand_previous!$D$2:$AY$2&amp;Demand_previous!$D$3:$AY$3, 0))/1000</f>
        <v>0</v>
      </c>
      <c r="AL62" s="103">
        <f t="array" ref="AL62">INDEX(Demand_previous!$D$4:$AY$137, MATCH('Staging Table'!$A62, Demand_previous!$B$4:$B$137, 0), MATCH(AL$4&amp;AL$5,Demand_previous!$D$2:$AY$2&amp;Demand_previous!$D$3:$AY$3, 0))/1000</f>
        <v>0</v>
      </c>
      <c r="AM62" s="103">
        <f t="array" ref="AM62">INDEX(Demand_previous!$D$4:$AY$137, MATCH('Staging Table'!$A62, Demand_previous!$B$4:$B$137, 0), MATCH(AM$4&amp;AM$5,Demand_previous!$D$2:$AY$2&amp;Demand_previous!$D$3:$AY$3, 0))/1000</f>
        <v>0</v>
      </c>
      <c r="AN62" s="103">
        <f t="array" ref="AN62">INDEX(Demand_previous!$D$4:$AY$137, MATCH('Staging Table'!$A62, Demand_previous!$B$4:$B$137, 0), MATCH(AN$4&amp;AN$5,Demand_previous!$D$2:$AY$2&amp;Demand_previous!$D$3:$AY$3, 0))/1000</f>
        <v>0</v>
      </c>
      <c r="AO62" s="103">
        <f t="array" ref="AO62">INDEX(Demand_previous!$D$4:$AY$137, MATCH('Staging Table'!$A62, Demand_previous!$B$4:$B$137, 0), MATCH(AO$4&amp;AO$5,Demand_previous!$D$2:$AY$2&amp;Demand_previous!$D$3:$AY$3, 0))/1000</f>
        <v>0</v>
      </c>
      <c r="AP62" s="103">
        <f t="array" ref="AP62">INDEX(Demand_previous!$D$4:$AY$137, MATCH('Staging Table'!$A62, Demand_previous!$B$4:$B$137, 0), MATCH(AP$4&amp;AP$5,Demand_previous!$D$2:$AY$2&amp;Demand_previous!$D$3:$AY$3, 0))/1000</f>
        <v>0</v>
      </c>
      <c r="AQ62" s="103">
        <f t="array" ref="AQ62">INDEX(Demand_previous!$D$4:$AY$137, MATCH('Staging Table'!$A62, Demand_previous!$B$4:$B$137, 0), MATCH(AQ$4&amp;AQ$5,Demand_previous!$D$2:$AY$2&amp;Demand_previous!$D$3:$AY$3, 0))/1000</f>
        <v>0</v>
      </c>
      <c r="AR62" s="103">
        <f t="array" ref="AR62">INDEX(Demand_previous!$D$4:$AY$137, MATCH('Staging Table'!$A62, Demand_previous!$B$4:$B$137, 0), MATCH(AR$4&amp;AR$5,Demand_previous!$D$2:$AY$2&amp;Demand_previous!$D$3:$AY$3, 0))/1000</f>
        <v>0</v>
      </c>
      <c r="AS62" s="103">
        <f t="array" ref="AS62">INDEX(Demand_previous!$D$4:$AY$137, MATCH('Staging Table'!$A62, Demand_previous!$B$4:$B$137, 0), MATCH(AS$4&amp;AS$5,Demand_previous!$D$2:$AY$2&amp;Demand_previous!$D$3:$AY$3, 0))/1000</f>
        <v>0</v>
      </c>
      <c r="AT62" s="103">
        <f t="array" ref="AT62">INDEX(Demand_previous!$D$4:$AY$137, MATCH('Staging Table'!$A62, Demand_previous!$B$4:$B$137, 0), MATCH(AT$4&amp;AT$5,Demand_previous!$D$2:$AY$2&amp;Demand_previous!$D$3:$AY$3, 0))/1000</f>
        <v>0</v>
      </c>
      <c r="AU62" s="103">
        <f t="array" ref="AU62">INDEX(Demand_previous!$D$4:$AY$137, MATCH('Staging Table'!$A62, Demand_previous!$B$4:$B$137, 0), MATCH(AU$4&amp;AU$5,Demand_previous!$D$2:$AY$2&amp;Demand_previous!$D$3:$AY$3, 0))/1000</f>
        <v>0</v>
      </c>
      <c r="AV62" s="102">
        <f>$F62*(VLOOKUP(AV$4, Rates_previous!$G$6:$Q$29, 10, FALSE)+VLOOKUP(AV$4, Rates_previous!$G$6:$Q$29, 11, FALSE))</f>
        <v>20234.648481282449</v>
      </c>
      <c r="AW62" s="102">
        <f>$F62*(VLOOKUP(AW$4, Rates_previous!$G$6:$Q$29, 10, FALSE)+VLOOKUP(AW$4, Rates_previous!$G$6:$Q$29, 11, FALSE))</f>
        <v>25805.849249151703</v>
      </c>
      <c r="AX62" s="102">
        <f>$F62*(VLOOKUP(AX$4, Rates_previous!$G$6:$Q$29, 10, FALSE)+VLOOKUP(AX$4, Rates_previous!$G$6:$Q$29, 11, FALSE))</f>
        <v>27849.617314090501</v>
      </c>
      <c r="AY62" s="102">
        <f>$F62*(VLOOKUP(AY$4, Rates_previous!$G$6:$Q$29, 10, FALSE)+VLOOKUP(AY$4, Rates_previous!$G$6:$Q$29, 11, FALSE))</f>
        <v>28940.0576011472</v>
      </c>
      <c r="AZ62" s="102">
        <f>$F62*(VLOOKUP(AZ$4, Rates_previous!$G$6:$Q$29, 10, FALSE)+VLOOKUP(AZ$4, Rates_previous!$G$6:$Q$29, 11, FALSE))</f>
        <v>24892.307000399396</v>
      </c>
      <c r="BA62" s="102">
        <f>$F62*(VLOOKUP(BA$4, Rates_previous!$G$6:$Q$29, 10, FALSE)+VLOOKUP(BA$4, Rates_previous!$G$6:$Q$29, 11, FALSE))</f>
        <v>27177.470815503297</v>
      </c>
      <c r="BB62" s="102">
        <f>$F62*(VLOOKUP(BB$4, Rates_previous!$G$6:$Q$29, 10, FALSE)+VLOOKUP(BB$4, Rates_previous!$G$6:$Q$29, 11, FALSE))</f>
        <v>21452.033249814773</v>
      </c>
      <c r="BC62" s="102">
        <f>$F62*(VLOOKUP(BC$4, Rates_previous!$G$6:$Q$29, 10, FALSE)+VLOOKUP(BC$4, Rates_previous!$G$6:$Q$29, 11, FALSE))</f>
        <v>26614.121952975951</v>
      </c>
      <c r="BD62" s="102">
        <f>$F62*(VLOOKUP(BD$4, Rates_previous!$G$6:$Q$29, 10, FALSE)+VLOOKUP(BD$4, Rates_previous!$G$6:$Q$29, 11, FALSE))</f>
        <v>27191.581959372146</v>
      </c>
      <c r="BE62" s="102">
        <f>$F62*(VLOOKUP(BE$4, Rates_previous!$G$6:$Q$29, 10, FALSE)+VLOOKUP(BE$4, Rates_previous!$G$6:$Q$29, 11, FALSE))</f>
        <v>23606.210587951449</v>
      </c>
      <c r="BF62" s="102">
        <f>$F62*(VLOOKUP(BF$4, Rates_previous!$G$6:$Q$29, 10, FALSE)+VLOOKUP(BF$4, Rates_previous!$G$6:$Q$29, 11, FALSE))</f>
        <v>22820.930901950007</v>
      </c>
      <c r="BG62" s="102">
        <f>$F62*(VLOOKUP(BG$4, Rates_previous!$G$6:$Q$29, 10, FALSE)+VLOOKUP(BG$4, Rates_previous!$G$6:$Q$29, 11, FALSE))</f>
        <v>20999.675677101401</v>
      </c>
      <c r="BH62" s="103">
        <f>IF($D62=0,IF(C62=0, MAX(BJ62 - (VLOOKUP($A62,TOCA_previous!$A$2:$AJ$136,MATCH("RHWM "&amp;Init!$D$1-2,TOCA_previous!$A$2:$AJ$2,0),FALSE)*$F$2*TOCA_previous!C59),0),0), 0)</f>
        <v>0</v>
      </c>
      <c r="BI62" s="109">
        <f>MIN(VLOOKUP($A62,TOCA_previous!$A$2:$AJ$136,MATCH("TRL - NLSL - Existing Resource "&amp;$F$1,TOCA_previous!$A$2:$AJ$2,0),FALSE)*$F$2,(VLOOKUP($A62,TOCA_previous!$A$2:$AJ$136,MATCH("RHWM "&amp;Init!$D$1-2,TOCA_previous!$A$2:$AJ$2,0),FALSE)*$F$2))</f>
        <v>291013.92000000004</v>
      </c>
      <c r="BJ62" s="261">
        <f>SUM(L62:AI62)+(F62*RT1SC!$C$3*$F$2)</f>
        <v>297584.50615480798</v>
      </c>
      <c r="BK62" s="260">
        <f>VLOOKUP($A62,TOCA_previous!$A$2:$AJ$136,MATCH("Above RHWM Not Served with LS "&amp;$F$1,TOCA_previous!$A$2:$AJ$2,0),FALSE)*$F$2</f>
        <v>61426.512000000002</v>
      </c>
      <c r="BL62" s="261">
        <f t="shared" si="21"/>
        <v>6570.5861548079411</v>
      </c>
      <c r="BM62" s="260">
        <f>(VLOOKUP($A62,TOCA_previous!$A$2:$AJ$136,MATCH("RHWM "&amp;Init!$D$1-2,TOCA_previous!$A$2:$AJ$2,0),FALSE)*$F$2) - $BI62</f>
        <v>0</v>
      </c>
      <c r="BN62" s="261">
        <f t="shared" si="22"/>
        <v>0</v>
      </c>
      <c r="BO62" s="260">
        <f t="shared" si="23"/>
        <v>0</v>
      </c>
      <c r="BP62" s="261">
        <f t="shared" si="24"/>
        <v>0</v>
      </c>
      <c r="BQ62" s="260">
        <f t="shared" si="9"/>
        <v>0</v>
      </c>
      <c r="BR62" s="85">
        <f>VLOOKUP($A62,TOCA_current!$A$2:$ZZ$136,MATCH(BR$4,TOCA_current!$A$2:$ZZ$2,0),FALSE)</f>
        <v>4.6867999999999996E-3</v>
      </c>
      <c r="BS62" s="85">
        <f>VLOOKUP($A62,TOCA_current!$A$2:$ZZ$136,MATCH(BS$4,TOCA_current!$A$2:$ZZ$2,0),FALSE)</f>
        <v>4.6867999999999996E-3</v>
      </c>
      <c r="BT62" s="108">
        <f t="shared" si="25"/>
        <v>0</v>
      </c>
      <c r="BU62" s="85">
        <f>VLOOKUP($A62,TOCA_current!A59:BG193,MATCH(BU$4,TOCA_current!$A$2:$BG$2,0),FALSE)</f>
        <v>9.8421415923891864E-2</v>
      </c>
      <c r="BV62" s="85">
        <f t="shared" si="26"/>
        <v>9.8421415923891864E-2</v>
      </c>
      <c r="BW62" s="85">
        <f t="shared" si="27"/>
        <v>4.6867999999999996E-3</v>
      </c>
      <c r="BX62" s="101">
        <f>VLOOKUP($A62,IRD!$A$4:$G$138, 7, FALSE)</f>
        <v>44309.995999999999</v>
      </c>
      <c r="BY62" s="102">
        <f t="array" ref="BY62">IF($BT62=0, INDEX(LS_current!$D$4:$BW$137, MATCH('Staging Table'!$A62, LS_current!$B$4:$B$137, 0), MATCH(BY$4&amp;BY$5, LS_current!$D$2:$BW$2&amp;LS_current!$D$3:$BW$3, 0)),SUM(VLOOKUP($A62, LS_current!$B$4:$BW$137, LS_current!D$147, FALSE), VLOOKUP($A62, LS_current!$B$4:$BW$137,LS_current!AZ$147, FALSE))/2)</f>
        <v>0</v>
      </c>
      <c r="BZ62" s="102">
        <f t="array" ref="BZ62">IF($BT62=0, INDEX(LS_current!$D$4:$BW$137, MATCH('Staging Table'!$A62, LS_current!$B$4:$B$137, 0), MATCH(BZ$4&amp;BZ$5, LS_current!$D$2:$BW$2&amp;LS_current!$D$3:$BW$3, 0)),SUM(VLOOKUP($A62, LS_current!$B$4:$BW$137, LS_current!E$147, FALSE), VLOOKUP($A62, LS_current!$B$4:$BW$137,LS_current!BA$147, FALSE))/2)</f>
        <v>0</v>
      </c>
      <c r="CA62" s="102">
        <f t="array" ref="CA62">IF($BT62=0, INDEX(LS_current!$D$4:$BW$137, MATCH('Staging Table'!$A62, LS_current!$B$4:$B$137, 0), MATCH(CA$4&amp;CA$5, LS_current!$D$2:$BW$2&amp;LS_current!$D$3:$BW$3, 0)),SUM(VLOOKUP($A62, LS_current!$B$4:$BW$137, LS_current!F$147, FALSE), VLOOKUP($A62, LS_current!$B$4:$BW$137,LS_current!BB$147, FALSE))/2)</f>
        <v>0</v>
      </c>
      <c r="CB62" s="102">
        <f t="array" ref="CB62">IF($BT62=0, INDEX(LS_current!$D$4:$BW$137, MATCH('Staging Table'!$A62, LS_current!$B$4:$B$137, 0), MATCH(CB$4&amp;CB$5, LS_current!$D$2:$BW$2&amp;LS_current!$D$3:$BW$3, 0)),SUM(VLOOKUP($A62, LS_current!$B$4:$BW$137, LS_current!G$147, FALSE), VLOOKUP($A62, LS_current!$B$4:$BW$137,LS_current!BC$147, FALSE))/2)</f>
        <v>0</v>
      </c>
      <c r="CC62" s="102">
        <f t="array" ref="CC62">IF($BT62=0, INDEX(LS_current!$D$4:$BW$137, MATCH('Staging Table'!$A62, LS_current!$B$4:$B$137, 0), MATCH(CC$4&amp;CC$5, LS_current!$D$2:$BW$2&amp;LS_current!$D$3:$BW$3, 0)),SUM(VLOOKUP($A62, LS_current!$B$4:$BW$137, LS_current!H$147, FALSE), VLOOKUP($A62, LS_current!$B$4:$BW$137,LS_current!BD$147, FALSE))/2)</f>
        <v>0</v>
      </c>
      <c r="CD62" s="102">
        <f t="array" ref="CD62">IF($BT62=0, INDEX(LS_current!$D$4:$BW$137, MATCH('Staging Table'!$A62, LS_current!$B$4:$B$137, 0), MATCH(CD$4&amp;CD$5, LS_current!$D$2:$BW$2&amp;LS_current!$D$3:$BW$3, 0)),SUM(VLOOKUP($A62, LS_current!$B$4:$BW$137, LS_current!I$147, FALSE), VLOOKUP($A62, LS_current!$B$4:$BW$137,LS_current!BE$147, FALSE))/2)</f>
        <v>0</v>
      </c>
      <c r="CE62" s="102">
        <f t="array" ref="CE62">IF($BT62=0, INDEX(LS_current!$D$4:$BW$137, MATCH('Staging Table'!$A62, LS_current!$B$4:$B$137, 0), MATCH(CE$4&amp;CE$5, LS_current!$D$2:$BW$2&amp;LS_current!$D$3:$BW$3, 0)),SUM(VLOOKUP($A62, LS_current!$B$4:$BW$137, LS_current!J$147, FALSE), VLOOKUP($A62, LS_current!$B$4:$BW$137,LS_current!BF$147, FALSE))/2)</f>
        <v>0</v>
      </c>
      <c r="CF62" s="102">
        <f t="array" ref="CF62">IF($BT62=0, INDEX(LS_current!$D$4:$BW$137, MATCH('Staging Table'!$A62, LS_current!$B$4:$B$137, 0), MATCH(CF$4&amp;CF$5, LS_current!$D$2:$BW$2&amp;LS_current!$D$3:$BW$3, 0)),SUM(VLOOKUP($A62, LS_current!$B$4:$BW$137, LS_current!K$147, FALSE), VLOOKUP($A62, LS_current!$B$4:$BW$137,LS_current!BG$147, FALSE))/2)</f>
        <v>0</v>
      </c>
      <c r="CG62" s="102">
        <f t="array" ref="CG62">IF($BT62=0, INDEX(LS_current!$D$4:$BW$137, MATCH('Staging Table'!$A62, LS_current!$B$4:$B$137, 0), MATCH(CG$4&amp;CG$5, LS_current!$D$2:$BW$2&amp;LS_current!$D$3:$BW$3, 0)),SUM(VLOOKUP($A62, LS_current!$B$4:$BW$137, LS_current!L$147, FALSE), VLOOKUP($A62, LS_current!$B$4:$BW$137,LS_current!BH$147, FALSE))/2)</f>
        <v>0</v>
      </c>
      <c r="CH62" s="102">
        <f t="array" ref="CH62">IF($BT62=0, INDEX(LS_current!$D$4:$BW$137, MATCH('Staging Table'!$A62, LS_current!$B$4:$B$137, 0), MATCH(CH$4&amp;CH$5, LS_current!$D$2:$BW$2&amp;LS_current!$D$3:$BW$3, 0)),SUM(VLOOKUP($A62, LS_current!$B$4:$BW$137, LS_current!M$147, FALSE), VLOOKUP($A62, LS_current!$B$4:$BW$137,LS_current!BI$147, FALSE))/2)</f>
        <v>0</v>
      </c>
      <c r="CI62" s="102">
        <f t="array" ref="CI62">IF($BT62=0, INDEX(LS_current!$D$4:$BW$137, MATCH('Staging Table'!$A62, LS_current!$B$4:$B$137, 0), MATCH(CI$4&amp;CI$5, LS_current!$D$2:$BW$2&amp;LS_current!$D$3:$BW$3, 0)),SUM(VLOOKUP($A62, LS_current!$B$4:$BW$137, LS_current!N$147, FALSE), VLOOKUP($A62, LS_current!$B$4:$BW$137,LS_current!BJ$147, FALSE))/2)</f>
        <v>0</v>
      </c>
      <c r="CJ62" s="102">
        <f t="array" ref="CJ62">IF($BT62=0, INDEX(LS_current!$D$4:$BW$137, MATCH('Staging Table'!$A62, LS_current!$B$4:$B$137, 0), MATCH(CJ$4&amp;CJ$5, LS_current!$D$2:$BW$2&amp;LS_current!$D$3:$BW$3, 0)),SUM(VLOOKUP($A62, LS_current!$B$4:$BW$137, LS_current!O$147, FALSE), VLOOKUP($A62, LS_current!$B$4:$BW$137,LS_current!BK$147, FALSE))/2)</f>
        <v>0</v>
      </c>
      <c r="CK62" s="102">
        <f t="array" ref="CK62">IF($BT62=0, INDEX(LS_current!$D$4:$BW$137, MATCH('Staging Table'!$A62, LS_current!$B$4:$B$137, 0), MATCH(CK$4&amp;CK$5, LS_current!$D$2:$BW$2&amp;LS_current!$D$3:$BW$3, 0)),SUM(VLOOKUP($A62, LS_current!$B$4:$BW$137, LS_current!P$147, FALSE), VLOOKUP($A62, LS_current!$B$4:$BW$137,LS_current!BL$147, FALSE))/2)</f>
        <v>0</v>
      </c>
      <c r="CL62" s="102">
        <f t="array" ref="CL62">IF($BT62=0, INDEX(LS_current!$D$4:$BW$137, MATCH('Staging Table'!$A62, LS_current!$B$4:$B$137, 0), MATCH(CL$4&amp;CL$5, LS_current!$D$2:$BW$2&amp;LS_current!$D$3:$BW$3, 0)),SUM(VLOOKUP($A62, LS_current!$B$4:$BW$137, LS_current!Q$147, FALSE), VLOOKUP($A62, LS_current!$B$4:$BW$137,LS_current!BM$147, FALSE))/2)</f>
        <v>0</v>
      </c>
      <c r="CM62" s="102">
        <f t="array" ref="CM62">IF($BT62=0, INDEX(LS_current!$D$4:$BW$137, MATCH('Staging Table'!$A62, LS_current!$B$4:$B$137, 0), MATCH(CM$4&amp;CM$5, LS_current!$D$2:$BW$2&amp;LS_current!$D$3:$BW$3, 0)),SUM(VLOOKUP($A62, LS_current!$B$4:$BW$137, LS_current!R$147, FALSE), VLOOKUP($A62, LS_current!$B$4:$BW$137,LS_current!BN$147, FALSE))/2)</f>
        <v>0</v>
      </c>
      <c r="CN62" s="102">
        <f t="array" ref="CN62">IF($BT62=0, INDEX(LS_current!$D$4:$BW$137, MATCH('Staging Table'!$A62, LS_current!$B$4:$B$137, 0), MATCH(CN$4&amp;CN$5, LS_current!$D$2:$BW$2&amp;LS_current!$D$3:$BW$3, 0)),SUM(VLOOKUP($A62, LS_current!$B$4:$BW$137, LS_current!S$147, FALSE), VLOOKUP($A62, LS_current!$B$4:$BW$137,LS_current!BO$147, FALSE))/2)</f>
        <v>0</v>
      </c>
      <c r="CO62" s="102">
        <f t="array" ref="CO62">IF($BT62=0, INDEX(LS_current!$D$4:$BW$137, MATCH('Staging Table'!$A62, LS_current!$B$4:$B$137, 0), MATCH(CO$4&amp;CO$5, LS_current!$D$2:$BW$2&amp;LS_current!$D$3:$BW$3, 0)),SUM(VLOOKUP($A62, LS_current!$B$4:$BW$137, LS_current!T$147, FALSE), VLOOKUP($A62, LS_current!$B$4:$BW$137,LS_current!BP$147, FALSE))/2)</f>
        <v>0</v>
      </c>
      <c r="CP62" s="102">
        <f t="array" ref="CP62">IF($BT62=0, INDEX(LS_current!$D$4:$BW$137, MATCH('Staging Table'!$A62, LS_current!$B$4:$B$137, 0), MATCH(CP$4&amp;CP$5, LS_current!$D$2:$BW$2&amp;LS_current!$D$3:$BW$3, 0)),SUM(VLOOKUP($A62, LS_current!$B$4:$BW$137, LS_current!U$147, FALSE), VLOOKUP($A62, LS_current!$B$4:$BW$137,LS_current!BQ$147, FALSE))/2)</f>
        <v>0</v>
      </c>
      <c r="CQ62" s="102">
        <f t="array" ref="CQ62">IF($BT62=0, INDEX(LS_current!$D$4:$BW$137, MATCH('Staging Table'!$A62, LS_current!$B$4:$B$137, 0), MATCH(CQ$4&amp;CQ$5, LS_current!$D$2:$BW$2&amp;LS_current!$D$3:$BW$3, 0)),SUM(VLOOKUP($A62, LS_current!$B$4:$BW$137, LS_current!V$147, FALSE), VLOOKUP($A62, LS_current!$B$4:$BW$137,LS_current!BR$147, FALSE))/2)</f>
        <v>0</v>
      </c>
      <c r="CR62" s="102">
        <f t="array" ref="CR62">IF($BT62=0, INDEX(LS_current!$D$4:$BW$137, MATCH('Staging Table'!$A62, LS_current!$B$4:$B$137, 0), MATCH(CR$4&amp;CR$5, LS_current!$D$2:$BW$2&amp;LS_current!$D$3:$BW$3, 0)),SUM(VLOOKUP($A62, LS_current!$B$4:$BW$137, LS_current!W$147, FALSE), VLOOKUP($A62, LS_current!$B$4:$BW$137,LS_current!BS$147, FALSE))/2)</f>
        <v>0</v>
      </c>
      <c r="CS62" s="102">
        <f t="array" ref="CS62">IF($BT62=0, INDEX(LS_current!$D$4:$BW$137, MATCH('Staging Table'!$A62, LS_current!$B$4:$B$137, 0), MATCH(CS$4&amp;CS$5, LS_current!$D$2:$BW$2&amp;LS_current!$D$3:$BW$3, 0)),SUM(VLOOKUP($A62, LS_current!$B$4:$BW$137, LS_current!X$147, FALSE), VLOOKUP($A62, LS_current!$B$4:$BW$137,LS_current!BT$147, FALSE))/2)</f>
        <v>0</v>
      </c>
      <c r="CT62" s="102">
        <f t="array" ref="CT62">IF($BT62=0, INDEX(LS_current!$D$4:$BW$137, MATCH('Staging Table'!$A62, LS_current!$B$4:$B$137, 0), MATCH(CT$4&amp;CT$5, LS_current!$D$2:$BW$2&amp;LS_current!$D$3:$BW$3, 0)),SUM(VLOOKUP($A62, LS_current!$B$4:$BW$137, LS_current!Y$147, FALSE), VLOOKUP($A62, LS_current!$B$4:$BW$137,LS_current!BU$147, FALSE))/2)</f>
        <v>0</v>
      </c>
      <c r="CU62" s="102">
        <f t="array" ref="CU62">IF($BT62=0, INDEX(LS_current!$D$4:$BW$137, MATCH('Staging Table'!$A62, LS_current!$B$4:$B$137, 0), MATCH(CU$4&amp;CU$5, LS_current!$D$2:$BW$2&amp;LS_current!$D$3:$BW$3, 0)),SUM(VLOOKUP($A62, LS_current!$B$4:$BW$137, LS_current!Z$147, FALSE), VLOOKUP($A62, LS_current!$B$4:$BW$137,LS_current!BV$147, FALSE))/2)</f>
        <v>0</v>
      </c>
      <c r="CV62" s="102">
        <f t="array" ref="CV62">IF($BT62=0, INDEX(LS_current!$D$4:$BW$137, MATCH('Staging Table'!$A62, LS_current!$B$4:$B$137, 0), MATCH(CV$4&amp;CV$5, LS_current!$D$2:$BW$2&amp;LS_current!$D$3:$BW$3, 0)),SUM(VLOOKUP($A62, LS_current!$B$4:$BW$137, LS_current!AA$147, FALSE), VLOOKUP($A62, LS_current!$B$4:$BW$137,LS_current!BW$147, FALSE))/2)</f>
        <v>0</v>
      </c>
      <c r="CW62" s="103">
        <f t="array" ref="CW62">INDEX(Demand_current!$D$4:$BW$137, MATCH($A62, Demand_current!$B$4:$B$137, 0), MATCH(CW$4&amp;CW$5,Demand_current!$D$2:$BW$2&amp;Demand_current!$D$3:$BW$3, 0))/1000</f>
        <v>0</v>
      </c>
      <c r="CX62" s="103">
        <f t="array" ref="CX62">INDEX(Demand_current!$D$4:$BW$137, MATCH($A62, Demand_current!$B$4:$B$137, 0), MATCH(CX$4&amp;CX$5,Demand_current!$D$2:$BW$2&amp;Demand_current!$D$3:$BW$3, 0))/1000</f>
        <v>0</v>
      </c>
      <c r="CY62" s="103">
        <f t="array" ref="CY62">INDEX(Demand_current!$D$4:$BW$137, MATCH($A62, Demand_current!$B$4:$B$137, 0), MATCH(CY$4&amp;CY$5,Demand_current!$D$2:$BW$2&amp;Demand_current!$D$3:$BW$3, 0))/1000</f>
        <v>0</v>
      </c>
      <c r="CZ62" s="103">
        <f t="array" ref="CZ62">INDEX(Demand_current!$D$4:$BW$137, MATCH($A62, Demand_current!$B$4:$B$137, 0), MATCH(CZ$4&amp;CZ$5,Demand_current!$D$2:$BW$2&amp;Demand_current!$D$3:$BW$3, 0))/1000</f>
        <v>0</v>
      </c>
      <c r="DA62" s="103">
        <f t="array" ref="DA62">INDEX(Demand_current!$D$4:$BW$137, MATCH($A62, Demand_current!$B$4:$B$137, 0), MATCH(DA$4&amp;DA$5,Demand_current!$D$2:$BW$2&amp;Demand_current!$D$3:$BW$3, 0))/1000</f>
        <v>0</v>
      </c>
      <c r="DB62" s="103">
        <f t="array" ref="DB62">INDEX(Demand_current!$D$4:$BW$137, MATCH($A62, Demand_current!$B$4:$B$137, 0), MATCH(DB$4&amp;DB$5,Demand_current!$D$2:$BW$2&amp;Demand_current!$D$3:$BW$3, 0))/1000</f>
        <v>0</v>
      </c>
      <c r="DC62" s="103">
        <f t="array" ref="DC62">INDEX(Demand_current!$D$4:$BW$137, MATCH($A62, Demand_current!$B$4:$B$137, 0), MATCH(DC$4&amp;DC$5,Demand_current!$D$2:$BW$2&amp;Demand_current!$D$3:$BW$3, 0))/1000</f>
        <v>0</v>
      </c>
      <c r="DD62" s="103">
        <f t="array" ref="DD62">INDEX(Demand_current!$D$4:$BW$137, MATCH($A62, Demand_current!$B$4:$B$137, 0), MATCH(DD$4&amp;DD$5,Demand_current!$D$2:$BW$2&amp;Demand_current!$D$3:$BW$3, 0))/1000</f>
        <v>0</v>
      </c>
      <c r="DE62" s="103">
        <f t="array" ref="DE62">INDEX(Demand_current!$D$4:$BW$137, MATCH($A62, Demand_current!$B$4:$B$137, 0), MATCH(DE$4&amp;DE$5,Demand_current!$D$2:$BW$2&amp;Demand_current!$D$3:$BW$3, 0))/1000</f>
        <v>0</v>
      </c>
      <c r="DF62" s="103">
        <f t="array" ref="DF62">INDEX(Demand_current!$D$4:$BW$137, MATCH($A62, Demand_current!$B$4:$B$137, 0), MATCH(DF$4&amp;DF$5,Demand_current!$D$2:$BW$2&amp;Demand_current!$D$3:$BW$3, 0))/1000</f>
        <v>0</v>
      </c>
      <c r="DG62" s="103">
        <f t="array" ref="DG62">INDEX(Demand_current!$D$4:$BW$137, MATCH($A62, Demand_current!$B$4:$B$137, 0), MATCH(DG$4&amp;DG$5,Demand_current!$D$2:$BW$2&amp;Demand_current!$D$3:$BW$3, 0))/1000</f>
        <v>0</v>
      </c>
      <c r="DH62" s="103">
        <f t="array" ref="DH62">INDEX(Demand_current!$D$4:$BW$137, MATCH($A62, Demand_current!$B$4:$B$137, 0), MATCH(DH$4&amp;DH$5,Demand_current!$D$2:$BW$2&amp;Demand_current!$D$3:$BW$3, 0))/1000</f>
        <v>0</v>
      </c>
      <c r="DI62" s="102">
        <f>$BS62*(VLOOKUP(DI$4, Rates_current!$H$6:$R$41, 10, FALSE)+VLOOKUP(DI$4, Rates_current!$H$6:$R$41, 11, FALSE))</f>
        <v>19451.567964349269</v>
      </c>
      <c r="DJ62" s="102">
        <f>$BS62*(VLOOKUP(DJ$4, Rates_current!$H$6:$R$41, 10, FALSE)+VLOOKUP(DJ$4, Rates_current!$H$6:$R$41, 11, FALSE))</f>
        <v>24868.189450859696</v>
      </c>
      <c r="DK62" s="102">
        <f>$BS62*(VLOOKUP(DK$4, Rates_current!$H$6:$R$41, 10, FALSE)+VLOOKUP(DK$4, Rates_current!$H$6:$R$41, 11, FALSE))</f>
        <v>28273.051506023094</v>
      </c>
      <c r="DL62" s="102">
        <f>$BS62*(VLOOKUP(DL$4, Rates_current!$H$6:$R$41, 10, FALSE)+VLOOKUP(DL$4, Rates_current!$H$6:$R$41, 11, FALSE))</f>
        <v>29830.276301739937</v>
      </c>
      <c r="DM62" s="102">
        <f>$BS62*(VLOOKUP(DM$4, Rates_current!$H$6:$R$41, 10, FALSE)+VLOOKUP(DM$4, Rates_current!$H$6:$R$41, 11, FALSE))</f>
        <v>23772.037927143541</v>
      </c>
      <c r="DN62" s="102">
        <f>$BS62*(VLOOKUP(DN$4, Rates_current!$H$6:$R$41, 10, FALSE)+VLOOKUP(DN$4, Rates_current!$H$6:$R$41, 11, FALSE))</f>
        <v>25987.719178972071</v>
      </c>
      <c r="DO62" s="102">
        <f>$BS62*(VLOOKUP(DO$4, Rates_current!$H$6:$R$41, 10, FALSE)+VLOOKUP(DO$4, Rates_current!$H$6:$R$41, 11, FALSE))</f>
        <v>20140.743776042837</v>
      </c>
      <c r="DP62" s="102">
        <f>$BS62*(VLOOKUP(DP$4, Rates_current!$H$6:$R$41, 10, FALSE)+VLOOKUP(DP$4, Rates_current!$H$6:$R$41, 11, FALSE))</f>
        <v>26065.438666987036</v>
      </c>
      <c r="DQ62" s="102">
        <f>$BS62*(VLOOKUP(DQ$4, Rates_current!$H$6:$R$41, 10, FALSE)+VLOOKUP(DQ$4, Rates_current!$H$6:$R$41, 11, FALSE))</f>
        <v>26622.011658998767</v>
      </c>
      <c r="DR62" s="102">
        <f>$BS62*(VLOOKUP(DR$4, Rates_current!$H$6:$R$41, 10, FALSE)+VLOOKUP(DR$4, Rates_current!$H$6:$R$41, 11, FALSE))</f>
        <v>23695.892774065327</v>
      </c>
      <c r="DS62" s="102">
        <f>$BS62*(VLOOKUP(DS$4, Rates_current!$H$6:$R$41, 10, FALSE)+VLOOKUP(DS$4, Rates_current!$H$6:$R$41, 11, FALSE))</f>
        <v>24307.640301708972</v>
      </c>
      <c r="DT62" s="102">
        <f>$BS62*(VLOOKUP(DT$4, Rates_current!$H$6:$R$41, 10, FALSE)+VLOOKUP(DT$4, Rates_current!$H$6:$R$41, 11, FALSE))</f>
        <v>18877.796489904798</v>
      </c>
      <c r="DU62" s="261">
        <f>IF(D62=0,IF(C62=0,MAX(0,DW62 - (VLOOKUP($A62,TOCA_current!$A$2:$AV$136,MATCH("RHWM "&amp;Init!$D$1,TOCA_current!$A$2:$AV$2,0),FALSE)*$BS$2)), 0),0)</f>
        <v>0</v>
      </c>
      <c r="DV62" s="262">
        <f>MIN(VLOOKUP($A62,TOCA_current!$A$2:$AV$136,MATCH("TRL - NLSL - Existing Resource "&amp;$BS$1,TOCA_current!$A$2:$AV$2,0),FALSE)*$BS$2, VLOOKUP($A62,TOCA_current!$A$2:$AV$136,MATCH("RHWM "&amp;Init!$D$1,TOCA_current!$A$2:$AV$2,0),FALSE)*$BS$2)</f>
        <v>291891.95999999996</v>
      </c>
      <c r="DW62" s="262">
        <f>SUM(BY62:CV62)+(BS62*RT1SC!$C$4*$BS$2)</f>
        <v>291892.38322713604</v>
      </c>
      <c r="DX62" s="262">
        <f>VLOOKUP($A62,TOCA_current!$A$2:$AV$136,MATCH("Above RHWM Not Served with LS "&amp;$BS$1,TOCA_current!$A$2:$AV$2,0),FALSE)*$BS$2</f>
        <v>118514.04</v>
      </c>
      <c r="DY62" s="262">
        <f t="shared" si="28"/>
        <v>0.42322713608155027</v>
      </c>
      <c r="DZ62" s="262">
        <f>(VLOOKUP($A62,TOCA_current!$A$2:$AV$136,MATCH("RHWM "&amp;Init!$D$1,TOCA_current!$A$2:$AV$2,0),FALSE)*$BS$2) - $DV62</f>
        <v>0</v>
      </c>
      <c r="EA62" s="262">
        <f t="shared" si="29"/>
        <v>0</v>
      </c>
      <c r="EB62" s="262">
        <f t="shared" si="30"/>
        <v>0</v>
      </c>
      <c r="EC62" s="262">
        <f t="shared" si="31"/>
        <v>0</v>
      </c>
      <c r="ED62" s="262">
        <f t="shared" si="32"/>
        <v>0</v>
      </c>
    </row>
    <row r="63" spans="1:134">
      <c r="A63" s="2">
        <v>10174</v>
      </c>
      <c r="B63" s="3" t="s">
        <v>65</v>
      </c>
      <c r="C63">
        <f>VLOOKUP(A63, TOCA_current!$A$3:$D$136, 4, FALSE)</f>
        <v>0</v>
      </c>
      <c r="D63">
        <v>0</v>
      </c>
      <c r="E63" s="84">
        <f>VLOOKUP($A63,TOCA_previous!$A$2:$AJ$136,MATCH(E$4,TOCA_previous!$A$2:$AJ$2,0),FALSE)</f>
        <v>7.1799999999999997E-5</v>
      </c>
      <c r="F63" s="85">
        <f>VLOOKUP($A63,TOCA_previous!$A$2:$AJ$136,MATCH(F$4,TOCA_previous!$A$2:$AJ$2,0),FALSE)</f>
        <v>7.1799999999999997E-5</v>
      </c>
      <c r="G63" s="85">
        <f t="shared" si="18"/>
        <v>0</v>
      </c>
      <c r="H63" s="85">
        <f>VLOOKUP($A63,TOCA_previous!$A$2:$AJ$136,MATCH(H$4,TOCA_previous!$A$2:$AJ$2,0),FALSE)</f>
        <v>0</v>
      </c>
      <c r="I63" s="85">
        <f t="shared" si="19"/>
        <v>0</v>
      </c>
      <c r="J63" s="85">
        <f t="shared" si="20"/>
        <v>0</v>
      </c>
      <c r="K63" s="101">
        <f>VLOOKUP(A63, IRD!$A$5:$C$138, 3, FALSE)</f>
        <v>0</v>
      </c>
      <c r="L63" s="102">
        <f t="array" ref="L63">IF($G63=0, INDEX(LS_previous!$D$4:$AY$137, MATCH('Staging Table'!$A63, LS_previous!$B$4:$B$137, 0), MATCH(L$4&amp;L$5, LS_previous!$D$2:$AY$2&amp;LS_previous!$D$3:$AY$3, 0)),SUM(VLOOKUP($A63, LS_previous!$B$4:$AY$137, LS_previous!D$148, FALSE), VLOOKUP('Staging Table'!$A63, LS_previous!$B$4:$AY$137,LS_previous!AB$148, FALSE))/2)</f>
        <v>53.698518215199982</v>
      </c>
      <c r="M63" s="102">
        <f t="array" ref="M63">IF($G63=0, INDEX(LS_previous!$D$4:$AY$137, MATCH('Staging Table'!$A63, LS_previous!$B$4:$B$137, 0), MATCH(M$4&amp;M$5, LS_previous!$D$2:$AY$2&amp;LS_previous!$D$3:$AY$3, 0)),SUM(VLOOKUP($A63, LS_previous!$B$4:$AY$137, LS_previous!E$148, FALSE), VLOOKUP('Staging Table'!$A63, LS_previous!$B$4:$AY$137,LS_previous!AC$148, FALSE))/2)</f>
        <v>43.372371709100008</v>
      </c>
      <c r="N63" s="102">
        <f t="array" ref="N63">IF($G63=0, INDEX(LS_previous!$D$4:$AY$137, MATCH('Staging Table'!$A63, LS_previous!$B$4:$B$137, 0), MATCH(N$4&amp;N$5, LS_previous!$D$2:$AY$2&amp;LS_previous!$D$3:$AY$3, 0)),SUM(VLOOKUP($A63, LS_previous!$B$4:$AY$137, LS_previous!F$148, FALSE), VLOOKUP('Staging Table'!$A63, LS_previous!$B$4:$AY$137,LS_previous!AD$148, FALSE))/2)</f>
        <v>9.747809849600003</v>
      </c>
      <c r="O63" s="102">
        <f t="array" ref="O63">IF($G63=0, INDEX(LS_previous!$D$4:$AY$137, MATCH('Staging Table'!$A63, LS_previous!$B$4:$B$137, 0), MATCH(O$4&amp;O$5, LS_previous!$D$2:$AY$2&amp;LS_previous!$D$3:$AY$3, 0)),SUM(VLOOKUP($A63, LS_previous!$B$4:$AY$137, LS_previous!G$148, FALSE), VLOOKUP('Staging Table'!$A63, LS_previous!$B$4:$AY$137,LS_previous!AE$148, FALSE))/2)</f>
        <v>55.370914294199991</v>
      </c>
      <c r="P63" s="102">
        <f t="array" ref="P63">IF($G63=0, INDEX(LS_previous!$D$4:$AY$137, MATCH('Staging Table'!$A63, LS_previous!$B$4:$B$137, 0), MATCH(P$4&amp;P$5, LS_previous!$D$2:$AY$2&amp;LS_previous!$D$3:$AY$3, 0)),SUM(VLOOKUP($A63, LS_previous!$B$4:$AY$137, LS_previous!H$148, FALSE), VLOOKUP('Staging Table'!$A63, LS_previous!$B$4:$AY$137,LS_previous!AF$148, FALSE))/2)</f>
        <v>101.46712393980002</v>
      </c>
      <c r="Q63" s="102">
        <f t="array" ref="Q63">IF($G63=0, INDEX(LS_previous!$D$4:$AY$137, MATCH('Staging Table'!$A63, LS_previous!$B$4:$B$137, 0), MATCH(Q$4&amp;Q$5, LS_previous!$D$2:$AY$2&amp;LS_previous!$D$3:$AY$3, 0)),SUM(VLOOKUP($A63, LS_previous!$B$4:$AY$137, LS_previous!I$148, FALSE), VLOOKUP('Staging Table'!$A63, LS_previous!$B$4:$AY$137,LS_previous!AG$148, FALSE))/2)</f>
        <v>107.91565262720002</v>
      </c>
      <c r="R63" s="102">
        <f t="array" ref="R63">IF($G63=0, INDEX(LS_previous!$D$4:$AY$137, MATCH('Staging Table'!$A63, LS_previous!$B$4:$B$137, 0), MATCH(R$4&amp;R$5, LS_previous!$D$2:$AY$2&amp;LS_previous!$D$3:$AY$3, 0)),SUM(VLOOKUP($A63, LS_previous!$B$4:$AY$137, LS_previous!J$148, FALSE), VLOOKUP('Staging Table'!$A63, LS_previous!$B$4:$AY$137,LS_previous!AH$148, FALSE))/2)</f>
        <v>76.457334863000028</v>
      </c>
      <c r="S63" s="102">
        <f t="array" ref="S63">IF($G63=0, INDEX(LS_previous!$D$4:$AY$137, MATCH('Staging Table'!$A63, LS_previous!$B$4:$B$137, 0), MATCH(S$4&amp;S$5, LS_previous!$D$2:$AY$2&amp;LS_previous!$D$3:$AY$3, 0)),SUM(VLOOKUP($A63, LS_previous!$B$4:$AY$137, LS_previous!K$148, FALSE), VLOOKUP('Staging Table'!$A63, LS_previous!$B$4:$AY$137,LS_previous!AI$148, FALSE))/2)</f>
        <v>105.49168951779998</v>
      </c>
      <c r="T63" s="102">
        <f t="array" ref="T63">IF($G63=0, INDEX(LS_previous!$D$4:$AY$137, MATCH('Staging Table'!$A63, LS_previous!$B$4:$B$137, 0), MATCH(T$4&amp;T$5, LS_previous!$D$2:$AY$2&amp;LS_previous!$D$3:$AY$3, 0)),SUM(VLOOKUP($A63, LS_previous!$B$4:$AY$137, LS_previous!L$148, FALSE), VLOOKUP('Staging Table'!$A63, LS_previous!$B$4:$AY$137,LS_previous!AJ$148, FALSE))/2)</f>
        <v>49.750295887800036</v>
      </c>
      <c r="U63" s="102">
        <f t="array" ref="U63">IF($G63=0, INDEX(LS_previous!$D$4:$AY$137, MATCH('Staging Table'!$A63, LS_previous!$B$4:$B$137, 0), MATCH(U$4&amp;U$5, LS_previous!$D$2:$AY$2&amp;LS_previous!$D$3:$AY$3, 0)),SUM(VLOOKUP($A63, LS_previous!$B$4:$AY$137, LS_previous!M$148, FALSE), VLOOKUP('Staging Table'!$A63, LS_previous!$B$4:$AY$137,LS_previous!AK$148, FALSE))/2)</f>
        <v>76.8130393438</v>
      </c>
      <c r="V63" s="102">
        <f t="array" ref="V63">IF($G63=0, INDEX(LS_previous!$D$4:$AY$137, MATCH('Staging Table'!$A63, LS_previous!$B$4:$B$137, 0), MATCH(V$4&amp;V$5, LS_previous!$D$2:$AY$2&amp;LS_previous!$D$3:$AY$3, 0)),SUM(VLOOKUP($A63, LS_previous!$B$4:$AY$137, LS_previous!N$148, FALSE), VLOOKUP('Staging Table'!$A63, LS_previous!$B$4:$AY$137,LS_previous!AL$148, FALSE))/2)</f>
        <v>12.233807686600016</v>
      </c>
      <c r="W63" s="102">
        <f t="array" ref="W63">IF($G63=0, INDEX(LS_previous!$D$4:$AY$137, MATCH('Staging Table'!$A63, LS_previous!$B$4:$B$137, 0), MATCH(W$4&amp;W$5, LS_previous!$D$2:$AY$2&amp;LS_previous!$D$3:$AY$3, 0)),SUM(VLOOKUP($A63, LS_previous!$B$4:$AY$137, LS_previous!O$148, FALSE), VLOOKUP('Staging Table'!$A63, LS_previous!$B$4:$AY$137,LS_previous!AM$148, FALSE))/2)</f>
        <v>48.042916339599998</v>
      </c>
      <c r="X63" s="102">
        <f t="array" ref="X63">IF($G63=0, INDEX(LS_previous!$D$4:$AY$137, MATCH('Staging Table'!$A63, LS_previous!$B$4:$B$137, 0), MATCH(X$4&amp;X$5, LS_previous!$D$2:$AY$2&amp;LS_previous!$D$3:$AY$3, 0)),SUM(VLOOKUP($A63, LS_previous!$B$4:$AY$137, LS_previous!P$148, FALSE), VLOOKUP('Staging Table'!$A63, LS_previous!$B$4:$AY$137,LS_previous!AN$148, FALSE))/2)</f>
        <v>38.850121575499998</v>
      </c>
      <c r="Y63" s="102">
        <f t="array" ref="Y63">IF($G63=0, INDEX(LS_previous!$D$4:$AY$137, MATCH('Staging Table'!$A63, LS_previous!$B$4:$B$137, 0), MATCH(Y$4&amp;Y$5, LS_previous!$D$2:$AY$2&amp;LS_previous!$D$3:$AY$3, 0)),SUM(VLOOKUP($A63, LS_previous!$B$4:$AY$137, LS_previous!Q$148, FALSE), VLOOKUP('Staging Table'!$A63, LS_previous!$B$4:$AY$137,LS_previous!AO$148, FALSE))/2)</f>
        <v>41.21867344635001</v>
      </c>
      <c r="Z63" s="102">
        <f t="array" ref="Z63">IF($G63=0, INDEX(LS_previous!$D$4:$AY$137, MATCH('Staging Table'!$A63, LS_previous!$B$4:$B$137, 0), MATCH(Z$4&amp;Z$5, LS_previous!$D$2:$AY$2&amp;LS_previous!$D$3:$AY$3, 0)),SUM(VLOOKUP($A63, LS_previous!$B$4:$AY$137, LS_previous!R$148, FALSE), VLOOKUP('Staging Table'!$A63, LS_previous!$B$4:$AY$137,LS_previous!AP$148, FALSE))/2)</f>
        <v>-26.518449686400004</v>
      </c>
      <c r="AA63" s="102">
        <f t="array" ref="AA63">IF($G63=0, INDEX(LS_previous!$D$4:$AY$137, MATCH('Staging Table'!$A63, LS_previous!$B$4:$B$137, 0), MATCH(AA$4&amp;AA$5, LS_previous!$D$2:$AY$2&amp;LS_previous!$D$3:$AY$3, 0)),SUM(VLOOKUP($A63, LS_previous!$B$4:$AY$137, LS_previous!S$148, FALSE), VLOOKUP('Staging Table'!$A63, LS_previous!$B$4:$AY$137,LS_previous!AQ$148, FALSE))/2)</f>
        <v>10.390434419700028</v>
      </c>
      <c r="AB63" s="102">
        <f t="array" ref="AB63">IF($G63=0, INDEX(LS_previous!$D$4:$AY$137, MATCH('Staging Table'!$A63, LS_previous!$B$4:$B$137, 0), MATCH(AB$4&amp;AB$5, LS_previous!$D$2:$AY$2&amp;LS_previous!$D$3:$AY$3, 0)),SUM(VLOOKUP($A63, LS_previous!$B$4:$AY$137, LS_previous!T$148, FALSE), VLOOKUP('Staging Table'!$A63, LS_previous!$B$4:$AY$137,LS_previous!AR$148, FALSE))/2)</f>
        <v>-8.9745690867999883</v>
      </c>
      <c r="AC63" s="102">
        <f t="array" ref="AC63">IF($G63=0, INDEX(LS_previous!$D$4:$AY$137, MATCH('Staging Table'!$A63, LS_previous!$B$4:$B$137, 0), MATCH(AC$4&amp;AC$5, LS_previous!$D$2:$AY$2&amp;LS_previous!$D$3:$AY$3, 0)),SUM(VLOOKUP($A63, LS_previous!$B$4:$AY$137, LS_previous!U$148, FALSE), VLOOKUP('Staging Table'!$A63, LS_previous!$B$4:$AY$137,LS_previous!AS$148, FALSE))/2)</f>
        <v>0.76205108689998724</v>
      </c>
      <c r="AD63" s="102">
        <f t="array" ref="AD63">IF($G63=0, INDEX(LS_previous!$D$4:$AY$137, MATCH('Staging Table'!$A63, LS_previous!$B$4:$B$137, 0), MATCH(AD$4&amp;AD$5, LS_previous!$D$2:$AY$2&amp;LS_previous!$D$3:$AY$3, 0)),SUM(VLOOKUP($A63, LS_previous!$B$4:$AY$137, LS_previous!V$148, FALSE), VLOOKUP('Staging Table'!$A63, LS_previous!$B$4:$AY$137,LS_previous!AT$148, FALSE))/2)</f>
        <v>42.489119344800002</v>
      </c>
      <c r="AE63" s="102">
        <f t="array" ref="AE63">IF($G63=0, INDEX(LS_previous!$D$4:$AY$137, MATCH('Staging Table'!$A63, LS_previous!$B$4:$B$137, 0), MATCH(AE$4&amp;AE$5, LS_previous!$D$2:$AY$2&amp;LS_previous!$D$3:$AY$3, 0)),SUM(VLOOKUP($A63, LS_previous!$B$4:$AY$137, LS_previous!W$148, FALSE), VLOOKUP('Staging Table'!$A63, LS_previous!$B$4:$AY$137,LS_previous!AU$148, FALSE))/2)</f>
        <v>32.824915345500017</v>
      </c>
      <c r="AF63" s="102">
        <f t="array" ref="AF63">IF($G63=0, INDEX(LS_previous!$D$4:$AY$137, MATCH('Staging Table'!$A63, LS_previous!$B$4:$B$137, 0), MATCH(AF$4&amp;AF$5, LS_previous!$D$2:$AY$2&amp;LS_previous!$D$3:$AY$3, 0)),SUM(VLOOKUP($A63, LS_previous!$B$4:$AY$137, LS_previous!X$148, FALSE), VLOOKUP('Staging Table'!$A63, LS_previous!$B$4:$AY$137,LS_previous!AV$148, FALSE))/2)</f>
        <v>27.297765686299982</v>
      </c>
      <c r="AG63" s="102">
        <f t="array" ref="AG63">IF($G63=0, INDEX(LS_previous!$D$4:$AY$137, MATCH('Staging Table'!$A63, LS_previous!$B$4:$B$137, 0), MATCH(AG$4&amp;AG$5, LS_previous!$D$2:$AY$2&amp;LS_previous!$D$3:$AY$3, 0)),SUM(VLOOKUP($A63, LS_previous!$B$4:$AY$137, LS_previous!Y$148, FALSE), VLOOKUP('Staging Table'!$A63, LS_previous!$B$4:$AY$137,LS_previous!AW$148, FALSE))/2)</f>
        <v>28.03080586677001</v>
      </c>
      <c r="AH63" s="102">
        <f t="array" ref="AH63">IF($G63=0, INDEX(LS_previous!$D$4:$AY$137, MATCH('Staging Table'!$A63, LS_previous!$B$4:$B$137, 0), MATCH(AH$4&amp;AH$5, LS_previous!$D$2:$AY$2&amp;LS_previous!$D$3:$AY$3, 0)),SUM(VLOOKUP($A63, LS_previous!$B$4:$AY$137, LS_previous!Z$148, FALSE), VLOOKUP('Staging Table'!$A63, LS_previous!$B$4:$AY$137,LS_previous!AX$148, FALSE))/2)</f>
        <v>23.786431926799992</v>
      </c>
      <c r="AI63" s="102">
        <f t="array" ref="AI63">IF($G63=0, INDEX(LS_previous!$D$4:$AY$137, MATCH('Staging Table'!$A63, LS_previous!$B$4:$B$137, 0), MATCH(AI$4&amp;AI$5, LS_previous!$D$2:$AY$2&amp;LS_previous!$D$3:$AY$3, 0)),SUM(VLOOKUP($A63, LS_previous!$B$4:$AY$137, LS_previous!AA$148, FALSE), VLOOKUP('Staging Table'!$A63, LS_previous!$B$4:$AY$137,LS_previous!AY$148, FALSE))/2)</f>
        <v>17.097098332800002</v>
      </c>
      <c r="AJ63" s="103">
        <f t="array" ref="AJ63">INDEX(Demand_previous!$D$4:$AY$137, MATCH('Staging Table'!$A63, Demand_previous!$B$4:$B$137, 0), MATCH(AJ$4&amp;AJ$5,Demand_previous!$D$2:$AY$2&amp;Demand_previous!$D$3:$AY$3, 0))/1000</f>
        <v>0.34437499999999999</v>
      </c>
      <c r="AK63" s="103">
        <f t="array" ref="AK63">INDEX(Demand_previous!$D$4:$AY$137, MATCH('Staging Table'!$A63, Demand_previous!$B$4:$B$137, 0), MATCH(AK$4&amp;AK$5,Demand_previous!$D$2:$AY$2&amp;Demand_previous!$D$3:$AY$3, 0))/1000</f>
        <v>0.25765499999999986</v>
      </c>
      <c r="AL63" s="103">
        <f t="array" ref="AL63">INDEX(Demand_previous!$D$4:$AY$137, MATCH('Staging Table'!$A63, Demand_previous!$B$4:$B$137, 0), MATCH(AL$4&amp;AL$5,Demand_previous!$D$2:$AY$2&amp;Demand_previous!$D$3:$AY$3, 0))/1000</f>
        <v>0.40440500000000007</v>
      </c>
      <c r="AM63" s="103">
        <f t="array" ref="AM63">INDEX(Demand_previous!$D$4:$AY$137, MATCH('Staging Table'!$A63, Demand_previous!$B$4:$B$137, 0), MATCH(AM$4&amp;AM$5,Demand_previous!$D$2:$AY$2&amp;Demand_previous!$D$3:$AY$3, 0))/1000</f>
        <v>0.45044230769230781</v>
      </c>
      <c r="AN63" s="103">
        <f t="array" ref="AN63">INDEX(Demand_previous!$D$4:$AY$137, MATCH('Staging Table'!$A63, Demand_previous!$B$4:$B$137, 0), MATCH(AN$4&amp;AN$5,Demand_previous!$D$2:$AY$2&amp;Demand_previous!$D$3:$AY$3, 0))/1000</f>
        <v>0.346275</v>
      </c>
      <c r="AO63" s="103">
        <f t="array" ref="AO63">INDEX(Demand_previous!$D$4:$AY$137, MATCH('Staging Table'!$A63, Demand_previous!$B$4:$B$137, 0), MATCH(AO$4&amp;AO$5,Demand_previous!$D$2:$AY$2&amp;Demand_previous!$D$3:$AY$3, 0))/1000</f>
        <v>0.34514903846153855</v>
      </c>
      <c r="AP63" s="103">
        <f t="array" ref="AP63">INDEX(Demand_previous!$D$4:$AY$137, MATCH('Staging Table'!$A63, Demand_previous!$B$4:$B$137, 0), MATCH(AP$4&amp;AP$5,Demand_previous!$D$2:$AY$2&amp;Demand_previous!$D$3:$AY$3, 0))/1000</f>
        <v>0.31273317307692305</v>
      </c>
      <c r="AQ63" s="103">
        <f t="array" ref="AQ63">INDEX(Demand_previous!$D$4:$AY$137, MATCH('Staging Table'!$A63, Demand_previous!$B$4:$B$137, 0), MATCH(AQ$4&amp;AQ$5,Demand_previous!$D$2:$AY$2&amp;Demand_previous!$D$3:$AY$3, 0))/1000</f>
        <v>0.33478365384615383</v>
      </c>
      <c r="AR63" s="103">
        <f t="array" ref="AR63">INDEX(Demand_previous!$D$4:$AY$137, MATCH('Staging Table'!$A63, Demand_previous!$B$4:$B$137, 0), MATCH(AR$4&amp;AR$5,Demand_previous!$D$2:$AY$2&amp;Demand_previous!$D$3:$AY$3, 0))/1000</f>
        <v>0.32441500000000001</v>
      </c>
      <c r="AS63" s="103">
        <f t="array" ref="AS63">INDEX(Demand_previous!$D$4:$AY$137, MATCH('Staging Table'!$A63, Demand_previous!$B$4:$B$137, 0), MATCH(AS$4&amp;AS$5,Demand_previous!$D$2:$AY$2&amp;Demand_previous!$D$3:$AY$3, 0))/1000</f>
        <v>0.32950480769230772</v>
      </c>
      <c r="AT63" s="103">
        <f t="array" ref="AT63">INDEX(Demand_previous!$D$4:$AY$137, MATCH('Staging Table'!$A63, Demand_previous!$B$4:$B$137, 0), MATCH(AT$4&amp;AT$5,Demand_previous!$D$2:$AY$2&amp;Demand_previous!$D$3:$AY$3, 0))/1000</f>
        <v>0.33115972222222212</v>
      </c>
      <c r="AU63" s="103">
        <f t="array" ref="AU63">INDEX(Demand_previous!$D$4:$AY$137, MATCH('Staging Table'!$A63, Demand_previous!$B$4:$B$137, 0), MATCH(AU$4&amp;AU$5,Demand_previous!$D$2:$AY$2&amp;Demand_previous!$D$3:$AY$3, 0))/1000</f>
        <v>0.26111718750000001</v>
      </c>
      <c r="AV63" s="102">
        <f>$F63*(VLOOKUP(AV$4, Rates_previous!$G$6:$Q$29, 10, FALSE)+VLOOKUP(AV$4, Rates_previous!$G$6:$Q$29, 11, FALSE))</f>
        <v>302.9101100757</v>
      </c>
      <c r="AW63" s="102">
        <f>$F63*(VLOOKUP(AW$4, Rates_previous!$G$6:$Q$29, 10, FALSE)+VLOOKUP(AW$4, Rates_previous!$G$6:$Q$29, 11, FALSE))</f>
        <v>386.31027585620006</v>
      </c>
      <c r="AX63" s="102">
        <f>$F63*(VLOOKUP(AX$4, Rates_previous!$G$6:$Q$29, 10, FALSE)+VLOOKUP(AX$4, Rates_previous!$G$6:$Q$29, 11, FALSE))</f>
        <v>416.905223433</v>
      </c>
      <c r="AY63" s="102">
        <f>$F63*(VLOOKUP(AY$4, Rates_previous!$G$6:$Q$29, 10, FALSE)+VLOOKUP(AY$4, Rates_previous!$G$6:$Q$29, 11, FALSE))</f>
        <v>433.22897561919996</v>
      </c>
      <c r="AZ63" s="102">
        <f>$F63*(VLOOKUP(AZ$4, Rates_previous!$G$6:$Q$29, 10, FALSE)+VLOOKUP(AZ$4, Rates_previous!$G$6:$Q$29, 11, FALSE))</f>
        <v>372.63466476839994</v>
      </c>
      <c r="BA63" s="102">
        <f>$F63*(VLOOKUP(BA$4, Rates_previous!$G$6:$Q$29, 10, FALSE)+VLOOKUP(BA$4, Rates_previous!$G$6:$Q$29, 11, FALSE))</f>
        <v>406.84327597379996</v>
      </c>
      <c r="BB63" s="102">
        <f>$F63*(VLOOKUP(BB$4, Rates_previous!$G$6:$Q$29, 10, FALSE)+VLOOKUP(BB$4, Rates_previous!$G$6:$Q$29, 11, FALSE))</f>
        <v>321.13420497814997</v>
      </c>
      <c r="BC63" s="102">
        <f>$F63*(VLOOKUP(BC$4, Rates_previous!$G$6:$Q$29, 10, FALSE)+VLOOKUP(BC$4, Rates_previous!$G$6:$Q$29, 11, FALSE))</f>
        <v>398.41001526669999</v>
      </c>
      <c r="BD63" s="102">
        <f>$F63*(VLOOKUP(BD$4, Rates_previous!$G$6:$Q$29, 10, FALSE)+VLOOKUP(BD$4, Rates_previous!$G$6:$Q$29, 11, FALSE))</f>
        <v>407.05451799989993</v>
      </c>
      <c r="BE63" s="102">
        <f>$F63*(VLOOKUP(BE$4, Rates_previous!$G$6:$Q$29, 10, FALSE)+VLOOKUP(BE$4, Rates_previous!$G$6:$Q$29, 11, FALSE))</f>
        <v>353.38196530969998</v>
      </c>
      <c r="BF63" s="102">
        <f>$F63*(VLOOKUP(BF$4, Rates_previous!$G$6:$Q$29, 10, FALSE)+VLOOKUP(BF$4, Rates_previous!$G$6:$Q$29, 11, FALSE))</f>
        <v>341.62642844693005</v>
      </c>
      <c r="BG63" s="102">
        <f>$F63*(VLOOKUP(BG$4, Rates_previous!$G$6:$Q$29, 10, FALSE)+VLOOKUP(BG$4, Rates_previous!$G$6:$Q$29, 11, FALSE))</f>
        <v>314.3624697404</v>
      </c>
      <c r="BH63" s="103">
        <f>IF($D63=0,IF(C63=0, MAX(BJ63 - (VLOOKUP($A63,TOCA_previous!$A$2:$AJ$136,MATCH("RHWM "&amp;Init!$D$1-2,TOCA_previous!$A$2:$AJ$2,0),FALSE)*$F$2*TOCA_previous!C60),0),0), 0)</f>
        <v>968.93002041991986</v>
      </c>
      <c r="BI63" s="109">
        <f>MIN(VLOOKUP($A63,TOCA_previous!$A$2:$AJ$136,MATCH("TRL - NLSL - Existing Resource "&amp;$F$1,TOCA_previous!$A$2:$AJ$2,0),FALSE)*$F$2,(VLOOKUP($A63,TOCA_previous!$A$2:$AJ$136,MATCH("RHWM "&amp;Init!$D$1-2,TOCA_previous!$A$2:$AJ$2,0),FALSE)*$F$2))</f>
        <v>4356.8639999999996</v>
      </c>
      <c r="BJ63" s="261">
        <f>SUM(L63:AI63)+(F63*RT1SC!$C$3*$F$2)</f>
        <v>5422.4180204199201</v>
      </c>
      <c r="BK63" s="260">
        <f>VLOOKUP($A63,TOCA_previous!$A$2:$AJ$136,MATCH("Above RHWM Not Served with LS "&amp;$F$1,TOCA_previous!$A$2:$AJ$2,0),FALSE)*$F$2</f>
        <v>0</v>
      </c>
      <c r="BL63" s="261">
        <f t="shared" si="21"/>
        <v>1065.5540204199206</v>
      </c>
      <c r="BM63" s="260">
        <f>(VLOOKUP($A63,TOCA_previous!$A$2:$AJ$136,MATCH("RHWM "&amp;Init!$D$1-2,TOCA_previous!$A$2:$AJ$2,0),FALSE)*$F$2) - $BI63</f>
        <v>96.624000000000706</v>
      </c>
      <c r="BN63" s="261">
        <f t="shared" si="22"/>
        <v>-96.624000000000706</v>
      </c>
      <c r="BO63" s="260">
        <f t="shared" si="23"/>
        <v>0</v>
      </c>
      <c r="BP63" s="261">
        <f t="shared" si="24"/>
        <v>0</v>
      </c>
      <c r="BQ63" s="260">
        <f t="shared" si="9"/>
        <v>-96.624000000000706</v>
      </c>
      <c r="BR63" s="85">
        <f>VLOOKUP($A63,TOCA_current!$A$2:$ZZ$136,MATCH(BR$4,TOCA_current!$A$2:$ZZ$2,0),FALSE)</f>
        <v>7.1699999999999995E-5</v>
      </c>
      <c r="BS63" s="85">
        <f>VLOOKUP($A63,TOCA_current!$A$2:$ZZ$136,MATCH(BS$4,TOCA_current!$A$2:$ZZ$2,0),FALSE)</f>
        <v>7.1699999999999995E-5</v>
      </c>
      <c r="BT63" s="108">
        <f t="shared" si="25"/>
        <v>0</v>
      </c>
      <c r="BU63" s="85">
        <f>VLOOKUP($A63,TOCA_current!A60:BG194,MATCH(BU$4,TOCA_current!$A$2:$BG$2,0),FALSE)</f>
        <v>0</v>
      </c>
      <c r="BV63" s="85">
        <f t="shared" si="26"/>
        <v>0</v>
      </c>
      <c r="BW63" s="85">
        <f t="shared" si="27"/>
        <v>0</v>
      </c>
      <c r="BX63" s="101">
        <f>VLOOKUP($A63,IRD!$A$4:$G$138, 7, FALSE)</f>
        <v>0</v>
      </c>
      <c r="BY63" s="102">
        <f t="array" ref="BY63">IF($BT63=0, INDEX(LS_current!$D$4:$BW$137, MATCH('Staging Table'!$A63, LS_current!$B$4:$B$137, 0), MATCH(BY$4&amp;BY$5, LS_current!$D$2:$BW$2&amp;LS_current!$D$3:$BW$3, 0)),SUM(VLOOKUP($A63, LS_current!$B$4:$BW$137, LS_current!D$147, FALSE), VLOOKUP($A63, LS_current!$B$4:$BW$137,LS_current!AZ$147, FALSE))/2)</f>
        <v>51.544736058423098</v>
      </c>
      <c r="BZ63" s="102">
        <f t="array" ref="BZ63">IF($BT63=0, INDEX(LS_current!$D$4:$BW$137, MATCH('Staging Table'!$A63, LS_current!$B$4:$B$137, 0), MATCH(BZ$4&amp;BZ$5, LS_current!$D$2:$BW$2&amp;LS_current!$D$3:$BW$3, 0)),SUM(VLOOKUP($A63, LS_current!$B$4:$BW$137, LS_current!E$147, FALSE), VLOOKUP($A63, LS_current!$B$4:$BW$137,LS_current!BA$147, FALSE))/2)</f>
        <v>50.860642399406885</v>
      </c>
      <c r="CA63" s="102">
        <f t="array" ref="CA63">IF($BT63=0, INDEX(LS_current!$D$4:$BW$137, MATCH('Staging Table'!$A63, LS_current!$B$4:$B$137, 0), MATCH(CA$4&amp;CA$5, LS_current!$D$2:$BW$2&amp;LS_current!$D$3:$BW$3, 0)),SUM(VLOOKUP($A63, LS_current!$B$4:$BW$137, LS_current!F$147, FALSE), VLOOKUP($A63, LS_current!$B$4:$BW$137,LS_current!BB$147, FALSE))/2)</f>
        <v>14.296537002448815</v>
      </c>
      <c r="CB63" s="102">
        <f t="array" ref="CB63">IF($BT63=0, INDEX(LS_current!$D$4:$BW$137, MATCH('Staging Table'!$A63, LS_current!$B$4:$B$137, 0), MATCH(CB$4&amp;CB$5, LS_current!$D$2:$BW$2&amp;LS_current!$D$3:$BW$3, 0)),SUM(VLOOKUP($A63, LS_current!$B$4:$BW$137, LS_current!G$147, FALSE), VLOOKUP($A63, LS_current!$B$4:$BW$137,LS_current!BC$147, FALSE))/2)</f>
        <v>56.691824688547172</v>
      </c>
      <c r="CC63" s="102">
        <f t="array" ref="CC63">IF($BT63=0, INDEX(LS_current!$D$4:$BW$137, MATCH('Staging Table'!$A63, LS_current!$B$4:$B$137, 0), MATCH(CC$4&amp;CC$5, LS_current!$D$2:$BW$2&amp;LS_current!$D$3:$BW$3, 0)),SUM(VLOOKUP($A63, LS_current!$B$4:$BW$137, LS_current!H$147, FALSE), VLOOKUP($A63, LS_current!$B$4:$BW$137,LS_current!BD$147, FALSE))/2)</f>
        <v>76.981375631270964</v>
      </c>
      <c r="CD63" s="102">
        <f t="array" ref="CD63">IF($BT63=0, INDEX(LS_current!$D$4:$BW$137, MATCH('Staging Table'!$A63, LS_current!$B$4:$B$137, 0), MATCH(CD$4&amp;CD$5, LS_current!$D$2:$BW$2&amp;LS_current!$D$3:$BW$3, 0)),SUM(VLOOKUP($A63, LS_current!$B$4:$BW$137, LS_current!I$147, FALSE), VLOOKUP($A63, LS_current!$B$4:$BW$137,LS_current!BE$147, FALSE))/2)</f>
        <v>116.77743750736181</v>
      </c>
      <c r="CE63" s="102">
        <f t="array" ref="CE63">IF($BT63=0, INDEX(LS_current!$D$4:$BW$137, MATCH('Staging Table'!$A63, LS_current!$B$4:$B$137, 0), MATCH(CE$4&amp;CE$5, LS_current!$D$2:$BW$2&amp;LS_current!$D$3:$BW$3, 0)),SUM(VLOOKUP($A63, LS_current!$B$4:$BW$137, LS_current!J$147, FALSE), VLOOKUP($A63, LS_current!$B$4:$BW$137,LS_current!BF$147, FALSE))/2)</f>
        <v>57.037575986442675</v>
      </c>
      <c r="CF63" s="102">
        <f t="array" ref="CF63">IF($BT63=0, INDEX(LS_current!$D$4:$BW$137, MATCH('Staging Table'!$A63, LS_current!$B$4:$B$137, 0), MATCH(CF$4&amp;CF$5, LS_current!$D$2:$BW$2&amp;LS_current!$D$3:$BW$3, 0)),SUM(VLOOKUP($A63, LS_current!$B$4:$BW$137, LS_current!K$147, FALSE), VLOOKUP($A63, LS_current!$B$4:$BW$137,LS_current!BG$147, FALSE))/2)</f>
        <v>101.78836912861374</v>
      </c>
      <c r="CG63" s="102">
        <f t="array" ref="CG63">IF($BT63=0, INDEX(LS_current!$D$4:$BW$137, MATCH('Staging Table'!$A63, LS_current!$B$4:$B$137, 0), MATCH(CG$4&amp;CG$5, LS_current!$D$2:$BW$2&amp;LS_current!$D$3:$BW$3, 0)),SUM(VLOOKUP($A63, LS_current!$B$4:$BW$137, LS_current!L$147, FALSE), VLOOKUP($A63, LS_current!$B$4:$BW$137,LS_current!BH$147, FALSE))/2)</f>
        <v>55.268150315033324</v>
      </c>
      <c r="CH63" s="102">
        <f t="array" ref="CH63">IF($BT63=0, INDEX(LS_current!$D$4:$BW$137, MATCH('Staging Table'!$A63, LS_current!$B$4:$B$137, 0), MATCH(CH$4&amp;CH$5, LS_current!$D$2:$BW$2&amp;LS_current!$D$3:$BW$3, 0)),SUM(VLOOKUP($A63, LS_current!$B$4:$BW$137, LS_current!M$147, FALSE), VLOOKUP($A63, LS_current!$B$4:$BW$137,LS_current!BI$147, FALSE))/2)</f>
        <v>80.258449288919962</v>
      </c>
      <c r="CI63" s="102">
        <f t="array" ref="CI63">IF($BT63=0, INDEX(LS_current!$D$4:$BW$137, MATCH('Staging Table'!$A63, LS_current!$B$4:$B$137, 0), MATCH(CI$4&amp;CI$5, LS_current!$D$2:$BW$2&amp;LS_current!$D$3:$BW$3, 0)),SUM(VLOOKUP($A63, LS_current!$B$4:$BW$137, LS_current!N$147, FALSE), VLOOKUP($A63, LS_current!$B$4:$BW$137,LS_current!BJ$147, FALSE))/2)</f>
        <v>1.372721953815585</v>
      </c>
      <c r="CJ63" s="102">
        <f t="array" ref="CJ63">IF($BT63=0, INDEX(LS_current!$D$4:$BW$137, MATCH('Staging Table'!$A63, LS_current!$B$4:$B$137, 0), MATCH(CJ$4&amp;CJ$5, LS_current!$D$2:$BW$2&amp;LS_current!$D$3:$BW$3, 0)),SUM(VLOOKUP($A63, LS_current!$B$4:$BW$137, LS_current!O$147, FALSE), VLOOKUP($A63, LS_current!$B$4:$BW$137,LS_current!BK$147, FALSE))/2)</f>
        <v>68.179755401245899</v>
      </c>
      <c r="CK63" s="102">
        <f t="array" ref="CK63">IF($BT63=0, INDEX(LS_current!$D$4:$BW$137, MATCH('Staging Table'!$A63, LS_current!$B$4:$B$137, 0), MATCH(CK$4&amp;CK$5, LS_current!$D$2:$BW$2&amp;LS_current!$D$3:$BW$3, 0)),SUM(VLOOKUP($A63, LS_current!$B$4:$BW$137, LS_current!P$147, FALSE), VLOOKUP($A63, LS_current!$B$4:$BW$137,LS_current!BL$147, FALSE))/2)</f>
        <v>44.606962734504265</v>
      </c>
      <c r="CL63" s="102">
        <f t="array" ref="CL63">IF($BT63=0, INDEX(LS_current!$D$4:$BW$137, MATCH('Staging Table'!$A63, LS_current!$B$4:$B$137, 0), MATCH(CL$4&amp;CL$5, LS_current!$D$2:$BW$2&amp;LS_current!$D$3:$BW$3, 0)),SUM(VLOOKUP($A63, LS_current!$B$4:$BW$137, LS_current!Q$147, FALSE), VLOOKUP($A63, LS_current!$B$4:$BW$137,LS_current!BM$147, FALSE))/2)</f>
        <v>48.477208055315756</v>
      </c>
      <c r="CM63" s="102">
        <f t="array" ref="CM63">IF($BT63=0, INDEX(LS_current!$D$4:$BW$137, MATCH('Staging Table'!$A63, LS_current!$B$4:$B$137, 0), MATCH(CM$4&amp;CM$5, LS_current!$D$2:$BW$2&amp;LS_current!$D$3:$BW$3, 0)),SUM(VLOOKUP($A63, LS_current!$B$4:$BW$137, LS_current!R$147, FALSE), VLOOKUP($A63, LS_current!$B$4:$BW$137,LS_current!BN$147, FALSE))/2)</f>
        <v>-25.88045703192418</v>
      </c>
      <c r="CN63" s="102">
        <f t="array" ref="CN63">IF($BT63=0, INDEX(LS_current!$D$4:$BW$137, MATCH('Staging Table'!$A63, LS_current!$B$4:$B$137, 0), MATCH(CN$4&amp;CN$5, LS_current!$D$2:$BW$2&amp;LS_current!$D$3:$BW$3, 0)),SUM(VLOOKUP($A63, LS_current!$B$4:$BW$137, LS_current!S$147, FALSE), VLOOKUP($A63, LS_current!$B$4:$BW$137,LS_current!BO$147, FALSE))/2)</f>
        <v>9.4059595447323829</v>
      </c>
      <c r="CO63" s="102">
        <f t="array" ref="CO63">IF($BT63=0, INDEX(LS_current!$D$4:$BW$137, MATCH('Staging Table'!$A63, LS_current!$B$4:$B$137, 0), MATCH(CO$4&amp;CO$5, LS_current!$D$2:$BW$2&amp;LS_current!$D$3:$BW$3, 0)),SUM(VLOOKUP($A63, LS_current!$B$4:$BW$137, LS_current!T$147, FALSE), VLOOKUP($A63, LS_current!$B$4:$BW$137,LS_current!BP$147, FALSE))/2)</f>
        <v>-18.802336534948864</v>
      </c>
      <c r="CP63" s="102">
        <f t="array" ref="CP63">IF($BT63=0, INDEX(LS_current!$D$4:$BW$137, MATCH('Staging Table'!$A63, LS_current!$B$4:$B$137, 0), MATCH(CP$4&amp;CP$5, LS_current!$D$2:$BW$2&amp;LS_current!$D$3:$BW$3, 0)),SUM(VLOOKUP($A63, LS_current!$B$4:$BW$137, LS_current!U$147, FALSE), VLOOKUP($A63, LS_current!$B$4:$BW$137,LS_current!BQ$147, FALSE))/2)</f>
        <v>10.373227046553438</v>
      </c>
      <c r="CQ63" s="102">
        <f t="array" ref="CQ63">IF($BT63=0, INDEX(LS_current!$D$4:$BW$137, MATCH('Staging Table'!$A63, LS_current!$B$4:$B$137, 0), MATCH(CQ$4&amp;CQ$5, LS_current!$D$2:$BW$2&amp;LS_current!$D$3:$BW$3, 0)),SUM(VLOOKUP($A63, LS_current!$B$4:$BW$137, LS_current!V$147, FALSE), VLOOKUP($A63, LS_current!$B$4:$BW$137,LS_current!BR$147, FALSE))/2)</f>
        <v>32.998581627146535</v>
      </c>
      <c r="CR63" s="102">
        <f t="array" ref="CR63">IF($BT63=0, INDEX(LS_current!$D$4:$BW$137, MATCH('Staging Table'!$A63, LS_current!$B$4:$B$137, 0), MATCH(CR$4&amp;CR$5, LS_current!$D$2:$BW$2&amp;LS_current!$D$3:$BW$3, 0)),SUM(VLOOKUP($A63, LS_current!$B$4:$BW$137, LS_current!W$147, FALSE), VLOOKUP($A63, LS_current!$B$4:$BW$137,LS_current!BS$147, FALSE))/2)</f>
        <v>33.19090819523035</v>
      </c>
      <c r="CS63" s="102">
        <f t="array" ref="CS63">IF($BT63=0, INDEX(LS_current!$D$4:$BW$137, MATCH('Staging Table'!$A63, LS_current!$B$4:$B$137, 0), MATCH(CS$4&amp;CS$5, LS_current!$D$2:$BW$2&amp;LS_current!$D$3:$BW$3, 0)),SUM(VLOOKUP($A63, LS_current!$B$4:$BW$137, LS_current!X$147, FALSE), VLOOKUP($A63, LS_current!$B$4:$BW$137,LS_current!BT$147, FALSE))/2)</f>
        <v>-3.1723617009085103</v>
      </c>
      <c r="CT63" s="102">
        <f t="array" ref="CT63">IF($BT63=0, INDEX(LS_current!$D$4:$BW$137, MATCH('Staging Table'!$A63, LS_current!$B$4:$B$137, 0), MATCH(CT$4&amp;CT$5, LS_current!$D$2:$BW$2&amp;LS_current!$D$3:$BW$3, 0)),SUM(VLOOKUP($A63, LS_current!$B$4:$BW$137, LS_current!Y$147, FALSE), VLOOKUP($A63, LS_current!$B$4:$BW$137,LS_current!BU$147, FALSE))/2)</f>
        <v>28.262163776411356</v>
      </c>
      <c r="CU63" s="102">
        <f t="array" ref="CU63">IF($BT63=0, INDEX(LS_current!$D$4:$BW$137, MATCH('Staging Table'!$A63, LS_current!$B$4:$B$137, 0), MATCH(CU$4&amp;CU$5, LS_current!$D$2:$BW$2&amp;LS_current!$D$3:$BW$3, 0)),SUM(VLOOKUP($A63, LS_current!$B$4:$BW$137, LS_current!Z$147, FALSE), VLOOKUP($A63, LS_current!$B$4:$BW$137,LS_current!BV$147, FALSE))/2)</f>
        <v>31.78390994648592</v>
      </c>
      <c r="CV63" s="102">
        <f t="array" ref="CV63">IF($BT63=0, INDEX(LS_current!$D$4:$BW$137, MATCH('Staging Table'!$A63, LS_current!$B$4:$B$137, 0), MATCH(CV$4&amp;CV$5, LS_current!$D$2:$BW$2&amp;LS_current!$D$3:$BW$3, 0)),SUM(VLOOKUP($A63, LS_current!$B$4:$BW$137, LS_current!AA$147, FALSE), VLOOKUP($A63, LS_current!$B$4:$BW$137,LS_current!BW$147, FALSE))/2)</f>
        <v>34.664187790525702</v>
      </c>
      <c r="CW63" s="103">
        <f t="array" ref="CW63">INDEX(Demand_current!$D$4:$BW$137, MATCH($A63, Demand_current!$B$4:$B$137, 0), MATCH(CW$4&amp;CW$5,Demand_current!$D$2:$BW$2&amp;Demand_current!$D$3:$BW$3, 0))/1000</f>
        <v>0.36547222222222231</v>
      </c>
      <c r="CX63" s="103">
        <f t="array" ref="CX63">INDEX(Demand_current!$D$4:$BW$137, MATCH($A63, Demand_current!$B$4:$B$137, 0), MATCH(CX$4&amp;CX$5,Demand_current!$D$2:$BW$2&amp;Demand_current!$D$3:$BW$3, 0))/1000</f>
        <v>0.2322239583333332</v>
      </c>
      <c r="CY63" s="103">
        <f t="array" ref="CY63">INDEX(Demand_current!$D$4:$BW$137, MATCH($A63, Demand_current!$B$4:$B$137, 0), MATCH(CY$4&amp;CY$5,Demand_current!$D$2:$BW$2&amp;Demand_current!$D$3:$BW$3, 0))/1000</f>
        <v>0.43846634615384622</v>
      </c>
      <c r="CZ63" s="103">
        <f t="array" ref="CZ63">INDEX(Demand_current!$D$4:$BW$137, MATCH($A63, Demand_current!$B$4:$B$137, 0), MATCH(CZ$4&amp;CZ$5,Demand_current!$D$2:$BW$2&amp;Demand_current!$D$3:$BW$3, 0))/1000</f>
        <v>0.45044230769230781</v>
      </c>
      <c r="DA63" s="103">
        <f t="array" ref="DA63">INDEX(Demand_current!$D$4:$BW$137, MATCH($A63, Demand_current!$B$4:$B$137, 0), MATCH(DA$4&amp;DA$5,Demand_current!$D$2:$BW$2&amp;Demand_current!$D$3:$BW$3, 0))/1000</f>
        <v>0.31641145833333328</v>
      </c>
      <c r="DB63" s="103">
        <f t="array" ref="DB63">INDEX(Demand_current!$D$4:$BW$137, MATCH($A63, Demand_current!$B$4:$B$137, 0), MATCH(DB$4&amp;DB$5,Demand_current!$D$2:$BW$2&amp;Demand_current!$D$3:$BW$3, 0))/1000</f>
        <v>0.34514903846153855</v>
      </c>
      <c r="DC63" s="103">
        <f t="array" ref="DC63">INDEX(Demand_current!$D$4:$BW$137, MATCH($A63, Demand_current!$B$4:$B$137, 0), MATCH(DC$4&amp;DC$5,Demand_current!$D$2:$BW$2&amp;Demand_current!$D$3:$BW$3, 0))/1000</f>
        <v>0.31273317307692305</v>
      </c>
      <c r="DD63" s="103">
        <f t="array" ref="DD63">INDEX(Demand_current!$D$4:$BW$137, MATCH($A63, Demand_current!$B$4:$B$137, 0), MATCH(DD$4&amp;DD$5,Demand_current!$D$2:$BW$2&amp;Demand_current!$D$3:$BW$3, 0))/1000</f>
        <v>0.31405499999999997</v>
      </c>
      <c r="DE63" s="103">
        <f t="array" ref="DE63">INDEX(Demand_current!$D$4:$BW$137, MATCH($A63, Demand_current!$B$4:$B$137, 0), MATCH(DE$4&amp;DE$5,Demand_current!$D$2:$BW$2&amp;Demand_current!$D$3:$BW$3, 0))/1000</f>
        <v>0.34812980769230772</v>
      </c>
      <c r="DF63" s="103">
        <f t="array" ref="DF63">INDEX(Demand_current!$D$4:$BW$137, MATCH($A63, Demand_current!$B$4:$B$137, 0), MATCH(DF$4&amp;DF$5,Demand_current!$D$2:$BW$2&amp;Demand_current!$D$3:$BW$3, 0))/1000</f>
        <v>0.32950480769230772</v>
      </c>
      <c r="DG63" s="103">
        <f t="array" ref="DG63">INDEX(Demand_current!$D$4:$BW$137, MATCH($A63, Demand_current!$B$4:$B$137, 0), MATCH(DG$4&amp;DG$5,Demand_current!$D$2:$BW$2&amp;Demand_current!$D$3:$BW$3, 0))/1000</f>
        <v>0.30943509615384612</v>
      </c>
      <c r="DH63" s="103">
        <f t="array" ref="DH63">INDEX(Demand_current!$D$4:$BW$137, MATCH($A63, Demand_current!$B$4:$B$137, 0), MATCH(DH$4&amp;DH$5,Demand_current!$D$2:$BW$2&amp;Demand_current!$D$3:$BW$3, 0))/1000</f>
        <v>0.28315250000000003</v>
      </c>
      <c r="DI63" s="102">
        <f>$BS63*(VLOOKUP(DI$4, Rates_current!$H$6:$R$41, 10, FALSE)+VLOOKUP(DI$4, Rates_current!$H$6:$R$41, 11, FALSE))</f>
        <v>297.57562154217004</v>
      </c>
      <c r="DJ63" s="102">
        <f>$BS63*(VLOOKUP(DJ$4, Rates_current!$H$6:$R$41, 10, FALSE)+VLOOKUP(DJ$4, Rates_current!$H$6:$R$41, 11, FALSE))</f>
        <v>380.44063830900404</v>
      </c>
      <c r="DK63" s="102">
        <f>$BS63*(VLOOKUP(DK$4, Rates_current!$H$6:$R$41, 10, FALSE)+VLOOKUP(DK$4, Rates_current!$H$6:$R$41, 11, FALSE))</f>
        <v>432.52918686136718</v>
      </c>
      <c r="DL63" s="102">
        <f>$BS63*(VLOOKUP(DL$4, Rates_current!$H$6:$R$41, 10, FALSE)+VLOOKUP(DL$4, Rates_current!$H$6:$R$41, 11, FALSE))</f>
        <v>456.35205488494358</v>
      </c>
      <c r="DM63" s="102">
        <f>$BS63*(VLOOKUP(DM$4, Rates_current!$H$6:$R$41, 10, FALSE)+VLOOKUP(DM$4, Rates_current!$H$6:$R$41, 11, FALSE))</f>
        <v>363.67140039604675</v>
      </c>
      <c r="DN63" s="102">
        <f>$BS63*(VLOOKUP(DN$4, Rates_current!$H$6:$R$41, 10, FALSE)+VLOOKUP(DN$4, Rates_current!$H$6:$R$41, 11, FALSE))</f>
        <v>397.56752264493844</v>
      </c>
      <c r="DO63" s="102">
        <f>$BS63*(VLOOKUP(DO$4, Rates_current!$H$6:$R$41, 10, FALSE)+VLOOKUP(DO$4, Rates_current!$H$6:$R$41, 11, FALSE))</f>
        <v>308.11882921017997</v>
      </c>
      <c r="DP63" s="102">
        <f>$BS63*(VLOOKUP(DP$4, Rates_current!$H$6:$R$41, 10, FALSE)+VLOOKUP(DP$4, Rates_current!$H$6:$R$41, 11, FALSE))</f>
        <v>398.75649748719178</v>
      </c>
      <c r="DQ63" s="102">
        <f>$BS63*(VLOOKUP(DQ$4, Rates_current!$H$6:$R$41, 10, FALSE)+VLOOKUP(DQ$4, Rates_current!$H$6:$R$41, 11, FALSE))</f>
        <v>407.27110948839544</v>
      </c>
      <c r="DR63" s="102">
        <f>$BS63*(VLOOKUP(DR$4, Rates_current!$H$6:$R$41, 10, FALSE)+VLOOKUP(DR$4, Rates_current!$H$6:$R$41, 11, FALSE))</f>
        <v>362.50651017762311</v>
      </c>
      <c r="DS63" s="102">
        <f>$BS63*(VLOOKUP(DS$4, Rates_current!$H$6:$R$41, 10, FALSE)+VLOOKUP(DS$4, Rates_current!$H$6:$R$41, 11, FALSE))</f>
        <v>371.86519792449712</v>
      </c>
      <c r="DT63" s="102">
        <f>$BS63*(VLOOKUP(DT$4, Rates_current!$H$6:$R$41, 10, FALSE)+VLOOKUP(DT$4, Rates_current!$H$6:$R$41, 11, FALSE))</f>
        <v>288.79790226298837</v>
      </c>
      <c r="DU63" s="261">
        <f>IF(D63=0,IF(C63=0,MAX(0,DW63 - (VLOOKUP($A63,TOCA_current!$A$2:$AV$136,MATCH("RHWM "&amp;Init!$D$1,TOCA_current!$A$2:$AV$2,0),FALSE)*$BS$2)), 0),0)</f>
        <v>954.81826359465413</v>
      </c>
      <c r="DV63" s="262">
        <f>MIN(VLOOKUP($A63,TOCA_current!$A$2:$AV$136,MATCH("TRL - NLSL - Existing Resource "&amp;$BS$1,TOCA_current!$A$2:$AV$2,0),FALSE)*$BS$2, VLOOKUP($A63,TOCA_current!$A$2:$AV$136,MATCH("RHWM "&amp;Init!$D$1,TOCA_current!$A$2:$AV$2,0),FALSE)*$BS$2)</f>
        <v>4467.6000000000004</v>
      </c>
      <c r="DW63" s="262">
        <f>SUM(BY63:CV63)+(BS63*RT1SC!$C$4*$BS$2)</f>
        <v>5422.4182635946545</v>
      </c>
      <c r="DX63" s="262">
        <f>VLOOKUP($A63,TOCA_current!$A$2:$AV$136,MATCH("Above RHWM Not Served with LS "&amp;$BS$1,TOCA_current!$A$2:$AV$2,0),FALSE)*$BS$2</f>
        <v>0</v>
      </c>
      <c r="DY63" s="262">
        <f t="shared" si="28"/>
        <v>954.81826359465413</v>
      </c>
      <c r="DZ63" s="262">
        <f>(VLOOKUP($A63,TOCA_current!$A$2:$AV$136,MATCH("RHWM "&amp;Init!$D$1,TOCA_current!$A$2:$AV$2,0),FALSE)*$BS$2) - $DV63</f>
        <v>0</v>
      </c>
      <c r="EA63" s="262">
        <f t="shared" si="29"/>
        <v>0</v>
      </c>
      <c r="EB63" s="262">
        <f t="shared" si="30"/>
        <v>0</v>
      </c>
      <c r="EC63" s="262">
        <f t="shared" si="31"/>
        <v>0</v>
      </c>
      <c r="ED63" s="262">
        <f t="shared" si="32"/>
        <v>0</v>
      </c>
    </row>
    <row r="64" spans="1:134">
      <c r="A64" s="2">
        <v>10177</v>
      </c>
      <c r="B64" s="3" t="s">
        <v>66</v>
      </c>
      <c r="C64">
        <f>VLOOKUP(A64, TOCA_current!$A$3:$D$136, 4, FALSE)</f>
        <v>0</v>
      </c>
      <c r="D64">
        <v>0</v>
      </c>
      <c r="E64" s="84">
        <f>VLOOKUP($A64,TOCA_previous!$A$2:$AJ$136,MATCH(E$4,TOCA_previous!$A$2:$AJ$2,0),FALSE)</f>
        <v>1.2532999999999999E-3</v>
      </c>
      <c r="F64" s="85">
        <f>VLOOKUP($A64,TOCA_previous!$A$2:$AJ$136,MATCH(F$4,TOCA_previous!$A$2:$AJ$2,0),FALSE)</f>
        <v>1.2532999999999999E-3</v>
      </c>
      <c r="G64" s="85">
        <f t="shared" si="18"/>
        <v>0</v>
      </c>
      <c r="H64" s="85">
        <f>VLOOKUP($A64,TOCA_previous!$A$2:$AJ$136,MATCH(H$4,TOCA_previous!$A$2:$AJ$2,0),FALSE)</f>
        <v>7.0000000000000007E-2</v>
      </c>
      <c r="I64" s="85">
        <f t="shared" si="19"/>
        <v>0</v>
      </c>
      <c r="J64" s="85">
        <f t="shared" si="20"/>
        <v>0</v>
      </c>
      <c r="K64" s="101">
        <f>VLOOKUP(A64, IRD!$A$5:$C$138, 3, FALSE)</f>
        <v>0</v>
      </c>
      <c r="L64" s="102">
        <f t="array" ref="L64">IF($G64=0, INDEX(LS_previous!$D$4:$AY$137, MATCH('Staging Table'!$A64, LS_previous!$B$4:$B$137, 0), MATCH(L$4&amp;L$5, LS_previous!$D$2:$AY$2&amp;LS_previous!$D$3:$AY$3, 0)),SUM(VLOOKUP($A64, LS_previous!$B$4:$AY$137, LS_previous!D$148, FALSE), VLOOKUP('Staging Table'!$A64, LS_previous!$B$4:$AY$137,LS_previous!AB$148, FALSE))/2)</f>
        <v>603.28588968119993</v>
      </c>
      <c r="M64" s="102">
        <f t="array" ref="M64">IF($G64=0, INDEX(LS_previous!$D$4:$AY$137, MATCH('Staging Table'!$A64, LS_previous!$B$4:$B$137, 0), MATCH(M$4&amp;M$5, LS_previous!$D$2:$AY$2&amp;LS_previous!$D$3:$AY$3, 0)),SUM(VLOOKUP($A64, LS_previous!$B$4:$AY$137, LS_previous!E$148, FALSE), VLOOKUP('Staging Table'!$A64, LS_previous!$B$4:$AY$137,LS_previous!AC$148, FALSE))/2)</f>
        <v>430.40535603084982</v>
      </c>
      <c r="N64" s="102">
        <f t="array" ref="N64">IF($G64=0, INDEX(LS_previous!$D$4:$AY$137, MATCH('Staging Table'!$A64, LS_previous!$B$4:$B$137, 0), MATCH(N$4&amp;N$5, LS_previous!$D$2:$AY$2&amp;LS_previous!$D$3:$AY$3, 0)),SUM(VLOOKUP($A64, LS_previous!$B$4:$AY$137, LS_previous!F$148, FALSE), VLOOKUP('Staging Table'!$A64, LS_previous!$B$4:$AY$137,LS_previous!AD$148, FALSE))/2)</f>
        <v>202.44903181759992</v>
      </c>
      <c r="O64" s="102">
        <f t="array" ref="O64">IF($G64=0, INDEX(LS_previous!$D$4:$AY$137, MATCH('Staging Table'!$A64, LS_previous!$B$4:$B$137, 0), MATCH(O$4&amp;O$5, LS_previous!$D$2:$AY$2&amp;LS_previous!$D$3:$AY$3, 0)),SUM(VLOOKUP($A64, LS_previous!$B$4:$AY$137, LS_previous!G$148, FALSE), VLOOKUP('Staging Table'!$A64, LS_previous!$B$4:$AY$137,LS_previous!AE$148, FALSE))/2)</f>
        <v>520.9893117677002</v>
      </c>
      <c r="P64" s="102">
        <f t="array" ref="P64">IF($G64=0, INDEX(LS_previous!$D$4:$AY$137, MATCH('Staging Table'!$A64, LS_previous!$B$4:$B$137, 0), MATCH(P$4&amp;P$5, LS_previous!$D$2:$AY$2&amp;LS_previous!$D$3:$AY$3, 0)),SUM(VLOOKUP($A64, LS_previous!$B$4:$AY$137, LS_previous!H$148, FALSE), VLOOKUP('Staging Table'!$A64, LS_previous!$B$4:$AY$137,LS_previous!AF$148, FALSE))/2)</f>
        <v>1178.9482233113004</v>
      </c>
      <c r="Q64" s="102">
        <f t="array" ref="Q64">IF($G64=0, INDEX(LS_previous!$D$4:$AY$137, MATCH('Staging Table'!$A64, LS_previous!$B$4:$B$137, 0), MATCH(Q$4&amp;Q$5, LS_previous!$D$2:$AY$2&amp;LS_previous!$D$3:$AY$3, 0)),SUM(VLOOKUP($A64, LS_previous!$B$4:$AY$137, LS_previous!I$148, FALSE), VLOOKUP('Staging Table'!$A64, LS_previous!$B$4:$AY$137,LS_previous!AG$148, FALSE))/2)</f>
        <v>1331.4801008031995</v>
      </c>
      <c r="R64" s="102">
        <f t="array" ref="R64">IF($G64=0, INDEX(LS_previous!$D$4:$AY$137, MATCH('Staging Table'!$A64, LS_previous!$B$4:$B$137, 0), MATCH(R$4&amp;R$5, LS_previous!$D$2:$AY$2&amp;LS_previous!$D$3:$AY$3, 0)),SUM(VLOOKUP($A64, LS_previous!$B$4:$AY$137, LS_previous!J$148, FALSE), VLOOKUP('Staging Table'!$A64, LS_previous!$B$4:$AY$137,LS_previous!AH$148, FALSE))/2)</f>
        <v>982.11257359050069</v>
      </c>
      <c r="S64" s="102">
        <f t="array" ref="S64">IF($G64=0, INDEX(LS_previous!$D$4:$AY$137, MATCH('Staging Table'!$A64, LS_previous!$B$4:$B$137, 0), MATCH(S$4&amp;S$5, LS_previous!$D$2:$AY$2&amp;LS_previous!$D$3:$AY$3, 0)),SUM(VLOOKUP($A64, LS_previous!$B$4:$AY$137, LS_previous!K$148, FALSE), VLOOKUP('Staging Table'!$A64, LS_previous!$B$4:$AY$137,LS_previous!AI$148, FALSE))/2)</f>
        <v>1352.3816082542999</v>
      </c>
      <c r="T64" s="102">
        <f t="array" ref="T64">IF($G64=0, INDEX(LS_previous!$D$4:$AY$137, MATCH('Staging Table'!$A64, LS_previous!$B$4:$B$137, 0), MATCH(T$4&amp;T$5, LS_previous!$D$2:$AY$2&amp;LS_previous!$D$3:$AY$3, 0)),SUM(VLOOKUP($A64, LS_previous!$B$4:$AY$137, LS_previous!L$148, FALSE), VLOOKUP('Staging Table'!$A64, LS_previous!$B$4:$AY$137,LS_previous!AJ$148, FALSE))/2)</f>
        <v>757.87116484930084</v>
      </c>
      <c r="U64" s="102">
        <f t="array" ref="U64">IF($G64=0, INDEX(LS_previous!$D$4:$AY$137, MATCH('Staging Table'!$A64, LS_previous!$B$4:$B$137, 0), MATCH(U$4&amp;U$5, LS_previous!$D$2:$AY$2&amp;LS_previous!$D$3:$AY$3, 0)),SUM(VLOOKUP($A64, LS_previous!$B$4:$AY$137, LS_previous!M$148, FALSE), VLOOKUP('Staging Table'!$A64, LS_previous!$B$4:$AY$137,LS_previous!AK$148, FALSE))/2)</f>
        <v>1116.4768747853</v>
      </c>
      <c r="V64" s="102">
        <f t="array" ref="V64">IF($G64=0, INDEX(LS_previous!$D$4:$AY$137, MATCH('Staging Table'!$A64, LS_previous!$B$4:$B$137, 0), MATCH(V$4&amp;V$5, LS_previous!$D$2:$AY$2&amp;LS_previous!$D$3:$AY$3, 0)),SUM(VLOOKUP($A64, LS_previous!$B$4:$AY$137, LS_previous!N$148, FALSE), VLOOKUP('Staging Table'!$A64, LS_previous!$B$4:$AY$137,LS_previous!AL$148, FALSE))/2)</f>
        <v>289.01537567710056</v>
      </c>
      <c r="W64" s="102">
        <f t="array" ref="W64">IF($G64=0, INDEX(LS_previous!$D$4:$AY$137, MATCH('Staging Table'!$A64, LS_previous!$B$4:$B$137, 0), MATCH(W$4&amp;W$5, LS_previous!$D$2:$AY$2&amp;LS_previous!$D$3:$AY$3, 0)),SUM(VLOOKUP($A64, LS_previous!$B$4:$AY$137, LS_previous!O$148, FALSE), VLOOKUP('Staging Table'!$A64, LS_previous!$B$4:$AY$137,LS_previous!AM$148, FALSE))/2)</f>
        <v>459.81458563260003</v>
      </c>
      <c r="X64" s="102">
        <f t="array" ref="X64">IF($G64=0, INDEX(LS_previous!$D$4:$AY$137, MATCH('Staging Table'!$A64, LS_previous!$B$4:$B$137, 0), MATCH(X$4&amp;X$5, LS_previous!$D$2:$AY$2&amp;LS_previous!$D$3:$AY$3, 0)),SUM(VLOOKUP($A64, LS_previous!$B$4:$AY$137, LS_previous!P$148, FALSE), VLOOKUP('Staging Table'!$A64, LS_previous!$B$4:$AY$137,LS_previous!AN$148, FALSE))/2)</f>
        <v>604.28633245925039</v>
      </c>
      <c r="Y64" s="102">
        <f t="array" ref="Y64">IF($G64=0, INDEX(LS_previous!$D$4:$AY$137, MATCH('Staging Table'!$A64, LS_previous!$B$4:$B$137, 0), MATCH(Y$4&amp;Y$5, LS_previous!$D$2:$AY$2&amp;LS_previous!$D$3:$AY$3, 0)),SUM(VLOOKUP($A64, LS_previous!$B$4:$AY$137, LS_previous!Q$148, FALSE), VLOOKUP('Staging Table'!$A64, LS_previous!$B$4:$AY$137,LS_previous!AO$148, FALSE))/2)</f>
        <v>603.12346838872554</v>
      </c>
      <c r="Z64" s="102">
        <f t="array" ref="Z64">IF($G64=0, INDEX(LS_previous!$D$4:$AY$137, MATCH('Staging Table'!$A64, LS_previous!$B$4:$B$137, 0), MATCH(Z$4&amp;Z$5, LS_previous!$D$2:$AY$2&amp;LS_previous!$D$3:$AY$3, 0)),SUM(VLOOKUP($A64, LS_previous!$B$4:$AY$137, LS_previous!R$148, FALSE), VLOOKUP('Staging Table'!$A64, LS_previous!$B$4:$AY$137,LS_previous!AP$148, FALSE))/2)</f>
        <v>-873.17205559839977</v>
      </c>
      <c r="AA64" s="102">
        <f t="array" ref="AA64">IF($G64=0, INDEX(LS_previous!$D$4:$AY$137, MATCH('Staging Table'!$A64, LS_previous!$B$4:$B$137, 0), MATCH(AA$4&amp;AA$5, LS_previous!$D$2:$AY$2&amp;LS_previous!$D$3:$AY$3, 0)),SUM(VLOOKUP($A64, LS_previous!$B$4:$AY$137, LS_previous!S$148, FALSE), VLOOKUP('Staging Table'!$A64, LS_previous!$B$4:$AY$137,LS_previous!AQ$148, FALSE))/2)</f>
        <v>-299.81577634804989</v>
      </c>
      <c r="AB64" s="102">
        <f t="array" ref="AB64">IF($G64=0, INDEX(LS_previous!$D$4:$AY$137, MATCH('Staging Table'!$A64, LS_previous!$B$4:$B$137, 0), MATCH(AB$4&amp;AB$5, LS_previous!$D$2:$AY$2&amp;LS_previous!$D$3:$AY$3, 0)),SUM(VLOOKUP($A64, LS_previous!$B$4:$AY$137, LS_previous!T$148, FALSE), VLOOKUP('Staging Table'!$A64, LS_previous!$B$4:$AY$137,LS_previous!AR$148, FALSE))/2)</f>
        <v>-1138.6669336558002</v>
      </c>
      <c r="AC64" s="102">
        <f t="array" ref="AC64">IF($G64=0, INDEX(LS_previous!$D$4:$AY$137, MATCH('Staging Table'!$A64, LS_previous!$B$4:$B$137, 0), MATCH(AC$4&amp;AC$5, LS_previous!$D$2:$AY$2&amp;LS_previous!$D$3:$AY$3, 0)),SUM(VLOOKUP($A64, LS_previous!$B$4:$AY$137, LS_previous!U$148, FALSE), VLOOKUP('Staging Table'!$A64, LS_previous!$B$4:$AY$137,LS_previous!AS$148, FALSE))/2)</f>
        <v>-488.67542580484997</v>
      </c>
      <c r="AD64" s="102">
        <f t="array" ref="AD64">IF($G64=0, INDEX(LS_previous!$D$4:$AY$137, MATCH('Staging Table'!$A64, LS_previous!$B$4:$B$137, 0), MATCH(AD$4&amp;AD$5, LS_previous!$D$2:$AY$2&amp;LS_previous!$D$3:$AY$3, 0)),SUM(VLOOKUP($A64, LS_previous!$B$4:$AY$137, LS_previous!V$148, FALSE), VLOOKUP('Staging Table'!$A64, LS_previous!$B$4:$AY$137,LS_previous!AT$148, FALSE))/2)</f>
        <v>-289.40590982119966</v>
      </c>
      <c r="AE64" s="102">
        <f t="array" ref="AE64">IF($G64=0, INDEX(LS_previous!$D$4:$AY$137, MATCH('Staging Table'!$A64, LS_previous!$B$4:$B$137, 0), MATCH(AE$4&amp;AE$5, LS_previous!$D$2:$AY$2&amp;LS_previous!$D$3:$AY$3, 0)),SUM(VLOOKUP($A64, LS_previous!$B$4:$AY$137, LS_previous!W$148, FALSE), VLOOKUP('Staging Table'!$A64, LS_previous!$B$4:$AY$137,LS_previous!AU$148, FALSE))/2)</f>
        <v>124.30813095424992</v>
      </c>
      <c r="AF64" s="102">
        <f t="array" ref="AF64">IF($G64=0, INDEX(LS_previous!$D$4:$AY$137, MATCH('Staging Table'!$A64, LS_previous!$B$4:$B$137, 0), MATCH(AF$4&amp;AF$5, LS_previous!$D$2:$AY$2&amp;LS_previous!$D$3:$AY$3, 0)),SUM(VLOOKUP($A64, LS_previous!$B$4:$AY$137, LS_previous!X$148, FALSE), VLOOKUP('Staging Table'!$A64, LS_previous!$B$4:$AY$137,LS_previous!AV$148, FALSE))/2)</f>
        <v>-284.95707194094985</v>
      </c>
      <c r="AG64" s="102">
        <f t="array" ref="AG64">IF($G64=0, INDEX(LS_previous!$D$4:$AY$137, MATCH('Staging Table'!$A64, LS_previous!$B$4:$B$137, 0), MATCH(AG$4&amp;AG$5, LS_previous!$D$2:$AY$2&amp;LS_previous!$D$3:$AY$3, 0)),SUM(VLOOKUP($A64, LS_previous!$B$4:$AY$137, LS_previous!Y$148, FALSE), VLOOKUP('Staging Table'!$A64, LS_previous!$B$4:$AY$137,LS_previous!AW$148, FALSE))/2)</f>
        <v>-21.923735476004822</v>
      </c>
      <c r="AH64" s="102">
        <f t="array" ref="AH64">IF($G64=0, INDEX(LS_previous!$D$4:$AY$137, MATCH('Staging Table'!$A64, LS_previous!$B$4:$B$137, 0), MATCH(AH$4&amp;AH$5, LS_previous!$D$2:$AY$2&amp;LS_previous!$D$3:$AY$3, 0)),SUM(VLOOKUP($A64, LS_previous!$B$4:$AY$137, LS_previous!Z$148, FALSE), VLOOKUP('Staging Table'!$A64, LS_previous!$B$4:$AY$137,LS_previous!AX$148, FALSE))/2)</f>
        <v>-230.74213880420029</v>
      </c>
      <c r="AI64" s="102">
        <f t="array" ref="AI64">IF($G64=0, INDEX(LS_previous!$D$4:$AY$137, MATCH('Staging Table'!$A64, LS_previous!$B$4:$B$137, 0), MATCH(AI$4&amp;AI$5, LS_previous!$D$2:$AY$2&amp;LS_previous!$D$3:$AY$3, 0)),SUM(VLOOKUP($A64, LS_previous!$B$4:$AY$137, LS_previous!AA$148, FALSE), VLOOKUP('Staging Table'!$A64, LS_previous!$B$4:$AY$137,LS_previous!AY$148, FALSE))/2)</f>
        <v>-41.183498043199961</v>
      </c>
      <c r="AJ64" s="103">
        <f t="array" ref="AJ64">INDEX(Demand_previous!$D$4:$AY$137, MATCH('Staging Table'!$A64, Demand_previous!$B$4:$B$137, 0), MATCH(AJ$4&amp;AJ$5,Demand_previous!$D$2:$AY$2&amp;Demand_previous!$D$3:$AY$3, 0))/1000</f>
        <v>3.0929423076923062</v>
      </c>
      <c r="AK64" s="103">
        <f t="array" ref="AK64">INDEX(Demand_previous!$D$4:$AY$137, MATCH('Staging Table'!$A64, Demand_previous!$B$4:$B$137, 0), MATCH(AK$4&amp;AK$5,Demand_previous!$D$2:$AY$2&amp;Demand_previous!$D$3:$AY$3, 0))/1000</f>
        <v>3.6894224999999983</v>
      </c>
      <c r="AL64" s="103">
        <f t="array" ref="AL64">INDEX(Demand_previous!$D$4:$AY$137, MATCH('Staging Table'!$A64, Demand_previous!$B$4:$B$137, 0), MATCH(AL$4&amp;AL$5,Demand_previous!$D$2:$AY$2&amp;Demand_previous!$D$3:$AY$3, 0))/1000</f>
        <v>4.9280674999999992</v>
      </c>
      <c r="AM64" s="103">
        <f t="array" ref="AM64">INDEX(Demand_previous!$D$4:$AY$137, MATCH('Staging Table'!$A64, Demand_previous!$B$4:$B$137, 0), MATCH(AM$4&amp;AM$5,Demand_previous!$D$2:$AY$2&amp;Demand_previous!$D$3:$AY$3, 0))/1000</f>
        <v>6.2474831730769225</v>
      </c>
      <c r="AN64" s="103">
        <f t="array" ref="AN64">INDEX(Demand_previous!$D$4:$AY$137, MATCH('Staging Table'!$A64, Demand_previous!$B$4:$B$137, 0), MATCH(AN$4&amp;AN$5,Demand_previous!$D$2:$AY$2&amp;Demand_previous!$D$3:$AY$3, 0))/1000</f>
        <v>6.5096100000000003</v>
      </c>
      <c r="AO64" s="103">
        <f t="array" ref="AO64">INDEX(Demand_previous!$D$4:$AY$137, MATCH('Staging Table'!$A64, Demand_previous!$B$4:$B$137, 0), MATCH(AO$4&amp;AO$5,Demand_previous!$D$2:$AY$2&amp;Demand_previous!$D$3:$AY$3, 0))/1000</f>
        <v>3.3485408653846149</v>
      </c>
      <c r="AP64" s="103">
        <f t="array" ref="AP64">INDEX(Demand_previous!$D$4:$AY$137, MATCH('Staging Table'!$A64, Demand_previous!$B$4:$B$137, 0), MATCH(AP$4&amp;AP$5,Demand_previous!$D$2:$AY$2&amp;Demand_previous!$D$3:$AY$3, 0))/1000</f>
        <v>4.8404807692307674</v>
      </c>
      <c r="AQ64" s="103">
        <f t="array" ref="AQ64">INDEX(Demand_previous!$D$4:$AY$137, MATCH('Staging Table'!$A64, Demand_previous!$B$4:$B$137, 0), MATCH(AQ$4&amp;AQ$5,Demand_previous!$D$2:$AY$2&amp;Demand_previous!$D$3:$AY$3, 0))/1000</f>
        <v>3.9105625000000002</v>
      </c>
      <c r="AR64" s="103">
        <f t="array" ref="AR64">INDEX(Demand_previous!$D$4:$AY$137, MATCH('Staging Table'!$A64, Demand_previous!$B$4:$B$137, 0), MATCH(AR$4&amp;AR$5,Demand_previous!$D$2:$AY$2&amp;Demand_previous!$D$3:$AY$3, 0))/1000</f>
        <v>3.7022724999999994</v>
      </c>
      <c r="AS64" s="103">
        <f t="array" ref="AS64">INDEX(Demand_previous!$D$4:$AY$137, MATCH('Staging Table'!$A64, Demand_previous!$B$4:$B$137, 0), MATCH(AS$4&amp;AS$5,Demand_previous!$D$2:$AY$2&amp;Demand_previous!$D$3:$AY$3, 0))/1000</f>
        <v>4.2155168269230776</v>
      </c>
      <c r="AT64" s="103">
        <f t="array" ref="AT64">INDEX(Demand_previous!$D$4:$AY$137, MATCH('Staging Table'!$A64, Demand_previous!$B$4:$B$137, 0), MATCH(AT$4&amp;AT$5,Demand_previous!$D$2:$AY$2&amp;Demand_previous!$D$3:$AY$3, 0))/1000</f>
        <v>5.1230879629629635</v>
      </c>
      <c r="AU64" s="103">
        <f t="array" ref="AU64">INDEX(Demand_previous!$D$4:$AY$137, MATCH('Staging Table'!$A64, Demand_previous!$B$4:$B$137, 0), MATCH(AU$4&amp;AU$5,Demand_previous!$D$2:$AY$2&amp;Demand_previous!$D$3:$AY$3, 0))/1000</f>
        <v>3.1452500000000003</v>
      </c>
      <c r="AV64" s="102">
        <f>$F64*(VLOOKUP(AV$4, Rates_previous!$G$6:$Q$29, 10, FALSE)+VLOOKUP(AV$4, Rates_previous!$G$6:$Q$29, 11, FALSE))</f>
        <v>5287.4267542879497</v>
      </c>
      <c r="AW64" s="102">
        <f>$F64*(VLOOKUP(AW$4, Rates_previous!$G$6:$Q$29, 10, FALSE)+VLOOKUP(AW$4, Rates_previous!$G$6:$Q$29, 11, FALSE))</f>
        <v>6743.2126564147002</v>
      </c>
      <c r="AX64" s="102">
        <f>$F64*(VLOOKUP(AX$4, Rates_previous!$G$6:$Q$29, 10, FALSE)+VLOOKUP(AX$4, Rates_previous!$G$6:$Q$29, 11, FALSE))</f>
        <v>7277.2606758854999</v>
      </c>
      <c r="AY64" s="102">
        <f>$F64*(VLOOKUP(AY$4, Rates_previous!$G$6:$Q$29, 10, FALSE)+VLOOKUP(AY$4, Rates_previous!$G$6:$Q$29, 11, FALSE))</f>
        <v>7562.1988181551997</v>
      </c>
      <c r="AZ64" s="102">
        <f>$F64*(VLOOKUP(AZ$4, Rates_previous!$G$6:$Q$29, 10, FALSE)+VLOOKUP(AZ$4, Rates_previous!$G$6:$Q$29, 11, FALSE))</f>
        <v>6504.4989603653994</v>
      </c>
      <c r="BA64" s="102">
        <f>$F64*(VLOOKUP(BA$4, Rates_previous!$G$6:$Q$29, 10, FALSE)+VLOOKUP(BA$4, Rates_previous!$G$6:$Q$29, 11, FALSE))</f>
        <v>7101.6250386902993</v>
      </c>
      <c r="BB64" s="102">
        <f>$F64*(VLOOKUP(BB$4, Rates_previous!$G$6:$Q$29, 10, FALSE)+VLOOKUP(BB$4, Rates_previous!$G$6:$Q$29, 11, FALSE))</f>
        <v>5605.536199152024</v>
      </c>
      <c r="BC64" s="102">
        <f>$F64*(VLOOKUP(BC$4, Rates_previous!$G$6:$Q$29, 10, FALSE)+VLOOKUP(BC$4, Rates_previous!$G$6:$Q$29, 11, FALSE))</f>
        <v>6954.4188319464502</v>
      </c>
      <c r="BD64" s="102">
        <f>$F64*(VLOOKUP(BD$4, Rates_previous!$G$6:$Q$29, 10, FALSE)+VLOOKUP(BD$4, Rates_previous!$G$6:$Q$29, 11, FALSE))</f>
        <v>7105.3123594606495</v>
      </c>
      <c r="BE64" s="102">
        <f>$F64*(VLOOKUP(BE$4, Rates_previous!$G$6:$Q$29, 10, FALSE)+VLOOKUP(BE$4, Rates_previous!$G$6:$Q$29, 11, FALSE))</f>
        <v>6168.4347788669493</v>
      </c>
      <c r="BF64" s="102">
        <f>$F64*(VLOOKUP(BF$4, Rates_previous!$G$6:$Q$29, 10, FALSE)+VLOOKUP(BF$4, Rates_previous!$G$6:$Q$29, 11, FALSE))</f>
        <v>5963.2368074169553</v>
      </c>
      <c r="BG64" s="102">
        <f>$F64*(VLOOKUP(BG$4, Rates_previous!$G$6:$Q$29, 10, FALSE)+VLOOKUP(BG$4, Rates_previous!$G$6:$Q$29, 11, FALSE))</f>
        <v>5487.3326368474</v>
      </c>
      <c r="BH64" s="103">
        <f>IF($D64=0,IF(C64=0, MAX(BJ64 - (VLOOKUP($A64,TOCA_previous!$A$2:$AJ$136,MATCH("RHWM "&amp;Init!$D$1-2,TOCA_previous!$A$2:$AJ$2,0),FALSE)*$F$2*TOCA_previous!C61),0),0), 0)</f>
        <v>0</v>
      </c>
      <c r="BI64" s="109">
        <f>MIN(VLOOKUP($A64,TOCA_previous!$A$2:$AJ$136,MATCH("TRL - NLSL - Existing Resource "&amp;$F$1,TOCA_previous!$A$2:$AJ$2,0),FALSE)*$F$2,(VLOOKUP($A64,TOCA_previous!$A$2:$AJ$136,MATCH("RHWM "&amp;Init!$D$1-2,TOCA_previous!$A$2:$AJ$2,0),FALSE)*$F$2))</f>
        <v>76043.088000000003</v>
      </c>
      <c r="BJ64" s="261">
        <f>SUM(L64:AI64)+(F64*RT1SC!$C$3*$F$2)</f>
        <v>84648.90035643852</v>
      </c>
      <c r="BK64" s="260">
        <f>VLOOKUP($A64,TOCA_previous!$A$2:$AJ$136,MATCH("Above RHWM Not Served with LS "&amp;$F$1,TOCA_previous!$A$2:$AJ$2,0),FALSE)*$F$2</f>
        <v>0</v>
      </c>
      <c r="BL64" s="261">
        <f t="shared" si="21"/>
        <v>8605.8123564385169</v>
      </c>
      <c r="BM64" s="260">
        <f>(VLOOKUP($A64,TOCA_previous!$A$2:$AJ$136,MATCH("RHWM "&amp;Init!$D$1-2,TOCA_previous!$A$2:$AJ$2,0),FALSE)*$F$2) - $BI64</f>
        <v>26422.271999999983</v>
      </c>
      <c r="BN64" s="261">
        <f t="shared" si="22"/>
        <v>-8605.8123564385169</v>
      </c>
      <c r="BO64" s="260">
        <f t="shared" si="23"/>
        <v>0</v>
      </c>
      <c r="BP64" s="261">
        <f t="shared" si="24"/>
        <v>0</v>
      </c>
      <c r="BQ64" s="260">
        <f t="shared" si="9"/>
        <v>-8605.8123564385169</v>
      </c>
      <c r="BR64" s="85">
        <f>VLOOKUP($A64,TOCA_current!$A$2:$ZZ$136,MATCH(BR$4,TOCA_current!$A$2:$ZZ$2,0),FALSE)</f>
        <v>1.3592000000000001E-3</v>
      </c>
      <c r="BS64" s="85">
        <f>VLOOKUP($A64,TOCA_current!$A$2:$ZZ$136,MATCH(BS$4,TOCA_current!$A$2:$ZZ$2,0),FALSE)</f>
        <v>1.3592000000000001E-3</v>
      </c>
      <c r="BT64" s="108">
        <f t="shared" si="25"/>
        <v>0</v>
      </c>
      <c r="BU64" s="85">
        <f>VLOOKUP($A64,TOCA_current!A61:BG195,MATCH(BU$4,TOCA_current!$A$2:$BG$2,0),FALSE)</f>
        <v>7.0000000000000007E-2</v>
      </c>
      <c r="BV64" s="85">
        <f t="shared" si="26"/>
        <v>0</v>
      </c>
      <c r="BW64" s="85">
        <f t="shared" si="27"/>
        <v>0</v>
      </c>
      <c r="BX64" s="101">
        <f>VLOOKUP($A64,IRD!$A$4:$G$138, 7, FALSE)</f>
        <v>0</v>
      </c>
      <c r="BY64" s="102">
        <f t="array" ref="BY64">IF($BT64=0, INDEX(LS_current!$D$4:$BW$137, MATCH('Staging Table'!$A64, LS_current!$B$4:$B$137, 0), MATCH(BY$4&amp;BY$5, LS_current!$D$2:$BW$2&amp;LS_current!$D$3:$BW$3, 0)),SUM(VLOOKUP($A64, LS_current!$B$4:$BW$137, LS_current!D$147, FALSE), VLOOKUP($A64, LS_current!$B$4:$BW$137,LS_current!AZ$147, FALSE))/2)</f>
        <v>287.31471758171028</v>
      </c>
      <c r="BZ64" s="102">
        <f t="array" ref="BZ64">IF($BT64=0, INDEX(LS_current!$D$4:$BW$137, MATCH('Staging Table'!$A64, LS_current!$B$4:$B$137, 0), MATCH(BZ$4&amp;BZ$5, LS_current!$D$2:$BW$2&amp;LS_current!$D$3:$BW$3, 0)),SUM(VLOOKUP($A64, LS_current!$B$4:$BW$137, LS_current!E$147, FALSE), VLOOKUP($A64, LS_current!$B$4:$BW$137,LS_current!BA$147, FALSE))/2)</f>
        <v>392.73236470395841</v>
      </c>
      <c r="CA64" s="102">
        <f t="array" ref="CA64">IF($BT64=0, INDEX(LS_current!$D$4:$BW$137, MATCH('Staging Table'!$A64, LS_current!$B$4:$B$137, 0), MATCH(CA$4&amp;CA$5, LS_current!$D$2:$BW$2&amp;LS_current!$D$3:$BW$3, 0)),SUM(VLOOKUP($A64, LS_current!$B$4:$BW$137, LS_current!F$147, FALSE), VLOOKUP($A64, LS_current!$B$4:$BW$137,LS_current!BB$147, FALSE))/2)</f>
        <v>-63.21943941801419</v>
      </c>
      <c r="CB64" s="102">
        <f t="array" ref="CB64">IF($BT64=0, INDEX(LS_current!$D$4:$BW$137, MATCH('Staging Table'!$A64, LS_current!$B$4:$B$137, 0), MATCH(CB$4&amp;CB$5, LS_current!$D$2:$BW$2&amp;LS_current!$D$3:$BW$3, 0)),SUM(VLOOKUP($A64, LS_current!$B$4:$BW$137, LS_current!G$147, FALSE), VLOOKUP($A64, LS_current!$B$4:$BW$137,LS_current!BC$147, FALSE))/2)</f>
        <v>317.94693049753596</v>
      </c>
      <c r="CC64" s="102">
        <f t="array" ref="CC64">IF($BT64=0, INDEX(LS_current!$D$4:$BW$137, MATCH('Staging Table'!$A64, LS_current!$B$4:$B$137, 0), MATCH(CC$4&amp;CC$5, LS_current!$D$2:$BW$2&amp;LS_current!$D$3:$BW$3, 0)),SUM(VLOOKUP($A64, LS_current!$B$4:$BW$137, LS_current!H$147, FALSE), VLOOKUP($A64, LS_current!$B$4:$BW$137,LS_current!BD$147, FALSE))/2)</f>
        <v>335.284522427105</v>
      </c>
      <c r="CD64" s="102">
        <f t="array" ref="CD64">IF($BT64=0, INDEX(LS_current!$D$4:$BW$137, MATCH('Staging Table'!$A64, LS_current!$B$4:$B$137, 0), MATCH(CD$4&amp;CD$5, LS_current!$D$2:$BW$2&amp;LS_current!$D$3:$BW$3, 0)),SUM(VLOOKUP($A64, LS_current!$B$4:$BW$137, LS_current!I$147, FALSE), VLOOKUP($A64, LS_current!$B$4:$BW$137,LS_current!BE$147, FALSE))/2)</f>
        <v>1253.0506312413681</v>
      </c>
      <c r="CE64" s="102">
        <f t="array" ref="CE64">IF($BT64=0, INDEX(LS_current!$D$4:$BW$137, MATCH('Staging Table'!$A64, LS_current!$B$4:$B$137, 0), MATCH(CE$4&amp;CE$5, LS_current!$D$2:$BW$2&amp;LS_current!$D$3:$BW$3, 0)),SUM(VLOOKUP($A64, LS_current!$B$4:$BW$137, LS_current!J$147, FALSE), VLOOKUP($A64, LS_current!$B$4:$BW$137,LS_current!BF$147, FALSE))/2)</f>
        <v>211.28536653797528</v>
      </c>
      <c r="CF64" s="102">
        <f t="array" ref="CF64">IF($BT64=0, INDEX(LS_current!$D$4:$BW$137, MATCH('Staging Table'!$A64, LS_current!$B$4:$B$137, 0), MATCH(CF$4&amp;CF$5, LS_current!$D$2:$BW$2&amp;LS_current!$D$3:$BW$3, 0)),SUM(VLOOKUP($A64, LS_current!$B$4:$BW$137, LS_current!K$147, FALSE), VLOOKUP($A64, LS_current!$B$4:$BW$137,LS_current!BG$147, FALSE))/2)</f>
        <v>1034.4492931605546</v>
      </c>
      <c r="CG64" s="102">
        <f t="array" ref="CG64">IF($BT64=0, INDEX(LS_current!$D$4:$BW$137, MATCH('Staging Table'!$A64, LS_current!$B$4:$B$137, 0), MATCH(CG$4&amp;CG$5, LS_current!$D$2:$BW$2&amp;LS_current!$D$3:$BW$3, 0)),SUM(VLOOKUP($A64, LS_current!$B$4:$BW$137, LS_current!L$147, FALSE), VLOOKUP($A64, LS_current!$B$4:$BW$137,LS_current!BH$147, FALSE))/2)</f>
        <v>506.74654265262598</v>
      </c>
      <c r="CH64" s="102">
        <f t="array" ref="CH64">IF($BT64=0, INDEX(LS_current!$D$4:$BW$137, MATCH('Staging Table'!$A64, LS_current!$B$4:$B$137, 0), MATCH(CH$4&amp;CH$5, LS_current!$D$2:$BW$2&amp;LS_current!$D$3:$BW$3, 0)),SUM(VLOOKUP($A64, LS_current!$B$4:$BW$137, LS_current!M$147, FALSE), VLOOKUP($A64, LS_current!$B$4:$BW$137,LS_current!BI$147, FALSE))/2)</f>
        <v>978.06743896094804</v>
      </c>
      <c r="CI64" s="102">
        <f t="array" ref="CI64">IF($BT64=0, INDEX(LS_current!$D$4:$BW$137, MATCH('Staging Table'!$A64, LS_current!$B$4:$B$137, 0), MATCH(CI$4&amp;CI$5, LS_current!$D$2:$BW$2&amp;LS_current!$D$3:$BW$3, 0)),SUM(VLOOKUP($A64, LS_current!$B$4:$BW$137, LS_current!N$147, FALSE), VLOOKUP($A64, LS_current!$B$4:$BW$137,LS_current!BJ$147, FALSE))/2)</f>
        <v>-288.76203096755762</v>
      </c>
      <c r="CJ64" s="102">
        <f t="array" ref="CJ64">IF($BT64=0, INDEX(LS_current!$D$4:$BW$137, MATCH('Staging Table'!$A64, LS_current!$B$4:$B$137, 0), MATCH(CJ$4&amp;CJ$5, LS_current!$D$2:$BW$2&amp;LS_current!$D$3:$BW$3, 0)),SUM(VLOOKUP($A64, LS_current!$B$4:$BW$137, LS_current!O$147, FALSE), VLOOKUP($A64, LS_current!$B$4:$BW$137,LS_current!BK$147, FALSE))/2)</f>
        <v>602.62321257145641</v>
      </c>
      <c r="CK64" s="102">
        <f t="array" ref="CK64">IF($BT64=0, INDEX(LS_current!$D$4:$BW$137, MATCH('Staging Table'!$A64, LS_current!$B$4:$B$137, 0), MATCH(CK$4&amp;CK$5, LS_current!$D$2:$BW$2&amp;LS_current!$D$3:$BW$3, 0)),SUM(VLOOKUP($A64, LS_current!$B$4:$BW$137, LS_current!P$147, FALSE), VLOOKUP($A64, LS_current!$B$4:$BW$137,LS_current!BL$147, FALSE))/2)</f>
        <v>419.95362550541449</v>
      </c>
      <c r="CL64" s="102">
        <f t="array" ref="CL64">IF($BT64=0, INDEX(LS_current!$D$4:$BW$137, MATCH('Staging Table'!$A64, LS_current!$B$4:$B$137, 0), MATCH(CL$4&amp;CL$5, LS_current!$D$2:$BW$2&amp;LS_current!$D$3:$BW$3, 0)),SUM(VLOOKUP($A64, LS_current!$B$4:$BW$137, LS_current!Q$147, FALSE), VLOOKUP($A64, LS_current!$B$4:$BW$137,LS_current!BM$147, FALSE))/2)</f>
        <v>552.05635409742217</v>
      </c>
      <c r="CM64" s="102">
        <f t="array" ref="CM64">IF($BT64=0, INDEX(LS_current!$D$4:$BW$137, MATCH('Staging Table'!$A64, LS_current!$B$4:$B$137, 0), MATCH(CM$4&amp;CM$5, LS_current!$D$2:$BW$2&amp;LS_current!$D$3:$BW$3, 0)),SUM(VLOOKUP($A64, LS_current!$B$4:$BW$137, LS_current!R$147, FALSE), VLOOKUP($A64, LS_current!$B$4:$BW$137,LS_current!BN$147, FALSE))/2)</f>
        <v>-1224.5450571519018</v>
      </c>
      <c r="CN64" s="102">
        <f t="array" ref="CN64">IF($BT64=0, INDEX(LS_current!$D$4:$BW$137, MATCH('Staging Table'!$A64, LS_current!$B$4:$B$137, 0), MATCH(CN$4&amp;CN$5, LS_current!$D$2:$BW$2&amp;LS_current!$D$3:$BW$3, 0)),SUM(VLOOKUP($A64, LS_current!$B$4:$BW$137, LS_current!S$147, FALSE), VLOOKUP($A64, LS_current!$B$4:$BW$137,LS_current!BO$147, FALSE))/2)</f>
        <v>-553.15687708228461</v>
      </c>
      <c r="CO64" s="102">
        <f t="array" ref="CO64">IF($BT64=0, INDEX(LS_current!$D$4:$BW$137, MATCH('Staging Table'!$A64, LS_current!$B$4:$B$137, 0), MATCH(CO$4&amp;CO$5, LS_current!$D$2:$BW$2&amp;LS_current!$D$3:$BW$3, 0)),SUM(VLOOKUP($A64, LS_current!$B$4:$BW$137, LS_current!T$147, FALSE), VLOOKUP($A64, LS_current!$B$4:$BW$137,LS_current!BP$147, FALSE))/2)</f>
        <v>-1708.7230672008723</v>
      </c>
      <c r="CP64" s="102">
        <f t="array" ref="CP64">IF($BT64=0, INDEX(LS_current!$D$4:$BW$137, MATCH('Staging Table'!$A64, LS_current!$B$4:$B$137, 0), MATCH(CP$4&amp;CP$5, LS_current!$D$2:$BW$2&amp;LS_current!$D$3:$BW$3, 0)),SUM(VLOOKUP($A64, LS_current!$B$4:$BW$137, LS_current!U$147, FALSE), VLOOKUP($A64, LS_current!$B$4:$BW$137,LS_current!BQ$147, FALSE))/2)</f>
        <v>-533.84935980926912</v>
      </c>
      <c r="CQ64" s="102">
        <f t="array" ref="CQ64">IF($BT64=0, INDEX(LS_current!$D$4:$BW$137, MATCH('Staging Table'!$A64, LS_current!$B$4:$B$137, 0), MATCH(CQ$4&amp;CQ$5, LS_current!$D$2:$BW$2&amp;LS_current!$D$3:$BW$3, 0)),SUM(VLOOKUP($A64, LS_current!$B$4:$BW$137, LS_current!V$147, FALSE), VLOOKUP($A64, LS_current!$B$4:$BW$137,LS_current!BR$147, FALSE))/2)</f>
        <v>-799.92856000533448</v>
      </c>
      <c r="CR64" s="102">
        <f t="array" ref="CR64">IF($BT64=0, INDEX(LS_current!$D$4:$BW$137, MATCH('Staging Table'!$A64, LS_current!$B$4:$B$137, 0), MATCH(CR$4&amp;CR$5, LS_current!$D$2:$BW$2&amp;LS_current!$D$3:$BW$3, 0)),SUM(VLOOKUP($A64, LS_current!$B$4:$BW$137, LS_current!W$147, FALSE), VLOOKUP($A64, LS_current!$B$4:$BW$137,LS_current!BS$147, FALSE))/2)</f>
        <v>-68.684909080096986</v>
      </c>
      <c r="CS64" s="102">
        <f t="array" ref="CS64">IF($BT64=0, INDEX(LS_current!$D$4:$BW$137, MATCH('Staging Table'!$A64, LS_current!$B$4:$B$137, 0), MATCH(CS$4&amp;CS$5, LS_current!$D$2:$BW$2&amp;LS_current!$D$3:$BW$3, 0)),SUM(VLOOKUP($A64, LS_current!$B$4:$BW$137, LS_current!X$147, FALSE), VLOOKUP($A64, LS_current!$B$4:$BW$137,LS_current!BT$147, FALSE))/2)</f>
        <v>-1187.9307255770555</v>
      </c>
      <c r="CT64" s="102">
        <f t="array" ref="CT64">IF($BT64=0, INDEX(LS_current!$D$4:$BW$137, MATCH('Staging Table'!$A64, LS_current!$B$4:$B$137, 0), MATCH(CT$4&amp;CT$5, LS_current!$D$2:$BW$2&amp;LS_current!$D$3:$BW$3, 0)),SUM(VLOOKUP($A64, LS_current!$B$4:$BW$137, LS_current!Y$147, FALSE), VLOOKUP($A64, LS_current!$B$4:$BW$137,LS_current!BU$147, FALSE))/2)</f>
        <v>-205.07418124270134</v>
      </c>
      <c r="CU64" s="102">
        <f t="array" ref="CU64">IF($BT64=0, INDEX(LS_current!$D$4:$BW$137, MATCH('Staging Table'!$A64, LS_current!$B$4:$B$137, 0), MATCH(CU$4&amp;CU$5, LS_current!$D$2:$BW$2&amp;LS_current!$D$3:$BW$3, 0)),SUM(VLOOKUP($A64, LS_current!$B$4:$BW$137, LS_current!Z$147, FALSE), VLOOKUP($A64, LS_current!$B$4:$BW$137,LS_current!BV$147, FALSE))/2)</f>
        <v>-361.01487309255754</v>
      </c>
      <c r="CV64" s="102">
        <f t="array" ref="CV64">IF($BT64=0, INDEX(LS_current!$D$4:$BW$137, MATCH('Staging Table'!$A64, LS_current!$B$4:$B$137, 0), MATCH(CV$4&amp;CV$5, LS_current!$D$2:$BW$2&amp;LS_current!$D$3:$BW$3, 0)),SUM(VLOOKUP($A64, LS_current!$B$4:$BW$137, LS_current!AA$147, FALSE), VLOOKUP($A64, LS_current!$B$4:$BW$137,LS_current!BW$147, FALSE))/2)</f>
        <v>101.74811080728796</v>
      </c>
      <c r="CW64" s="103">
        <f t="array" ref="CW64">INDEX(Demand_current!$D$4:$BW$137, MATCH($A64, Demand_current!$B$4:$B$137, 0), MATCH(CW$4&amp;CW$5,Demand_current!$D$2:$BW$2&amp;Demand_current!$D$3:$BW$3, 0))/1000</f>
        <v>3.4314629629629607</v>
      </c>
      <c r="CX64" s="103">
        <f t="array" ref="CX64">INDEX(Demand_current!$D$4:$BW$137, MATCH($A64, Demand_current!$B$4:$B$137, 0), MATCH(CX$4&amp;CX$5,Demand_current!$D$2:$BW$2&amp;Demand_current!$D$3:$BW$3, 0))/1000</f>
        <v>3.2421484374999983</v>
      </c>
      <c r="CY64" s="103">
        <f t="array" ref="CY64">INDEX(Demand_current!$D$4:$BW$137, MATCH($A64, Demand_current!$B$4:$B$137, 0), MATCH(CY$4&amp;CY$5,Demand_current!$D$2:$BW$2&amp;Demand_current!$D$3:$BW$3, 0))/1000</f>
        <v>5.4656802884615381</v>
      </c>
      <c r="CZ64" s="103">
        <f t="array" ref="CZ64">INDEX(Demand_current!$D$4:$BW$137, MATCH($A64, Demand_current!$B$4:$B$137, 0), MATCH(CZ$4&amp;CZ$5,Demand_current!$D$2:$BW$2&amp;Demand_current!$D$3:$BW$3, 0))/1000</f>
        <v>6.2474831730769225</v>
      </c>
      <c r="DA64" s="103">
        <f t="array" ref="DA64">INDEX(Demand_current!$D$4:$BW$137, MATCH($A64, Demand_current!$B$4:$B$137, 0), MATCH(DA$4&amp;DA$5,Demand_current!$D$2:$BW$2&amp;Demand_current!$D$3:$BW$3, 0))/1000</f>
        <v>5.9998437500000001</v>
      </c>
      <c r="DB64" s="103">
        <f t="array" ref="DB64">INDEX(Demand_current!$D$4:$BW$137, MATCH($A64, Demand_current!$B$4:$B$137, 0), MATCH(DB$4&amp;DB$5,Demand_current!$D$2:$BW$2&amp;Demand_current!$D$3:$BW$3, 0))/1000</f>
        <v>3.3485408653846149</v>
      </c>
      <c r="DC64" s="103">
        <f t="array" ref="DC64">INDEX(Demand_current!$D$4:$BW$137, MATCH($A64, Demand_current!$B$4:$B$137, 0), MATCH(DC$4&amp;DC$5,Demand_current!$D$2:$BW$2&amp;Demand_current!$D$3:$BW$3, 0))/1000</f>
        <v>4.8404807692307674</v>
      </c>
      <c r="DD64" s="103">
        <f t="array" ref="DD64">INDEX(Demand_current!$D$4:$BW$137, MATCH($A64, Demand_current!$B$4:$B$137, 0), MATCH(DD$4&amp;DD$5,Demand_current!$D$2:$BW$2&amp;Demand_current!$D$3:$BW$3, 0))/1000</f>
        <v>3.5881850000000002</v>
      </c>
      <c r="DE64" s="103">
        <f t="array" ref="DE64">INDEX(Demand_current!$D$4:$BW$137, MATCH($A64, Demand_current!$B$4:$B$137, 0), MATCH(DE$4&amp;DE$5,Demand_current!$D$2:$BW$2&amp;Demand_current!$D$3:$BW$3, 0))/1000</f>
        <v>4.0218004807692305</v>
      </c>
      <c r="DF64" s="103">
        <f t="array" ref="DF64">INDEX(Demand_current!$D$4:$BW$137, MATCH($A64, Demand_current!$B$4:$B$137, 0), MATCH(DF$4&amp;DF$5,Demand_current!$D$2:$BW$2&amp;Demand_current!$D$3:$BW$3, 0))/1000</f>
        <v>4.2155168269230776</v>
      </c>
      <c r="DG64" s="103">
        <f t="array" ref="DG64">INDEX(Demand_current!$D$4:$BW$137, MATCH($A64, Demand_current!$B$4:$B$137, 0), MATCH(DG$4&amp;DG$5,Demand_current!$D$2:$BW$2&amp;Demand_current!$D$3:$BW$3, 0))/1000</f>
        <v>4.8116682692307693</v>
      </c>
      <c r="DH64" s="103">
        <f t="array" ref="DH64">INDEX(Demand_current!$D$4:$BW$137, MATCH($A64, Demand_current!$B$4:$B$137, 0), MATCH(DH$4&amp;DH$5,Demand_current!$D$2:$BW$2&amp;Demand_current!$D$3:$BW$3, 0))/1000</f>
        <v>3.4626000000000006</v>
      </c>
      <c r="DI64" s="102">
        <f>$BS64*(VLOOKUP(DI$4, Rates_current!$H$6:$R$41, 10, FALSE)+VLOOKUP(DI$4, Rates_current!$H$6:$R$41, 11, FALSE))</f>
        <v>5641.0709177143317</v>
      </c>
      <c r="DJ64" s="102">
        <f>$BS64*(VLOOKUP(DJ$4, Rates_current!$H$6:$R$41, 10, FALSE)+VLOOKUP(DJ$4, Rates_current!$H$6:$R$41, 11, FALSE))</f>
        <v>7211.9235089204794</v>
      </c>
      <c r="DK64" s="102">
        <f>$BS64*(VLOOKUP(DK$4, Rates_current!$H$6:$R$41, 10, FALSE)+VLOOKUP(DK$4, Rates_current!$H$6:$R$41, 11, FALSE))</f>
        <v>8199.3538463315253</v>
      </c>
      <c r="DL64" s="102">
        <f>$BS64*(VLOOKUP(DL$4, Rates_current!$H$6:$R$41, 10, FALSE)+VLOOKUP(DL$4, Rates_current!$H$6:$R$41, 11, FALSE))</f>
        <v>8650.9583403014694</v>
      </c>
      <c r="DM64" s="102">
        <f>$BS64*(VLOOKUP(DM$4, Rates_current!$H$6:$R$41, 10, FALSE)+VLOOKUP(DM$4, Rates_current!$H$6:$R$41, 11, FALSE))</f>
        <v>6894.0330183864271</v>
      </c>
      <c r="DN64" s="102">
        <f>$BS64*(VLOOKUP(DN$4, Rates_current!$H$6:$R$41, 10, FALSE)+VLOOKUP(DN$4, Rates_current!$H$6:$R$41, 11, FALSE))</f>
        <v>7536.5938183960998</v>
      </c>
      <c r="DO64" s="102">
        <f>$BS64*(VLOOKUP(DO$4, Rates_current!$H$6:$R$41, 10, FALSE)+VLOOKUP(DO$4, Rates_current!$H$6:$R$41, 11, FALSE))</f>
        <v>5840.9360203971637</v>
      </c>
      <c r="DP64" s="102">
        <f>$BS64*(VLOOKUP(DP$4, Rates_current!$H$6:$R$41, 10, FALSE)+VLOOKUP(DP$4, Rates_current!$H$6:$R$41, 11, FALSE))</f>
        <v>7559.132934234186</v>
      </c>
      <c r="DQ64" s="102">
        <f>$BS64*(VLOOKUP(DQ$4, Rates_current!$H$6:$R$41, 10, FALSE)+VLOOKUP(DQ$4, Rates_current!$H$6:$R$41, 11, FALSE))</f>
        <v>7720.5424270101412</v>
      </c>
      <c r="DR64" s="102">
        <f>$BS64*(VLOOKUP(DR$4, Rates_current!$H$6:$R$41, 10, FALSE)+VLOOKUP(DR$4, Rates_current!$H$6:$R$41, 11, FALSE))</f>
        <v>6871.950469085431</v>
      </c>
      <c r="DS64" s="102">
        <f>$BS64*(VLOOKUP(DS$4, Rates_current!$H$6:$R$41, 10, FALSE)+VLOOKUP(DS$4, Rates_current!$H$6:$R$41, 11, FALSE))</f>
        <v>7049.3609068197575</v>
      </c>
      <c r="DT64" s="102">
        <f>$BS64*(VLOOKUP(DT$4, Rates_current!$H$6:$R$41, 10, FALSE)+VLOOKUP(DT$4, Rates_current!$H$6:$R$41, 11, FALSE))</f>
        <v>5474.6737622852697</v>
      </c>
      <c r="DU64" s="261">
        <f>IF(D64=0,IF(C64=0,MAX(0,DW64 - (VLOOKUP($A64,TOCA_current!$A$2:$AV$136,MATCH("RHWM "&amp;Init!$D$1,TOCA_current!$A$2:$AV$2,0),FALSE)*$BS$2)), 0),0)</f>
        <v>0</v>
      </c>
      <c r="DV64" s="262">
        <f>MIN(VLOOKUP($A64,TOCA_current!$A$2:$AV$136,MATCH("TRL - NLSL - Existing Resource "&amp;$BS$1,TOCA_current!$A$2:$AV$2,0),FALSE)*$BS$2, VLOOKUP($A64,TOCA_current!$A$2:$AV$136,MATCH("RHWM "&amp;Init!$D$1,TOCA_current!$A$2:$AV$2,0),FALSE)*$BS$2)</f>
        <v>84647.88</v>
      </c>
      <c r="DW64" s="262">
        <f>SUM(BY64:CV64)+(BS64*RT1SC!$C$4*$BS$2)</f>
        <v>84648.904996901736</v>
      </c>
      <c r="DX64" s="262">
        <f>VLOOKUP($A64,TOCA_current!$A$2:$AV$136,MATCH("Above RHWM Not Served with LS "&amp;$BS$1,TOCA_current!$A$2:$AV$2,0),FALSE)*$BS$2</f>
        <v>0</v>
      </c>
      <c r="DY64" s="262">
        <f t="shared" si="28"/>
        <v>1.024996901731356</v>
      </c>
      <c r="DZ64" s="262">
        <f>(VLOOKUP($A64,TOCA_current!$A$2:$AV$136,MATCH("RHWM "&amp;Init!$D$1,TOCA_current!$A$2:$AV$2,0),FALSE)*$BS$2) - $DV64</f>
        <v>18124.439999999988</v>
      </c>
      <c r="EA64" s="262">
        <f t="shared" si="29"/>
        <v>-1.024996901731356</v>
      </c>
      <c r="EB64" s="262">
        <f t="shared" si="30"/>
        <v>0</v>
      </c>
      <c r="EC64" s="262">
        <f t="shared" si="31"/>
        <v>0</v>
      </c>
      <c r="ED64" s="262">
        <f t="shared" si="32"/>
        <v>-1.024996901731356</v>
      </c>
    </row>
    <row r="65" spans="1:134">
      <c r="A65" s="2">
        <v>10179</v>
      </c>
      <c r="B65" s="3" t="s">
        <v>67</v>
      </c>
      <c r="C65">
        <f>VLOOKUP(A65, TOCA_current!$A$3:$D$136, 4, FALSE)</f>
        <v>1</v>
      </c>
      <c r="D65">
        <v>0</v>
      </c>
      <c r="E65" s="84">
        <f>VLOOKUP($A65,TOCA_previous!$A$2:$AJ$136,MATCH(E$4,TOCA_previous!$A$2:$AJ$2,0),FALSE)</f>
        <v>2.4150899999999999E-2</v>
      </c>
      <c r="F65" s="85">
        <f>VLOOKUP($A65,TOCA_previous!$A$2:$AJ$136,MATCH(F$4,TOCA_previous!$A$2:$AJ$2,0),FALSE)</f>
        <v>2.4150899999999999E-2</v>
      </c>
      <c r="G65" s="85">
        <f t="shared" si="18"/>
        <v>0</v>
      </c>
      <c r="H65" s="85">
        <f>VLOOKUP($A65,TOCA_previous!$A$2:$AJ$136,MATCH(H$4,TOCA_previous!$A$2:$AJ$2,0),FALSE)</f>
        <v>0</v>
      </c>
      <c r="I65" s="85">
        <f t="shared" si="19"/>
        <v>0</v>
      </c>
      <c r="J65" s="85">
        <f t="shared" si="20"/>
        <v>2.4150899999999999E-2</v>
      </c>
      <c r="K65" s="101">
        <f>VLOOKUP(A65, IRD!$A$5:$C$138, 3, FALSE)</f>
        <v>0</v>
      </c>
      <c r="L65" s="102">
        <f t="array" ref="L65">IF($G65=0, INDEX(LS_previous!$D$4:$AY$137, MATCH('Staging Table'!$A65, LS_previous!$B$4:$B$137, 0), MATCH(L$4&amp;L$5, LS_previous!$D$2:$AY$2&amp;LS_previous!$D$3:$AY$3, 0)),SUM(VLOOKUP($A65, LS_previous!$B$4:$AY$137, LS_previous!D$148, FALSE), VLOOKUP('Staging Table'!$A65, LS_previous!$B$4:$AY$137,LS_previous!AB$148, FALSE))/2)</f>
        <v>0</v>
      </c>
      <c r="M65" s="102">
        <f t="array" ref="M65">IF($G65=0, INDEX(LS_previous!$D$4:$AY$137, MATCH('Staging Table'!$A65, LS_previous!$B$4:$B$137, 0), MATCH(M$4&amp;M$5, LS_previous!$D$2:$AY$2&amp;LS_previous!$D$3:$AY$3, 0)),SUM(VLOOKUP($A65, LS_previous!$B$4:$AY$137, LS_previous!E$148, FALSE), VLOOKUP('Staging Table'!$A65, LS_previous!$B$4:$AY$137,LS_previous!AC$148, FALSE))/2)</f>
        <v>0</v>
      </c>
      <c r="N65" s="102">
        <f t="array" ref="N65">IF($G65=0, INDEX(LS_previous!$D$4:$AY$137, MATCH('Staging Table'!$A65, LS_previous!$B$4:$B$137, 0), MATCH(N$4&amp;N$5, LS_previous!$D$2:$AY$2&amp;LS_previous!$D$3:$AY$3, 0)),SUM(VLOOKUP($A65, LS_previous!$B$4:$AY$137, LS_previous!F$148, FALSE), VLOOKUP('Staging Table'!$A65, LS_previous!$B$4:$AY$137,LS_previous!AD$148, FALSE))/2)</f>
        <v>0</v>
      </c>
      <c r="O65" s="102">
        <f t="array" ref="O65">IF($G65=0, INDEX(LS_previous!$D$4:$AY$137, MATCH('Staging Table'!$A65, LS_previous!$B$4:$B$137, 0), MATCH(O$4&amp;O$5, LS_previous!$D$2:$AY$2&amp;LS_previous!$D$3:$AY$3, 0)),SUM(VLOOKUP($A65, LS_previous!$B$4:$AY$137, LS_previous!G$148, FALSE), VLOOKUP('Staging Table'!$A65, LS_previous!$B$4:$AY$137,LS_previous!AE$148, FALSE))/2)</f>
        <v>0</v>
      </c>
      <c r="P65" s="102">
        <f t="array" ref="P65">IF($G65=0, INDEX(LS_previous!$D$4:$AY$137, MATCH('Staging Table'!$A65, LS_previous!$B$4:$B$137, 0), MATCH(P$4&amp;P$5, LS_previous!$D$2:$AY$2&amp;LS_previous!$D$3:$AY$3, 0)),SUM(VLOOKUP($A65, LS_previous!$B$4:$AY$137, LS_previous!H$148, FALSE), VLOOKUP('Staging Table'!$A65, LS_previous!$B$4:$AY$137,LS_previous!AF$148, FALSE))/2)</f>
        <v>0</v>
      </c>
      <c r="Q65" s="102">
        <f t="array" ref="Q65">IF($G65=0, INDEX(LS_previous!$D$4:$AY$137, MATCH('Staging Table'!$A65, LS_previous!$B$4:$B$137, 0), MATCH(Q$4&amp;Q$5, LS_previous!$D$2:$AY$2&amp;LS_previous!$D$3:$AY$3, 0)),SUM(VLOOKUP($A65, LS_previous!$B$4:$AY$137, LS_previous!I$148, FALSE), VLOOKUP('Staging Table'!$A65, LS_previous!$B$4:$AY$137,LS_previous!AG$148, FALSE))/2)</f>
        <v>0</v>
      </c>
      <c r="R65" s="102">
        <f t="array" ref="R65">IF($G65=0, INDEX(LS_previous!$D$4:$AY$137, MATCH('Staging Table'!$A65, LS_previous!$B$4:$B$137, 0), MATCH(R$4&amp;R$5, LS_previous!$D$2:$AY$2&amp;LS_previous!$D$3:$AY$3, 0)),SUM(VLOOKUP($A65, LS_previous!$B$4:$AY$137, LS_previous!J$148, FALSE), VLOOKUP('Staging Table'!$A65, LS_previous!$B$4:$AY$137,LS_previous!AH$148, FALSE))/2)</f>
        <v>0</v>
      </c>
      <c r="S65" s="102">
        <f t="array" ref="S65">IF($G65=0, INDEX(LS_previous!$D$4:$AY$137, MATCH('Staging Table'!$A65, LS_previous!$B$4:$B$137, 0), MATCH(S$4&amp;S$5, LS_previous!$D$2:$AY$2&amp;LS_previous!$D$3:$AY$3, 0)),SUM(VLOOKUP($A65, LS_previous!$B$4:$AY$137, LS_previous!K$148, FALSE), VLOOKUP('Staging Table'!$A65, LS_previous!$B$4:$AY$137,LS_previous!AI$148, FALSE))/2)</f>
        <v>0</v>
      </c>
      <c r="T65" s="102">
        <f t="array" ref="T65">IF($G65=0, INDEX(LS_previous!$D$4:$AY$137, MATCH('Staging Table'!$A65, LS_previous!$B$4:$B$137, 0), MATCH(T$4&amp;T$5, LS_previous!$D$2:$AY$2&amp;LS_previous!$D$3:$AY$3, 0)),SUM(VLOOKUP($A65, LS_previous!$B$4:$AY$137, LS_previous!L$148, FALSE), VLOOKUP('Staging Table'!$A65, LS_previous!$B$4:$AY$137,LS_previous!AJ$148, FALSE))/2)</f>
        <v>0</v>
      </c>
      <c r="U65" s="102">
        <f t="array" ref="U65">IF($G65=0, INDEX(LS_previous!$D$4:$AY$137, MATCH('Staging Table'!$A65, LS_previous!$B$4:$B$137, 0), MATCH(U$4&amp;U$5, LS_previous!$D$2:$AY$2&amp;LS_previous!$D$3:$AY$3, 0)),SUM(VLOOKUP($A65, LS_previous!$B$4:$AY$137, LS_previous!M$148, FALSE), VLOOKUP('Staging Table'!$A65, LS_previous!$B$4:$AY$137,LS_previous!AK$148, FALSE))/2)</f>
        <v>0</v>
      </c>
      <c r="V65" s="102">
        <f t="array" ref="V65">IF($G65=0, INDEX(LS_previous!$D$4:$AY$137, MATCH('Staging Table'!$A65, LS_previous!$B$4:$B$137, 0), MATCH(V$4&amp;V$5, LS_previous!$D$2:$AY$2&amp;LS_previous!$D$3:$AY$3, 0)),SUM(VLOOKUP($A65, LS_previous!$B$4:$AY$137, LS_previous!N$148, FALSE), VLOOKUP('Staging Table'!$A65, LS_previous!$B$4:$AY$137,LS_previous!AL$148, FALSE))/2)</f>
        <v>0</v>
      </c>
      <c r="W65" s="102">
        <f t="array" ref="W65">IF($G65=0, INDEX(LS_previous!$D$4:$AY$137, MATCH('Staging Table'!$A65, LS_previous!$B$4:$B$137, 0), MATCH(W$4&amp;W$5, LS_previous!$D$2:$AY$2&amp;LS_previous!$D$3:$AY$3, 0)),SUM(VLOOKUP($A65, LS_previous!$B$4:$AY$137, LS_previous!O$148, FALSE), VLOOKUP('Staging Table'!$A65, LS_previous!$B$4:$AY$137,LS_previous!AM$148, FALSE))/2)</f>
        <v>0</v>
      </c>
      <c r="X65" s="102">
        <f t="array" ref="X65">IF($G65=0, INDEX(LS_previous!$D$4:$AY$137, MATCH('Staging Table'!$A65, LS_previous!$B$4:$B$137, 0), MATCH(X$4&amp;X$5, LS_previous!$D$2:$AY$2&amp;LS_previous!$D$3:$AY$3, 0)),SUM(VLOOKUP($A65, LS_previous!$B$4:$AY$137, LS_previous!P$148, FALSE), VLOOKUP('Staging Table'!$A65, LS_previous!$B$4:$AY$137,LS_previous!AN$148, FALSE))/2)</f>
        <v>0</v>
      </c>
      <c r="Y65" s="102">
        <f t="array" ref="Y65">IF($G65=0, INDEX(LS_previous!$D$4:$AY$137, MATCH('Staging Table'!$A65, LS_previous!$B$4:$B$137, 0), MATCH(Y$4&amp;Y$5, LS_previous!$D$2:$AY$2&amp;LS_previous!$D$3:$AY$3, 0)),SUM(VLOOKUP($A65, LS_previous!$B$4:$AY$137, LS_previous!Q$148, FALSE), VLOOKUP('Staging Table'!$A65, LS_previous!$B$4:$AY$137,LS_previous!AO$148, FALSE))/2)</f>
        <v>0</v>
      </c>
      <c r="Z65" s="102">
        <f t="array" ref="Z65">IF($G65=0, INDEX(LS_previous!$D$4:$AY$137, MATCH('Staging Table'!$A65, LS_previous!$B$4:$B$137, 0), MATCH(Z$4&amp;Z$5, LS_previous!$D$2:$AY$2&amp;LS_previous!$D$3:$AY$3, 0)),SUM(VLOOKUP($A65, LS_previous!$B$4:$AY$137, LS_previous!R$148, FALSE), VLOOKUP('Staging Table'!$A65, LS_previous!$B$4:$AY$137,LS_previous!AP$148, FALSE))/2)</f>
        <v>0</v>
      </c>
      <c r="AA65" s="102">
        <f t="array" ref="AA65">IF($G65=0, INDEX(LS_previous!$D$4:$AY$137, MATCH('Staging Table'!$A65, LS_previous!$B$4:$B$137, 0), MATCH(AA$4&amp;AA$5, LS_previous!$D$2:$AY$2&amp;LS_previous!$D$3:$AY$3, 0)),SUM(VLOOKUP($A65, LS_previous!$B$4:$AY$137, LS_previous!S$148, FALSE), VLOOKUP('Staging Table'!$A65, LS_previous!$B$4:$AY$137,LS_previous!AQ$148, FALSE))/2)</f>
        <v>0</v>
      </c>
      <c r="AB65" s="102">
        <f t="array" ref="AB65">IF($G65=0, INDEX(LS_previous!$D$4:$AY$137, MATCH('Staging Table'!$A65, LS_previous!$B$4:$B$137, 0), MATCH(AB$4&amp;AB$5, LS_previous!$D$2:$AY$2&amp;LS_previous!$D$3:$AY$3, 0)),SUM(VLOOKUP($A65, LS_previous!$B$4:$AY$137, LS_previous!T$148, FALSE), VLOOKUP('Staging Table'!$A65, LS_previous!$B$4:$AY$137,LS_previous!AR$148, FALSE))/2)</f>
        <v>0</v>
      </c>
      <c r="AC65" s="102">
        <f t="array" ref="AC65">IF($G65=0, INDEX(LS_previous!$D$4:$AY$137, MATCH('Staging Table'!$A65, LS_previous!$B$4:$B$137, 0), MATCH(AC$4&amp;AC$5, LS_previous!$D$2:$AY$2&amp;LS_previous!$D$3:$AY$3, 0)),SUM(VLOOKUP($A65, LS_previous!$B$4:$AY$137, LS_previous!U$148, FALSE), VLOOKUP('Staging Table'!$A65, LS_previous!$B$4:$AY$137,LS_previous!AS$148, FALSE))/2)</f>
        <v>0</v>
      </c>
      <c r="AD65" s="102">
        <f t="array" ref="AD65">IF($G65=0, INDEX(LS_previous!$D$4:$AY$137, MATCH('Staging Table'!$A65, LS_previous!$B$4:$B$137, 0), MATCH(AD$4&amp;AD$5, LS_previous!$D$2:$AY$2&amp;LS_previous!$D$3:$AY$3, 0)),SUM(VLOOKUP($A65, LS_previous!$B$4:$AY$137, LS_previous!V$148, FALSE), VLOOKUP('Staging Table'!$A65, LS_previous!$B$4:$AY$137,LS_previous!AT$148, FALSE))/2)</f>
        <v>0</v>
      </c>
      <c r="AE65" s="102">
        <f t="array" ref="AE65">IF($G65=0, INDEX(LS_previous!$D$4:$AY$137, MATCH('Staging Table'!$A65, LS_previous!$B$4:$B$137, 0), MATCH(AE$4&amp;AE$5, LS_previous!$D$2:$AY$2&amp;LS_previous!$D$3:$AY$3, 0)),SUM(VLOOKUP($A65, LS_previous!$B$4:$AY$137, LS_previous!W$148, FALSE), VLOOKUP('Staging Table'!$A65, LS_previous!$B$4:$AY$137,LS_previous!AU$148, FALSE))/2)</f>
        <v>0</v>
      </c>
      <c r="AF65" s="102">
        <f t="array" ref="AF65">IF($G65=0, INDEX(LS_previous!$D$4:$AY$137, MATCH('Staging Table'!$A65, LS_previous!$B$4:$B$137, 0), MATCH(AF$4&amp;AF$5, LS_previous!$D$2:$AY$2&amp;LS_previous!$D$3:$AY$3, 0)),SUM(VLOOKUP($A65, LS_previous!$B$4:$AY$137, LS_previous!X$148, FALSE), VLOOKUP('Staging Table'!$A65, LS_previous!$B$4:$AY$137,LS_previous!AV$148, FALSE))/2)</f>
        <v>0</v>
      </c>
      <c r="AG65" s="102">
        <f t="array" ref="AG65">IF($G65=0, INDEX(LS_previous!$D$4:$AY$137, MATCH('Staging Table'!$A65, LS_previous!$B$4:$B$137, 0), MATCH(AG$4&amp;AG$5, LS_previous!$D$2:$AY$2&amp;LS_previous!$D$3:$AY$3, 0)),SUM(VLOOKUP($A65, LS_previous!$B$4:$AY$137, LS_previous!Y$148, FALSE), VLOOKUP('Staging Table'!$A65, LS_previous!$B$4:$AY$137,LS_previous!AW$148, FALSE))/2)</f>
        <v>0</v>
      </c>
      <c r="AH65" s="102">
        <f t="array" ref="AH65">IF($G65=0, INDEX(LS_previous!$D$4:$AY$137, MATCH('Staging Table'!$A65, LS_previous!$B$4:$B$137, 0), MATCH(AH$4&amp;AH$5, LS_previous!$D$2:$AY$2&amp;LS_previous!$D$3:$AY$3, 0)),SUM(VLOOKUP($A65, LS_previous!$B$4:$AY$137, LS_previous!Z$148, FALSE), VLOOKUP('Staging Table'!$A65, LS_previous!$B$4:$AY$137,LS_previous!AX$148, FALSE))/2)</f>
        <v>0</v>
      </c>
      <c r="AI65" s="102">
        <f t="array" ref="AI65">IF($G65=0, INDEX(LS_previous!$D$4:$AY$137, MATCH('Staging Table'!$A65, LS_previous!$B$4:$B$137, 0), MATCH(AI$4&amp;AI$5, LS_previous!$D$2:$AY$2&amp;LS_previous!$D$3:$AY$3, 0)),SUM(VLOOKUP($A65, LS_previous!$B$4:$AY$137, LS_previous!AA$148, FALSE), VLOOKUP('Staging Table'!$A65, LS_previous!$B$4:$AY$137,LS_previous!AY$148, FALSE))/2)</f>
        <v>0</v>
      </c>
      <c r="AJ65" s="103">
        <f t="array" ref="AJ65">INDEX(Demand_previous!$D$4:$AY$137, MATCH('Staging Table'!$A65, Demand_previous!$B$4:$B$137, 0), MATCH(AJ$4&amp;AJ$5,Demand_previous!$D$2:$AY$2&amp;Demand_previous!$D$3:$AY$3, 0))/1000</f>
        <v>0</v>
      </c>
      <c r="AK65" s="103">
        <f t="array" ref="AK65">INDEX(Demand_previous!$D$4:$AY$137, MATCH('Staging Table'!$A65, Demand_previous!$B$4:$B$137, 0), MATCH(AK$4&amp;AK$5,Demand_previous!$D$2:$AY$2&amp;Demand_previous!$D$3:$AY$3, 0))/1000</f>
        <v>0</v>
      </c>
      <c r="AL65" s="103">
        <f t="array" ref="AL65">INDEX(Demand_previous!$D$4:$AY$137, MATCH('Staging Table'!$A65, Demand_previous!$B$4:$B$137, 0), MATCH(AL$4&amp;AL$5,Demand_previous!$D$2:$AY$2&amp;Demand_previous!$D$3:$AY$3, 0))/1000</f>
        <v>0</v>
      </c>
      <c r="AM65" s="103">
        <f t="array" ref="AM65">INDEX(Demand_previous!$D$4:$AY$137, MATCH('Staging Table'!$A65, Demand_previous!$B$4:$B$137, 0), MATCH(AM$4&amp;AM$5,Demand_previous!$D$2:$AY$2&amp;Demand_previous!$D$3:$AY$3, 0))/1000</f>
        <v>0</v>
      </c>
      <c r="AN65" s="103">
        <f t="array" ref="AN65">INDEX(Demand_previous!$D$4:$AY$137, MATCH('Staging Table'!$A65, Demand_previous!$B$4:$B$137, 0), MATCH(AN$4&amp;AN$5,Demand_previous!$D$2:$AY$2&amp;Demand_previous!$D$3:$AY$3, 0))/1000</f>
        <v>0</v>
      </c>
      <c r="AO65" s="103">
        <f t="array" ref="AO65">INDEX(Demand_previous!$D$4:$AY$137, MATCH('Staging Table'!$A65, Demand_previous!$B$4:$B$137, 0), MATCH(AO$4&amp;AO$5,Demand_previous!$D$2:$AY$2&amp;Demand_previous!$D$3:$AY$3, 0))/1000</f>
        <v>0</v>
      </c>
      <c r="AP65" s="103">
        <f t="array" ref="AP65">INDEX(Demand_previous!$D$4:$AY$137, MATCH('Staging Table'!$A65, Demand_previous!$B$4:$B$137, 0), MATCH(AP$4&amp;AP$5,Demand_previous!$D$2:$AY$2&amp;Demand_previous!$D$3:$AY$3, 0))/1000</f>
        <v>0</v>
      </c>
      <c r="AQ65" s="103">
        <f t="array" ref="AQ65">INDEX(Demand_previous!$D$4:$AY$137, MATCH('Staging Table'!$A65, Demand_previous!$B$4:$B$137, 0), MATCH(AQ$4&amp;AQ$5,Demand_previous!$D$2:$AY$2&amp;Demand_previous!$D$3:$AY$3, 0))/1000</f>
        <v>0</v>
      </c>
      <c r="AR65" s="103">
        <f t="array" ref="AR65">INDEX(Demand_previous!$D$4:$AY$137, MATCH('Staging Table'!$A65, Demand_previous!$B$4:$B$137, 0), MATCH(AR$4&amp;AR$5,Demand_previous!$D$2:$AY$2&amp;Demand_previous!$D$3:$AY$3, 0))/1000</f>
        <v>0</v>
      </c>
      <c r="AS65" s="103">
        <f t="array" ref="AS65">INDEX(Demand_previous!$D$4:$AY$137, MATCH('Staging Table'!$A65, Demand_previous!$B$4:$B$137, 0), MATCH(AS$4&amp;AS$5,Demand_previous!$D$2:$AY$2&amp;Demand_previous!$D$3:$AY$3, 0))/1000</f>
        <v>0</v>
      </c>
      <c r="AT65" s="103">
        <f t="array" ref="AT65">INDEX(Demand_previous!$D$4:$AY$137, MATCH('Staging Table'!$A65, Demand_previous!$B$4:$B$137, 0), MATCH(AT$4&amp;AT$5,Demand_previous!$D$2:$AY$2&amp;Demand_previous!$D$3:$AY$3, 0))/1000</f>
        <v>0</v>
      </c>
      <c r="AU65" s="103">
        <f t="array" ref="AU65">INDEX(Demand_previous!$D$4:$AY$137, MATCH('Staging Table'!$A65, Demand_previous!$B$4:$B$137, 0), MATCH(AU$4&amp;AU$5,Demand_previous!$D$2:$AY$2&amp;Demand_previous!$D$3:$AY$3, 0))/1000</f>
        <v>0</v>
      </c>
      <c r="AV65" s="102">
        <f>$F65*(VLOOKUP(AV$4, Rates_previous!$G$6:$Q$29, 10, FALSE)+VLOOKUP(AV$4, Rates_previous!$G$6:$Q$29, 11, FALSE))</f>
        <v>101887.90776361035</v>
      </c>
      <c r="AW65" s="102">
        <f>$F65*(VLOOKUP(AW$4, Rates_previous!$G$6:$Q$29, 10, FALSE)+VLOOKUP(AW$4, Rates_previous!$G$6:$Q$29, 11, FALSE))</f>
        <v>129940.68023921312</v>
      </c>
      <c r="AX65" s="102">
        <f>$F65*(VLOOKUP(AX$4, Rates_previous!$G$6:$Q$29, 10, FALSE)+VLOOKUP(AX$4, Rates_previous!$G$6:$Q$29, 11, FALSE))</f>
        <v>140231.7041867415</v>
      </c>
      <c r="AY65" s="102">
        <f>$F65*(VLOOKUP(AY$4, Rates_previous!$G$6:$Q$29, 10, FALSE)+VLOOKUP(AY$4, Rates_previous!$G$6:$Q$29, 11, FALSE))</f>
        <v>145722.41876436959</v>
      </c>
      <c r="AZ65" s="102">
        <f>$F65*(VLOOKUP(AZ$4, Rates_previous!$G$6:$Q$29, 10, FALSE)+VLOOKUP(AZ$4, Rates_previous!$G$6:$Q$29, 11, FALSE))</f>
        <v>125340.70369575419</v>
      </c>
      <c r="BA65" s="102">
        <f>$F65*(VLOOKUP(BA$4, Rates_previous!$G$6:$Q$29, 10, FALSE)+VLOOKUP(BA$4, Rates_previous!$G$6:$Q$29, 11, FALSE))</f>
        <v>136847.2322244519</v>
      </c>
      <c r="BB65" s="102">
        <f>$F65*(VLOOKUP(BB$4, Rates_previous!$G$6:$Q$29, 10, FALSE)+VLOOKUP(BB$4, Rates_previous!$G$6:$Q$29, 11, FALSE))</f>
        <v>108017.82828700282</v>
      </c>
      <c r="BC65" s="102">
        <f>$F65*(VLOOKUP(BC$4, Rates_previous!$G$6:$Q$29, 10, FALSE)+VLOOKUP(BC$4, Rates_previous!$G$6:$Q$29, 11, FALSE))</f>
        <v>134010.59105438084</v>
      </c>
      <c r="BD65" s="102">
        <f>$F65*(VLOOKUP(BD$4, Rates_previous!$G$6:$Q$29, 10, FALSE)+VLOOKUP(BD$4, Rates_previous!$G$6:$Q$29, 11, FALSE))</f>
        <v>136918.28633375742</v>
      </c>
      <c r="BE65" s="102">
        <f>$F65*(VLOOKUP(BE$4, Rates_previous!$G$6:$Q$29, 10, FALSE)+VLOOKUP(BE$4, Rates_previous!$G$6:$Q$29, 11, FALSE))</f>
        <v>118864.79813367735</v>
      </c>
      <c r="BF65" s="102">
        <f>$F65*(VLOOKUP(BF$4, Rates_previous!$G$6:$Q$29, 10, FALSE)+VLOOKUP(BF$4, Rates_previous!$G$6:$Q$29, 11, FALSE))</f>
        <v>114910.66449552872</v>
      </c>
      <c r="BG65" s="102">
        <f>$F65*(VLOOKUP(BG$4, Rates_previous!$G$6:$Q$29, 10, FALSE)+VLOOKUP(BG$4, Rates_previous!$G$6:$Q$29, 11, FALSE))</f>
        <v>105740.06365534021</v>
      </c>
      <c r="BH65" s="103">
        <f>IF($D65=0,IF(C65=0, MAX(BJ65 - (VLOOKUP($A65,TOCA_previous!$A$2:$AJ$136,MATCH("RHWM "&amp;Init!$D$1-2,TOCA_previous!$A$2:$AJ$2,0),FALSE)*$F$2*TOCA_previous!C62),0),0), 0)</f>
        <v>0</v>
      </c>
      <c r="BI65" s="109">
        <f>MIN(VLOOKUP($A65,TOCA_previous!$A$2:$AJ$136,MATCH("TRL - NLSL - Existing Resource "&amp;$F$1,TOCA_previous!$A$2:$AJ$2,0),FALSE)*$F$2,(VLOOKUP($A65,TOCA_previous!$A$2:$AJ$136,MATCH("RHWM "&amp;Init!$D$1-2,TOCA_previous!$A$2:$AJ$2,0),FALSE)*$F$2))</f>
        <v>1465364.4480000001</v>
      </c>
      <c r="BJ65" s="261">
        <f>SUM(L65:AI65)+(F65*RT1SC!$C$3*$F$2)</f>
        <v>1498432.8857023439</v>
      </c>
      <c r="BK65" s="260">
        <f>VLOOKUP($A65,TOCA_previous!$A$2:$AJ$136,MATCH("Above RHWM Not Served with LS "&amp;$F$1,TOCA_previous!$A$2:$AJ$2,0),FALSE)*$F$2</f>
        <v>228243.45600000006</v>
      </c>
      <c r="BL65" s="261">
        <f t="shared" si="21"/>
        <v>33068.437702343799</v>
      </c>
      <c r="BM65" s="260">
        <f>(VLOOKUP($A65,TOCA_previous!$A$2:$AJ$136,MATCH("RHWM "&amp;Init!$D$1-2,TOCA_previous!$A$2:$AJ$2,0),FALSE)*$F$2) - $BI65</f>
        <v>0</v>
      </c>
      <c r="BN65" s="261">
        <f t="shared" si="22"/>
        <v>0</v>
      </c>
      <c r="BO65" s="260">
        <f t="shared" si="23"/>
        <v>0</v>
      </c>
      <c r="BP65" s="261">
        <f t="shared" si="24"/>
        <v>0</v>
      </c>
      <c r="BQ65" s="260">
        <f t="shared" si="9"/>
        <v>0</v>
      </c>
      <c r="BR65" s="85">
        <f>VLOOKUP($A65,TOCA_current!$A$2:$ZZ$136,MATCH(BR$4,TOCA_current!$A$2:$ZZ$2,0),FALSE)</f>
        <v>2.3599800000000001E-2</v>
      </c>
      <c r="BS65" s="85">
        <f>VLOOKUP($A65,TOCA_current!$A$2:$ZZ$136,MATCH(BS$4,TOCA_current!$A$2:$ZZ$2,0),FALSE)</f>
        <v>2.3599800000000001E-2</v>
      </c>
      <c r="BT65" s="108">
        <f t="shared" si="25"/>
        <v>0</v>
      </c>
      <c r="BU65" s="85">
        <f>VLOOKUP($A65,TOCA_current!A62:BG196,MATCH(BU$4,TOCA_current!$A$2:$BG$2,0),FALSE)</f>
        <v>0</v>
      </c>
      <c r="BV65" s="85">
        <f t="shared" si="26"/>
        <v>0</v>
      </c>
      <c r="BW65" s="85">
        <f t="shared" si="27"/>
        <v>2.3599800000000001E-2</v>
      </c>
      <c r="BX65" s="101">
        <f>VLOOKUP($A65,IRD!$A$4:$G$138, 7, FALSE)</f>
        <v>0</v>
      </c>
      <c r="BY65" s="102">
        <f t="array" ref="BY65">IF($BT65=0, INDEX(LS_current!$D$4:$BW$137, MATCH('Staging Table'!$A65, LS_current!$B$4:$B$137, 0), MATCH(BY$4&amp;BY$5, LS_current!$D$2:$BW$2&amp;LS_current!$D$3:$BW$3, 0)),SUM(VLOOKUP($A65, LS_current!$B$4:$BW$137, LS_current!D$147, FALSE), VLOOKUP($A65, LS_current!$B$4:$BW$137,LS_current!AZ$147, FALSE))/2)</f>
        <v>0</v>
      </c>
      <c r="BZ65" s="102">
        <f t="array" ref="BZ65">IF($BT65=0, INDEX(LS_current!$D$4:$BW$137, MATCH('Staging Table'!$A65, LS_current!$B$4:$B$137, 0), MATCH(BZ$4&amp;BZ$5, LS_current!$D$2:$BW$2&amp;LS_current!$D$3:$BW$3, 0)),SUM(VLOOKUP($A65, LS_current!$B$4:$BW$137, LS_current!E$147, FALSE), VLOOKUP($A65, LS_current!$B$4:$BW$137,LS_current!BA$147, FALSE))/2)</f>
        <v>0</v>
      </c>
      <c r="CA65" s="102">
        <f t="array" ref="CA65">IF($BT65=0, INDEX(LS_current!$D$4:$BW$137, MATCH('Staging Table'!$A65, LS_current!$B$4:$B$137, 0), MATCH(CA$4&amp;CA$5, LS_current!$D$2:$BW$2&amp;LS_current!$D$3:$BW$3, 0)),SUM(VLOOKUP($A65, LS_current!$B$4:$BW$137, LS_current!F$147, FALSE), VLOOKUP($A65, LS_current!$B$4:$BW$137,LS_current!BB$147, FALSE))/2)</f>
        <v>0</v>
      </c>
      <c r="CB65" s="102">
        <f t="array" ref="CB65">IF($BT65=0, INDEX(LS_current!$D$4:$BW$137, MATCH('Staging Table'!$A65, LS_current!$B$4:$B$137, 0), MATCH(CB$4&amp;CB$5, LS_current!$D$2:$BW$2&amp;LS_current!$D$3:$BW$3, 0)),SUM(VLOOKUP($A65, LS_current!$B$4:$BW$137, LS_current!G$147, FALSE), VLOOKUP($A65, LS_current!$B$4:$BW$137,LS_current!BC$147, FALSE))/2)</f>
        <v>0</v>
      </c>
      <c r="CC65" s="102">
        <f t="array" ref="CC65">IF($BT65=0, INDEX(LS_current!$D$4:$BW$137, MATCH('Staging Table'!$A65, LS_current!$B$4:$B$137, 0), MATCH(CC$4&amp;CC$5, LS_current!$D$2:$BW$2&amp;LS_current!$D$3:$BW$3, 0)),SUM(VLOOKUP($A65, LS_current!$B$4:$BW$137, LS_current!H$147, FALSE), VLOOKUP($A65, LS_current!$B$4:$BW$137,LS_current!BD$147, FALSE))/2)</f>
        <v>0</v>
      </c>
      <c r="CD65" s="102">
        <f t="array" ref="CD65">IF($BT65=0, INDEX(LS_current!$D$4:$BW$137, MATCH('Staging Table'!$A65, LS_current!$B$4:$B$137, 0), MATCH(CD$4&amp;CD$5, LS_current!$D$2:$BW$2&amp;LS_current!$D$3:$BW$3, 0)),SUM(VLOOKUP($A65, LS_current!$B$4:$BW$137, LS_current!I$147, FALSE), VLOOKUP($A65, LS_current!$B$4:$BW$137,LS_current!BE$147, FALSE))/2)</f>
        <v>0</v>
      </c>
      <c r="CE65" s="102">
        <f t="array" ref="CE65">IF($BT65=0, INDEX(LS_current!$D$4:$BW$137, MATCH('Staging Table'!$A65, LS_current!$B$4:$B$137, 0), MATCH(CE$4&amp;CE$5, LS_current!$D$2:$BW$2&amp;LS_current!$D$3:$BW$3, 0)),SUM(VLOOKUP($A65, LS_current!$B$4:$BW$137, LS_current!J$147, FALSE), VLOOKUP($A65, LS_current!$B$4:$BW$137,LS_current!BF$147, FALSE))/2)</f>
        <v>0</v>
      </c>
      <c r="CF65" s="102">
        <f t="array" ref="CF65">IF($BT65=0, INDEX(LS_current!$D$4:$BW$137, MATCH('Staging Table'!$A65, LS_current!$B$4:$B$137, 0), MATCH(CF$4&amp;CF$5, LS_current!$D$2:$BW$2&amp;LS_current!$D$3:$BW$3, 0)),SUM(VLOOKUP($A65, LS_current!$B$4:$BW$137, LS_current!K$147, FALSE), VLOOKUP($A65, LS_current!$B$4:$BW$137,LS_current!BG$147, FALSE))/2)</f>
        <v>0</v>
      </c>
      <c r="CG65" s="102">
        <f t="array" ref="CG65">IF($BT65=0, INDEX(LS_current!$D$4:$BW$137, MATCH('Staging Table'!$A65, LS_current!$B$4:$B$137, 0), MATCH(CG$4&amp;CG$5, LS_current!$D$2:$BW$2&amp;LS_current!$D$3:$BW$3, 0)),SUM(VLOOKUP($A65, LS_current!$B$4:$BW$137, LS_current!L$147, FALSE), VLOOKUP($A65, LS_current!$B$4:$BW$137,LS_current!BH$147, FALSE))/2)</f>
        <v>0</v>
      </c>
      <c r="CH65" s="102">
        <f t="array" ref="CH65">IF($BT65=0, INDEX(LS_current!$D$4:$BW$137, MATCH('Staging Table'!$A65, LS_current!$B$4:$B$137, 0), MATCH(CH$4&amp;CH$5, LS_current!$D$2:$BW$2&amp;LS_current!$D$3:$BW$3, 0)),SUM(VLOOKUP($A65, LS_current!$B$4:$BW$137, LS_current!M$147, FALSE), VLOOKUP($A65, LS_current!$B$4:$BW$137,LS_current!BI$147, FALSE))/2)</f>
        <v>0</v>
      </c>
      <c r="CI65" s="102">
        <f t="array" ref="CI65">IF($BT65=0, INDEX(LS_current!$D$4:$BW$137, MATCH('Staging Table'!$A65, LS_current!$B$4:$B$137, 0), MATCH(CI$4&amp;CI$5, LS_current!$D$2:$BW$2&amp;LS_current!$D$3:$BW$3, 0)),SUM(VLOOKUP($A65, LS_current!$B$4:$BW$137, LS_current!N$147, FALSE), VLOOKUP($A65, LS_current!$B$4:$BW$137,LS_current!BJ$147, FALSE))/2)</f>
        <v>0</v>
      </c>
      <c r="CJ65" s="102">
        <f t="array" ref="CJ65">IF($BT65=0, INDEX(LS_current!$D$4:$BW$137, MATCH('Staging Table'!$A65, LS_current!$B$4:$B$137, 0), MATCH(CJ$4&amp;CJ$5, LS_current!$D$2:$BW$2&amp;LS_current!$D$3:$BW$3, 0)),SUM(VLOOKUP($A65, LS_current!$B$4:$BW$137, LS_current!O$147, FALSE), VLOOKUP($A65, LS_current!$B$4:$BW$137,LS_current!BK$147, FALSE))/2)</f>
        <v>0</v>
      </c>
      <c r="CK65" s="102">
        <f t="array" ref="CK65">IF($BT65=0, INDEX(LS_current!$D$4:$BW$137, MATCH('Staging Table'!$A65, LS_current!$B$4:$B$137, 0), MATCH(CK$4&amp;CK$5, LS_current!$D$2:$BW$2&amp;LS_current!$D$3:$BW$3, 0)),SUM(VLOOKUP($A65, LS_current!$B$4:$BW$137, LS_current!P$147, FALSE), VLOOKUP($A65, LS_current!$B$4:$BW$137,LS_current!BL$147, FALSE))/2)</f>
        <v>0</v>
      </c>
      <c r="CL65" s="102">
        <f t="array" ref="CL65">IF($BT65=0, INDEX(LS_current!$D$4:$BW$137, MATCH('Staging Table'!$A65, LS_current!$B$4:$B$137, 0), MATCH(CL$4&amp;CL$5, LS_current!$D$2:$BW$2&amp;LS_current!$D$3:$BW$3, 0)),SUM(VLOOKUP($A65, LS_current!$B$4:$BW$137, LS_current!Q$147, FALSE), VLOOKUP($A65, LS_current!$B$4:$BW$137,LS_current!BM$147, FALSE))/2)</f>
        <v>0</v>
      </c>
      <c r="CM65" s="102">
        <f t="array" ref="CM65">IF($BT65=0, INDEX(LS_current!$D$4:$BW$137, MATCH('Staging Table'!$A65, LS_current!$B$4:$B$137, 0), MATCH(CM$4&amp;CM$5, LS_current!$D$2:$BW$2&amp;LS_current!$D$3:$BW$3, 0)),SUM(VLOOKUP($A65, LS_current!$B$4:$BW$137, LS_current!R$147, FALSE), VLOOKUP($A65, LS_current!$B$4:$BW$137,LS_current!BN$147, FALSE))/2)</f>
        <v>0</v>
      </c>
      <c r="CN65" s="102">
        <f t="array" ref="CN65">IF($BT65=0, INDEX(LS_current!$D$4:$BW$137, MATCH('Staging Table'!$A65, LS_current!$B$4:$B$137, 0), MATCH(CN$4&amp;CN$5, LS_current!$D$2:$BW$2&amp;LS_current!$D$3:$BW$3, 0)),SUM(VLOOKUP($A65, LS_current!$B$4:$BW$137, LS_current!S$147, FALSE), VLOOKUP($A65, LS_current!$B$4:$BW$137,LS_current!BO$147, FALSE))/2)</f>
        <v>0</v>
      </c>
      <c r="CO65" s="102">
        <f t="array" ref="CO65">IF($BT65=0, INDEX(LS_current!$D$4:$BW$137, MATCH('Staging Table'!$A65, LS_current!$B$4:$B$137, 0), MATCH(CO$4&amp;CO$5, LS_current!$D$2:$BW$2&amp;LS_current!$D$3:$BW$3, 0)),SUM(VLOOKUP($A65, LS_current!$B$4:$BW$137, LS_current!T$147, FALSE), VLOOKUP($A65, LS_current!$B$4:$BW$137,LS_current!BP$147, FALSE))/2)</f>
        <v>0</v>
      </c>
      <c r="CP65" s="102">
        <f t="array" ref="CP65">IF($BT65=0, INDEX(LS_current!$D$4:$BW$137, MATCH('Staging Table'!$A65, LS_current!$B$4:$B$137, 0), MATCH(CP$4&amp;CP$5, LS_current!$D$2:$BW$2&amp;LS_current!$D$3:$BW$3, 0)),SUM(VLOOKUP($A65, LS_current!$B$4:$BW$137, LS_current!U$147, FALSE), VLOOKUP($A65, LS_current!$B$4:$BW$137,LS_current!BQ$147, FALSE))/2)</f>
        <v>0</v>
      </c>
      <c r="CQ65" s="102">
        <f t="array" ref="CQ65">IF($BT65=0, INDEX(LS_current!$D$4:$BW$137, MATCH('Staging Table'!$A65, LS_current!$B$4:$B$137, 0), MATCH(CQ$4&amp;CQ$5, LS_current!$D$2:$BW$2&amp;LS_current!$D$3:$BW$3, 0)),SUM(VLOOKUP($A65, LS_current!$B$4:$BW$137, LS_current!V$147, FALSE), VLOOKUP($A65, LS_current!$B$4:$BW$137,LS_current!BR$147, FALSE))/2)</f>
        <v>0</v>
      </c>
      <c r="CR65" s="102">
        <f t="array" ref="CR65">IF($BT65=0, INDEX(LS_current!$D$4:$BW$137, MATCH('Staging Table'!$A65, LS_current!$B$4:$B$137, 0), MATCH(CR$4&amp;CR$5, LS_current!$D$2:$BW$2&amp;LS_current!$D$3:$BW$3, 0)),SUM(VLOOKUP($A65, LS_current!$B$4:$BW$137, LS_current!W$147, FALSE), VLOOKUP($A65, LS_current!$B$4:$BW$137,LS_current!BS$147, FALSE))/2)</f>
        <v>0</v>
      </c>
      <c r="CS65" s="102">
        <f t="array" ref="CS65">IF($BT65=0, INDEX(LS_current!$D$4:$BW$137, MATCH('Staging Table'!$A65, LS_current!$B$4:$B$137, 0), MATCH(CS$4&amp;CS$5, LS_current!$D$2:$BW$2&amp;LS_current!$D$3:$BW$3, 0)),SUM(VLOOKUP($A65, LS_current!$B$4:$BW$137, LS_current!X$147, FALSE), VLOOKUP($A65, LS_current!$B$4:$BW$137,LS_current!BT$147, FALSE))/2)</f>
        <v>0</v>
      </c>
      <c r="CT65" s="102">
        <f t="array" ref="CT65">IF($BT65=0, INDEX(LS_current!$D$4:$BW$137, MATCH('Staging Table'!$A65, LS_current!$B$4:$B$137, 0), MATCH(CT$4&amp;CT$5, LS_current!$D$2:$BW$2&amp;LS_current!$D$3:$BW$3, 0)),SUM(VLOOKUP($A65, LS_current!$B$4:$BW$137, LS_current!Y$147, FALSE), VLOOKUP($A65, LS_current!$B$4:$BW$137,LS_current!BU$147, FALSE))/2)</f>
        <v>0</v>
      </c>
      <c r="CU65" s="102">
        <f t="array" ref="CU65">IF($BT65=0, INDEX(LS_current!$D$4:$BW$137, MATCH('Staging Table'!$A65, LS_current!$B$4:$B$137, 0), MATCH(CU$4&amp;CU$5, LS_current!$D$2:$BW$2&amp;LS_current!$D$3:$BW$3, 0)),SUM(VLOOKUP($A65, LS_current!$B$4:$BW$137, LS_current!Z$147, FALSE), VLOOKUP($A65, LS_current!$B$4:$BW$137,LS_current!BV$147, FALSE))/2)</f>
        <v>0</v>
      </c>
      <c r="CV65" s="102">
        <f t="array" ref="CV65">IF($BT65=0, INDEX(LS_current!$D$4:$BW$137, MATCH('Staging Table'!$A65, LS_current!$B$4:$B$137, 0), MATCH(CV$4&amp;CV$5, LS_current!$D$2:$BW$2&amp;LS_current!$D$3:$BW$3, 0)),SUM(VLOOKUP($A65, LS_current!$B$4:$BW$137, LS_current!AA$147, FALSE), VLOOKUP($A65, LS_current!$B$4:$BW$137,LS_current!BW$147, FALSE))/2)</f>
        <v>0</v>
      </c>
      <c r="CW65" s="103">
        <f t="array" ref="CW65">INDEX(Demand_current!$D$4:$BW$137, MATCH($A65, Demand_current!$B$4:$B$137, 0), MATCH(CW$4&amp;CW$5,Demand_current!$D$2:$BW$2&amp;Demand_current!$D$3:$BW$3, 0))/1000</f>
        <v>0</v>
      </c>
      <c r="CX65" s="103">
        <f t="array" ref="CX65">INDEX(Demand_current!$D$4:$BW$137, MATCH($A65, Demand_current!$B$4:$B$137, 0), MATCH(CX$4&amp;CX$5,Demand_current!$D$2:$BW$2&amp;Demand_current!$D$3:$BW$3, 0))/1000</f>
        <v>0</v>
      </c>
      <c r="CY65" s="103">
        <f t="array" ref="CY65">INDEX(Demand_current!$D$4:$BW$137, MATCH($A65, Demand_current!$B$4:$B$137, 0), MATCH(CY$4&amp;CY$5,Demand_current!$D$2:$BW$2&amp;Demand_current!$D$3:$BW$3, 0))/1000</f>
        <v>0</v>
      </c>
      <c r="CZ65" s="103">
        <f t="array" ref="CZ65">INDEX(Demand_current!$D$4:$BW$137, MATCH($A65, Demand_current!$B$4:$B$137, 0), MATCH(CZ$4&amp;CZ$5,Demand_current!$D$2:$BW$2&amp;Demand_current!$D$3:$BW$3, 0))/1000</f>
        <v>0</v>
      </c>
      <c r="DA65" s="103">
        <f t="array" ref="DA65">INDEX(Demand_current!$D$4:$BW$137, MATCH($A65, Demand_current!$B$4:$B$137, 0), MATCH(DA$4&amp;DA$5,Demand_current!$D$2:$BW$2&amp;Demand_current!$D$3:$BW$3, 0))/1000</f>
        <v>0</v>
      </c>
      <c r="DB65" s="103">
        <f t="array" ref="DB65">INDEX(Demand_current!$D$4:$BW$137, MATCH($A65, Demand_current!$B$4:$B$137, 0), MATCH(DB$4&amp;DB$5,Demand_current!$D$2:$BW$2&amp;Demand_current!$D$3:$BW$3, 0))/1000</f>
        <v>0</v>
      </c>
      <c r="DC65" s="103">
        <f t="array" ref="DC65">INDEX(Demand_current!$D$4:$BW$137, MATCH($A65, Demand_current!$B$4:$B$137, 0), MATCH(DC$4&amp;DC$5,Demand_current!$D$2:$BW$2&amp;Demand_current!$D$3:$BW$3, 0))/1000</f>
        <v>0</v>
      </c>
      <c r="DD65" s="103">
        <f t="array" ref="DD65">INDEX(Demand_current!$D$4:$BW$137, MATCH($A65, Demand_current!$B$4:$B$137, 0), MATCH(DD$4&amp;DD$5,Demand_current!$D$2:$BW$2&amp;Demand_current!$D$3:$BW$3, 0))/1000</f>
        <v>0</v>
      </c>
      <c r="DE65" s="103">
        <f t="array" ref="DE65">INDEX(Demand_current!$D$4:$BW$137, MATCH($A65, Demand_current!$B$4:$B$137, 0), MATCH(DE$4&amp;DE$5,Demand_current!$D$2:$BW$2&amp;Demand_current!$D$3:$BW$3, 0))/1000</f>
        <v>0</v>
      </c>
      <c r="DF65" s="103">
        <f t="array" ref="DF65">INDEX(Demand_current!$D$4:$BW$137, MATCH($A65, Demand_current!$B$4:$B$137, 0), MATCH(DF$4&amp;DF$5,Demand_current!$D$2:$BW$2&amp;Demand_current!$D$3:$BW$3, 0))/1000</f>
        <v>0</v>
      </c>
      <c r="DG65" s="103">
        <f t="array" ref="DG65">INDEX(Demand_current!$D$4:$BW$137, MATCH($A65, Demand_current!$B$4:$B$137, 0), MATCH(DG$4&amp;DG$5,Demand_current!$D$2:$BW$2&amp;Demand_current!$D$3:$BW$3, 0))/1000</f>
        <v>0</v>
      </c>
      <c r="DH65" s="103">
        <f t="array" ref="DH65">INDEX(Demand_current!$D$4:$BW$137, MATCH($A65, Demand_current!$B$4:$B$137, 0), MATCH(DH$4&amp;DH$5,Demand_current!$D$2:$BW$2&amp;Demand_current!$D$3:$BW$3, 0))/1000</f>
        <v>0</v>
      </c>
      <c r="DI65" s="102">
        <f>$BS65*(VLOOKUP(DI$4, Rates_current!$H$6:$R$41, 10, FALSE)+VLOOKUP(DI$4, Rates_current!$H$6:$R$41, 11, FALSE))</f>
        <v>97945.957507265062</v>
      </c>
      <c r="DJ65" s="102">
        <f>$BS65*(VLOOKUP(DJ$4, Rates_current!$H$6:$R$41, 10, FALSE)+VLOOKUP(DJ$4, Rates_current!$H$6:$R$41, 11, FALSE))</f>
        <v>125220.68306784985</v>
      </c>
      <c r="DK65" s="102">
        <f>$BS65*(VLOOKUP(DK$4, Rates_current!$H$6:$R$41, 10, FALSE)+VLOOKUP(DK$4, Rates_current!$H$6:$R$41, 11, FALSE))</f>
        <v>142365.44357170007</v>
      </c>
      <c r="DL65" s="102">
        <f>$BS65*(VLOOKUP(DL$4, Rates_current!$H$6:$R$41, 10, FALSE)+VLOOKUP(DL$4, Rates_current!$H$6:$R$41, 11, FALSE))</f>
        <v>150206.65585597898</v>
      </c>
      <c r="DM65" s="102">
        <f>$BS65*(VLOOKUP(DM$4, Rates_current!$H$6:$R$41, 10, FALSE)+VLOOKUP(DM$4, Rates_current!$H$6:$R$41, 11, FALSE))</f>
        <v>119701.14804834903</v>
      </c>
      <c r="DN65" s="102">
        <f>$BS65*(VLOOKUP(DN$4, Rates_current!$H$6:$R$41, 10, FALSE)+VLOOKUP(DN$4, Rates_current!$H$6:$R$41, 11, FALSE))</f>
        <v>130857.93613550933</v>
      </c>
      <c r="DO65" s="102">
        <f>$BS65*(VLOOKUP(DO$4, Rates_current!$H$6:$R$41, 10, FALSE)+VLOOKUP(DO$4, Rates_current!$H$6:$R$41, 11, FALSE))</f>
        <v>101416.21681442687</v>
      </c>
      <c r="DP65" s="102">
        <f>$BS65*(VLOOKUP(DP$4, Rates_current!$H$6:$R$41, 10, FALSE)+VLOOKUP(DP$4, Rates_current!$H$6:$R$41, 11, FALSE))</f>
        <v>131249.28297626541</v>
      </c>
      <c r="DQ65" s="102">
        <f>$BS65*(VLOOKUP(DQ$4, Rates_current!$H$6:$R$41, 10, FALSE)+VLOOKUP(DQ$4, Rates_current!$H$6:$R$41, 11, FALSE))</f>
        <v>134051.83723436869</v>
      </c>
      <c r="DR65" s="102">
        <f>$BS65*(VLOOKUP(DR$4, Rates_current!$H$6:$R$41, 10, FALSE)+VLOOKUP(DR$4, Rates_current!$H$6:$R$41, 11, FALSE))</f>
        <v>119317.72857586989</v>
      </c>
      <c r="DS65" s="102">
        <f>$BS65*(VLOOKUP(DS$4, Rates_current!$H$6:$R$41, 10, FALSE)+VLOOKUP(DS$4, Rates_current!$H$6:$R$41, 11, FALSE))</f>
        <v>122398.10736371756</v>
      </c>
      <c r="DT65" s="102">
        <f>$BS65*(VLOOKUP(DT$4, Rates_current!$H$6:$R$41, 10, FALSE)+VLOOKUP(DT$4, Rates_current!$H$6:$R$41, 11, FALSE))</f>
        <v>95056.8024243525</v>
      </c>
      <c r="DU65" s="261">
        <f>IF(D65=0,IF(C65=0,MAX(0,DW65 - (VLOOKUP($A65,TOCA_current!$A$2:$AV$136,MATCH("RHWM "&amp;Init!$D$1,TOCA_current!$A$2:$AV$2,0),FALSE)*$BS$2)), 0),0)</f>
        <v>0</v>
      </c>
      <c r="DV65" s="262">
        <f>MIN(VLOOKUP($A65,TOCA_current!$A$2:$AV$136,MATCH("TRL - NLSL - Existing Resource "&amp;$BS$1,TOCA_current!$A$2:$AV$2,0),FALSE)*$BS$2, VLOOKUP($A65,TOCA_current!$A$2:$AV$136,MATCH("RHWM "&amp;Init!$D$1,TOCA_current!$A$2:$AV$2,0),FALSE)*$BS$2)</f>
        <v>1469787.8399999999</v>
      </c>
      <c r="DW65" s="262">
        <f>SUM(BY65:CV65)+(BS65*RT1SC!$C$4*$BS$2)</f>
        <v>1469787.8863368963</v>
      </c>
      <c r="DX65" s="262">
        <f>VLOOKUP($A65,TOCA_current!$A$2:$AV$136,MATCH("Above RHWM Not Served with LS "&amp;$BS$1,TOCA_current!$A$2:$AV$2,0),FALSE)*$BS$2</f>
        <v>241740.96</v>
      </c>
      <c r="DY65" s="262">
        <f t="shared" si="28"/>
        <v>4.6336896484717727E-2</v>
      </c>
      <c r="DZ65" s="262">
        <f>(VLOOKUP($A65,TOCA_current!$A$2:$AV$136,MATCH("RHWM "&amp;Init!$D$1,TOCA_current!$A$2:$AV$2,0),FALSE)*$BS$2) - $DV65</f>
        <v>0</v>
      </c>
      <c r="EA65" s="262">
        <f t="shared" si="29"/>
        <v>0</v>
      </c>
      <c r="EB65" s="262">
        <f t="shared" si="30"/>
        <v>0</v>
      </c>
      <c r="EC65" s="262">
        <f t="shared" si="31"/>
        <v>0</v>
      </c>
      <c r="ED65" s="262">
        <f t="shared" si="32"/>
        <v>0</v>
      </c>
    </row>
    <row r="66" spans="1:134">
      <c r="A66" s="2">
        <v>10183</v>
      </c>
      <c r="B66" s="3" t="s">
        <v>68</v>
      </c>
      <c r="C66">
        <f>VLOOKUP(A66, TOCA_current!$A$3:$D$136, 4, FALSE)</f>
        <v>0</v>
      </c>
      <c r="D66">
        <v>1</v>
      </c>
      <c r="E66" s="84">
        <f>VLOOKUP($A66,TOCA_previous!$A$2:$AJ$136,MATCH(E$4,TOCA_previous!$A$2:$AJ$2,0),FALSE)</f>
        <v>1.6989000000000001E-2</v>
      </c>
      <c r="F66" s="85">
        <f>VLOOKUP($A66,TOCA_previous!$A$2:$AJ$136,MATCH(F$4,TOCA_previous!$A$2:$AJ$2,0),FALSE)</f>
        <v>9.2029E-3</v>
      </c>
      <c r="G66" s="85">
        <f t="shared" si="18"/>
        <v>7.7861000000000007E-3</v>
      </c>
      <c r="H66" s="85">
        <f>VLOOKUP($A66,TOCA_previous!$A$2:$AJ$136,MATCH(H$4,TOCA_previous!$A$2:$AJ$2,0),FALSE)</f>
        <v>0</v>
      </c>
      <c r="I66" s="85">
        <f t="shared" si="19"/>
        <v>0</v>
      </c>
      <c r="J66" s="85">
        <f t="shared" si="20"/>
        <v>0</v>
      </c>
      <c r="K66" s="101">
        <f>VLOOKUP(A66, IRD!$A$5:$C$138, 3, FALSE)</f>
        <v>94407.247000000003</v>
      </c>
      <c r="L66" s="102">
        <f t="array" ref="L66">IF($G66=0, INDEX(LS_previous!$D$4:$AY$137, MATCH('Staging Table'!$A66, LS_previous!$B$4:$B$137, 0), MATCH(L$4&amp;L$5, LS_previous!$D$2:$AY$2&amp;LS_previous!$D$3:$AY$3, 0)),SUM(VLOOKUP($A66, LS_previous!$B$4:$AY$137, LS_previous!D$148, FALSE), VLOOKUP('Staging Table'!$A66, LS_previous!$B$4:$AY$137,LS_previous!AB$148, FALSE))/2)</f>
        <v>-109.71809626708273</v>
      </c>
      <c r="M66" s="102">
        <f t="array" ref="M66">IF($G66=0, INDEX(LS_previous!$D$4:$AY$137, MATCH('Staging Table'!$A66, LS_previous!$B$4:$B$137, 0), MATCH(M$4&amp;M$5, LS_previous!$D$2:$AY$2&amp;LS_previous!$D$3:$AY$3, 0)),SUM(VLOOKUP($A66, LS_previous!$B$4:$AY$137, LS_previous!E$148, FALSE), VLOOKUP('Staging Table'!$A66, LS_previous!$B$4:$AY$137,LS_previous!AC$148, FALSE))/2)</f>
        <v>2307.8000552218855</v>
      </c>
      <c r="N66" s="102">
        <f t="array" ref="N66">IF($G66=0, INDEX(LS_previous!$D$4:$AY$137, MATCH('Staging Table'!$A66, LS_previous!$B$4:$B$137, 0), MATCH(N$4&amp;N$5, LS_previous!$D$2:$AY$2&amp;LS_previous!$D$3:$AY$3, 0)),SUM(VLOOKUP($A66, LS_previous!$B$4:$AY$137, LS_previous!F$148, FALSE), VLOOKUP('Staging Table'!$A66, LS_previous!$B$4:$AY$137,LS_previous!AD$148, FALSE))/2)</f>
        <v>-8497.4515844927428</v>
      </c>
      <c r="O66" s="102">
        <f t="array" ref="O66">IF($G66=0, INDEX(LS_previous!$D$4:$AY$137, MATCH('Staging Table'!$A66, LS_previous!$B$4:$B$137, 0), MATCH(O$4&amp;O$5, LS_previous!$D$2:$AY$2&amp;LS_previous!$D$3:$AY$3, 0)),SUM(VLOOKUP($A66, LS_previous!$B$4:$AY$137, LS_previous!G$148, FALSE), VLOOKUP('Staging Table'!$A66, LS_previous!$B$4:$AY$137,LS_previous!AE$148, FALSE))/2)</f>
        <v>-2182.1171290272341</v>
      </c>
      <c r="P66" s="102">
        <f t="array" ref="P66">IF($G66=0, INDEX(LS_previous!$D$4:$AY$137, MATCH('Staging Table'!$A66, LS_previous!$B$4:$B$137, 0), MATCH(P$4&amp;P$5, LS_previous!$D$2:$AY$2&amp;LS_previous!$D$3:$AY$3, 0)),SUM(VLOOKUP($A66, LS_previous!$B$4:$AY$137, LS_previous!H$148, FALSE), VLOOKUP('Staging Table'!$A66, LS_previous!$B$4:$AY$137,LS_previous!AF$148, FALSE))/2)</f>
        <v>-7990.5432903101791</v>
      </c>
      <c r="Q66" s="102">
        <f t="array" ref="Q66">IF($G66=0, INDEX(LS_previous!$D$4:$AY$137, MATCH('Staging Table'!$A66, LS_previous!$B$4:$B$137, 0), MATCH(Q$4&amp;Q$5, LS_previous!$D$2:$AY$2&amp;LS_previous!$D$3:$AY$3, 0)),SUM(VLOOKUP($A66, LS_previous!$B$4:$AY$137, LS_previous!I$148, FALSE), VLOOKUP('Staging Table'!$A66, LS_previous!$B$4:$AY$137,LS_previous!AG$148, FALSE))/2)</f>
        <v>-46.775356184089105</v>
      </c>
      <c r="R66" s="102">
        <f t="array" ref="R66">IF($G66=0, INDEX(LS_previous!$D$4:$AY$137, MATCH('Staging Table'!$A66, LS_previous!$B$4:$B$137, 0), MATCH(R$4&amp;R$5, LS_previous!$D$2:$AY$2&amp;LS_previous!$D$3:$AY$3, 0)),SUM(VLOOKUP($A66, LS_previous!$B$4:$AY$137, LS_previous!J$148, FALSE), VLOOKUP('Staging Table'!$A66, LS_previous!$B$4:$AY$137,LS_previous!AH$148, FALSE))/2)</f>
        <v>-7159.7157426503418</v>
      </c>
      <c r="S66" s="102">
        <f t="array" ref="S66">IF($G66=0, INDEX(LS_previous!$D$4:$AY$137, MATCH('Staging Table'!$A66, LS_previous!$B$4:$B$137, 0), MATCH(S$4&amp;S$5, LS_previous!$D$2:$AY$2&amp;LS_previous!$D$3:$AY$3, 0)),SUM(VLOOKUP($A66, LS_previous!$B$4:$AY$137, LS_previous!K$148, FALSE), VLOOKUP('Staging Table'!$A66, LS_previous!$B$4:$AY$137,LS_previous!AI$148, FALSE))/2)</f>
        <v>311.97982511300143</v>
      </c>
      <c r="T66" s="102">
        <f t="array" ref="T66">IF($G66=0, INDEX(LS_previous!$D$4:$AY$137, MATCH('Staging Table'!$A66, LS_previous!$B$4:$B$137, 0), MATCH(T$4&amp;T$5, LS_previous!$D$2:$AY$2&amp;LS_previous!$D$3:$AY$3, 0)),SUM(VLOOKUP($A66, LS_previous!$B$4:$AY$137, LS_previous!L$148, FALSE), VLOOKUP('Staging Table'!$A66, LS_previous!$B$4:$AY$137,LS_previous!AJ$148, FALSE))/2)</f>
        <v>-7907.718591277162</v>
      </c>
      <c r="U66" s="102">
        <f t="array" ref="U66">IF($G66=0, INDEX(LS_previous!$D$4:$AY$137, MATCH('Staging Table'!$A66, LS_previous!$B$4:$B$137, 0), MATCH(U$4&amp;U$5, LS_previous!$D$2:$AY$2&amp;LS_previous!$D$3:$AY$3, 0)),SUM(VLOOKUP($A66, LS_previous!$B$4:$AY$137, LS_previous!M$148, FALSE), VLOOKUP('Staging Table'!$A66, LS_previous!$B$4:$AY$137,LS_previous!AK$148, FALSE))/2)</f>
        <v>-785.92723166542419</v>
      </c>
      <c r="V66" s="102">
        <f t="array" ref="V66">IF($G66=0, INDEX(LS_previous!$D$4:$AY$137, MATCH('Staging Table'!$A66, LS_previous!$B$4:$B$137, 0), MATCH(V$4&amp;V$5, LS_previous!$D$2:$AY$2&amp;LS_previous!$D$3:$AY$3, 0)),SUM(VLOOKUP($A66, LS_previous!$B$4:$AY$137, LS_previous!N$148, FALSE), VLOOKUP('Staging Table'!$A66, LS_previous!$B$4:$AY$137,LS_previous!AL$148, FALSE))/2)</f>
        <v>-10618.114410502538</v>
      </c>
      <c r="W66" s="102">
        <f t="array" ref="W66">IF($G66=0, INDEX(LS_previous!$D$4:$AY$137, MATCH('Staging Table'!$A66, LS_previous!$B$4:$B$137, 0), MATCH(W$4&amp;W$5, LS_previous!$D$2:$AY$2&amp;LS_previous!$D$3:$AY$3, 0)),SUM(VLOOKUP($A66, LS_previous!$B$4:$AY$137, LS_previous!O$148, FALSE), VLOOKUP('Staging Table'!$A66, LS_previous!$B$4:$AY$137,LS_previous!AM$148, FALSE))/2)</f>
        <v>-3787.2079672712607</v>
      </c>
      <c r="X66" s="102">
        <f t="array" ref="X66">IF($G66=0, INDEX(LS_previous!$D$4:$AY$137, MATCH('Staging Table'!$A66, LS_previous!$B$4:$B$137, 0), MATCH(X$4&amp;X$5, LS_previous!$D$2:$AY$2&amp;LS_previous!$D$3:$AY$3, 0)),SUM(VLOOKUP($A66, LS_previous!$B$4:$AY$137, LS_previous!P$148, FALSE), VLOOKUP('Staging Table'!$A66, LS_previous!$B$4:$AY$137,LS_previous!AN$148, FALSE))/2)</f>
        <v>-3247.8776153711224</v>
      </c>
      <c r="Y66" s="102">
        <f t="array" ref="Y66">IF($G66=0, INDEX(LS_previous!$D$4:$AY$137, MATCH('Staging Table'!$A66, LS_previous!$B$4:$B$137, 0), MATCH(Y$4&amp;Y$5, LS_previous!$D$2:$AY$2&amp;LS_previous!$D$3:$AY$3, 0)),SUM(VLOOKUP($A66, LS_previous!$B$4:$AY$137, LS_previous!Q$148, FALSE), VLOOKUP('Staging Table'!$A66, LS_previous!$B$4:$AY$137,LS_previous!AO$148, FALSE))/2)</f>
        <v>-171.76217931257634</v>
      </c>
      <c r="Z66" s="102">
        <f t="array" ref="Z66">IF($G66=0, INDEX(LS_previous!$D$4:$AY$137, MATCH('Staging Table'!$A66, LS_previous!$B$4:$B$137, 0), MATCH(Z$4&amp;Z$5, LS_previous!$D$2:$AY$2&amp;LS_previous!$D$3:$AY$3, 0)),SUM(VLOOKUP($A66, LS_previous!$B$4:$AY$137, LS_previous!R$148, FALSE), VLOOKUP('Staging Table'!$A66, LS_previous!$B$4:$AY$137,LS_previous!AP$148, FALSE))/2)</f>
        <v>-6869.3804416442454</v>
      </c>
      <c r="AA66" s="102">
        <f t="array" ref="AA66">IF($G66=0, INDEX(LS_previous!$D$4:$AY$137, MATCH('Staging Table'!$A66, LS_previous!$B$4:$B$137, 0), MATCH(AA$4&amp;AA$5, LS_previous!$D$2:$AY$2&amp;LS_previous!$D$3:$AY$3, 0)),SUM(VLOOKUP($A66, LS_previous!$B$4:$AY$137, LS_previous!S$148, FALSE), VLOOKUP('Staging Table'!$A66, LS_previous!$B$4:$AY$137,LS_previous!AQ$148, FALSE))/2)</f>
        <v>-985.2415668093945</v>
      </c>
      <c r="AB66" s="102">
        <f t="array" ref="AB66">IF($G66=0, INDEX(LS_previous!$D$4:$AY$137, MATCH('Staging Table'!$A66, LS_previous!$B$4:$B$137, 0), MATCH(AB$4&amp;AB$5, LS_previous!$D$2:$AY$2&amp;LS_previous!$D$3:$AY$3, 0)),SUM(VLOOKUP($A66, LS_previous!$B$4:$AY$137, LS_previous!T$148, FALSE), VLOOKUP('Staging Table'!$A66, LS_previous!$B$4:$AY$137,LS_previous!AR$148, FALSE))/2)</f>
        <v>-5109.6464999235577</v>
      </c>
      <c r="AC66" s="102">
        <f t="array" ref="AC66">IF($G66=0, INDEX(LS_previous!$D$4:$AY$137, MATCH('Staging Table'!$A66, LS_previous!$B$4:$B$137, 0), MATCH(AC$4&amp;AC$5, LS_previous!$D$2:$AY$2&amp;LS_previous!$D$3:$AY$3, 0)),SUM(VLOOKUP($A66, LS_previous!$B$4:$AY$137, LS_previous!U$148, FALSE), VLOOKUP('Staging Table'!$A66, LS_previous!$B$4:$AY$137,LS_previous!AS$148, FALSE))/2)</f>
        <v>2710.7529547514205</v>
      </c>
      <c r="AD66" s="102">
        <f t="array" ref="AD66">IF($G66=0, INDEX(LS_previous!$D$4:$AY$137, MATCH('Staging Table'!$A66, LS_previous!$B$4:$B$137, 0), MATCH(AD$4&amp;AD$5, LS_previous!$D$2:$AY$2&amp;LS_previous!$D$3:$AY$3, 0)),SUM(VLOOKUP($A66, LS_previous!$B$4:$AY$137, LS_previous!V$148, FALSE), VLOOKUP('Staging Table'!$A66, LS_previous!$B$4:$AY$137,LS_previous!AT$148, FALSE))/2)</f>
        <v>6028.1429591764645</v>
      </c>
      <c r="AE66" s="102">
        <f t="array" ref="AE66">IF($G66=0, INDEX(LS_previous!$D$4:$AY$137, MATCH('Staging Table'!$A66, LS_previous!$B$4:$B$137, 0), MATCH(AE$4&amp;AE$5, LS_previous!$D$2:$AY$2&amp;LS_previous!$D$3:$AY$3, 0)),SUM(VLOOKUP($A66, LS_previous!$B$4:$AY$137, LS_previous!W$148, FALSE), VLOOKUP('Staging Table'!$A66, LS_previous!$B$4:$AY$137,LS_previous!AU$148, FALSE))/2)</f>
        <v>9938.9214541451674</v>
      </c>
      <c r="AF66" s="102">
        <f t="array" ref="AF66">IF($G66=0, INDEX(LS_previous!$D$4:$AY$137, MATCH('Staging Table'!$A66, LS_previous!$B$4:$B$137, 0), MATCH(AF$4&amp;AF$5, LS_previous!$D$2:$AY$2&amp;LS_previous!$D$3:$AY$3, 0)),SUM(VLOOKUP($A66, LS_previous!$B$4:$AY$137, LS_previous!X$148, FALSE), VLOOKUP('Staging Table'!$A66, LS_previous!$B$4:$AY$137,LS_previous!AV$148, FALSE))/2)</f>
        <v>5574.9962348456575</v>
      </c>
      <c r="AG66" s="102">
        <f t="array" ref="AG66">IF($G66=0, INDEX(LS_previous!$D$4:$AY$137, MATCH('Staging Table'!$A66, LS_previous!$B$4:$B$137, 0), MATCH(AG$4&amp;AG$5, LS_previous!$D$2:$AY$2&amp;LS_previous!$D$3:$AY$3, 0)),SUM(VLOOKUP($A66, LS_previous!$B$4:$AY$137, LS_previous!Y$148, FALSE), VLOOKUP('Staging Table'!$A66, LS_previous!$B$4:$AY$137,LS_previous!AW$148, FALSE))/2)</f>
        <v>9163.9360672848507</v>
      </c>
      <c r="AH66" s="102">
        <f t="array" ref="AH66">IF($G66=0, INDEX(LS_previous!$D$4:$AY$137, MATCH('Staging Table'!$A66, LS_previous!$B$4:$B$137, 0), MATCH(AH$4&amp;AH$5, LS_previous!$D$2:$AY$2&amp;LS_previous!$D$3:$AY$3, 0)),SUM(VLOOKUP($A66, LS_previous!$B$4:$AY$137, LS_previous!Z$148, FALSE), VLOOKUP('Staging Table'!$A66, LS_previous!$B$4:$AY$137,LS_previous!AX$148, FALSE))/2)</f>
        <v>1249.4010236754129</v>
      </c>
      <c r="AI66" s="102">
        <f t="array" ref="AI66">IF($G66=0, INDEX(LS_previous!$D$4:$AY$137, MATCH('Staging Table'!$A66, LS_previous!$B$4:$B$137, 0), MATCH(AI$4&amp;AI$5, LS_previous!$D$2:$AY$2&amp;LS_previous!$D$3:$AY$3, 0)),SUM(VLOOKUP($A66, LS_previous!$B$4:$AY$137, LS_previous!AA$148, FALSE), VLOOKUP('Staging Table'!$A66, LS_previous!$B$4:$AY$137,LS_previous!AY$148, FALSE))/2)</f>
        <v>4950.5599157466295</v>
      </c>
      <c r="AJ66" s="103">
        <f t="array" ref="AJ66">INDEX(Demand_previous!$D$4:$AY$137, MATCH('Staging Table'!$A66, Demand_previous!$B$4:$B$137, 0), MATCH(AJ$4&amp;AJ$5,Demand_previous!$D$2:$AY$2&amp;Demand_previous!$D$3:$AY$3, 0))/1000</f>
        <v>0</v>
      </c>
      <c r="AK66" s="103">
        <f t="array" ref="AK66">INDEX(Demand_previous!$D$4:$AY$137, MATCH('Staging Table'!$A66, Demand_previous!$B$4:$B$137, 0), MATCH(AK$4&amp;AK$5,Demand_previous!$D$2:$AY$2&amp;Demand_previous!$D$3:$AY$3, 0))/1000</f>
        <v>0</v>
      </c>
      <c r="AL66" s="103">
        <f t="array" ref="AL66">INDEX(Demand_previous!$D$4:$AY$137, MATCH('Staging Table'!$A66, Demand_previous!$B$4:$B$137, 0), MATCH(AL$4&amp;AL$5,Demand_previous!$D$2:$AY$2&amp;Demand_previous!$D$3:$AY$3, 0))/1000</f>
        <v>0</v>
      </c>
      <c r="AM66" s="103">
        <f t="array" ref="AM66">INDEX(Demand_previous!$D$4:$AY$137, MATCH('Staging Table'!$A66, Demand_previous!$B$4:$B$137, 0), MATCH(AM$4&amp;AM$5,Demand_previous!$D$2:$AY$2&amp;Demand_previous!$D$3:$AY$3, 0))/1000</f>
        <v>0</v>
      </c>
      <c r="AN66" s="103">
        <f t="array" ref="AN66">INDEX(Demand_previous!$D$4:$AY$137, MATCH('Staging Table'!$A66, Demand_previous!$B$4:$B$137, 0), MATCH(AN$4&amp;AN$5,Demand_previous!$D$2:$AY$2&amp;Demand_previous!$D$3:$AY$3, 0))/1000</f>
        <v>0</v>
      </c>
      <c r="AO66" s="103">
        <f t="array" ref="AO66">INDEX(Demand_previous!$D$4:$AY$137, MATCH('Staging Table'!$A66, Demand_previous!$B$4:$B$137, 0), MATCH(AO$4&amp;AO$5,Demand_previous!$D$2:$AY$2&amp;Demand_previous!$D$3:$AY$3, 0))/1000</f>
        <v>0</v>
      </c>
      <c r="AP66" s="103">
        <f t="array" ref="AP66">INDEX(Demand_previous!$D$4:$AY$137, MATCH('Staging Table'!$A66, Demand_previous!$B$4:$B$137, 0), MATCH(AP$4&amp;AP$5,Demand_previous!$D$2:$AY$2&amp;Demand_previous!$D$3:$AY$3, 0))/1000</f>
        <v>0</v>
      </c>
      <c r="AQ66" s="103">
        <f t="array" ref="AQ66">INDEX(Demand_previous!$D$4:$AY$137, MATCH('Staging Table'!$A66, Demand_previous!$B$4:$B$137, 0), MATCH(AQ$4&amp;AQ$5,Demand_previous!$D$2:$AY$2&amp;Demand_previous!$D$3:$AY$3, 0))/1000</f>
        <v>0</v>
      </c>
      <c r="AR66" s="103">
        <f t="array" ref="AR66">INDEX(Demand_previous!$D$4:$AY$137, MATCH('Staging Table'!$A66, Demand_previous!$B$4:$B$137, 0), MATCH(AR$4&amp;AR$5,Demand_previous!$D$2:$AY$2&amp;Demand_previous!$D$3:$AY$3, 0))/1000</f>
        <v>0</v>
      </c>
      <c r="AS66" s="103">
        <f t="array" ref="AS66">INDEX(Demand_previous!$D$4:$AY$137, MATCH('Staging Table'!$A66, Demand_previous!$B$4:$B$137, 0), MATCH(AS$4&amp;AS$5,Demand_previous!$D$2:$AY$2&amp;Demand_previous!$D$3:$AY$3, 0))/1000</f>
        <v>0</v>
      </c>
      <c r="AT66" s="103">
        <f t="array" ref="AT66">INDEX(Demand_previous!$D$4:$AY$137, MATCH('Staging Table'!$A66, Demand_previous!$B$4:$B$137, 0), MATCH(AT$4&amp;AT$5,Demand_previous!$D$2:$AY$2&amp;Demand_previous!$D$3:$AY$3, 0))/1000</f>
        <v>0</v>
      </c>
      <c r="AU66" s="103">
        <f t="array" ref="AU66">INDEX(Demand_previous!$D$4:$AY$137, MATCH('Staging Table'!$A66, Demand_previous!$B$4:$B$137, 0), MATCH(AU$4&amp;AU$5,Demand_previous!$D$2:$AY$2&amp;Demand_previous!$D$3:$AY$3, 0))/1000</f>
        <v>0</v>
      </c>
      <c r="AV66" s="102">
        <f>$F66*(VLOOKUP(AV$4, Rates_previous!$G$6:$Q$29, 10, FALSE)+VLOOKUP(AV$4, Rates_previous!$G$6:$Q$29, 11, FALSE))</f>
        <v>38825.229136708353</v>
      </c>
      <c r="AW66" s="102">
        <f>$F66*(VLOOKUP(AW$4, Rates_previous!$G$6:$Q$29, 10, FALSE)+VLOOKUP(AW$4, Rates_previous!$G$6:$Q$29, 11, FALSE))</f>
        <v>49514.969884081103</v>
      </c>
      <c r="AX66" s="102">
        <f>$F66*(VLOOKUP(AX$4, Rates_previous!$G$6:$Q$29, 10, FALSE)+VLOOKUP(AX$4, Rates_previous!$G$6:$Q$29, 11, FALSE))</f>
        <v>53436.449592361503</v>
      </c>
      <c r="AY66" s="102">
        <f>$F66*(VLOOKUP(AY$4, Rates_previous!$G$6:$Q$29, 10, FALSE)+VLOOKUP(AY$4, Rates_previous!$G$6:$Q$29, 11, FALSE))</f>
        <v>55528.731751057596</v>
      </c>
      <c r="AZ66" s="102">
        <f>$F66*(VLOOKUP(AZ$4, Rates_previous!$G$6:$Q$29, 10, FALSE)+VLOOKUP(AZ$4, Rates_previous!$G$6:$Q$29, 11, FALSE))</f>
        <v>47762.110813330197</v>
      </c>
      <c r="BA66" s="102">
        <f>$F66*(VLOOKUP(BA$4, Rates_previous!$G$6:$Q$29, 10, FALSE)+VLOOKUP(BA$4, Rates_previous!$G$6:$Q$29, 11, FALSE))</f>
        <v>52146.768585783895</v>
      </c>
      <c r="BB66" s="102">
        <f>$F66*(VLOOKUP(BB$4, Rates_previous!$G$6:$Q$29, 10, FALSE)+VLOOKUP(BB$4, Rates_previous!$G$6:$Q$29, 11, FALSE))</f>
        <v>41161.086002693824</v>
      </c>
      <c r="BC66" s="102">
        <f>$F66*(VLOOKUP(BC$4, Rates_previous!$G$6:$Q$29, 10, FALSE)+VLOOKUP(BC$4, Rates_previous!$G$6:$Q$29, 11, FALSE))</f>
        <v>51065.84302921885</v>
      </c>
      <c r="BD66" s="102">
        <f>$F66*(VLOOKUP(BD$4, Rates_previous!$G$6:$Q$29, 10, FALSE)+VLOOKUP(BD$4, Rates_previous!$G$6:$Q$29, 11, FALSE))</f>
        <v>52173.844341243443</v>
      </c>
      <c r="BE66" s="102">
        <f>$F66*(VLOOKUP(BE$4, Rates_previous!$G$6:$Q$29, 10, FALSE)+VLOOKUP(BE$4, Rates_previous!$G$6:$Q$29, 11, FALSE))</f>
        <v>45294.413489535349</v>
      </c>
      <c r="BF66" s="102">
        <f>$F66*(VLOOKUP(BF$4, Rates_previous!$G$6:$Q$29, 10, FALSE)+VLOOKUP(BF$4, Rates_previous!$G$6:$Q$29, 11, FALSE))</f>
        <v>43787.658194348922</v>
      </c>
      <c r="BG66" s="102">
        <f>$F66*(VLOOKUP(BG$4, Rates_previous!$G$6:$Q$29, 10, FALSE)+VLOOKUP(BG$4, Rates_previous!$G$6:$Q$29, 11, FALSE))</f>
        <v>40293.124968996206</v>
      </c>
      <c r="BH66" s="103">
        <f>IF($D66=0,IF(C66=0, MAX(BJ66 - (VLOOKUP($A66,TOCA_previous!$A$2:$AJ$136,MATCH("RHWM "&amp;Init!$D$1-2,TOCA_previous!$A$2:$AJ$2,0),FALSE)*$F$2*TOCA_previous!C63),0),0), 0)</f>
        <v>0</v>
      </c>
      <c r="BI66" s="109">
        <f>MIN(VLOOKUP($A66,TOCA_previous!$A$2:$AJ$136,MATCH("TRL - NLSL - Existing Resource "&amp;$F$1,TOCA_previous!$A$2:$AJ$2,0),FALSE)*$F$2,(VLOOKUP($A66,TOCA_previous!$A$2:$AJ$136,MATCH("RHWM "&amp;Init!$D$1-2,TOCA_previous!$A$2:$AJ$2,0),FALSE)*$F$2))</f>
        <v>1030811.184</v>
      </c>
      <c r="BJ66" s="261">
        <f>SUM(L66:AI66)+(F66*RT1SC!$C$3*$F$2)</f>
        <v>547757.52519391559</v>
      </c>
      <c r="BK66" s="260">
        <f>VLOOKUP($A66,TOCA_previous!$A$2:$AJ$136,MATCH("Above RHWM Not Served with LS "&amp;$F$1,TOCA_previous!$A$2:$AJ$2,0),FALSE)*$F$2</f>
        <v>151594.272</v>
      </c>
      <c r="BL66" s="261">
        <f t="shared" si="21"/>
        <v>-483053.65880608442</v>
      </c>
      <c r="BM66" s="260">
        <f>(VLOOKUP($A66,TOCA_previous!$A$2:$AJ$136,MATCH("RHWM "&amp;Init!$D$1-2,TOCA_previous!$A$2:$AJ$2,0),FALSE)*$F$2) - $BI66</f>
        <v>0</v>
      </c>
      <c r="BN66" s="261">
        <f t="shared" si="22"/>
        <v>0</v>
      </c>
      <c r="BO66" s="260">
        <f t="shared" si="23"/>
        <v>331459.38680608443</v>
      </c>
      <c r="BP66" s="261">
        <f t="shared" si="24"/>
        <v>0</v>
      </c>
      <c r="BQ66" s="260">
        <f t="shared" si="9"/>
        <v>0</v>
      </c>
      <c r="BR66" s="85">
        <f>VLOOKUP($A66,TOCA_current!$A$2:$ZZ$136,MATCH(BR$4,TOCA_current!$A$2:$ZZ$2,0),FALSE)</f>
        <v>1.6601299999999999E-2</v>
      </c>
      <c r="BS66" s="85">
        <f>VLOOKUP($A66,TOCA_current!$A$2:$ZZ$136,MATCH(BS$4,TOCA_current!$A$2:$ZZ$2,0),FALSE)</f>
        <v>8.8193999999999998E-3</v>
      </c>
      <c r="BT66" s="108">
        <f t="shared" si="25"/>
        <v>7.7818999999999996E-3</v>
      </c>
      <c r="BU66" s="85">
        <f>VLOOKUP($A66,TOCA_current!A63:BG197,MATCH(BU$4,TOCA_current!$A$2:$BG$2,0),FALSE)</f>
        <v>0</v>
      </c>
      <c r="BV66" s="85">
        <f t="shared" si="26"/>
        <v>0</v>
      </c>
      <c r="BW66" s="85">
        <f t="shared" si="27"/>
        <v>0</v>
      </c>
      <c r="BX66" s="101">
        <f>VLOOKUP($A66,IRD!$A$4:$G$138, 7, FALSE)</f>
        <v>94407.247000000003</v>
      </c>
      <c r="BY66" s="102">
        <f t="array" ref="BY66">IF($BT66=0, INDEX(LS_current!$D$4:$BW$137, MATCH('Staging Table'!$A66, LS_current!$B$4:$B$137, 0), MATCH(BY$4&amp;BY$5, LS_current!$D$2:$BW$2&amp;LS_current!$D$3:$BW$3, 0)),SUM(VLOOKUP($A66, LS_current!$B$4:$BW$137, LS_current!D$147, FALSE), VLOOKUP($A66, LS_current!$B$4:$BW$137,LS_current!AZ$147, FALSE))/2)</f>
        <v>1165.8905845812442</v>
      </c>
      <c r="BZ66" s="102">
        <f t="array" ref="BZ66">IF($BT66=0, INDEX(LS_current!$D$4:$BW$137, MATCH('Staging Table'!$A66, LS_current!$B$4:$B$137, 0), MATCH(BZ$4&amp;BZ$5, LS_current!$D$2:$BW$2&amp;LS_current!$D$3:$BW$3, 0)),SUM(VLOOKUP($A66, LS_current!$B$4:$BW$137, LS_current!E$147, FALSE), VLOOKUP($A66, LS_current!$B$4:$BW$137,LS_current!BA$147, FALSE))/2)</f>
        <v>3518.3024199307038</v>
      </c>
      <c r="CA66" s="102">
        <f t="array" ref="CA66">IF($BT66=0, INDEX(LS_current!$D$4:$BW$137, MATCH('Staging Table'!$A66, LS_current!$B$4:$B$137, 0), MATCH(CA$4&amp;CA$5, LS_current!$D$2:$BW$2&amp;LS_current!$D$3:$BW$3, 0)),SUM(VLOOKUP($A66, LS_current!$B$4:$BW$137, LS_current!F$147, FALSE), VLOOKUP($A66, LS_current!$B$4:$BW$137,LS_current!BB$147, FALSE))/2)</f>
        <v>-7454.9050157615311</v>
      </c>
      <c r="CB66" s="102">
        <f t="array" ref="CB66">IF($BT66=0, INDEX(LS_current!$D$4:$BW$137, MATCH('Staging Table'!$A66, LS_current!$B$4:$B$137, 0), MATCH(CB$4&amp;CB$5, LS_current!$D$2:$BW$2&amp;LS_current!$D$3:$BW$3, 0)),SUM(VLOOKUP($A66, LS_current!$B$4:$BW$137, LS_current!G$147, FALSE), VLOOKUP($A66, LS_current!$B$4:$BW$137,LS_current!BC$147, FALSE))/2)</f>
        <v>-255.63186642414075</v>
      </c>
      <c r="CC66" s="102">
        <f t="array" ref="CC66">IF($BT66=0, INDEX(LS_current!$D$4:$BW$137, MATCH('Staging Table'!$A66, LS_current!$B$4:$B$137, 0), MATCH(CC$4&amp;CC$5, LS_current!$D$2:$BW$2&amp;LS_current!$D$3:$BW$3, 0)),SUM(VLOOKUP($A66, LS_current!$B$4:$BW$137, LS_current!H$147, FALSE), VLOOKUP($A66, LS_current!$B$4:$BW$137,LS_current!BD$147, FALSE))/2)</f>
        <v>-8555.9505505363904</v>
      </c>
      <c r="CD66" s="102">
        <f t="array" ref="CD66">IF($BT66=0, INDEX(LS_current!$D$4:$BW$137, MATCH('Staging Table'!$A66, LS_current!$B$4:$B$137, 0), MATCH(CD$4&amp;CD$5, LS_current!$D$2:$BW$2&amp;LS_current!$D$3:$BW$3, 0)),SUM(VLOOKUP($A66, LS_current!$B$4:$BW$137, LS_current!I$147, FALSE), VLOOKUP($A66, LS_current!$B$4:$BW$137,LS_current!BE$147, FALSE))/2)</f>
        <v>1044.2625791692644</v>
      </c>
      <c r="CE66" s="102">
        <f t="array" ref="CE66">IF($BT66=0, INDEX(LS_current!$D$4:$BW$137, MATCH('Staging Table'!$A66, LS_current!$B$4:$B$137, 0), MATCH(CE$4&amp;CE$5, LS_current!$D$2:$BW$2&amp;LS_current!$D$3:$BW$3, 0)),SUM(VLOOKUP($A66, LS_current!$B$4:$BW$137, LS_current!J$147, FALSE), VLOOKUP($A66, LS_current!$B$4:$BW$137,LS_current!BF$147, FALSE))/2)</f>
        <v>-8517.3637496019182</v>
      </c>
      <c r="CF66" s="102">
        <f t="array" ref="CF66">IF($BT66=0, INDEX(LS_current!$D$4:$BW$137, MATCH('Staging Table'!$A66, LS_current!$B$4:$B$137, 0), MATCH(CF$4&amp;CF$5, LS_current!$D$2:$BW$2&amp;LS_current!$D$3:$BW$3, 0)),SUM(VLOOKUP($A66, LS_current!$B$4:$BW$137, LS_current!K$147, FALSE), VLOOKUP($A66, LS_current!$B$4:$BW$137,LS_current!BG$147, FALSE))/2)</f>
        <v>1378.3424973013407</v>
      </c>
      <c r="CG66" s="102">
        <f t="array" ref="CG66">IF($BT66=0, INDEX(LS_current!$D$4:$BW$137, MATCH('Staging Table'!$A66, LS_current!$B$4:$B$137, 0), MATCH(CG$4&amp;CG$5, LS_current!$D$2:$BW$2&amp;LS_current!$D$3:$BW$3, 0)),SUM(VLOOKUP($A66, LS_current!$B$4:$BW$137, LS_current!L$147, FALSE), VLOOKUP($A66, LS_current!$B$4:$BW$137,LS_current!BH$147, FALSE))/2)</f>
        <v>-6445.9947152522363</v>
      </c>
      <c r="CH66" s="102">
        <f t="array" ref="CH66">IF($BT66=0, INDEX(LS_current!$D$4:$BW$137, MATCH('Staging Table'!$A66, LS_current!$B$4:$B$137, 0), MATCH(CH$4&amp;CH$5, LS_current!$D$2:$BW$2&amp;LS_current!$D$3:$BW$3, 0)),SUM(VLOOKUP($A66, LS_current!$B$4:$BW$137, LS_current!M$147, FALSE), VLOOKUP($A66, LS_current!$B$4:$BW$137,LS_current!BI$147, FALSE))/2)</f>
        <v>247.64773332926052</v>
      </c>
      <c r="CI66" s="102">
        <f t="array" ref="CI66">IF($BT66=0, INDEX(LS_current!$D$4:$BW$137, MATCH('Staging Table'!$A66, LS_current!$B$4:$B$137, 0), MATCH(CI$4&amp;CI$5, LS_current!$D$2:$BW$2&amp;LS_current!$D$3:$BW$3, 0)),SUM(VLOOKUP($A66, LS_current!$B$4:$BW$137, LS_current!N$147, FALSE), VLOOKUP($A66, LS_current!$B$4:$BW$137,LS_current!BJ$147, FALSE))/2)</f>
        <v>-10125.486018860471</v>
      </c>
      <c r="CJ66" s="102">
        <f t="array" ref="CJ66">IF($BT66=0, INDEX(LS_current!$D$4:$BW$137, MATCH('Staging Table'!$A66, LS_current!$B$4:$B$137, 0), MATCH(CJ$4&amp;CJ$5, LS_current!$D$2:$BW$2&amp;LS_current!$D$3:$BW$3, 0)),SUM(VLOOKUP($A66, LS_current!$B$4:$BW$137, LS_current!O$147, FALSE), VLOOKUP($A66, LS_current!$B$4:$BW$137,LS_current!BK$147, FALSE))/2)</f>
        <v>-792.72235166186056</v>
      </c>
      <c r="CK66" s="102">
        <f t="array" ref="CK66">IF($BT66=0, INDEX(LS_current!$D$4:$BW$137, MATCH('Staging Table'!$A66, LS_current!$B$4:$B$137, 0), MATCH(CK$4&amp;CK$5, LS_current!$D$2:$BW$2&amp;LS_current!$D$3:$BW$3, 0)),SUM(VLOOKUP($A66, LS_current!$B$4:$BW$137, LS_current!P$147, FALSE), VLOOKUP($A66, LS_current!$B$4:$BW$137,LS_current!BL$147, FALSE))/2)</f>
        <v>-1388.9128065745517</v>
      </c>
      <c r="CL66" s="102">
        <f t="array" ref="CL66">IF($BT66=0, INDEX(LS_current!$D$4:$BW$137, MATCH('Staging Table'!$A66, LS_current!$B$4:$B$137, 0), MATCH(CL$4&amp;CL$5, LS_current!$D$2:$BW$2&amp;LS_current!$D$3:$BW$3, 0)),SUM(VLOOKUP($A66, LS_current!$B$4:$BW$137, LS_current!Q$147, FALSE), VLOOKUP($A66, LS_current!$B$4:$BW$137,LS_current!BM$147, FALSE))/2)</f>
        <v>1473.2679908431255</v>
      </c>
      <c r="CM66" s="102">
        <f t="array" ref="CM66">IF($BT66=0, INDEX(LS_current!$D$4:$BW$137, MATCH('Staging Table'!$A66, LS_current!$B$4:$B$137, 0), MATCH(CM$4&amp;CM$5, LS_current!$D$2:$BW$2&amp;LS_current!$D$3:$BW$3, 0)),SUM(VLOOKUP($A66, LS_current!$B$4:$BW$137, LS_current!R$147, FALSE), VLOOKUP($A66, LS_current!$B$4:$BW$137,LS_current!BN$147, FALSE))/2)</f>
        <v>-6319.0963888270526</v>
      </c>
      <c r="CN66" s="102">
        <f t="array" ref="CN66">IF($BT66=0, INDEX(LS_current!$D$4:$BW$137, MATCH('Staging Table'!$A66, LS_current!$B$4:$B$137, 0), MATCH(CN$4&amp;CN$5, LS_current!$D$2:$BW$2&amp;LS_current!$D$3:$BW$3, 0)),SUM(VLOOKUP($A66, LS_current!$B$4:$BW$137, LS_current!S$147, FALSE), VLOOKUP($A66, LS_current!$B$4:$BW$137,LS_current!BO$147, FALSE))/2)</f>
        <v>759.60440998161357</v>
      </c>
      <c r="CO66" s="102">
        <f t="array" ref="CO66">IF($BT66=0, INDEX(LS_current!$D$4:$BW$137, MATCH('Staging Table'!$A66, LS_current!$B$4:$B$137, 0), MATCH(CO$4&amp;CO$5, LS_current!$D$2:$BW$2&amp;LS_current!$D$3:$BW$3, 0)),SUM(VLOOKUP($A66, LS_current!$B$4:$BW$137, LS_current!T$147, FALSE), VLOOKUP($A66, LS_current!$B$4:$BW$137,LS_current!BP$147, FALSE))/2)</f>
        <v>-3705.8959311879607</v>
      </c>
      <c r="CP66" s="102">
        <f t="array" ref="CP66">IF($BT66=0, INDEX(LS_current!$D$4:$BW$137, MATCH('Staging Table'!$A66, LS_current!$B$4:$B$137, 0), MATCH(CP$4&amp;CP$5, LS_current!$D$2:$BW$2&amp;LS_current!$D$3:$BW$3, 0)),SUM(VLOOKUP($A66, LS_current!$B$4:$BW$137, LS_current!U$147, FALSE), VLOOKUP($A66, LS_current!$B$4:$BW$137,LS_current!BQ$147, FALSE))/2)</f>
        <v>3705.0293766798477</v>
      </c>
      <c r="CQ66" s="102">
        <f t="array" ref="CQ66">IF($BT66=0, INDEX(LS_current!$D$4:$BW$137, MATCH('Staging Table'!$A66, LS_current!$B$4:$B$137, 0), MATCH(CQ$4&amp;CQ$5, LS_current!$D$2:$BW$2&amp;LS_current!$D$3:$BW$3, 0)),SUM(VLOOKUP($A66, LS_current!$B$4:$BW$137, LS_current!V$147, FALSE), VLOOKUP($A66, LS_current!$B$4:$BW$137,LS_current!BR$147, FALSE))/2)</f>
        <v>6219.6235395849981</v>
      </c>
      <c r="CR66" s="102">
        <f t="array" ref="CR66">IF($BT66=0, INDEX(LS_current!$D$4:$BW$137, MATCH('Staging Table'!$A66, LS_current!$B$4:$B$137, 0), MATCH(CR$4&amp;CR$5, LS_current!$D$2:$BW$2&amp;LS_current!$D$3:$BW$3, 0)),SUM(VLOOKUP($A66, LS_current!$B$4:$BW$137, LS_current!W$147, FALSE), VLOOKUP($A66, LS_current!$B$4:$BW$137,LS_current!BS$147, FALSE))/2)</f>
        <v>10846.169992045399</v>
      </c>
      <c r="CS66" s="102">
        <f t="array" ref="CS66">IF($BT66=0, INDEX(LS_current!$D$4:$BW$137, MATCH('Staging Table'!$A66, LS_current!$B$4:$B$137, 0), MATCH(CS$4&amp;CS$5, LS_current!$D$2:$BW$2&amp;LS_current!$D$3:$BW$3, 0)),SUM(VLOOKUP($A66, LS_current!$B$4:$BW$137, LS_current!X$147, FALSE), VLOOKUP($A66, LS_current!$B$4:$BW$137,LS_current!BT$147, FALSE))/2)</f>
        <v>2530.4948232168044</v>
      </c>
      <c r="CT66" s="102">
        <f t="array" ref="CT66">IF($BT66=0, INDEX(LS_current!$D$4:$BW$137, MATCH('Staging Table'!$A66, LS_current!$B$4:$B$137, 0), MATCH(CT$4&amp;CT$5, LS_current!$D$2:$BW$2&amp;LS_current!$D$3:$BW$3, 0)),SUM(VLOOKUP($A66, LS_current!$B$4:$BW$137, LS_current!Y$147, FALSE), VLOOKUP($A66, LS_current!$B$4:$BW$137,LS_current!BU$147, FALSE))/2)</f>
        <v>10631.658321826688</v>
      </c>
      <c r="CU66" s="102">
        <f t="array" ref="CU66">IF($BT66=0, INDEX(LS_current!$D$4:$BW$137, MATCH('Staging Table'!$A66, LS_current!$B$4:$B$137, 0), MATCH(CU$4&amp;CU$5, LS_current!$D$2:$BW$2&amp;LS_current!$D$3:$BW$3, 0)),SUM(VLOOKUP($A66, LS_current!$B$4:$BW$137, LS_current!Z$147, FALSE), VLOOKUP($A66, LS_current!$B$4:$BW$137,LS_current!BV$147, FALSE))/2)</f>
        <v>3885.0411503734049</v>
      </c>
      <c r="CV66" s="102">
        <f t="array" ref="CV66">IF($BT66=0, INDEX(LS_current!$D$4:$BW$137, MATCH('Staging Table'!$A66, LS_current!$B$4:$B$137, 0), MATCH(CV$4&amp;CV$5, LS_current!$D$2:$BW$2&amp;LS_current!$D$3:$BW$3, 0)),SUM(VLOOKUP($A66, LS_current!$B$4:$BW$137, LS_current!AA$147, FALSE), VLOOKUP($A66, LS_current!$B$4:$BW$137,LS_current!BW$147, FALSE))/2)</f>
        <v>7383.8133244009841</v>
      </c>
      <c r="CW66" s="103">
        <f t="array" ref="CW66">INDEX(Demand_current!$D$4:$BW$137, MATCH($A66, Demand_current!$B$4:$B$137, 0), MATCH(CW$4&amp;CW$5,Demand_current!$D$2:$BW$2&amp;Demand_current!$D$3:$BW$3, 0))/1000</f>
        <v>0</v>
      </c>
      <c r="CX66" s="103">
        <f t="array" ref="CX66">INDEX(Demand_current!$D$4:$BW$137, MATCH($A66, Demand_current!$B$4:$B$137, 0), MATCH(CX$4&amp;CX$5,Demand_current!$D$2:$BW$2&amp;Demand_current!$D$3:$BW$3, 0))/1000</f>
        <v>0</v>
      </c>
      <c r="CY66" s="103">
        <f t="array" ref="CY66">INDEX(Demand_current!$D$4:$BW$137, MATCH($A66, Demand_current!$B$4:$B$137, 0), MATCH(CY$4&amp;CY$5,Demand_current!$D$2:$BW$2&amp;Demand_current!$D$3:$BW$3, 0))/1000</f>
        <v>0</v>
      </c>
      <c r="CZ66" s="103">
        <f t="array" ref="CZ66">INDEX(Demand_current!$D$4:$BW$137, MATCH($A66, Demand_current!$B$4:$B$137, 0), MATCH(CZ$4&amp;CZ$5,Demand_current!$D$2:$BW$2&amp;Demand_current!$D$3:$BW$3, 0))/1000</f>
        <v>0</v>
      </c>
      <c r="DA66" s="103">
        <f t="array" ref="DA66">INDEX(Demand_current!$D$4:$BW$137, MATCH($A66, Demand_current!$B$4:$B$137, 0), MATCH(DA$4&amp;DA$5,Demand_current!$D$2:$BW$2&amp;Demand_current!$D$3:$BW$3, 0))/1000</f>
        <v>0</v>
      </c>
      <c r="DB66" s="103">
        <f t="array" ref="DB66">INDEX(Demand_current!$D$4:$BW$137, MATCH($A66, Demand_current!$B$4:$B$137, 0), MATCH(DB$4&amp;DB$5,Demand_current!$D$2:$BW$2&amp;Demand_current!$D$3:$BW$3, 0))/1000</f>
        <v>0</v>
      </c>
      <c r="DC66" s="103">
        <f t="array" ref="DC66">INDEX(Demand_current!$D$4:$BW$137, MATCH($A66, Demand_current!$B$4:$B$137, 0), MATCH(DC$4&amp;DC$5,Demand_current!$D$2:$BW$2&amp;Demand_current!$D$3:$BW$3, 0))/1000</f>
        <v>0</v>
      </c>
      <c r="DD66" s="103">
        <f t="array" ref="DD66">INDEX(Demand_current!$D$4:$BW$137, MATCH($A66, Demand_current!$B$4:$B$137, 0), MATCH(DD$4&amp;DD$5,Demand_current!$D$2:$BW$2&amp;Demand_current!$D$3:$BW$3, 0))/1000</f>
        <v>0</v>
      </c>
      <c r="DE66" s="103">
        <f t="array" ref="DE66">INDEX(Demand_current!$D$4:$BW$137, MATCH($A66, Demand_current!$B$4:$B$137, 0), MATCH(DE$4&amp;DE$5,Demand_current!$D$2:$BW$2&amp;Demand_current!$D$3:$BW$3, 0))/1000</f>
        <v>0</v>
      </c>
      <c r="DF66" s="103">
        <f t="array" ref="DF66">INDEX(Demand_current!$D$4:$BW$137, MATCH($A66, Demand_current!$B$4:$B$137, 0), MATCH(DF$4&amp;DF$5,Demand_current!$D$2:$BW$2&amp;Demand_current!$D$3:$BW$3, 0))/1000</f>
        <v>0</v>
      </c>
      <c r="DG66" s="103">
        <f t="array" ref="DG66">INDEX(Demand_current!$D$4:$BW$137, MATCH($A66, Demand_current!$B$4:$B$137, 0), MATCH(DG$4&amp;DG$5,Demand_current!$D$2:$BW$2&amp;Demand_current!$D$3:$BW$3, 0))/1000</f>
        <v>0</v>
      </c>
      <c r="DH66" s="103">
        <f t="array" ref="DH66">INDEX(Demand_current!$D$4:$BW$137, MATCH($A66, Demand_current!$B$4:$B$137, 0), MATCH(DH$4&amp;DH$5,Demand_current!$D$2:$BW$2&amp;Demand_current!$D$3:$BW$3, 0))/1000</f>
        <v>0</v>
      </c>
      <c r="DI66" s="102">
        <f>$BS66*(VLOOKUP(DI$4, Rates_current!$H$6:$R$41, 10, FALSE)+VLOOKUP(DI$4, Rates_current!$H$6:$R$41, 11, FALSE))</f>
        <v>36603.046535969523</v>
      </c>
      <c r="DJ66" s="102">
        <f>$BS66*(VLOOKUP(DJ$4, Rates_current!$H$6:$R$41, 10, FALSE)+VLOOKUP(DJ$4, Rates_current!$H$6:$R$41, 11, FALSE))</f>
        <v>46795.790313841433</v>
      </c>
      <c r="DK66" s="102">
        <f>$BS66*(VLOOKUP(DK$4, Rates_current!$H$6:$R$41, 10, FALSE)+VLOOKUP(DK$4, Rates_current!$H$6:$R$41, 11, FALSE))</f>
        <v>53202.899729499892</v>
      </c>
      <c r="DL66" s="102">
        <f>$BS66*(VLOOKUP(DL$4, Rates_current!$H$6:$R$41, 10, FALSE)+VLOOKUP(DL$4, Rates_current!$H$6:$R$41, 11, FALSE))</f>
        <v>56133.212173671855</v>
      </c>
      <c r="DM66" s="102">
        <f>$BS66*(VLOOKUP(DM$4, Rates_current!$H$6:$R$41, 10, FALSE)+VLOOKUP(DM$4, Rates_current!$H$6:$R$41, 11, FALSE))</f>
        <v>44733.103886372315</v>
      </c>
      <c r="DN66" s="102">
        <f>$BS66*(VLOOKUP(DN$4, Rates_current!$H$6:$R$41, 10, FALSE)+VLOOKUP(DN$4, Rates_current!$H$6:$R$41, 11, FALSE))</f>
        <v>48902.468747765277</v>
      </c>
      <c r="DO66" s="102">
        <f>$BS66*(VLOOKUP(DO$4, Rates_current!$H$6:$R$41, 10, FALSE)+VLOOKUP(DO$4, Rates_current!$H$6:$R$41, 11, FALSE))</f>
        <v>37899.905192974358</v>
      </c>
      <c r="DP66" s="102">
        <f>$BS66*(VLOOKUP(DP$4, Rates_current!$H$6:$R$41, 10, FALSE)+VLOOKUP(DP$4, Rates_current!$H$6:$R$41, 11, FALSE))</f>
        <v>49048.717628152575</v>
      </c>
      <c r="DQ66" s="102">
        <f>$BS66*(VLOOKUP(DQ$4, Rates_current!$H$6:$R$41, 10, FALSE)+VLOOKUP(DQ$4, Rates_current!$H$6:$R$41, 11, FALSE))</f>
        <v>50096.050530292254</v>
      </c>
      <c r="DR66" s="102">
        <f>$BS66*(VLOOKUP(DR$4, Rates_current!$H$6:$R$41, 10, FALSE)+VLOOKUP(DR$4, Rates_current!$H$6:$R$41, 11, FALSE))</f>
        <v>44589.817515488554</v>
      </c>
      <c r="DS66" s="102">
        <f>$BS66*(VLOOKUP(DS$4, Rates_current!$H$6:$R$41, 10, FALSE)+VLOOKUP(DS$4, Rates_current!$H$6:$R$41, 11, FALSE))</f>
        <v>45740.975266043381</v>
      </c>
      <c r="DT66" s="102">
        <f>$BS66*(VLOOKUP(DT$4, Rates_current!$H$6:$R$41, 10, FALSE)+VLOOKUP(DT$4, Rates_current!$H$6:$R$41, 11, FALSE))</f>
        <v>35523.35033777127</v>
      </c>
      <c r="DU66" s="261">
        <f>IF(D66=0,IF(C66=0,MAX(0,DW66 - (VLOOKUP($A66,TOCA_current!$A$2:$AV$136,MATCH("RHWM "&amp;Init!$D$1,TOCA_current!$A$2:$AV$2,0),FALSE)*$BS$2)), 0),0)</f>
        <v>0</v>
      </c>
      <c r="DV66" s="262">
        <f>MIN(VLOOKUP($A66,TOCA_current!$A$2:$AV$136,MATCH("TRL - NLSL - Existing Resource "&amp;$BS$1,TOCA_current!$A$2:$AV$2,0),FALSE)*$BS$2, VLOOKUP($A66,TOCA_current!$A$2:$AV$136,MATCH("RHWM "&amp;Init!$D$1,TOCA_current!$A$2:$AV$2,0),FALSE)*$BS$2)</f>
        <v>1033925.28</v>
      </c>
      <c r="DW66" s="262">
        <f>SUM(BY66:CV66)+(BS66*RT1SC!$C$4*$BS$2)</f>
        <v>550496.55962966464</v>
      </c>
      <c r="DX66" s="262">
        <f>VLOOKUP($A66,TOCA_current!$A$2:$AV$136,MATCH("Above RHWM Not Served with LS "&amp;$BS$1,TOCA_current!$A$2:$AV$2,0),FALSE)*$BS$2</f>
        <v>229888.68</v>
      </c>
      <c r="DY66" s="262">
        <f t="shared" si="28"/>
        <v>-483428.72037033539</v>
      </c>
      <c r="DZ66" s="262">
        <f>(VLOOKUP($A66,TOCA_current!$A$2:$AV$136,MATCH("RHWM "&amp;Init!$D$1,TOCA_current!$A$2:$AV$2,0),FALSE)*$BS$2) - $DV66</f>
        <v>0</v>
      </c>
      <c r="EA66" s="262">
        <f t="shared" si="29"/>
        <v>0</v>
      </c>
      <c r="EB66" s="262">
        <f t="shared" si="30"/>
        <v>253540.04037033539</v>
      </c>
      <c r="EC66" s="262">
        <f t="shared" si="31"/>
        <v>0</v>
      </c>
      <c r="ED66" s="262">
        <f t="shared" si="32"/>
        <v>0</v>
      </c>
    </row>
    <row r="67" spans="1:134">
      <c r="A67" s="2">
        <v>10186</v>
      </c>
      <c r="B67" s="3" t="s">
        <v>69</v>
      </c>
      <c r="C67">
        <f>VLOOKUP(A67, TOCA_current!$A$3:$D$136, 4, FALSE)</f>
        <v>0</v>
      </c>
      <c r="D67">
        <v>0</v>
      </c>
      <c r="E67" s="84">
        <f>VLOOKUP($A67,TOCA_previous!$A$2:$AJ$136,MATCH(E$4,TOCA_previous!$A$2:$AJ$2,0),FALSE)</f>
        <v>2.5547999999999999E-3</v>
      </c>
      <c r="F67" s="85">
        <f>VLOOKUP($A67,TOCA_previous!$A$2:$AJ$136,MATCH(F$4,TOCA_previous!$A$2:$AJ$2,0),FALSE)</f>
        <v>2.5547999999999999E-3</v>
      </c>
      <c r="G67" s="85">
        <f t="shared" si="18"/>
        <v>0</v>
      </c>
      <c r="H67" s="85">
        <f>VLOOKUP($A67,TOCA_previous!$A$2:$AJ$136,MATCH(H$4,TOCA_previous!$A$2:$AJ$2,0),FALSE)</f>
        <v>7.0000000000000007E-2</v>
      </c>
      <c r="I67" s="85">
        <f t="shared" si="19"/>
        <v>0</v>
      </c>
      <c r="J67" s="85">
        <f t="shared" si="20"/>
        <v>0</v>
      </c>
      <c r="K67" s="101">
        <f>VLOOKUP(A67, IRD!$A$5:$C$138, 3, FALSE)</f>
        <v>0</v>
      </c>
      <c r="L67" s="102">
        <f t="array" ref="L67">IF($G67=0, INDEX(LS_previous!$D$4:$AY$137, MATCH('Staging Table'!$A67, LS_previous!$B$4:$B$137, 0), MATCH(L$4&amp;L$5, LS_previous!$D$2:$AY$2&amp;LS_previous!$D$3:$AY$3, 0)),SUM(VLOOKUP($A67, LS_previous!$B$4:$AY$137, LS_previous!D$148, FALSE), VLOOKUP('Staging Table'!$A67, LS_previous!$B$4:$AY$137,LS_previous!AB$148, FALSE))/2)</f>
        <v>609.62797682719884</v>
      </c>
      <c r="M67" s="102">
        <f t="array" ref="M67">IF($G67=0, INDEX(LS_previous!$D$4:$AY$137, MATCH('Staging Table'!$A67, LS_previous!$B$4:$B$137, 0), MATCH(M$4&amp;M$5, LS_previous!$D$2:$AY$2&amp;LS_previous!$D$3:$AY$3, 0)),SUM(VLOOKUP($A67, LS_previous!$B$4:$AY$137, LS_previous!E$148, FALSE), VLOOKUP('Staging Table'!$A67, LS_previous!$B$4:$AY$137,LS_previous!AC$148, FALSE))/2)</f>
        <v>562.84717329260002</v>
      </c>
      <c r="N67" s="102">
        <f t="array" ref="N67">IF($G67=0, INDEX(LS_previous!$D$4:$AY$137, MATCH('Staging Table'!$A67, LS_previous!$B$4:$B$137, 0), MATCH(N$4&amp;N$5, LS_previous!$D$2:$AY$2&amp;LS_previous!$D$3:$AY$3, 0)),SUM(VLOOKUP($A67, LS_previous!$B$4:$AY$137, LS_previous!F$148, FALSE), VLOOKUP('Staging Table'!$A67, LS_previous!$B$4:$AY$137,LS_previous!AD$148, FALSE))/2)</f>
        <v>-142.50022557440025</v>
      </c>
      <c r="O67" s="102">
        <f t="array" ref="O67">IF($G67=0, INDEX(LS_previous!$D$4:$AY$137, MATCH('Staging Table'!$A67, LS_previous!$B$4:$B$137, 0), MATCH(O$4&amp;O$5, LS_previous!$D$2:$AY$2&amp;LS_previous!$D$3:$AY$3, 0)),SUM(VLOOKUP($A67, LS_previous!$B$4:$AY$137, LS_previous!G$148, FALSE), VLOOKUP('Staging Table'!$A67, LS_previous!$B$4:$AY$137,LS_previous!AE$148, FALSE))/2)</f>
        <v>608.8482735212001</v>
      </c>
      <c r="P67" s="102">
        <f t="array" ref="P67">IF($G67=0, INDEX(LS_previous!$D$4:$AY$137, MATCH('Staging Table'!$A67, LS_previous!$B$4:$B$137, 0), MATCH(P$4&amp;P$5, LS_previous!$D$2:$AY$2&amp;LS_previous!$D$3:$AY$3, 0)),SUM(VLOOKUP($A67, LS_previous!$B$4:$AY$137, LS_previous!H$148, FALSE), VLOOKUP('Staging Table'!$A67, LS_previous!$B$4:$AY$137,LS_previous!AF$148, FALSE))/2)</f>
        <v>808.72003400280119</v>
      </c>
      <c r="Q67" s="102">
        <f t="array" ref="Q67">IF($G67=0, INDEX(LS_previous!$D$4:$AY$137, MATCH('Staging Table'!$A67, LS_previous!$B$4:$B$137, 0), MATCH(Q$4&amp;Q$5, LS_previous!$D$2:$AY$2&amp;LS_previous!$D$3:$AY$3, 0)),SUM(VLOOKUP($A67, LS_previous!$B$4:$AY$137, LS_previous!I$148, FALSE), VLOOKUP('Staging Table'!$A67, LS_previous!$B$4:$AY$137,LS_previous!AG$148, FALSE))/2)</f>
        <v>1557.7123054591993</v>
      </c>
      <c r="R67" s="102">
        <f t="array" ref="R67">IF($G67=0, INDEX(LS_previous!$D$4:$AY$137, MATCH('Staging Table'!$A67, LS_previous!$B$4:$B$137, 0), MATCH(R$4&amp;R$5, LS_previous!$D$2:$AY$2&amp;LS_previous!$D$3:$AY$3, 0)),SUM(VLOOKUP($A67, LS_previous!$B$4:$AY$137, LS_previous!J$148, FALSE), VLOOKUP('Staging Table'!$A67, LS_previous!$B$4:$AY$137,LS_previous!AH$148, FALSE))/2)</f>
        <v>-91.044193481999173</v>
      </c>
      <c r="S67" s="102">
        <f t="array" ref="S67">IF($G67=0, INDEX(LS_previous!$D$4:$AY$137, MATCH('Staging Table'!$A67, LS_previous!$B$4:$B$137, 0), MATCH(S$4&amp;S$5, LS_previous!$D$2:$AY$2&amp;LS_previous!$D$3:$AY$3, 0)),SUM(VLOOKUP($A67, LS_previous!$B$4:$AY$137, LS_previous!K$148, FALSE), VLOOKUP('Staging Table'!$A67, LS_previous!$B$4:$AY$137,LS_previous!AI$148, FALSE))/2)</f>
        <v>1424.9719635107995</v>
      </c>
      <c r="T67" s="102">
        <f t="array" ref="T67">IF($G67=0, INDEX(LS_previous!$D$4:$AY$137, MATCH('Staging Table'!$A67, LS_previous!$B$4:$B$137, 0), MATCH(T$4&amp;T$5, LS_previous!$D$2:$AY$2&amp;LS_previous!$D$3:$AY$3, 0)),SUM(VLOOKUP($A67, LS_previous!$B$4:$AY$137, LS_previous!L$148, FALSE), VLOOKUP('Staging Table'!$A67, LS_previous!$B$4:$AY$137,LS_previous!AJ$148, FALSE))/2)</f>
        <v>532.44652833080181</v>
      </c>
      <c r="U67" s="102">
        <f t="array" ref="U67">IF($G67=0, INDEX(LS_previous!$D$4:$AY$137, MATCH('Staging Table'!$A67, LS_previous!$B$4:$B$137, 0), MATCH(U$4&amp;U$5, LS_previous!$D$2:$AY$2&amp;LS_previous!$D$3:$AY$3, 0)),SUM(VLOOKUP($A67, LS_previous!$B$4:$AY$137, LS_previous!M$148, FALSE), VLOOKUP('Staging Table'!$A67, LS_previous!$B$4:$AY$137,LS_previous!AK$148, FALSE))/2)</f>
        <v>1325.4094751468001</v>
      </c>
      <c r="V67" s="102">
        <f t="array" ref="V67">IF($G67=0, INDEX(LS_previous!$D$4:$AY$137, MATCH('Staging Table'!$A67, LS_previous!$B$4:$B$137, 0), MATCH(V$4&amp;V$5, LS_previous!$D$2:$AY$2&amp;LS_previous!$D$3:$AY$3, 0)),SUM(VLOOKUP($A67, LS_previous!$B$4:$AY$137, LS_previous!N$148, FALSE), VLOOKUP('Staging Table'!$A67, LS_previous!$B$4:$AY$137,LS_previous!AL$148, FALSE))/2)</f>
        <v>-103.45834989239847</v>
      </c>
      <c r="W67" s="102">
        <f t="array" ref="W67">IF($G67=0, INDEX(LS_previous!$D$4:$AY$137, MATCH('Staging Table'!$A67, LS_previous!$B$4:$B$137, 0), MATCH(W$4&amp;W$5, LS_previous!$D$2:$AY$2&amp;LS_previous!$D$3:$AY$3, 0)),SUM(VLOOKUP($A67, LS_previous!$B$4:$AY$137, LS_previous!O$148, FALSE), VLOOKUP('Staging Table'!$A67, LS_previous!$B$4:$AY$137,LS_previous!AM$148, FALSE))/2)</f>
        <v>303.7196415656008</v>
      </c>
      <c r="X67" s="102">
        <f t="array" ref="X67">IF($G67=0, INDEX(LS_previous!$D$4:$AY$137, MATCH('Staging Table'!$A67, LS_previous!$B$4:$B$137, 0), MATCH(X$4&amp;X$5, LS_previous!$D$2:$AY$2&amp;LS_previous!$D$3:$AY$3, 0)),SUM(VLOOKUP($A67, LS_previous!$B$4:$AY$137, LS_previous!P$148, FALSE), VLOOKUP('Staging Table'!$A67, LS_previous!$B$4:$AY$137,LS_previous!AN$148, FALSE))/2)</f>
        <v>462.37161004300015</v>
      </c>
      <c r="Y67" s="102">
        <f t="array" ref="Y67">IF($G67=0, INDEX(LS_previous!$D$4:$AY$137, MATCH('Staging Table'!$A67, LS_previous!$B$4:$B$137, 0), MATCH(Y$4&amp;Y$5, LS_previous!$D$2:$AY$2&amp;LS_previous!$D$3:$AY$3, 0)),SUM(VLOOKUP($A67, LS_previous!$B$4:$AY$137, LS_previous!Q$148, FALSE), VLOOKUP('Staging Table'!$A67, LS_previous!$B$4:$AY$137,LS_previous!AO$148, FALSE))/2)</f>
        <v>737.76964792110084</v>
      </c>
      <c r="Z67" s="102">
        <f t="array" ref="Z67">IF($G67=0, INDEX(LS_previous!$D$4:$AY$137, MATCH('Staging Table'!$A67, LS_previous!$B$4:$B$137, 0), MATCH(Z$4&amp;Z$5, LS_previous!$D$2:$AY$2&amp;LS_previous!$D$3:$AY$3, 0)),SUM(VLOOKUP($A67, LS_previous!$B$4:$AY$137, LS_previous!R$148, FALSE), VLOOKUP('Staging Table'!$A67, LS_previous!$B$4:$AY$137,LS_previous!AP$148, FALSE))/2)</f>
        <v>-1571.6456832703998</v>
      </c>
      <c r="AA67" s="102">
        <f t="array" ref="AA67">IF($G67=0, INDEX(LS_previous!$D$4:$AY$137, MATCH('Staging Table'!$A67, LS_previous!$B$4:$B$137, 0), MATCH(AA$4&amp;AA$5, LS_previous!$D$2:$AY$2&amp;LS_previous!$D$3:$AY$3, 0)),SUM(VLOOKUP($A67, LS_previous!$B$4:$AY$137, LS_previous!S$148, FALSE), VLOOKUP('Staging Table'!$A67, LS_previous!$B$4:$AY$137,LS_previous!AQ$148, FALSE))/2)</f>
        <v>-425.33328613579943</v>
      </c>
      <c r="AB67" s="102">
        <f t="array" ref="AB67">IF($G67=0, INDEX(LS_previous!$D$4:$AY$137, MATCH('Staging Table'!$A67, LS_previous!$B$4:$B$137, 0), MATCH(AB$4&amp;AB$5, LS_previous!$D$2:$AY$2&amp;LS_previous!$D$3:$AY$3, 0)),SUM(VLOOKUP($A67, LS_previous!$B$4:$AY$137, LS_previous!T$148, FALSE), VLOOKUP('Staging Table'!$A67, LS_previous!$B$4:$AY$137,LS_previous!AR$148, FALSE))/2)</f>
        <v>-1915.1312493447986</v>
      </c>
      <c r="AC67" s="102">
        <f t="array" ref="AC67">IF($G67=0, INDEX(LS_previous!$D$4:$AY$137, MATCH('Staging Table'!$A67, LS_previous!$B$4:$B$137, 0), MATCH(AC$4&amp;AC$5, LS_previous!$D$2:$AY$2&amp;LS_previous!$D$3:$AY$3, 0)),SUM(VLOOKUP($A67, LS_previous!$B$4:$AY$137, LS_previous!U$148, FALSE), VLOOKUP('Staging Table'!$A67, LS_previous!$B$4:$AY$137,LS_previous!AS$148, FALSE))/2)</f>
        <v>-842.50890923659972</v>
      </c>
      <c r="AD67" s="102">
        <f t="array" ref="AD67">IF($G67=0, INDEX(LS_previous!$D$4:$AY$137, MATCH('Staging Table'!$A67, LS_previous!$B$4:$B$137, 0), MATCH(AD$4&amp;AD$5, LS_previous!$D$2:$AY$2&amp;LS_previous!$D$3:$AY$3, 0)),SUM(VLOOKUP($A67, LS_previous!$B$4:$AY$137, LS_previous!V$148, FALSE), VLOOKUP('Staging Table'!$A67, LS_previous!$B$4:$AY$137,LS_previous!AT$148, FALSE))/2)</f>
        <v>-234.60875066719927</v>
      </c>
      <c r="AE67" s="102">
        <f t="array" ref="AE67">IF($G67=0, INDEX(LS_previous!$D$4:$AY$137, MATCH('Staging Table'!$A67, LS_previous!$B$4:$B$137, 0), MATCH(AE$4&amp;AE$5, LS_previous!$D$2:$AY$2&amp;LS_previous!$D$3:$AY$3, 0)),SUM(VLOOKUP($A67, LS_previous!$B$4:$AY$137, LS_previous!W$148, FALSE), VLOOKUP('Staging Table'!$A67, LS_previous!$B$4:$AY$137,LS_previous!AU$148, FALSE))/2)</f>
        <v>445.72363126300024</v>
      </c>
      <c r="AF67" s="102">
        <f t="array" ref="AF67">IF($G67=0, INDEX(LS_previous!$D$4:$AY$137, MATCH('Staging Table'!$A67, LS_previous!$B$4:$B$137, 0), MATCH(AF$4&amp;AF$5, LS_previous!$D$2:$AY$2&amp;LS_previous!$D$3:$AY$3, 0)),SUM(VLOOKUP($A67, LS_previous!$B$4:$AY$137, LS_previous!X$148, FALSE), VLOOKUP('Staging Table'!$A67, LS_previous!$B$4:$AY$137,LS_previous!AV$148, FALSE))/2)</f>
        <v>-313.49573014819998</v>
      </c>
      <c r="AG67" s="102">
        <f t="array" ref="AG67">IF($G67=0, INDEX(LS_previous!$D$4:$AY$137, MATCH('Staging Table'!$A67, LS_previous!$B$4:$B$137, 0), MATCH(AG$4&amp;AG$5, LS_previous!$D$2:$AY$2&amp;LS_previous!$D$3:$AY$3, 0)),SUM(VLOOKUP($A67, LS_previous!$B$4:$AY$137, LS_previous!Y$148, FALSE), VLOOKUP('Staging Table'!$A67, LS_previous!$B$4:$AY$137,LS_previous!AW$148, FALSE))/2)</f>
        <v>-40.067846400779672</v>
      </c>
      <c r="AH67" s="102">
        <f t="array" ref="AH67">IF($G67=0, INDEX(LS_previous!$D$4:$AY$137, MATCH('Staging Table'!$A67, LS_previous!$B$4:$B$137, 0), MATCH(AH$4&amp;AH$5, LS_previous!$D$2:$AY$2&amp;LS_previous!$D$3:$AY$3, 0)),SUM(VLOOKUP($A67, LS_previous!$B$4:$AY$137, LS_previous!Z$148, FALSE), VLOOKUP('Staging Table'!$A67, LS_previous!$B$4:$AY$137,LS_previous!AX$148, FALSE))/2)</f>
        <v>-247.61530241519995</v>
      </c>
      <c r="AI67" s="102">
        <f t="array" ref="AI67">IF($G67=0, INDEX(LS_previous!$D$4:$AY$137, MATCH('Staging Table'!$A67, LS_previous!$B$4:$B$137, 0), MATCH(AI$4&amp;AI$5, LS_previous!$D$2:$AY$2&amp;LS_previous!$D$3:$AY$3, 0)),SUM(VLOOKUP($A67, LS_previous!$B$4:$AY$137, LS_previous!AA$148, FALSE), VLOOKUP('Staging Table'!$A67, LS_previous!$B$4:$AY$137,LS_previous!AY$148, FALSE))/2)</f>
        <v>15.760613100799674</v>
      </c>
      <c r="AJ67" s="103">
        <f t="array" ref="AJ67">INDEX(Demand_previous!$D$4:$AY$137, MATCH('Staging Table'!$A67, Demand_previous!$B$4:$B$137, 0), MATCH(AJ$4&amp;AJ$5,Demand_previous!$D$2:$AY$2&amp;Demand_previous!$D$3:$AY$3, 0))/1000</f>
        <v>3.780740384615386</v>
      </c>
      <c r="AK67" s="103">
        <f t="array" ref="AK67">INDEX(Demand_previous!$D$4:$AY$137, MATCH('Staging Table'!$A67, Demand_previous!$B$4:$B$137, 0), MATCH(AK$4&amp;AK$5,Demand_previous!$D$2:$AY$2&amp;Demand_previous!$D$3:$AY$3, 0))/1000</f>
        <v>1.5649700000000006</v>
      </c>
      <c r="AL67" s="103">
        <f t="array" ref="AL67">INDEX(Demand_previous!$D$4:$AY$137, MATCH('Staging Table'!$A67, Demand_previous!$B$4:$B$137, 0), MATCH(AL$4&amp;AL$5,Demand_previous!$D$2:$AY$2&amp;Demand_previous!$D$3:$AY$3, 0))/1000</f>
        <v>2.3923575000000006</v>
      </c>
      <c r="AM67" s="103">
        <f t="array" ref="AM67">INDEX(Demand_previous!$D$4:$AY$137, MATCH('Staging Table'!$A67, Demand_previous!$B$4:$B$137, 0), MATCH(AM$4&amp;AM$5,Demand_previous!$D$2:$AY$2&amp;Demand_previous!$D$3:$AY$3, 0))/1000</f>
        <v>1.3686802884615412</v>
      </c>
      <c r="AN67" s="103">
        <f t="array" ref="AN67">INDEX(Demand_previous!$D$4:$AY$137, MATCH('Staging Table'!$A67, Demand_previous!$B$4:$B$137, 0), MATCH(AN$4&amp;AN$5,Demand_previous!$D$2:$AY$2&amp;Demand_previous!$D$3:$AY$3, 0))/1000</f>
        <v>6.3318100000000044</v>
      </c>
      <c r="AO67" s="103">
        <f t="array" ref="AO67">INDEX(Demand_previous!$D$4:$AY$137, MATCH('Staging Table'!$A67, Demand_previous!$B$4:$B$137, 0), MATCH(AO$4&amp;AO$5,Demand_previous!$D$2:$AY$2&amp;Demand_previous!$D$3:$AY$3, 0))/1000</f>
        <v>2.7586081730769205</v>
      </c>
      <c r="AP67" s="103">
        <f t="array" ref="AP67">INDEX(Demand_previous!$D$4:$AY$137, MATCH('Staging Table'!$A67, Demand_previous!$B$4:$B$137, 0), MATCH(AP$4&amp;AP$5,Demand_previous!$D$2:$AY$2&amp;Demand_previous!$D$3:$AY$3, 0))/1000</f>
        <v>2.8913774038461537</v>
      </c>
      <c r="AQ67" s="103">
        <f t="array" ref="AQ67">INDEX(Demand_previous!$D$4:$AY$137, MATCH('Staging Table'!$A67, Demand_previous!$B$4:$B$137, 0), MATCH(AQ$4&amp;AQ$5,Demand_previous!$D$2:$AY$2&amp;Demand_previous!$D$3:$AY$3, 0))/1000</f>
        <v>2.1080000000000032</v>
      </c>
      <c r="AR67" s="103">
        <f t="array" ref="AR67">INDEX(Demand_previous!$D$4:$AY$137, MATCH('Staging Table'!$A67, Demand_previous!$B$4:$B$137, 0), MATCH(AR$4&amp;AR$5,Demand_previous!$D$2:$AY$2&amp;Demand_previous!$D$3:$AY$3, 0))/1000</f>
        <v>2.157057499999997</v>
      </c>
      <c r="AS67" s="103">
        <f t="array" ref="AS67">INDEX(Demand_previous!$D$4:$AY$137, MATCH('Staging Table'!$A67, Demand_previous!$B$4:$B$137, 0), MATCH(AS$4&amp;AS$5,Demand_previous!$D$2:$AY$2&amp;Demand_previous!$D$3:$AY$3, 0))/1000</f>
        <v>3.3320673076923102</v>
      </c>
      <c r="AT67" s="103">
        <f t="array" ref="AT67">INDEX(Demand_previous!$D$4:$AY$137, MATCH('Staging Table'!$A67, Demand_previous!$B$4:$B$137, 0), MATCH(AT$4&amp;AT$5,Demand_previous!$D$2:$AY$2&amp;Demand_previous!$D$3:$AY$3, 0))/1000</f>
        <v>3.5470925925925934</v>
      </c>
      <c r="AU67" s="103">
        <f t="array" ref="AU67">INDEX(Demand_previous!$D$4:$AY$137, MATCH('Staging Table'!$A67, Demand_previous!$B$4:$B$137, 0), MATCH(AU$4&amp;AU$5,Demand_previous!$D$2:$AY$2&amp;Demand_previous!$D$3:$AY$3, 0))/1000</f>
        <v>0.82698697916666486</v>
      </c>
      <c r="AV67" s="102">
        <f>$F67*(VLOOKUP(AV$4, Rates_previous!$G$6:$Q$29, 10, FALSE)+VLOOKUP(AV$4, Rates_previous!$G$6:$Q$29, 11, FALSE))</f>
        <v>10778.199849880199</v>
      </c>
      <c r="AW67" s="102">
        <f>$F67*(VLOOKUP(AW$4, Rates_previous!$G$6:$Q$29, 10, FALSE)+VLOOKUP(AW$4, Rates_previous!$G$6:$Q$29, 11, FALSE))</f>
        <v>13745.758952053202</v>
      </c>
      <c r="AX67" s="102">
        <f>$F67*(VLOOKUP(AX$4, Rates_previous!$G$6:$Q$29, 10, FALSE)+VLOOKUP(AX$4, Rates_previous!$G$6:$Q$29, 11, FALSE))</f>
        <v>14834.393660538</v>
      </c>
      <c r="AY67" s="102">
        <f>$F67*(VLOOKUP(AY$4, Rates_previous!$G$6:$Q$29, 10, FALSE)+VLOOKUP(AY$4, Rates_previous!$G$6:$Q$29, 11, FALSE))</f>
        <v>15415.228229971199</v>
      </c>
      <c r="AZ67" s="102">
        <f>$F67*(VLOOKUP(AZ$4, Rates_previous!$G$6:$Q$29, 10, FALSE)+VLOOKUP(AZ$4, Rates_previous!$G$6:$Q$29, 11, FALSE))</f>
        <v>13259.150996522398</v>
      </c>
      <c r="BA67" s="102">
        <f>$F67*(VLOOKUP(BA$4, Rates_previous!$G$6:$Q$29, 10, FALSE)+VLOOKUP(BA$4, Rates_previous!$G$6:$Q$29, 11, FALSE))</f>
        <v>14476.367708326799</v>
      </c>
      <c r="BB67" s="102">
        <f>$F67*(VLOOKUP(BB$4, Rates_previous!$G$6:$Q$29, 10, FALSE)+VLOOKUP(BB$4, Rates_previous!$G$6:$Q$29, 11, FALSE))</f>
        <v>11426.652742035898</v>
      </c>
      <c r="BC67" s="102">
        <f>$F67*(VLOOKUP(BC$4, Rates_previous!$G$6:$Q$29, 10, FALSE)+VLOOKUP(BC$4, Rates_previous!$G$6:$Q$29, 11, FALSE))</f>
        <v>14176.293969406199</v>
      </c>
      <c r="BD67" s="102">
        <f>$F67*(VLOOKUP(BD$4, Rates_previous!$G$6:$Q$29, 10, FALSE)+VLOOKUP(BD$4, Rates_previous!$G$6:$Q$29, 11, FALSE))</f>
        <v>14483.884158581399</v>
      </c>
      <c r="BE67" s="102">
        <f>$F67*(VLOOKUP(BE$4, Rates_previous!$G$6:$Q$29, 10, FALSE)+VLOOKUP(BE$4, Rates_previous!$G$6:$Q$29, 11, FALSE))</f>
        <v>12574.0981194042</v>
      </c>
      <c r="BF67" s="102">
        <f>$F67*(VLOOKUP(BF$4, Rates_previous!$G$6:$Q$29, 10, FALSE)+VLOOKUP(BF$4, Rates_previous!$G$6:$Q$29, 11, FALSE))</f>
        <v>12155.81057654898</v>
      </c>
      <c r="BG67" s="102">
        <f>$F67*(VLOOKUP(BG$4, Rates_previous!$G$6:$Q$29, 10, FALSE)+VLOOKUP(BG$4, Rates_previous!$G$6:$Q$29, 11, FALSE))</f>
        <v>11185.699689314401</v>
      </c>
      <c r="BH67" s="103">
        <f>IF($D67=0,IF(C67=0, MAX(BJ67 - (VLOOKUP($A67,TOCA_previous!$A$2:$AJ$136,MATCH("RHWM "&amp;Init!$D$1-2,TOCA_previous!$A$2:$AJ$2,0),FALSE)*$F$2*TOCA_previous!C64),0),0), 0)</f>
        <v>0</v>
      </c>
      <c r="BI67" s="109">
        <f>MIN(VLOOKUP($A67,TOCA_previous!$A$2:$AJ$136,MATCH("TRL - NLSL - Existing Resource "&amp;$F$1,TOCA_previous!$A$2:$AJ$2,0),FALSE)*$F$2,(VLOOKUP($A67,TOCA_previous!$A$2:$AJ$136,MATCH("RHWM "&amp;Init!$D$1-2,TOCA_previous!$A$2:$AJ$2,0),FALSE)*$F$2))</f>
        <v>155011.24799999999</v>
      </c>
      <c r="BJ67" s="261">
        <f>SUM(L67:AI67)+(F67*RT1SC!$C$3*$F$2)</f>
        <v>161980.05872658512</v>
      </c>
      <c r="BK67" s="260">
        <f>VLOOKUP($A67,TOCA_previous!$A$2:$AJ$136,MATCH("Above RHWM Not Served with LS "&amp;$F$1,TOCA_previous!$A$2:$AJ$2,0),FALSE)*$F$2</f>
        <v>0</v>
      </c>
      <c r="BL67" s="261">
        <f t="shared" si="21"/>
        <v>6968.8107265851286</v>
      </c>
      <c r="BM67" s="260">
        <f>(VLOOKUP($A67,TOCA_previous!$A$2:$AJ$136,MATCH("RHWM "&amp;Init!$D$1-2,TOCA_previous!$A$2:$AJ$2,0),FALSE)*$F$2) - $BI67</f>
        <v>32237.279999999999</v>
      </c>
      <c r="BN67" s="261">
        <f t="shared" si="22"/>
        <v>-6968.8107265851286</v>
      </c>
      <c r="BO67" s="260">
        <f t="shared" si="23"/>
        <v>0</v>
      </c>
      <c r="BP67" s="261">
        <f t="shared" si="24"/>
        <v>0</v>
      </c>
      <c r="BQ67" s="260">
        <f t="shared" si="9"/>
        <v>-6968.8107265851286</v>
      </c>
      <c r="BR67" s="85">
        <f>VLOOKUP($A67,TOCA_current!$A$2:$ZZ$136,MATCH(BR$4,TOCA_current!$A$2:$ZZ$2,0),FALSE)</f>
        <v>2.6009000000000002E-3</v>
      </c>
      <c r="BS67" s="85">
        <f>VLOOKUP($A67,TOCA_current!$A$2:$ZZ$136,MATCH(BS$4,TOCA_current!$A$2:$ZZ$2,0),FALSE)</f>
        <v>2.6009000000000002E-3</v>
      </c>
      <c r="BT67" s="108">
        <f t="shared" si="25"/>
        <v>0</v>
      </c>
      <c r="BU67" s="85">
        <f>VLOOKUP($A67,TOCA_current!A64:BG198,MATCH(BU$4,TOCA_current!$A$2:$BG$2,0),FALSE)</f>
        <v>7.0000000000000007E-2</v>
      </c>
      <c r="BV67" s="85">
        <f t="shared" si="26"/>
        <v>0</v>
      </c>
      <c r="BW67" s="85">
        <f t="shared" si="27"/>
        <v>0</v>
      </c>
      <c r="BX67" s="101">
        <f>VLOOKUP($A67,IRD!$A$4:$G$138, 7, FALSE)</f>
        <v>0</v>
      </c>
      <c r="BY67" s="102">
        <f t="array" ref="BY67">IF($BT67=0, INDEX(LS_current!$D$4:$BW$137, MATCH('Staging Table'!$A67, LS_current!$B$4:$B$137, 0), MATCH(BY$4&amp;BY$5, LS_current!$D$2:$BW$2&amp;LS_current!$D$3:$BW$3, 0)),SUM(VLOOKUP($A67, LS_current!$B$4:$BW$137, LS_current!D$147, FALSE), VLOOKUP($A67, LS_current!$B$4:$BW$137,LS_current!AZ$147, FALSE))/2)</f>
        <v>404.57345626711958</v>
      </c>
      <c r="BZ67" s="102">
        <f t="array" ref="BZ67">IF($BT67=0, INDEX(LS_current!$D$4:$BW$137, MATCH('Staging Table'!$A67, LS_current!$B$4:$B$137, 0), MATCH(BZ$4&amp;BZ$5, LS_current!$D$2:$BW$2&amp;LS_current!$D$3:$BW$3, 0)),SUM(VLOOKUP($A67, LS_current!$B$4:$BW$137, LS_current!E$147, FALSE), VLOOKUP($A67, LS_current!$B$4:$BW$137,LS_current!BA$147, FALSE))/2)</f>
        <v>751.61850232381221</v>
      </c>
      <c r="CA67" s="102">
        <f t="array" ref="CA67">IF($BT67=0, INDEX(LS_current!$D$4:$BW$137, MATCH('Staging Table'!$A67, LS_current!$B$4:$B$137, 0), MATCH(CA$4&amp;CA$5, LS_current!$D$2:$BW$2&amp;LS_current!$D$3:$BW$3, 0)),SUM(VLOOKUP($A67, LS_current!$B$4:$BW$137, LS_current!F$147, FALSE), VLOOKUP($A67, LS_current!$B$4:$BW$137,LS_current!BB$147, FALSE))/2)</f>
        <v>-139.83097225008532</v>
      </c>
      <c r="CB67" s="102">
        <f t="array" ref="CB67">IF($BT67=0, INDEX(LS_current!$D$4:$BW$137, MATCH('Staging Table'!$A67, LS_current!$B$4:$B$137, 0), MATCH(CB$4&amp;CB$5, LS_current!$D$2:$BW$2&amp;LS_current!$D$3:$BW$3, 0)),SUM(VLOOKUP($A67, LS_current!$B$4:$BW$137, LS_current!G$147, FALSE), VLOOKUP($A67, LS_current!$B$4:$BW$137,LS_current!BC$147, FALSE))/2)</f>
        <v>551.54667269794027</v>
      </c>
      <c r="CC67" s="102">
        <f t="array" ref="CC67">IF($BT67=0, INDEX(LS_current!$D$4:$BW$137, MATCH('Staging Table'!$A67, LS_current!$B$4:$B$137, 0), MATCH(CC$4&amp;CC$5, LS_current!$D$2:$BW$2&amp;LS_current!$D$3:$BW$3, 0)),SUM(VLOOKUP($A67, LS_current!$B$4:$BW$137, LS_current!H$147, FALSE), VLOOKUP($A67, LS_current!$B$4:$BW$137,LS_current!BD$147, FALSE))/2)</f>
        <v>-254.55937825142792</v>
      </c>
      <c r="CD67" s="102">
        <f t="array" ref="CD67">IF($BT67=0, INDEX(LS_current!$D$4:$BW$137, MATCH('Staging Table'!$A67, LS_current!$B$4:$B$137, 0), MATCH(CD$4&amp;CD$5, LS_current!$D$2:$BW$2&amp;LS_current!$D$3:$BW$3, 0)),SUM(VLOOKUP($A67, LS_current!$B$4:$BW$137, LS_current!I$147, FALSE), VLOOKUP($A67, LS_current!$B$4:$BW$137,LS_current!BE$147, FALSE))/2)</f>
        <v>1765.4946933458459</v>
      </c>
      <c r="CE67" s="102">
        <f t="array" ref="CE67">IF($BT67=0, INDEX(LS_current!$D$4:$BW$137, MATCH('Staging Table'!$A67, LS_current!$B$4:$B$137, 0), MATCH(CE$4&amp;CE$5, LS_current!$D$2:$BW$2&amp;LS_current!$D$3:$BW$3, 0)),SUM(VLOOKUP($A67, LS_current!$B$4:$BW$137, LS_current!J$147, FALSE), VLOOKUP($A67, LS_current!$B$4:$BW$137,LS_current!BF$147, FALSE))/2)</f>
        <v>-981.25772547923953</v>
      </c>
      <c r="CF67" s="102">
        <f t="array" ref="CF67">IF($BT67=0, INDEX(LS_current!$D$4:$BW$137, MATCH('Staging Table'!$A67, LS_current!$B$4:$B$137, 0), MATCH(CF$4&amp;CF$5, LS_current!$D$2:$BW$2&amp;LS_current!$D$3:$BW$3, 0)),SUM(VLOOKUP($A67, LS_current!$B$4:$BW$137, LS_current!K$147, FALSE), VLOOKUP($A67, LS_current!$B$4:$BW$137,LS_current!BG$147, FALSE))/2)</f>
        <v>1176.3543175259611</v>
      </c>
      <c r="CG67" s="102">
        <f t="array" ref="CG67">IF($BT67=0, INDEX(LS_current!$D$4:$BW$137, MATCH('Staging Table'!$A67, LS_current!$B$4:$B$137, 0), MATCH(CG$4&amp;CG$5, LS_current!$D$2:$BW$2&amp;LS_current!$D$3:$BW$3, 0)),SUM(VLOOKUP($A67, LS_current!$B$4:$BW$137, LS_current!L$147, FALSE), VLOOKUP($A67, LS_current!$B$4:$BW$137,LS_current!BH$147, FALSE))/2)</f>
        <v>568.50488639288778</v>
      </c>
      <c r="CH67" s="102">
        <f t="array" ref="CH67">IF($BT67=0, INDEX(LS_current!$D$4:$BW$137, MATCH('Staging Table'!$A67, LS_current!$B$4:$B$137, 0), MATCH(CH$4&amp;CH$5, LS_current!$D$2:$BW$2&amp;LS_current!$D$3:$BW$3, 0)),SUM(VLOOKUP($A67, LS_current!$B$4:$BW$137, LS_current!M$147, FALSE), VLOOKUP($A67, LS_current!$B$4:$BW$137,LS_current!BI$147, FALSE))/2)</f>
        <v>1356.4108264372644</v>
      </c>
      <c r="CI67" s="102">
        <f t="array" ref="CI67">IF($BT67=0, INDEX(LS_current!$D$4:$BW$137, MATCH('Staging Table'!$A67, LS_current!$B$4:$B$137, 0), MATCH(CI$4&amp;CI$5, LS_current!$D$2:$BW$2&amp;LS_current!$D$3:$BW$3, 0)),SUM(VLOOKUP($A67, LS_current!$B$4:$BW$137, LS_current!N$147, FALSE), VLOOKUP($A67, LS_current!$B$4:$BW$137,LS_current!BJ$147, FALSE))/2)</f>
        <v>-668.99735244520161</v>
      </c>
      <c r="CJ67" s="102">
        <f t="array" ref="CJ67">IF($BT67=0, INDEX(LS_current!$D$4:$BW$137, MATCH('Staging Table'!$A67, LS_current!$B$4:$B$137, 0), MATCH(CJ$4&amp;CJ$5, LS_current!$D$2:$BW$2&amp;LS_current!$D$3:$BW$3, 0)),SUM(VLOOKUP($A67, LS_current!$B$4:$BW$137, LS_current!O$147, FALSE), VLOOKUP($A67, LS_current!$B$4:$BW$137,LS_current!BK$147, FALSE))/2)</f>
        <v>923.96150380893323</v>
      </c>
      <c r="CK67" s="102">
        <f t="array" ref="CK67">IF($BT67=0, INDEX(LS_current!$D$4:$BW$137, MATCH('Staging Table'!$A67, LS_current!$B$4:$B$137, 0), MATCH(CK$4&amp;CK$5, LS_current!$D$2:$BW$2&amp;LS_current!$D$3:$BW$3, 0)),SUM(VLOOKUP($A67, LS_current!$B$4:$BW$137, LS_current!P$147, FALSE), VLOOKUP($A67, LS_current!$B$4:$BW$137,LS_current!BL$147, FALSE))/2)</f>
        <v>535.82115168998735</v>
      </c>
      <c r="CL67" s="102">
        <f t="array" ref="CL67">IF($BT67=0, INDEX(LS_current!$D$4:$BW$137, MATCH('Staging Table'!$A67, LS_current!$B$4:$B$137, 0), MATCH(CL$4&amp;CL$5, LS_current!$D$2:$BW$2&amp;LS_current!$D$3:$BW$3, 0)),SUM(VLOOKUP($A67, LS_current!$B$4:$BW$137, LS_current!Q$147, FALSE), VLOOKUP($A67, LS_current!$B$4:$BW$137,LS_current!BM$147, FALSE))/2)</f>
        <v>914.03752205119599</v>
      </c>
      <c r="CM67" s="102">
        <f t="array" ref="CM67">IF($BT67=0, INDEX(LS_current!$D$4:$BW$137, MATCH('Staging Table'!$A67, LS_current!$B$4:$B$137, 0), MATCH(CM$4&amp;CM$5, LS_current!$D$2:$BW$2&amp;LS_current!$D$3:$BW$3, 0)),SUM(VLOOKUP($A67, LS_current!$B$4:$BW$137, LS_current!R$147, FALSE), VLOOKUP($A67, LS_current!$B$4:$BW$137,LS_current!BN$147, FALSE))/2)</f>
        <v>-1716.1745954579046</v>
      </c>
      <c r="CN67" s="102">
        <f t="array" ref="CN67">IF($BT67=0, INDEX(LS_current!$D$4:$BW$137, MATCH('Staging Table'!$A67, LS_current!$B$4:$B$137, 0), MATCH(CN$4&amp;CN$5, LS_current!$D$2:$BW$2&amp;LS_current!$D$3:$BW$3, 0)),SUM(VLOOKUP($A67, LS_current!$B$4:$BW$137, LS_current!S$147, FALSE), VLOOKUP($A67, LS_current!$B$4:$BW$137,LS_current!BO$147, FALSE))/2)</f>
        <v>-569.30502538501605</v>
      </c>
      <c r="CO67" s="102">
        <f t="array" ref="CO67">IF($BT67=0, INDEX(LS_current!$D$4:$BW$137, MATCH('Staging Table'!$A67, LS_current!$B$4:$B$137, 0), MATCH(CO$4&amp;CO$5, LS_current!$D$2:$BW$2&amp;LS_current!$D$3:$BW$3, 0)),SUM(VLOOKUP($A67, LS_current!$B$4:$BW$137, LS_current!T$147, FALSE), VLOOKUP($A67, LS_current!$B$4:$BW$137,LS_current!BP$147, FALSE))/2)</f>
        <v>-2448.6613220885429</v>
      </c>
      <c r="CP67" s="102">
        <f t="array" ref="CP67">IF($BT67=0, INDEX(LS_current!$D$4:$BW$137, MATCH('Staging Table'!$A67, LS_current!$B$4:$B$137, 0), MATCH(CP$4&amp;CP$5, LS_current!$D$2:$BW$2&amp;LS_current!$D$3:$BW$3, 0)),SUM(VLOOKUP($A67, LS_current!$B$4:$BW$137, LS_current!U$147, FALSE), VLOOKUP($A67, LS_current!$B$4:$BW$137,LS_current!BQ$147, FALSE))/2)</f>
        <v>-598.75477091519133</v>
      </c>
      <c r="CQ67" s="102">
        <f t="array" ref="CQ67">IF($BT67=0, INDEX(LS_current!$D$4:$BW$137, MATCH('Staging Table'!$A67, LS_current!$B$4:$B$137, 0), MATCH(CQ$4&amp;CQ$5, LS_current!$D$2:$BW$2&amp;LS_current!$D$3:$BW$3, 0)),SUM(VLOOKUP($A67, LS_current!$B$4:$BW$137, LS_current!V$147, FALSE), VLOOKUP($A67, LS_current!$B$4:$BW$137,LS_current!BR$147, FALSE))/2)</f>
        <v>-731.39143718207379</v>
      </c>
      <c r="CR67" s="102">
        <f t="array" ref="CR67">IF($BT67=0, INDEX(LS_current!$D$4:$BW$137, MATCH('Staging Table'!$A67, LS_current!$B$4:$B$137, 0), MATCH(CR$4&amp;CR$5, LS_current!$D$2:$BW$2&amp;LS_current!$D$3:$BW$3, 0)),SUM(VLOOKUP($A67, LS_current!$B$4:$BW$137, LS_current!W$147, FALSE), VLOOKUP($A67, LS_current!$B$4:$BW$137,LS_current!BS$147, FALSE))/2)</f>
        <v>366.7692583678454</v>
      </c>
      <c r="CS67" s="102">
        <f t="array" ref="CS67">IF($BT67=0, INDEX(LS_current!$D$4:$BW$137, MATCH('Staging Table'!$A67, LS_current!$B$4:$B$137, 0), MATCH(CS$4&amp;CS$5, LS_current!$D$2:$BW$2&amp;LS_current!$D$3:$BW$3, 0)),SUM(VLOOKUP($A67, LS_current!$B$4:$BW$137, LS_current!X$147, FALSE), VLOOKUP($A67, LS_current!$B$4:$BW$137,LS_current!BT$147, FALSE))/2)</f>
        <v>-1568.8841150333756</v>
      </c>
      <c r="CT67" s="102">
        <f t="array" ref="CT67">IF($BT67=0, INDEX(LS_current!$D$4:$BW$137, MATCH('Staging Table'!$A67, LS_current!$B$4:$B$137, 0), MATCH(CT$4&amp;CT$5, LS_current!$D$2:$BW$2&amp;LS_current!$D$3:$BW$3, 0)),SUM(VLOOKUP($A67, LS_current!$B$4:$BW$137, LS_current!Y$147, FALSE), VLOOKUP($A67, LS_current!$B$4:$BW$137,LS_current!BU$147, FALSE))/2)</f>
        <v>-118.18817760016373</v>
      </c>
      <c r="CU67" s="102">
        <f t="array" ref="CU67">IF($BT67=0, INDEX(LS_current!$D$4:$BW$137, MATCH('Staging Table'!$A67, LS_current!$B$4:$B$137, 0), MATCH(CU$4&amp;CU$5, LS_current!$D$2:$BW$2&amp;LS_current!$D$3:$BW$3, 0)),SUM(VLOOKUP($A67, LS_current!$B$4:$BW$137, LS_current!Z$147, FALSE), VLOOKUP($A67, LS_current!$B$4:$BW$137,LS_current!BV$147, FALSE))/2)</f>
        <v>-87.543018412618949</v>
      </c>
      <c r="CV67" s="102">
        <f t="array" ref="CV67">IF($BT67=0, INDEX(LS_current!$D$4:$BW$137, MATCH('Staging Table'!$A67, LS_current!$B$4:$B$137, 0), MATCH(CV$4&amp;CV$5, LS_current!$D$2:$BW$2&amp;LS_current!$D$3:$BW$3, 0)),SUM(VLOOKUP($A67, LS_current!$B$4:$BW$137, LS_current!AA$147, FALSE), VLOOKUP($A67, LS_current!$B$4:$BW$137,LS_current!BW$147, FALSE))/2)</f>
        <v>565.31460145576375</v>
      </c>
      <c r="CW67" s="103">
        <f t="array" ref="CW67">INDEX(Demand_current!$D$4:$BW$137, MATCH($A67, Demand_current!$B$4:$B$137, 0), MATCH(CW$4&amp;CW$5,Demand_current!$D$2:$BW$2&amp;Demand_current!$D$3:$BW$3, 0))/1000</f>
        <v>4.5258981481481495</v>
      </c>
      <c r="CX67" s="103">
        <f t="array" ref="CX67">INDEX(Demand_current!$D$4:$BW$137, MATCH($A67, Demand_current!$B$4:$B$137, 0), MATCH(CX$4&amp;CX$5,Demand_current!$D$2:$BW$2&amp;Demand_current!$D$3:$BW$3, 0))/1000</f>
        <v>0.57792708333333387</v>
      </c>
      <c r="CY67" s="103">
        <f t="array" ref="CY67">INDEX(Demand_current!$D$4:$BW$137, MATCH($A67, Demand_current!$B$4:$B$137, 0), MATCH(CY$4&amp;CY$5,Demand_current!$D$2:$BW$2&amp;Demand_current!$D$3:$BW$3, 0))/1000</f>
        <v>3.4815745192307701</v>
      </c>
      <c r="CZ67" s="103">
        <f t="array" ref="CZ67">INDEX(Demand_current!$D$4:$BW$137, MATCH($A67, Demand_current!$B$4:$B$137, 0), MATCH(CZ$4&amp;CZ$5,Demand_current!$D$2:$BW$2&amp;Demand_current!$D$3:$BW$3, 0))/1000</f>
        <v>1.3686802884615412</v>
      </c>
      <c r="DA67" s="103">
        <f t="array" ref="DA67">INDEX(Demand_current!$D$4:$BW$137, MATCH($A67, Demand_current!$B$4:$B$137, 0), MATCH(DA$4&amp;DA$5,Demand_current!$D$2:$BW$2&amp;Demand_current!$D$3:$BW$3, 0))/1000</f>
        <v>5.2368854166666701</v>
      </c>
      <c r="DB67" s="103">
        <f t="array" ref="DB67">INDEX(Demand_current!$D$4:$BW$137, MATCH($A67, Demand_current!$B$4:$B$137, 0), MATCH(DB$4&amp;DB$5,Demand_current!$D$2:$BW$2&amp;Demand_current!$D$3:$BW$3, 0))/1000</f>
        <v>2.7586081730769205</v>
      </c>
      <c r="DC67" s="103">
        <f t="array" ref="DC67">INDEX(Demand_current!$D$4:$BW$137, MATCH($A67, Demand_current!$B$4:$B$137, 0), MATCH(DC$4&amp;DC$5,Demand_current!$D$2:$BW$2&amp;Demand_current!$D$3:$BW$3, 0))/1000</f>
        <v>2.8913774038461537</v>
      </c>
      <c r="DD67" s="103">
        <f t="array" ref="DD67">INDEX(Demand_current!$D$4:$BW$137, MATCH($A67, Demand_current!$B$4:$B$137, 0), MATCH(DD$4&amp;DD$5,Demand_current!$D$2:$BW$2&amp;Demand_current!$D$3:$BW$3, 0))/1000</f>
        <v>1.3233200000000014</v>
      </c>
      <c r="DE67" s="103">
        <f t="array" ref="DE67">INDEX(Demand_current!$D$4:$BW$137, MATCH($A67, Demand_current!$B$4:$B$137, 0), MATCH(DE$4&amp;DE$5,Demand_current!$D$2:$BW$2&amp;Demand_current!$D$3:$BW$3, 0))/1000</f>
        <v>2.9722475961538457</v>
      </c>
      <c r="DF67" s="103">
        <f t="array" ref="DF67">INDEX(Demand_current!$D$4:$BW$137, MATCH($A67, Demand_current!$B$4:$B$137, 0), MATCH(DF$4&amp;DF$5,Demand_current!$D$2:$BW$2&amp;Demand_current!$D$3:$BW$3, 0))/1000</f>
        <v>3.3320673076923102</v>
      </c>
      <c r="DG67" s="103">
        <f t="array" ref="DG67">INDEX(Demand_current!$D$4:$BW$137, MATCH($A67, Demand_current!$B$4:$B$137, 0), MATCH(DG$4&amp;DG$5,Demand_current!$D$2:$BW$2&amp;Demand_current!$D$3:$BW$3, 0))/1000</f>
        <v>2.7655192307692311</v>
      </c>
      <c r="DH67" s="103">
        <f t="array" ref="DH67">INDEX(Demand_current!$D$4:$BW$137, MATCH($A67, Demand_current!$B$4:$B$137, 0), MATCH(DH$4&amp;DH$5,Demand_current!$D$2:$BW$2&amp;Demand_current!$D$3:$BW$3, 0))/1000</f>
        <v>1.6254274999999998</v>
      </c>
      <c r="DI67" s="102">
        <f>$BS67*(VLOOKUP(DI$4, Rates_current!$H$6:$R$41, 10, FALSE)+VLOOKUP(DI$4, Rates_current!$H$6:$R$41, 11, FALSE))</f>
        <v>10794.483041409068</v>
      </c>
      <c r="DJ67" s="102">
        <f>$BS67*(VLOOKUP(DJ$4, Rates_current!$H$6:$R$41, 10, FALSE)+VLOOKUP(DJ$4, Rates_current!$H$6:$R$41, 11, FALSE))</f>
        <v>13800.391299552144</v>
      </c>
      <c r="DK67" s="102">
        <f>$BS67*(VLOOKUP(DK$4, Rates_current!$H$6:$R$41, 10, FALSE)+VLOOKUP(DK$4, Rates_current!$H$6:$R$41, 11, FALSE))</f>
        <v>15689.89068490558</v>
      </c>
      <c r="DL67" s="102">
        <f>$BS67*(VLOOKUP(DL$4, Rates_current!$H$6:$R$41, 10, FALSE)+VLOOKUP(DL$4, Rates_current!$H$6:$R$41, 11, FALSE))</f>
        <v>16554.059407953278</v>
      </c>
      <c r="DM67" s="102">
        <f>$BS67*(VLOOKUP(DM$4, Rates_current!$H$6:$R$41, 10, FALSE)+VLOOKUP(DM$4, Rates_current!$H$6:$R$41, 11, FALSE))</f>
        <v>13192.091287169849</v>
      </c>
      <c r="DN67" s="102">
        <f>$BS67*(VLOOKUP(DN$4, Rates_current!$H$6:$R$41, 10, FALSE)+VLOOKUP(DN$4, Rates_current!$H$6:$R$41, 11, FALSE))</f>
        <v>14421.664848636268</v>
      </c>
      <c r="DO67" s="102">
        <f>$BS67*(VLOOKUP(DO$4, Rates_current!$H$6:$R$41, 10, FALSE)+VLOOKUP(DO$4, Rates_current!$H$6:$R$41, 11, FALSE))</f>
        <v>11176.935326258817</v>
      </c>
      <c r="DP67" s="102">
        <f>$BS67*(VLOOKUP(DP$4, Rates_current!$H$6:$R$41, 10, FALSE)+VLOOKUP(DP$4, Rates_current!$H$6:$R$41, 11, FALSE))</f>
        <v>14464.794620842918</v>
      </c>
      <c r="DQ67" s="102">
        <f>$BS67*(VLOOKUP(DQ$4, Rates_current!$H$6:$R$41, 10, FALSE)+VLOOKUP(DQ$4, Rates_current!$H$6:$R$41, 11, FALSE))</f>
        <v>14773.660093003735</v>
      </c>
      <c r="DR67" s="102">
        <f>$BS67*(VLOOKUP(DR$4, Rates_current!$H$6:$R$41, 10, FALSE)+VLOOKUP(DR$4, Rates_current!$H$6:$R$41, 11, FALSE))</f>
        <v>13149.835178814228</v>
      </c>
      <c r="DS67" s="102">
        <f>$BS67*(VLOOKUP(DS$4, Rates_current!$H$6:$R$41, 10, FALSE)+VLOOKUP(DS$4, Rates_current!$H$6:$R$41, 11, FALSE))</f>
        <v>13489.31929263354</v>
      </c>
      <c r="DT67" s="102">
        <f>$BS67*(VLOOKUP(DT$4, Rates_current!$H$6:$R$41, 10, FALSE)+VLOOKUP(DT$4, Rates_current!$H$6:$R$41, 11, FALSE))</f>
        <v>10476.073416956857</v>
      </c>
      <c r="DU67" s="261">
        <f>IF(D67=0,IF(C67=0,MAX(0,DW67 - (VLOOKUP($A67,TOCA_current!$A$2:$AV$136,MATCH("RHWM "&amp;Init!$D$1,TOCA_current!$A$2:$AV$2,0),FALSE)*$BS$2)), 0),0)</f>
        <v>0</v>
      </c>
      <c r="DV67" s="262">
        <f>MIN(VLOOKUP($A67,TOCA_current!$A$2:$AV$136,MATCH("TRL - NLSL - Existing Resource "&amp;$BS$1,TOCA_current!$A$2:$AV$2,0),FALSE)*$BS$2, VLOOKUP($A67,TOCA_current!$A$2:$AV$136,MATCH("RHWM "&amp;Init!$D$1,TOCA_current!$A$2:$AV$2,0),FALSE)*$BS$2)</f>
        <v>161981.16</v>
      </c>
      <c r="DW67" s="262">
        <f>SUM(BY67:CV67)+(BS67*RT1SC!$C$4*$BS$2)</f>
        <v>161980.06756183173</v>
      </c>
      <c r="DX67" s="262">
        <f>VLOOKUP($A67,TOCA_current!$A$2:$AV$136,MATCH("Above RHWM Not Served with LS "&amp;$BS$1,TOCA_current!$A$2:$AV$2,0),FALSE)*$BS$2</f>
        <v>0</v>
      </c>
      <c r="DY67" s="262">
        <f t="shared" si="28"/>
        <v>-1.0924381682707462</v>
      </c>
      <c r="DZ67" s="262">
        <f>(VLOOKUP($A67,TOCA_current!$A$2:$AV$136,MATCH("RHWM "&amp;Init!$D$1,TOCA_current!$A$2:$AV$2,0),FALSE)*$BS$2) - $DV67</f>
        <v>25833.24000000002</v>
      </c>
      <c r="EA67" s="262">
        <f t="shared" si="29"/>
        <v>0</v>
      </c>
      <c r="EB67" s="262">
        <f t="shared" si="30"/>
        <v>1.0924381682707462</v>
      </c>
      <c r="EC67" s="262">
        <f t="shared" si="31"/>
        <v>0</v>
      </c>
      <c r="ED67" s="262">
        <f t="shared" si="32"/>
        <v>1.0924381682707462</v>
      </c>
    </row>
    <row r="68" spans="1:134">
      <c r="A68" s="2">
        <v>10190</v>
      </c>
      <c r="B68" s="3" t="s">
        <v>70</v>
      </c>
      <c r="C68">
        <f>VLOOKUP(A68, TOCA_current!$A$3:$D$136, 4, FALSE)</f>
        <v>0</v>
      </c>
      <c r="D68">
        <v>0</v>
      </c>
      <c r="E68" s="84">
        <f>VLOOKUP($A68,TOCA_previous!$A$2:$AJ$136,MATCH(E$4,TOCA_previous!$A$2:$AJ$2,0),FALSE)</f>
        <v>7.5159999999999995E-4</v>
      </c>
      <c r="F68" s="85">
        <f>VLOOKUP($A68,TOCA_previous!$A$2:$AJ$136,MATCH(F$4,TOCA_previous!$A$2:$AJ$2,0),FALSE)</f>
        <v>7.5159999999999995E-4</v>
      </c>
      <c r="G68" s="85">
        <f t="shared" si="18"/>
        <v>0</v>
      </c>
      <c r="H68" s="85">
        <f>VLOOKUP($A68,TOCA_previous!$A$2:$AJ$136,MATCH(H$4,TOCA_previous!$A$2:$AJ$2,0),FALSE)</f>
        <v>0</v>
      </c>
      <c r="I68" s="85">
        <f t="shared" si="19"/>
        <v>0</v>
      </c>
      <c r="J68" s="85">
        <f t="shared" si="20"/>
        <v>0</v>
      </c>
      <c r="K68" s="101">
        <f>VLOOKUP(A68, IRD!$A$5:$C$138, 3, FALSE)</f>
        <v>0</v>
      </c>
      <c r="L68" s="102">
        <f t="array" ref="L68">IF($G68=0, INDEX(LS_previous!$D$4:$AY$137, MATCH('Staging Table'!$A68, LS_previous!$B$4:$B$137, 0), MATCH(L$4&amp;L$5, LS_previous!$D$2:$AY$2&amp;LS_previous!$D$3:$AY$3, 0)),SUM(VLOOKUP($A68, LS_previous!$B$4:$AY$137, LS_previous!D$148, FALSE), VLOOKUP('Staging Table'!$A68, LS_previous!$B$4:$AY$137,LS_previous!AB$148, FALSE))/2)</f>
        <v>169.49706254239959</v>
      </c>
      <c r="M68" s="102">
        <f t="array" ref="M68">IF($G68=0, INDEX(LS_previous!$D$4:$AY$137, MATCH('Staging Table'!$A68, LS_previous!$B$4:$B$137, 0), MATCH(M$4&amp;M$5, LS_previous!$D$2:$AY$2&amp;LS_previous!$D$3:$AY$3, 0)),SUM(VLOOKUP($A68, LS_previous!$B$4:$AY$137, LS_previous!E$148, FALSE), VLOOKUP('Staging Table'!$A68, LS_previous!$B$4:$AY$137,LS_previous!AC$148, FALSE))/2)</f>
        <v>172.11903031420002</v>
      </c>
      <c r="N68" s="102">
        <f t="array" ref="N68">IF($G68=0, INDEX(LS_previous!$D$4:$AY$137, MATCH('Staging Table'!$A68, LS_previous!$B$4:$B$137, 0), MATCH(N$4&amp;N$5, LS_previous!$D$2:$AY$2&amp;LS_previous!$D$3:$AY$3, 0)),SUM(VLOOKUP($A68, LS_previous!$B$4:$AY$137, LS_previous!F$148, FALSE), VLOOKUP('Staging Table'!$A68, LS_previous!$B$4:$AY$137,LS_previous!AD$148, FALSE))/2)</f>
        <v>496.13232427520006</v>
      </c>
      <c r="O68" s="102">
        <f t="array" ref="O68">IF($G68=0, INDEX(LS_previous!$D$4:$AY$137, MATCH('Staging Table'!$A68, LS_previous!$B$4:$B$137, 0), MATCH(O$4&amp;O$5, LS_previous!$D$2:$AY$2&amp;LS_previous!$D$3:$AY$3, 0)),SUM(VLOOKUP($A68, LS_previous!$B$4:$AY$137, LS_previous!G$148, FALSE), VLOOKUP('Staging Table'!$A68, LS_previous!$B$4:$AY$137,LS_previous!AE$148, FALSE))/2)</f>
        <v>526.16962094039991</v>
      </c>
      <c r="P68" s="102">
        <f t="array" ref="P68">IF($G68=0, INDEX(LS_previous!$D$4:$AY$137, MATCH('Staging Table'!$A68, LS_previous!$B$4:$B$137, 0), MATCH(P$4&amp;P$5, LS_previous!$D$2:$AY$2&amp;LS_previous!$D$3:$AY$3, 0)),SUM(VLOOKUP($A68, LS_previous!$B$4:$AY$137, LS_previous!H$148, FALSE), VLOOKUP('Staging Table'!$A68, LS_previous!$B$4:$AY$137,LS_previous!AF$148, FALSE))/2)</f>
        <v>1250.3039185676002</v>
      </c>
      <c r="Q68" s="102">
        <f t="array" ref="Q68">IF($G68=0, INDEX(LS_previous!$D$4:$AY$137, MATCH('Staging Table'!$A68, LS_previous!$B$4:$B$137, 0), MATCH(Q$4&amp;Q$5, LS_previous!$D$2:$AY$2&amp;LS_previous!$D$3:$AY$3, 0)),SUM(VLOOKUP($A68, LS_previous!$B$4:$AY$137, LS_previous!I$148, FALSE), VLOOKUP('Staging Table'!$A68, LS_previous!$B$4:$AY$137,LS_previous!AG$148, FALSE))/2)</f>
        <v>1029.3921380864001</v>
      </c>
      <c r="R68" s="102">
        <f t="array" ref="R68">IF($G68=0, INDEX(LS_previous!$D$4:$AY$137, MATCH('Staging Table'!$A68, LS_previous!$B$4:$B$137, 0), MATCH(R$4&amp;R$5, LS_previous!$D$2:$AY$2&amp;LS_previous!$D$3:$AY$3, 0)),SUM(VLOOKUP($A68, LS_previous!$B$4:$AY$137, LS_previous!J$148, FALSE), VLOOKUP('Staging Table'!$A68, LS_previous!$B$4:$AY$137,LS_previous!AH$148, FALSE))/2)</f>
        <v>1033.2831070059997</v>
      </c>
      <c r="S68" s="102">
        <f t="array" ref="S68">IF($G68=0, INDEX(LS_previous!$D$4:$AY$137, MATCH('Staging Table'!$A68, LS_previous!$B$4:$B$137, 0), MATCH(S$4&amp;S$5, LS_previous!$D$2:$AY$2&amp;LS_previous!$D$3:$AY$3, 0)),SUM(VLOOKUP($A68, LS_previous!$B$4:$AY$137, LS_previous!K$148, FALSE), VLOOKUP('Staging Table'!$A68, LS_previous!$B$4:$AY$137,LS_previous!AI$148, FALSE))/2)</f>
        <v>1140.2714574036002</v>
      </c>
      <c r="T68" s="102">
        <f t="array" ref="T68">IF($G68=0, INDEX(LS_previous!$D$4:$AY$137, MATCH('Staging Table'!$A68, LS_previous!$B$4:$B$137, 0), MATCH(T$4&amp;T$5, LS_previous!$D$2:$AY$2&amp;LS_previous!$D$3:$AY$3, 0)),SUM(VLOOKUP($A68, LS_previous!$B$4:$AY$137, LS_previous!L$148, FALSE), VLOOKUP('Staging Table'!$A68, LS_previous!$B$4:$AY$137,LS_previous!AJ$148, FALSE))/2)</f>
        <v>741.30909734360011</v>
      </c>
      <c r="U68" s="102">
        <f t="array" ref="U68">IF($G68=0, INDEX(LS_previous!$D$4:$AY$137, MATCH('Staging Table'!$A68, LS_previous!$B$4:$B$137, 0), MATCH(U$4&amp;U$5, LS_previous!$D$2:$AY$2&amp;LS_previous!$D$3:$AY$3, 0)),SUM(VLOOKUP($A68, LS_previous!$B$4:$AY$137, LS_previous!M$148, FALSE), VLOOKUP('Staging Table'!$A68, LS_previous!$B$4:$AY$137,LS_previous!AK$148, FALSE))/2)</f>
        <v>898.66168761560016</v>
      </c>
      <c r="V68" s="102">
        <f t="array" ref="V68">IF($G68=0, INDEX(LS_previous!$D$4:$AY$137, MATCH('Staging Table'!$A68, LS_previous!$B$4:$B$137, 0), MATCH(V$4&amp;V$5, LS_previous!$D$2:$AY$2&amp;LS_previous!$D$3:$AY$3, 0)),SUM(VLOOKUP($A68, LS_previous!$B$4:$AY$137, LS_previous!N$148, FALSE), VLOOKUP('Staging Table'!$A68, LS_previous!$B$4:$AY$137,LS_previous!AL$148, FALSE))/2)</f>
        <v>239.47179466920034</v>
      </c>
      <c r="W68" s="102">
        <f t="array" ref="W68">IF($G68=0, INDEX(LS_previous!$D$4:$AY$137, MATCH('Staging Table'!$A68, LS_previous!$B$4:$B$137, 0), MATCH(W$4&amp;W$5, LS_previous!$D$2:$AY$2&amp;LS_previous!$D$3:$AY$3, 0)),SUM(VLOOKUP($A68, LS_previous!$B$4:$AY$137, LS_previous!O$148, FALSE), VLOOKUP('Staging Table'!$A68, LS_previous!$B$4:$AY$137,LS_previous!AM$148, FALSE))/2)</f>
        <v>332.09239165520034</v>
      </c>
      <c r="X68" s="102">
        <f t="array" ref="X68">IF($G68=0, INDEX(LS_previous!$D$4:$AY$137, MATCH('Staging Table'!$A68, LS_previous!$B$4:$B$137, 0), MATCH(X$4&amp;X$5, LS_previous!$D$2:$AY$2&amp;LS_previous!$D$3:$AY$3, 0)),SUM(VLOOKUP($A68, LS_previous!$B$4:$AY$137, LS_previous!P$148, FALSE), VLOOKUP('Staging Table'!$A68, LS_previous!$B$4:$AY$137,LS_previous!AN$148, FALSE))/2)</f>
        <v>-30.287685568999905</v>
      </c>
      <c r="Y68" s="102">
        <f t="array" ref="Y68">IF($G68=0, INDEX(LS_previous!$D$4:$AY$137, MATCH('Staging Table'!$A68, LS_previous!$B$4:$B$137, 0), MATCH(Y$4&amp;Y$5, LS_previous!$D$2:$AY$2&amp;LS_previous!$D$3:$AY$3, 0)),SUM(VLOOKUP($A68, LS_previous!$B$4:$AY$137, LS_previous!Q$148, FALSE), VLOOKUP('Staging Table'!$A68, LS_previous!$B$4:$AY$137,LS_previous!AO$148, FALSE))/2)</f>
        <v>178.45156214870008</v>
      </c>
      <c r="Z68" s="102">
        <f t="array" ref="Z68">IF($G68=0, INDEX(LS_previous!$D$4:$AY$137, MATCH('Staging Table'!$A68, LS_previous!$B$4:$B$137, 0), MATCH(Z$4&amp;Z$5, LS_previous!$D$2:$AY$2&amp;LS_previous!$D$3:$AY$3, 0)),SUM(VLOOKUP($A68, LS_previous!$B$4:$AY$137, LS_previous!R$148, FALSE), VLOOKUP('Staging Table'!$A68, LS_previous!$B$4:$AY$137,LS_previous!AP$148, FALSE))/2)</f>
        <v>-700.60554295680004</v>
      </c>
      <c r="AA68" s="102">
        <f t="array" ref="AA68">IF($G68=0, INDEX(LS_previous!$D$4:$AY$137, MATCH('Staging Table'!$A68, LS_previous!$B$4:$B$137, 0), MATCH(AA$4&amp;AA$5, LS_previous!$D$2:$AY$2&amp;LS_previous!$D$3:$AY$3, 0)),SUM(VLOOKUP($A68, LS_previous!$B$4:$AY$137, LS_previous!S$148, FALSE), VLOOKUP('Staging Table'!$A68, LS_previous!$B$4:$AY$137,LS_previous!AQ$148, FALSE))/2)</f>
        <v>-416.08917952859997</v>
      </c>
      <c r="AB68" s="102">
        <f t="array" ref="AB68">IF($G68=0, INDEX(LS_previous!$D$4:$AY$137, MATCH('Staging Table'!$A68, LS_previous!$B$4:$B$137, 0), MATCH(AB$4&amp;AB$5, LS_previous!$D$2:$AY$2&amp;LS_previous!$D$3:$AY$3, 0)),SUM(VLOOKUP($A68, LS_previous!$B$4:$AY$137, LS_previous!T$148, FALSE), VLOOKUP('Staging Table'!$A68, LS_previous!$B$4:$AY$137,LS_previous!AR$148, FALSE))/2)</f>
        <v>-745.39395718159994</v>
      </c>
      <c r="AC68" s="102">
        <f t="array" ref="AC68">IF($G68=0, INDEX(LS_previous!$D$4:$AY$137, MATCH('Staging Table'!$A68, LS_previous!$B$4:$B$137, 0), MATCH(AC$4&amp;AC$5, LS_previous!$D$2:$AY$2&amp;LS_previous!$D$3:$AY$3, 0)),SUM(VLOOKUP($A68, LS_previous!$B$4:$AY$137, LS_previous!U$148, FALSE), VLOOKUP('Staging Table'!$A68, LS_previous!$B$4:$AY$137,LS_previous!AS$148, FALSE))/2)</f>
        <v>-529.76713096219987</v>
      </c>
      <c r="AD68" s="102">
        <f t="array" ref="AD68">IF($G68=0, INDEX(LS_previous!$D$4:$AY$137, MATCH('Staging Table'!$A68, LS_previous!$B$4:$B$137, 0), MATCH(AD$4&amp;AD$5, LS_previous!$D$2:$AY$2&amp;LS_previous!$D$3:$AY$3, 0)),SUM(VLOOKUP($A68, LS_previous!$B$4:$AY$137, LS_previous!V$148, FALSE), VLOOKUP('Staging Table'!$A68, LS_previous!$B$4:$AY$137,LS_previous!AT$148, FALSE))/2)</f>
        <v>-45.404073822399823</v>
      </c>
      <c r="AE68" s="102">
        <f t="array" ref="AE68">IF($G68=0, INDEX(LS_previous!$D$4:$AY$137, MATCH('Staging Table'!$A68, LS_previous!$B$4:$B$137, 0), MATCH(AE$4&amp;AE$5, LS_previous!$D$2:$AY$2&amp;LS_previous!$D$3:$AY$3, 0)),SUM(VLOOKUP($A68, LS_previous!$B$4:$AY$137, LS_previous!W$148, FALSE), VLOOKUP('Staging Table'!$A68, LS_previous!$B$4:$AY$137,LS_previous!AU$148, FALSE))/2)</f>
        <v>21.985473170999967</v>
      </c>
      <c r="AF68" s="102">
        <f t="array" ref="AF68">IF($G68=0, INDEX(LS_previous!$D$4:$AY$137, MATCH('Staging Table'!$A68, LS_previous!$B$4:$B$137, 0), MATCH(AF$4&amp;AF$5, LS_previous!$D$2:$AY$2&amp;LS_previous!$D$3:$AY$3, 0)),SUM(VLOOKUP($A68, LS_previous!$B$4:$AY$137, LS_previous!X$148, FALSE), VLOOKUP('Staging Table'!$A68, LS_previous!$B$4:$AY$137,LS_previous!AV$148, FALSE))/2)</f>
        <v>-10.82589289940006</v>
      </c>
      <c r="AG68" s="102">
        <f t="array" ref="AG68">IF($G68=0, INDEX(LS_previous!$D$4:$AY$137, MATCH('Staging Table'!$A68, LS_previous!$B$4:$B$137, 0), MATCH(AG$4&amp;AG$5, LS_previous!$D$2:$AY$2&amp;LS_previous!$D$3:$AY$3, 0)),SUM(VLOOKUP($A68, LS_previous!$B$4:$AY$137, LS_previous!Y$148, FALSE), VLOOKUP('Staging Table'!$A68, LS_previous!$B$4:$AY$137,LS_previous!AW$148, FALSE))/2)</f>
        <v>3.1738591847401949</v>
      </c>
      <c r="AH68" s="102">
        <f t="array" ref="AH68">IF($G68=0, INDEX(LS_previous!$D$4:$AY$137, MATCH('Staging Table'!$A68, LS_previous!$B$4:$B$137, 0), MATCH(AH$4&amp;AH$5, LS_previous!$D$2:$AY$2&amp;LS_previous!$D$3:$AY$3, 0)),SUM(VLOOKUP($A68, LS_previous!$B$4:$AY$137, LS_previous!Z$148, FALSE), VLOOKUP('Staging Table'!$A68, LS_previous!$B$4:$AY$137,LS_previous!AX$148, FALSE))/2)</f>
        <v>-171.54660673840021</v>
      </c>
      <c r="AI68" s="102">
        <f t="array" ref="AI68">IF($G68=0, INDEX(LS_previous!$D$4:$AY$137, MATCH('Staging Table'!$A68, LS_previous!$B$4:$B$137, 0), MATCH(AI$4&amp;AI$5, LS_previous!$D$2:$AY$2&amp;LS_previous!$D$3:$AY$3, 0)),SUM(VLOOKUP($A68, LS_previous!$B$4:$AY$137, LS_previous!AA$148, FALSE), VLOOKUP('Staging Table'!$A68, LS_previous!$B$4:$AY$137,LS_previous!AY$148, FALSE))/2)</f>
        <v>-244.94221856640002</v>
      </c>
      <c r="AJ68" s="103">
        <f t="array" ref="AJ68">INDEX(Demand_previous!$D$4:$AY$137, MATCH('Staging Table'!$A68, Demand_previous!$B$4:$B$137, 0), MATCH(AJ$4&amp;AJ$5,Demand_previous!$D$2:$AY$2&amp;Demand_previous!$D$3:$AY$3, 0))/1000</f>
        <v>0.54897596153846262</v>
      </c>
      <c r="AK68" s="103">
        <f t="array" ref="AK68">INDEX(Demand_previous!$D$4:$AY$137, MATCH('Staging Table'!$A68, Demand_previous!$B$4:$B$137, 0), MATCH(AK$4&amp;AK$5,Demand_previous!$D$2:$AY$2&amp;Demand_previous!$D$3:$AY$3, 0))/1000</f>
        <v>1.5456974999999993</v>
      </c>
      <c r="AL68" s="103">
        <f t="array" ref="AL68">INDEX(Demand_previous!$D$4:$AY$137, MATCH('Staging Table'!$A68, Demand_previous!$B$4:$B$137, 0), MATCH(AL$4&amp;AL$5,Demand_previous!$D$2:$AY$2&amp;Demand_previous!$D$3:$AY$3, 0))/1000</f>
        <v>2.4432474999999996</v>
      </c>
      <c r="AM68" s="103">
        <f t="array" ref="AM68">INDEX(Demand_previous!$D$4:$AY$137, MATCH('Staging Table'!$A68, Demand_previous!$B$4:$B$137, 0), MATCH(AM$4&amp;AM$5,Demand_previous!$D$2:$AY$2&amp;Demand_previous!$D$3:$AY$3, 0))/1000</f>
        <v>2.3937572115384609</v>
      </c>
      <c r="AN68" s="103">
        <f t="array" ref="AN68">INDEX(Demand_previous!$D$4:$AY$137, MATCH('Staging Table'!$A68, Demand_previous!$B$4:$B$137, 0), MATCH(AN$4&amp;AN$5,Demand_previous!$D$2:$AY$2&amp;Demand_previous!$D$3:$AY$3, 0))/1000</f>
        <v>1.8190350000000013</v>
      </c>
      <c r="AO68" s="103">
        <f t="array" ref="AO68">INDEX(Demand_previous!$D$4:$AY$137, MATCH('Staging Table'!$A68, Demand_previous!$B$4:$B$137, 0), MATCH(AO$4&amp;AO$5,Demand_previous!$D$2:$AY$2&amp;Demand_previous!$D$3:$AY$3, 0))/1000</f>
        <v>2.1432716346153837</v>
      </c>
      <c r="AP68" s="103">
        <f t="array" ref="AP68">INDEX(Demand_previous!$D$4:$AY$137, MATCH('Staging Table'!$A68, Demand_previous!$B$4:$B$137, 0), MATCH(AP$4&amp;AP$5,Demand_previous!$D$2:$AY$2&amp;Demand_previous!$D$3:$AY$3, 0))/1000</f>
        <v>1.405149038461539</v>
      </c>
      <c r="AQ68" s="103">
        <f t="array" ref="AQ68">INDEX(Demand_previous!$D$4:$AY$137, MATCH('Staging Table'!$A68, Demand_previous!$B$4:$B$137, 0), MATCH(AQ$4&amp;AQ$5,Demand_previous!$D$2:$AY$2&amp;Demand_previous!$D$3:$AY$3, 0))/1000</f>
        <v>1.0081826923076924</v>
      </c>
      <c r="AR68" s="103">
        <f t="array" ref="AR68">INDEX(Demand_previous!$D$4:$AY$137, MATCH('Staging Table'!$A68, Demand_previous!$B$4:$B$137, 0), MATCH(AR$4&amp;AR$5,Demand_previous!$D$2:$AY$2&amp;Demand_previous!$D$3:$AY$3, 0))/1000</f>
        <v>0.46022999999999969</v>
      </c>
      <c r="AS68" s="103">
        <f t="array" ref="AS68">INDEX(Demand_previous!$D$4:$AY$137, MATCH('Staging Table'!$A68, Demand_previous!$B$4:$B$137, 0), MATCH(AS$4&amp;AS$5,Demand_previous!$D$2:$AY$2&amp;Demand_previous!$D$3:$AY$3, 0))/1000</f>
        <v>1.0828437500000003</v>
      </c>
      <c r="AT68" s="103">
        <f t="array" ref="AT68">INDEX(Demand_previous!$D$4:$AY$137, MATCH('Staging Table'!$A68, Demand_previous!$B$4:$B$137, 0), MATCH(AT$4&amp;AT$5,Demand_previous!$D$2:$AY$2&amp;Demand_previous!$D$3:$AY$3, 0))/1000</f>
        <v>1.2657939814814823</v>
      </c>
      <c r="AU68" s="103">
        <f t="array" ref="AU68">INDEX(Demand_previous!$D$4:$AY$137, MATCH('Staging Table'!$A68, Demand_previous!$B$4:$B$137, 0), MATCH(AU$4&amp;AU$5,Demand_previous!$D$2:$AY$2&amp;Demand_previous!$D$3:$AY$3, 0))/1000</f>
        <v>0.65353906250000027</v>
      </c>
      <c r="AV68" s="102">
        <f>$F68*(VLOOKUP(AV$4, Rates_previous!$G$6:$Q$29, 10, FALSE)+VLOOKUP(AV$4, Rates_previous!$G$6:$Q$29, 11, FALSE))</f>
        <v>3170.8529071434</v>
      </c>
      <c r="AW68" s="102">
        <f>$F68*(VLOOKUP(AW$4, Rates_previous!$G$6:$Q$29, 10, FALSE)+VLOOKUP(AW$4, Rates_previous!$G$6:$Q$29, 11, FALSE))</f>
        <v>4043.8830547844004</v>
      </c>
      <c r="AX68" s="102">
        <f>$F68*(VLOOKUP(AX$4, Rates_previous!$G$6:$Q$29, 10, FALSE)+VLOOKUP(AX$4, Rates_previous!$G$6:$Q$29, 11, FALSE))</f>
        <v>4364.1499433460003</v>
      </c>
      <c r="AY68" s="102">
        <f>$F68*(VLOOKUP(AY$4, Rates_previous!$G$6:$Q$29, 10, FALSE)+VLOOKUP(AY$4, Rates_previous!$G$6:$Q$29, 11, FALSE))</f>
        <v>4535.0264355904001</v>
      </c>
      <c r="AZ68" s="102">
        <f>$F68*(VLOOKUP(AZ$4, Rates_previous!$G$6:$Q$29, 10, FALSE)+VLOOKUP(AZ$4, Rates_previous!$G$6:$Q$29, 11, FALSE))</f>
        <v>3900.7272150407994</v>
      </c>
      <c r="BA68" s="102">
        <f>$F68*(VLOOKUP(BA$4, Rates_previous!$G$6:$Q$29, 10, FALSE)+VLOOKUP(BA$4, Rates_previous!$G$6:$Q$29, 11, FALSE))</f>
        <v>4258.8218136755995</v>
      </c>
      <c r="BB68" s="102">
        <f>$F68*(VLOOKUP(BB$4, Rates_previous!$G$6:$Q$29, 10, FALSE)+VLOOKUP(BB$4, Rates_previous!$G$6:$Q$29, 11, FALSE))</f>
        <v>3361.6221234202994</v>
      </c>
      <c r="BC68" s="102">
        <f>$F68*(VLOOKUP(BC$4, Rates_previous!$G$6:$Q$29, 10, FALSE)+VLOOKUP(BC$4, Rates_previous!$G$6:$Q$29, 11, FALSE))</f>
        <v>4170.5427224854002</v>
      </c>
      <c r="BD68" s="102">
        <f>$F68*(VLOOKUP(BD$4, Rates_previous!$G$6:$Q$29, 10, FALSE)+VLOOKUP(BD$4, Rates_previous!$G$6:$Q$29, 11, FALSE))</f>
        <v>4261.0330881437994</v>
      </c>
      <c r="BE68" s="102">
        <f>$F68*(VLOOKUP(BE$4, Rates_previous!$G$6:$Q$29, 10, FALSE)+VLOOKUP(BE$4, Rates_previous!$G$6:$Q$29, 11, FALSE))</f>
        <v>3699.1906006513996</v>
      </c>
      <c r="BF68" s="102">
        <f>$F68*(VLOOKUP(BF$4, Rates_previous!$G$6:$Q$29, 10, FALSE)+VLOOKUP(BF$4, Rates_previous!$G$6:$Q$29, 11, FALSE))</f>
        <v>3576.1340337146603</v>
      </c>
      <c r="BG68" s="102">
        <f>$F68*(VLOOKUP(BG$4, Rates_previous!$G$6:$Q$29, 10, FALSE)+VLOOKUP(BG$4, Rates_previous!$G$6:$Q$29, 11, FALSE))</f>
        <v>3290.7358253048001</v>
      </c>
      <c r="BH68" s="103">
        <f>IF($D68=0,IF(C68=0, MAX(BJ68 - (VLOOKUP($A68,TOCA_previous!$A$2:$AJ$136,MATCH("RHWM "&amp;Init!$D$1-2,TOCA_previous!$A$2:$AJ$2,0),FALSE)*$F$2*TOCA_previous!C65),0),0), 0)</f>
        <v>6363.6442137550403</v>
      </c>
      <c r="BI68" s="109">
        <f>MIN(VLOOKUP($A68,TOCA_previous!$A$2:$AJ$136,MATCH("TRL - NLSL - Existing Resource "&amp;$F$1,TOCA_previous!$A$2:$AJ$2,0),FALSE)*$F$2,(VLOOKUP($A68,TOCA_previous!$A$2:$AJ$136,MATCH("RHWM "&amp;Init!$D$1-2,TOCA_previous!$A$2:$AJ$2,0),FALSE)*$F$2))</f>
        <v>45606.527999999998</v>
      </c>
      <c r="BJ68" s="261">
        <f>SUM(L68:AI68)+(F68*RT1SC!$C$3*$F$2)</f>
        <v>51970.172213755039</v>
      </c>
      <c r="BK68" s="260">
        <f>VLOOKUP($A68,TOCA_previous!$A$2:$AJ$136,MATCH("Above RHWM Not Served with LS "&amp;$F$1,TOCA_previous!$A$2:$AJ$2,0),FALSE)*$F$2</f>
        <v>19579.536</v>
      </c>
      <c r="BL68" s="261">
        <f t="shared" si="21"/>
        <v>6363.6442137550403</v>
      </c>
      <c r="BM68" s="260">
        <f>(VLOOKUP($A68,TOCA_previous!$A$2:$AJ$136,MATCH("RHWM "&amp;Init!$D$1-2,TOCA_previous!$A$2:$AJ$2,0),FALSE)*$F$2) - $BI68</f>
        <v>0</v>
      </c>
      <c r="BN68" s="261">
        <f t="shared" si="22"/>
        <v>0</v>
      </c>
      <c r="BO68" s="260">
        <f t="shared" si="23"/>
        <v>0</v>
      </c>
      <c r="BP68" s="261">
        <f t="shared" si="24"/>
        <v>0</v>
      </c>
      <c r="BQ68" s="260">
        <f t="shared" si="9"/>
        <v>0</v>
      </c>
      <c r="BR68" s="85">
        <f>VLOOKUP($A68,TOCA_current!$A$2:$ZZ$136,MATCH(BR$4,TOCA_current!$A$2:$ZZ$2,0),FALSE)</f>
        <v>7.3439999999999996E-4</v>
      </c>
      <c r="BS68" s="85">
        <f>VLOOKUP($A68,TOCA_current!$A$2:$ZZ$136,MATCH(BS$4,TOCA_current!$A$2:$ZZ$2,0),FALSE)</f>
        <v>7.3439999999999996E-4</v>
      </c>
      <c r="BT68" s="108">
        <f t="shared" si="25"/>
        <v>0</v>
      </c>
      <c r="BU68" s="85">
        <f>VLOOKUP($A68,TOCA_current!A65:BG199,MATCH(BU$4,TOCA_current!$A$2:$BG$2,0),FALSE)</f>
        <v>0</v>
      </c>
      <c r="BV68" s="85">
        <f t="shared" si="26"/>
        <v>0</v>
      </c>
      <c r="BW68" s="85">
        <f t="shared" si="27"/>
        <v>0</v>
      </c>
      <c r="BX68" s="101">
        <f>VLOOKUP($A68,IRD!$A$4:$G$138, 7, FALSE)</f>
        <v>0</v>
      </c>
      <c r="BY68" s="102">
        <f t="array" ref="BY68">IF($BT68=0, INDEX(LS_current!$D$4:$BW$137, MATCH('Staging Table'!$A68, LS_current!$B$4:$B$137, 0), MATCH(BY$4&amp;BY$5, LS_current!$D$2:$BW$2&amp;LS_current!$D$3:$BW$3, 0)),SUM(VLOOKUP($A68, LS_current!$B$4:$BW$137, LS_current!D$147, FALSE), VLOOKUP($A68, LS_current!$B$4:$BW$137,LS_current!AZ$147, FALSE))/2)</f>
        <v>-157.11578296644484</v>
      </c>
      <c r="BZ68" s="102">
        <f t="array" ref="BZ68">IF($BT68=0, INDEX(LS_current!$D$4:$BW$137, MATCH('Staging Table'!$A68, LS_current!$B$4:$B$137, 0), MATCH(BZ$4&amp;BZ$5, LS_current!$D$2:$BW$2&amp;LS_current!$D$3:$BW$3, 0)),SUM(VLOOKUP($A68, LS_current!$B$4:$BW$137, LS_current!E$147, FALSE), VLOOKUP($A68, LS_current!$B$4:$BW$137,LS_current!BA$147, FALSE))/2)</f>
        <v>87.421563153757461</v>
      </c>
      <c r="CA68" s="102">
        <f t="array" ref="CA68">IF($BT68=0, INDEX(LS_current!$D$4:$BW$137, MATCH('Staging Table'!$A68, LS_current!$B$4:$B$137, 0), MATCH(CA$4&amp;CA$5, LS_current!$D$2:$BW$2&amp;LS_current!$D$3:$BW$3, 0)),SUM(VLOOKUP($A68, LS_current!$B$4:$BW$137, LS_current!F$147, FALSE), VLOOKUP($A68, LS_current!$B$4:$BW$137,LS_current!BB$147, FALSE))/2)</f>
        <v>355.4809438577181</v>
      </c>
      <c r="CB68" s="102">
        <f t="array" ref="CB68">IF($BT68=0, INDEX(LS_current!$D$4:$BW$137, MATCH('Staging Table'!$A68, LS_current!$B$4:$B$137, 0), MATCH(CB$4&amp;CB$5, LS_current!$D$2:$BW$2&amp;LS_current!$D$3:$BW$3, 0)),SUM(VLOOKUP($A68, LS_current!$B$4:$BW$137, LS_current!G$147, FALSE), VLOOKUP($A68, LS_current!$B$4:$BW$137,LS_current!BC$147, FALSE))/2)</f>
        <v>296.295166684366</v>
      </c>
      <c r="CC68" s="102">
        <f t="array" ref="CC68">IF($BT68=0, INDEX(LS_current!$D$4:$BW$137, MATCH('Staging Table'!$A68, LS_current!$B$4:$B$137, 0), MATCH(CC$4&amp;CC$5, LS_current!$D$2:$BW$2&amp;LS_current!$D$3:$BW$3, 0)),SUM(VLOOKUP($A68, LS_current!$B$4:$BW$137, LS_current!H$147, FALSE), VLOOKUP($A68, LS_current!$B$4:$BW$137,LS_current!BD$147, FALSE))/2)</f>
        <v>722.09872194707623</v>
      </c>
      <c r="CD68" s="102">
        <f t="array" ref="CD68">IF($BT68=0, INDEX(LS_current!$D$4:$BW$137, MATCH('Staging Table'!$A68, LS_current!$B$4:$B$137, 0), MATCH(CD$4&amp;CD$5, LS_current!$D$2:$BW$2&amp;LS_current!$D$3:$BW$3, 0)),SUM(VLOOKUP($A68, LS_current!$B$4:$BW$137, LS_current!I$147, FALSE), VLOOKUP($A68, LS_current!$B$4:$BW$137,LS_current!BE$147, FALSE))/2)</f>
        <v>957.29816743942092</v>
      </c>
      <c r="CE68" s="102">
        <f t="array" ref="CE68">IF($BT68=0, INDEX(LS_current!$D$4:$BW$137, MATCH('Staging Table'!$A68, LS_current!$B$4:$B$137, 0), MATCH(CE$4&amp;CE$5, LS_current!$D$2:$BW$2&amp;LS_current!$D$3:$BW$3, 0)),SUM(VLOOKUP($A68, LS_current!$B$4:$BW$137, LS_current!J$147, FALSE), VLOOKUP($A68, LS_current!$B$4:$BW$137,LS_current!BF$147, FALSE))/2)</f>
        <v>596.11232223770503</v>
      </c>
      <c r="CF68" s="102">
        <f t="array" ref="CF68">IF($BT68=0, INDEX(LS_current!$D$4:$BW$137, MATCH('Staging Table'!$A68, LS_current!$B$4:$B$137, 0), MATCH(CF$4&amp;CF$5, LS_current!$D$2:$BW$2&amp;LS_current!$D$3:$BW$3, 0)),SUM(VLOOKUP($A68, LS_current!$B$4:$BW$137, LS_current!K$147, FALSE), VLOOKUP($A68, LS_current!$B$4:$BW$137,LS_current!BG$147, FALSE))/2)</f>
        <v>904.0096051332489</v>
      </c>
      <c r="CG68" s="102">
        <f t="array" ref="CG68">IF($BT68=0, INDEX(LS_current!$D$4:$BW$137, MATCH('Staging Table'!$A68, LS_current!$B$4:$B$137, 0), MATCH(CG$4&amp;CG$5, LS_current!$D$2:$BW$2&amp;LS_current!$D$3:$BW$3, 0)),SUM(VLOOKUP($A68, LS_current!$B$4:$BW$137, LS_current!L$147, FALSE), VLOOKUP($A68, LS_current!$B$4:$BW$137,LS_current!BH$147, FALSE))/2)</f>
        <v>611.15855218075922</v>
      </c>
      <c r="CH68" s="102">
        <f t="array" ref="CH68">IF($BT68=0, INDEX(LS_current!$D$4:$BW$137, MATCH('Staging Table'!$A68, LS_current!$B$4:$B$137, 0), MATCH(CH$4&amp;CH$5, LS_current!$D$2:$BW$2&amp;LS_current!$D$3:$BW$3, 0)),SUM(VLOOKUP($A68, LS_current!$B$4:$BW$137, LS_current!M$147, FALSE), VLOOKUP($A68, LS_current!$B$4:$BW$137,LS_current!BI$147, FALSE))/2)</f>
        <v>775.57045966224337</v>
      </c>
      <c r="CI68" s="102">
        <f t="array" ref="CI68">IF($BT68=0, INDEX(LS_current!$D$4:$BW$137, MATCH('Staging Table'!$A68, LS_current!$B$4:$B$137, 0), MATCH(CI$4&amp;CI$5, LS_current!$D$2:$BW$2&amp;LS_current!$D$3:$BW$3, 0)),SUM(VLOOKUP($A68, LS_current!$B$4:$BW$137, LS_current!N$147, FALSE), VLOOKUP($A68, LS_current!$B$4:$BW$137,LS_current!BJ$147, FALSE))/2)</f>
        <v>-114.6578395692859</v>
      </c>
      <c r="CJ68" s="102">
        <f t="array" ref="CJ68">IF($BT68=0, INDEX(LS_current!$D$4:$BW$137, MATCH('Staging Table'!$A68, LS_current!$B$4:$B$137, 0), MATCH(CJ$4&amp;CJ$5, LS_current!$D$2:$BW$2&amp;LS_current!$D$3:$BW$3, 0)),SUM(VLOOKUP($A68, LS_current!$B$4:$BW$137, LS_current!O$147, FALSE), VLOOKUP($A68, LS_current!$B$4:$BW$137,LS_current!BK$147, FALSE))/2)</f>
        <v>339.41379172489565</v>
      </c>
      <c r="CK68" s="102">
        <f t="array" ref="CK68">IF($BT68=0, INDEX(LS_current!$D$4:$BW$137, MATCH('Staging Table'!$A68, LS_current!$B$4:$B$137, 0), MATCH(CK$4&amp;CK$5, LS_current!$D$2:$BW$2&amp;LS_current!$D$3:$BW$3, 0)),SUM(VLOOKUP($A68, LS_current!$B$4:$BW$137, LS_current!P$147, FALSE), VLOOKUP($A68, LS_current!$B$4:$BW$137,LS_current!BL$147, FALSE))/2)</f>
        <v>-225.97327709595629</v>
      </c>
      <c r="CL68" s="102">
        <f t="array" ref="CL68">IF($BT68=0, INDEX(LS_current!$D$4:$BW$137, MATCH('Staging Table'!$A68, LS_current!$B$4:$B$137, 0), MATCH(CL$4&amp;CL$5, LS_current!$D$2:$BW$2&amp;LS_current!$D$3:$BW$3, 0)),SUM(VLOOKUP($A68, LS_current!$B$4:$BW$137, LS_current!Q$147, FALSE), VLOOKUP($A68, LS_current!$B$4:$BW$137,LS_current!BM$147, FALSE))/2)</f>
        <v>62.837377905493668</v>
      </c>
      <c r="CM68" s="102">
        <f t="array" ref="CM68">IF($BT68=0, INDEX(LS_current!$D$4:$BW$137, MATCH('Staging Table'!$A68, LS_current!$B$4:$B$137, 0), MATCH(CM$4&amp;CM$5, LS_current!$D$2:$BW$2&amp;LS_current!$D$3:$BW$3, 0)),SUM(VLOOKUP($A68, LS_current!$B$4:$BW$137, LS_current!R$147, FALSE), VLOOKUP($A68, LS_current!$B$4:$BW$137,LS_current!BN$147, FALSE))/2)</f>
        <v>-891.06518332280507</v>
      </c>
      <c r="CN68" s="102">
        <f t="array" ref="CN68">IF($BT68=0, INDEX(LS_current!$D$4:$BW$137, MATCH('Staging Table'!$A68, LS_current!$B$4:$B$137, 0), MATCH(CN$4&amp;CN$5, LS_current!$D$2:$BW$2&amp;LS_current!$D$3:$BW$3, 0)),SUM(VLOOKUP($A68, LS_current!$B$4:$BW$137, LS_current!S$147, FALSE), VLOOKUP($A68, LS_current!$B$4:$BW$137,LS_current!BO$147, FALSE))/2)</f>
        <v>-673.61315077194649</v>
      </c>
      <c r="CO68" s="102">
        <f t="array" ref="CO68">IF($BT68=0, INDEX(LS_current!$D$4:$BW$137, MATCH('Staging Table'!$A68, LS_current!$B$4:$B$137, 0), MATCH(CO$4&amp;CO$5, LS_current!$D$2:$BW$2&amp;LS_current!$D$3:$BW$3, 0)),SUM(VLOOKUP($A68, LS_current!$B$4:$BW$137, LS_current!T$147, FALSE), VLOOKUP($A68, LS_current!$B$4:$BW$137,LS_current!BP$147, FALSE))/2)</f>
        <v>-1122.822877981401</v>
      </c>
      <c r="CP68" s="102">
        <f t="array" ref="CP68">IF($BT68=0, INDEX(LS_current!$D$4:$BW$137, MATCH('Staging Table'!$A68, LS_current!$B$4:$B$137, 0), MATCH(CP$4&amp;CP$5, LS_current!$D$2:$BW$2&amp;LS_current!$D$3:$BW$3, 0)),SUM(VLOOKUP($A68, LS_current!$B$4:$BW$137, LS_current!U$147, FALSE), VLOOKUP($A68, LS_current!$B$4:$BW$137,LS_current!BQ$147, FALSE))/2)</f>
        <v>-579.81188364032312</v>
      </c>
      <c r="CQ68" s="102">
        <f t="array" ref="CQ68">IF($BT68=0, INDEX(LS_current!$D$4:$BW$137, MATCH('Staging Table'!$A68, LS_current!$B$4:$B$137, 0), MATCH(CQ$4&amp;CQ$5, LS_current!$D$2:$BW$2&amp;LS_current!$D$3:$BW$3, 0)),SUM(VLOOKUP($A68, LS_current!$B$4:$BW$137, LS_current!V$147, FALSE), VLOOKUP($A68, LS_current!$B$4:$BW$137,LS_current!BR$147, FALSE))/2)</f>
        <v>-391.68910952613101</v>
      </c>
      <c r="CR68" s="102">
        <f t="array" ref="CR68">IF($BT68=0, INDEX(LS_current!$D$4:$BW$137, MATCH('Staging Table'!$A68, LS_current!$B$4:$B$137, 0), MATCH(CR$4&amp;CR$5, LS_current!$D$2:$BW$2&amp;LS_current!$D$3:$BW$3, 0)),SUM(VLOOKUP($A68, LS_current!$B$4:$BW$137, LS_current!W$147, FALSE), VLOOKUP($A68, LS_current!$B$4:$BW$137,LS_current!BS$147, FALSE))/2)</f>
        <v>-179.76828342291265</v>
      </c>
      <c r="CS68" s="102">
        <f t="array" ref="CS68">IF($BT68=0, INDEX(LS_current!$D$4:$BW$137, MATCH('Staging Table'!$A68, LS_current!$B$4:$B$137, 0), MATCH(CS$4&amp;CS$5, LS_current!$D$2:$BW$2&amp;LS_current!$D$3:$BW$3, 0)),SUM(VLOOKUP($A68, LS_current!$B$4:$BW$137, LS_current!X$147, FALSE), VLOOKUP($A68, LS_current!$B$4:$BW$137,LS_current!BT$147, FALSE))/2)</f>
        <v>-537.12253742185817</v>
      </c>
      <c r="CT68" s="102">
        <f t="array" ref="CT68">IF($BT68=0, INDEX(LS_current!$D$4:$BW$137, MATCH('Staging Table'!$A68, LS_current!$B$4:$B$137, 0), MATCH(CT$4&amp;CT$5, LS_current!$D$2:$BW$2&amp;LS_current!$D$3:$BW$3, 0)),SUM(VLOOKUP($A68, LS_current!$B$4:$BW$137, LS_current!Y$147, FALSE), VLOOKUP($A68, LS_current!$B$4:$BW$137,LS_current!BU$147, FALSE))/2)</f>
        <v>-237.48287897633872</v>
      </c>
      <c r="CU68" s="102">
        <f t="array" ref="CU68">IF($BT68=0, INDEX(LS_current!$D$4:$BW$137, MATCH('Staging Table'!$A68, LS_current!$B$4:$B$137, 0), MATCH(CU$4&amp;CU$5, LS_current!$D$2:$BW$2&amp;LS_current!$D$3:$BW$3, 0)),SUM(VLOOKUP($A68, LS_current!$B$4:$BW$137, LS_current!Z$147, FALSE), VLOOKUP($A68, LS_current!$B$4:$BW$137,LS_current!BV$147, FALSE))/2)</f>
        <v>-370.19647469038682</v>
      </c>
      <c r="CV68" s="102">
        <f t="array" ref="CV68">IF($BT68=0, INDEX(LS_current!$D$4:$BW$137, MATCH('Staging Table'!$A68, LS_current!$B$4:$B$137, 0), MATCH(CV$4&amp;CV$5, LS_current!$D$2:$BW$2&amp;LS_current!$D$3:$BW$3, 0)),SUM(VLOOKUP($A68, LS_current!$B$4:$BW$137, LS_current!AA$147, FALSE), VLOOKUP($A68, LS_current!$B$4:$BW$137,LS_current!BW$147, FALSE))/2)</f>
        <v>-230.58039451377863</v>
      </c>
      <c r="CW68" s="103">
        <f t="array" ref="CW68">INDEX(Demand_current!$D$4:$BW$137, MATCH($A68, Demand_current!$B$4:$B$137, 0), MATCH(CW$4&amp;CW$5,Demand_current!$D$2:$BW$2&amp;Demand_current!$D$3:$BW$3, 0))/1000</f>
        <v>0.81742129629629723</v>
      </c>
      <c r="CX68" s="103">
        <f t="array" ref="CX68">INDEX(Demand_current!$D$4:$BW$137, MATCH($A68, Demand_current!$B$4:$B$137, 0), MATCH(CX$4&amp;CX$5,Demand_current!$D$2:$BW$2&amp;Demand_current!$D$3:$BW$3, 0))/1000</f>
        <v>1.1455598958333333</v>
      </c>
      <c r="CY68" s="103">
        <f t="array" ref="CY68">INDEX(Demand_current!$D$4:$BW$137, MATCH($A68, Demand_current!$B$4:$B$137, 0), MATCH(CY$4&amp;CY$5,Demand_current!$D$2:$BW$2&amp;Demand_current!$D$3:$BW$3, 0))/1000</f>
        <v>2.9036225961538462</v>
      </c>
      <c r="CZ68" s="103">
        <f t="array" ref="CZ68">INDEX(Demand_current!$D$4:$BW$137, MATCH($A68, Demand_current!$B$4:$B$137, 0), MATCH(CZ$4&amp;CZ$5,Demand_current!$D$2:$BW$2&amp;Demand_current!$D$3:$BW$3, 0))/1000</f>
        <v>2.3937572115384609</v>
      </c>
      <c r="DA68" s="103">
        <f t="array" ref="DA68">INDEX(Demand_current!$D$4:$BW$137, MATCH($A68, Demand_current!$B$4:$B$137, 0), MATCH(DA$4&amp;DA$5,Demand_current!$D$2:$BW$2&amp;Demand_current!$D$3:$BW$3, 0))/1000</f>
        <v>1.3905781250000011</v>
      </c>
      <c r="DB68" s="103">
        <f t="array" ref="DB68">INDEX(Demand_current!$D$4:$BW$137, MATCH($A68, Demand_current!$B$4:$B$137, 0), MATCH(DB$4&amp;DB$5,Demand_current!$D$2:$BW$2&amp;Demand_current!$D$3:$BW$3, 0))/1000</f>
        <v>2.1432716346153837</v>
      </c>
      <c r="DC68" s="103">
        <f t="array" ref="DC68">INDEX(Demand_current!$D$4:$BW$137, MATCH($A68, Demand_current!$B$4:$B$137, 0), MATCH(DC$4&amp;DC$5,Demand_current!$D$2:$BW$2&amp;Demand_current!$D$3:$BW$3, 0))/1000</f>
        <v>1.405149038461539</v>
      </c>
      <c r="DD68" s="103">
        <f t="array" ref="DD68">INDEX(Demand_current!$D$4:$BW$137, MATCH($A68, Demand_current!$B$4:$B$137, 0), MATCH(DD$4&amp;DD$5,Demand_current!$D$2:$BW$2&amp;Demand_current!$D$3:$BW$3, 0))/1000</f>
        <v>0.74270999999999954</v>
      </c>
      <c r="DE68" s="103">
        <f t="array" ref="DE68">INDEX(Demand_current!$D$4:$BW$137, MATCH($A68, Demand_current!$B$4:$B$137, 0), MATCH(DE$4&amp;DE$5,Demand_current!$D$2:$BW$2&amp;Demand_current!$D$3:$BW$3, 0))/1000</f>
        <v>0.73156730769230682</v>
      </c>
      <c r="DF68" s="103">
        <f t="array" ref="DF68">INDEX(Demand_current!$D$4:$BW$137, MATCH($A68, Demand_current!$B$4:$B$137, 0), MATCH(DF$4&amp;DF$5,Demand_current!$D$2:$BW$2&amp;Demand_current!$D$3:$BW$3, 0))/1000</f>
        <v>1.0828437500000003</v>
      </c>
      <c r="DG68" s="103">
        <f t="array" ref="DG68">INDEX(Demand_current!$D$4:$BW$137, MATCH($A68, Demand_current!$B$4:$B$137, 0), MATCH(DG$4&amp;DG$5,Demand_current!$D$2:$BW$2&amp;Demand_current!$D$3:$BW$3, 0))/1000</f>
        <v>0.97905528846153889</v>
      </c>
      <c r="DH68" s="103">
        <f t="array" ref="DH68">INDEX(Demand_current!$D$4:$BW$137, MATCH($A68, Demand_current!$B$4:$B$137, 0), MATCH(DH$4&amp;DH$5,Demand_current!$D$2:$BW$2&amp;Demand_current!$D$3:$BW$3, 0))/1000</f>
        <v>0.92955750000000059</v>
      </c>
      <c r="DI68" s="102">
        <f>$BS68*(VLOOKUP(DI$4, Rates_current!$H$6:$R$41, 10, FALSE)+VLOOKUP(DI$4, Rates_current!$H$6:$R$41, 11, FALSE))</f>
        <v>3047.9712198126872</v>
      </c>
      <c r="DJ68" s="102">
        <f>$BS68*(VLOOKUP(DJ$4, Rates_current!$H$6:$R$41, 10, FALSE)+VLOOKUP(DJ$4, Rates_current!$H$6:$R$41, 11, FALSE))</f>
        <v>3896.730889457916</v>
      </c>
      <c r="DK68" s="102">
        <f>$BS68*(VLOOKUP(DK$4, Rates_current!$H$6:$R$41, 10, FALSE)+VLOOKUP(DK$4, Rates_current!$H$6:$R$41, 11, FALSE))</f>
        <v>4430.2571106135019</v>
      </c>
      <c r="DL68" s="102">
        <f>$BS68*(VLOOKUP(DL$4, Rates_current!$H$6:$R$41, 10, FALSE)+VLOOKUP(DL$4, Rates_current!$H$6:$R$41, 11, FALSE))</f>
        <v>4674.2670726290462</v>
      </c>
      <c r="DM68" s="102">
        <f>$BS68*(VLOOKUP(DM$4, Rates_current!$H$6:$R$41, 10, FALSE)+VLOOKUP(DM$4, Rates_current!$H$6:$R$41, 11, FALSE))</f>
        <v>3724.968988156998</v>
      </c>
      <c r="DN68" s="102">
        <f>$BS68*(VLOOKUP(DN$4, Rates_current!$H$6:$R$41, 10, FALSE)+VLOOKUP(DN$4, Rates_current!$H$6:$R$41, 11, FALSE))</f>
        <v>4072.1560478443903</v>
      </c>
      <c r="DO68" s="102">
        <f>$BS68*(VLOOKUP(DO$4, Rates_current!$H$6:$R$41, 10, FALSE)+VLOOKUP(DO$4, Rates_current!$H$6:$R$41, 11, FALSE))</f>
        <v>3155.9618991904626</v>
      </c>
      <c r="DP68" s="102">
        <f>$BS68*(VLOOKUP(DP$4, Rates_current!$H$6:$R$41, 10, FALSE)+VLOOKUP(DP$4, Rates_current!$H$6:$R$41, 11, FALSE))</f>
        <v>4084.3343340947513</v>
      </c>
      <c r="DQ68" s="102">
        <f>$BS68*(VLOOKUP(DQ$4, Rates_current!$H$6:$R$41, 10, FALSE)+VLOOKUP(DQ$4, Rates_current!$H$6:$R$41, 11, FALSE))</f>
        <v>4171.5467616217238</v>
      </c>
      <c r="DR68" s="102">
        <f>$BS68*(VLOOKUP(DR$4, Rates_current!$H$6:$R$41, 10, FALSE)+VLOOKUP(DR$4, Rates_current!$H$6:$R$41, 11, FALSE))</f>
        <v>3713.0373929490438</v>
      </c>
      <c r="DS68" s="102">
        <f>$BS68*(VLOOKUP(DS$4, Rates_current!$H$6:$R$41, 10, FALSE)+VLOOKUP(DS$4, Rates_current!$H$6:$R$41, 11, FALSE))</f>
        <v>3808.8954163981966</v>
      </c>
      <c r="DT68" s="102">
        <f>$BS68*(VLOOKUP(DT$4, Rates_current!$H$6:$R$41, 10, FALSE)+VLOOKUP(DT$4, Rates_current!$H$6:$R$41, 11, FALSE))</f>
        <v>2958.0638692041657</v>
      </c>
      <c r="DU68" s="261">
        <f>IF(D68=0,IF(C68=0,MAX(0,DW68 - (VLOOKUP($A68,TOCA_current!$A$2:$AV$136,MATCH("RHWM "&amp;Init!$D$1,TOCA_current!$A$2:$AV$2,0),FALSE)*$BS$2)), 0),0)</f>
        <v>0</v>
      </c>
      <c r="DV68" s="262">
        <f>MIN(VLOOKUP($A68,TOCA_current!$A$2:$AV$136,MATCH("TRL - NLSL - Existing Resource "&amp;$BS$1,TOCA_current!$A$2:$AV$2,0),FALSE)*$BS$2, VLOOKUP($A68,TOCA_current!$A$2:$AV$136,MATCH("RHWM "&amp;Init!$D$1,TOCA_current!$A$2:$AV$2,0),FALSE)*$BS$2)</f>
        <v>45735.96</v>
      </c>
      <c r="DW68" s="262">
        <f>SUM(BY68:CV68)+(BS68*RT1SC!$C$4*$BS$2)</f>
        <v>45733.990699915114</v>
      </c>
      <c r="DX68" s="262">
        <f>VLOOKUP($A68,TOCA_current!$A$2:$AV$136,MATCH("Above RHWM Not Served with LS "&amp;$BS$1,TOCA_current!$A$2:$AV$2,0),FALSE)*$BS$2</f>
        <v>25815.72</v>
      </c>
      <c r="DY68" s="262">
        <f t="shared" si="28"/>
        <v>-1.9693000848856173</v>
      </c>
      <c r="DZ68" s="262">
        <f>(VLOOKUP($A68,TOCA_current!$A$2:$AV$136,MATCH("RHWM "&amp;Init!$D$1,TOCA_current!$A$2:$AV$2,0),FALSE)*$BS$2) - $DV68</f>
        <v>0</v>
      </c>
      <c r="EA68" s="262">
        <f t="shared" si="29"/>
        <v>0</v>
      </c>
      <c r="EB68" s="262">
        <f t="shared" si="30"/>
        <v>0</v>
      </c>
      <c r="EC68" s="262">
        <f t="shared" si="31"/>
        <v>0</v>
      </c>
      <c r="ED68" s="262">
        <f t="shared" si="32"/>
        <v>0</v>
      </c>
    </row>
    <row r="69" spans="1:134">
      <c r="A69" s="2">
        <v>10191</v>
      </c>
      <c r="B69" s="3" t="s">
        <v>71</v>
      </c>
      <c r="C69">
        <f>VLOOKUP(A69, TOCA_current!$A$3:$D$136, 4, FALSE)</f>
        <v>0</v>
      </c>
      <c r="D69">
        <v>0</v>
      </c>
      <c r="E69" s="84">
        <f>VLOOKUP($A69,TOCA_previous!$A$2:$AJ$136,MATCH(E$4,TOCA_previous!$A$2:$AJ$2,0),FALSE)</f>
        <v>1.74401E-2</v>
      </c>
      <c r="F69" s="85">
        <f>VLOOKUP($A69,TOCA_previous!$A$2:$AJ$136,MATCH(F$4,TOCA_previous!$A$2:$AJ$2,0),FALSE)</f>
        <v>1.74401E-2</v>
      </c>
      <c r="G69" s="85">
        <f t="shared" si="18"/>
        <v>0</v>
      </c>
      <c r="H69" s="85">
        <f>VLOOKUP($A69,TOCA_previous!$A$2:$AJ$136,MATCH(H$4,TOCA_previous!$A$2:$AJ$2,0),FALSE)</f>
        <v>0</v>
      </c>
      <c r="I69" s="85">
        <f t="shared" si="19"/>
        <v>0</v>
      </c>
      <c r="J69" s="85">
        <f t="shared" si="20"/>
        <v>0</v>
      </c>
      <c r="K69" s="101">
        <f>VLOOKUP(A69, IRD!$A$5:$C$138, 3, FALSE)</f>
        <v>0</v>
      </c>
      <c r="L69" s="102">
        <f t="array" ref="L69">IF($G69=0, INDEX(LS_previous!$D$4:$AY$137, MATCH('Staging Table'!$A69, LS_previous!$B$4:$B$137, 0), MATCH(L$4&amp;L$5, LS_previous!$D$2:$AY$2&amp;LS_previous!$D$3:$AY$3, 0)),SUM(VLOOKUP($A69, LS_previous!$B$4:$AY$137, LS_previous!D$148, FALSE), VLOOKUP('Staging Table'!$A69, LS_previous!$B$4:$AY$137,LS_previous!AB$148, FALSE))/2)</f>
        <v>10770.804767756395</v>
      </c>
      <c r="M69" s="102">
        <f t="array" ref="M69">IF($G69=0, INDEX(LS_previous!$D$4:$AY$137, MATCH('Staging Table'!$A69, LS_previous!$B$4:$B$137, 0), MATCH(M$4&amp;M$5, LS_previous!$D$2:$AY$2&amp;LS_previous!$D$3:$AY$3, 0)),SUM(VLOOKUP($A69, LS_previous!$B$4:$AY$137, LS_previous!E$148, FALSE), VLOOKUP('Staging Table'!$A69, LS_previous!$B$4:$AY$137,LS_previous!AC$148, FALSE))/2)</f>
        <v>4331.5627513074505</v>
      </c>
      <c r="N69" s="102">
        <f t="array" ref="N69">IF($G69=0, INDEX(LS_previous!$D$4:$AY$137, MATCH('Staging Table'!$A69, LS_previous!$B$4:$B$137, 0), MATCH(N$4&amp;N$5, LS_previous!$D$2:$AY$2&amp;LS_previous!$D$3:$AY$3, 0)),SUM(VLOOKUP($A69, LS_previous!$B$4:$AY$137, LS_previous!F$148, FALSE), VLOOKUP('Staging Table'!$A69, LS_previous!$B$4:$AY$137,LS_previous!AD$148, FALSE))/2)</f>
        <v>982.17055094720126</v>
      </c>
      <c r="O69" s="102">
        <f t="array" ref="O69">IF($G69=0, INDEX(LS_previous!$D$4:$AY$137, MATCH('Staging Table'!$A69, LS_previous!$B$4:$B$137, 0), MATCH(O$4&amp;O$5, LS_previous!$D$2:$AY$2&amp;LS_previous!$D$3:$AY$3, 0)),SUM(VLOOKUP($A69, LS_previous!$B$4:$AY$137, LS_previous!G$148, FALSE), VLOOKUP('Staging Table'!$A69, LS_previous!$B$4:$AY$137,LS_previous!AE$148, FALSE))/2)</f>
        <v>6990.6150874969026</v>
      </c>
      <c r="P69" s="102">
        <f t="array" ref="P69">IF($G69=0, INDEX(LS_previous!$D$4:$AY$137, MATCH('Staging Table'!$A69, LS_previous!$B$4:$B$137, 0), MATCH(P$4&amp;P$5, LS_previous!$D$2:$AY$2&amp;LS_previous!$D$3:$AY$3, 0)),SUM(VLOOKUP($A69, LS_previous!$B$4:$AY$137, LS_previous!H$148, FALSE), VLOOKUP('Staging Table'!$A69, LS_previous!$B$4:$AY$137,LS_previous!AF$148, FALSE))/2)</f>
        <v>11593.743663266097</v>
      </c>
      <c r="Q69" s="102">
        <f t="array" ref="Q69">IF($G69=0, INDEX(LS_previous!$D$4:$AY$137, MATCH('Staging Table'!$A69, LS_previous!$B$4:$B$137, 0), MATCH(Q$4&amp;Q$5, LS_previous!$D$2:$AY$2&amp;LS_previous!$D$3:$AY$3, 0)),SUM(VLOOKUP($A69, LS_previous!$B$4:$AY$137, LS_previous!I$148, FALSE), VLOOKUP('Staging Table'!$A69, LS_previous!$B$4:$AY$137,LS_previous!AG$148, FALSE))/2)</f>
        <v>9215.0333423904012</v>
      </c>
      <c r="R69" s="102">
        <f t="array" ref="R69">IF($G69=0, INDEX(LS_previous!$D$4:$AY$137, MATCH('Staging Table'!$A69, LS_previous!$B$4:$B$137, 0), MATCH(R$4&amp;R$5, LS_previous!$D$2:$AY$2&amp;LS_previous!$D$3:$AY$3, 0)),SUM(VLOOKUP($A69, LS_previous!$B$4:$AY$137, LS_previous!J$148, FALSE), VLOOKUP('Staging Table'!$A69, LS_previous!$B$4:$AY$137,LS_previous!AH$148, FALSE))/2)</f>
        <v>1155.2799212285026</v>
      </c>
      <c r="S69" s="102">
        <f t="array" ref="S69">IF($G69=0, INDEX(LS_previous!$D$4:$AY$137, MATCH('Staging Table'!$A69, LS_previous!$B$4:$B$137, 0), MATCH(S$4&amp;S$5, LS_previous!$D$2:$AY$2&amp;LS_previous!$D$3:$AY$3, 0)),SUM(VLOOKUP($A69, LS_previous!$B$4:$AY$137, LS_previous!K$148, FALSE), VLOOKUP('Staging Table'!$A69, LS_previous!$B$4:$AY$137,LS_previous!AI$148, FALSE))/2)</f>
        <v>4994.8759604371007</v>
      </c>
      <c r="T69" s="102">
        <f t="array" ref="T69">IF($G69=0, INDEX(LS_previous!$D$4:$AY$137, MATCH('Staging Table'!$A69, LS_previous!$B$4:$B$137, 0), MATCH(T$4&amp;T$5, LS_previous!$D$2:$AY$2&amp;LS_previous!$D$3:$AY$3, 0)),SUM(VLOOKUP($A69, LS_previous!$B$4:$AY$137, LS_previous!L$148, FALSE), VLOOKUP('Staging Table'!$A69, LS_previous!$B$4:$AY$137,LS_previous!AJ$148, FALSE))/2)</f>
        <v>5472.9568706521022</v>
      </c>
      <c r="U69" s="102">
        <f t="array" ref="U69">IF($G69=0, INDEX(LS_previous!$D$4:$AY$137, MATCH('Staging Table'!$A69, LS_previous!$B$4:$B$137, 0), MATCH(U$4&amp;U$5, LS_previous!$D$2:$AY$2&amp;LS_previous!$D$3:$AY$3, 0)),SUM(VLOOKUP($A69, LS_previous!$B$4:$AY$137, LS_previous!M$148, FALSE), VLOOKUP('Staging Table'!$A69, LS_previous!$B$4:$AY$137,LS_previous!AK$148, FALSE))/2)</f>
        <v>8120.9798448440997</v>
      </c>
      <c r="V69" s="102">
        <f t="array" ref="V69">IF($G69=0, INDEX(LS_previous!$D$4:$AY$137, MATCH('Staging Table'!$A69, LS_previous!$B$4:$B$137, 0), MATCH(V$4&amp;V$5, LS_previous!$D$2:$AY$2&amp;LS_previous!$D$3:$AY$3, 0)),SUM(VLOOKUP($A69, LS_previous!$B$4:$AY$137, LS_previous!N$148, FALSE), VLOOKUP('Staging Table'!$A69, LS_previous!$B$4:$AY$137,LS_previous!AL$148, FALSE))/2)</f>
        <v>3618.077677368703</v>
      </c>
      <c r="W69" s="102">
        <f t="array" ref="W69">IF($G69=0, INDEX(LS_previous!$D$4:$AY$137, MATCH('Staging Table'!$A69, LS_previous!$B$4:$B$137, 0), MATCH(W$4&amp;W$5, LS_previous!$D$2:$AY$2&amp;LS_previous!$D$3:$AY$3, 0)),SUM(VLOOKUP($A69, LS_previous!$B$4:$AY$137, LS_previous!O$148, FALSE), VLOOKUP('Staging Table'!$A69, LS_previous!$B$4:$AY$137,LS_previous!AM$148, FALSE))/2)</f>
        <v>5411.8865495022037</v>
      </c>
      <c r="X69" s="102">
        <f t="array" ref="X69">IF($G69=0, INDEX(LS_previous!$D$4:$AY$137, MATCH('Staging Table'!$A69, LS_previous!$B$4:$B$137, 0), MATCH(X$4&amp;X$5, LS_previous!$D$2:$AY$2&amp;LS_previous!$D$3:$AY$3, 0)),SUM(VLOOKUP($A69, LS_previous!$B$4:$AY$137, LS_previous!P$148, FALSE), VLOOKUP('Staging Table'!$A69, LS_previous!$B$4:$AY$137,LS_previous!AN$148, FALSE))/2)</f>
        <v>7457.3071196222518</v>
      </c>
      <c r="Y69" s="102">
        <f t="array" ref="Y69">IF($G69=0, INDEX(LS_previous!$D$4:$AY$137, MATCH('Staging Table'!$A69, LS_previous!$B$4:$B$137, 0), MATCH(Y$4&amp;Y$5, LS_previous!$D$2:$AY$2&amp;LS_previous!$D$3:$AY$3, 0)),SUM(VLOOKUP($A69, LS_previous!$B$4:$AY$137, LS_previous!Q$148, FALSE), VLOOKUP('Staging Table'!$A69, LS_previous!$B$4:$AY$137,LS_previous!AO$148, FALSE))/2)</f>
        <v>4373.9342057338326</v>
      </c>
      <c r="Z69" s="102">
        <f t="array" ref="Z69">IF($G69=0, INDEX(LS_previous!$D$4:$AY$137, MATCH('Staging Table'!$A69, LS_previous!$B$4:$B$137, 0), MATCH(Z$4&amp;Z$5, LS_previous!$D$2:$AY$2&amp;LS_previous!$D$3:$AY$3, 0)),SUM(VLOOKUP($A69, LS_previous!$B$4:$AY$137, LS_previous!R$148, FALSE), VLOOKUP('Staging Table'!$A69, LS_previous!$B$4:$AY$137,LS_previous!AP$148, FALSE))/2)</f>
        <v>-11826.835010804803</v>
      </c>
      <c r="AA69" s="102">
        <f t="array" ref="AA69">IF($G69=0, INDEX(LS_previous!$D$4:$AY$137, MATCH('Staging Table'!$A69, LS_previous!$B$4:$B$137, 0), MATCH(AA$4&amp;AA$5, LS_previous!$D$2:$AY$2&amp;LS_previous!$D$3:$AY$3, 0)),SUM(VLOOKUP($A69, LS_previous!$B$4:$AY$137, LS_previous!S$148, FALSE), VLOOKUP('Staging Table'!$A69, LS_previous!$B$4:$AY$137,LS_previous!AQ$148, FALSE))/2)</f>
        <v>-3242.7058311558503</v>
      </c>
      <c r="AB69" s="102">
        <f t="array" ref="AB69">IF($G69=0, INDEX(LS_previous!$D$4:$AY$137, MATCH('Staging Table'!$A69, LS_previous!$B$4:$B$137, 0), MATCH(AB$4&amp;AB$5, LS_previous!$D$2:$AY$2&amp;LS_previous!$D$3:$AY$3, 0)),SUM(VLOOKUP($A69, LS_previous!$B$4:$AY$137, LS_previous!T$148, FALSE), VLOOKUP('Staging Table'!$A69, LS_previous!$B$4:$AY$137,LS_previous!AR$148, FALSE))/2)</f>
        <v>-15486.941230232602</v>
      </c>
      <c r="AC69" s="102">
        <f t="array" ref="AC69">IF($G69=0, INDEX(LS_previous!$D$4:$AY$137, MATCH('Staging Table'!$A69, LS_previous!$B$4:$B$137, 0), MATCH(AC$4&amp;AC$5, LS_previous!$D$2:$AY$2&amp;LS_previous!$D$3:$AY$3, 0)),SUM(VLOOKUP($A69, LS_previous!$B$4:$AY$137, LS_previous!U$148, FALSE), VLOOKUP('Staging Table'!$A69, LS_previous!$B$4:$AY$137,LS_previous!AS$148, FALSE))/2)</f>
        <v>-8070.3348779854496</v>
      </c>
      <c r="AD69" s="102">
        <f t="array" ref="AD69">IF($G69=0, INDEX(LS_previous!$D$4:$AY$137, MATCH('Staging Table'!$A69, LS_previous!$B$4:$B$137, 0), MATCH(AD$4&amp;AD$5, LS_previous!$D$2:$AY$2&amp;LS_previous!$D$3:$AY$3, 0)),SUM(VLOOKUP($A69, LS_previous!$B$4:$AY$137, LS_previous!V$148, FALSE), VLOOKUP('Staging Table'!$A69, LS_previous!$B$4:$AY$137,LS_previous!AT$148, FALSE))/2)</f>
        <v>-6416.3206673364039</v>
      </c>
      <c r="AE69" s="102">
        <f t="array" ref="AE69">IF($G69=0, INDEX(LS_previous!$D$4:$AY$137, MATCH('Staging Table'!$A69, LS_previous!$B$4:$B$137, 0), MATCH(AE$4&amp;AE$5, LS_previous!$D$2:$AY$2&amp;LS_previous!$D$3:$AY$3, 0)),SUM(VLOOKUP($A69, LS_previous!$B$4:$AY$137, LS_previous!W$148, FALSE), VLOOKUP('Staging Table'!$A69, LS_previous!$B$4:$AY$137,LS_previous!AU$148, FALSE))/2)</f>
        <v>-1131.5440958627478</v>
      </c>
      <c r="AF69" s="102">
        <f t="array" ref="AF69">IF($G69=0, INDEX(LS_previous!$D$4:$AY$137, MATCH('Staging Table'!$A69, LS_previous!$B$4:$B$137, 0), MATCH(AF$4&amp;AF$5, LS_previous!$D$2:$AY$2&amp;LS_previous!$D$3:$AY$3, 0)),SUM(VLOOKUP($A69, LS_previous!$B$4:$AY$137, LS_previous!X$148, FALSE), VLOOKUP('Staging Table'!$A69, LS_previous!$B$4:$AY$137,LS_previous!AV$148, FALSE))/2)</f>
        <v>-4316.3024199771535</v>
      </c>
      <c r="AG69" s="102">
        <f t="array" ref="AG69">IF($G69=0, INDEX(LS_previous!$D$4:$AY$137, MATCH('Staging Table'!$A69, LS_previous!$B$4:$B$137, 0), MATCH(AG$4&amp;AG$5, LS_previous!$D$2:$AY$2&amp;LS_previous!$D$3:$AY$3, 0)),SUM(VLOOKUP($A69, LS_previous!$B$4:$AY$137, LS_previous!Y$148, FALSE), VLOOKUP('Staging Table'!$A69, LS_previous!$B$4:$AY$137,LS_previous!AW$148, FALSE))/2)</f>
        <v>1281.570913608015</v>
      </c>
      <c r="AH69" s="102">
        <f t="array" ref="AH69">IF($G69=0, INDEX(LS_previous!$D$4:$AY$137, MATCH('Staging Table'!$A69, LS_previous!$B$4:$B$137, 0), MATCH(AH$4&amp;AH$5, LS_previous!$D$2:$AY$2&amp;LS_previous!$D$3:$AY$3, 0)),SUM(VLOOKUP($A69, LS_previous!$B$4:$AY$137, LS_previous!Z$148, FALSE), VLOOKUP('Staging Table'!$A69, LS_previous!$B$4:$AY$137,LS_previous!AX$148, FALSE))/2)</f>
        <v>-384.69099238740455</v>
      </c>
      <c r="AI69" s="102">
        <f t="array" ref="AI69">IF($G69=0, INDEX(LS_previous!$D$4:$AY$137, MATCH('Staging Table'!$A69, LS_previous!$B$4:$B$137, 0), MATCH(AI$4&amp;AI$5, LS_previous!$D$2:$AY$2&amp;LS_previous!$D$3:$AY$3, 0)),SUM(VLOOKUP($A69, LS_previous!$B$4:$AY$137, LS_previous!AA$148, FALSE), VLOOKUP('Staging Table'!$A69, LS_previous!$B$4:$AY$137,LS_previous!AY$148, FALSE))/2)</f>
        <v>-672.42751067040081</v>
      </c>
      <c r="AJ69" s="103">
        <f t="array" ref="AJ69">INDEX(Demand_previous!$D$4:$AY$137, MATCH('Staging Table'!$A69, Demand_previous!$B$4:$B$137, 0), MATCH(AJ$4&amp;AJ$5,Demand_previous!$D$2:$AY$2&amp;Demand_previous!$D$3:$AY$3, 0))/1000</f>
        <v>3.0807211538461416</v>
      </c>
      <c r="AK69" s="103">
        <f t="array" ref="AK69">INDEX(Demand_previous!$D$4:$AY$137, MATCH('Staging Table'!$A69, Demand_previous!$B$4:$B$137, 0), MATCH(AK$4&amp;AK$5,Demand_previous!$D$2:$AY$2&amp;Demand_previous!$D$3:$AY$3, 0))/1000</f>
        <v>20.525110000000005</v>
      </c>
      <c r="AL69" s="103">
        <f t="array" ref="AL69">INDEX(Demand_previous!$D$4:$AY$137, MATCH('Staging Table'!$A69, Demand_previous!$B$4:$B$137, 0), MATCH(AL$4&amp;AL$5,Demand_previous!$D$2:$AY$2&amp;Demand_previous!$D$3:$AY$3, 0))/1000</f>
        <v>46.004582500000005</v>
      </c>
      <c r="AM69" s="103">
        <f t="array" ref="AM69">INDEX(Demand_previous!$D$4:$AY$137, MATCH('Staging Table'!$A69, Demand_previous!$B$4:$B$137, 0), MATCH(AM$4&amp;AM$5,Demand_previous!$D$2:$AY$2&amp;Demand_previous!$D$3:$AY$3, 0))/1000</f>
        <v>30.346295673076927</v>
      </c>
      <c r="AN69" s="103">
        <f t="array" ref="AN69">INDEX(Demand_previous!$D$4:$AY$137, MATCH('Staging Table'!$A69, Demand_previous!$B$4:$B$137, 0), MATCH(AN$4&amp;AN$5,Demand_previous!$D$2:$AY$2&amp;Demand_previous!$D$3:$AY$3, 0))/1000</f>
        <v>33.85696250000003</v>
      </c>
      <c r="AO69" s="103">
        <f t="array" ref="AO69">INDEX(Demand_previous!$D$4:$AY$137, MATCH('Staging Table'!$A69, Demand_previous!$B$4:$B$137, 0), MATCH(AO$4&amp;AO$5,Demand_previous!$D$2:$AY$2&amp;Demand_previous!$D$3:$AY$3, 0))/1000</f>
        <v>30.006644230769236</v>
      </c>
      <c r="AP69" s="103">
        <f t="array" ref="AP69">INDEX(Demand_previous!$D$4:$AY$137, MATCH('Staging Table'!$A69, Demand_previous!$B$4:$B$137, 0), MATCH(AP$4&amp;AP$5,Demand_previous!$D$2:$AY$2&amp;Demand_previous!$D$3:$AY$3, 0))/1000</f>
        <v>24.174415865384617</v>
      </c>
      <c r="AQ69" s="103">
        <f t="array" ref="AQ69">INDEX(Demand_previous!$D$4:$AY$137, MATCH('Staging Table'!$A69, Demand_previous!$B$4:$B$137, 0), MATCH(AQ$4&amp;AQ$5,Demand_previous!$D$2:$AY$2&amp;Demand_previous!$D$3:$AY$3, 0))/1000</f>
        <v>15.496144230769247</v>
      </c>
      <c r="AR69" s="103">
        <f t="array" ref="AR69">INDEX(Demand_previous!$D$4:$AY$137, MATCH('Staging Table'!$A69, Demand_previous!$B$4:$B$137, 0), MATCH(AR$4&amp;AR$5,Demand_previous!$D$2:$AY$2&amp;Demand_previous!$D$3:$AY$3, 0))/1000</f>
        <v>4.5721174999999938</v>
      </c>
      <c r="AS69" s="103">
        <f t="array" ref="AS69">INDEX(Demand_previous!$D$4:$AY$137, MATCH('Staging Table'!$A69, Demand_previous!$B$4:$B$137, 0), MATCH(AS$4&amp;AS$5,Demand_previous!$D$2:$AY$2&amp;Demand_previous!$D$3:$AY$3, 0))/1000</f>
        <v>15.186701923076932</v>
      </c>
      <c r="AT69" s="103">
        <f t="array" ref="AT69">INDEX(Demand_previous!$D$4:$AY$137, MATCH('Staging Table'!$A69, Demand_previous!$B$4:$B$137, 0), MATCH(AT$4&amp;AT$5,Demand_previous!$D$2:$AY$2&amp;Demand_previous!$D$3:$AY$3, 0))/1000</f>
        <v>10.943249999999995</v>
      </c>
      <c r="AU69" s="103">
        <f t="array" ref="AU69">INDEX(Demand_previous!$D$4:$AY$137, MATCH('Staging Table'!$A69, Demand_previous!$B$4:$B$137, 0), MATCH(AU$4&amp;AU$5,Demand_previous!$D$2:$AY$2&amp;Demand_previous!$D$3:$AY$3, 0))/1000</f>
        <v>0</v>
      </c>
      <c r="AV69" s="102">
        <f>$F69*(VLOOKUP(AV$4, Rates_previous!$G$6:$Q$29, 10, FALSE)+VLOOKUP(AV$4, Rates_previous!$G$6:$Q$29, 11, FALSE))</f>
        <v>73576.359480936153</v>
      </c>
      <c r="AW69" s="102">
        <f>$F69*(VLOOKUP(AW$4, Rates_previous!$G$6:$Q$29, 10, FALSE)+VLOOKUP(AW$4, Rates_previous!$G$6:$Q$29, 11, FALSE))</f>
        <v>93834.120361555906</v>
      </c>
      <c r="AX69" s="102">
        <f>$F69*(VLOOKUP(AX$4, Rates_previous!$G$6:$Q$29, 10, FALSE)+VLOOKUP(AX$4, Rates_previous!$G$6:$Q$29, 11, FALSE))</f>
        <v>101265.58199434351</v>
      </c>
      <c r="AY69" s="102">
        <f>$F69*(VLOOKUP(AY$4, Rates_previous!$G$6:$Q$29, 10, FALSE)+VLOOKUP(AY$4, Rates_previous!$G$6:$Q$29, 11, FALSE))</f>
        <v>105230.5941183344</v>
      </c>
      <c r="AZ69" s="102">
        <f>$F69*(VLOOKUP(AZ$4, Rates_previous!$G$6:$Q$29, 10, FALSE)+VLOOKUP(AZ$4, Rates_previous!$G$6:$Q$29, 11, FALSE))</f>
        <v>90512.337284503796</v>
      </c>
      <c r="BA69" s="102">
        <f>$F69*(VLOOKUP(BA$4, Rates_previous!$G$6:$Q$29, 10, FALSE)+VLOOKUP(BA$4, Rates_previous!$G$6:$Q$29, 11, FALSE))</f>
        <v>98821.551773129104</v>
      </c>
      <c r="BB69" s="102">
        <f>$F69*(VLOOKUP(BB$4, Rates_previous!$G$6:$Q$29, 10, FALSE)+VLOOKUP(BB$4, Rates_previous!$G$6:$Q$29, 11, FALSE))</f>
        <v>78002.961674643913</v>
      </c>
      <c r="BC69" s="102">
        <f>$F69*(VLOOKUP(BC$4, Rates_previous!$G$6:$Q$29, 10, FALSE)+VLOOKUP(BC$4, Rates_previous!$G$6:$Q$29, 11, FALSE))</f>
        <v>96773.126841960649</v>
      </c>
      <c r="BD69" s="102">
        <f>$F69*(VLOOKUP(BD$4, Rates_previous!$G$6:$Q$29, 10, FALSE)+VLOOKUP(BD$4, Rates_previous!$G$6:$Q$29, 11, FALSE))</f>
        <v>98872.862108218047</v>
      </c>
      <c r="BE69" s="102">
        <f>$F69*(VLOOKUP(BE$4, Rates_previous!$G$6:$Q$29, 10, FALSE)+VLOOKUP(BE$4, Rates_previous!$G$6:$Q$29, 11, FALSE))</f>
        <v>85835.888763199153</v>
      </c>
      <c r="BF69" s="102">
        <f>$F69*(VLOOKUP(BF$4, Rates_previous!$G$6:$Q$29, 10, FALSE)+VLOOKUP(BF$4, Rates_previous!$G$6:$Q$29, 11, FALSE))</f>
        <v>82980.488506369147</v>
      </c>
      <c r="BG69" s="102">
        <f>$F69*(VLOOKUP(BG$4, Rates_previous!$G$6:$Q$29, 10, FALSE)+VLOOKUP(BG$4, Rates_previous!$G$6:$Q$29, 11, FALSE))</f>
        <v>76358.118503057805</v>
      </c>
      <c r="BH69" s="103">
        <f>IF($D69=0,IF(C69=0, MAX(BJ69 - (VLOOKUP($A69,TOCA_previous!$A$2:$AJ$136,MATCH("RHWM "&amp;Init!$D$1-2,TOCA_previous!$A$2:$AJ$2,0),FALSE)*$F$2*TOCA_previous!C66),0),0), 0)</f>
        <v>0</v>
      </c>
      <c r="BI69" s="109">
        <f>MIN(VLOOKUP($A69,TOCA_previous!$A$2:$AJ$136,MATCH("TRL - NLSL - Existing Resource "&amp;$F$1,TOCA_previous!$A$2:$AJ$2,0),FALSE)*$F$2,(VLOOKUP($A69,TOCA_previous!$A$2:$AJ$136,MATCH("RHWM "&amp;Init!$D$1-2,TOCA_previous!$A$2:$AJ$2,0),FALSE)*$F$2))</f>
        <v>1058182.128</v>
      </c>
      <c r="BJ69" s="261">
        <f>SUM(L69:AI69)+(F69*RT1SC!$C$3*$F$2)</f>
        <v>1116286.6929599643</v>
      </c>
      <c r="BK69" s="260">
        <f>VLOOKUP($A69,TOCA_previous!$A$2:$AJ$136,MATCH("Above RHWM Not Served with LS "&amp;$F$1,TOCA_previous!$A$2:$AJ$2,0),FALSE)*$F$2</f>
        <v>0</v>
      </c>
      <c r="BL69" s="261">
        <f t="shared" si="21"/>
        <v>58104.564959964249</v>
      </c>
      <c r="BM69" s="260">
        <f>(VLOOKUP($A69,TOCA_previous!$A$2:$AJ$136,MATCH("RHWM "&amp;Init!$D$1-2,TOCA_previous!$A$2:$AJ$2,0),FALSE)*$F$2) - $BI69</f>
        <v>94428</v>
      </c>
      <c r="BN69" s="261">
        <f t="shared" si="22"/>
        <v>-58104.564959964249</v>
      </c>
      <c r="BO69" s="260">
        <f t="shared" si="23"/>
        <v>0</v>
      </c>
      <c r="BP69" s="261">
        <f t="shared" si="24"/>
        <v>0</v>
      </c>
      <c r="BQ69" s="260">
        <f t="shared" si="9"/>
        <v>-58104.564959964249</v>
      </c>
      <c r="BR69" s="85">
        <f>VLOOKUP($A69,TOCA_current!$A$2:$ZZ$136,MATCH(BR$4,TOCA_current!$A$2:$ZZ$2,0),FALSE)</f>
        <v>1.79238E-2</v>
      </c>
      <c r="BS69" s="85">
        <f>VLOOKUP($A69,TOCA_current!$A$2:$ZZ$136,MATCH(BS$4,TOCA_current!$A$2:$ZZ$2,0),FALSE)</f>
        <v>1.79238E-2</v>
      </c>
      <c r="BT69" s="108">
        <f t="shared" si="25"/>
        <v>0</v>
      </c>
      <c r="BU69" s="85">
        <f>VLOOKUP($A69,TOCA_current!A66:BG200,MATCH(BU$4,TOCA_current!$A$2:$BG$2,0),FALSE)</f>
        <v>0</v>
      </c>
      <c r="BV69" s="85">
        <f t="shared" si="26"/>
        <v>0</v>
      </c>
      <c r="BW69" s="85">
        <f t="shared" si="27"/>
        <v>0</v>
      </c>
      <c r="BX69" s="101">
        <f>VLOOKUP($A69,IRD!$A$4:$G$138, 7, FALSE)</f>
        <v>0</v>
      </c>
      <c r="BY69" s="102">
        <f t="array" ref="BY69">IF($BT69=0, INDEX(LS_current!$D$4:$BW$137, MATCH('Staging Table'!$A69, LS_current!$B$4:$B$137, 0), MATCH(BY$4&amp;BY$5, LS_current!$D$2:$BW$2&amp;LS_current!$D$3:$BW$3, 0)),SUM(VLOOKUP($A69, LS_current!$B$4:$BW$137, LS_current!D$147, FALSE), VLOOKUP($A69, LS_current!$B$4:$BW$137,LS_current!AZ$147, FALSE))/2)</f>
        <v>8933.9712658851277</v>
      </c>
      <c r="BZ69" s="102">
        <f t="array" ref="BZ69">IF($BT69=0, INDEX(LS_current!$D$4:$BW$137, MATCH('Staging Table'!$A69, LS_current!$B$4:$B$137, 0), MATCH(BZ$4&amp;BZ$5, LS_current!$D$2:$BW$2&amp;LS_current!$D$3:$BW$3, 0)),SUM(VLOOKUP($A69, LS_current!$B$4:$BW$137, LS_current!E$147, FALSE), VLOOKUP($A69, LS_current!$B$4:$BW$137,LS_current!BA$147, FALSE))/2)</f>
        <v>5355.8306937027737</v>
      </c>
      <c r="CA69" s="102">
        <f t="array" ref="CA69">IF($BT69=0, INDEX(LS_current!$D$4:$BW$137, MATCH('Staging Table'!$A69, LS_current!$B$4:$B$137, 0), MATCH(CA$4&amp;CA$5, LS_current!$D$2:$BW$2&amp;LS_current!$D$3:$BW$3, 0)),SUM(VLOOKUP($A69, LS_current!$B$4:$BW$137, LS_current!F$147, FALSE), VLOOKUP($A69, LS_current!$B$4:$BW$137,LS_current!BB$147, FALSE))/2)</f>
        <v>458.63696965818235</v>
      </c>
      <c r="CB69" s="102">
        <f t="array" ref="CB69">IF($BT69=0, INDEX(LS_current!$D$4:$BW$137, MATCH('Staging Table'!$A69, LS_current!$B$4:$B$137, 0), MATCH(CB$4&amp;CB$5, LS_current!$D$2:$BW$2&amp;LS_current!$D$3:$BW$3, 0)),SUM(VLOOKUP($A69, LS_current!$B$4:$BW$137, LS_current!G$147, FALSE), VLOOKUP($A69, LS_current!$B$4:$BW$137,LS_current!BC$147, FALSE))/2)</f>
        <v>6244.4766604265242</v>
      </c>
      <c r="CC69" s="102">
        <f t="array" ref="CC69">IF($BT69=0, INDEX(LS_current!$D$4:$BW$137, MATCH('Staging Table'!$A69, LS_current!$B$4:$B$137, 0), MATCH(CC$4&amp;CC$5, LS_current!$D$2:$BW$2&amp;LS_current!$D$3:$BW$3, 0)),SUM(VLOOKUP($A69, LS_current!$B$4:$BW$137, LS_current!H$147, FALSE), VLOOKUP($A69, LS_current!$B$4:$BW$137,LS_current!BD$147, FALSE))/2)</f>
        <v>3681.8511860498547</v>
      </c>
      <c r="CD69" s="102">
        <f t="array" ref="CD69">IF($BT69=0, INDEX(LS_current!$D$4:$BW$137, MATCH('Staging Table'!$A69, LS_current!$B$4:$B$137, 0), MATCH(CD$4&amp;CD$5, LS_current!$D$2:$BW$2&amp;LS_current!$D$3:$BW$3, 0)),SUM(VLOOKUP($A69, LS_current!$B$4:$BW$137, LS_current!I$147, FALSE), VLOOKUP($A69, LS_current!$B$4:$BW$137,LS_current!BE$147, FALSE))/2)</f>
        <v>10267.450080815215</v>
      </c>
      <c r="CE69" s="102">
        <f t="array" ref="CE69">IF($BT69=0, INDEX(LS_current!$D$4:$BW$137, MATCH('Staging Table'!$A69, LS_current!$B$4:$B$137, 0), MATCH(CE$4&amp;CE$5, LS_current!$D$2:$BW$2&amp;LS_current!$D$3:$BW$3, 0)),SUM(VLOOKUP($A69, LS_current!$B$4:$BW$137, LS_current!J$147, FALSE), VLOOKUP($A69, LS_current!$B$4:$BW$137,LS_current!BF$147, FALSE))/2)</f>
        <v>-5599.6749042426673</v>
      </c>
      <c r="CF69" s="102">
        <f t="array" ref="CF69">IF($BT69=0, INDEX(LS_current!$D$4:$BW$137, MATCH('Staging Table'!$A69, LS_current!$B$4:$B$137, 0), MATCH(CF$4&amp;CF$5, LS_current!$D$2:$BW$2&amp;LS_current!$D$3:$BW$3, 0)),SUM(VLOOKUP($A69, LS_current!$B$4:$BW$137, LS_current!K$147, FALSE), VLOOKUP($A69, LS_current!$B$4:$BW$137,LS_current!BG$147, FALSE))/2)</f>
        <v>2900.0488743019087</v>
      </c>
      <c r="CG69" s="102">
        <f t="array" ref="CG69">IF($BT69=0, INDEX(LS_current!$D$4:$BW$137, MATCH('Staging Table'!$A69, LS_current!$B$4:$B$137, 0), MATCH(CG$4&amp;CG$5, LS_current!$D$2:$BW$2&amp;LS_current!$D$3:$BW$3, 0)),SUM(VLOOKUP($A69, LS_current!$B$4:$BW$137, LS_current!L$147, FALSE), VLOOKUP($A69, LS_current!$B$4:$BW$137,LS_current!BH$147, FALSE))/2)</f>
        <v>5173.6257477907056</v>
      </c>
      <c r="CH69" s="102">
        <f t="array" ref="CH69">IF($BT69=0, INDEX(LS_current!$D$4:$BW$137, MATCH('Staging Table'!$A69, LS_current!$B$4:$B$137, 0), MATCH(CH$4&amp;CH$5, LS_current!$D$2:$BW$2&amp;LS_current!$D$3:$BW$3, 0)),SUM(VLOOKUP($A69, LS_current!$B$4:$BW$137, LS_current!M$147, FALSE), VLOOKUP($A69, LS_current!$B$4:$BW$137,LS_current!BI$147, FALSE))/2)</f>
        <v>8020.884703831849</v>
      </c>
      <c r="CI69" s="102">
        <f t="array" ref="CI69">IF($BT69=0, INDEX(LS_current!$D$4:$BW$137, MATCH('Staging Table'!$A69, LS_current!$B$4:$B$137, 0), MATCH(CI$4&amp;CI$5, LS_current!$D$2:$BW$2&amp;LS_current!$D$3:$BW$3, 0)),SUM(VLOOKUP($A69, LS_current!$B$4:$BW$137, LS_current!N$147, FALSE), VLOOKUP($A69, LS_current!$B$4:$BW$137,LS_current!BJ$147, FALSE))/2)</f>
        <v>-851.98005919386196</v>
      </c>
      <c r="CJ69" s="102">
        <f t="array" ref="CJ69">IF($BT69=0, INDEX(LS_current!$D$4:$BW$137, MATCH('Staging Table'!$A69, LS_current!$B$4:$B$137, 0), MATCH(CJ$4&amp;CJ$5, LS_current!$D$2:$BW$2&amp;LS_current!$D$3:$BW$3, 0)),SUM(VLOOKUP($A69, LS_current!$B$4:$BW$137, LS_current!O$147, FALSE), VLOOKUP($A69, LS_current!$B$4:$BW$137,LS_current!BK$147, FALSE))/2)</f>
        <v>9318.2692477106175</v>
      </c>
      <c r="CK69" s="102">
        <f t="array" ref="CK69">IF($BT69=0, INDEX(LS_current!$D$4:$BW$137, MATCH('Staging Table'!$A69, LS_current!$B$4:$B$137, 0), MATCH(CK$4&amp;CK$5, LS_current!$D$2:$BW$2&amp;LS_current!$D$3:$BW$3, 0)),SUM(VLOOKUP($A69, LS_current!$B$4:$BW$137, LS_current!P$147, FALSE), VLOOKUP($A69, LS_current!$B$4:$BW$137,LS_current!BL$147, FALSE))/2)</f>
        <v>7511.5367804840644</v>
      </c>
      <c r="CL69" s="102">
        <f t="array" ref="CL69">IF($BT69=0, INDEX(LS_current!$D$4:$BW$137, MATCH('Staging Table'!$A69, LS_current!$B$4:$B$137, 0), MATCH(CL$4&amp;CL$5, LS_current!$D$2:$BW$2&amp;LS_current!$D$3:$BW$3, 0)),SUM(VLOOKUP($A69, LS_current!$B$4:$BW$137, LS_current!Q$147, FALSE), VLOOKUP($A69, LS_current!$B$4:$BW$137,LS_current!BM$147, FALSE))/2)</f>
        <v>5298.1157174598156</v>
      </c>
      <c r="CM69" s="102">
        <f t="array" ref="CM69">IF($BT69=0, INDEX(LS_current!$D$4:$BW$137, MATCH('Staging Table'!$A69, LS_current!$B$4:$B$137, 0), MATCH(CM$4&amp;CM$5, LS_current!$D$2:$BW$2&amp;LS_current!$D$3:$BW$3, 0)),SUM(VLOOKUP($A69, LS_current!$B$4:$BW$137, LS_current!R$147, FALSE), VLOOKUP($A69, LS_current!$B$4:$BW$137,LS_current!BN$147, FALSE))/2)</f>
        <v>-13382.585112256667</v>
      </c>
      <c r="CN69" s="102">
        <f t="array" ref="CN69">IF($BT69=0, INDEX(LS_current!$D$4:$BW$137, MATCH('Staging Table'!$A69, LS_current!$B$4:$B$137, 0), MATCH(CN$4&amp;CN$5, LS_current!$D$2:$BW$2&amp;LS_current!$D$3:$BW$3, 0)),SUM(VLOOKUP($A69, LS_current!$B$4:$BW$137, LS_current!S$147, FALSE), VLOOKUP($A69, LS_current!$B$4:$BW$137,LS_current!BO$147, FALSE))/2)</f>
        <v>-4596.2795106293779</v>
      </c>
      <c r="CO69" s="102">
        <f t="array" ref="CO69">IF($BT69=0, INDEX(LS_current!$D$4:$BW$137, MATCH('Staging Table'!$A69, LS_current!$B$4:$B$137, 0), MATCH(CO$4&amp;CO$5, LS_current!$D$2:$BW$2&amp;LS_current!$D$3:$BW$3, 0)),SUM(VLOOKUP($A69, LS_current!$B$4:$BW$137, LS_current!T$147, FALSE), VLOOKUP($A69, LS_current!$B$4:$BW$137,LS_current!BP$147, FALSE))/2)</f>
        <v>-19754.688684590183</v>
      </c>
      <c r="CP69" s="102">
        <f t="array" ref="CP69">IF($BT69=0, INDEX(LS_current!$D$4:$BW$137, MATCH('Staging Table'!$A69, LS_current!$B$4:$B$137, 0), MATCH(CP$4&amp;CP$5, LS_current!$D$2:$BW$2&amp;LS_current!$D$3:$BW$3, 0)),SUM(VLOOKUP($A69, LS_current!$B$4:$BW$137, LS_current!U$147, FALSE), VLOOKUP($A69, LS_current!$B$4:$BW$137,LS_current!BQ$147, FALSE))/2)</f>
        <v>-6740.6864346302027</v>
      </c>
      <c r="CQ69" s="102">
        <f t="array" ref="CQ69">IF($BT69=0, INDEX(LS_current!$D$4:$BW$137, MATCH('Staging Table'!$A69, LS_current!$B$4:$B$137, 0), MATCH(CQ$4&amp;CQ$5, LS_current!$D$2:$BW$2&amp;LS_current!$D$3:$BW$3, 0)),SUM(VLOOKUP($A69, LS_current!$B$4:$BW$137, LS_current!V$147, FALSE), VLOOKUP($A69, LS_current!$B$4:$BW$137,LS_current!BR$147, FALSE))/2)</f>
        <v>-10348.990184537681</v>
      </c>
      <c r="CR69" s="102">
        <f t="array" ref="CR69">IF($BT69=0, INDEX(LS_current!$D$4:$BW$137, MATCH('Staging Table'!$A69, LS_current!$B$4:$B$137, 0), MATCH(CR$4&amp;CR$5, LS_current!$D$2:$BW$2&amp;LS_current!$D$3:$BW$3, 0)),SUM(VLOOKUP($A69, LS_current!$B$4:$BW$137, LS_current!W$147, FALSE), VLOOKUP($A69, LS_current!$B$4:$BW$137,LS_current!BS$147, FALSE))/2)</f>
        <v>-1983.5463053044732</v>
      </c>
      <c r="CS69" s="102">
        <f t="array" ref="CS69">IF($BT69=0, INDEX(LS_current!$D$4:$BW$137, MATCH('Staging Table'!$A69, LS_current!$B$4:$B$137, 0), MATCH(CS$4&amp;CS$5, LS_current!$D$2:$BW$2&amp;LS_current!$D$3:$BW$3, 0)),SUM(VLOOKUP($A69, LS_current!$B$4:$BW$137, LS_current!X$147, FALSE), VLOOKUP($A69, LS_current!$B$4:$BW$137,LS_current!BT$147, FALSE))/2)</f>
        <v>-13468.723465198658</v>
      </c>
      <c r="CT69" s="102">
        <f t="array" ref="CT69">IF($BT69=0, INDEX(LS_current!$D$4:$BW$137, MATCH('Staging Table'!$A69, LS_current!$B$4:$B$137, 0), MATCH(CT$4&amp;CT$5, LS_current!$D$2:$BW$2&amp;LS_current!$D$3:$BW$3, 0)),SUM(VLOOKUP($A69, LS_current!$B$4:$BW$137, LS_current!Y$147, FALSE), VLOOKUP($A69, LS_current!$B$4:$BW$137,LS_current!BU$147, FALSE))/2)</f>
        <v>454.40466939528415</v>
      </c>
      <c r="CU69" s="102">
        <f t="array" ref="CU69">IF($BT69=0, INDEX(LS_current!$D$4:$BW$137, MATCH('Staging Table'!$A69, LS_current!$B$4:$B$137, 0), MATCH(CU$4&amp;CU$5, LS_current!$D$2:$BW$2&amp;LS_current!$D$3:$BW$3, 0)),SUM(VLOOKUP($A69, LS_current!$B$4:$BW$137, LS_current!Z$147, FALSE), VLOOKUP($A69, LS_current!$B$4:$BW$137,LS_current!BV$147, FALSE))/2)</f>
        <v>284.329940011492</v>
      </c>
      <c r="CV69" s="102">
        <f t="array" ref="CV69">IF($BT69=0, INDEX(LS_current!$D$4:$BW$137, MATCH('Staging Table'!$A69, LS_current!$B$4:$B$137, 0), MATCH(CV$4&amp;CV$5, LS_current!$D$2:$BW$2&amp;LS_current!$D$3:$BW$3, 0)),SUM(VLOOKUP($A69, LS_current!$B$4:$BW$137, LS_current!AA$147, FALSE), VLOOKUP($A69, LS_current!$B$4:$BW$137,LS_current!BW$147, FALSE))/2)</f>
        <v>2822.0279319361871</v>
      </c>
      <c r="CW69" s="103">
        <f t="array" ref="CW69">INDEX(Demand_current!$D$4:$BW$137, MATCH($A69, Demand_current!$B$4:$B$137, 0), MATCH(CW$4&amp;CW$5,Demand_current!$D$2:$BW$2&amp;Demand_current!$D$3:$BW$3, 0))/1000</f>
        <v>8.0028796296296321</v>
      </c>
      <c r="CX69" s="103">
        <f t="array" ref="CX69">INDEX(Demand_current!$D$4:$BW$137, MATCH($A69, Demand_current!$B$4:$B$137, 0), MATCH(CX$4&amp;CX$5,Demand_current!$D$2:$BW$2&amp;Demand_current!$D$3:$BW$3, 0))/1000</f>
        <v>14.492281250000012</v>
      </c>
      <c r="CY69" s="103">
        <f t="array" ref="CY69">INDEX(Demand_current!$D$4:$BW$137, MATCH($A69, Demand_current!$B$4:$B$137, 0), MATCH(CY$4&amp;CY$5,Demand_current!$D$2:$BW$2&amp;Demand_current!$D$3:$BW$3, 0))/1000</f>
        <v>53.022983173076945</v>
      </c>
      <c r="CZ69" s="103">
        <f t="array" ref="CZ69">INDEX(Demand_current!$D$4:$BW$137, MATCH($A69, Demand_current!$B$4:$B$137, 0), MATCH(CZ$4&amp;CZ$5,Demand_current!$D$2:$BW$2&amp;Demand_current!$D$3:$BW$3, 0))/1000</f>
        <v>30.346295673076927</v>
      </c>
      <c r="DA69" s="103">
        <f t="array" ref="DA69">INDEX(Demand_current!$D$4:$BW$137, MATCH($A69, Demand_current!$B$4:$B$137, 0), MATCH(DA$4&amp;DA$5,Demand_current!$D$2:$BW$2&amp;Demand_current!$D$3:$BW$3, 0))/1000</f>
        <v>27.291835937500018</v>
      </c>
      <c r="DB69" s="103">
        <f t="array" ref="DB69">INDEX(Demand_current!$D$4:$BW$137, MATCH($A69, Demand_current!$B$4:$B$137, 0), MATCH(DB$4&amp;DB$5,Demand_current!$D$2:$BW$2&amp;Demand_current!$D$3:$BW$3, 0))/1000</f>
        <v>30.006644230769236</v>
      </c>
      <c r="DC69" s="103">
        <f t="array" ref="DC69">INDEX(Demand_current!$D$4:$BW$137, MATCH($A69, Demand_current!$B$4:$B$137, 0), MATCH(DC$4&amp;DC$5,Demand_current!$D$2:$BW$2&amp;Demand_current!$D$3:$BW$3, 0))/1000</f>
        <v>24.174415865384617</v>
      </c>
      <c r="DD69" s="103">
        <f t="array" ref="DD69">INDEX(Demand_current!$D$4:$BW$137, MATCH($A69, Demand_current!$B$4:$B$137, 0), MATCH(DD$4&amp;DD$5,Demand_current!$D$2:$BW$2&amp;Demand_current!$D$3:$BW$3, 0))/1000</f>
        <v>10.979030000000009</v>
      </c>
      <c r="DE69" s="103">
        <f t="array" ref="DE69">INDEX(Demand_current!$D$4:$BW$137, MATCH($A69, Demand_current!$B$4:$B$137, 0), MATCH(DE$4&amp;DE$5,Demand_current!$D$2:$BW$2&amp;Demand_current!$D$3:$BW$3, 0))/1000</f>
        <v>9.0528822115384493</v>
      </c>
      <c r="DF69" s="103">
        <f t="array" ref="DF69">INDEX(Demand_current!$D$4:$BW$137, MATCH($A69, Demand_current!$B$4:$B$137, 0), MATCH(DF$4&amp;DF$5,Demand_current!$D$2:$BW$2&amp;Demand_current!$D$3:$BW$3, 0))/1000</f>
        <v>15.186701923076932</v>
      </c>
      <c r="DG69" s="103">
        <f t="array" ref="DG69">INDEX(Demand_current!$D$4:$BW$137, MATCH($A69, Demand_current!$B$4:$B$137, 0), MATCH(DG$4&amp;DG$5,Demand_current!$D$2:$BW$2&amp;Demand_current!$D$3:$BW$3, 0))/1000</f>
        <v>6.6409903846153675</v>
      </c>
      <c r="DH69" s="103">
        <f t="array" ref="DH69">INDEX(Demand_current!$D$4:$BW$137, MATCH($A69, Demand_current!$B$4:$B$137, 0), MATCH(DH$4&amp;DH$5,Demand_current!$D$2:$BW$2&amp;Demand_current!$D$3:$BW$3, 0))/1000</f>
        <v>0</v>
      </c>
      <c r="DI69" s="102">
        <f>$BS69*(VLOOKUP(DI$4, Rates_current!$H$6:$R$41, 10, FALSE)+VLOOKUP(DI$4, Rates_current!$H$6:$R$41, 11, FALSE))</f>
        <v>74388.925040412098</v>
      </c>
      <c r="DJ69" s="102">
        <f>$BS69*(VLOOKUP(DJ$4, Rates_current!$H$6:$R$41, 10, FALSE)+VLOOKUP(DJ$4, Rates_current!$H$6:$R$41, 11, FALSE))</f>
        <v>95103.792369915303</v>
      </c>
      <c r="DK69" s="102">
        <f>$BS69*(VLOOKUP(DK$4, Rates_current!$H$6:$R$41, 10, FALSE)+VLOOKUP(DK$4, Rates_current!$H$6:$R$41, 11, FALSE))</f>
        <v>108125.05773313492</v>
      </c>
      <c r="DL69" s="102">
        <f>$BS69*(VLOOKUP(DL$4, Rates_current!$H$6:$R$41, 10, FALSE)+VLOOKUP(DL$4, Rates_current!$H$6:$R$41, 11, FALSE))</f>
        <v>114080.37602994076</v>
      </c>
      <c r="DM69" s="102">
        <f>$BS69*(VLOOKUP(DM$4, Rates_current!$H$6:$R$41, 10, FALSE)+VLOOKUP(DM$4, Rates_current!$H$6:$R$41, 11, FALSE))</f>
        <v>90911.76354837745</v>
      </c>
      <c r="DN69" s="102">
        <f>$BS69*(VLOOKUP(DN$4, Rates_current!$H$6:$R$41, 10, FALSE)+VLOOKUP(DN$4, Rates_current!$H$6:$R$41, 11, FALSE))</f>
        <v>99385.22681148324</v>
      </c>
      <c r="DO69" s="102">
        <f>$BS69*(VLOOKUP(DO$4, Rates_current!$H$6:$R$41, 10, FALSE)+VLOOKUP(DO$4, Rates_current!$H$6:$R$41, 11, FALSE))</f>
        <v>77024.550502056125</v>
      </c>
      <c r="DP69" s="102">
        <f>$BS69*(VLOOKUP(DP$4, Rates_current!$H$6:$R$41, 10, FALSE)+VLOOKUP(DP$4, Rates_current!$H$6:$R$41, 11, FALSE))</f>
        <v>99682.450622886041</v>
      </c>
      <c r="DQ69" s="102">
        <f>$BS69*(VLOOKUP(DQ$4, Rates_current!$H$6:$R$41, 10, FALSE)+VLOOKUP(DQ$4, Rates_current!$H$6:$R$41, 11, FALSE))</f>
        <v>101810.9611192204</v>
      </c>
      <c r="DR69" s="102">
        <f>$BS69*(VLOOKUP(DR$4, Rates_current!$H$6:$R$41, 10, FALSE)+VLOOKUP(DR$4, Rates_current!$H$6:$R$41, 11, FALSE))</f>
        <v>90620.560489842144</v>
      </c>
      <c r="DS69" s="102">
        <f>$BS69*(VLOOKUP(DS$4, Rates_current!$H$6:$R$41, 10, FALSE)+VLOOKUP(DS$4, Rates_current!$H$6:$R$41, 11, FALSE))</f>
        <v>92960.075795803379</v>
      </c>
      <c r="DT69" s="102">
        <f>$BS69*(VLOOKUP(DT$4, Rates_current!$H$6:$R$41, 10, FALSE)+VLOOKUP(DT$4, Rates_current!$H$6:$R$41, 11, FALSE))</f>
        <v>72194.642128052321</v>
      </c>
      <c r="DU69" s="261">
        <f>IF(D69=0,IF(C69=0,MAX(0,DW69 - (VLOOKUP($A69,TOCA_current!$A$2:$AV$136,MATCH("RHWM "&amp;Init!$D$1,TOCA_current!$A$2:$AV$2,0),FALSE)*$BS$2)), 0),0)</f>
        <v>0</v>
      </c>
      <c r="DV69" s="262">
        <f>MIN(VLOOKUP($A69,TOCA_current!$A$2:$AV$136,MATCH("TRL - NLSL - Existing Resource "&amp;$BS$1,TOCA_current!$A$2:$AV$2,0),FALSE)*$BS$2, VLOOKUP($A69,TOCA_current!$A$2:$AV$136,MATCH("RHWM "&amp;Init!$D$1,TOCA_current!$A$2:$AV$2,0),FALSE)*$BS$2)</f>
        <v>1116286.8</v>
      </c>
      <c r="DW69" s="262">
        <f>SUM(BY69:CV69)+(BS69*RT1SC!$C$4*$BS$2)</f>
        <v>1116286.7538942518</v>
      </c>
      <c r="DX69" s="262">
        <f>VLOOKUP($A69,TOCA_current!$A$2:$AV$136,MATCH("Above RHWM Not Served with LS "&amp;$BS$1,TOCA_current!$A$2:$AV$2,0),FALSE)*$BS$2</f>
        <v>0</v>
      </c>
      <c r="DY69" s="262">
        <f t="shared" si="28"/>
        <v>-4.61057482752949E-2</v>
      </c>
      <c r="DZ69" s="262">
        <f>(VLOOKUP($A69,TOCA_current!$A$2:$AV$136,MATCH("RHWM "&amp;Init!$D$1,TOCA_current!$A$2:$AV$2,0),FALSE)*$BS$2) - $DV69</f>
        <v>39796.680000000168</v>
      </c>
      <c r="EA69" s="262">
        <f t="shared" si="29"/>
        <v>0</v>
      </c>
      <c r="EB69" s="262">
        <f t="shared" si="30"/>
        <v>4.61057482752949E-2</v>
      </c>
      <c r="EC69" s="262">
        <f t="shared" si="31"/>
        <v>0</v>
      </c>
      <c r="ED69" s="262">
        <f t="shared" si="32"/>
        <v>4.61057482752949E-2</v>
      </c>
    </row>
    <row r="70" spans="1:134">
      <c r="A70" s="2">
        <v>10197</v>
      </c>
      <c r="B70" s="3" t="s">
        <v>72</v>
      </c>
      <c r="C70">
        <f>VLOOKUP(A70, TOCA_current!$A$3:$D$136, 4, FALSE)</f>
        <v>0</v>
      </c>
      <c r="D70">
        <v>0</v>
      </c>
      <c r="E70" s="84">
        <f>VLOOKUP($A70,TOCA_previous!$A$2:$AJ$136,MATCH(E$4,TOCA_previous!$A$2:$AJ$2,0),FALSE)</f>
        <v>3.2940000000000001E-3</v>
      </c>
      <c r="F70" s="85">
        <f>VLOOKUP($A70,TOCA_previous!$A$2:$AJ$136,MATCH(F$4,TOCA_previous!$A$2:$AJ$2,0),FALSE)</f>
        <v>3.2940000000000001E-3</v>
      </c>
      <c r="G70" s="85">
        <f t="shared" si="18"/>
        <v>0</v>
      </c>
      <c r="H70" s="85">
        <f>VLOOKUP($A70,TOCA_previous!$A$2:$AJ$136,MATCH(H$4,TOCA_previous!$A$2:$AJ$2,0),FALSE)</f>
        <v>8.6856238737748878E-2</v>
      </c>
      <c r="I70" s="85">
        <f t="shared" si="19"/>
        <v>0</v>
      </c>
      <c r="J70" s="85">
        <f t="shared" si="20"/>
        <v>0</v>
      </c>
      <c r="K70" s="101">
        <f>VLOOKUP(A70, IRD!$A$5:$C$138, 3, FALSE)</f>
        <v>99899.204999999987</v>
      </c>
      <c r="L70" s="102">
        <f t="array" ref="L70">IF($G70=0, INDEX(LS_previous!$D$4:$AY$137, MATCH('Staging Table'!$A70, LS_previous!$B$4:$B$137, 0), MATCH(L$4&amp;L$5, LS_previous!$D$2:$AY$2&amp;LS_previous!$D$3:$AY$3, 0)),SUM(VLOOKUP($A70, LS_previous!$B$4:$AY$137, LS_previous!D$148, FALSE), VLOOKUP('Staging Table'!$A70, LS_previous!$B$4:$AY$137,LS_previous!AB$148, FALSE))/2)</f>
        <v>-4676.3546545840009</v>
      </c>
      <c r="M70" s="102">
        <f t="array" ref="M70">IF($G70=0, INDEX(LS_previous!$D$4:$AY$137, MATCH('Staging Table'!$A70, LS_previous!$B$4:$B$137, 0), MATCH(M$4&amp;M$5, LS_previous!$D$2:$AY$2&amp;LS_previous!$D$3:$AY$3, 0)),SUM(VLOOKUP($A70, LS_previous!$B$4:$AY$137, LS_previous!E$148, FALSE), VLOOKUP('Staging Table'!$A70, LS_previous!$B$4:$AY$137,LS_previous!AC$148, FALSE))/2)</f>
        <v>-3183.5599357969995</v>
      </c>
      <c r="N70" s="102">
        <f t="array" ref="N70">IF($G70=0, INDEX(LS_previous!$D$4:$AY$137, MATCH('Staging Table'!$A70, LS_previous!$B$4:$B$137, 0), MATCH(N$4&amp;N$5, LS_previous!$D$2:$AY$2&amp;LS_previous!$D$3:$AY$3, 0)),SUM(VLOOKUP($A70, LS_previous!$B$4:$AY$137, LS_previous!F$148, FALSE), VLOOKUP('Staging Table'!$A70, LS_previous!$B$4:$AY$137,LS_previous!AD$148, FALSE))/2)</f>
        <v>-9415.6582584320004</v>
      </c>
      <c r="O70" s="102">
        <f t="array" ref="O70">IF($G70=0, INDEX(LS_previous!$D$4:$AY$137, MATCH('Staging Table'!$A70, LS_previous!$B$4:$B$137, 0), MATCH(O$4&amp;O$5, LS_previous!$D$2:$AY$2&amp;LS_previous!$D$3:$AY$3, 0)),SUM(VLOOKUP($A70, LS_previous!$B$4:$AY$137, LS_previous!G$148, FALSE), VLOOKUP('Staging Table'!$A70, LS_previous!$B$4:$AY$137,LS_previous!AE$148, FALSE))/2)</f>
        <v>-5529.9632105139999</v>
      </c>
      <c r="P70" s="102">
        <f t="array" ref="P70">IF($G70=0, INDEX(LS_previous!$D$4:$AY$137, MATCH('Staging Table'!$A70, LS_previous!$B$4:$B$137, 0), MATCH(P$4&amp;P$5, LS_previous!$D$2:$AY$2&amp;LS_previous!$D$3:$AY$3, 0)),SUM(VLOOKUP($A70, LS_previous!$B$4:$AY$137, LS_previous!H$148, FALSE), VLOOKUP('Staging Table'!$A70, LS_previous!$B$4:$AY$137,LS_previous!AF$148, FALSE))/2)</f>
        <v>-9298.8070242659996</v>
      </c>
      <c r="Q70" s="102">
        <f t="array" ref="Q70">IF($G70=0, INDEX(LS_previous!$D$4:$AY$137, MATCH('Staging Table'!$A70, LS_previous!$B$4:$B$137, 0), MATCH(Q$4&amp;Q$5, LS_previous!$D$2:$AY$2&amp;LS_previous!$D$3:$AY$3, 0)),SUM(VLOOKUP($A70, LS_previous!$B$4:$AY$137, LS_previous!I$148, FALSE), VLOOKUP('Staging Table'!$A70, LS_previous!$B$4:$AY$137,LS_previous!AG$148, FALSE))/2)</f>
        <v>-5902.148234624</v>
      </c>
      <c r="R70" s="102">
        <f t="array" ref="R70">IF($G70=0, INDEX(LS_previous!$D$4:$AY$137, MATCH('Staging Table'!$A70, LS_previous!$B$4:$B$137, 0), MATCH(R$4&amp;R$5, LS_previous!$D$2:$AY$2&amp;LS_previous!$D$3:$AY$3, 0)),SUM(VLOOKUP($A70, LS_previous!$B$4:$AY$137, LS_previous!J$148, FALSE), VLOOKUP('Staging Table'!$A70, LS_previous!$B$4:$AY$137,LS_previous!AH$148, FALSE))/2)</f>
        <v>-10185.406509210001</v>
      </c>
      <c r="S70" s="102">
        <f t="array" ref="S70">IF($G70=0, INDEX(LS_previous!$D$4:$AY$137, MATCH('Staging Table'!$A70, LS_previous!$B$4:$B$137, 0), MATCH(S$4&amp;S$5, LS_previous!$D$2:$AY$2&amp;LS_previous!$D$3:$AY$3, 0)),SUM(VLOOKUP($A70, LS_previous!$B$4:$AY$137, LS_previous!K$148, FALSE), VLOOKUP('Staging Table'!$A70, LS_previous!$B$4:$AY$137,LS_previous!AI$148, FALSE))/2)</f>
        <v>-5814.1976675260012</v>
      </c>
      <c r="T70" s="102">
        <f t="array" ref="T70">IF($G70=0, INDEX(LS_previous!$D$4:$AY$137, MATCH('Staging Table'!$A70, LS_previous!$B$4:$B$137, 0), MATCH(T$4&amp;T$5, LS_previous!$D$2:$AY$2&amp;LS_previous!$D$3:$AY$3, 0)),SUM(VLOOKUP($A70, LS_previous!$B$4:$AY$137, LS_previous!L$148, FALSE), VLOOKUP('Staging Table'!$A70, LS_previous!$B$4:$AY$137,LS_previous!AJ$148, FALSE))/2)</f>
        <v>-9423.2204254259996</v>
      </c>
      <c r="U70" s="102">
        <f t="array" ref="U70">IF($G70=0, INDEX(LS_previous!$D$4:$AY$137, MATCH('Staging Table'!$A70, LS_previous!$B$4:$B$137, 0), MATCH(U$4&amp;U$5, LS_previous!$D$2:$AY$2&amp;LS_previous!$D$3:$AY$3, 0)),SUM(VLOOKUP($A70, LS_previous!$B$4:$AY$137, LS_previous!M$148, FALSE), VLOOKUP('Staging Table'!$A70, LS_previous!$B$4:$AY$137,LS_previous!AK$148, FALSE))/2)</f>
        <v>-5093.3890529460004</v>
      </c>
      <c r="V70" s="102">
        <f t="array" ref="V70">IF($G70=0, INDEX(LS_previous!$D$4:$AY$137, MATCH('Staging Table'!$A70, LS_previous!$B$4:$B$137, 0), MATCH(V$4&amp;V$5, LS_previous!$D$2:$AY$2&amp;LS_previous!$D$3:$AY$3, 0)),SUM(VLOOKUP($A70, LS_previous!$B$4:$AY$137, LS_previous!N$148, FALSE), VLOOKUP('Staging Table'!$A70, LS_previous!$B$4:$AY$137,LS_previous!AL$148, FALSE))/2)</f>
        <v>-9765.1095582220005</v>
      </c>
      <c r="W70" s="102">
        <f t="array" ref="W70">IF($G70=0, INDEX(LS_previous!$D$4:$AY$137, MATCH('Staging Table'!$A70, LS_previous!$B$4:$B$137, 0), MATCH(W$4&amp;W$5, LS_previous!$D$2:$AY$2&amp;LS_previous!$D$3:$AY$3, 0)),SUM(VLOOKUP($A70, LS_previous!$B$4:$AY$137, LS_previous!O$148, FALSE), VLOOKUP('Staging Table'!$A70, LS_previous!$B$4:$AY$137,LS_previous!AM$148, FALSE))/2)</f>
        <v>-6018.2813367319995</v>
      </c>
      <c r="X70" s="102">
        <f t="array" ref="X70">IF($G70=0, INDEX(LS_previous!$D$4:$AY$137, MATCH('Staging Table'!$A70, LS_previous!$B$4:$B$137, 0), MATCH(X$4&amp;X$5, LS_previous!$D$2:$AY$2&amp;LS_previous!$D$3:$AY$3, 0)),SUM(VLOOKUP($A70, LS_previous!$B$4:$AY$137, LS_previous!P$148, FALSE), VLOOKUP('Staging Table'!$A70, LS_previous!$B$4:$AY$137,LS_previous!AN$148, FALSE))/2)</f>
        <v>-2024.607219085</v>
      </c>
      <c r="Y70" s="102">
        <f t="array" ref="Y70">IF($G70=0, INDEX(LS_previous!$D$4:$AY$137, MATCH('Staging Table'!$A70, LS_previous!$B$4:$B$137, 0), MATCH(Y$4&amp;Y$5, LS_previous!$D$2:$AY$2&amp;LS_previous!$D$3:$AY$3, 0)),SUM(VLOOKUP($A70, LS_previous!$B$4:$AY$137, LS_previous!Q$148, FALSE), VLOOKUP('Staging Table'!$A70, LS_previous!$B$4:$AY$137,LS_previous!AO$148, FALSE))/2)</f>
        <v>-1498.3521430045002</v>
      </c>
      <c r="Z70" s="102">
        <f t="array" ref="Z70">IF($G70=0, INDEX(LS_previous!$D$4:$AY$137, MATCH('Staging Table'!$A70, LS_previous!$B$4:$B$137, 0), MATCH(Z$4&amp;Z$5, LS_previous!$D$2:$AY$2&amp;LS_previous!$D$3:$AY$3, 0)),SUM(VLOOKUP($A70, LS_previous!$B$4:$AY$137, LS_previous!R$148, FALSE), VLOOKUP('Staging Table'!$A70, LS_previous!$B$4:$AY$137,LS_previous!AP$148, FALSE))/2)</f>
        <v>4736.3063026879991</v>
      </c>
      <c r="AA70" s="102">
        <f t="array" ref="AA70">IF($G70=0, INDEX(LS_previous!$D$4:$AY$137, MATCH('Staging Table'!$A70, LS_previous!$B$4:$B$137, 0), MATCH(AA$4&amp;AA$5, LS_previous!$D$2:$AY$2&amp;LS_previous!$D$3:$AY$3, 0)),SUM(VLOOKUP($A70, LS_previous!$B$4:$AY$137, LS_previous!S$148, FALSE), VLOOKUP('Staging Table'!$A70, LS_previous!$B$4:$AY$137,LS_previous!AQ$148, FALSE))/2)</f>
        <v>5670.8631919010013</v>
      </c>
      <c r="AB70" s="102">
        <f t="array" ref="AB70">IF($G70=0, INDEX(LS_previous!$D$4:$AY$137, MATCH('Staging Table'!$A70, LS_previous!$B$4:$B$137, 0), MATCH(AB$4&amp;AB$5, LS_previous!$D$2:$AY$2&amp;LS_previous!$D$3:$AY$3, 0)),SUM(VLOOKUP($A70, LS_previous!$B$4:$AY$137, LS_previous!T$148, FALSE), VLOOKUP('Staging Table'!$A70, LS_previous!$B$4:$AY$137,LS_previous!AR$148, FALSE))/2)</f>
        <v>4931.6718917560029</v>
      </c>
      <c r="AC70" s="102">
        <f t="array" ref="AC70">IF($G70=0, INDEX(LS_previous!$D$4:$AY$137, MATCH('Staging Table'!$A70, LS_previous!$B$4:$B$137, 0), MATCH(AC$4&amp;AC$5, LS_previous!$D$2:$AY$2&amp;LS_previous!$D$3:$AY$3, 0)),SUM(VLOOKUP($A70, LS_previous!$B$4:$AY$137, LS_previous!U$148, FALSE), VLOOKUP('Staging Table'!$A70, LS_previous!$B$4:$AY$137,LS_previous!AS$148, FALSE))/2)</f>
        <v>4174.673970476998</v>
      </c>
      <c r="AD70" s="102">
        <f t="array" ref="AD70">IF($G70=0, INDEX(LS_previous!$D$4:$AY$137, MATCH('Staging Table'!$A70, LS_previous!$B$4:$B$137, 0), MATCH(AD$4&amp;AD$5, LS_previous!$D$2:$AY$2&amp;LS_previous!$D$3:$AY$3, 0)),SUM(VLOOKUP($A70, LS_previous!$B$4:$AY$137, LS_previous!V$148, FALSE), VLOOKUP('Staging Table'!$A70, LS_previous!$B$4:$AY$137,LS_previous!AT$148, FALSE))/2)</f>
        <v>11541.266369384002</v>
      </c>
      <c r="AE70" s="102">
        <f t="array" ref="AE70">IF($G70=0, INDEX(LS_previous!$D$4:$AY$137, MATCH('Staging Table'!$A70, LS_previous!$B$4:$B$137, 0), MATCH(AE$4&amp;AE$5, LS_previous!$D$2:$AY$2&amp;LS_previous!$D$3:$AY$3, 0)),SUM(VLOOKUP($A70, LS_previous!$B$4:$AY$137, LS_previous!W$148, FALSE), VLOOKUP('Staging Table'!$A70, LS_previous!$B$4:$AY$137,LS_previous!AU$148, FALSE))/2)</f>
        <v>10217.655665015</v>
      </c>
      <c r="AF70" s="102">
        <f t="array" ref="AF70">IF($G70=0, INDEX(LS_previous!$D$4:$AY$137, MATCH('Staging Table'!$A70, LS_previous!$B$4:$B$137, 0), MATCH(AF$4&amp;AF$5, LS_previous!$D$2:$AY$2&amp;LS_previous!$D$3:$AY$3, 0)),SUM(VLOOKUP($A70, LS_previous!$B$4:$AY$137, LS_previous!X$148, FALSE), VLOOKUP('Staging Table'!$A70, LS_previous!$B$4:$AY$137,LS_previous!AV$148, FALSE))/2)</f>
        <v>10553.784175078999</v>
      </c>
      <c r="AG70" s="102">
        <f t="array" ref="AG70">IF($G70=0, INDEX(LS_previous!$D$4:$AY$137, MATCH('Staging Table'!$A70, LS_previous!$B$4:$B$137, 0), MATCH(AG$4&amp;AG$5, LS_previous!$D$2:$AY$2&amp;LS_previous!$D$3:$AY$3, 0)),SUM(VLOOKUP($A70, LS_previous!$B$4:$AY$137, LS_previous!Y$148, FALSE), VLOOKUP('Staging Table'!$A70, LS_previous!$B$4:$AY$137,LS_previous!AW$148, FALSE))/2)</f>
        <v>9915.3367649741012</v>
      </c>
      <c r="AH70" s="102">
        <f t="array" ref="AH70">IF($G70=0, INDEX(LS_previous!$D$4:$AY$137, MATCH('Staging Table'!$A70, LS_previous!$B$4:$B$137, 0), MATCH(AH$4&amp;AH$5, LS_previous!$D$2:$AY$2&amp;LS_previous!$D$3:$AY$3, 0)),SUM(VLOOKUP($A70, LS_previous!$B$4:$AY$137, LS_previous!Z$148, FALSE), VLOOKUP('Staging Table'!$A70, LS_previous!$B$4:$AY$137,LS_previous!AX$148, FALSE))/2)</f>
        <v>3675.0623254439979</v>
      </c>
      <c r="AI70" s="102">
        <f t="array" ref="AI70">IF($G70=0, INDEX(LS_previous!$D$4:$AY$137, MATCH('Staging Table'!$A70, LS_previous!$B$4:$B$137, 0), MATCH(AI$4&amp;AI$5, LS_previous!$D$2:$AY$2&amp;LS_previous!$D$3:$AY$3, 0)),SUM(VLOOKUP($A70, LS_previous!$B$4:$AY$137, LS_previous!AA$148, FALSE), VLOOKUP('Staging Table'!$A70, LS_previous!$B$4:$AY$137,LS_previous!AY$148, FALSE))/2)</f>
        <v>3612.7921714240019</v>
      </c>
      <c r="AJ70" s="103">
        <f t="array" ref="AJ70">INDEX(Demand_previous!$D$4:$AY$137, MATCH('Staging Table'!$A70, Demand_previous!$B$4:$B$137, 0), MATCH(AJ$4&amp;AJ$5,Demand_previous!$D$2:$AY$2&amp;Demand_previous!$D$3:$AY$3, 0))/1000</f>
        <v>7.4422980769230787</v>
      </c>
      <c r="AK70" s="103">
        <f t="array" ref="AK70">INDEX(Demand_previous!$D$4:$AY$137, MATCH('Staging Table'!$A70, Demand_previous!$B$4:$B$137, 0), MATCH(AK$4&amp;AK$5,Demand_previous!$D$2:$AY$2&amp;Demand_previous!$D$3:$AY$3, 0))/1000</f>
        <v>1.5450925000000013</v>
      </c>
      <c r="AL70" s="103">
        <f t="array" ref="AL70">INDEX(Demand_previous!$D$4:$AY$137, MATCH('Staging Table'!$A70, Demand_previous!$B$4:$B$137, 0), MATCH(AL$4&amp;AL$5,Demand_previous!$D$2:$AY$2&amp;Demand_previous!$D$3:$AY$3, 0))/1000</f>
        <v>1.3708175000000002</v>
      </c>
      <c r="AM70" s="103">
        <f t="array" ref="AM70">INDEX(Demand_previous!$D$4:$AY$137, MATCH('Staging Table'!$A70, Demand_previous!$B$4:$B$137, 0), MATCH(AM$4&amp;AM$5,Demand_previous!$D$2:$AY$2&amp;Demand_previous!$D$3:$AY$3, 0))/1000</f>
        <v>2.1259375000000014</v>
      </c>
      <c r="AN70" s="103">
        <f t="array" ref="AN70">INDEX(Demand_previous!$D$4:$AY$137, MATCH('Staging Table'!$A70, Demand_previous!$B$4:$B$137, 0), MATCH(AN$4&amp;AN$5,Demand_previous!$D$2:$AY$2&amp;Demand_previous!$D$3:$AY$3, 0))/1000</f>
        <v>1.5035850000000015</v>
      </c>
      <c r="AO70" s="103">
        <f t="array" ref="AO70">INDEX(Demand_previous!$D$4:$AY$137, MATCH('Staging Table'!$A70, Demand_previous!$B$4:$B$137, 0), MATCH(AO$4&amp;AO$5,Demand_previous!$D$2:$AY$2&amp;Demand_previous!$D$3:$AY$3, 0))/1000</f>
        <v>0.74043269230769315</v>
      </c>
      <c r="AP70" s="103">
        <f t="array" ref="AP70">INDEX(Demand_previous!$D$4:$AY$137, MATCH('Staging Table'!$A70, Demand_previous!$B$4:$B$137, 0), MATCH(AP$4&amp;AP$5,Demand_previous!$D$2:$AY$2&amp;Demand_previous!$D$3:$AY$3, 0))/1000</f>
        <v>11.414086538461541</v>
      </c>
      <c r="AQ70" s="103">
        <f t="array" ref="AQ70">INDEX(Demand_previous!$D$4:$AY$137, MATCH('Staging Table'!$A70, Demand_previous!$B$4:$B$137, 0), MATCH(AQ$4&amp;AQ$5,Demand_previous!$D$2:$AY$2&amp;Demand_previous!$D$3:$AY$3, 0))/1000</f>
        <v>9.3246947115384664</v>
      </c>
      <c r="AR70" s="103">
        <f t="array" ref="AR70">INDEX(Demand_previous!$D$4:$AY$137, MATCH('Staging Table'!$A70, Demand_previous!$B$4:$B$137, 0), MATCH(AR$4&amp;AR$5,Demand_previous!$D$2:$AY$2&amp;Demand_previous!$D$3:$AY$3, 0))/1000</f>
        <v>9.6841549999999952</v>
      </c>
      <c r="AS70" s="103">
        <f t="array" ref="AS70">INDEX(Demand_previous!$D$4:$AY$137, MATCH('Staging Table'!$A70, Demand_previous!$B$4:$B$137, 0), MATCH(AS$4&amp;AS$5,Demand_previous!$D$2:$AY$2&amp;Demand_previous!$D$3:$AY$3, 0))/1000</f>
        <v>10.11498798076922</v>
      </c>
      <c r="AT70" s="103">
        <f t="array" ref="AT70">INDEX(Demand_previous!$D$4:$AY$137, MATCH('Staging Table'!$A70, Demand_previous!$B$4:$B$137, 0), MATCH(AT$4&amp;AT$5,Demand_previous!$D$2:$AY$2&amp;Demand_previous!$D$3:$AY$3, 0))/1000</f>
        <v>10.77648148148149</v>
      </c>
      <c r="AU70" s="103">
        <f t="array" ref="AU70">INDEX(Demand_previous!$D$4:$AY$137, MATCH('Staging Table'!$A70, Demand_previous!$B$4:$B$137, 0), MATCH(AU$4&amp;AU$5,Demand_previous!$D$2:$AY$2&amp;Demand_previous!$D$3:$AY$3, 0))/1000</f>
        <v>4.6372578125000068</v>
      </c>
      <c r="AV70" s="102">
        <f>$F70*(VLOOKUP(AV$4, Rates_previous!$G$6:$Q$29, 10, FALSE)+VLOOKUP(AV$4, Rates_previous!$G$6:$Q$29, 11, FALSE))</f>
        <v>13896.739590381001</v>
      </c>
      <c r="AW70" s="102">
        <f>$F70*(VLOOKUP(AW$4, Rates_previous!$G$6:$Q$29, 10, FALSE)+VLOOKUP(AW$4, Rates_previous!$G$6:$Q$29, 11, FALSE))</f>
        <v>17722.925468946003</v>
      </c>
      <c r="AX70" s="102">
        <f>$F70*(VLOOKUP(AX$4, Rates_previous!$G$6:$Q$29, 10, FALSE)+VLOOKUP(AX$4, Rates_previous!$G$6:$Q$29, 11, FALSE))</f>
        <v>19126.54325889</v>
      </c>
      <c r="AY70" s="102">
        <f>$F70*(VLOOKUP(AY$4, Rates_previous!$G$6:$Q$29, 10, FALSE)+VLOOKUP(AY$4, Rates_previous!$G$6:$Q$29, 11, FALSE))</f>
        <v>19875.435176735999</v>
      </c>
      <c r="AZ70" s="102">
        <f>$F70*(VLOOKUP(AZ$4, Rates_previous!$G$6:$Q$29, 10, FALSE)+VLOOKUP(AZ$4, Rates_previous!$G$6:$Q$29, 11, FALSE))</f>
        <v>17095.523478371997</v>
      </c>
      <c r="BA70" s="102">
        <f>$F70*(VLOOKUP(BA$4, Rates_previous!$G$6:$Q$29, 10, FALSE)+VLOOKUP(BA$4, Rates_previous!$G$6:$Q$29, 11, FALSE))</f>
        <v>18664.926894953998</v>
      </c>
      <c r="BB70" s="102">
        <f>$F70*(VLOOKUP(BB$4, Rates_previous!$G$6:$Q$29, 10, FALSE)+VLOOKUP(BB$4, Rates_previous!$G$6:$Q$29, 11, FALSE))</f>
        <v>14732.814362089499</v>
      </c>
      <c r="BC70" s="102">
        <f>$F70*(VLOOKUP(BC$4, Rates_previous!$G$6:$Q$29, 10, FALSE)+VLOOKUP(BC$4, Rates_previous!$G$6:$Q$29, 11, FALSE))</f>
        <v>18278.030505410999</v>
      </c>
      <c r="BD70" s="102">
        <f>$F70*(VLOOKUP(BD$4, Rates_previous!$G$6:$Q$29, 10, FALSE)+VLOOKUP(BD$4, Rates_previous!$G$6:$Q$29, 11, FALSE))</f>
        <v>18674.618137767</v>
      </c>
      <c r="BE70" s="102">
        <f>$F70*(VLOOKUP(BE$4, Rates_previous!$G$6:$Q$29, 10, FALSE)+VLOOKUP(BE$4, Rates_previous!$G$6:$Q$29, 11, FALSE))</f>
        <v>16212.258965601</v>
      </c>
      <c r="BF70" s="102">
        <f>$F70*(VLOOKUP(BF$4, Rates_previous!$G$6:$Q$29, 10, FALSE)+VLOOKUP(BF$4, Rates_previous!$G$6:$Q$29, 11, FALSE))</f>
        <v>15672.945059946902</v>
      </c>
      <c r="BG70" s="102">
        <f>$F70*(VLOOKUP(BG$4, Rates_previous!$G$6:$Q$29, 10, FALSE)+VLOOKUP(BG$4, Rates_previous!$G$6:$Q$29, 11, FALSE))</f>
        <v>14422.144503132002</v>
      </c>
      <c r="BH70" s="103">
        <f>IF($D70=0,IF(C70=0, MAX(BJ70 - (VLOOKUP($A70,TOCA_previous!$A$2:$AJ$136,MATCH("RHWM "&amp;Init!$D$1-2,TOCA_previous!$A$2:$AJ$2,0),FALSE)*$F$2*TOCA_previous!C67),0),0), 0)</f>
        <v>0</v>
      </c>
      <c r="BI70" s="109">
        <f>MIN(VLOOKUP($A70,TOCA_previous!$A$2:$AJ$136,MATCH("TRL - NLSL - Existing Resource "&amp;$F$1,TOCA_previous!$A$2:$AJ$2,0),FALSE)*$F$2,(VLOOKUP($A70,TOCA_previous!$A$2:$AJ$136,MATCH("RHWM "&amp;Init!$D$1-2,TOCA_previous!$A$2:$AJ$2,0),FALSE)*$F$2))</f>
        <v>199862.35200000001</v>
      </c>
      <c r="BJ70" s="261">
        <f>SUM(L70:AI70)+(F70*RT1SC!$C$3*$F$2)</f>
        <v>185575.2639368136</v>
      </c>
      <c r="BK70" s="260">
        <f>VLOOKUP($A70,TOCA_previous!$A$2:$AJ$136,MATCH("Above RHWM Not Served with LS "&amp;$F$1,TOCA_previous!$A$2:$AJ$2,0),FALSE)*$F$2</f>
        <v>48127.536</v>
      </c>
      <c r="BL70" s="261">
        <f t="shared" si="21"/>
        <v>-14287.088063186413</v>
      </c>
      <c r="BM70" s="260">
        <f>(VLOOKUP($A70,TOCA_previous!$A$2:$AJ$136,MATCH("RHWM "&amp;Init!$D$1-2,TOCA_previous!$A$2:$AJ$2,0),FALSE)*$F$2) - $BI70</f>
        <v>0</v>
      </c>
      <c r="BN70" s="261">
        <f t="shared" si="22"/>
        <v>0</v>
      </c>
      <c r="BO70" s="260">
        <f t="shared" si="23"/>
        <v>0</v>
      </c>
      <c r="BP70" s="261">
        <f t="shared" si="24"/>
        <v>0</v>
      </c>
      <c r="BQ70" s="260">
        <f t="shared" si="9"/>
        <v>0</v>
      </c>
      <c r="BR70" s="85">
        <f>VLOOKUP($A70,TOCA_current!$A$2:$ZZ$136,MATCH(BR$4,TOCA_current!$A$2:$ZZ$2,0),FALSE)</f>
        <v>3.2188E-3</v>
      </c>
      <c r="BS70" s="85">
        <f>VLOOKUP($A70,TOCA_current!$A$2:$ZZ$136,MATCH(BS$4,TOCA_current!$A$2:$ZZ$2,0),FALSE)</f>
        <v>3.2188E-3</v>
      </c>
      <c r="BT70" s="108">
        <f t="shared" si="25"/>
        <v>0</v>
      </c>
      <c r="BU70" s="85">
        <f>VLOOKUP($A70,TOCA_current!A67:BG201,MATCH(BU$4,TOCA_current!$A$2:$BG$2,0),FALSE)</f>
        <v>8.1608547456738345E-2</v>
      </c>
      <c r="BV70" s="85">
        <f t="shared" si="26"/>
        <v>0</v>
      </c>
      <c r="BW70" s="85">
        <f t="shared" si="27"/>
        <v>0</v>
      </c>
      <c r="BX70" s="101">
        <f>VLOOKUP($A70,IRD!$A$4:$G$138, 7, FALSE)</f>
        <v>99899.204999999987</v>
      </c>
      <c r="BY70" s="102">
        <f t="array" ref="BY70">IF($BT70=0, INDEX(LS_current!$D$4:$BW$137, MATCH('Staging Table'!$A70, LS_current!$B$4:$B$137, 0), MATCH(BY$4&amp;BY$5, LS_current!$D$2:$BW$2&amp;LS_current!$D$3:$BW$3, 0)),SUM(VLOOKUP($A70, LS_current!$B$4:$BW$137, LS_current!D$147, FALSE), VLOOKUP($A70, LS_current!$B$4:$BW$137,LS_current!AZ$147, FALSE))/2)</f>
        <v>-3952.7343483284221</v>
      </c>
      <c r="BZ70" s="102">
        <f t="array" ref="BZ70">IF($BT70=0, INDEX(LS_current!$D$4:$BW$137, MATCH('Staging Table'!$A70, LS_current!$B$4:$B$137, 0), MATCH(BZ$4&amp;BZ$5, LS_current!$D$2:$BW$2&amp;LS_current!$D$3:$BW$3, 0)),SUM(VLOOKUP($A70, LS_current!$B$4:$BW$137, LS_current!E$147, FALSE), VLOOKUP($A70, LS_current!$B$4:$BW$137,LS_current!BA$147, FALSE))/2)</f>
        <v>-2116.490406482415</v>
      </c>
      <c r="CA70" s="102">
        <f t="array" ref="CA70">IF($BT70=0, INDEX(LS_current!$D$4:$BW$137, MATCH('Staging Table'!$A70, LS_current!$B$4:$B$137, 0), MATCH(CA$4&amp;CA$5, LS_current!$D$2:$BW$2&amp;LS_current!$D$3:$BW$3, 0)),SUM(VLOOKUP($A70, LS_current!$B$4:$BW$137, LS_current!F$147, FALSE), VLOOKUP($A70, LS_current!$B$4:$BW$137,LS_current!BB$147, FALSE))/2)</f>
        <v>-8246.2997210114063</v>
      </c>
      <c r="CB70" s="102">
        <f t="array" ref="CB70">IF($BT70=0, INDEX(LS_current!$D$4:$BW$137, MATCH('Staging Table'!$A70, LS_current!$B$4:$B$137, 0), MATCH(CB$4&amp;CB$5, LS_current!$D$2:$BW$2&amp;LS_current!$D$3:$BW$3, 0)),SUM(VLOOKUP($A70, LS_current!$B$4:$BW$137, LS_current!G$147, FALSE), VLOOKUP($A70, LS_current!$B$4:$BW$137,LS_current!BC$147, FALSE))/2)</f>
        <v>-4841.2047558229333</v>
      </c>
      <c r="CC70" s="102">
        <f t="array" ref="CC70">IF($BT70=0, INDEX(LS_current!$D$4:$BW$137, MATCH('Staging Table'!$A70, LS_current!$B$4:$B$137, 0), MATCH(CC$4&amp;CC$5, LS_current!$D$2:$BW$2&amp;LS_current!$D$3:$BW$3, 0)),SUM(VLOOKUP($A70, LS_current!$B$4:$BW$137, LS_current!H$147, FALSE), VLOOKUP($A70, LS_current!$B$4:$BW$137,LS_current!BD$147, FALSE))/2)</f>
        <v>-9536.2199779367511</v>
      </c>
      <c r="CD70" s="102">
        <f t="array" ref="CD70">IF($BT70=0, INDEX(LS_current!$D$4:$BW$137, MATCH('Staging Table'!$A70, LS_current!$B$4:$B$137, 0), MATCH(CD$4&amp;CD$5, LS_current!$D$2:$BW$2&amp;LS_current!$D$3:$BW$3, 0)),SUM(VLOOKUP($A70, LS_current!$B$4:$BW$137, LS_current!I$147, FALSE), VLOOKUP($A70, LS_current!$B$4:$BW$137,LS_current!BE$147, FALSE))/2)</f>
        <v>-4702.6592949972655</v>
      </c>
      <c r="CE70" s="102">
        <f t="array" ref="CE70">IF($BT70=0, INDEX(LS_current!$D$4:$BW$137, MATCH('Staging Table'!$A70, LS_current!$B$4:$B$137, 0), MATCH(CE$4&amp;CE$5, LS_current!$D$2:$BW$2&amp;LS_current!$D$3:$BW$3, 0)),SUM(VLOOKUP($A70, LS_current!$B$4:$BW$137, LS_current!J$147, FALSE), VLOOKUP($A70, LS_current!$B$4:$BW$137,LS_current!BF$147, FALSE))/2)</f>
        <v>-10092.512611085613</v>
      </c>
      <c r="CF70" s="102">
        <f t="array" ref="CF70">IF($BT70=0, INDEX(LS_current!$D$4:$BW$137, MATCH('Staging Table'!$A70, LS_current!$B$4:$B$137, 0), MATCH(CF$4&amp;CF$5, LS_current!$D$2:$BW$2&amp;LS_current!$D$3:$BW$3, 0)),SUM(VLOOKUP($A70, LS_current!$B$4:$BW$137, LS_current!K$147, FALSE), VLOOKUP($A70, LS_current!$B$4:$BW$137,LS_current!BG$147, FALSE))/2)</f>
        <v>-5265.5943395929999</v>
      </c>
      <c r="CG70" s="102">
        <f t="array" ref="CG70">IF($BT70=0, INDEX(LS_current!$D$4:$BW$137, MATCH('Staging Table'!$A70, LS_current!$B$4:$B$137, 0), MATCH(CG$4&amp;CG$5, LS_current!$D$2:$BW$2&amp;LS_current!$D$3:$BW$3, 0)),SUM(VLOOKUP($A70, LS_current!$B$4:$BW$137, LS_current!L$147, FALSE), VLOOKUP($A70, LS_current!$B$4:$BW$137,LS_current!BH$147, FALSE))/2)</f>
        <v>-8207.8444011990341</v>
      </c>
      <c r="CH70" s="102">
        <f t="array" ref="CH70">IF($BT70=0, INDEX(LS_current!$D$4:$BW$137, MATCH('Staging Table'!$A70, LS_current!$B$4:$B$137, 0), MATCH(CH$4&amp;CH$5, LS_current!$D$2:$BW$2&amp;LS_current!$D$3:$BW$3, 0)),SUM(VLOOKUP($A70, LS_current!$B$4:$BW$137, LS_current!M$147, FALSE), VLOOKUP($A70, LS_current!$B$4:$BW$137,LS_current!BI$147, FALSE))/2)</f>
        <v>-4276.2552500533393</v>
      </c>
      <c r="CI70" s="102">
        <f t="array" ref="CI70">IF($BT70=0, INDEX(LS_current!$D$4:$BW$137, MATCH('Staging Table'!$A70, LS_current!$B$4:$B$137, 0), MATCH(CI$4&amp;CI$5, LS_current!$D$2:$BW$2&amp;LS_current!$D$3:$BW$3, 0)),SUM(VLOOKUP($A70, LS_current!$B$4:$BW$137, LS_current!N$147, FALSE), VLOOKUP($A70, LS_current!$B$4:$BW$137,LS_current!BJ$147, FALSE))/2)</f>
        <v>-9308.2016928181092</v>
      </c>
      <c r="CJ70" s="102">
        <f t="array" ref="CJ70">IF($BT70=0, INDEX(LS_current!$D$4:$BW$137, MATCH('Staging Table'!$A70, LS_current!$B$4:$B$137, 0), MATCH(CJ$4&amp;CJ$5, LS_current!$D$2:$BW$2&amp;LS_current!$D$3:$BW$3, 0)),SUM(VLOOKUP($A70, LS_current!$B$4:$BW$137, LS_current!O$147, FALSE), VLOOKUP($A70, LS_current!$B$4:$BW$137,LS_current!BK$147, FALSE))/2)</f>
        <v>-4406.8932902994366</v>
      </c>
      <c r="CK70" s="102">
        <f t="array" ref="CK70">IF($BT70=0, INDEX(LS_current!$D$4:$BW$137, MATCH('Staging Table'!$A70, LS_current!$B$4:$B$137, 0), MATCH(CK$4&amp;CK$5, LS_current!$D$2:$BW$2&amp;LS_current!$D$3:$BW$3, 0)),SUM(VLOOKUP($A70, LS_current!$B$4:$BW$137, LS_current!P$147, FALSE), VLOOKUP($A70, LS_current!$B$4:$BW$137,LS_current!BL$147, FALSE))/2)</f>
        <v>-873.12013877513982</v>
      </c>
      <c r="CL70" s="102">
        <f t="array" ref="CL70">IF($BT70=0, INDEX(LS_current!$D$4:$BW$137, MATCH('Staging Table'!$A70, LS_current!$B$4:$B$137, 0), MATCH(CL$4&amp;CL$5, LS_current!$D$2:$BW$2&amp;LS_current!$D$3:$BW$3, 0)),SUM(VLOOKUP($A70, LS_current!$B$4:$BW$137, LS_current!Q$147, FALSE), VLOOKUP($A70, LS_current!$B$4:$BW$137,LS_current!BM$147, FALSE))/2)</f>
        <v>-536.80270587935502</v>
      </c>
      <c r="CM70" s="102">
        <f t="array" ref="CM70">IF($BT70=0, INDEX(LS_current!$D$4:$BW$137, MATCH('Staging Table'!$A70, LS_current!$B$4:$B$137, 0), MATCH(CM$4&amp;CM$5, LS_current!$D$2:$BW$2&amp;LS_current!$D$3:$BW$3, 0)),SUM(VLOOKUP($A70, LS_current!$B$4:$BW$137, LS_current!R$147, FALSE), VLOOKUP($A70, LS_current!$B$4:$BW$137,LS_current!BN$147, FALSE))/2)</f>
        <v>5764.6351186282063</v>
      </c>
      <c r="CN70" s="102">
        <f t="array" ref="CN70">IF($BT70=0, INDEX(LS_current!$D$4:$BW$137, MATCH('Staging Table'!$A70, LS_current!$B$4:$B$137, 0), MATCH(CN$4&amp;CN$5, LS_current!$D$2:$BW$2&amp;LS_current!$D$3:$BW$3, 0)),SUM(VLOOKUP($A70, LS_current!$B$4:$BW$137, LS_current!S$147, FALSE), VLOOKUP($A70, LS_current!$B$4:$BW$137,LS_current!BO$147, FALSE))/2)</f>
        <v>6272.2417166329797</v>
      </c>
      <c r="CO70" s="102">
        <f t="array" ref="CO70">IF($BT70=0, INDEX(LS_current!$D$4:$BW$137, MATCH('Staging Table'!$A70, LS_current!$B$4:$B$137, 0), MATCH(CO$4&amp;CO$5, LS_current!$D$2:$BW$2&amp;LS_current!$D$3:$BW$3, 0)),SUM(VLOOKUP($A70, LS_current!$B$4:$BW$137, LS_current!T$147, FALSE), VLOOKUP($A70, LS_current!$B$4:$BW$137,LS_current!BP$147, FALSE))/2)</f>
        <v>5355.0885712874006</v>
      </c>
      <c r="CP70" s="102">
        <f t="array" ref="CP70">IF($BT70=0, INDEX(LS_current!$D$4:$BW$137, MATCH('Staging Table'!$A70, LS_current!$B$4:$B$137, 0), MATCH(CP$4&amp;CP$5, LS_current!$D$2:$BW$2&amp;LS_current!$D$3:$BW$3, 0)),SUM(VLOOKUP($A70, LS_current!$B$4:$BW$137, LS_current!U$147, FALSE), VLOOKUP($A70, LS_current!$B$4:$BW$137,LS_current!BQ$147, FALSE))/2)</f>
        <v>5354.8931243716324</v>
      </c>
      <c r="CQ70" s="102">
        <f t="array" ref="CQ70">IF($BT70=0, INDEX(LS_current!$D$4:$BW$137, MATCH('Staging Table'!$A70, LS_current!$B$4:$B$137, 0), MATCH(CQ$4&amp;CQ$5, LS_current!$D$2:$BW$2&amp;LS_current!$D$3:$BW$3, 0)),SUM(VLOOKUP($A70, LS_current!$B$4:$BW$137, LS_current!V$147, FALSE), VLOOKUP($A70, LS_current!$B$4:$BW$137,LS_current!BR$147, FALSE))/2)</f>
        <v>12032.627462223978</v>
      </c>
      <c r="CR70" s="102">
        <f t="array" ref="CR70">IF($BT70=0, INDEX(LS_current!$D$4:$BW$137, MATCH('Staging Table'!$A70, LS_current!$B$4:$B$137, 0), MATCH(CR$4&amp;CR$5, LS_current!$D$2:$BW$2&amp;LS_current!$D$3:$BW$3, 0)),SUM(VLOOKUP($A70, LS_current!$B$4:$BW$137, LS_current!W$147, FALSE), VLOOKUP($A70, LS_current!$B$4:$BW$137,LS_current!BS$147, FALSE))/2)</f>
        <v>10917.586846566355</v>
      </c>
      <c r="CS70" s="102">
        <f t="array" ref="CS70">IF($BT70=0, INDEX(LS_current!$D$4:$BW$137, MATCH('Staging Table'!$A70, LS_current!$B$4:$B$137, 0), MATCH(CS$4&amp;CS$5, LS_current!$D$2:$BW$2&amp;LS_current!$D$3:$BW$3, 0)),SUM(VLOOKUP($A70, LS_current!$B$4:$BW$137, LS_current!X$147, FALSE), VLOOKUP($A70, LS_current!$B$4:$BW$137,LS_current!BT$147, FALSE))/2)</f>
        <v>10187.534216975111</v>
      </c>
      <c r="CT70" s="102">
        <f t="array" ref="CT70">IF($BT70=0, INDEX(LS_current!$D$4:$BW$137, MATCH('Staging Table'!$A70, LS_current!$B$4:$B$137, 0), MATCH(CT$4&amp;CT$5, LS_current!$D$2:$BW$2&amp;LS_current!$D$3:$BW$3, 0)),SUM(VLOOKUP($A70, LS_current!$B$4:$BW$137, LS_current!Y$147, FALSE), VLOOKUP($A70, LS_current!$B$4:$BW$137,LS_current!BU$147, FALSE))/2)</f>
        <v>10513.429190565037</v>
      </c>
      <c r="CU70" s="102">
        <f t="array" ref="CU70">IF($BT70=0, INDEX(LS_current!$D$4:$BW$137, MATCH('Staging Table'!$A70, LS_current!$B$4:$B$137, 0), MATCH(CU$4&amp;CU$5, LS_current!$D$2:$BW$2&amp;LS_current!$D$3:$BW$3, 0)),SUM(VLOOKUP($A70, LS_current!$B$4:$BW$137, LS_current!Z$147, FALSE), VLOOKUP($A70, LS_current!$B$4:$BW$137,LS_current!BV$147, FALSE))/2)</f>
        <v>4804.9301901778081</v>
      </c>
      <c r="CV70" s="102">
        <f t="array" ref="CV70">IF($BT70=0, INDEX(LS_current!$D$4:$BW$137, MATCH('Staging Table'!$A70, LS_current!$B$4:$B$137, 0), MATCH(CV$4&amp;CV$5, LS_current!$D$2:$BW$2&amp;LS_current!$D$3:$BW$3, 0)),SUM(VLOOKUP($A70, LS_current!$B$4:$BW$137, LS_current!AA$147, FALSE), VLOOKUP($A70, LS_current!$B$4:$BW$137,LS_current!BW$147, FALSE))/2)</f>
        <v>5152.6577665292089</v>
      </c>
      <c r="CW70" s="103">
        <f t="array" ref="CW70">INDEX(Demand_current!$D$4:$BW$137, MATCH($A70, Demand_current!$B$4:$B$137, 0), MATCH(CW$4&amp;CW$5,Demand_current!$D$2:$BW$2&amp;Demand_current!$D$3:$BW$3, 0))/1000</f>
        <v>7.9774351851851879</v>
      </c>
      <c r="CX70" s="103">
        <f t="array" ref="CX70">INDEX(Demand_current!$D$4:$BW$137, MATCH($A70, Demand_current!$B$4:$B$137, 0), MATCH(CX$4&amp;CX$5,Demand_current!$D$2:$BW$2&amp;Demand_current!$D$3:$BW$3, 0))/1000</f>
        <v>1.1774713541666686</v>
      </c>
      <c r="CY70" s="103">
        <f t="array" ref="CY70">INDEX(Demand_current!$D$4:$BW$137, MATCH($A70, Demand_current!$B$4:$B$137, 0), MATCH(CY$4&amp;CY$5,Demand_current!$D$2:$BW$2&amp;Demand_current!$D$3:$BW$3, 0))/1000</f>
        <v>1.8024783653846148</v>
      </c>
      <c r="CZ70" s="103">
        <f t="array" ref="CZ70">INDEX(Demand_current!$D$4:$BW$137, MATCH($A70, Demand_current!$B$4:$B$137, 0), MATCH(CZ$4&amp;CZ$5,Demand_current!$D$2:$BW$2&amp;Demand_current!$D$3:$BW$3, 0))/1000</f>
        <v>2.1259375000000014</v>
      </c>
      <c r="DA70" s="103">
        <f t="array" ref="DA70">INDEX(Demand_current!$D$4:$BW$137, MATCH($A70, Demand_current!$B$4:$B$137, 0), MATCH(DA$4&amp;DA$5,Demand_current!$D$2:$BW$2&amp;Demand_current!$D$3:$BW$3, 0))/1000</f>
        <v>1.1245677083333345</v>
      </c>
      <c r="DB70" s="103">
        <f t="array" ref="DB70">INDEX(Demand_current!$D$4:$BW$137, MATCH($A70, Demand_current!$B$4:$B$137, 0), MATCH(DB$4&amp;DB$5,Demand_current!$D$2:$BW$2&amp;Demand_current!$D$3:$BW$3, 0))/1000</f>
        <v>0.74043269230769315</v>
      </c>
      <c r="DC70" s="103">
        <f t="array" ref="DC70">INDEX(Demand_current!$D$4:$BW$137, MATCH($A70, Demand_current!$B$4:$B$137, 0), MATCH(DC$4&amp;DC$5,Demand_current!$D$2:$BW$2&amp;Demand_current!$D$3:$BW$3, 0))/1000</f>
        <v>11.414086538461538</v>
      </c>
      <c r="DD70" s="103">
        <f t="array" ref="DD70">INDEX(Demand_current!$D$4:$BW$137, MATCH($A70, Demand_current!$B$4:$B$137, 0), MATCH(DD$4&amp;DD$5,Demand_current!$D$2:$BW$2&amp;Demand_current!$D$3:$BW$3, 0))/1000</f>
        <v>7.5821625000000061</v>
      </c>
      <c r="DE70" s="103">
        <f t="array" ref="DE70">INDEX(Demand_current!$D$4:$BW$137, MATCH($A70, Demand_current!$B$4:$B$137, 0), MATCH(DE$4&amp;DE$5,Demand_current!$D$2:$BW$2&amp;Demand_current!$D$3:$BW$3, 0))/1000</f>
        <v>11.496649038461539</v>
      </c>
      <c r="DF70" s="103">
        <f t="array" ref="DF70">INDEX(Demand_current!$D$4:$BW$137, MATCH($A70, Demand_current!$B$4:$B$137, 0), MATCH(DF$4&amp;DF$5,Demand_current!$D$2:$BW$2&amp;Demand_current!$D$3:$BW$3, 0))/1000</f>
        <v>10.11498798076922</v>
      </c>
      <c r="DG70" s="103">
        <f t="array" ref="DG70">INDEX(Demand_current!$D$4:$BW$137, MATCH($A70, Demand_current!$B$4:$B$137, 0), MATCH(DG$4&amp;DG$5,Demand_current!$D$2:$BW$2&amp;Demand_current!$D$3:$BW$3, 0))/1000</f>
        <v>8.7409615384615407</v>
      </c>
      <c r="DH70" s="103">
        <f t="array" ref="DH70">INDEX(Demand_current!$D$4:$BW$137, MATCH($A70, Demand_current!$B$4:$B$137, 0), MATCH(DH$4&amp;DH$5,Demand_current!$D$2:$BW$2&amp;Demand_current!$D$3:$BW$3, 0))/1000</f>
        <v>6.1364874999999977</v>
      </c>
      <c r="DI70" s="102">
        <f>$BS70*(VLOOKUP(DI$4, Rates_current!$H$6:$R$41, 10, FALSE)+VLOOKUP(DI$4, Rates_current!$H$6:$R$41, 11, FALSE))</f>
        <v>13358.945754810837</v>
      </c>
      <c r="DJ70" s="102">
        <f>$BS70*(VLOOKUP(DJ$4, Rates_current!$H$6:$R$41, 10, FALSE)+VLOOKUP(DJ$4, Rates_current!$H$6:$R$41, 11, FALSE))</f>
        <v>17078.97247683434</v>
      </c>
      <c r="DK70" s="102">
        <f>$BS70*(VLOOKUP(DK$4, Rates_current!$H$6:$R$41, 10, FALSE)+VLOOKUP(DK$4, Rates_current!$H$6:$R$41, 11, FALSE))</f>
        <v>19417.363272934013</v>
      </c>
      <c r="DL70" s="102">
        <f>$BS70*(VLOOKUP(DL$4, Rates_current!$H$6:$R$41, 10, FALSE)+VLOOKUP(DL$4, Rates_current!$H$6:$R$41, 11, FALSE))</f>
        <v>20486.833950678614</v>
      </c>
      <c r="DM70" s="102">
        <f>$BS70*(VLOOKUP(DM$4, Rates_current!$H$6:$R$41, 10, FALSE)+VLOOKUP(DM$4, Rates_current!$H$6:$R$41, 11, FALSE))</f>
        <v>16326.157651252375</v>
      </c>
      <c r="DN70" s="102">
        <f>$BS70*(VLOOKUP(DN$4, Rates_current!$H$6:$R$41, 10, FALSE)+VLOOKUP(DN$4, Rates_current!$H$6:$R$41, 11, FALSE))</f>
        <v>17847.842983117545</v>
      </c>
      <c r="DO70" s="102">
        <f>$BS70*(VLOOKUP(DO$4, Rates_current!$H$6:$R$41, 10, FALSE)+VLOOKUP(DO$4, Rates_current!$H$6:$R$41, 11, FALSE))</f>
        <v>13832.257844654496</v>
      </c>
      <c r="DP70" s="102">
        <f>$BS70*(VLOOKUP(DP$4, Rates_current!$H$6:$R$41, 10, FALSE)+VLOOKUP(DP$4, Rates_current!$H$6:$R$41, 11, FALSE))</f>
        <v>17901.219164738814</v>
      </c>
      <c r="DQ70" s="102">
        <f>$BS70*(VLOOKUP(DQ$4, Rates_current!$H$6:$R$41, 10, FALSE)+VLOOKUP(DQ$4, Rates_current!$H$6:$R$41, 11, FALSE))</f>
        <v>18283.462304340967</v>
      </c>
      <c r="DR70" s="102">
        <f>$BS70*(VLOOKUP(DR$4, Rates_current!$H$6:$R$41, 10, FALSE)+VLOOKUP(DR$4, Rates_current!$H$6:$R$41, 11, FALSE))</f>
        <v>16273.86269120967</v>
      </c>
      <c r="DS70" s="102">
        <f>$BS70*(VLOOKUP(DS$4, Rates_current!$H$6:$R$41, 10, FALSE)+VLOOKUP(DS$4, Rates_current!$H$6:$R$41, 11, FALSE))</f>
        <v>16693.998592459855</v>
      </c>
      <c r="DT70" s="102">
        <f>$BS70*(VLOOKUP(DT$4, Rates_current!$H$6:$R$41, 10, FALSE)+VLOOKUP(DT$4, Rates_current!$H$6:$R$41, 11, FALSE))</f>
        <v>12964.891043292986</v>
      </c>
      <c r="DU70" s="261">
        <f>IF(D70=0,IF(C70=0,MAX(0,DW70 - (VLOOKUP($A70,TOCA_current!$A$2:$AV$136,MATCH("RHWM "&amp;Init!$D$1,TOCA_current!$A$2:$AV$2,0),FALSE)*$BS$2)), 0),0)</f>
        <v>0</v>
      </c>
      <c r="DV70" s="262">
        <f>MIN(VLOOKUP($A70,TOCA_current!$A$2:$AV$136,MATCH("TRL - NLSL - Existing Resource "&amp;$BS$1,TOCA_current!$A$2:$AV$2,0),FALSE)*$BS$2, VLOOKUP($A70,TOCA_current!$A$2:$AV$136,MATCH("RHWM "&amp;Init!$D$1,TOCA_current!$A$2:$AV$2,0),FALSE)*$BS$2)</f>
        <v>200463.84</v>
      </c>
      <c r="DW70" s="262">
        <f>SUM(BY70:CV70)+(BS70*RT1SC!$C$4*$BS$2)</f>
        <v>200458.6108334515</v>
      </c>
      <c r="DX70" s="262">
        <f>VLOOKUP($A70,TOCA_current!$A$2:$AV$136,MATCH("Above RHWM Not Served with LS "&amp;$BS$1,TOCA_current!$A$2:$AV$2,0),FALSE)*$BS$2</f>
        <v>33244.199999999997</v>
      </c>
      <c r="DY70" s="262">
        <f t="shared" si="28"/>
        <v>-5.2291665484954137</v>
      </c>
      <c r="DZ70" s="262">
        <f>(VLOOKUP($A70,TOCA_current!$A$2:$AV$136,MATCH("RHWM "&amp;Init!$D$1,TOCA_current!$A$2:$AV$2,0),FALSE)*$BS$2) - $DV70</f>
        <v>0</v>
      </c>
      <c r="EA70" s="262">
        <f t="shared" si="29"/>
        <v>0</v>
      </c>
      <c r="EB70" s="262">
        <f t="shared" si="30"/>
        <v>0</v>
      </c>
      <c r="EC70" s="262">
        <f t="shared" si="31"/>
        <v>0</v>
      </c>
      <c r="ED70" s="262">
        <f t="shared" si="32"/>
        <v>0</v>
      </c>
    </row>
    <row r="71" spans="1:134">
      <c r="A71" s="2">
        <v>10202</v>
      </c>
      <c r="B71" s="3" t="s">
        <v>73</v>
      </c>
      <c r="C71">
        <f>VLOOKUP(A71, TOCA_current!$A$3:$D$136, 4, FALSE)</f>
        <v>0</v>
      </c>
      <c r="D71">
        <v>0</v>
      </c>
      <c r="E71" s="84">
        <f>VLOOKUP($A71,TOCA_previous!$A$2:$AJ$136,MATCH(E$4,TOCA_previous!$A$2:$AJ$2,0),FALSE)</f>
        <v>1.8963999999999999E-3</v>
      </c>
      <c r="F71" s="85">
        <f>VLOOKUP($A71,TOCA_previous!$A$2:$AJ$136,MATCH(F$4,TOCA_previous!$A$2:$AJ$2,0),FALSE)</f>
        <v>1.8963999999999999E-3</v>
      </c>
      <c r="G71" s="85">
        <f t="shared" ref="G71:G134" si="33">E71-F71</f>
        <v>0</v>
      </c>
      <c r="H71" s="85">
        <f>VLOOKUP($A71,TOCA_previous!$A$2:$AJ$136,MATCH(H$4,TOCA_previous!$A$2:$AJ$2,0),FALSE)</f>
        <v>0</v>
      </c>
      <c r="I71" s="85">
        <f t="shared" ref="I71:I134" si="34">IF(C71=0,0,H71)</f>
        <v>0</v>
      </c>
      <c r="J71" s="85">
        <f t="shared" ref="J71:J134" si="35">IF(C71=0,0,E71)</f>
        <v>0</v>
      </c>
      <c r="K71" s="101">
        <f>VLOOKUP(A71, IRD!$A$5:$C$138, 3, FALSE)</f>
        <v>0</v>
      </c>
      <c r="L71" s="102">
        <f t="array" ref="L71">IF($G71=0, INDEX(LS_previous!$D$4:$AY$137, MATCH('Staging Table'!$A71, LS_previous!$B$4:$B$137, 0), MATCH(L$4&amp;L$5, LS_previous!$D$2:$AY$2&amp;LS_previous!$D$3:$AY$3, 0)),SUM(VLOOKUP($A71, LS_previous!$B$4:$AY$137, LS_previous!D$148, FALSE), VLOOKUP('Staging Table'!$A71, LS_previous!$B$4:$AY$137,LS_previous!AB$148, FALSE))/2)</f>
        <v>1514.1471301296006</v>
      </c>
      <c r="M71" s="102">
        <f t="array" ref="M71">IF($G71=0, INDEX(LS_previous!$D$4:$AY$137, MATCH('Staging Table'!$A71, LS_previous!$B$4:$B$137, 0), MATCH(M$4&amp;M$5, LS_previous!$D$2:$AY$2&amp;LS_previous!$D$3:$AY$3, 0)),SUM(VLOOKUP($A71, LS_previous!$B$4:$AY$137, LS_previous!E$148, FALSE), VLOOKUP('Staging Table'!$A71, LS_previous!$B$4:$AY$137,LS_previous!AC$148, FALSE))/2)</f>
        <v>179.59041656179988</v>
      </c>
      <c r="N71" s="102">
        <f t="array" ref="N71">IF($G71=0, INDEX(LS_previous!$D$4:$AY$137, MATCH('Staging Table'!$A71, LS_previous!$B$4:$B$137, 0), MATCH(N$4&amp;N$5, LS_previous!$D$2:$AY$2&amp;LS_previous!$D$3:$AY$3, 0)),SUM(VLOOKUP($A71, LS_previous!$B$4:$AY$137, LS_previous!F$148, FALSE), VLOOKUP('Staging Table'!$A71, LS_previous!$B$4:$AY$137,LS_previous!AD$148, FALSE))/2)</f>
        <v>123.92223118079983</v>
      </c>
      <c r="O71" s="102">
        <f t="array" ref="O71">IF($G71=0, INDEX(LS_previous!$D$4:$AY$137, MATCH('Staging Table'!$A71, LS_previous!$B$4:$B$137, 0), MATCH(O$4&amp;O$5, LS_previous!$D$2:$AY$2&amp;LS_previous!$D$3:$AY$3, 0)),SUM(VLOOKUP($A71, LS_previous!$B$4:$AY$137, LS_previous!G$148, FALSE), VLOOKUP('Staging Table'!$A71, LS_previous!$B$4:$AY$137,LS_previous!AE$148, FALSE))/2)</f>
        <v>431.82576417160089</v>
      </c>
      <c r="P71" s="102">
        <f t="array" ref="P71">IF($G71=0, INDEX(LS_previous!$D$4:$AY$137, MATCH('Staging Table'!$A71, LS_previous!$B$4:$B$137, 0), MATCH(P$4&amp;P$5, LS_previous!$D$2:$AY$2&amp;LS_previous!$D$3:$AY$3, 0)),SUM(VLOOKUP($A71, LS_previous!$B$4:$AY$137, LS_previous!H$148, FALSE), VLOOKUP('Staging Table'!$A71, LS_previous!$B$4:$AY$137,LS_previous!AF$148, FALSE))/2)</f>
        <v>1030.3238445604002</v>
      </c>
      <c r="Q71" s="102">
        <f t="array" ref="Q71">IF($G71=0, INDEX(LS_previous!$D$4:$AY$137, MATCH('Staging Table'!$A71, LS_previous!$B$4:$B$137, 0), MATCH(Q$4&amp;Q$5, LS_previous!$D$2:$AY$2&amp;LS_previous!$D$3:$AY$3, 0)),SUM(VLOOKUP($A71, LS_previous!$B$4:$AY$137, LS_previous!I$148, FALSE), VLOOKUP('Staging Table'!$A71, LS_previous!$B$4:$AY$137,LS_previous!AG$148, FALSE))/2)</f>
        <v>416.14155490560006</v>
      </c>
      <c r="R71" s="102">
        <f t="array" ref="R71">IF($G71=0, INDEX(LS_previous!$D$4:$AY$137, MATCH('Staging Table'!$A71, LS_previous!$B$4:$B$137, 0), MATCH(R$4&amp;R$5, LS_previous!$D$2:$AY$2&amp;LS_previous!$D$3:$AY$3, 0)),SUM(VLOOKUP($A71, LS_previous!$B$4:$AY$137, LS_previous!J$148, FALSE), VLOOKUP('Staging Table'!$A71, LS_previous!$B$4:$AY$137,LS_previous!AH$148, FALSE))/2)</f>
        <v>1041.1672316740014</v>
      </c>
      <c r="S71" s="102">
        <f t="array" ref="S71">IF($G71=0, INDEX(LS_previous!$D$4:$AY$137, MATCH('Staging Table'!$A71, LS_previous!$B$4:$B$137, 0), MATCH(S$4&amp;S$5, LS_previous!$D$2:$AY$2&amp;LS_previous!$D$3:$AY$3, 0)),SUM(VLOOKUP($A71, LS_previous!$B$4:$AY$137, LS_previous!K$148, FALSE), VLOOKUP('Staging Table'!$A71, LS_previous!$B$4:$AY$137,LS_previous!AI$148, FALSE))/2)</f>
        <v>725.70404180439982</v>
      </c>
      <c r="T71" s="102">
        <f t="array" ref="T71">IF($G71=0, INDEX(LS_previous!$D$4:$AY$137, MATCH('Staging Table'!$A71, LS_previous!$B$4:$B$137, 0), MATCH(T$4&amp;T$5, LS_previous!$D$2:$AY$2&amp;LS_previous!$D$3:$AY$3, 0)),SUM(VLOOKUP($A71, LS_previous!$B$4:$AY$137, LS_previous!L$148, FALSE), VLOOKUP('Staging Table'!$A71, LS_previous!$B$4:$AY$137,LS_previous!AJ$148, FALSE))/2)</f>
        <v>563.40281506439987</v>
      </c>
      <c r="U71" s="102">
        <f t="array" ref="U71">IF($G71=0, INDEX(LS_previous!$D$4:$AY$137, MATCH('Staging Table'!$A71, LS_previous!$B$4:$B$137, 0), MATCH(U$4&amp;U$5, LS_previous!$D$2:$AY$2&amp;LS_previous!$D$3:$AY$3, 0)),SUM(VLOOKUP($A71, LS_previous!$B$4:$AY$137, LS_previous!M$148, FALSE), VLOOKUP('Staging Table'!$A71, LS_previous!$B$4:$AY$137,LS_previous!AK$148, FALSE))/2)</f>
        <v>466.9639249524007</v>
      </c>
      <c r="V71" s="102">
        <f t="array" ref="V71">IF($G71=0, INDEX(LS_previous!$D$4:$AY$137, MATCH('Staging Table'!$A71, LS_previous!$B$4:$B$137, 0), MATCH(V$4&amp;V$5, LS_previous!$D$2:$AY$2&amp;LS_previous!$D$3:$AY$3, 0)),SUM(VLOOKUP($A71, LS_previous!$B$4:$AY$137, LS_previous!N$148, FALSE), VLOOKUP('Staging Table'!$A71, LS_previous!$B$4:$AY$137,LS_previous!AL$148, FALSE))/2)</f>
        <v>-316.99060589319924</v>
      </c>
      <c r="W71" s="102">
        <f t="array" ref="W71">IF($G71=0, INDEX(LS_previous!$D$4:$AY$137, MATCH('Staging Table'!$A71, LS_previous!$B$4:$B$137, 0), MATCH(W$4&amp;W$5, LS_previous!$D$2:$AY$2&amp;LS_previous!$D$3:$AY$3, 0)),SUM(VLOOKUP($A71, LS_previous!$B$4:$AY$137, LS_previous!O$148, FALSE), VLOOKUP('Staging Table'!$A71, LS_previous!$B$4:$AY$137,LS_previous!AM$148, FALSE))/2)</f>
        <v>-395.83225979919962</v>
      </c>
      <c r="X71" s="102">
        <f t="array" ref="X71">IF($G71=0, INDEX(LS_previous!$D$4:$AY$137, MATCH('Staging Table'!$A71, LS_previous!$B$4:$B$137, 0), MATCH(X$4&amp;X$5, LS_previous!$D$2:$AY$2&amp;LS_previous!$D$3:$AY$3, 0)),SUM(VLOOKUP($A71, LS_previous!$B$4:$AY$137, LS_previous!P$148, FALSE), VLOOKUP('Staging Table'!$A71, LS_previous!$B$4:$AY$137,LS_previous!AN$148, FALSE))/2)</f>
        <v>224.15989074900062</v>
      </c>
      <c r="Y71" s="102">
        <f t="array" ref="Y71">IF($G71=0, INDEX(LS_previous!$D$4:$AY$137, MATCH('Staging Table'!$A71, LS_previous!$B$4:$B$137, 0), MATCH(Y$4&amp;Y$5, LS_previous!$D$2:$AY$2&amp;LS_previous!$D$3:$AY$3, 0)),SUM(VLOOKUP($A71, LS_previous!$B$4:$AY$137, LS_previous!Q$148, FALSE), VLOOKUP('Staging Table'!$A71, LS_previous!$B$4:$AY$137,LS_previous!AO$148, FALSE))/2)</f>
        <v>-389.85780886269913</v>
      </c>
      <c r="Z71" s="102">
        <f t="array" ref="Z71">IF($G71=0, INDEX(LS_previous!$D$4:$AY$137, MATCH('Staging Table'!$A71, LS_previous!$B$4:$B$137, 0), MATCH(Z$4&amp;Z$5, LS_previous!$D$2:$AY$2&amp;LS_previous!$D$3:$AY$3, 0)),SUM(VLOOKUP($A71, LS_previous!$B$4:$AY$137, LS_previous!R$148, FALSE), VLOOKUP('Staging Table'!$A71, LS_previous!$B$4:$AY$137,LS_previous!AP$148, FALSE))/2)</f>
        <v>-1995.2524705471997</v>
      </c>
      <c r="AA71" s="102">
        <f t="array" ref="AA71">IF($G71=0, INDEX(LS_previous!$D$4:$AY$137, MATCH('Staging Table'!$A71, LS_previous!$B$4:$B$137, 0), MATCH(AA$4&amp;AA$5, LS_previous!$D$2:$AY$2&amp;LS_previous!$D$3:$AY$3, 0)),SUM(VLOOKUP($A71, LS_previous!$B$4:$AY$137, LS_previous!S$148, FALSE), VLOOKUP('Staging Table'!$A71, LS_previous!$B$4:$AY$137,LS_previous!AQ$148, FALSE))/2)</f>
        <v>-1465.7159521794001</v>
      </c>
      <c r="AB71" s="102">
        <f t="array" ref="AB71">IF($G71=0, INDEX(LS_previous!$D$4:$AY$137, MATCH('Staging Table'!$A71, LS_previous!$B$4:$B$137, 0), MATCH(AB$4&amp;AB$5, LS_previous!$D$2:$AY$2&amp;LS_previous!$D$3:$AY$3, 0)),SUM(VLOOKUP($A71, LS_previous!$B$4:$AY$137, LS_previous!T$148, FALSE), VLOOKUP('Staging Table'!$A71, LS_previous!$B$4:$AY$137,LS_previous!AR$148, FALSE))/2)</f>
        <v>-2152.5020308663998</v>
      </c>
      <c r="AC71" s="102">
        <f t="array" ref="AC71">IF($G71=0, INDEX(LS_previous!$D$4:$AY$137, MATCH('Staging Table'!$A71, LS_previous!$B$4:$B$137, 0), MATCH(AC$4&amp;AC$5, LS_previous!$D$2:$AY$2&amp;LS_previous!$D$3:$AY$3, 0)),SUM(VLOOKUP($A71, LS_previous!$B$4:$AY$137, LS_previous!U$148, FALSE), VLOOKUP('Staging Table'!$A71, LS_previous!$B$4:$AY$137,LS_previous!AS$148, FALSE))/2)</f>
        <v>-1800.9572133537999</v>
      </c>
      <c r="AD71" s="102">
        <f t="array" ref="AD71">IF($G71=0, INDEX(LS_previous!$D$4:$AY$137, MATCH('Staging Table'!$A71, LS_previous!$B$4:$B$137, 0), MATCH(AD$4&amp;AD$5, LS_previous!$D$2:$AY$2&amp;LS_previous!$D$3:$AY$3, 0)),SUM(VLOOKUP($A71, LS_previous!$B$4:$AY$137, LS_previous!V$148, FALSE), VLOOKUP('Staging Table'!$A71, LS_previous!$B$4:$AY$137,LS_previous!AT$148, FALSE))/2)</f>
        <v>-1246.4970372495991</v>
      </c>
      <c r="AE71" s="102">
        <f t="array" ref="AE71">IF($G71=0, INDEX(LS_previous!$D$4:$AY$137, MATCH('Staging Table'!$A71, LS_previous!$B$4:$B$137, 0), MATCH(AE$4&amp;AE$5, LS_previous!$D$2:$AY$2&amp;LS_previous!$D$3:$AY$3, 0)),SUM(VLOOKUP($A71, LS_previous!$B$4:$AY$137, LS_previous!W$148, FALSE), VLOOKUP('Staging Table'!$A71, LS_previous!$B$4:$AY$137,LS_previous!AU$148, FALSE))/2)</f>
        <v>-1140.7689907909999</v>
      </c>
      <c r="AF71" s="102">
        <f t="array" ref="AF71">IF($G71=0, INDEX(LS_previous!$D$4:$AY$137, MATCH('Staging Table'!$A71, LS_previous!$B$4:$B$137, 0), MATCH(AF$4&amp;AF$5, LS_previous!$D$2:$AY$2&amp;LS_previous!$D$3:$AY$3, 0)),SUM(VLOOKUP($A71, LS_previous!$B$4:$AY$137, LS_previous!X$148, FALSE), VLOOKUP('Staging Table'!$A71, LS_previous!$B$4:$AY$137,LS_previous!AV$148, FALSE))/2)</f>
        <v>79.42351876740031</v>
      </c>
      <c r="AG71" s="102">
        <f t="array" ref="AG71">IF($G71=0, INDEX(LS_previous!$D$4:$AY$137, MATCH('Staging Table'!$A71, LS_previous!$B$4:$B$137, 0), MATCH(AG$4&amp;AG$5, LS_previous!$D$2:$AY$2&amp;LS_previous!$D$3:$AY$3, 0)),SUM(VLOOKUP($A71, LS_previous!$B$4:$AY$137, LS_previous!Y$148, FALSE), VLOOKUP('Staging Table'!$A71, LS_previous!$B$4:$AY$137,LS_previous!AW$148, FALSE))/2)</f>
        <v>0.41470537246050299</v>
      </c>
      <c r="AH71" s="102">
        <f t="array" ref="AH71">IF($G71=0, INDEX(LS_previous!$D$4:$AY$137, MATCH('Staging Table'!$A71, LS_previous!$B$4:$B$137, 0), MATCH(AH$4&amp;AH$5, LS_previous!$D$2:$AY$2&amp;LS_previous!$D$3:$AY$3, 0)),SUM(VLOOKUP($A71, LS_previous!$B$4:$AY$137, LS_previous!Z$148, FALSE), VLOOKUP('Staging Table'!$A71, LS_previous!$B$4:$AY$137,LS_previous!AX$148, FALSE))/2)</f>
        <v>1270.8870571863999</v>
      </c>
      <c r="AI71" s="102">
        <f t="array" ref="AI71">IF($G71=0, INDEX(LS_previous!$D$4:$AY$137, MATCH('Staging Table'!$A71, LS_previous!$B$4:$B$137, 0), MATCH(AI$4&amp;AI$5, LS_previous!$D$2:$AY$2&amp;LS_previous!$D$3:$AY$3, 0)),SUM(VLOOKUP($A71, LS_previous!$B$4:$AY$137, LS_previous!AA$148, FALSE), VLOOKUP('Staging Table'!$A71, LS_previous!$B$4:$AY$137,LS_previous!AY$148, FALSE))/2)</f>
        <v>238.42283117440047</v>
      </c>
      <c r="AJ71" s="103">
        <f t="array" ref="AJ71">INDEX(Demand_previous!$D$4:$AY$137, MATCH('Staging Table'!$A71, Demand_previous!$B$4:$B$137, 0), MATCH(AJ$4&amp;AJ$5,Demand_previous!$D$2:$AY$2&amp;Demand_previous!$D$3:$AY$3, 0))/1000</f>
        <v>3.6165144230769228</v>
      </c>
      <c r="AK71" s="103">
        <f t="array" ref="AK71">INDEX(Demand_previous!$D$4:$AY$137, MATCH('Staging Table'!$A71, Demand_previous!$B$4:$B$137, 0), MATCH(AK$4&amp;AK$5,Demand_previous!$D$2:$AY$2&amp;Demand_previous!$D$3:$AY$3, 0))/1000</f>
        <v>3.6012599999999995</v>
      </c>
      <c r="AL71" s="103">
        <f t="array" ref="AL71">INDEX(Demand_previous!$D$4:$AY$137, MATCH('Staging Table'!$A71, Demand_previous!$B$4:$B$137, 0), MATCH(AL$4&amp;AL$5,Demand_previous!$D$2:$AY$2&amp;Demand_previous!$D$3:$AY$3, 0))/1000</f>
        <v>1.400567499999998</v>
      </c>
      <c r="AM71" s="103">
        <f t="array" ref="AM71">INDEX(Demand_previous!$D$4:$AY$137, MATCH('Staging Table'!$A71, Demand_previous!$B$4:$B$137, 0), MATCH(AM$4&amp;AM$5,Demand_previous!$D$2:$AY$2&amp;Demand_previous!$D$3:$AY$3, 0))/1000</f>
        <v>0</v>
      </c>
      <c r="AN71" s="103">
        <f t="array" ref="AN71">INDEX(Demand_previous!$D$4:$AY$137, MATCH('Staging Table'!$A71, Demand_previous!$B$4:$B$137, 0), MATCH(AN$4&amp;AN$5,Demand_previous!$D$2:$AY$2&amp;Demand_previous!$D$3:$AY$3, 0))/1000</f>
        <v>5.9372125000000038</v>
      </c>
      <c r="AO71" s="103">
        <f t="array" ref="AO71">INDEX(Demand_previous!$D$4:$AY$137, MATCH('Staging Table'!$A71, Demand_previous!$B$4:$B$137, 0), MATCH(AO$4&amp;AO$5,Demand_previous!$D$2:$AY$2&amp;Demand_previous!$D$3:$AY$3, 0))/1000</f>
        <v>4.889009615384615</v>
      </c>
      <c r="AP71" s="103">
        <f t="array" ref="AP71">INDEX(Demand_previous!$D$4:$AY$137, MATCH('Staging Table'!$A71, Demand_previous!$B$4:$B$137, 0), MATCH(AP$4&amp;AP$5,Demand_previous!$D$2:$AY$2&amp;Demand_previous!$D$3:$AY$3, 0))/1000</f>
        <v>0.62363942307692533</v>
      </c>
      <c r="AQ71" s="103">
        <f t="array" ref="AQ71">INDEX(Demand_previous!$D$4:$AY$137, MATCH('Staging Table'!$A71, Demand_previous!$B$4:$B$137, 0), MATCH(AQ$4&amp;AQ$5,Demand_previous!$D$2:$AY$2&amp;Demand_previous!$D$3:$AY$3, 0))/1000</f>
        <v>0.99033413461538444</v>
      </c>
      <c r="AR71" s="103">
        <f t="array" ref="AR71">INDEX(Demand_previous!$D$4:$AY$137, MATCH('Staging Table'!$A71, Demand_previous!$B$4:$B$137, 0), MATCH(AR$4&amp;AR$5,Demand_previous!$D$2:$AY$2&amp;Demand_previous!$D$3:$AY$3, 0))/1000</f>
        <v>1.3792575000000002</v>
      </c>
      <c r="AS71" s="103">
        <f t="array" ref="AS71">INDEX(Demand_previous!$D$4:$AY$137, MATCH('Staging Table'!$A71, Demand_previous!$B$4:$B$137, 0), MATCH(AS$4&amp;AS$5,Demand_previous!$D$2:$AY$2&amp;Demand_previous!$D$3:$AY$3, 0))/1000</f>
        <v>2.5148509615384644</v>
      </c>
      <c r="AT71" s="103">
        <f t="array" ref="AT71">INDEX(Demand_previous!$D$4:$AY$137, MATCH('Staging Table'!$A71, Demand_previous!$B$4:$B$137, 0), MATCH(AT$4&amp;AT$5,Demand_previous!$D$2:$AY$2&amp;Demand_previous!$D$3:$AY$3, 0))/1000</f>
        <v>3.48441435185185</v>
      </c>
      <c r="AU71" s="103">
        <f t="array" ref="AU71">INDEX(Demand_previous!$D$4:$AY$137, MATCH('Staging Table'!$A71, Demand_previous!$B$4:$B$137, 0), MATCH(AU$4&amp;AU$5,Demand_previous!$D$2:$AY$2&amp;Demand_previous!$D$3:$AY$3, 0))/1000</f>
        <v>2.6344166666666649</v>
      </c>
      <c r="AV71" s="102">
        <f>$F71*(VLOOKUP(AV$4, Rates_previous!$G$6:$Q$29, 10, FALSE)+VLOOKUP(AV$4, Rates_previous!$G$6:$Q$29, 11, FALSE))</f>
        <v>8000.5394533086001</v>
      </c>
      <c r="AW71" s="102">
        <f>$F71*(VLOOKUP(AW$4, Rates_previous!$G$6:$Q$29, 10, FALSE)+VLOOKUP(AW$4, Rates_previous!$G$6:$Q$29, 11, FALSE))</f>
        <v>10203.326004647601</v>
      </c>
      <c r="AX71" s="102">
        <f>$F71*(VLOOKUP(AX$4, Rates_previous!$G$6:$Q$29, 10, FALSE)+VLOOKUP(AX$4, Rates_previous!$G$6:$Q$29, 11, FALSE))</f>
        <v>11011.407600534001</v>
      </c>
      <c r="AY71" s="102">
        <f>$F71*(VLOOKUP(AY$4, Rates_previous!$G$6:$Q$29, 10, FALSE)+VLOOKUP(AY$4, Rates_previous!$G$6:$Q$29, 11, FALSE))</f>
        <v>11442.554726521599</v>
      </c>
      <c r="AZ71" s="102">
        <f>$F71*(VLOOKUP(AZ$4, Rates_previous!$G$6:$Q$29, 10, FALSE)+VLOOKUP(AZ$4, Rates_previous!$G$6:$Q$29, 11, FALSE))</f>
        <v>9842.1222599831981</v>
      </c>
      <c r="BA71" s="102">
        <f>$F71*(VLOOKUP(BA$4, Rates_previous!$G$6:$Q$29, 10, FALSE)+VLOOKUP(BA$4, Rates_previous!$G$6:$Q$29, 11, FALSE))</f>
        <v>10745.648865692399</v>
      </c>
      <c r="BB71" s="102">
        <f>$F71*(VLOOKUP(BB$4, Rates_previous!$G$6:$Q$29, 10, FALSE)+VLOOKUP(BB$4, Rates_previous!$G$6:$Q$29, 11, FALSE))</f>
        <v>8481.8789181136981</v>
      </c>
      <c r="BC71" s="102">
        <f>$F71*(VLOOKUP(BC$4, Rates_previous!$G$6:$Q$29, 10, FALSE)+VLOOKUP(BC$4, Rates_previous!$G$6:$Q$29, 11, FALSE))</f>
        <v>10522.907422726599</v>
      </c>
      <c r="BD71" s="102">
        <f>$F71*(VLOOKUP(BD$4, Rates_previous!$G$6:$Q$29, 10, FALSE)+VLOOKUP(BD$4, Rates_previous!$G$6:$Q$29, 11, FALSE))</f>
        <v>10751.228244220199</v>
      </c>
      <c r="BE71" s="102">
        <f>$F71*(VLOOKUP(BE$4, Rates_previous!$G$6:$Q$29, 10, FALSE)+VLOOKUP(BE$4, Rates_previous!$G$6:$Q$29, 11, FALSE))</f>
        <v>9333.6150280406</v>
      </c>
      <c r="BF71" s="102">
        <f>$F71*(VLOOKUP(BF$4, Rates_previous!$G$6:$Q$29, 10, FALSE)+VLOOKUP(BF$4, Rates_previous!$G$6:$Q$29, 11, FALSE))</f>
        <v>9023.1247758601403</v>
      </c>
      <c r="BG71" s="102">
        <f>$F71*(VLOOKUP(BG$4, Rates_previous!$G$6:$Q$29, 10, FALSE)+VLOOKUP(BG$4, Rates_previous!$G$6:$Q$29, 11, FALSE))</f>
        <v>8303.0221116392004</v>
      </c>
      <c r="BH71" s="103">
        <f>IF($D71=0,IF(C71=0, MAX(BJ71 - (VLOOKUP($A71,TOCA_previous!$A$2:$AJ$136,MATCH("RHWM "&amp;Init!$D$1-2,TOCA_previous!$A$2:$AJ$2,0),FALSE)*$F$2*TOCA_previous!C68),0),0), 0)</f>
        <v>1.8825393361621536</v>
      </c>
      <c r="BI71" s="109">
        <f>MIN(VLOOKUP($A71,TOCA_previous!$A$2:$AJ$136,MATCH("TRL - NLSL - Existing Resource "&amp;$F$1,TOCA_previous!$A$2:$AJ$2,0),FALSE)*$F$2,(VLOOKUP($A71,TOCA_previous!$A$2:$AJ$136,MATCH("RHWM "&amp;Init!$D$1-2,TOCA_previous!$A$2:$AJ$2,0),FALSE)*$F$2))</f>
        <v>115061.61599999999</v>
      </c>
      <c r="BJ71" s="261">
        <f>SUM(L71:AI71)+(F71*RT1SC!$C$3*$F$2)</f>
        <v>115063.49853933616</v>
      </c>
      <c r="BK71" s="260">
        <f>VLOOKUP($A71,TOCA_previous!$A$2:$AJ$136,MATCH("Above RHWM Not Served with LS "&amp;$F$1,TOCA_previous!$A$2:$AJ$2,0),FALSE)*$F$2</f>
        <v>20984.975999999999</v>
      </c>
      <c r="BL71" s="261">
        <f t="shared" ref="BL71:BL134" si="36">BJ71-BI71</f>
        <v>1.8825393361621536</v>
      </c>
      <c r="BM71" s="260">
        <f>(VLOOKUP($A71,TOCA_previous!$A$2:$AJ$136,MATCH("RHWM "&amp;Init!$D$1-2,TOCA_previous!$A$2:$AJ$2,0),FALSE)*$F$2) - $BI71</f>
        <v>0</v>
      </c>
      <c r="BN71" s="261">
        <f t="shared" ref="BN71:BN134" si="37">IF(BL71&gt;0,IF(BM71&gt;0,(-1)*MIN(BL71,BM71),0),0)</f>
        <v>0</v>
      </c>
      <c r="BO71" s="260">
        <f t="shared" ref="BO71:BO134" si="38">IF(BL71&lt;0,IF(BK71&lt;ABS(BL71),MAX(0,ABS($BL71)-(BK71)),0),0)</f>
        <v>0</v>
      </c>
      <c r="BP71" s="261">
        <f t="shared" ref="BP71:BP134" si="39">IF(AND(BK71&gt;0,BM71&gt;0),IF(AND(BL71&lt;=0,ABS(BL71)&lt;BK71),(-1)*MIN(BK71,BK71-ABS(BL71),BM71),IF(AND(BL71&gt;0,BL71&lt;BM71),(-1)*MIN(BK71,BM71-BL71),0)),0)</f>
        <v>0</v>
      </c>
      <c r="BQ71" s="260">
        <f t="shared" si="9"/>
        <v>0</v>
      </c>
      <c r="BR71" s="85">
        <f>VLOOKUP($A71,TOCA_current!$A$2:$ZZ$136,MATCH(BR$4,TOCA_current!$A$2:$ZZ$2,0),FALSE)</f>
        <v>1.853E-3</v>
      </c>
      <c r="BS71" s="85">
        <f>VLOOKUP($A71,TOCA_current!$A$2:$ZZ$136,MATCH(BS$4,TOCA_current!$A$2:$ZZ$2,0),FALSE)</f>
        <v>1.853E-3</v>
      </c>
      <c r="BT71" s="108">
        <f t="shared" ref="BT71:BT134" si="40">BR71-BS71</f>
        <v>0</v>
      </c>
      <c r="BU71" s="85">
        <f>VLOOKUP($A71,TOCA_current!A68:BG202,MATCH(BU$4,TOCA_current!$A$2:$BG$2,0),FALSE)</f>
        <v>0</v>
      </c>
      <c r="BV71" s="85">
        <f t="shared" ref="BV71:BV134" si="41">IF(C71=0,0,BU71)</f>
        <v>0</v>
      </c>
      <c r="BW71" s="85">
        <f t="shared" ref="BW71:BW134" si="42">IF(C71=0,0,BR71)</f>
        <v>0</v>
      </c>
      <c r="BX71" s="101">
        <f>VLOOKUP($A71,IRD!$A$4:$G$138, 7, FALSE)</f>
        <v>0</v>
      </c>
      <c r="BY71" s="102">
        <f t="array" ref="BY71">IF($BT71=0, INDEX(LS_current!$D$4:$BW$137, MATCH('Staging Table'!$A71, LS_current!$B$4:$B$137, 0), MATCH(BY$4&amp;BY$5, LS_current!$D$2:$BW$2&amp;LS_current!$D$3:$BW$3, 0)),SUM(VLOOKUP($A71, LS_current!$B$4:$BW$137, LS_current!D$147, FALSE), VLOOKUP($A71, LS_current!$B$4:$BW$137,LS_current!AZ$147, FALSE))/2)</f>
        <v>1538.2648161263314</v>
      </c>
      <c r="BZ71" s="102">
        <f t="array" ref="BZ71">IF($BT71=0, INDEX(LS_current!$D$4:$BW$137, MATCH('Staging Table'!$A71, LS_current!$B$4:$B$137, 0), MATCH(BZ$4&amp;BZ$5, LS_current!$D$2:$BW$2&amp;LS_current!$D$3:$BW$3, 0)),SUM(VLOOKUP($A71, LS_current!$B$4:$BW$137, LS_current!E$147, FALSE), VLOOKUP($A71, LS_current!$B$4:$BW$137,LS_current!BA$147, FALSE))/2)</f>
        <v>489.33724499443406</v>
      </c>
      <c r="CA71" s="102">
        <f t="array" ref="CA71">IF($BT71=0, INDEX(LS_current!$D$4:$BW$137, MATCH('Staging Table'!$A71, LS_current!$B$4:$B$137, 0), MATCH(CA$4&amp;CA$5, LS_current!$D$2:$BW$2&amp;LS_current!$D$3:$BW$3, 0)),SUM(VLOOKUP($A71, LS_current!$B$4:$BW$137, LS_current!F$147, FALSE), VLOOKUP($A71, LS_current!$B$4:$BW$137,LS_current!BB$147, FALSE))/2)</f>
        <v>425.23267315952035</v>
      </c>
      <c r="CB71" s="102">
        <f t="array" ref="CB71">IF($BT71=0, INDEX(LS_current!$D$4:$BW$137, MATCH('Staging Table'!$A71, LS_current!$B$4:$B$137, 0), MATCH(CB$4&amp;CB$5, LS_current!$D$2:$BW$2&amp;LS_current!$D$3:$BW$3, 0)),SUM(VLOOKUP($A71, LS_current!$B$4:$BW$137, LS_current!G$147, FALSE), VLOOKUP($A71, LS_current!$B$4:$BW$137,LS_current!BC$147, FALSE))/2)</f>
        <v>524.88399927305318</v>
      </c>
      <c r="CC71" s="102">
        <f t="array" ref="CC71">IF($BT71=0, INDEX(LS_current!$D$4:$BW$137, MATCH('Staging Table'!$A71, LS_current!$B$4:$B$137, 0), MATCH(CC$4&amp;CC$5, LS_current!$D$2:$BW$2&amp;LS_current!$D$3:$BW$3, 0)),SUM(VLOOKUP($A71, LS_current!$B$4:$BW$137, LS_current!H$147, FALSE), VLOOKUP($A71, LS_current!$B$4:$BW$137,LS_current!BD$147, FALSE))/2)</f>
        <v>516.29802991276301</v>
      </c>
      <c r="CD71" s="102">
        <f t="array" ref="CD71">IF($BT71=0, INDEX(LS_current!$D$4:$BW$137, MATCH('Staging Table'!$A71, LS_current!$B$4:$B$137, 0), MATCH(CD$4&amp;CD$5, LS_current!$D$2:$BW$2&amp;LS_current!$D$3:$BW$3, 0)),SUM(VLOOKUP($A71, LS_current!$B$4:$BW$137, LS_current!I$147, FALSE), VLOOKUP($A71, LS_current!$B$4:$BW$137,LS_current!BE$147, FALSE))/2)</f>
        <v>787.18794562261246</v>
      </c>
      <c r="CE71" s="102">
        <f t="array" ref="CE71">IF($BT71=0, INDEX(LS_current!$D$4:$BW$137, MATCH('Staging Table'!$A71, LS_current!$B$4:$B$137, 0), MATCH(CE$4&amp;CE$5, LS_current!$D$2:$BW$2&amp;LS_current!$D$3:$BW$3, 0)),SUM(VLOOKUP($A71, LS_current!$B$4:$BW$137, LS_current!J$147, FALSE), VLOOKUP($A71, LS_current!$B$4:$BW$137,LS_current!BF$147, FALSE))/2)</f>
        <v>705.0735676830991</v>
      </c>
      <c r="CF71" s="102">
        <f t="array" ref="CF71">IF($BT71=0, INDEX(LS_current!$D$4:$BW$137, MATCH('Staging Table'!$A71, LS_current!$B$4:$B$137, 0), MATCH(CF$4&amp;CF$5, LS_current!$D$2:$BW$2&amp;LS_current!$D$3:$BW$3, 0)),SUM(VLOOKUP($A71, LS_current!$B$4:$BW$137, LS_current!K$147, FALSE), VLOOKUP($A71, LS_current!$B$4:$BW$137,LS_current!BG$147, FALSE))/2)</f>
        <v>734.29212406305669</v>
      </c>
      <c r="CG71" s="102">
        <f t="array" ref="CG71">IF($BT71=0, INDEX(LS_current!$D$4:$BW$137, MATCH('Staging Table'!$A71, LS_current!$B$4:$B$137, 0), MATCH(CG$4&amp;CG$5, LS_current!$D$2:$BW$2&amp;LS_current!$D$3:$BW$3, 0)),SUM(VLOOKUP($A71, LS_current!$B$4:$BW$137, LS_current!L$147, FALSE), VLOOKUP($A71, LS_current!$B$4:$BW$137,LS_current!BH$147, FALSE))/2)</f>
        <v>891.2084858264534</v>
      </c>
      <c r="CH71" s="102">
        <f t="array" ref="CH71">IF($BT71=0, INDEX(LS_current!$D$4:$BW$137, MATCH('Staging Table'!$A71, LS_current!$B$4:$B$137, 0), MATCH(CH$4&amp;CH$5, LS_current!$D$2:$BW$2&amp;LS_current!$D$3:$BW$3, 0)),SUM(VLOOKUP($A71, LS_current!$B$4:$BW$137, LS_current!M$147, FALSE), VLOOKUP($A71, LS_current!$B$4:$BW$137,LS_current!BI$147, FALSE))/2)</f>
        <v>661.47190979593734</v>
      </c>
      <c r="CI71" s="102">
        <f t="array" ref="CI71">IF($BT71=0, INDEX(LS_current!$D$4:$BW$137, MATCH('Staging Table'!$A71, LS_current!$B$4:$B$137, 0), MATCH(CI$4&amp;CI$5, LS_current!$D$2:$BW$2&amp;LS_current!$D$3:$BW$3, 0)),SUM(VLOOKUP($A71, LS_current!$B$4:$BW$137, LS_current!N$147, FALSE), VLOOKUP($A71, LS_current!$B$4:$BW$137,LS_current!BJ$147, FALSE))/2)</f>
        <v>-443.55967391324521</v>
      </c>
      <c r="CJ71" s="102">
        <f t="array" ref="CJ71">IF($BT71=0, INDEX(LS_current!$D$4:$BW$137, MATCH('Staging Table'!$A71, LS_current!$B$4:$B$137, 0), MATCH(CJ$4&amp;CJ$5, LS_current!$D$2:$BW$2&amp;LS_current!$D$3:$BW$3, 0)),SUM(VLOOKUP($A71, LS_current!$B$4:$BW$137, LS_current!O$147, FALSE), VLOOKUP($A71, LS_current!$B$4:$BW$137,LS_current!BK$147, FALSE))/2)</f>
        <v>225.50868282438842</v>
      </c>
      <c r="CK71" s="102">
        <f t="array" ref="CK71">IF($BT71=0, INDEX(LS_current!$D$4:$BW$137, MATCH('Staging Table'!$A71, LS_current!$B$4:$B$137, 0), MATCH(CK$4&amp;CK$5, LS_current!$D$2:$BW$2&amp;LS_current!$D$3:$BW$3, 0)),SUM(VLOOKUP($A71, LS_current!$B$4:$BW$137, LS_current!P$147, FALSE), VLOOKUP($A71, LS_current!$B$4:$BW$137,LS_current!BL$147, FALSE))/2)</f>
        <v>497.36726843844372</v>
      </c>
      <c r="CL71" s="102">
        <f t="array" ref="CL71">IF($BT71=0, INDEX(LS_current!$D$4:$BW$137, MATCH('Staging Table'!$A71, LS_current!$B$4:$B$137, 0), MATCH(CL$4&amp;CL$5, LS_current!$D$2:$BW$2&amp;LS_current!$D$3:$BW$3, 0)),SUM(VLOOKUP($A71, LS_current!$B$4:$BW$137, LS_current!Q$147, FALSE), VLOOKUP($A71, LS_current!$B$4:$BW$137,LS_current!BM$147, FALSE))/2)</f>
        <v>-121.1056900069716</v>
      </c>
      <c r="CM71" s="102">
        <f t="array" ref="CM71">IF($BT71=0, INDEX(LS_current!$D$4:$BW$137, MATCH('Staging Table'!$A71, LS_current!$B$4:$B$137, 0), MATCH(CM$4&amp;CM$5, LS_current!$D$2:$BW$2&amp;LS_current!$D$3:$BW$3, 0)),SUM(VLOOKUP($A71, LS_current!$B$4:$BW$137, LS_current!R$147, FALSE), VLOOKUP($A71, LS_current!$B$4:$BW$137,LS_current!BN$147, FALSE))/2)</f>
        <v>-1790.1175227357817</v>
      </c>
      <c r="CN71" s="102">
        <f t="array" ref="CN71">IF($BT71=0, INDEX(LS_current!$D$4:$BW$137, MATCH('Staging Table'!$A71, LS_current!$B$4:$B$137, 0), MATCH(CN$4&amp;CN$5, LS_current!$D$2:$BW$2&amp;LS_current!$D$3:$BW$3, 0)),SUM(VLOOKUP($A71, LS_current!$B$4:$BW$137, LS_current!S$147, FALSE), VLOOKUP($A71, LS_current!$B$4:$BW$137,LS_current!BO$147, FALSE))/2)</f>
        <v>-1429.5160887532911</v>
      </c>
      <c r="CO71" s="102">
        <f t="array" ref="CO71">IF($BT71=0, INDEX(LS_current!$D$4:$BW$137, MATCH('Staging Table'!$A71, LS_current!$B$4:$B$137, 0), MATCH(CO$4&amp;CO$5, LS_current!$D$2:$BW$2&amp;LS_current!$D$3:$BW$3, 0)),SUM(VLOOKUP($A71, LS_current!$B$4:$BW$137, LS_current!T$147, FALSE), VLOOKUP($A71, LS_current!$B$4:$BW$137,LS_current!BP$147, FALSE))/2)</f>
        <v>-2286.0968912030721</v>
      </c>
      <c r="CP71" s="102">
        <f t="array" ref="CP71">IF($BT71=0, INDEX(LS_current!$D$4:$BW$137, MATCH('Staging Table'!$A71, LS_current!$B$4:$B$137, 0), MATCH(CP$4&amp;CP$5, LS_current!$D$2:$BW$2&amp;LS_current!$D$3:$BW$3, 0)),SUM(VLOOKUP($A71, LS_current!$B$4:$BW$137, LS_current!U$147, FALSE), VLOOKUP($A71, LS_current!$B$4:$BW$137,LS_current!BQ$147, FALSE))/2)</f>
        <v>-1418.5245952961855</v>
      </c>
      <c r="CQ71" s="102">
        <f t="array" ref="CQ71">IF($BT71=0, INDEX(LS_current!$D$4:$BW$137, MATCH('Staging Table'!$A71, LS_current!$B$4:$B$137, 0), MATCH(CQ$4&amp;CQ$5, LS_current!$D$2:$BW$2&amp;LS_current!$D$3:$BW$3, 0)),SUM(VLOOKUP($A71, LS_current!$B$4:$BW$137, LS_current!V$147, FALSE), VLOOKUP($A71, LS_current!$B$4:$BW$137,LS_current!BR$147, FALSE))/2)</f>
        <v>-1353.2737300543586</v>
      </c>
      <c r="CR71" s="102">
        <f t="array" ref="CR71">IF($BT71=0, INDEX(LS_current!$D$4:$BW$137, MATCH('Staging Table'!$A71, LS_current!$B$4:$B$137, 0), MATCH(CR$4&amp;CR$5, LS_current!$D$2:$BW$2&amp;LS_current!$D$3:$BW$3, 0)),SUM(VLOOKUP($A71, LS_current!$B$4:$BW$137, LS_current!W$147, FALSE), VLOOKUP($A71, LS_current!$B$4:$BW$137,LS_current!BS$147, FALSE))/2)</f>
        <v>-1045.1126919698495</v>
      </c>
      <c r="CS71" s="102">
        <f t="array" ref="CS71">IF($BT71=0, INDEX(LS_current!$D$4:$BW$137, MATCH('Staging Table'!$A71, LS_current!$B$4:$B$137, 0), MATCH(CS$4&amp;CS$5, LS_current!$D$2:$BW$2&amp;LS_current!$D$3:$BW$3, 0)),SUM(VLOOKUP($A71, LS_current!$B$4:$BW$137, LS_current!X$147, FALSE), VLOOKUP($A71, LS_current!$B$4:$BW$137,LS_current!BT$147, FALSE))/2)</f>
        <v>-533.31077729126173</v>
      </c>
      <c r="CT71" s="102">
        <f t="array" ref="CT71">IF($BT71=0, INDEX(LS_current!$D$4:$BW$137, MATCH('Staging Table'!$A71, LS_current!$B$4:$B$137, 0), MATCH(CT$4&amp;CT$5, LS_current!$D$2:$BW$2&amp;LS_current!$D$3:$BW$3, 0)),SUM(VLOOKUP($A71, LS_current!$B$4:$BW$137, LS_current!Y$147, FALSE), VLOOKUP($A71, LS_current!$B$4:$BW$137,LS_current!BU$147, FALSE))/2)</f>
        <v>49.67436091618174</v>
      </c>
      <c r="CU71" s="102">
        <f t="array" ref="CU71">IF($BT71=0, INDEX(LS_current!$D$4:$BW$137, MATCH('Staging Table'!$A71, LS_current!$B$4:$B$137, 0), MATCH(CU$4&amp;CU$5, LS_current!$D$2:$BW$2&amp;LS_current!$D$3:$BW$3, 0)),SUM(VLOOKUP($A71, LS_current!$B$4:$BW$137, LS_current!Z$147, FALSE), VLOOKUP($A71, LS_current!$B$4:$BW$137,LS_current!BV$147, FALSE))/2)</f>
        <v>1558.8785569154579</v>
      </c>
      <c r="CV71" s="102">
        <f t="array" ref="CV71">IF($BT71=0, INDEX(LS_current!$D$4:$BW$137, MATCH('Staging Table'!$A71, LS_current!$B$4:$B$137, 0), MATCH(CV$4&amp;CV$5, LS_current!$D$2:$BW$2&amp;LS_current!$D$3:$BW$3, 0)),SUM(VLOOKUP($A71, LS_current!$B$4:$BW$137, LS_current!AA$147, FALSE), VLOOKUP($A71, LS_current!$B$4:$BW$137,LS_current!BW$147, FALSE))/2)</f>
        <v>812.86006939810568</v>
      </c>
      <c r="CW71" s="103">
        <f t="array" ref="CW71">INDEX(Demand_current!$D$4:$BW$137, MATCH($A71, Demand_current!$B$4:$B$137, 0), MATCH(CW$4&amp;CW$5,Demand_current!$D$2:$BW$2&amp;Demand_current!$D$3:$BW$3, 0))/1000</f>
        <v>4.2707546296296304</v>
      </c>
      <c r="CX71" s="103">
        <f t="array" ref="CX71">INDEX(Demand_current!$D$4:$BW$137, MATCH($A71, Demand_current!$B$4:$B$137, 0), MATCH(CX$4&amp;CX$5,Demand_current!$D$2:$BW$2&amp;Demand_current!$D$3:$BW$3, 0))/1000</f>
        <v>2.8439374999999987</v>
      </c>
      <c r="CY71" s="103">
        <f t="array" ref="CY71">INDEX(Demand_current!$D$4:$BW$137, MATCH($A71, Demand_current!$B$4:$B$137, 0), MATCH(CY$4&amp;CY$5,Demand_current!$D$2:$BW$2&amp;Demand_current!$D$3:$BW$3, 0))/1000</f>
        <v>2.2334687500000006</v>
      </c>
      <c r="CZ71" s="103">
        <f t="array" ref="CZ71">INDEX(Demand_current!$D$4:$BW$137, MATCH($A71, Demand_current!$B$4:$B$137, 0), MATCH(CZ$4&amp;CZ$5,Demand_current!$D$2:$BW$2&amp;Demand_current!$D$3:$BW$3, 0))/1000</f>
        <v>0</v>
      </c>
      <c r="DA71" s="103">
        <f t="array" ref="DA71">INDEX(Demand_current!$D$4:$BW$137, MATCH($A71, Demand_current!$B$4:$B$137, 0), MATCH(DA$4&amp;DA$5,Demand_current!$D$2:$BW$2&amp;Demand_current!$D$3:$BW$3, 0))/1000</f>
        <v>5.1270963541666701</v>
      </c>
      <c r="DB71" s="103">
        <f t="array" ref="DB71">INDEX(Demand_current!$D$4:$BW$137, MATCH($A71, Demand_current!$B$4:$B$137, 0), MATCH(DB$4&amp;DB$5,Demand_current!$D$2:$BW$2&amp;Demand_current!$D$3:$BW$3, 0))/1000</f>
        <v>4.889009615384615</v>
      </c>
      <c r="DC71" s="103">
        <f t="array" ref="DC71">INDEX(Demand_current!$D$4:$BW$137, MATCH($A71, Demand_current!$B$4:$B$137, 0), MATCH(DC$4&amp;DC$5,Demand_current!$D$2:$BW$2&amp;Demand_current!$D$3:$BW$3, 0))/1000</f>
        <v>0.62363942307692533</v>
      </c>
      <c r="DD71" s="103">
        <f t="array" ref="DD71">INDEX(Demand_current!$D$4:$BW$137, MATCH($A71, Demand_current!$B$4:$B$137, 0), MATCH(DD$4&amp;DD$5,Demand_current!$D$2:$BW$2&amp;Demand_current!$D$3:$BW$3, 0))/1000</f>
        <v>0.47178749999999958</v>
      </c>
      <c r="DE71" s="103">
        <f t="array" ref="DE71">INDEX(Demand_current!$D$4:$BW$137, MATCH($A71, Demand_current!$B$4:$B$137, 0), MATCH(DE$4&amp;DE$5,Demand_current!$D$2:$BW$2&amp;Demand_current!$D$3:$BW$3, 0))/1000</f>
        <v>1.9133245192307722</v>
      </c>
      <c r="DF71" s="103">
        <f t="array" ref="DF71">INDEX(Demand_current!$D$4:$BW$137, MATCH($A71, Demand_current!$B$4:$B$137, 0), MATCH(DF$4&amp;DF$5,Demand_current!$D$2:$BW$2&amp;Demand_current!$D$3:$BW$3, 0))/1000</f>
        <v>2.5148509615384644</v>
      </c>
      <c r="DG71" s="103">
        <f t="array" ref="DG71">INDEX(Demand_current!$D$4:$BW$137, MATCH($A71, Demand_current!$B$4:$B$137, 0), MATCH(DG$4&amp;DG$5,Demand_current!$D$2:$BW$2&amp;Demand_current!$D$3:$BW$3, 0))/1000</f>
        <v>2.8758533653846143</v>
      </c>
      <c r="DH71" s="103">
        <f t="array" ref="DH71">INDEX(Demand_current!$D$4:$BW$137, MATCH($A71, Demand_current!$B$4:$B$137, 0), MATCH(DH$4&amp;DH$5,Demand_current!$D$2:$BW$2&amp;Demand_current!$D$3:$BW$3, 0))/1000</f>
        <v>3.378919999999999</v>
      </c>
      <c r="DI71" s="102">
        <f>$BS71*(VLOOKUP(DI$4, Rates_current!$H$6:$R$41, 10, FALSE)+VLOOKUP(DI$4, Rates_current!$H$6:$R$41, 11, FALSE))</f>
        <v>7690.482938879235</v>
      </c>
      <c r="DJ71" s="102">
        <f>$BS71*(VLOOKUP(DJ$4, Rates_current!$H$6:$R$41, 10, FALSE)+VLOOKUP(DJ$4, Rates_current!$H$6:$R$41, 11, FALSE))</f>
        <v>9832.0293275674285</v>
      </c>
      <c r="DK71" s="102">
        <f>$BS71*(VLOOKUP(DK$4, Rates_current!$H$6:$R$41, 10, FALSE)+VLOOKUP(DK$4, Rates_current!$H$6:$R$41, 11, FALSE))</f>
        <v>11178.195024464623</v>
      </c>
      <c r="DL71" s="102">
        <f>$BS71*(VLOOKUP(DL$4, Rates_current!$H$6:$R$41, 10, FALSE)+VLOOKUP(DL$4, Rates_current!$H$6:$R$41, 11, FALSE))</f>
        <v>11793.868308253843</v>
      </c>
      <c r="DM71" s="102">
        <f>$BS71*(VLOOKUP(DM$4, Rates_current!$H$6:$R$41, 10, FALSE)+VLOOKUP(DM$4, Rates_current!$H$6:$R$41, 11, FALSE))</f>
        <v>9398.6486043776113</v>
      </c>
      <c r="DN71" s="102">
        <f>$BS71*(VLOOKUP(DN$4, Rates_current!$H$6:$R$41, 10, FALSE)+VLOOKUP(DN$4, Rates_current!$H$6:$R$41, 11, FALSE))</f>
        <v>10274.652991088857</v>
      </c>
      <c r="DO71" s="102">
        <f>$BS71*(VLOOKUP(DO$4, Rates_current!$H$6:$R$41, 10, FALSE)+VLOOKUP(DO$4, Rates_current!$H$6:$R$41, 11, FALSE))</f>
        <v>7962.9594215685293</v>
      </c>
      <c r="DP71" s="102">
        <f>$BS71*(VLOOKUP(DP$4, Rates_current!$H$6:$R$41, 10, FALSE)+VLOOKUP(DP$4, Rates_current!$H$6:$R$41, 11, FALSE))</f>
        <v>10305.380611489072</v>
      </c>
      <c r="DQ71" s="102">
        <f>$BS71*(VLOOKUP(DQ$4, Rates_current!$H$6:$R$41, 10, FALSE)+VLOOKUP(DQ$4, Rates_current!$H$6:$R$41, 11, FALSE))</f>
        <v>10525.430486499257</v>
      </c>
      <c r="DR71" s="102">
        <f>$BS71*(VLOOKUP(DR$4, Rates_current!$H$6:$R$41, 10, FALSE)+VLOOKUP(DR$4, Rates_current!$H$6:$R$41, 11, FALSE))</f>
        <v>9368.5434220242078</v>
      </c>
      <c r="DS71" s="102">
        <f>$BS71*(VLOOKUP(DS$4, Rates_current!$H$6:$R$41, 10, FALSE)+VLOOKUP(DS$4, Rates_current!$H$6:$R$41, 11, FALSE))</f>
        <v>9610.4074163750811</v>
      </c>
      <c r="DT71" s="102">
        <f>$BS71*(VLOOKUP(DT$4, Rates_current!$H$6:$R$41, 10, FALSE)+VLOOKUP(DT$4, Rates_current!$H$6:$R$41, 11, FALSE))</f>
        <v>7463.6333736864372</v>
      </c>
      <c r="DU71" s="261">
        <f>IF(D71=0,IF(C71=0,MAX(0,DW71 - (VLOOKUP($A71,TOCA_current!$A$2:$AV$136,MATCH("RHWM "&amp;Init!$D$1,TOCA_current!$A$2:$AV$2,0),FALSE)*$BS$2)), 0),0)</f>
        <v>0</v>
      </c>
      <c r="DV71" s="262">
        <f>MIN(VLOOKUP($A71,TOCA_current!$A$2:$AV$136,MATCH("TRL - NLSL - Existing Resource "&amp;$BS$1,TOCA_current!$A$2:$AV$2,0),FALSE)*$BS$2, VLOOKUP($A71,TOCA_current!$A$2:$AV$136,MATCH("RHWM "&amp;Init!$D$1,TOCA_current!$A$2:$AV$2,0),FALSE)*$BS$2)</f>
        <v>115404.23999999999</v>
      </c>
      <c r="DW71" s="262">
        <f>SUM(BY71:CV71)+(BS71*RT1SC!$C$4*$BS$2)</f>
        <v>115401.16081228585</v>
      </c>
      <c r="DX71" s="262">
        <f>VLOOKUP($A71,TOCA_current!$A$2:$AV$136,MATCH("Above RHWM Not Served with LS "&amp;$BS$1,TOCA_current!$A$2:$AV$2,0),FALSE)*$BS$2</f>
        <v>20647.320000000003</v>
      </c>
      <c r="DY71" s="262">
        <f t="shared" ref="DY71:DY134" si="43">DW71-DV71</f>
        <v>-3.0791877141455188</v>
      </c>
      <c r="DZ71" s="262">
        <f>(VLOOKUP($A71,TOCA_current!$A$2:$AV$136,MATCH("RHWM "&amp;Init!$D$1,TOCA_current!$A$2:$AV$2,0),FALSE)*$BS$2) - $DV71</f>
        <v>0</v>
      </c>
      <c r="EA71" s="262">
        <f t="shared" ref="EA71:EA134" si="44">IF(DY71&gt;0,IF(DZ71&gt;0,(-1)*MIN(DY71,DZ71),0),0)</f>
        <v>0</v>
      </c>
      <c r="EB71" s="262">
        <f t="shared" ref="EB71:EB134" si="45">IF(DY71&lt;0,IF(DX71&lt;ABS(DY71),MAX(0,ABS($DY71)-(DX71)),0),0)</f>
        <v>0</v>
      </c>
      <c r="EC71" s="262">
        <f t="shared" ref="EC71:EC134" si="46">IF(AND(DX71&gt;0,DZ71&gt;0),IF(AND(DY71&lt;=0,ABS(DY71)&lt;DX71),(-1)*MIN(DX71,DX71-ABS(DY71),DZ71),IF(AND(DY71&gt;0,DY71&lt;DZ71),(-1)*MIN(DX71,DZ71-DY71),0)),0)</f>
        <v>0</v>
      </c>
      <c r="ED71" s="262">
        <f t="shared" ref="ED71:ED134" si="47">IF($D71=0,SUM(EA71:EC71),0)</f>
        <v>0</v>
      </c>
    </row>
    <row r="72" spans="1:134">
      <c r="A72" s="2">
        <v>10203</v>
      </c>
      <c r="B72" s="3" t="s">
        <v>74</v>
      </c>
      <c r="C72">
        <f>VLOOKUP(A72, TOCA_current!$A$3:$D$136, 4, FALSE)</f>
        <v>0</v>
      </c>
      <c r="D72">
        <v>0</v>
      </c>
      <c r="E72" s="84">
        <f>VLOOKUP($A72,TOCA_previous!$A$2:$AJ$136,MATCH(E$4,TOCA_previous!$A$2:$AJ$2,0),FALSE)</f>
        <v>8.9950000000000002E-4</v>
      </c>
      <c r="F72" s="85">
        <f>VLOOKUP($A72,TOCA_previous!$A$2:$AJ$136,MATCH(F$4,TOCA_previous!$A$2:$AJ$2,0),FALSE)</f>
        <v>8.9950000000000002E-4</v>
      </c>
      <c r="G72" s="85">
        <f t="shared" si="33"/>
        <v>0</v>
      </c>
      <c r="H72" s="85">
        <f>VLOOKUP($A72,TOCA_previous!$A$2:$AJ$136,MATCH(H$4,TOCA_previous!$A$2:$AJ$2,0),FALSE)</f>
        <v>7.5813616610333187E-2</v>
      </c>
      <c r="I72" s="85">
        <f t="shared" si="34"/>
        <v>0</v>
      </c>
      <c r="J72" s="85">
        <f t="shared" si="35"/>
        <v>0</v>
      </c>
      <c r="K72" s="101">
        <f>VLOOKUP(A72, IRD!$A$5:$C$138, 3, FALSE)</f>
        <v>0</v>
      </c>
      <c r="L72" s="102">
        <f t="array" ref="L72">IF($G72=0, INDEX(LS_previous!$D$4:$AY$137, MATCH('Staging Table'!$A72, LS_previous!$B$4:$B$137, 0), MATCH(L$4&amp;L$5, LS_previous!$D$2:$AY$2&amp;LS_previous!$D$3:$AY$3, 0)),SUM(VLOOKUP($A72, LS_previous!$B$4:$AY$137, LS_previous!D$148, FALSE), VLOOKUP('Staging Table'!$A72, LS_previous!$B$4:$AY$137,LS_previous!AB$148, FALSE))/2)</f>
        <v>1286.0065896179995</v>
      </c>
      <c r="M72" s="102">
        <f t="array" ref="M72">IF($G72=0, INDEX(LS_previous!$D$4:$AY$137, MATCH('Staging Table'!$A72, LS_previous!$B$4:$B$137, 0), MATCH(M$4&amp;M$5, LS_previous!$D$2:$AY$2&amp;LS_previous!$D$3:$AY$3, 0)),SUM(VLOOKUP($A72, LS_previous!$B$4:$AY$137, LS_previous!E$148, FALSE), VLOOKUP('Staging Table'!$A72, LS_previous!$B$4:$AY$137,LS_previous!AC$148, FALSE))/2)</f>
        <v>573.49842691275012</v>
      </c>
      <c r="N72" s="102">
        <f t="array" ref="N72">IF($G72=0, INDEX(LS_previous!$D$4:$AY$137, MATCH('Staging Table'!$A72, LS_previous!$B$4:$B$137, 0), MATCH(N$4&amp;N$5, LS_previous!$D$2:$AY$2&amp;LS_previous!$D$3:$AY$3, 0)),SUM(VLOOKUP($A72, LS_previous!$B$4:$AY$137, LS_previous!F$148, FALSE), VLOOKUP('Staging Table'!$A72, LS_previous!$B$4:$AY$137,LS_previous!AD$148, FALSE))/2)</f>
        <v>1159.1576484639995</v>
      </c>
      <c r="O72" s="102">
        <f t="array" ref="O72">IF($G72=0, INDEX(LS_previous!$D$4:$AY$137, MATCH('Staging Table'!$A72, LS_previous!$B$4:$B$137, 0), MATCH(O$4&amp;O$5, LS_previous!$D$2:$AY$2&amp;LS_previous!$D$3:$AY$3, 0)),SUM(VLOOKUP($A72, LS_previous!$B$4:$AY$137, LS_previous!G$148, FALSE), VLOOKUP('Staging Table'!$A72, LS_previous!$B$4:$AY$137,LS_previous!AE$148, FALSE))/2)</f>
        <v>1233.7611714155</v>
      </c>
      <c r="P72" s="102">
        <f t="array" ref="P72">IF($G72=0, INDEX(LS_previous!$D$4:$AY$137, MATCH('Staging Table'!$A72, LS_previous!$B$4:$B$137, 0), MATCH(P$4&amp;P$5, LS_previous!$D$2:$AY$2&amp;LS_previous!$D$3:$AY$3, 0)),SUM(VLOOKUP($A72, LS_previous!$B$4:$AY$137, LS_previous!H$148, FALSE), VLOOKUP('Staging Table'!$A72, LS_previous!$B$4:$AY$137,LS_previous!AF$148, FALSE))/2)</f>
        <v>2451.8310777694996</v>
      </c>
      <c r="Q72" s="102">
        <f t="array" ref="Q72">IF($G72=0, INDEX(LS_previous!$D$4:$AY$137, MATCH('Staging Table'!$A72, LS_previous!$B$4:$B$137, 0), MATCH(Q$4&amp;Q$5, LS_previous!$D$2:$AY$2&amp;LS_previous!$D$3:$AY$3, 0)),SUM(VLOOKUP($A72, LS_previous!$B$4:$AY$137, LS_previous!I$148, FALSE), VLOOKUP('Staging Table'!$A72, LS_previous!$B$4:$AY$137,LS_previous!AG$148, FALSE))/2)</f>
        <v>1757.0386704479997</v>
      </c>
      <c r="R72" s="102">
        <f t="array" ref="R72">IF($G72=0, INDEX(LS_previous!$D$4:$AY$137, MATCH('Staging Table'!$A72, LS_previous!$B$4:$B$137, 0), MATCH(R$4&amp;R$5, LS_previous!$D$2:$AY$2&amp;LS_previous!$D$3:$AY$3, 0)),SUM(VLOOKUP($A72, LS_previous!$B$4:$AY$137, LS_previous!J$148, FALSE), VLOOKUP('Staging Table'!$A72, LS_previous!$B$4:$AY$137,LS_previous!AH$148, FALSE))/2)</f>
        <v>2213.7673023574998</v>
      </c>
      <c r="S72" s="102">
        <f t="array" ref="S72">IF($G72=0, INDEX(LS_previous!$D$4:$AY$137, MATCH('Staging Table'!$A72, LS_previous!$B$4:$B$137, 0), MATCH(S$4&amp;S$5, LS_previous!$D$2:$AY$2&amp;LS_previous!$D$3:$AY$3, 0)),SUM(VLOOKUP($A72, LS_previous!$B$4:$AY$137, LS_previous!K$148, FALSE), VLOOKUP('Staging Table'!$A72, LS_previous!$B$4:$AY$137,LS_previous!AI$148, FALSE))/2)</f>
        <v>1795.5348429145001</v>
      </c>
      <c r="T72" s="102">
        <f t="array" ref="T72">IF($G72=0, INDEX(LS_previous!$D$4:$AY$137, MATCH('Staging Table'!$A72, LS_previous!$B$4:$B$137, 0), MATCH(T$4&amp;T$5, LS_previous!$D$2:$AY$2&amp;LS_previous!$D$3:$AY$3, 0)),SUM(VLOOKUP($A72, LS_previous!$B$4:$AY$137, LS_previous!L$148, FALSE), VLOOKUP('Staging Table'!$A72, LS_previous!$B$4:$AY$137,LS_previous!AJ$148, FALSE))/2)</f>
        <v>1358.8047068394999</v>
      </c>
      <c r="U72" s="102">
        <f t="array" ref="U72">IF($G72=0, INDEX(LS_previous!$D$4:$AY$137, MATCH('Staging Table'!$A72, LS_previous!$B$4:$B$137, 0), MATCH(U$4&amp;U$5, LS_previous!$D$2:$AY$2&amp;LS_previous!$D$3:$AY$3, 0)),SUM(VLOOKUP($A72, LS_previous!$B$4:$AY$137, LS_previous!M$148, FALSE), VLOOKUP('Staging Table'!$A72, LS_previous!$B$4:$AY$137,LS_previous!AK$148, FALSE))/2)</f>
        <v>1150.8901878795</v>
      </c>
      <c r="V72" s="102">
        <f t="array" ref="V72">IF($G72=0, INDEX(LS_previous!$D$4:$AY$137, MATCH('Staging Table'!$A72, LS_previous!$B$4:$B$137, 0), MATCH(V$4&amp;V$5, LS_previous!$D$2:$AY$2&amp;LS_previous!$D$3:$AY$3, 0)),SUM(VLOOKUP($A72, LS_previous!$B$4:$AY$137, LS_previous!N$148, FALSE), VLOOKUP('Staging Table'!$A72, LS_previous!$B$4:$AY$137,LS_previous!AL$148, FALSE))/2)</f>
        <v>1285.2917578564998</v>
      </c>
      <c r="W72" s="102">
        <f t="array" ref="W72">IF($G72=0, INDEX(LS_previous!$D$4:$AY$137, MATCH('Staging Table'!$A72, LS_previous!$B$4:$B$137, 0), MATCH(W$4&amp;W$5, LS_previous!$D$2:$AY$2&amp;LS_previous!$D$3:$AY$3, 0)),SUM(VLOOKUP($A72, LS_previous!$B$4:$AY$137, LS_previous!O$148, FALSE), VLOOKUP('Staging Table'!$A72, LS_previous!$B$4:$AY$137,LS_previous!AM$148, FALSE))/2)</f>
        <v>1058.0836106890001</v>
      </c>
      <c r="X72" s="102">
        <f t="array" ref="X72">IF($G72=0, INDEX(LS_previous!$D$4:$AY$137, MATCH('Staging Table'!$A72, LS_previous!$B$4:$B$137, 0), MATCH(X$4&amp;X$5, LS_previous!$D$2:$AY$2&amp;LS_previous!$D$3:$AY$3, 0)),SUM(VLOOKUP($A72, LS_previous!$B$4:$AY$137, LS_previous!P$148, FALSE), VLOOKUP('Staging Table'!$A72, LS_previous!$B$4:$AY$137,LS_previous!AN$148, FALSE))/2)</f>
        <v>819.19620413875009</v>
      </c>
      <c r="Y72" s="102">
        <f t="array" ref="Y72">IF($G72=0, INDEX(LS_previous!$D$4:$AY$137, MATCH('Staging Table'!$A72, LS_previous!$B$4:$B$137, 0), MATCH(Y$4&amp;Y$5, LS_previous!$D$2:$AY$2&amp;LS_previous!$D$3:$AY$3, 0)),SUM(VLOOKUP($A72, LS_previous!$B$4:$AY$137, LS_previous!Q$148, FALSE), VLOOKUP('Staging Table'!$A72, LS_previous!$B$4:$AY$137,LS_previous!AO$148, FALSE))/2)</f>
        <v>437.6999911558753</v>
      </c>
      <c r="Z72" s="102">
        <f t="array" ref="Z72">IF($G72=0, INDEX(LS_previous!$D$4:$AY$137, MATCH('Staging Table'!$A72, LS_previous!$B$4:$B$137, 0), MATCH(Z$4&amp;Z$5, LS_previous!$D$2:$AY$2&amp;LS_previous!$D$3:$AY$3, 0)),SUM(VLOOKUP($A72, LS_previous!$B$4:$AY$137, LS_previous!R$148, FALSE), VLOOKUP('Staging Table'!$A72, LS_previous!$B$4:$AY$137,LS_previous!AP$148, FALSE))/2)</f>
        <v>-520.50125477600022</v>
      </c>
      <c r="AA72" s="102">
        <f t="array" ref="AA72">IF($G72=0, INDEX(LS_previous!$D$4:$AY$137, MATCH('Staging Table'!$A72, LS_previous!$B$4:$B$137, 0), MATCH(AA$4&amp;AA$5, LS_previous!$D$2:$AY$2&amp;LS_previous!$D$3:$AY$3, 0)),SUM(VLOOKUP($A72, LS_previous!$B$4:$AY$137, LS_previous!S$148, FALSE), VLOOKUP('Staging Table'!$A72, LS_previous!$B$4:$AY$137,LS_previous!AQ$148, FALSE))/2)</f>
        <v>-186.90970807074996</v>
      </c>
      <c r="AB72" s="102">
        <f t="array" ref="AB72">IF($G72=0, INDEX(LS_previous!$D$4:$AY$137, MATCH('Staging Table'!$A72, LS_previous!$B$4:$B$137, 0), MATCH(AB$4&amp;AB$5, LS_previous!$D$2:$AY$2&amp;LS_previous!$D$3:$AY$3, 0)),SUM(VLOOKUP($A72, LS_previous!$B$4:$AY$137, LS_previous!T$148, FALSE), VLOOKUP('Staging Table'!$A72, LS_previous!$B$4:$AY$137,LS_previous!AR$148, FALSE))/2)</f>
        <v>-619.82912943700012</v>
      </c>
      <c r="AC72" s="102">
        <f t="array" ref="AC72">IF($G72=0, INDEX(LS_previous!$D$4:$AY$137, MATCH('Staging Table'!$A72, LS_previous!$B$4:$B$137, 0), MATCH(AC$4&amp;AC$5, LS_previous!$D$2:$AY$2&amp;LS_previous!$D$3:$AY$3, 0)),SUM(VLOOKUP($A72, LS_previous!$B$4:$AY$137, LS_previous!U$148, FALSE), VLOOKUP('Staging Table'!$A72, LS_previous!$B$4:$AY$137,LS_previous!AS$148, FALSE))/2)</f>
        <v>-496.21091152274994</v>
      </c>
      <c r="AD72" s="102">
        <f t="array" ref="AD72">IF($G72=0, INDEX(LS_previous!$D$4:$AY$137, MATCH('Staging Table'!$A72, LS_previous!$B$4:$B$137, 0), MATCH(AD$4&amp;AD$5, LS_previous!$D$2:$AY$2&amp;LS_previous!$D$3:$AY$3, 0)),SUM(VLOOKUP($A72, LS_previous!$B$4:$AY$137, LS_previous!V$148, FALSE), VLOOKUP('Staging Table'!$A72, LS_previous!$B$4:$AY$137,LS_previous!AT$148, FALSE))/2)</f>
        <v>315.74992828199993</v>
      </c>
      <c r="AE72" s="102">
        <f t="array" ref="AE72">IF($G72=0, INDEX(LS_previous!$D$4:$AY$137, MATCH('Staging Table'!$A72, LS_previous!$B$4:$B$137, 0), MATCH(AE$4&amp;AE$5, LS_previous!$D$2:$AY$2&amp;LS_previous!$D$3:$AY$3, 0)),SUM(VLOOKUP($A72, LS_previous!$B$4:$AY$137, LS_previous!W$148, FALSE), VLOOKUP('Staging Table'!$A72, LS_previous!$B$4:$AY$137,LS_previous!AU$148, FALSE))/2)</f>
        <v>45.590996563749968</v>
      </c>
      <c r="AF72" s="102">
        <f t="array" ref="AF72">IF($G72=0, INDEX(LS_previous!$D$4:$AY$137, MATCH('Staging Table'!$A72, LS_previous!$B$4:$B$137, 0), MATCH(AF$4&amp;AF$5, LS_previous!$D$2:$AY$2&amp;LS_previous!$D$3:$AY$3, 0)),SUM(VLOOKUP($A72, LS_previous!$B$4:$AY$137, LS_previous!X$148, FALSE), VLOOKUP('Staging Table'!$A72, LS_previous!$B$4:$AY$137,LS_previous!AV$148, FALSE))/2)</f>
        <v>180.79599073574991</v>
      </c>
      <c r="AG72" s="102">
        <f t="array" ref="AG72">IF($G72=0, INDEX(LS_previous!$D$4:$AY$137, MATCH('Staging Table'!$A72, LS_previous!$B$4:$B$137, 0), MATCH(AG$4&amp;AG$5, LS_previous!$D$2:$AY$2&amp;LS_previous!$D$3:$AY$3, 0)),SUM(VLOOKUP($A72, LS_previous!$B$4:$AY$137, LS_previous!Y$148, FALSE), VLOOKUP('Staging Table'!$A72, LS_previous!$B$4:$AY$137,LS_previous!AW$148, FALSE))/2)</f>
        <v>69.801597174925064</v>
      </c>
      <c r="AH72" s="102">
        <f t="array" ref="AH72">IF($G72=0, INDEX(LS_previous!$D$4:$AY$137, MATCH('Staging Table'!$A72, LS_previous!$B$4:$B$137, 0), MATCH(AH$4&amp;AH$5, LS_previous!$D$2:$AY$2&amp;LS_previous!$D$3:$AY$3, 0)),SUM(VLOOKUP($A72, LS_previous!$B$4:$AY$137, LS_previous!Z$148, FALSE), VLOOKUP('Staging Table'!$A72, LS_previous!$B$4:$AY$137,LS_previous!AX$148, FALSE))/2)</f>
        <v>0.96302253699968787</v>
      </c>
      <c r="AI72" s="102">
        <f t="array" ref="AI72">IF($G72=0, INDEX(LS_previous!$D$4:$AY$137, MATCH('Staging Table'!$A72, LS_previous!$B$4:$B$137, 0), MATCH(AI$4&amp;AI$5, LS_previous!$D$2:$AY$2&amp;LS_previous!$D$3:$AY$3, 0)),SUM(VLOOKUP($A72, LS_previous!$B$4:$AY$137, LS_previous!AA$148, FALSE), VLOOKUP('Staging Table'!$A72, LS_previous!$B$4:$AY$137,LS_previous!AY$148, FALSE))/2)</f>
        <v>-139.93350904799991</v>
      </c>
      <c r="AJ72" s="103">
        <f t="array" ref="AJ72">INDEX(Demand_previous!$D$4:$AY$137, MATCH('Staging Table'!$A72, Demand_previous!$B$4:$B$137, 0), MATCH(AJ$4&amp;AJ$5,Demand_previous!$D$2:$AY$2&amp;Demand_previous!$D$3:$AY$3, 0))/1000</f>
        <v>2.9735913461538463</v>
      </c>
      <c r="AK72" s="103">
        <f t="array" ref="AK72">INDEX(Demand_previous!$D$4:$AY$137, MATCH('Staging Table'!$A72, Demand_previous!$B$4:$B$137, 0), MATCH(AK$4&amp;AK$5,Demand_previous!$D$2:$AY$2&amp;Demand_previous!$D$3:$AY$3, 0))/1000</f>
        <v>3.7410900000000025</v>
      </c>
      <c r="AL72" s="103">
        <f t="array" ref="AL72">INDEX(Demand_previous!$D$4:$AY$137, MATCH('Staging Table'!$A72, Demand_previous!$B$4:$B$137, 0), MATCH(AL$4&amp;AL$5,Demand_previous!$D$2:$AY$2&amp;Demand_previous!$D$3:$AY$3, 0))/1000</f>
        <v>2.8627300000000004</v>
      </c>
      <c r="AM72" s="103">
        <f t="array" ref="AM72">INDEX(Demand_previous!$D$4:$AY$137, MATCH('Staging Table'!$A72, Demand_previous!$B$4:$B$137, 0), MATCH(AM$4&amp;AM$5,Demand_previous!$D$2:$AY$2&amp;Demand_previous!$D$3:$AY$3, 0))/1000</f>
        <v>3.7219086538461554</v>
      </c>
      <c r="AN72" s="103">
        <f t="array" ref="AN72">INDEX(Demand_previous!$D$4:$AY$137, MATCH('Staging Table'!$A72, Demand_previous!$B$4:$B$137, 0), MATCH(AN$4&amp;AN$5,Demand_previous!$D$2:$AY$2&amp;Demand_previous!$D$3:$AY$3, 0))/1000</f>
        <v>3.2781225000000007</v>
      </c>
      <c r="AO72" s="103">
        <f t="array" ref="AO72">INDEX(Demand_previous!$D$4:$AY$137, MATCH('Staging Table'!$A72, Demand_previous!$B$4:$B$137, 0), MATCH(AO$4&amp;AO$5,Demand_previous!$D$2:$AY$2&amp;Demand_previous!$D$3:$AY$3, 0))/1000</f>
        <v>4.450735576923079</v>
      </c>
      <c r="AP72" s="103">
        <f t="array" ref="AP72">INDEX(Demand_previous!$D$4:$AY$137, MATCH('Staging Table'!$A72, Demand_previous!$B$4:$B$137, 0), MATCH(AP$4&amp;AP$5,Demand_previous!$D$2:$AY$2&amp;Demand_previous!$D$3:$AY$3, 0))/1000</f>
        <v>3.3912259615384612</v>
      </c>
      <c r="AQ72" s="103">
        <f t="array" ref="AQ72">INDEX(Demand_previous!$D$4:$AY$137, MATCH('Staging Table'!$A72, Demand_previous!$B$4:$B$137, 0), MATCH(AQ$4&amp;AQ$5,Demand_previous!$D$2:$AY$2&amp;Demand_previous!$D$3:$AY$3, 0))/1000</f>
        <v>2.0854615384615394</v>
      </c>
      <c r="AR72" s="103">
        <f t="array" ref="AR72">INDEX(Demand_previous!$D$4:$AY$137, MATCH('Staging Table'!$A72, Demand_previous!$B$4:$B$137, 0), MATCH(AR$4&amp;AR$5,Demand_previous!$D$2:$AY$2&amp;Demand_previous!$D$3:$AY$3, 0))/1000</f>
        <v>2.4920049999999998</v>
      </c>
      <c r="AS72" s="103">
        <f t="array" ref="AS72">INDEX(Demand_previous!$D$4:$AY$137, MATCH('Staging Table'!$A72, Demand_previous!$B$4:$B$137, 0), MATCH(AS$4&amp;AS$5,Demand_previous!$D$2:$AY$2&amp;Demand_previous!$D$3:$AY$3, 0))/1000</f>
        <v>2.3942668269230758</v>
      </c>
      <c r="AT72" s="103">
        <f t="array" ref="AT72">INDEX(Demand_previous!$D$4:$AY$137, MATCH('Staging Table'!$A72, Demand_previous!$B$4:$B$137, 0), MATCH(AT$4&amp;AT$5,Demand_previous!$D$2:$AY$2&amp;Demand_previous!$D$3:$AY$3, 0))/1000</f>
        <v>2.7058796296296297</v>
      </c>
      <c r="AU72" s="103">
        <f t="array" ref="AU72">INDEX(Demand_previous!$D$4:$AY$137, MATCH('Staging Table'!$A72, Demand_previous!$B$4:$B$137, 0), MATCH(AU$4&amp;AU$5,Demand_previous!$D$2:$AY$2&amp;Demand_previous!$D$3:$AY$3, 0))/1000</f>
        <v>2.3931354166666661</v>
      </c>
      <c r="AV72" s="102">
        <f>$F72*(VLOOKUP(AV$4, Rates_previous!$G$6:$Q$29, 10, FALSE)+VLOOKUP(AV$4, Rates_previous!$G$6:$Q$29, 11, FALSE))</f>
        <v>3794.8139834692502</v>
      </c>
      <c r="AW72" s="102">
        <f>$F72*(VLOOKUP(AW$4, Rates_previous!$G$6:$Q$29, 10, FALSE)+VLOOKUP(AW$4, Rates_previous!$G$6:$Q$29, 11, FALSE))</f>
        <v>4839.6391801205009</v>
      </c>
      <c r="AX72" s="102">
        <f>$F72*(VLOOKUP(AX$4, Rates_previous!$G$6:$Q$29, 10, FALSE)+VLOOKUP(AX$4, Rates_previous!$G$6:$Q$29, 11, FALSE))</f>
        <v>5222.9282517825004</v>
      </c>
      <c r="AY72" s="102">
        <f>$F72*(VLOOKUP(AY$4, Rates_previous!$G$6:$Q$29, 10, FALSE)+VLOOKUP(AY$4, Rates_previous!$G$6:$Q$29, 11, FALSE))</f>
        <v>5427.4298547280005</v>
      </c>
      <c r="AZ72" s="102">
        <f>$F72*(VLOOKUP(AZ$4, Rates_previous!$G$6:$Q$29, 10, FALSE)+VLOOKUP(AZ$4, Rates_previous!$G$6:$Q$29, 11, FALSE))</f>
        <v>4668.3131052809995</v>
      </c>
      <c r="BA72" s="102">
        <f>$F72*(VLOOKUP(BA$4, Rates_previous!$G$6:$Q$29, 10, FALSE)+VLOOKUP(BA$4, Rates_previous!$G$6:$Q$29, 11, FALSE))</f>
        <v>5096.8736314545004</v>
      </c>
      <c r="BB72" s="102">
        <f>$F72*(VLOOKUP(BB$4, Rates_previous!$G$6:$Q$29, 10, FALSE)+VLOOKUP(BB$4, Rates_previous!$G$6:$Q$29, 11, FALSE))</f>
        <v>4023.1228047053746</v>
      </c>
      <c r="BC72" s="102">
        <f>$F72*(VLOOKUP(BC$4, Rates_previous!$G$6:$Q$29, 10, FALSE)+VLOOKUP(BC$4, Rates_previous!$G$6:$Q$29, 11, FALSE))</f>
        <v>4991.2229628467503</v>
      </c>
      <c r="BD72" s="102">
        <f>$F72*(VLOOKUP(BD$4, Rates_previous!$G$6:$Q$29, 10, FALSE)+VLOOKUP(BD$4, Rates_previous!$G$6:$Q$29, 11, FALSE))</f>
        <v>5099.5200409597501</v>
      </c>
      <c r="BE72" s="102">
        <f>$F72*(VLOOKUP(BE$4, Rates_previous!$G$6:$Q$29, 10, FALSE)+VLOOKUP(BE$4, Rates_previous!$G$6:$Q$29, 11, FALSE))</f>
        <v>4427.1180751542497</v>
      </c>
      <c r="BF72" s="102">
        <f>$F72*(VLOOKUP(BF$4, Rates_previous!$G$6:$Q$29, 10, FALSE)+VLOOKUP(BF$4, Rates_previous!$G$6:$Q$29, 11, FALSE))</f>
        <v>4279.8464120893259</v>
      </c>
      <c r="BG72" s="102">
        <f>$F72*(VLOOKUP(BG$4, Rates_previous!$G$6:$Q$29, 10, FALSE)+VLOOKUP(BG$4, Rates_previous!$G$6:$Q$29, 11, FALSE))</f>
        <v>3938.2874865110007</v>
      </c>
      <c r="BH72" s="103">
        <f>IF($D72=0,IF(C72=0, MAX(BJ72 - (VLOOKUP($A72,TOCA_previous!$A$2:$AJ$136,MATCH("RHWM "&amp;Init!$D$1-2,TOCA_previous!$A$2:$AJ$2,0),FALSE)*$F$2*TOCA_previous!C69),0),0), 0)</f>
        <v>18464.203255817789</v>
      </c>
      <c r="BI72" s="109">
        <f>MIN(VLOOKUP($A72,TOCA_previous!$A$2:$AJ$136,MATCH("TRL - NLSL - Existing Resource "&amp;$F$1,TOCA_previous!$A$2:$AJ$2,0),FALSE)*$F$2,(VLOOKUP($A72,TOCA_previous!$A$2:$AJ$136,MATCH("RHWM "&amp;Init!$D$1-2,TOCA_previous!$A$2:$AJ$2,0),FALSE)*$F$2))</f>
        <v>54574.991999999998</v>
      </c>
      <c r="BJ72" s="261">
        <f>SUM(L72:AI72)+(F72*RT1SC!$C$3*$F$2)</f>
        <v>73039.195255817787</v>
      </c>
      <c r="BK72" s="260">
        <f>VLOOKUP($A72,TOCA_previous!$A$2:$AJ$136,MATCH("Above RHWM Not Served with LS "&amp;$F$1,TOCA_previous!$A$2:$AJ$2,0),FALSE)*$F$2</f>
        <v>0</v>
      </c>
      <c r="BL72" s="261">
        <f t="shared" si="36"/>
        <v>18464.203255817789</v>
      </c>
      <c r="BM72" s="260">
        <f>(VLOOKUP($A72,TOCA_previous!$A$2:$AJ$136,MATCH("RHWM "&amp;Init!$D$1-2,TOCA_previous!$A$2:$AJ$2,0),FALSE)*$F$2) - $BI72</f>
        <v>0</v>
      </c>
      <c r="BN72" s="261">
        <f t="shared" si="37"/>
        <v>0</v>
      </c>
      <c r="BO72" s="260">
        <f t="shared" si="38"/>
        <v>0</v>
      </c>
      <c r="BP72" s="261">
        <f t="shared" si="39"/>
        <v>0</v>
      </c>
      <c r="BQ72" s="260">
        <f t="shared" si="9"/>
        <v>0</v>
      </c>
      <c r="BR72" s="85">
        <f>VLOOKUP($A72,TOCA_current!$A$2:$ZZ$136,MATCH(BR$4,TOCA_current!$A$2:$ZZ$2,0),FALSE)</f>
        <v>8.7900000000000001E-4</v>
      </c>
      <c r="BS72" s="85">
        <f>VLOOKUP($A72,TOCA_current!$A$2:$ZZ$136,MATCH(BS$4,TOCA_current!$A$2:$ZZ$2,0),FALSE)</f>
        <v>8.7900000000000001E-4</v>
      </c>
      <c r="BT72" s="108">
        <f t="shared" si="40"/>
        <v>0</v>
      </c>
      <c r="BU72" s="85">
        <f>VLOOKUP($A72,TOCA_current!A69:BG203,MATCH(BU$4,TOCA_current!$A$2:$BG$2,0),FALSE)</f>
        <v>9.3400544087053936E-2</v>
      </c>
      <c r="BV72" s="85">
        <f t="shared" si="41"/>
        <v>0</v>
      </c>
      <c r="BW72" s="85">
        <f t="shared" si="42"/>
        <v>0</v>
      </c>
      <c r="BX72" s="101">
        <f>VLOOKUP($A72,IRD!$A$4:$G$138, 7, FALSE)</f>
        <v>0</v>
      </c>
      <c r="BY72" s="102">
        <f t="array" ref="BY72">IF($BT72=0, INDEX(LS_current!$D$4:$BW$137, MATCH('Staging Table'!$A72, LS_current!$B$4:$B$137, 0), MATCH(BY$4&amp;BY$5, LS_current!$D$2:$BW$2&amp;LS_current!$D$3:$BW$3, 0)),SUM(VLOOKUP($A72, LS_current!$B$4:$BW$137, LS_current!D$147, FALSE), VLOOKUP($A72, LS_current!$B$4:$BW$137,LS_current!AZ$147, FALSE))/2)</f>
        <v>406.35043787104451</v>
      </c>
      <c r="BZ72" s="102">
        <f t="array" ref="BZ72">IF($BT72=0, INDEX(LS_current!$D$4:$BW$137, MATCH('Staging Table'!$A72, LS_current!$B$4:$B$137, 0), MATCH(BZ$4&amp;BZ$5, LS_current!$D$2:$BW$2&amp;LS_current!$D$3:$BW$3, 0)),SUM(VLOOKUP($A72, LS_current!$B$4:$BW$137, LS_current!E$147, FALSE), VLOOKUP($A72, LS_current!$B$4:$BW$137,LS_current!BA$147, FALSE))/2)</f>
        <v>45.649754101515327</v>
      </c>
      <c r="CA72" s="102">
        <f t="array" ref="CA72">IF($BT72=0, INDEX(LS_current!$D$4:$BW$137, MATCH('Staging Table'!$A72, LS_current!$B$4:$B$137, 0), MATCH(CA$4&amp;CA$5, LS_current!$D$2:$BW$2&amp;LS_current!$D$3:$BW$3, 0)),SUM(VLOOKUP($A72, LS_current!$B$4:$BW$137, LS_current!F$147, FALSE), VLOOKUP($A72, LS_current!$B$4:$BW$137,LS_current!BB$147, FALSE))/2)</f>
        <v>475.6662988166313</v>
      </c>
      <c r="CB72" s="102">
        <f t="array" ref="CB72">IF($BT72=0, INDEX(LS_current!$D$4:$BW$137, MATCH('Staging Table'!$A72, LS_current!$B$4:$B$137, 0), MATCH(CB$4&amp;CB$5, LS_current!$D$2:$BW$2&amp;LS_current!$D$3:$BW$3, 0)),SUM(VLOOKUP($A72, LS_current!$B$4:$BW$137, LS_current!G$147, FALSE), VLOOKUP($A72, LS_current!$B$4:$BW$137,LS_current!BC$147, FALSE))/2)</f>
        <v>586.74332777172913</v>
      </c>
      <c r="CC72" s="102">
        <f t="array" ref="CC72">IF($BT72=0, INDEX(LS_current!$D$4:$BW$137, MATCH('Staging Table'!$A72, LS_current!$B$4:$B$137, 0), MATCH(CC$4&amp;CC$5, LS_current!$D$2:$BW$2&amp;LS_current!$D$3:$BW$3, 0)),SUM(VLOOKUP($A72, LS_current!$B$4:$BW$137, LS_current!H$147, FALSE), VLOOKUP($A72, LS_current!$B$4:$BW$137,LS_current!BD$147, FALSE))/2)</f>
        <v>1350.4801949775051</v>
      </c>
      <c r="CD72" s="102">
        <f t="array" ref="CD72">IF($BT72=0, INDEX(LS_current!$D$4:$BW$137, MATCH('Staging Table'!$A72, LS_current!$B$4:$B$137, 0), MATCH(CD$4&amp;CD$5, LS_current!$D$2:$BW$2&amp;LS_current!$D$3:$BW$3, 0)),SUM(VLOOKUP($A72, LS_current!$B$4:$BW$137, LS_current!I$147, FALSE), VLOOKUP($A72, LS_current!$B$4:$BW$137,LS_current!BE$147, FALSE))/2)</f>
        <v>1224.5473384793722</v>
      </c>
      <c r="CE72" s="102">
        <f t="array" ref="CE72">IF($BT72=0, INDEX(LS_current!$D$4:$BW$137, MATCH('Staging Table'!$A72, LS_current!$B$4:$B$137, 0), MATCH(CE$4&amp;CE$5, LS_current!$D$2:$BW$2&amp;LS_current!$D$3:$BW$3, 0)),SUM(VLOOKUP($A72, LS_current!$B$4:$BW$137, LS_current!J$147, FALSE), VLOOKUP($A72, LS_current!$B$4:$BW$137,LS_current!BF$147, FALSE))/2)</f>
        <v>1178.6703750639199</v>
      </c>
      <c r="CF72" s="102">
        <f t="array" ref="CF72">IF($BT72=0, INDEX(LS_current!$D$4:$BW$137, MATCH('Staging Table'!$A72, LS_current!$B$4:$B$137, 0), MATCH(CF$4&amp;CF$5, LS_current!$D$2:$BW$2&amp;LS_current!$D$3:$BW$3, 0)),SUM(VLOOKUP($A72, LS_current!$B$4:$BW$137, LS_current!K$147, FALSE), VLOOKUP($A72, LS_current!$B$4:$BW$137,LS_current!BG$147, FALSE))/2)</f>
        <v>1109.236751242001</v>
      </c>
      <c r="CG72" s="102">
        <f t="array" ref="CG72">IF($BT72=0, INDEX(LS_current!$D$4:$BW$137, MATCH('Staging Table'!$A72, LS_current!$B$4:$B$137, 0), MATCH(CG$4&amp;CG$5, LS_current!$D$2:$BW$2&amp;LS_current!$D$3:$BW$3, 0)),SUM(VLOOKUP($A72, LS_current!$B$4:$BW$137, LS_current!L$147, FALSE), VLOOKUP($A72, LS_current!$B$4:$BW$137,LS_current!BH$147, FALSE))/2)</f>
        <v>687.87868377844143</v>
      </c>
      <c r="CH72" s="102">
        <f t="array" ref="CH72">IF($BT72=0, INDEX(LS_current!$D$4:$BW$137, MATCH('Staging Table'!$A72, LS_current!$B$4:$B$137, 0), MATCH(CH$4&amp;CH$5, LS_current!$D$2:$BW$2&amp;LS_current!$D$3:$BW$3, 0)),SUM(VLOOKUP($A72, LS_current!$B$4:$BW$137, LS_current!M$147, FALSE), VLOOKUP($A72, LS_current!$B$4:$BW$137,LS_current!BI$147, FALSE))/2)</f>
        <v>627.92297663822364</v>
      </c>
      <c r="CI72" s="102">
        <f t="array" ref="CI72">IF($BT72=0, INDEX(LS_current!$D$4:$BW$137, MATCH('Staging Table'!$A72, LS_current!$B$4:$B$137, 0), MATCH(CI$4&amp;CI$5, LS_current!$D$2:$BW$2&amp;LS_current!$D$3:$BW$3, 0)),SUM(VLOOKUP($A72, LS_current!$B$4:$BW$137, LS_current!N$147, FALSE), VLOOKUP($A72, LS_current!$B$4:$BW$137,LS_current!BJ$147, FALSE))/2)</f>
        <v>349.61115198610742</v>
      </c>
      <c r="CJ72" s="102">
        <f t="array" ref="CJ72">IF($BT72=0, INDEX(LS_current!$D$4:$BW$137, MATCH('Staging Table'!$A72, LS_current!$B$4:$B$137, 0), MATCH(CJ$4&amp;CJ$5, LS_current!$D$2:$BW$2&amp;LS_current!$D$3:$BW$3, 0)),SUM(VLOOKUP($A72, LS_current!$B$4:$BW$137, LS_current!O$147, FALSE), VLOOKUP($A72, LS_current!$B$4:$BW$137,LS_current!BK$147, FALSE))/2)</f>
        <v>664.56590512824482</v>
      </c>
      <c r="CK72" s="102">
        <f t="array" ref="CK72">IF($BT72=0, INDEX(LS_current!$D$4:$BW$137, MATCH('Staging Table'!$A72, LS_current!$B$4:$B$137, 0), MATCH(CK$4&amp;CK$5, LS_current!$D$2:$BW$2&amp;LS_current!$D$3:$BW$3, 0)),SUM(VLOOKUP($A72, LS_current!$B$4:$BW$137, LS_current!P$147, FALSE), VLOOKUP($A72, LS_current!$B$4:$BW$137,LS_current!BL$147, FALSE))/2)</f>
        <v>73.219551515052444</v>
      </c>
      <c r="CL72" s="102">
        <f t="array" ref="CL72">IF($BT72=0, INDEX(LS_current!$D$4:$BW$137, MATCH('Staging Table'!$A72, LS_current!$B$4:$B$137, 0), MATCH(CL$4&amp;CL$5, LS_current!$D$2:$BW$2&amp;LS_current!$D$3:$BW$3, 0)),SUM(VLOOKUP($A72, LS_current!$B$4:$BW$137, LS_current!Q$147, FALSE), VLOOKUP($A72, LS_current!$B$4:$BW$137,LS_current!BM$147, FALSE))/2)</f>
        <v>-74.63690961474822</v>
      </c>
      <c r="CM72" s="102">
        <f t="array" ref="CM72">IF($BT72=0, INDEX(LS_current!$D$4:$BW$137, MATCH('Staging Table'!$A72, LS_current!$B$4:$B$137, 0), MATCH(CM$4&amp;CM$5, LS_current!$D$2:$BW$2&amp;LS_current!$D$3:$BW$3, 0)),SUM(VLOOKUP($A72, LS_current!$B$4:$BW$137, LS_current!R$147, FALSE), VLOOKUP($A72, LS_current!$B$4:$BW$137,LS_current!BN$147, FALSE))/2)</f>
        <v>-1283.2912431110371</v>
      </c>
      <c r="CN72" s="102">
        <f t="array" ref="CN72">IF($BT72=0, INDEX(LS_current!$D$4:$BW$137, MATCH('Staging Table'!$A72, LS_current!$B$4:$B$137, 0), MATCH(CN$4&amp;CN$5, LS_current!$D$2:$BW$2&amp;LS_current!$D$3:$BW$3, 0)),SUM(VLOOKUP($A72, LS_current!$B$4:$BW$137, LS_current!S$147, FALSE), VLOOKUP($A72, LS_current!$B$4:$BW$137,LS_current!BO$147, FALSE))/2)</f>
        <v>-875.63383487001761</v>
      </c>
      <c r="CO72" s="102">
        <f t="array" ref="CO72">IF($BT72=0, INDEX(LS_current!$D$4:$BW$137, MATCH('Staging Table'!$A72, LS_current!$B$4:$B$137, 0), MATCH(CO$4&amp;CO$5, LS_current!$D$2:$BW$2&amp;LS_current!$D$3:$BW$3, 0)),SUM(VLOOKUP($A72, LS_current!$B$4:$BW$137, LS_current!T$147, FALSE), VLOOKUP($A72, LS_current!$B$4:$BW$137,LS_current!BP$147, FALSE))/2)</f>
        <v>-1540.7200001983269</v>
      </c>
      <c r="CP72" s="102">
        <f t="array" ref="CP72">IF($BT72=0, INDEX(LS_current!$D$4:$BW$137, MATCH('Staging Table'!$A72, LS_current!$B$4:$B$137, 0), MATCH(CP$4&amp;CP$5, LS_current!$D$2:$BW$2&amp;LS_current!$D$3:$BW$3, 0)),SUM(VLOOKUP($A72, LS_current!$B$4:$BW$137, LS_current!U$147, FALSE), VLOOKUP($A72, LS_current!$B$4:$BW$137,LS_current!BQ$147, FALSE))/2)</f>
        <v>-972.78523327865469</v>
      </c>
      <c r="CQ72" s="102">
        <f t="array" ref="CQ72">IF($BT72=0, INDEX(LS_current!$D$4:$BW$137, MATCH('Staging Table'!$A72, LS_current!$B$4:$B$137, 0), MATCH(CQ$4&amp;CQ$5, LS_current!$D$2:$BW$2&amp;LS_current!$D$3:$BW$3, 0)),SUM(VLOOKUP($A72, LS_current!$B$4:$BW$137, LS_current!V$147, FALSE), VLOOKUP($A72, LS_current!$B$4:$BW$137,LS_current!BR$147, FALSE))/2)</f>
        <v>-610.50835494753437</v>
      </c>
      <c r="CR72" s="102">
        <f t="array" ref="CR72">IF($BT72=0, INDEX(LS_current!$D$4:$BW$137, MATCH('Staging Table'!$A72, LS_current!$B$4:$B$137, 0), MATCH(CR$4&amp;CR$5, LS_current!$D$2:$BW$2&amp;LS_current!$D$3:$BW$3, 0)),SUM(VLOOKUP($A72, LS_current!$B$4:$BW$137, LS_current!W$147, FALSE), VLOOKUP($A72, LS_current!$B$4:$BW$137,LS_current!BS$147, FALSE))/2)</f>
        <v>-599.36611292039811</v>
      </c>
      <c r="CS72" s="102">
        <f t="array" ref="CS72">IF($BT72=0, INDEX(LS_current!$D$4:$BW$137, MATCH('Staging Table'!$A72, LS_current!$B$4:$B$137, 0), MATCH(CS$4&amp;CS$5, LS_current!$D$2:$BW$2&amp;LS_current!$D$3:$BW$3, 0)),SUM(VLOOKUP($A72, LS_current!$B$4:$BW$137, LS_current!X$147, FALSE), VLOOKUP($A72, LS_current!$B$4:$BW$137,LS_current!BT$147, FALSE))/2)</f>
        <v>-1003.599220852142</v>
      </c>
      <c r="CT72" s="102">
        <f t="array" ref="CT72">IF($BT72=0, INDEX(LS_current!$D$4:$BW$137, MATCH('Staging Table'!$A72, LS_current!$B$4:$B$137, 0), MATCH(CT$4&amp;CT$5, LS_current!$D$2:$BW$2&amp;LS_current!$D$3:$BW$3, 0)),SUM(VLOOKUP($A72, LS_current!$B$4:$BW$137, LS_current!Y$147, FALSE), VLOOKUP($A72, LS_current!$B$4:$BW$137,LS_current!BU$147, FALSE))/2)</f>
        <v>-579.0222767159612</v>
      </c>
      <c r="CU72" s="102">
        <f t="array" ref="CU72">IF($BT72=0, INDEX(LS_current!$D$4:$BW$137, MATCH('Staging Table'!$A72, LS_current!$B$4:$B$137, 0), MATCH(CU$4&amp;CU$5, LS_current!$D$2:$BW$2&amp;LS_current!$D$3:$BW$3, 0)),SUM(VLOOKUP($A72, LS_current!$B$4:$BW$137, LS_current!Z$147, FALSE), VLOOKUP($A72, LS_current!$B$4:$BW$137,LS_current!BV$147, FALSE))/2)</f>
        <v>-686.19210818743204</v>
      </c>
      <c r="CV72" s="102">
        <f t="array" ref="CV72">IF($BT72=0, INDEX(LS_current!$D$4:$BW$137, MATCH('Staging Table'!$A72, LS_current!$B$4:$B$137, 0), MATCH(CV$4&amp;CV$5, LS_current!$D$2:$BW$2&amp;LS_current!$D$3:$BW$3, 0)),SUM(VLOOKUP($A72, LS_current!$B$4:$BW$137, LS_current!AA$147, FALSE), VLOOKUP($A72, LS_current!$B$4:$BW$137,LS_current!BW$147, FALSE))/2)</f>
        <v>-559.06400323748812</v>
      </c>
      <c r="CW72" s="103">
        <f t="array" ref="CW72">INDEX(Demand_current!$D$4:$BW$137, MATCH($A72, Demand_current!$B$4:$B$137, 0), MATCH(CW$4&amp;CW$5,Demand_current!$D$2:$BW$2&amp;Demand_current!$D$3:$BW$3, 0))/1000</f>
        <v>3.2924953703703701</v>
      </c>
      <c r="CX72" s="103">
        <f t="array" ref="CX72">INDEX(Demand_current!$D$4:$BW$137, MATCH($A72, Demand_current!$B$4:$B$137, 0), MATCH(CX$4&amp;CX$5,Demand_current!$D$2:$BW$2&amp;Demand_current!$D$3:$BW$3, 0))/1000</f>
        <v>3.3144687500000023</v>
      </c>
      <c r="CY72" s="103">
        <f t="array" ref="CY72">INDEX(Demand_current!$D$4:$BW$137, MATCH($A72, Demand_current!$B$4:$B$137, 0), MATCH(CY$4&amp;CY$5,Demand_current!$D$2:$BW$2&amp;Demand_current!$D$3:$BW$3, 0))/1000</f>
        <v>3.402971153846154</v>
      </c>
      <c r="CZ72" s="103">
        <f t="array" ref="CZ72">INDEX(Demand_current!$D$4:$BW$137, MATCH($A72, Demand_current!$B$4:$B$137, 0), MATCH(CZ$4&amp;CZ$5,Demand_current!$D$2:$BW$2&amp;Demand_current!$D$3:$BW$3, 0))/1000</f>
        <v>3.7219086538461554</v>
      </c>
      <c r="DA72" s="103">
        <f t="array" ref="DA72">INDEX(Demand_current!$D$4:$BW$137, MATCH($A72, Demand_current!$B$4:$B$137, 0), MATCH(DA$4&amp;DA$5,Demand_current!$D$2:$BW$2&amp;Demand_current!$D$3:$BW$3, 0))/1000</f>
        <v>2.8273776041666676</v>
      </c>
      <c r="DB72" s="103">
        <f t="array" ref="DB72">INDEX(Demand_current!$D$4:$BW$137, MATCH($A72, Demand_current!$B$4:$B$137, 0), MATCH(DB$4&amp;DB$5,Demand_current!$D$2:$BW$2&amp;Demand_current!$D$3:$BW$3, 0))/1000</f>
        <v>4.450735576923079</v>
      </c>
      <c r="DC72" s="103">
        <f t="array" ref="DC72">INDEX(Demand_current!$D$4:$BW$137, MATCH($A72, Demand_current!$B$4:$B$137, 0), MATCH(DC$4&amp;DC$5,Demand_current!$D$2:$BW$2&amp;Demand_current!$D$3:$BW$3, 0))/1000</f>
        <v>3.3912259615384612</v>
      </c>
      <c r="DD72" s="103">
        <f t="array" ref="DD72">INDEX(Demand_current!$D$4:$BW$137, MATCH($A72, Demand_current!$B$4:$B$137, 0), MATCH(DD$4&amp;DD$5,Demand_current!$D$2:$BW$2&amp;Demand_current!$D$3:$BW$3, 0))/1000</f>
        <v>1.8438800000000009</v>
      </c>
      <c r="DE72" s="103">
        <f t="array" ref="DE72">INDEX(Demand_current!$D$4:$BW$137, MATCH($A72, Demand_current!$B$4:$B$137, 0), MATCH(DE$4&amp;DE$5,Demand_current!$D$2:$BW$2&amp;Demand_current!$D$3:$BW$3, 0))/1000</f>
        <v>2.7403124999999999</v>
      </c>
      <c r="DF72" s="103">
        <f t="array" ref="DF72">INDEX(Demand_current!$D$4:$BW$137, MATCH($A72, Demand_current!$B$4:$B$137, 0), MATCH(DF$4&amp;DF$5,Demand_current!$D$2:$BW$2&amp;Demand_current!$D$3:$BW$3, 0))/1000</f>
        <v>2.3942668269230758</v>
      </c>
      <c r="DG72" s="103">
        <f t="array" ref="DG72">INDEX(Demand_current!$D$4:$BW$137, MATCH($A72, Demand_current!$B$4:$B$137, 0), MATCH(DG$4&amp;DG$5,Demand_current!$D$2:$BW$2&amp;Demand_current!$D$3:$BW$3, 0))/1000</f>
        <v>2.4480673076923072</v>
      </c>
      <c r="DH72" s="103">
        <f t="array" ref="DH72">INDEX(Demand_current!$D$4:$BW$137, MATCH($A72, Demand_current!$B$4:$B$137, 0), MATCH(DH$4&amp;DH$5,Demand_current!$D$2:$BW$2&amp;Demand_current!$D$3:$BW$3, 0))/1000</f>
        <v>2.6382499999999998</v>
      </c>
      <c r="DI72" s="102">
        <f>$BS72*(VLOOKUP(DI$4, Rates_current!$H$6:$R$41, 10, FALSE)+VLOOKUP(DI$4, Rates_current!$H$6:$R$41, 11, FALSE))</f>
        <v>3648.1028080274405</v>
      </c>
      <c r="DJ72" s="102">
        <f>$BS72*(VLOOKUP(DJ$4, Rates_current!$H$6:$R$41, 10, FALSE)+VLOOKUP(DJ$4, Rates_current!$H$6:$R$41, 11, FALSE))</f>
        <v>4663.9793734116402</v>
      </c>
      <c r="DK72" s="102">
        <f>$BS72*(VLOOKUP(DK$4, Rates_current!$H$6:$R$41, 10, FALSE)+VLOOKUP(DK$4, Rates_current!$H$6:$R$41, 11, FALSE))</f>
        <v>5302.5544665431216</v>
      </c>
      <c r="DL72" s="102">
        <f>$BS72*(VLOOKUP(DL$4, Rates_current!$H$6:$R$41, 10, FALSE)+VLOOKUP(DL$4, Rates_current!$H$6:$R$41, 11, FALSE))</f>
        <v>5594.6088736940792</v>
      </c>
      <c r="DM72" s="102">
        <f>$BS72*(VLOOKUP(DM$4, Rates_current!$H$6:$R$41, 10, FALSE)+VLOOKUP(DM$4, Rates_current!$H$6:$R$41, 11, FALSE))</f>
        <v>4458.3983395833347</v>
      </c>
      <c r="DN72" s="102">
        <f>$BS72*(VLOOKUP(DN$4, Rates_current!$H$6:$R$41, 10, FALSE)+VLOOKUP(DN$4, Rates_current!$H$6:$R$41, 11, FALSE))</f>
        <v>4873.9449428856469</v>
      </c>
      <c r="DO72" s="102">
        <f>$BS72*(VLOOKUP(DO$4, Rates_current!$H$6:$R$41, 10, FALSE)+VLOOKUP(DO$4, Rates_current!$H$6:$R$41, 11, FALSE))</f>
        <v>3777.3563580996961</v>
      </c>
      <c r="DP72" s="102">
        <f>$BS72*(VLOOKUP(DP$4, Rates_current!$H$6:$R$41, 10, FALSE)+VLOOKUP(DP$4, Rates_current!$H$6:$R$41, 11, FALSE))</f>
        <v>4888.5210779810541</v>
      </c>
      <c r="DQ72" s="102">
        <f>$BS72*(VLOOKUP(DQ$4, Rates_current!$H$6:$R$41, 10, FALSE)+VLOOKUP(DQ$4, Rates_current!$H$6:$R$41, 11, FALSE))</f>
        <v>4992.9052334769822</v>
      </c>
      <c r="DR72" s="102">
        <f>$BS72*(VLOOKUP(DR$4, Rates_current!$H$6:$R$41, 10, FALSE)+VLOOKUP(DR$4, Rates_current!$H$6:$R$41, 11, FALSE))</f>
        <v>4444.1174678679326</v>
      </c>
      <c r="DS72" s="102">
        <f>$BS72*(VLOOKUP(DS$4, Rates_current!$H$6:$R$41, 10, FALSE)+VLOOKUP(DS$4, Rates_current!$H$6:$R$41, 11, FALSE))</f>
        <v>4558.8494975681033</v>
      </c>
      <c r="DT72" s="102">
        <f>$BS72*(VLOOKUP(DT$4, Rates_current!$H$6:$R$41, 10, FALSE)+VLOOKUP(DT$4, Rates_current!$H$6:$R$41, 11, FALSE))</f>
        <v>3540.4931114249207</v>
      </c>
      <c r="DU72" s="261">
        <f>IF(D72=0,IF(C72=0,MAX(0,DW72 - (VLOOKUP($A72,TOCA_current!$A$2:$AV$136,MATCH("RHWM "&amp;Init!$D$1,TOCA_current!$A$2:$AV$2,0),FALSE)*$BS$2)), 0),0)</f>
        <v>0</v>
      </c>
      <c r="DV72" s="262">
        <f>MIN(VLOOKUP($A72,TOCA_current!$A$2:$AV$136,MATCH("TRL - NLSL - Existing Resource "&amp;$BS$1,TOCA_current!$A$2:$AV$2,0),FALSE)*$BS$2, VLOOKUP($A72,TOCA_current!$A$2:$AV$136,MATCH("RHWM "&amp;Init!$D$1,TOCA_current!$A$2:$AV$2,0),FALSE)*$BS$2)</f>
        <v>54741.24</v>
      </c>
      <c r="DW72" s="262">
        <f>SUM(BY72:CV72)+(BS72*RT1SC!$C$4*$BS$2)</f>
        <v>54739.558231516057</v>
      </c>
      <c r="DX72" s="262">
        <f>VLOOKUP($A72,TOCA_current!$A$2:$AV$136,MATCH("Above RHWM Not Served with LS "&amp;$BS$1,TOCA_current!$A$2:$AV$2,0),FALSE)*$BS$2</f>
        <v>18299.64</v>
      </c>
      <c r="DY72" s="262">
        <f t="shared" si="43"/>
        <v>-1.6817684839406866</v>
      </c>
      <c r="DZ72" s="262">
        <f>(VLOOKUP($A72,TOCA_current!$A$2:$AV$136,MATCH("RHWM "&amp;Init!$D$1,TOCA_current!$A$2:$AV$2,0),FALSE)*$BS$2) - $DV72</f>
        <v>0</v>
      </c>
      <c r="EA72" s="262">
        <f t="shared" si="44"/>
        <v>0</v>
      </c>
      <c r="EB72" s="262">
        <f t="shared" si="45"/>
        <v>0</v>
      </c>
      <c r="EC72" s="262">
        <f t="shared" si="46"/>
        <v>0</v>
      </c>
      <c r="ED72" s="262">
        <f t="shared" si="47"/>
        <v>0</v>
      </c>
    </row>
    <row r="73" spans="1:134">
      <c r="A73" s="2">
        <v>10204</v>
      </c>
      <c r="B73" s="3" t="s">
        <v>75</v>
      </c>
      <c r="C73">
        <f>VLOOKUP(A73, TOCA_current!$A$3:$D$136, 4, FALSE)</f>
        <v>0</v>
      </c>
      <c r="D73">
        <v>1</v>
      </c>
      <c r="E73" s="84">
        <f>VLOOKUP($A73,TOCA_previous!$A$2:$AJ$136,MATCH(E$4,TOCA_previous!$A$2:$AJ$2,0),FALSE)</f>
        <v>1.1517400000000001E-2</v>
      </c>
      <c r="F73" s="85">
        <f>VLOOKUP($A73,TOCA_previous!$A$2:$AJ$136,MATCH(F$4,TOCA_previous!$A$2:$AJ$2,0),FALSE)</f>
        <v>6.0305000000000003E-3</v>
      </c>
      <c r="G73" s="85">
        <f t="shared" si="33"/>
        <v>5.4869000000000003E-3</v>
      </c>
      <c r="H73" s="85">
        <f>VLOOKUP($A73,TOCA_previous!$A$2:$AJ$136,MATCH(H$4,TOCA_previous!$A$2:$AJ$2,0),FALSE)</f>
        <v>0</v>
      </c>
      <c r="I73" s="85">
        <f t="shared" si="34"/>
        <v>0</v>
      </c>
      <c r="J73" s="85">
        <f t="shared" si="35"/>
        <v>0</v>
      </c>
      <c r="K73" s="101">
        <f>VLOOKUP(A73, IRD!$A$5:$C$138, 3, FALSE)</f>
        <v>0</v>
      </c>
      <c r="L73" s="102">
        <f t="array" ref="L73">IF($G73=0, INDEX(LS_previous!$D$4:$AY$137, MATCH('Staging Table'!$A73, LS_previous!$B$4:$B$137, 0), MATCH(L$4&amp;L$5, LS_previous!$D$2:$AY$2&amp;LS_previous!$D$3:$AY$3, 0)),SUM(VLOOKUP($A73, LS_previous!$B$4:$AY$137, LS_previous!D$148, FALSE), VLOOKUP('Staging Table'!$A73, LS_previous!$B$4:$AY$137,LS_previous!AB$148, FALSE))/2)</f>
        <v>-298.30339096779971</v>
      </c>
      <c r="M73" s="102">
        <f t="array" ref="M73">IF($G73=0, INDEX(LS_previous!$D$4:$AY$137, MATCH('Staging Table'!$A73, LS_previous!$B$4:$B$137, 0), MATCH(M$4&amp;M$5, LS_previous!$D$2:$AY$2&amp;LS_previous!$D$3:$AY$3, 0)),SUM(VLOOKUP($A73, LS_previous!$B$4:$AY$137, LS_previous!E$148, FALSE), VLOOKUP('Staging Table'!$A73, LS_previous!$B$4:$AY$137,LS_previous!AC$148, FALSE))/2)</f>
        <v>1341.2444810010629</v>
      </c>
      <c r="N73" s="102">
        <f t="array" ref="N73">IF($G73=0, INDEX(LS_previous!$D$4:$AY$137, MATCH('Staging Table'!$A73, LS_previous!$B$4:$B$137, 0), MATCH(N$4&amp;N$5, LS_previous!$D$2:$AY$2&amp;LS_previous!$D$3:$AY$3, 0)),SUM(VLOOKUP($A73, LS_previous!$B$4:$AY$137, LS_previous!F$148, FALSE), VLOOKUP('Staging Table'!$A73, LS_previous!$B$4:$AY$137,LS_previous!AD$148, FALSE))/2)</f>
        <v>-2809.2020826228236</v>
      </c>
      <c r="O73" s="102">
        <f t="array" ref="O73">IF($G73=0, INDEX(LS_previous!$D$4:$AY$137, MATCH('Staging Table'!$A73, LS_previous!$B$4:$B$137, 0), MATCH(O$4&amp;O$5, LS_previous!$D$2:$AY$2&amp;LS_previous!$D$3:$AY$3, 0)),SUM(VLOOKUP($A73, LS_previous!$B$4:$AY$137, LS_previous!G$148, FALSE), VLOOKUP('Staging Table'!$A73, LS_previous!$B$4:$AY$137,LS_previous!AE$148, FALSE))/2)</f>
        <v>784.21813673164434</v>
      </c>
      <c r="P73" s="102">
        <f t="array" ref="P73">IF($G73=0, INDEX(LS_previous!$D$4:$AY$137, MATCH('Staging Table'!$A73, LS_previous!$B$4:$B$137, 0), MATCH(P$4&amp;P$5, LS_previous!$D$2:$AY$2&amp;LS_previous!$D$3:$AY$3, 0)),SUM(VLOOKUP($A73, LS_previous!$B$4:$AY$137, LS_previous!H$148, FALSE), VLOOKUP('Staging Table'!$A73, LS_previous!$B$4:$AY$137,LS_previous!AF$148, FALSE))/2)</f>
        <v>-1026.3812045415416</v>
      </c>
      <c r="Q73" s="102">
        <f t="array" ref="Q73">IF($G73=0, INDEX(LS_previous!$D$4:$AY$137, MATCH('Staging Table'!$A73, LS_previous!$B$4:$B$137, 0), MATCH(Q$4&amp;Q$5, LS_previous!$D$2:$AY$2&amp;LS_previous!$D$3:$AY$3, 0)),SUM(VLOOKUP($A73, LS_previous!$B$4:$AY$137, LS_previous!I$148, FALSE), VLOOKUP('Staging Table'!$A73, LS_previous!$B$4:$AY$137,LS_previous!AG$148, FALSE))/2)</f>
        <v>3589.6759345402461</v>
      </c>
      <c r="R73" s="102">
        <f t="array" ref="R73">IF($G73=0, INDEX(LS_previous!$D$4:$AY$137, MATCH('Staging Table'!$A73, LS_previous!$B$4:$B$137, 0), MATCH(R$4&amp;R$5, LS_previous!$D$2:$AY$2&amp;LS_previous!$D$3:$AY$3, 0)),SUM(VLOOKUP($A73, LS_previous!$B$4:$AY$137, LS_previous!J$148, FALSE), VLOOKUP('Staging Table'!$A73, LS_previous!$B$4:$AY$137,LS_previous!AH$148, FALSE))/2)</f>
        <v>-915.67982485026005</v>
      </c>
      <c r="S73" s="102">
        <f t="array" ref="S73">IF($G73=0, INDEX(LS_previous!$D$4:$AY$137, MATCH('Staging Table'!$A73, LS_previous!$B$4:$B$137, 0), MATCH(S$4&amp;S$5, LS_previous!$D$2:$AY$2&amp;LS_previous!$D$3:$AY$3, 0)),SUM(VLOOKUP($A73, LS_previous!$B$4:$AY$137, LS_previous!K$148, FALSE), VLOOKUP('Staging Table'!$A73, LS_previous!$B$4:$AY$137,LS_previous!AI$148, FALSE))/2)</f>
        <v>3181.6319153606328</v>
      </c>
      <c r="T73" s="102">
        <f t="array" ref="T73">IF($G73=0, INDEX(LS_previous!$D$4:$AY$137, MATCH('Staging Table'!$A73, LS_previous!$B$4:$B$137, 0), MATCH(T$4&amp;T$5, LS_previous!$D$2:$AY$2&amp;LS_previous!$D$3:$AY$3, 0)),SUM(VLOOKUP($A73, LS_previous!$B$4:$AY$137, LS_previous!L$148, FALSE), VLOOKUP('Staging Table'!$A73, LS_previous!$B$4:$AY$137,LS_previous!AJ$148, FALSE))/2)</f>
        <v>-1306.0676410493452</v>
      </c>
      <c r="U73" s="102">
        <f t="array" ref="U73">IF($G73=0, INDEX(LS_previous!$D$4:$AY$137, MATCH('Staging Table'!$A73, LS_previous!$B$4:$B$137, 0), MATCH(U$4&amp;U$5, LS_previous!$D$2:$AY$2&amp;LS_previous!$D$3:$AY$3, 0)),SUM(VLOOKUP($A73, LS_previous!$B$4:$AY$137, LS_previous!M$148, FALSE), VLOOKUP('Staging Table'!$A73, LS_previous!$B$4:$AY$137,LS_previous!AK$148, FALSE))/2)</f>
        <v>2372.4403690202353</v>
      </c>
      <c r="V73" s="102">
        <f t="array" ref="V73">IF($G73=0, INDEX(LS_previous!$D$4:$AY$137, MATCH('Staging Table'!$A73, LS_previous!$B$4:$B$137, 0), MATCH(V$4&amp;V$5, LS_previous!$D$2:$AY$2&amp;LS_previous!$D$3:$AY$3, 0)),SUM(VLOOKUP($A73, LS_previous!$B$4:$AY$137, LS_previous!N$148, FALSE), VLOOKUP('Staging Table'!$A73, LS_previous!$B$4:$AY$137,LS_previous!AL$148, FALSE))/2)</f>
        <v>-4172.8459240607554</v>
      </c>
      <c r="W73" s="102">
        <f t="array" ref="W73">IF($G73=0, INDEX(LS_previous!$D$4:$AY$137, MATCH('Staging Table'!$A73, LS_previous!$B$4:$B$137, 0), MATCH(W$4&amp;W$5, LS_previous!$D$2:$AY$2&amp;LS_previous!$D$3:$AY$3, 0)),SUM(VLOOKUP($A73, LS_previous!$B$4:$AY$137, LS_previous!O$148, FALSE), VLOOKUP('Staging Table'!$A73, LS_previous!$B$4:$AY$137,LS_previous!AM$148, FALSE))/2)</f>
        <v>-292.50544854717918</v>
      </c>
      <c r="X73" s="102">
        <f t="array" ref="X73">IF($G73=0, INDEX(LS_previous!$D$4:$AY$137, MATCH('Staging Table'!$A73, LS_previous!$B$4:$B$137, 0), MATCH(X$4&amp;X$5, LS_previous!$D$2:$AY$2&amp;LS_previous!$D$3:$AY$3, 0)),SUM(VLOOKUP($A73, LS_previous!$B$4:$AY$137, LS_previous!P$148, FALSE), VLOOKUP('Staging Table'!$A73, LS_previous!$B$4:$AY$137,LS_previous!AN$148, FALSE))/2)</f>
        <v>-1528.9316369654225</v>
      </c>
      <c r="Y73" s="102">
        <f t="array" ref="Y73">IF($G73=0, INDEX(LS_previous!$D$4:$AY$137, MATCH('Staging Table'!$A73, LS_previous!$B$4:$B$137, 0), MATCH(Y$4&amp;Y$5, LS_previous!$D$2:$AY$2&amp;LS_previous!$D$3:$AY$3, 0)),SUM(VLOOKUP($A73, LS_previous!$B$4:$AY$137, LS_previous!Q$148, FALSE), VLOOKUP('Staging Table'!$A73, LS_previous!$B$4:$AY$137,LS_previous!AO$148, FALSE))/2)</f>
        <v>325.43082813655838</v>
      </c>
      <c r="Z73" s="102">
        <f t="array" ref="Z73">IF($G73=0, INDEX(LS_previous!$D$4:$AY$137, MATCH('Staging Table'!$A73, LS_previous!$B$4:$B$137, 0), MATCH(Z$4&amp;Z$5, LS_previous!$D$2:$AY$2&amp;LS_previous!$D$3:$AY$3, 0)),SUM(VLOOKUP($A73, LS_previous!$B$4:$AY$137, LS_previous!R$148, FALSE), VLOOKUP('Staging Table'!$A73, LS_previous!$B$4:$AY$137,LS_previous!AP$148, FALSE))/2)</f>
        <v>-4524.6645024739801</v>
      </c>
      <c r="AA73" s="102">
        <f t="array" ref="AA73">IF($G73=0, INDEX(LS_previous!$D$4:$AY$137, MATCH('Staging Table'!$A73, LS_previous!$B$4:$B$137, 0), MATCH(AA$4&amp;AA$5, LS_previous!$D$2:$AY$2&amp;LS_previous!$D$3:$AY$3, 0)),SUM(VLOOKUP($A73, LS_previous!$B$4:$AY$137, LS_previous!S$148, FALSE), VLOOKUP('Staging Table'!$A73, LS_previous!$B$4:$AY$137,LS_previous!AQ$148, FALSE))/2)</f>
        <v>-663.96638773826999</v>
      </c>
      <c r="AB73" s="102">
        <f t="array" ref="AB73">IF($G73=0, INDEX(LS_previous!$D$4:$AY$137, MATCH('Staging Table'!$A73, LS_previous!$B$4:$B$137, 0), MATCH(AB$4&amp;AB$5, LS_previous!$D$2:$AY$2&amp;LS_previous!$D$3:$AY$3, 0)),SUM(VLOOKUP($A73, LS_previous!$B$4:$AY$137, LS_previous!T$148, FALSE), VLOOKUP('Staging Table'!$A73, LS_previous!$B$4:$AY$137,LS_previous!AR$148, FALSE))/2)</f>
        <v>-6755.0515900991013</v>
      </c>
      <c r="AC73" s="102">
        <f t="array" ref="AC73">IF($G73=0, INDEX(LS_previous!$D$4:$AY$137, MATCH('Staging Table'!$A73, LS_previous!$B$4:$B$137, 0), MATCH(AC$4&amp;AC$5, LS_previous!$D$2:$AY$2&amp;LS_previous!$D$3:$AY$3, 0)),SUM(VLOOKUP($A73, LS_previous!$B$4:$AY$137, LS_previous!U$148, FALSE), VLOOKUP('Staging Table'!$A73, LS_previous!$B$4:$AY$137,LS_previous!AS$148, FALSE))/2)</f>
        <v>-949.12225004713036</v>
      </c>
      <c r="AD73" s="102">
        <f t="array" ref="AD73">IF($G73=0, INDEX(LS_previous!$D$4:$AY$137, MATCH('Staging Table'!$A73, LS_previous!$B$4:$B$137, 0), MATCH(AD$4&amp;AD$5, LS_previous!$D$2:$AY$2&amp;LS_previous!$D$3:$AY$3, 0)),SUM(VLOOKUP($A73, LS_previous!$B$4:$AY$137, LS_previous!V$148, FALSE), VLOOKUP('Staging Table'!$A73, LS_previous!$B$4:$AY$137,LS_previous!AT$148, FALSE))/2)</f>
        <v>-1886.19845850616</v>
      </c>
      <c r="AE73" s="102">
        <f t="array" ref="AE73">IF($G73=0, INDEX(LS_previous!$D$4:$AY$137, MATCH('Staging Table'!$A73, LS_previous!$B$4:$B$137, 0), MATCH(AE$4&amp;AE$5, LS_previous!$D$2:$AY$2&amp;LS_previous!$D$3:$AY$3, 0)),SUM(VLOOKUP($A73, LS_previous!$B$4:$AY$137, LS_previous!W$148, FALSE), VLOOKUP('Staging Table'!$A73, LS_previous!$B$4:$AY$137,LS_previous!AU$148, FALSE))/2)</f>
        <v>1911.0759711329692</v>
      </c>
      <c r="AF73" s="102">
        <f t="array" ref="AF73">IF($G73=0, INDEX(LS_previous!$D$4:$AY$137, MATCH('Staging Table'!$A73, LS_previous!$B$4:$B$137, 0), MATCH(AF$4&amp;AF$5, LS_previous!$D$2:$AY$2&amp;LS_previous!$D$3:$AY$3, 0)),SUM(VLOOKUP($A73, LS_previous!$B$4:$AY$137, LS_previous!X$148, FALSE), VLOOKUP('Staging Table'!$A73, LS_previous!$B$4:$AY$137,LS_previous!AV$148, FALSE))/2)</f>
        <v>-1681.7914873722766</v>
      </c>
      <c r="AG73" s="102">
        <f t="array" ref="AG73">IF($G73=0, INDEX(LS_previous!$D$4:$AY$137, MATCH('Staging Table'!$A73, LS_previous!$B$4:$B$137, 0), MATCH(AG$4&amp;AG$5, LS_previous!$D$2:$AY$2&amp;LS_previous!$D$3:$AY$3, 0)),SUM(VLOOKUP($A73, LS_previous!$B$4:$AY$137, LS_previous!Y$148, FALSE), VLOOKUP('Staging Table'!$A73, LS_previous!$B$4:$AY$137,LS_previous!AW$148, FALSE))/2)</f>
        <v>1978.2238888828597</v>
      </c>
      <c r="AH73" s="102">
        <f t="array" ref="AH73">IF($G73=0, INDEX(LS_previous!$D$4:$AY$137, MATCH('Staging Table'!$A73, LS_previous!$B$4:$B$137, 0), MATCH(AH$4&amp;AH$5, LS_previous!$D$2:$AY$2&amp;LS_previous!$D$3:$AY$3, 0)),SUM(VLOOKUP($A73, LS_previous!$B$4:$AY$137, LS_previous!Z$148, FALSE), VLOOKUP('Staging Table'!$A73, LS_previous!$B$4:$AY$137,LS_previous!AX$148, FALSE))/2)</f>
        <v>-2713.1997296374902</v>
      </c>
      <c r="AI73" s="102">
        <f t="array" ref="AI73">IF($G73=0, INDEX(LS_previous!$D$4:$AY$137, MATCH('Staging Table'!$A73, LS_previous!$B$4:$B$137, 0), MATCH(AI$4&amp;AI$5, LS_previous!$D$2:$AY$2&amp;LS_previous!$D$3:$AY$3, 0)),SUM(VLOOKUP($A73, LS_previous!$B$4:$AY$137, LS_previous!AA$148, FALSE), VLOOKUP('Staging Table'!$A73, LS_previous!$B$4:$AY$137,LS_previous!AY$148, FALSE))/2)</f>
        <v>288.9696628497768</v>
      </c>
      <c r="AJ73" s="103">
        <f t="array" ref="AJ73">INDEX(Demand_previous!$D$4:$AY$137, MATCH('Staging Table'!$A73, Demand_previous!$B$4:$B$137, 0), MATCH(AJ$4&amp;AJ$5,Demand_previous!$D$2:$AY$2&amp;Demand_previous!$D$3:$AY$3, 0))/1000</f>
        <v>0</v>
      </c>
      <c r="AK73" s="103">
        <f t="array" ref="AK73">INDEX(Demand_previous!$D$4:$AY$137, MATCH('Staging Table'!$A73, Demand_previous!$B$4:$B$137, 0), MATCH(AK$4&amp;AK$5,Demand_previous!$D$2:$AY$2&amp;Demand_previous!$D$3:$AY$3, 0))/1000</f>
        <v>0</v>
      </c>
      <c r="AL73" s="103">
        <f t="array" ref="AL73">INDEX(Demand_previous!$D$4:$AY$137, MATCH('Staging Table'!$A73, Demand_previous!$B$4:$B$137, 0), MATCH(AL$4&amp;AL$5,Demand_previous!$D$2:$AY$2&amp;Demand_previous!$D$3:$AY$3, 0))/1000</f>
        <v>0</v>
      </c>
      <c r="AM73" s="103">
        <f t="array" ref="AM73">INDEX(Demand_previous!$D$4:$AY$137, MATCH('Staging Table'!$A73, Demand_previous!$B$4:$B$137, 0), MATCH(AM$4&amp;AM$5,Demand_previous!$D$2:$AY$2&amp;Demand_previous!$D$3:$AY$3, 0))/1000</f>
        <v>0</v>
      </c>
      <c r="AN73" s="103">
        <f t="array" ref="AN73">INDEX(Demand_previous!$D$4:$AY$137, MATCH('Staging Table'!$A73, Demand_previous!$B$4:$B$137, 0), MATCH(AN$4&amp;AN$5,Demand_previous!$D$2:$AY$2&amp;Demand_previous!$D$3:$AY$3, 0))/1000</f>
        <v>0</v>
      </c>
      <c r="AO73" s="103">
        <f t="array" ref="AO73">INDEX(Demand_previous!$D$4:$AY$137, MATCH('Staging Table'!$A73, Demand_previous!$B$4:$B$137, 0), MATCH(AO$4&amp;AO$5,Demand_previous!$D$2:$AY$2&amp;Demand_previous!$D$3:$AY$3, 0))/1000</f>
        <v>0</v>
      </c>
      <c r="AP73" s="103">
        <f t="array" ref="AP73">INDEX(Demand_previous!$D$4:$AY$137, MATCH('Staging Table'!$A73, Demand_previous!$B$4:$B$137, 0), MATCH(AP$4&amp;AP$5,Demand_previous!$D$2:$AY$2&amp;Demand_previous!$D$3:$AY$3, 0))/1000</f>
        <v>0</v>
      </c>
      <c r="AQ73" s="103">
        <f t="array" ref="AQ73">INDEX(Demand_previous!$D$4:$AY$137, MATCH('Staging Table'!$A73, Demand_previous!$B$4:$B$137, 0), MATCH(AQ$4&amp;AQ$5,Demand_previous!$D$2:$AY$2&amp;Demand_previous!$D$3:$AY$3, 0))/1000</f>
        <v>0</v>
      </c>
      <c r="AR73" s="103">
        <f t="array" ref="AR73">INDEX(Demand_previous!$D$4:$AY$137, MATCH('Staging Table'!$A73, Demand_previous!$B$4:$B$137, 0), MATCH(AR$4&amp;AR$5,Demand_previous!$D$2:$AY$2&amp;Demand_previous!$D$3:$AY$3, 0))/1000</f>
        <v>0</v>
      </c>
      <c r="AS73" s="103">
        <f t="array" ref="AS73">INDEX(Demand_previous!$D$4:$AY$137, MATCH('Staging Table'!$A73, Demand_previous!$B$4:$B$137, 0), MATCH(AS$4&amp;AS$5,Demand_previous!$D$2:$AY$2&amp;Demand_previous!$D$3:$AY$3, 0))/1000</f>
        <v>0</v>
      </c>
      <c r="AT73" s="103">
        <f t="array" ref="AT73">INDEX(Demand_previous!$D$4:$AY$137, MATCH('Staging Table'!$A73, Demand_previous!$B$4:$B$137, 0), MATCH(AT$4&amp;AT$5,Demand_previous!$D$2:$AY$2&amp;Demand_previous!$D$3:$AY$3, 0))/1000</f>
        <v>0</v>
      </c>
      <c r="AU73" s="103">
        <f t="array" ref="AU73">INDEX(Demand_previous!$D$4:$AY$137, MATCH('Staging Table'!$A73, Demand_previous!$B$4:$B$137, 0), MATCH(AU$4&amp;AU$5,Demand_previous!$D$2:$AY$2&amp;Demand_previous!$D$3:$AY$3, 0))/1000</f>
        <v>0</v>
      </c>
      <c r="AV73" s="102">
        <f>$F73*(VLOOKUP(AV$4, Rates_previous!$G$6:$Q$29, 10, FALSE)+VLOOKUP(AV$4, Rates_previous!$G$6:$Q$29, 11, FALSE))</f>
        <v>25441.496083725749</v>
      </c>
      <c r="AW73" s="102">
        <f>$F73*(VLOOKUP(AW$4, Rates_previous!$G$6:$Q$29, 10, FALSE)+VLOOKUP(AW$4, Rates_previous!$G$6:$Q$29, 11, FALSE))</f>
        <v>32446.296915749506</v>
      </c>
      <c r="AX73" s="102">
        <f>$F73*(VLOOKUP(AX$4, Rates_previous!$G$6:$Q$29, 10, FALSE)+VLOOKUP(AX$4, Rates_previous!$G$6:$Q$29, 11, FALSE))</f>
        <v>35015.974232767505</v>
      </c>
      <c r="AY73" s="102">
        <f>$F73*(VLOOKUP(AY$4, Rates_previous!$G$6:$Q$29, 10, FALSE)+VLOOKUP(AY$4, Rates_previous!$G$6:$Q$29, 11, FALSE))</f>
        <v>36387.010271192004</v>
      </c>
      <c r="AZ73" s="102">
        <f>$F73*(VLOOKUP(AZ$4, Rates_previous!$G$6:$Q$29, 10, FALSE)+VLOOKUP(AZ$4, Rates_previous!$G$6:$Q$29, 11, FALSE))</f>
        <v>31297.678912059</v>
      </c>
      <c r="BA73" s="102">
        <f>$F73*(VLOOKUP(BA$4, Rates_previous!$G$6:$Q$29, 10, FALSE)+VLOOKUP(BA$4, Rates_previous!$G$6:$Q$29, 11, FALSE))</f>
        <v>34170.868743175502</v>
      </c>
      <c r="BB73" s="102">
        <f>$F73*(VLOOKUP(BB$4, Rates_previous!$G$6:$Q$29, 10, FALSE)+VLOOKUP(BB$4, Rates_previous!$G$6:$Q$29, 11, FALSE))</f>
        <v>26972.142383297123</v>
      </c>
      <c r="BC73" s="102">
        <f>$F73*(VLOOKUP(BC$4, Rates_previous!$G$6:$Q$29, 10, FALSE)+VLOOKUP(BC$4, Rates_previous!$G$6:$Q$29, 11, FALSE))</f>
        <v>33462.557062198255</v>
      </c>
      <c r="BD73" s="102">
        <f>$F73*(VLOOKUP(BD$4, Rates_previous!$G$6:$Q$29, 10, FALSE)+VLOOKUP(BD$4, Rates_previous!$G$6:$Q$29, 11, FALSE))</f>
        <v>34188.611013905247</v>
      </c>
      <c r="BE73" s="102">
        <f>$F73*(VLOOKUP(BE$4, Rates_previous!$G$6:$Q$29, 10, FALSE)+VLOOKUP(BE$4, Rates_previous!$G$6:$Q$29, 11, FALSE))</f>
        <v>29680.639857940751</v>
      </c>
      <c r="BF73" s="102">
        <f>$F73*(VLOOKUP(BF$4, Rates_previous!$G$6:$Q$29, 10, FALSE)+VLOOKUP(BF$4, Rates_previous!$G$6:$Q$29, 11, FALSE))</f>
        <v>28693.289369766178</v>
      </c>
      <c r="BG73" s="102">
        <f>$F73*(VLOOKUP(BG$4, Rates_previous!$G$6:$Q$29, 10, FALSE)+VLOOKUP(BG$4, Rates_previous!$G$6:$Q$29, 11, FALSE))</f>
        <v>26403.382643029003</v>
      </c>
      <c r="BH73" s="103">
        <f>IF($D73=0,IF(C73=0, MAX(BJ73 - (VLOOKUP($A73,TOCA_previous!$A$2:$AJ$136,MATCH("RHWM "&amp;Init!$D$1-2,TOCA_previous!$A$2:$AJ$2,0),FALSE)*$F$2*TOCA_previous!C70),0),0), 0)</f>
        <v>0</v>
      </c>
      <c r="BI73" s="109">
        <f>MIN(VLOOKUP($A73,TOCA_previous!$A$2:$AJ$136,MATCH("TRL - NLSL - Existing Resource "&amp;$F$1,TOCA_previous!$A$2:$AJ$2,0),FALSE)*$F$2,(VLOOKUP($A73,TOCA_previous!$A$2:$AJ$136,MATCH("RHWM "&amp;Init!$D$1-2,TOCA_previous!$A$2:$AJ$2,0),FALSE)*$F$2))</f>
        <v>698819.90399999998</v>
      </c>
      <c r="BJ73" s="261">
        <f>SUM(L73:AI73)+(F73*RT1SC!$C$3*$F$2)</f>
        <v>358408.94883205649</v>
      </c>
      <c r="BK73" s="260">
        <f>VLOOKUP($A73,TOCA_previous!$A$2:$AJ$136,MATCH("Above RHWM Not Served with LS "&amp;$F$1,TOCA_previous!$A$2:$AJ$2,0),FALSE)*$F$2</f>
        <v>51816.815999999999</v>
      </c>
      <c r="BL73" s="261">
        <f t="shared" si="36"/>
        <v>-340410.9551679435</v>
      </c>
      <c r="BM73" s="260">
        <f>(VLOOKUP($A73,TOCA_previous!$A$2:$AJ$136,MATCH("RHWM "&amp;Init!$D$1-2,TOCA_previous!$A$2:$AJ$2,0),FALSE)*$F$2) - $BI73</f>
        <v>0</v>
      </c>
      <c r="BN73" s="261">
        <f t="shared" si="37"/>
        <v>0</v>
      </c>
      <c r="BO73" s="260">
        <f t="shared" si="38"/>
        <v>288594.1391679435</v>
      </c>
      <c r="BP73" s="261">
        <f t="shared" si="39"/>
        <v>0</v>
      </c>
      <c r="BQ73" s="260">
        <f t="shared" si="9"/>
        <v>0</v>
      </c>
      <c r="BR73" s="85">
        <f>VLOOKUP($A73,TOCA_current!$A$2:$ZZ$136,MATCH(BR$4,TOCA_current!$A$2:$ZZ$2,0),FALSE)</f>
        <v>1.12546E-2</v>
      </c>
      <c r="BS73" s="85">
        <f>VLOOKUP($A73,TOCA_current!$A$2:$ZZ$136,MATCH(BS$4,TOCA_current!$A$2:$ZZ$2,0),FALSE)</f>
        <v>5.7707000000000001E-3</v>
      </c>
      <c r="BT73" s="108">
        <f t="shared" si="40"/>
        <v>5.4838999999999999E-3</v>
      </c>
      <c r="BU73" s="85">
        <f>VLOOKUP($A73,TOCA_current!A70:BG204,MATCH(BU$4,TOCA_current!$A$2:$BG$2,0),FALSE)</f>
        <v>0</v>
      </c>
      <c r="BV73" s="85">
        <f t="shared" si="41"/>
        <v>0</v>
      </c>
      <c r="BW73" s="85">
        <f t="shared" si="42"/>
        <v>0</v>
      </c>
      <c r="BX73" s="101">
        <f>VLOOKUP($A73,IRD!$A$4:$G$138, 7, FALSE)</f>
        <v>0</v>
      </c>
      <c r="BY73" s="102">
        <f t="array" ref="BY73">IF($BT73=0, INDEX(LS_current!$D$4:$BW$137, MATCH('Staging Table'!$A73, LS_current!$B$4:$B$137, 0), MATCH(BY$4&amp;BY$5, LS_current!$D$2:$BW$2&amp;LS_current!$D$3:$BW$3, 0)),SUM(VLOOKUP($A73, LS_current!$B$4:$BW$137, LS_current!D$147, FALSE), VLOOKUP($A73, LS_current!$B$4:$BW$137,LS_current!AZ$147, FALSE))/2)</f>
        <v>556.25888806699822</v>
      </c>
      <c r="BZ73" s="102">
        <f t="array" ref="BZ73">IF($BT73=0, INDEX(LS_current!$D$4:$BW$137, MATCH('Staging Table'!$A73, LS_current!$B$4:$B$137, 0), MATCH(BZ$4&amp;BZ$5, LS_current!$D$2:$BW$2&amp;LS_current!$D$3:$BW$3, 0)),SUM(VLOOKUP($A73, LS_current!$B$4:$BW$137, LS_current!E$147, FALSE), VLOOKUP($A73, LS_current!$B$4:$BW$137,LS_current!BA$147, FALSE))/2)</f>
        <v>2152.8767570303999</v>
      </c>
      <c r="CA73" s="102">
        <f t="array" ref="CA73">IF($BT73=0, INDEX(LS_current!$D$4:$BW$137, MATCH('Staging Table'!$A73, LS_current!$B$4:$B$137, 0), MATCH(CA$4&amp;CA$5, LS_current!$D$2:$BW$2&amp;LS_current!$D$3:$BW$3, 0)),SUM(VLOOKUP($A73, LS_current!$B$4:$BW$137, LS_current!F$147, FALSE), VLOOKUP($A73, LS_current!$B$4:$BW$137,LS_current!BB$147, FALSE))/2)</f>
        <v>-2189.4404993876669</v>
      </c>
      <c r="CB73" s="102">
        <f t="array" ref="CB73">IF($BT73=0, INDEX(LS_current!$D$4:$BW$137, MATCH('Staging Table'!$A73, LS_current!$B$4:$B$137, 0), MATCH(CB$4&amp;CB$5, LS_current!$D$2:$BW$2&amp;LS_current!$D$3:$BW$3, 0)),SUM(VLOOKUP($A73, LS_current!$B$4:$BW$137, LS_current!G$147, FALSE), VLOOKUP($A73, LS_current!$B$4:$BW$137,LS_current!BC$147, FALSE))/2)</f>
        <v>2192.125476891988</v>
      </c>
      <c r="CC73" s="102">
        <f t="array" ref="CC73">IF($BT73=0, INDEX(LS_current!$D$4:$BW$137, MATCH('Staging Table'!$A73, LS_current!$B$4:$B$137, 0), MATCH(CC$4&amp;CC$5, LS_current!$D$2:$BW$2&amp;LS_current!$D$3:$BW$3, 0)),SUM(VLOOKUP($A73, LS_current!$B$4:$BW$137, LS_current!H$147, FALSE), VLOOKUP($A73, LS_current!$B$4:$BW$137,LS_current!BD$147, FALSE))/2)</f>
        <v>-1163.9943997562987</v>
      </c>
      <c r="CD73" s="102">
        <f t="array" ref="CD73">IF($BT73=0, INDEX(LS_current!$D$4:$BW$137, MATCH('Staging Table'!$A73, LS_current!$B$4:$B$137, 0), MATCH(CD$4&amp;CD$5, LS_current!$D$2:$BW$2&amp;LS_current!$D$3:$BW$3, 0)),SUM(VLOOKUP($A73, LS_current!$B$4:$BW$137, LS_current!I$147, FALSE), VLOOKUP($A73, LS_current!$B$4:$BW$137,LS_current!BE$147, FALSE))/2)</f>
        <v>4179.5759530898267</v>
      </c>
      <c r="CE73" s="102">
        <f t="array" ref="CE73">IF($BT73=0, INDEX(LS_current!$D$4:$BW$137, MATCH('Staging Table'!$A73, LS_current!$B$4:$B$137, 0), MATCH(CE$4&amp;CE$5, LS_current!$D$2:$BW$2&amp;LS_current!$D$3:$BW$3, 0)),SUM(VLOOKUP($A73, LS_current!$B$4:$BW$137, LS_current!J$147, FALSE), VLOOKUP($A73, LS_current!$B$4:$BW$137,LS_current!BF$147, FALSE))/2)</f>
        <v>-1817.3000585956488</v>
      </c>
      <c r="CF73" s="102">
        <f t="array" ref="CF73">IF($BT73=0, INDEX(LS_current!$D$4:$BW$137, MATCH('Staging Table'!$A73, LS_current!$B$4:$B$137, 0), MATCH(CF$4&amp;CF$5, LS_current!$D$2:$BW$2&amp;LS_current!$D$3:$BW$3, 0)),SUM(VLOOKUP($A73, LS_current!$B$4:$BW$137, LS_current!K$147, FALSE), VLOOKUP($A73, LS_current!$B$4:$BW$137,LS_current!BG$147, FALSE))/2)</f>
        <v>3996.301224747298</v>
      </c>
      <c r="CG73" s="102">
        <f t="array" ref="CG73">IF($BT73=0, INDEX(LS_current!$D$4:$BW$137, MATCH('Staging Table'!$A73, LS_current!$B$4:$B$137, 0), MATCH(CG$4&amp;CG$5, LS_current!$D$2:$BW$2&amp;LS_current!$D$3:$BW$3, 0)),SUM(VLOOKUP($A73, LS_current!$B$4:$BW$137, LS_current!L$147, FALSE), VLOOKUP($A73, LS_current!$B$4:$BW$137,LS_current!BH$147, FALSE))/2)</f>
        <v>-303.98007777940802</v>
      </c>
      <c r="CH73" s="102">
        <f t="array" ref="CH73">IF($BT73=0, INDEX(LS_current!$D$4:$BW$137, MATCH('Staging Table'!$A73, LS_current!$B$4:$B$137, 0), MATCH(CH$4&amp;CH$5, LS_current!$D$2:$BW$2&amp;LS_current!$D$3:$BW$3, 0)),SUM(VLOOKUP($A73, LS_current!$B$4:$BW$137, LS_current!M$147, FALSE), VLOOKUP($A73, LS_current!$B$4:$BW$137,LS_current!BI$147, FALSE))/2)</f>
        <v>3097.3576012797903</v>
      </c>
      <c r="CI73" s="102">
        <f t="array" ref="CI73">IF($BT73=0, INDEX(LS_current!$D$4:$BW$137, MATCH('Staging Table'!$A73, LS_current!$B$4:$B$137, 0), MATCH(CI$4&amp;CI$5, LS_current!$D$2:$BW$2&amp;LS_current!$D$3:$BW$3, 0)),SUM(VLOOKUP($A73, LS_current!$B$4:$BW$137, LS_current!N$147, FALSE), VLOOKUP($A73, LS_current!$B$4:$BW$137,LS_current!BJ$147, FALSE))/2)</f>
        <v>-3744.1803554255985</v>
      </c>
      <c r="CJ73" s="102">
        <f t="array" ref="CJ73">IF($BT73=0, INDEX(LS_current!$D$4:$BW$137, MATCH('Staging Table'!$A73, LS_current!$B$4:$B$137, 0), MATCH(CJ$4&amp;CJ$5, LS_current!$D$2:$BW$2&amp;LS_current!$D$3:$BW$3, 0)),SUM(VLOOKUP($A73, LS_current!$B$4:$BW$137, LS_current!O$147, FALSE), VLOOKUP($A73, LS_current!$B$4:$BW$137,LS_current!BK$147, FALSE))/2)</f>
        <v>1647.9069145312369</v>
      </c>
      <c r="CK73" s="102">
        <f t="array" ref="CK73">IF($BT73=0, INDEX(LS_current!$D$4:$BW$137, MATCH('Staging Table'!$A73, LS_current!$B$4:$B$137, 0), MATCH(CK$4&amp;CK$5, LS_current!$D$2:$BW$2&amp;LS_current!$D$3:$BW$3, 0)),SUM(VLOOKUP($A73, LS_current!$B$4:$BW$137, LS_current!P$147, FALSE), VLOOKUP($A73, LS_current!$B$4:$BW$137,LS_current!BL$147, FALSE))/2)</f>
        <v>-281.98248929422243</v>
      </c>
      <c r="CL73" s="102">
        <f t="array" ref="CL73">IF($BT73=0, INDEX(LS_current!$D$4:$BW$137, MATCH('Staging Table'!$A73, LS_current!$B$4:$B$137, 0), MATCH(CL$4&amp;CL$5, LS_current!$D$2:$BW$2&amp;LS_current!$D$3:$BW$3, 0)),SUM(VLOOKUP($A73, LS_current!$B$4:$BW$137, LS_current!Q$147, FALSE), VLOOKUP($A73, LS_current!$B$4:$BW$137,LS_current!BM$147, FALSE))/2)</f>
        <v>1422.0400918310715</v>
      </c>
      <c r="CM73" s="102">
        <f t="array" ref="CM73">IF($BT73=0, INDEX(LS_current!$D$4:$BW$137, MATCH('Staging Table'!$A73, LS_current!$B$4:$B$137, 0), MATCH(CM$4&amp;CM$5, LS_current!$D$2:$BW$2&amp;LS_current!$D$3:$BW$3, 0)),SUM(VLOOKUP($A73, LS_current!$B$4:$BW$137, LS_current!R$147, FALSE), VLOOKUP($A73, LS_current!$B$4:$BW$137,LS_current!BN$147, FALSE))/2)</f>
        <v>-4132.1901934409243</v>
      </c>
      <c r="CN73" s="102">
        <f t="array" ref="CN73">IF($BT73=0, INDEX(LS_current!$D$4:$BW$137, MATCH('Staging Table'!$A73, LS_current!$B$4:$B$137, 0), MATCH(CN$4&amp;CN$5, LS_current!$D$2:$BW$2&amp;LS_current!$D$3:$BW$3, 0)),SUM(VLOOKUP($A73, LS_current!$B$4:$BW$137, LS_current!S$147, FALSE), VLOOKUP($A73, LS_current!$B$4:$BW$137,LS_current!BO$147, FALSE))/2)</f>
        <v>499.18549109874766</v>
      </c>
      <c r="CO73" s="102">
        <f t="array" ref="CO73">IF($BT73=0, INDEX(LS_current!$D$4:$BW$137, MATCH('Staging Table'!$A73, LS_current!$B$4:$B$137, 0), MATCH(CO$4&amp;CO$5, LS_current!$D$2:$BW$2&amp;LS_current!$D$3:$BW$3, 0)),SUM(VLOOKUP($A73, LS_current!$B$4:$BW$137, LS_current!T$147, FALSE), VLOOKUP($A73, LS_current!$B$4:$BW$137,LS_current!BP$147, FALSE))/2)</f>
        <v>-5960.2742092798126</v>
      </c>
      <c r="CP73" s="102">
        <f t="array" ref="CP73">IF($BT73=0, INDEX(LS_current!$D$4:$BW$137, MATCH('Staging Table'!$A73, LS_current!$B$4:$B$137, 0), MATCH(CP$4&amp;CP$5, LS_current!$D$2:$BW$2&amp;LS_current!$D$3:$BW$3, 0)),SUM(VLOOKUP($A73, LS_current!$B$4:$BW$137, LS_current!U$147, FALSE), VLOOKUP($A73, LS_current!$B$4:$BW$137,LS_current!BQ$147, FALSE))/2)</f>
        <v>-159.31751370203801</v>
      </c>
      <c r="CQ73" s="102">
        <f t="array" ref="CQ73">IF($BT73=0, INDEX(LS_current!$D$4:$BW$137, MATCH('Staging Table'!$A73, LS_current!$B$4:$B$137, 0), MATCH(CQ$4&amp;CQ$5, LS_current!$D$2:$BW$2&amp;LS_current!$D$3:$BW$3, 0)),SUM(VLOOKUP($A73, LS_current!$B$4:$BW$137, LS_current!V$147, FALSE), VLOOKUP($A73, LS_current!$B$4:$BW$137,LS_current!BR$147, FALSE))/2)</f>
        <v>-1768.3028104575569</v>
      </c>
      <c r="CR73" s="102">
        <f t="array" ref="CR73">IF($BT73=0, INDEX(LS_current!$D$4:$BW$137, MATCH('Staging Table'!$A73, LS_current!$B$4:$B$137, 0), MATCH(CR$4&amp;CR$5, LS_current!$D$2:$BW$2&amp;LS_current!$D$3:$BW$3, 0)),SUM(VLOOKUP($A73, LS_current!$B$4:$BW$137, LS_current!W$147, FALSE), VLOOKUP($A73, LS_current!$B$4:$BW$137,LS_current!BS$147, FALSE))/2)</f>
        <v>2493.8785277938105</v>
      </c>
      <c r="CS73" s="102">
        <f t="array" ref="CS73">IF($BT73=0, INDEX(LS_current!$D$4:$BW$137, MATCH('Staging Table'!$A73, LS_current!$B$4:$B$137, 0), MATCH(CS$4&amp;CS$5, LS_current!$D$2:$BW$2&amp;LS_current!$D$3:$BW$3, 0)),SUM(VLOOKUP($A73, LS_current!$B$4:$BW$137, LS_current!X$147, FALSE), VLOOKUP($A73, LS_current!$B$4:$BW$137,LS_current!BT$147, FALSE))/2)</f>
        <v>-3578.0286852932941</v>
      </c>
      <c r="CT73" s="102">
        <f t="array" ref="CT73">IF($BT73=0, INDEX(LS_current!$D$4:$BW$137, MATCH('Staging Table'!$A73, LS_current!$B$4:$B$137, 0), MATCH(CT$4&amp;CT$5, LS_current!$D$2:$BW$2&amp;LS_current!$D$3:$BW$3, 0)),SUM(VLOOKUP($A73, LS_current!$B$4:$BW$137, LS_current!Y$147, FALSE), VLOOKUP($A73, LS_current!$B$4:$BW$137,LS_current!BU$147, FALSE))/2)</f>
        <v>2829.8612151442921</v>
      </c>
      <c r="CU73" s="102">
        <f t="array" ref="CU73">IF($BT73=0, INDEX(LS_current!$D$4:$BW$137, MATCH('Staging Table'!$A73, LS_current!$B$4:$B$137, 0), MATCH(CU$4&amp;CU$5, LS_current!$D$2:$BW$2&amp;LS_current!$D$3:$BW$3, 0)),SUM(VLOOKUP($A73, LS_current!$B$4:$BW$137, LS_current!Z$147, FALSE), VLOOKUP($A73, LS_current!$B$4:$BW$137,LS_current!BV$147, FALSE))/2)</f>
        <v>-1057.7438151922106</v>
      </c>
      <c r="CV73" s="102">
        <f t="array" ref="CV73">IF($BT73=0, INDEX(LS_current!$D$4:$BW$137, MATCH('Staging Table'!$A73, LS_current!$B$4:$B$137, 0), MATCH(CV$4&amp;CV$5, LS_current!$D$2:$BW$2&amp;LS_current!$D$3:$BW$3, 0)),SUM(VLOOKUP($A73, LS_current!$B$4:$BW$137, LS_current!AA$147, FALSE), VLOOKUP($A73, LS_current!$B$4:$BW$137,LS_current!BW$147, FALSE))/2)</f>
        <v>1951.5288267895739</v>
      </c>
      <c r="CW73" s="103">
        <f t="array" ref="CW73">INDEX(Demand_current!$D$4:$BW$137, MATCH($A73, Demand_current!$B$4:$B$137, 0), MATCH(CW$4&amp;CW$5,Demand_current!$D$2:$BW$2&amp;Demand_current!$D$3:$BW$3, 0))/1000</f>
        <v>0</v>
      </c>
      <c r="CX73" s="103">
        <f t="array" ref="CX73">INDEX(Demand_current!$D$4:$BW$137, MATCH($A73, Demand_current!$B$4:$B$137, 0), MATCH(CX$4&amp;CX$5,Demand_current!$D$2:$BW$2&amp;Demand_current!$D$3:$BW$3, 0))/1000</f>
        <v>0</v>
      </c>
      <c r="CY73" s="103">
        <f t="array" ref="CY73">INDEX(Demand_current!$D$4:$BW$137, MATCH($A73, Demand_current!$B$4:$B$137, 0), MATCH(CY$4&amp;CY$5,Demand_current!$D$2:$BW$2&amp;Demand_current!$D$3:$BW$3, 0))/1000</f>
        <v>0</v>
      </c>
      <c r="CZ73" s="103">
        <f t="array" ref="CZ73">INDEX(Demand_current!$D$4:$BW$137, MATCH($A73, Demand_current!$B$4:$B$137, 0), MATCH(CZ$4&amp;CZ$5,Demand_current!$D$2:$BW$2&amp;Demand_current!$D$3:$BW$3, 0))/1000</f>
        <v>0</v>
      </c>
      <c r="DA73" s="103">
        <f t="array" ref="DA73">INDEX(Demand_current!$D$4:$BW$137, MATCH($A73, Demand_current!$B$4:$B$137, 0), MATCH(DA$4&amp;DA$5,Demand_current!$D$2:$BW$2&amp;Demand_current!$D$3:$BW$3, 0))/1000</f>
        <v>0</v>
      </c>
      <c r="DB73" s="103">
        <f t="array" ref="DB73">INDEX(Demand_current!$D$4:$BW$137, MATCH($A73, Demand_current!$B$4:$B$137, 0), MATCH(DB$4&amp;DB$5,Demand_current!$D$2:$BW$2&amp;Demand_current!$D$3:$BW$3, 0))/1000</f>
        <v>0</v>
      </c>
      <c r="DC73" s="103">
        <f t="array" ref="DC73">INDEX(Demand_current!$D$4:$BW$137, MATCH($A73, Demand_current!$B$4:$B$137, 0), MATCH(DC$4&amp;DC$5,Demand_current!$D$2:$BW$2&amp;Demand_current!$D$3:$BW$3, 0))/1000</f>
        <v>0</v>
      </c>
      <c r="DD73" s="103">
        <f t="array" ref="DD73">INDEX(Demand_current!$D$4:$BW$137, MATCH($A73, Demand_current!$B$4:$B$137, 0), MATCH(DD$4&amp;DD$5,Demand_current!$D$2:$BW$2&amp;Demand_current!$D$3:$BW$3, 0))/1000</f>
        <v>0</v>
      </c>
      <c r="DE73" s="103">
        <f t="array" ref="DE73">INDEX(Demand_current!$D$4:$BW$137, MATCH($A73, Demand_current!$B$4:$B$137, 0), MATCH(DE$4&amp;DE$5,Demand_current!$D$2:$BW$2&amp;Demand_current!$D$3:$BW$3, 0))/1000</f>
        <v>0</v>
      </c>
      <c r="DF73" s="103">
        <f t="array" ref="DF73">INDEX(Demand_current!$D$4:$BW$137, MATCH($A73, Demand_current!$B$4:$B$137, 0), MATCH(DF$4&amp;DF$5,Demand_current!$D$2:$BW$2&amp;Demand_current!$D$3:$BW$3, 0))/1000</f>
        <v>0</v>
      </c>
      <c r="DG73" s="103">
        <f t="array" ref="DG73">INDEX(Demand_current!$D$4:$BW$137, MATCH($A73, Demand_current!$B$4:$B$137, 0), MATCH(DG$4&amp;DG$5,Demand_current!$D$2:$BW$2&amp;Demand_current!$D$3:$BW$3, 0))/1000</f>
        <v>0</v>
      </c>
      <c r="DH73" s="103">
        <f t="array" ref="DH73">INDEX(Demand_current!$D$4:$BW$137, MATCH($A73, Demand_current!$B$4:$B$137, 0), MATCH(DH$4&amp;DH$5,Demand_current!$D$2:$BW$2&amp;Demand_current!$D$3:$BW$3, 0))/1000</f>
        <v>0</v>
      </c>
      <c r="DI73" s="102">
        <f>$BS73*(VLOOKUP(DI$4, Rates_current!$H$6:$R$41, 10, FALSE)+VLOOKUP(DI$4, Rates_current!$H$6:$R$41, 11, FALSE))</f>
        <v>23950.064703394713</v>
      </c>
      <c r="DJ73" s="102">
        <f>$BS73*(VLOOKUP(DJ$4, Rates_current!$H$6:$R$41, 10, FALSE)+VLOOKUP(DJ$4, Rates_current!$H$6:$R$41, 11, FALSE))</f>
        <v>30619.369476844768</v>
      </c>
      <c r="DK73" s="102">
        <f>$BS73*(VLOOKUP(DK$4, Rates_current!$H$6:$R$41, 10, FALSE)+VLOOKUP(DK$4, Rates_current!$H$6:$R$41, 11, FALSE))</f>
        <v>34811.662184391796</v>
      </c>
      <c r="DL73" s="102">
        <f>$BS73*(VLOOKUP(DL$4, Rates_current!$H$6:$R$41, 10, FALSE)+VLOOKUP(DL$4, Rates_current!$H$6:$R$41, 11, FALSE))</f>
        <v>36729.020964080119</v>
      </c>
      <c r="DM73" s="102">
        <f>$BS73*(VLOOKUP(DM$4, Rates_current!$H$6:$R$41, 10, FALSE)+VLOOKUP(DM$4, Rates_current!$H$6:$R$41, 11, FALSE))</f>
        <v>29269.71478752395</v>
      </c>
      <c r="DN73" s="102">
        <f>$BS73*(VLOOKUP(DN$4, Rates_current!$H$6:$R$41, 10, FALSE)+VLOOKUP(DN$4, Rates_current!$H$6:$R$41, 11, FALSE))</f>
        <v>31997.808966905806</v>
      </c>
      <c r="DO73" s="102">
        <f>$BS73*(VLOOKUP(DO$4, Rates_current!$H$6:$R$41, 10, FALSE)+VLOOKUP(DO$4, Rates_current!$H$6:$R$41, 11, FALSE))</f>
        <v>24798.623817617652</v>
      </c>
      <c r="DP73" s="102">
        <f>$BS73*(VLOOKUP(DP$4, Rates_current!$H$6:$R$41, 10, FALSE)+VLOOKUP(DP$4, Rates_current!$H$6:$R$41, 11, FALSE))</f>
        <v>32093.502371678351</v>
      </c>
      <c r="DQ73" s="102">
        <f>$BS73*(VLOOKUP(DQ$4, Rates_current!$H$6:$R$41, 10, FALSE)+VLOOKUP(DQ$4, Rates_current!$H$6:$R$41, 11, FALSE))</f>
        <v>32778.792071473974</v>
      </c>
      <c r="DR73" s="102">
        <f>$BS73*(VLOOKUP(DR$4, Rates_current!$H$6:$R$41, 10, FALSE)+VLOOKUP(DR$4, Rates_current!$H$6:$R$41, 11, FALSE))</f>
        <v>29175.959808675172</v>
      </c>
      <c r="DS73" s="102">
        <f>$BS73*(VLOOKUP(DS$4, Rates_current!$H$6:$R$41, 10, FALSE)+VLOOKUP(DS$4, Rates_current!$H$6:$R$41, 11, FALSE))</f>
        <v>29929.184067822815</v>
      </c>
      <c r="DT73" s="102">
        <f>$BS73*(VLOOKUP(DT$4, Rates_current!$H$6:$R$41, 10, FALSE)+VLOOKUP(DT$4, Rates_current!$H$6:$R$41, 11, FALSE))</f>
        <v>23243.599087713072</v>
      </c>
      <c r="DU73" s="261">
        <f>IF(D73=0,IF(C73=0,MAX(0,DW73 - (VLOOKUP($A73,TOCA_current!$A$2:$AV$136,MATCH("RHWM "&amp;Init!$D$1,TOCA_current!$A$2:$AV$2,0),FALSE)*$BS$2)), 0),0)</f>
        <v>0</v>
      </c>
      <c r="DV73" s="262">
        <f>MIN(VLOOKUP($A73,TOCA_current!$A$2:$AV$136,MATCH("TRL - NLSL - Existing Resource "&amp;$BS$1,TOCA_current!$A$2:$AV$2,0),FALSE)*$BS$2, VLOOKUP($A73,TOCA_current!$A$2:$AV$136,MATCH("RHWM "&amp;Init!$D$1,TOCA_current!$A$2:$AV$2,0),FALSE)*$BS$2)</f>
        <v>700931.4</v>
      </c>
      <c r="DW73" s="262">
        <f>SUM(BY73:CV73)+(BS73*RT1SC!$C$4*$BS$2)</f>
        <v>360259.48538395436</v>
      </c>
      <c r="DX73" s="262">
        <f>VLOOKUP($A73,TOCA_current!$A$2:$AV$136,MATCH("Above RHWM Not Served with LS "&amp;$BS$1,TOCA_current!$A$2:$AV$2,0),FALSE)*$BS$2</f>
        <v>39621.479999999996</v>
      </c>
      <c r="DY73" s="262">
        <f t="shared" si="43"/>
        <v>-340671.91461604566</v>
      </c>
      <c r="DZ73" s="262">
        <f>(VLOOKUP($A73,TOCA_current!$A$2:$AV$136,MATCH("RHWM "&amp;Init!$D$1,TOCA_current!$A$2:$AV$2,0),FALSE)*$BS$2) - $DV73</f>
        <v>0</v>
      </c>
      <c r="EA73" s="262">
        <f t="shared" si="44"/>
        <v>0</v>
      </c>
      <c r="EB73" s="262">
        <f t="shared" si="45"/>
        <v>301050.43461604568</v>
      </c>
      <c r="EC73" s="262">
        <f t="shared" si="46"/>
        <v>0</v>
      </c>
      <c r="ED73" s="262">
        <f t="shared" si="47"/>
        <v>0</v>
      </c>
    </row>
    <row r="74" spans="1:134">
      <c r="A74" s="2">
        <v>10209</v>
      </c>
      <c r="B74" s="3" t="s">
        <v>76</v>
      </c>
      <c r="C74">
        <f>VLOOKUP(A74, TOCA_current!$A$3:$D$136, 4, FALSE)</f>
        <v>1</v>
      </c>
      <c r="D74">
        <v>0</v>
      </c>
      <c r="E74" s="84">
        <f>VLOOKUP($A74,TOCA_previous!$A$2:$AJ$136,MATCH(E$4,TOCA_previous!$A$2:$AJ$2,0),FALSE)</f>
        <v>1.5185000000000001E-2</v>
      </c>
      <c r="F74" s="85">
        <f>VLOOKUP($A74,TOCA_previous!$A$2:$AJ$136,MATCH(F$4,TOCA_previous!$A$2:$AJ$2,0),FALSE)</f>
        <v>1.5185000000000001E-2</v>
      </c>
      <c r="G74" s="85">
        <f t="shared" si="33"/>
        <v>0</v>
      </c>
      <c r="H74" s="85">
        <f>VLOOKUP($A74,TOCA_previous!$A$2:$AJ$136,MATCH(H$4,TOCA_previous!$A$2:$AJ$2,0),FALSE)</f>
        <v>8.5350748403088955E-2</v>
      </c>
      <c r="I74" s="85">
        <f t="shared" si="34"/>
        <v>8.5350748403088955E-2</v>
      </c>
      <c r="J74" s="85">
        <f t="shared" si="35"/>
        <v>1.5185000000000001E-2</v>
      </c>
      <c r="K74" s="101">
        <f>VLOOKUP(A74, IRD!$A$5:$C$138, 3, FALSE)</f>
        <v>60112.701000000001</v>
      </c>
      <c r="L74" s="102">
        <f t="array" ref="L74">IF($G74=0, INDEX(LS_previous!$D$4:$AY$137, MATCH('Staging Table'!$A74, LS_previous!$B$4:$B$137, 0), MATCH(L$4&amp;L$5, LS_previous!$D$2:$AY$2&amp;LS_previous!$D$3:$AY$3, 0)),SUM(VLOOKUP($A74, LS_previous!$B$4:$AY$137, LS_previous!D$148, FALSE), VLOOKUP('Staging Table'!$A74, LS_previous!$B$4:$AY$137,LS_previous!AB$148, FALSE))/2)</f>
        <v>0</v>
      </c>
      <c r="M74" s="102">
        <f t="array" ref="M74">IF($G74=0, INDEX(LS_previous!$D$4:$AY$137, MATCH('Staging Table'!$A74, LS_previous!$B$4:$B$137, 0), MATCH(M$4&amp;M$5, LS_previous!$D$2:$AY$2&amp;LS_previous!$D$3:$AY$3, 0)),SUM(VLOOKUP($A74, LS_previous!$B$4:$AY$137, LS_previous!E$148, FALSE), VLOOKUP('Staging Table'!$A74, LS_previous!$B$4:$AY$137,LS_previous!AC$148, FALSE))/2)</f>
        <v>0</v>
      </c>
      <c r="N74" s="102">
        <f t="array" ref="N74">IF($G74=0, INDEX(LS_previous!$D$4:$AY$137, MATCH('Staging Table'!$A74, LS_previous!$B$4:$B$137, 0), MATCH(N$4&amp;N$5, LS_previous!$D$2:$AY$2&amp;LS_previous!$D$3:$AY$3, 0)),SUM(VLOOKUP($A74, LS_previous!$B$4:$AY$137, LS_previous!F$148, FALSE), VLOOKUP('Staging Table'!$A74, LS_previous!$B$4:$AY$137,LS_previous!AD$148, FALSE))/2)</f>
        <v>0</v>
      </c>
      <c r="O74" s="102">
        <f t="array" ref="O74">IF($G74=0, INDEX(LS_previous!$D$4:$AY$137, MATCH('Staging Table'!$A74, LS_previous!$B$4:$B$137, 0), MATCH(O$4&amp;O$5, LS_previous!$D$2:$AY$2&amp;LS_previous!$D$3:$AY$3, 0)),SUM(VLOOKUP($A74, LS_previous!$B$4:$AY$137, LS_previous!G$148, FALSE), VLOOKUP('Staging Table'!$A74, LS_previous!$B$4:$AY$137,LS_previous!AE$148, FALSE))/2)</f>
        <v>0</v>
      </c>
      <c r="P74" s="102">
        <f t="array" ref="P74">IF($G74=0, INDEX(LS_previous!$D$4:$AY$137, MATCH('Staging Table'!$A74, LS_previous!$B$4:$B$137, 0), MATCH(P$4&amp;P$5, LS_previous!$D$2:$AY$2&amp;LS_previous!$D$3:$AY$3, 0)),SUM(VLOOKUP($A74, LS_previous!$B$4:$AY$137, LS_previous!H$148, FALSE), VLOOKUP('Staging Table'!$A74, LS_previous!$B$4:$AY$137,LS_previous!AF$148, FALSE))/2)</f>
        <v>0</v>
      </c>
      <c r="Q74" s="102">
        <f t="array" ref="Q74">IF($G74=0, INDEX(LS_previous!$D$4:$AY$137, MATCH('Staging Table'!$A74, LS_previous!$B$4:$B$137, 0), MATCH(Q$4&amp;Q$5, LS_previous!$D$2:$AY$2&amp;LS_previous!$D$3:$AY$3, 0)),SUM(VLOOKUP($A74, LS_previous!$B$4:$AY$137, LS_previous!I$148, FALSE), VLOOKUP('Staging Table'!$A74, LS_previous!$B$4:$AY$137,LS_previous!AG$148, FALSE))/2)</f>
        <v>0</v>
      </c>
      <c r="R74" s="102">
        <f t="array" ref="R74">IF($G74=0, INDEX(LS_previous!$D$4:$AY$137, MATCH('Staging Table'!$A74, LS_previous!$B$4:$B$137, 0), MATCH(R$4&amp;R$5, LS_previous!$D$2:$AY$2&amp;LS_previous!$D$3:$AY$3, 0)),SUM(VLOOKUP($A74, LS_previous!$B$4:$AY$137, LS_previous!J$148, FALSE), VLOOKUP('Staging Table'!$A74, LS_previous!$B$4:$AY$137,LS_previous!AH$148, FALSE))/2)</f>
        <v>0</v>
      </c>
      <c r="S74" s="102">
        <f t="array" ref="S74">IF($G74=0, INDEX(LS_previous!$D$4:$AY$137, MATCH('Staging Table'!$A74, LS_previous!$B$4:$B$137, 0), MATCH(S$4&amp;S$5, LS_previous!$D$2:$AY$2&amp;LS_previous!$D$3:$AY$3, 0)),SUM(VLOOKUP($A74, LS_previous!$B$4:$AY$137, LS_previous!K$148, FALSE), VLOOKUP('Staging Table'!$A74, LS_previous!$B$4:$AY$137,LS_previous!AI$148, FALSE))/2)</f>
        <v>0</v>
      </c>
      <c r="T74" s="102">
        <f t="array" ref="T74">IF($G74=0, INDEX(LS_previous!$D$4:$AY$137, MATCH('Staging Table'!$A74, LS_previous!$B$4:$B$137, 0), MATCH(T$4&amp;T$5, LS_previous!$D$2:$AY$2&amp;LS_previous!$D$3:$AY$3, 0)),SUM(VLOOKUP($A74, LS_previous!$B$4:$AY$137, LS_previous!L$148, FALSE), VLOOKUP('Staging Table'!$A74, LS_previous!$B$4:$AY$137,LS_previous!AJ$148, FALSE))/2)</f>
        <v>0</v>
      </c>
      <c r="U74" s="102">
        <f t="array" ref="U74">IF($G74=0, INDEX(LS_previous!$D$4:$AY$137, MATCH('Staging Table'!$A74, LS_previous!$B$4:$B$137, 0), MATCH(U$4&amp;U$5, LS_previous!$D$2:$AY$2&amp;LS_previous!$D$3:$AY$3, 0)),SUM(VLOOKUP($A74, LS_previous!$B$4:$AY$137, LS_previous!M$148, FALSE), VLOOKUP('Staging Table'!$A74, LS_previous!$B$4:$AY$137,LS_previous!AK$148, FALSE))/2)</f>
        <v>0</v>
      </c>
      <c r="V74" s="102">
        <f t="array" ref="V74">IF($G74=0, INDEX(LS_previous!$D$4:$AY$137, MATCH('Staging Table'!$A74, LS_previous!$B$4:$B$137, 0), MATCH(V$4&amp;V$5, LS_previous!$D$2:$AY$2&amp;LS_previous!$D$3:$AY$3, 0)),SUM(VLOOKUP($A74, LS_previous!$B$4:$AY$137, LS_previous!N$148, FALSE), VLOOKUP('Staging Table'!$A74, LS_previous!$B$4:$AY$137,LS_previous!AL$148, FALSE))/2)</f>
        <v>0</v>
      </c>
      <c r="W74" s="102">
        <f t="array" ref="W74">IF($G74=0, INDEX(LS_previous!$D$4:$AY$137, MATCH('Staging Table'!$A74, LS_previous!$B$4:$B$137, 0), MATCH(W$4&amp;W$5, LS_previous!$D$2:$AY$2&amp;LS_previous!$D$3:$AY$3, 0)),SUM(VLOOKUP($A74, LS_previous!$B$4:$AY$137, LS_previous!O$148, FALSE), VLOOKUP('Staging Table'!$A74, LS_previous!$B$4:$AY$137,LS_previous!AM$148, FALSE))/2)</f>
        <v>0</v>
      </c>
      <c r="X74" s="102">
        <f t="array" ref="X74">IF($G74=0, INDEX(LS_previous!$D$4:$AY$137, MATCH('Staging Table'!$A74, LS_previous!$B$4:$B$137, 0), MATCH(X$4&amp;X$5, LS_previous!$D$2:$AY$2&amp;LS_previous!$D$3:$AY$3, 0)),SUM(VLOOKUP($A74, LS_previous!$B$4:$AY$137, LS_previous!P$148, FALSE), VLOOKUP('Staging Table'!$A74, LS_previous!$B$4:$AY$137,LS_previous!AN$148, FALSE))/2)</f>
        <v>0</v>
      </c>
      <c r="Y74" s="102">
        <f t="array" ref="Y74">IF($G74=0, INDEX(LS_previous!$D$4:$AY$137, MATCH('Staging Table'!$A74, LS_previous!$B$4:$B$137, 0), MATCH(Y$4&amp;Y$5, LS_previous!$D$2:$AY$2&amp;LS_previous!$D$3:$AY$3, 0)),SUM(VLOOKUP($A74, LS_previous!$B$4:$AY$137, LS_previous!Q$148, FALSE), VLOOKUP('Staging Table'!$A74, LS_previous!$B$4:$AY$137,LS_previous!AO$148, FALSE))/2)</f>
        <v>0</v>
      </c>
      <c r="Z74" s="102">
        <f t="array" ref="Z74">IF($G74=0, INDEX(LS_previous!$D$4:$AY$137, MATCH('Staging Table'!$A74, LS_previous!$B$4:$B$137, 0), MATCH(Z$4&amp;Z$5, LS_previous!$D$2:$AY$2&amp;LS_previous!$D$3:$AY$3, 0)),SUM(VLOOKUP($A74, LS_previous!$B$4:$AY$137, LS_previous!R$148, FALSE), VLOOKUP('Staging Table'!$A74, LS_previous!$B$4:$AY$137,LS_previous!AP$148, FALSE))/2)</f>
        <v>0</v>
      </c>
      <c r="AA74" s="102">
        <f t="array" ref="AA74">IF($G74=0, INDEX(LS_previous!$D$4:$AY$137, MATCH('Staging Table'!$A74, LS_previous!$B$4:$B$137, 0), MATCH(AA$4&amp;AA$5, LS_previous!$D$2:$AY$2&amp;LS_previous!$D$3:$AY$3, 0)),SUM(VLOOKUP($A74, LS_previous!$B$4:$AY$137, LS_previous!S$148, FALSE), VLOOKUP('Staging Table'!$A74, LS_previous!$B$4:$AY$137,LS_previous!AQ$148, FALSE))/2)</f>
        <v>0</v>
      </c>
      <c r="AB74" s="102">
        <f t="array" ref="AB74">IF($G74=0, INDEX(LS_previous!$D$4:$AY$137, MATCH('Staging Table'!$A74, LS_previous!$B$4:$B$137, 0), MATCH(AB$4&amp;AB$5, LS_previous!$D$2:$AY$2&amp;LS_previous!$D$3:$AY$3, 0)),SUM(VLOOKUP($A74, LS_previous!$B$4:$AY$137, LS_previous!T$148, FALSE), VLOOKUP('Staging Table'!$A74, LS_previous!$B$4:$AY$137,LS_previous!AR$148, FALSE))/2)</f>
        <v>0</v>
      </c>
      <c r="AC74" s="102">
        <f t="array" ref="AC74">IF($G74=0, INDEX(LS_previous!$D$4:$AY$137, MATCH('Staging Table'!$A74, LS_previous!$B$4:$B$137, 0), MATCH(AC$4&amp;AC$5, LS_previous!$D$2:$AY$2&amp;LS_previous!$D$3:$AY$3, 0)),SUM(VLOOKUP($A74, LS_previous!$B$4:$AY$137, LS_previous!U$148, FALSE), VLOOKUP('Staging Table'!$A74, LS_previous!$B$4:$AY$137,LS_previous!AS$148, FALSE))/2)</f>
        <v>0</v>
      </c>
      <c r="AD74" s="102">
        <f t="array" ref="AD74">IF($G74=0, INDEX(LS_previous!$D$4:$AY$137, MATCH('Staging Table'!$A74, LS_previous!$B$4:$B$137, 0), MATCH(AD$4&amp;AD$5, LS_previous!$D$2:$AY$2&amp;LS_previous!$D$3:$AY$3, 0)),SUM(VLOOKUP($A74, LS_previous!$B$4:$AY$137, LS_previous!V$148, FALSE), VLOOKUP('Staging Table'!$A74, LS_previous!$B$4:$AY$137,LS_previous!AT$148, FALSE))/2)</f>
        <v>0</v>
      </c>
      <c r="AE74" s="102">
        <f t="array" ref="AE74">IF($G74=0, INDEX(LS_previous!$D$4:$AY$137, MATCH('Staging Table'!$A74, LS_previous!$B$4:$B$137, 0), MATCH(AE$4&amp;AE$5, LS_previous!$D$2:$AY$2&amp;LS_previous!$D$3:$AY$3, 0)),SUM(VLOOKUP($A74, LS_previous!$B$4:$AY$137, LS_previous!W$148, FALSE), VLOOKUP('Staging Table'!$A74, LS_previous!$B$4:$AY$137,LS_previous!AU$148, FALSE))/2)</f>
        <v>0</v>
      </c>
      <c r="AF74" s="102">
        <f t="array" ref="AF74">IF($G74=0, INDEX(LS_previous!$D$4:$AY$137, MATCH('Staging Table'!$A74, LS_previous!$B$4:$B$137, 0), MATCH(AF$4&amp;AF$5, LS_previous!$D$2:$AY$2&amp;LS_previous!$D$3:$AY$3, 0)),SUM(VLOOKUP($A74, LS_previous!$B$4:$AY$137, LS_previous!X$148, FALSE), VLOOKUP('Staging Table'!$A74, LS_previous!$B$4:$AY$137,LS_previous!AV$148, FALSE))/2)</f>
        <v>0</v>
      </c>
      <c r="AG74" s="102">
        <f t="array" ref="AG74">IF($G74=0, INDEX(LS_previous!$D$4:$AY$137, MATCH('Staging Table'!$A74, LS_previous!$B$4:$B$137, 0), MATCH(AG$4&amp;AG$5, LS_previous!$D$2:$AY$2&amp;LS_previous!$D$3:$AY$3, 0)),SUM(VLOOKUP($A74, LS_previous!$B$4:$AY$137, LS_previous!Y$148, FALSE), VLOOKUP('Staging Table'!$A74, LS_previous!$B$4:$AY$137,LS_previous!AW$148, FALSE))/2)</f>
        <v>0</v>
      </c>
      <c r="AH74" s="102">
        <f t="array" ref="AH74">IF($G74=0, INDEX(LS_previous!$D$4:$AY$137, MATCH('Staging Table'!$A74, LS_previous!$B$4:$B$137, 0), MATCH(AH$4&amp;AH$5, LS_previous!$D$2:$AY$2&amp;LS_previous!$D$3:$AY$3, 0)),SUM(VLOOKUP($A74, LS_previous!$B$4:$AY$137, LS_previous!Z$148, FALSE), VLOOKUP('Staging Table'!$A74, LS_previous!$B$4:$AY$137,LS_previous!AX$148, FALSE))/2)</f>
        <v>0</v>
      </c>
      <c r="AI74" s="102">
        <f t="array" ref="AI74">IF($G74=0, INDEX(LS_previous!$D$4:$AY$137, MATCH('Staging Table'!$A74, LS_previous!$B$4:$B$137, 0), MATCH(AI$4&amp;AI$5, LS_previous!$D$2:$AY$2&amp;LS_previous!$D$3:$AY$3, 0)),SUM(VLOOKUP($A74, LS_previous!$B$4:$AY$137, LS_previous!AA$148, FALSE), VLOOKUP('Staging Table'!$A74, LS_previous!$B$4:$AY$137,LS_previous!AY$148, FALSE))/2)</f>
        <v>0</v>
      </c>
      <c r="AJ74" s="103">
        <f t="array" ref="AJ74">INDEX(Demand_previous!$D$4:$AY$137, MATCH('Staging Table'!$A74, Demand_previous!$B$4:$B$137, 0), MATCH(AJ$4&amp;AJ$5,Demand_previous!$D$2:$AY$2&amp;Demand_previous!$D$3:$AY$3, 0))/1000</f>
        <v>0</v>
      </c>
      <c r="AK74" s="103">
        <f t="array" ref="AK74">INDEX(Demand_previous!$D$4:$AY$137, MATCH('Staging Table'!$A74, Demand_previous!$B$4:$B$137, 0), MATCH(AK$4&amp;AK$5,Demand_previous!$D$2:$AY$2&amp;Demand_previous!$D$3:$AY$3, 0))/1000</f>
        <v>0</v>
      </c>
      <c r="AL74" s="103">
        <f t="array" ref="AL74">INDEX(Demand_previous!$D$4:$AY$137, MATCH('Staging Table'!$A74, Demand_previous!$B$4:$B$137, 0), MATCH(AL$4&amp;AL$5,Demand_previous!$D$2:$AY$2&amp;Demand_previous!$D$3:$AY$3, 0))/1000</f>
        <v>0</v>
      </c>
      <c r="AM74" s="103">
        <f t="array" ref="AM74">INDEX(Demand_previous!$D$4:$AY$137, MATCH('Staging Table'!$A74, Demand_previous!$B$4:$B$137, 0), MATCH(AM$4&amp;AM$5,Demand_previous!$D$2:$AY$2&amp;Demand_previous!$D$3:$AY$3, 0))/1000</f>
        <v>0</v>
      </c>
      <c r="AN74" s="103">
        <f t="array" ref="AN74">INDEX(Demand_previous!$D$4:$AY$137, MATCH('Staging Table'!$A74, Demand_previous!$B$4:$B$137, 0), MATCH(AN$4&amp;AN$5,Demand_previous!$D$2:$AY$2&amp;Demand_previous!$D$3:$AY$3, 0))/1000</f>
        <v>0</v>
      </c>
      <c r="AO74" s="103">
        <f t="array" ref="AO74">INDEX(Demand_previous!$D$4:$AY$137, MATCH('Staging Table'!$A74, Demand_previous!$B$4:$B$137, 0), MATCH(AO$4&amp;AO$5,Demand_previous!$D$2:$AY$2&amp;Demand_previous!$D$3:$AY$3, 0))/1000</f>
        <v>0</v>
      </c>
      <c r="AP74" s="103">
        <f t="array" ref="AP74">INDEX(Demand_previous!$D$4:$AY$137, MATCH('Staging Table'!$A74, Demand_previous!$B$4:$B$137, 0), MATCH(AP$4&amp;AP$5,Demand_previous!$D$2:$AY$2&amp;Demand_previous!$D$3:$AY$3, 0))/1000</f>
        <v>0</v>
      </c>
      <c r="AQ74" s="103">
        <f t="array" ref="AQ74">INDEX(Demand_previous!$D$4:$AY$137, MATCH('Staging Table'!$A74, Demand_previous!$B$4:$B$137, 0), MATCH(AQ$4&amp;AQ$5,Demand_previous!$D$2:$AY$2&amp;Demand_previous!$D$3:$AY$3, 0))/1000</f>
        <v>0</v>
      </c>
      <c r="AR74" s="103">
        <f t="array" ref="AR74">INDEX(Demand_previous!$D$4:$AY$137, MATCH('Staging Table'!$A74, Demand_previous!$B$4:$B$137, 0), MATCH(AR$4&amp;AR$5,Demand_previous!$D$2:$AY$2&amp;Demand_previous!$D$3:$AY$3, 0))/1000</f>
        <v>0</v>
      </c>
      <c r="AS74" s="103">
        <f t="array" ref="AS74">INDEX(Demand_previous!$D$4:$AY$137, MATCH('Staging Table'!$A74, Demand_previous!$B$4:$B$137, 0), MATCH(AS$4&amp;AS$5,Demand_previous!$D$2:$AY$2&amp;Demand_previous!$D$3:$AY$3, 0))/1000</f>
        <v>0</v>
      </c>
      <c r="AT74" s="103">
        <f t="array" ref="AT74">INDEX(Demand_previous!$D$4:$AY$137, MATCH('Staging Table'!$A74, Demand_previous!$B$4:$B$137, 0), MATCH(AT$4&amp;AT$5,Demand_previous!$D$2:$AY$2&amp;Demand_previous!$D$3:$AY$3, 0))/1000</f>
        <v>0</v>
      </c>
      <c r="AU74" s="103">
        <f t="array" ref="AU74">INDEX(Demand_previous!$D$4:$AY$137, MATCH('Staging Table'!$A74, Demand_previous!$B$4:$B$137, 0), MATCH(AU$4&amp;AU$5,Demand_previous!$D$2:$AY$2&amp;Demand_previous!$D$3:$AY$3, 0))/1000</f>
        <v>0</v>
      </c>
      <c r="AV74" s="102">
        <f>$F74*(VLOOKUP(AV$4, Rates_previous!$G$6:$Q$29, 10, FALSE)+VLOOKUP(AV$4, Rates_previous!$G$6:$Q$29, 11, FALSE))</f>
        <v>64062.535118377506</v>
      </c>
      <c r="AW74" s="102">
        <f>$F74*(VLOOKUP(AW$4, Rates_previous!$G$6:$Q$29, 10, FALSE)+VLOOKUP(AW$4, Rates_previous!$G$6:$Q$29, 11, FALSE))</f>
        <v>81700.857087415017</v>
      </c>
      <c r="AX74" s="102">
        <f>$F74*(VLOOKUP(AX$4, Rates_previous!$G$6:$Q$29, 10, FALSE)+VLOOKUP(AX$4, Rates_previous!$G$6:$Q$29, 11, FALSE))</f>
        <v>88171.390220475005</v>
      </c>
      <c r="AY74" s="102">
        <f>$F74*(VLOOKUP(AY$4, Rates_previous!$G$6:$Q$29, 10, FALSE)+VLOOKUP(AY$4, Rates_previous!$G$6:$Q$29, 11, FALSE))</f>
        <v>91623.704662639997</v>
      </c>
      <c r="AZ74" s="102">
        <f>$F74*(VLOOKUP(AZ$4, Rates_previous!$G$6:$Q$29, 10, FALSE)+VLOOKUP(AZ$4, Rates_previous!$G$6:$Q$29, 11, FALSE))</f>
        <v>78808.598670029998</v>
      </c>
      <c r="BA74" s="102">
        <f>$F74*(VLOOKUP(BA$4, Rates_previous!$G$6:$Q$29, 10, FALSE)+VLOOKUP(BA$4, Rates_previous!$G$6:$Q$29, 11, FALSE))</f>
        <v>86043.386429834994</v>
      </c>
      <c r="BB74" s="102">
        <f>$F74*(VLOOKUP(BB$4, Rates_previous!$G$6:$Q$29, 10, FALSE)+VLOOKUP(BB$4, Rates_previous!$G$6:$Q$29, 11, FALSE))</f>
        <v>67916.753518011246</v>
      </c>
      <c r="BC74" s="102">
        <f>$F74*(VLOOKUP(BC$4, Rates_previous!$G$6:$Q$29, 10, FALSE)+VLOOKUP(BC$4, Rates_previous!$G$6:$Q$29, 11, FALSE))</f>
        <v>84259.834008702499</v>
      </c>
      <c r="BD74" s="102">
        <f>$F74*(VLOOKUP(BD$4, Rates_previous!$G$6:$Q$29, 10, FALSE)+VLOOKUP(BD$4, Rates_previous!$G$6:$Q$29, 11, FALSE))</f>
        <v>86088.062058892494</v>
      </c>
      <c r="BE74" s="102">
        <f>$F74*(VLOOKUP(BE$4, Rates_previous!$G$6:$Q$29, 10, FALSE)+VLOOKUP(BE$4, Rates_previous!$G$6:$Q$29, 11, FALSE))</f>
        <v>74736.840434927508</v>
      </c>
      <c r="BF74" s="102">
        <f>$F74*(VLOOKUP(BF$4, Rates_previous!$G$6:$Q$29, 10, FALSE)+VLOOKUP(BF$4, Rates_previous!$G$6:$Q$29, 11, FALSE))</f>
        <v>72250.658996749757</v>
      </c>
      <c r="BG74" s="102">
        <f>$F74*(VLOOKUP(BG$4, Rates_previous!$G$6:$Q$29, 10, FALSE)+VLOOKUP(BG$4, Rates_previous!$G$6:$Q$29, 11, FALSE))</f>
        <v>66484.597534930013</v>
      </c>
      <c r="BH74" s="103">
        <f>IF($D74=0,IF(C74=0, MAX(BJ74 - (VLOOKUP($A74,TOCA_previous!$A$2:$AJ$136,MATCH("RHWM "&amp;Init!$D$1-2,TOCA_previous!$A$2:$AJ$2,0),FALSE)*$F$2*TOCA_previous!C71),0),0), 0)</f>
        <v>0</v>
      </c>
      <c r="BI74" s="109">
        <f>MIN(VLOOKUP($A74,TOCA_previous!$A$2:$AJ$136,MATCH("TRL - NLSL - Existing Resource "&amp;$F$1,TOCA_previous!$A$2:$AJ$2,0),FALSE)*$F$2,(VLOOKUP($A74,TOCA_previous!$A$2:$AJ$136,MATCH("RHWM "&amp;Init!$D$1-2,TOCA_previous!$A$2:$AJ$2,0),FALSE)*$F$2))</f>
        <v>921353.76</v>
      </c>
      <c r="BJ74" s="261">
        <f>SUM(L74:AI74)+(F74*RT1SC!$C$3*$F$2)</f>
        <v>942147.22305959999</v>
      </c>
      <c r="BK74" s="260">
        <f>VLOOKUP($A74,TOCA_previous!$A$2:$AJ$136,MATCH("Above RHWM Not Served with LS "&amp;$F$1,TOCA_previous!$A$2:$AJ$2,0),FALSE)*$F$2</f>
        <v>202049.568</v>
      </c>
      <c r="BL74" s="261">
        <f t="shared" si="36"/>
        <v>20793.463059599977</v>
      </c>
      <c r="BM74" s="260">
        <f>(VLOOKUP($A74,TOCA_previous!$A$2:$AJ$136,MATCH("RHWM "&amp;Init!$D$1-2,TOCA_previous!$A$2:$AJ$2,0),FALSE)*$F$2) - $BI74</f>
        <v>0</v>
      </c>
      <c r="BN74" s="261">
        <f t="shared" si="37"/>
        <v>0</v>
      </c>
      <c r="BO74" s="260">
        <f t="shared" si="38"/>
        <v>0</v>
      </c>
      <c r="BP74" s="261">
        <f t="shared" si="39"/>
        <v>0</v>
      </c>
      <c r="BQ74" s="260">
        <f t="shared" si="9"/>
        <v>0</v>
      </c>
      <c r="BR74" s="85">
        <f>VLOOKUP($A74,TOCA_current!$A$2:$ZZ$136,MATCH(BR$4,TOCA_current!$A$2:$ZZ$2,0),FALSE)</f>
        <v>1.4838499999999999E-2</v>
      </c>
      <c r="BS74" s="85">
        <f>VLOOKUP($A74,TOCA_current!$A$2:$ZZ$136,MATCH(BS$4,TOCA_current!$A$2:$ZZ$2,0),FALSE)</f>
        <v>1.4838499999999999E-2</v>
      </c>
      <c r="BT74" s="108">
        <f t="shared" si="40"/>
        <v>0</v>
      </c>
      <c r="BU74" s="85">
        <f>VLOOKUP($A74,TOCA_current!A71:BG205,MATCH(BU$4,TOCA_current!$A$2:$BG$2,0),FALSE)</f>
        <v>9.3542347978577176E-2</v>
      </c>
      <c r="BV74" s="85">
        <f t="shared" si="41"/>
        <v>9.3542347978577176E-2</v>
      </c>
      <c r="BW74" s="85">
        <f t="shared" si="42"/>
        <v>1.4838499999999999E-2</v>
      </c>
      <c r="BX74" s="101">
        <f>VLOOKUP($A74,IRD!$A$4:$G$138, 7, FALSE)</f>
        <v>60112.701000000001</v>
      </c>
      <c r="BY74" s="102">
        <f t="array" ref="BY74">IF($BT74=0, INDEX(LS_current!$D$4:$BW$137, MATCH('Staging Table'!$A74, LS_current!$B$4:$B$137, 0), MATCH(BY$4&amp;BY$5, LS_current!$D$2:$BW$2&amp;LS_current!$D$3:$BW$3, 0)),SUM(VLOOKUP($A74, LS_current!$B$4:$BW$137, LS_current!D$147, FALSE), VLOOKUP($A74, LS_current!$B$4:$BW$137,LS_current!AZ$147, FALSE))/2)</f>
        <v>0</v>
      </c>
      <c r="BZ74" s="102">
        <f t="array" ref="BZ74">IF($BT74=0, INDEX(LS_current!$D$4:$BW$137, MATCH('Staging Table'!$A74, LS_current!$B$4:$B$137, 0), MATCH(BZ$4&amp;BZ$5, LS_current!$D$2:$BW$2&amp;LS_current!$D$3:$BW$3, 0)),SUM(VLOOKUP($A74, LS_current!$B$4:$BW$137, LS_current!E$147, FALSE), VLOOKUP($A74, LS_current!$B$4:$BW$137,LS_current!BA$147, FALSE))/2)</f>
        <v>0</v>
      </c>
      <c r="CA74" s="102">
        <f t="array" ref="CA74">IF($BT74=0, INDEX(LS_current!$D$4:$BW$137, MATCH('Staging Table'!$A74, LS_current!$B$4:$B$137, 0), MATCH(CA$4&amp;CA$5, LS_current!$D$2:$BW$2&amp;LS_current!$D$3:$BW$3, 0)),SUM(VLOOKUP($A74, LS_current!$B$4:$BW$137, LS_current!F$147, FALSE), VLOOKUP($A74, LS_current!$B$4:$BW$137,LS_current!BB$147, FALSE))/2)</f>
        <v>0</v>
      </c>
      <c r="CB74" s="102">
        <f t="array" ref="CB74">IF($BT74=0, INDEX(LS_current!$D$4:$BW$137, MATCH('Staging Table'!$A74, LS_current!$B$4:$B$137, 0), MATCH(CB$4&amp;CB$5, LS_current!$D$2:$BW$2&amp;LS_current!$D$3:$BW$3, 0)),SUM(VLOOKUP($A74, LS_current!$B$4:$BW$137, LS_current!G$147, FALSE), VLOOKUP($A74, LS_current!$B$4:$BW$137,LS_current!BC$147, FALSE))/2)</f>
        <v>0</v>
      </c>
      <c r="CC74" s="102">
        <f t="array" ref="CC74">IF($BT74=0, INDEX(LS_current!$D$4:$BW$137, MATCH('Staging Table'!$A74, LS_current!$B$4:$B$137, 0), MATCH(CC$4&amp;CC$5, LS_current!$D$2:$BW$2&amp;LS_current!$D$3:$BW$3, 0)),SUM(VLOOKUP($A74, LS_current!$B$4:$BW$137, LS_current!H$147, FALSE), VLOOKUP($A74, LS_current!$B$4:$BW$137,LS_current!BD$147, FALSE))/2)</f>
        <v>0</v>
      </c>
      <c r="CD74" s="102">
        <f t="array" ref="CD74">IF($BT74=0, INDEX(LS_current!$D$4:$BW$137, MATCH('Staging Table'!$A74, LS_current!$B$4:$B$137, 0), MATCH(CD$4&amp;CD$5, LS_current!$D$2:$BW$2&amp;LS_current!$D$3:$BW$3, 0)),SUM(VLOOKUP($A74, LS_current!$B$4:$BW$137, LS_current!I$147, FALSE), VLOOKUP($A74, LS_current!$B$4:$BW$137,LS_current!BE$147, FALSE))/2)</f>
        <v>0</v>
      </c>
      <c r="CE74" s="102">
        <f t="array" ref="CE74">IF($BT74=0, INDEX(LS_current!$D$4:$BW$137, MATCH('Staging Table'!$A74, LS_current!$B$4:$B$137, 0), MATCH(CE$4&amp;CE$5, LS_current!$D$2:$BW$2&amp;LS_current!$D$3:$BW$3, 0)),SUM(VLOOKUP($A74, LS_current!$B$4:$BW$137, LS_current!J$147, FALSE), VLOOKUP($A74, LS_current!$B$4:$BW$137,LS_current!BF$147, FALSE))/2)</f>
        <v>0</v>
      </c>
      <c r="CF74" s="102">
        <f t="array" ref="CF74">IF($BT74=0, INDEX(LS_current!$D$4:$BW$137, MATCH('Staging Table'!$A74, LS_current!$B$4:$B$137, 0), MATCH(CF$4&amp;CF$5, LS_current!$D$2:$BW$2&amp;LS_current!$D$3:$BW$3, 0)),SUM(VLOOKUP($A74, LS_current!$B$4:$BW$137, LS_current!K$147, FALSE), VLOOKUP($A74, LS_current!$B$4:$BW$137,LS_current!BG$147, FALSE))/2)</f>
        <v>0</v>
      </c>
      <c r="CG74" s="102">
        <f t="array" ref="CG74">IF($BT74=0, INDEX(LS_current!$D$4:$BW$137, MATCH('Staging Table'!$A74, LS_current!$B$4:$B$137, 0), MATCH(CG$4&amp;CG$5, LS_current!$D$2:$BW$2&amp;LS_current!$D$3:$BW$3, 0)),SUM(VLOOKUP($A74, LS_current!$B$4:$BW$137, LS_current!L$147, FALSE), VLOOKUP($A74, LS_current!$B$4:$BW$137,LS_current!BH$147, FALSE))/2)</f>
        <v>0</v>
      </c>
      <c r="CH74" s="102">
        <f t="array" ref="CH74">IF($BT74=0, INDEX(LS_current!$D$4:$BW$137, MATCH('Staging Table'!$A74, LS_current!$B$4:$B$137, 0), MATCH(CH$4&amp;CH$5, LS_current!$D$2:$BW$2&amp;LS_current!$D$3:$BW$3, 0)),SUM(VLOOKUP($A74, LS_current!$B$4:$BW$137, LS_current!M$147, FALSE), VLOOKUP($A74, LS_current!$B$4:$BW$137,LS_current!BI$147, FALSE))/2)</f>
        <v>0</v>
      </c>
      <c r="CI74" s="102">
        <f t="array" ref="CI74">IF($BT74=0, INDEX(LS_current!$D$4:$BW$137, MATCH('Staging Table'!$A74, LS_current!$B$4:$B$137, 0), MATCH(CI$4&amp;CI$5, LS_current!$D$2:$BW$2&amp;LS_current!$D$3:$BW$3, 0)),SUM(VLOOKUP($A74, LS_current!$B$4:$BW$137, LS_current!N$147, FALSE), VLOOKUP($A74, LS_current!$B$4:$BW$137,LS_current!BJ$147, FALSE))/2)</f>
        <v>0</v>
      </c>
      <c r="CJ74" s="102">
        <f t="array" ref="CJ74">IF($BT74=0, INDEX(LS_current!$D$4:$BW$137, MATCH('Staging Table'!$A74, LS_current!$B$4:$B$137, 0), MATCH(CJ$4&amp;CJ$5, LS_current!$D$2:$BW$2&amp;LS_current!$D$3:$BW$3, 0)),SUM(VLOOKUP($A74, LS_current!$B$4:$BW$137, LS_current!O$147, FALSE), VLOOKUP($A74, LS_current!$B$4:$BW$137,LS_current!BK$147, FALSE))/2)</f>
        <v>0</v>
      </c>
      <c r="CK74" s="102">
        <f t="array" ref="CK74">IF($BT74=0, INDEX(LS_current!$D$4:$BW$137, MATCH('Staging Table'!$A74, LS_current!$B$4:$B$137, 0), MATCH(CK$4&amp;CK$5, LS_current!$D$2:$BW$2&amp;LS_current!$D$3:$BW$3, 0)),SUM(VLOOKUP($A74, LS_current!$B$4:$BW$137, LS_current!P$147, FALSE), VLOOKUP($A74, LS_current!$B$4:$BW$137,LS_current!BL$147, FALSE))/2)</f>
        <v>0</v>
      </c>
      <c r="CL74" s="102">
        <f t="array" ref="CL74">IF($BT74=0, INDEX(LS_current!$D$4:$BW$137, MATCH('Staging Table'!$A74, LS_current!$B$4:$B$137, 0), MATCH(CL$4&amp;CL$5, LS_current!$D$2:$BW$2&amp;LS_current!$D$3:$BW$3, 0)),SUM(VLOOKUP($A74, LS_current!$B$4:$BW$137, LS_current!Q$147, FALSE), VLOOKUP($A74, LS_current!$B$4:$BW$137,LS_current!BM$147, FALSE))/2)</f>
        <v>0</v>
      </c>
      <c r="CM74" s="102">
        <f t="array" ref="CM74">IF($BT74=0, INDEX(LS_current!$D$4:$BW$137, MATCH('Staging Table'!$A74, LS_current!$B$4:$B$137, 0), MATCH(CM$4&amp;CM$5, LS_current!$D$2:$BW$2&amp;LS_current!$D$3:$BW$3, 0)),SUM(VLOOKUP($A74, LS_current!$B$4:$BW$137, LS_current!R$147, FALSE), VLOOKUP($A74, LS_current!$B$4:$BW$137,LS_current!BN$147, FALSE))/2)</f>
        <v>0</v>
      </c>
      <c r="CN74" s="102">
        <f t="array" ref="CN74">IF($BT74=0, INDEX(LS_current!$D$4:$BW$137, MATCH('Staging Table'!$A74, LS_current!$B$4:$B$137, 0), MATCH(CN$4&amp;CN$5, LS_current!$D$2:$BW$2&amp;LS_current!$D$3:$BW$3, 0)),SUM(VLOOKUP($A74, LS_current!$B$4:$BW$137, LS_current!S$147, FALSE), VLOOKUP($A74, LS_current!$B$4:$BW$137,LS_current!BO$147, FALSE))/2)</f>
        <v>0</v>
      </c>
      <c r="CO74" s="102">
        <f t="array" ref="CO74">IF($BT74=0, INDEX(LS_current!$D$4:$BW$137, MATCH('Staging Table'!$A74, LS_current!$B$4:$B$137, 0), MATCH(CO$4&amp;CO$5, LS_current!$D$2:$BW$2&amp;LS_current!$D$3:$BW$3, 0)),SUM(VLOOKUP($A74, LS_current!$B$4:$BW$137, LS_current!T$147, FALSE), VLOOKUP($A74, LS_current!$B$4:$BW$137,LS_current!BP$147, FALSE))/2)</f>
        <v>0</v>
      </c>
      <c r="CP74" s="102">
        <f t="array" ref="CP74">IF($BT74=0, INDEX(LS_current!$D$4:$BW$137, MATCH('Staging Table'!$A74, LS_current!$B$4:$B$137, 0), MATCH(CP$4&amp;CP$5, LS_current!$D$2:$BW$2&amp;LS_current!$D$3:$BW$3, 0)),SUM(VLOOKUP($A74, LS_current!$B$4:$BW$137, LS_current!U$147, FALSE), VLOOKUP($A74, LS_current!$B$4:$BW$137,LS_current!BQ$147, FALSE))/2)</f>
        <v>0</v>
      </c>
      <c r="CQ74" s="102">
        <f t="array" ref="CQ74">IF($BT74=0, INDEX(LS_current!$D$4:$BW$137, MATCH('Staging Table'!$A74, LS_current!$B$4:$B$137, 0), MATCH(CQ$4&amp;CQ$5, LS_current!$D$2:$BW$2&amp;LS_current!$D$3:$BW$3, 0)),SUM(VLOOKUP($A74, LS_current!$B$4:$BW$137, LS_current!V$147, FALSE), VLOOKUP($A74, LS_current!$B$4:$BW$137,LS_current!BR$147, FALSE))/2)</f>
        <v>0</v>
      </c>
      <c r="CR74" s="102">
        <f t="array" ref="CR74">IF($BT74=0, INDEX(LS_current!$D$4:$BW$137, MATCH('Staging Table'!$A74, LS_current!$B$4:$B$137, 0), MATCH(CR$4&amp;CR$5, LS_current!$D$2:$BW$2&amp;LS_current!$D$3:$BW$3, 0)),SUM(VLOOKUP($A74, LS_current!$B$4:$BW$137, LS_current!W$147, FALSE), VLOOKUP($A74, LS_current!$B$4:$BW$137,LS_current!BS$147, FALSE))/2)</f>
        <v>0</v>
      </c>
      <c r="CS74" s="102">
        <f t="array" ref="CS74">IF($BT74=0, INDEX(LS_current!$D$4:$BW$137, MATCH('Staging Table'!$A74, LS_current!$B$4:$B$137, 0), MATCH(CS$4&amp;CS$5, LS_current!$D$2:$BW$2&amp;LS_current!$D$3:$BW$3, 0)),SUM(VLOOKUP($A74, LS_current!$B$4:$BW$137, LS_current!X$147, FALSE), VLOOKUP($A74, LS_current!$B$4:$BW$137,LS_current!BT$147, FALSE))/2)</f>
        <v>0</v>
      </c>
      <c r="CT74" s="102">
        <f t="array" ref="CT74">IF($BT74=0, INDEX(LS_current!$D$4:$BW$137, MATCH('Staging Table'!$A74, LS_current!$B$4:$B$137, 0), MATCH(CT$4&amp;CT$5, LS_current!$D$2:$BW$2&amp;LS_current!$D$3:$BW$3, 0)),SUM(VLOOKUP($A74, LS_current!$B$4:$BW$137, LS_current!Y$147, FALSE), VLOOKUP($A74, LS_current!$B$4:$BW$137,LS_current!BU$147, FALSE))/2)</f>
        <v>0</v>
      </c>
      <c r="CU74" s="102">
        <f t="array" ref="CU74">IF($BT74=0, INDEX(LS_current!$D$4:$BW$137, MATCH('Staging Table'!$A74, LS_current!$B$4:$B$137, 0), MATCH(CU$4&amp;CU$5, LS_current!$D$2:$BW$2&amp;LS_current!$D$3:$BW$3, 0)),SUM(VLOOKUP($A74, LS_current!$B$4:$BW$137, LS_current!Z$147, FALSE), VLOOKUP($A74, LS_current!$B$4:$BW$137,LS_current!BV$147, FALSE))/2)</f>
        <v>0</v>
      </c>
      <c r="CV74" s="102">
        <f t="array" ref="CV74">IF($BT74=0, INDEX(LS_current!$D$4:$BW$137, MATCH('Staging Table'!$A74, LS_current!$B$4:$B$137, 0), MATCH(CV$4&amp;CV$5, LS_current!$D$2:$BW$2&amp;LS_current!$D$3:$BW$3, 0)),SUM(VLOOKUP($A74, LS_current!$B$4:$BW$137, LS_current!AA$147, FALSE), VLOOKUP($A74, LS_current!$B$4:$BW$137,LS_current!BW$147, FALSE))/2)</f>
        <v>0</v>
      </c>
      <c r="CW74" s="103">
        <f t="array" ref="CW74">INDEX(Demand_current!$D$4:$BW$137, MATCH($A74, Demand_current!$B$4:$B$137, 0), MATCH(CW$4&amp;CW$5,Demand_current!$D$2:$BW$2&amp;Demand_current!$D$3:$BW$3, 0))/1000</f>
        <v>0</v>
      </c>
      <c r="CX74" s="103">
        <f t="array" ref="CX74">INDEX(Demand_current!$D$4:$BW$137, MATCH($A74, Demand_current!$B$4:$B$137, 0), MATCH(CX$4&amp;CX$5,Demand_current!$D$2:$BW$2&amp;Demand_current!$D$3:$BW$3, 0))/1000</f>
        <v>0</v>
      </c>
      <c r="CY74" s="103">
        <f t="array" ref="CY74">INDEX(Demand_current!$D$4:$BW$137, MATCH($A74, Demand_current!$B$4:$B$137, 0), MATCH(CY$4&amp;CY$5,Demand_current!$D$2:$BW$2&amp;Demand_current!$D$3:$BW$3, 0))/1000</f>
        <v>0</v>
      </c>
      <c r="CZ74" s="103">
        <f t="array" ref="CZ74">INDEX(Demand_current!$D$4:$BW$137, MATCH($A74, Demand_current!$B$4:$B$137, 0), MATCH(CZ$4&amp;CZ$5,Demand_current!$D$2:$BW$2&amp;Demand_current!$D$3:$BW$3, 0))/1000</f>
        <v>0</v>
      </c>
      <c r="DA74" s="103">
        <f t="array" ref="DA74">INDEX(Demand_current!$D$4:$BW$137, MATCH($A74, Demand_current!$B$4:$B$137, 0), MATCH(DA$4&amp;DA$5,Demand_current!$D$2:$BW$2&amp;Demand_current!$D$3:$BW$3, 0))/1000</f>
        <v>0</v>
      </c>
      <c r="DB74" s="103">
        <f t="array" ref="DB74">INDEX(Demand_current!$D$4:$BW$137, MATCH($A74, Demand_current!$B$4:$B$137, 0), MATCH(DB$4&amp;DB$5,Demand_current!$D$2:$BW$2&amp;Demand_current!$D$3:$BW$3, 0))/1000</f>
        <v>0</v>
      </c>
      <c r="DC74" s="103">
        <f t="array" ref="DC74">INDEX(Demand_current!$D$4:$BW$137, MATCH($A74, Demand_current!$B$4:$B$137, 0), MATCH(DC$4&amp;DC$5,Demand_current!$D$2:$BW$2&amp;Demand_current!$D$3:$BW$3, 0))/1000</f>
        <v>0</v>
      </c>
      <c r="DD74" s="103">
        <f t="array" ref="DD74">INDEX(Demand_current!$D$4:$BW$137, MATCH($A74, Demand_current!$B$4:$B$137, 0), MATCH(DD$4&amp;DD$5,Demand_current!$D$2:$BW$2&amp;Demand_current!$D$3:$BW$3, 0))/1000</f>
        <v>0</v>
      </c>
      <c r="DE74" s="103">
        <f t="array" ref="DE74">INDEX(Demand_current!$D$4:$BW$137, MATCH($A74, Demand_current!$B$4:$B$137, 0), MATCH(DE$4&amp;DE$5,Demand_current!$D$2:$BW$2&amp;Demand_current!$D$3:$BW$3, 0))/1000</f>
        <v>0</v>
      </c>
      <c r="DF74" s="103">
        <f t="array" ref="DF74">INDEX(Demand_current!$D$4:$BW$137, MATCH($A74, Demand_current!$B$4:$B$137, 0), MATCH(DF$4&amp;DF$5,Demand_current!$D$2:$BW$2&amp;Demand_current!$D$3:$BW$3, 0))/1000</f>
        <v>0</v>
      </c>
      <c r="DG74" s="103">
        <f t="array" ref="DG74">INDEX(Demand_current!$D$4:$BW$137, MATCH($A74, Demand_current!$B$4:$B$137, 0), MATCH(DG$4&amp;DG$5,Demand_current!$D$2:$BW$2&amp;Demand_current!$D$3:$BW$3, 0))/1000</f>
        <v>0</v>
      </c>
      <c r="DH74" s="103">
        <f t="array" ref="DH74">INDEX(Demand_current!$D$4:$BW$137, MATCH($A74, Demand_current!$B$4:$B$137, 0), MATCH(DH$4&amp;DH$5,Demand_current!$D$2:$BW$2&amp;Demand_current!$D$3:$BW$3, 0))/1000</f>
        <v>0</v>
      </c>
      <c r="DI74" s="102">
        <f>$BS74*(VLOOKUP(DI$4, Rates_current!$H$6:$R$41, 10, FALSE)+VLOOKUP(DI$4, Rates_current!$H$6:$R$41, 11, FALSE))</f>
        <v>61584.042681359701</v>
      </c>
      <c r="DJ74" s="102">
        <f>$BS74*(VLOOKUP(DJ$4, Rates_current!$H$6:$R$41, 10, FALSE)+VLOOKUP(DJ$4, Rates_current!$H$6:$R$41, 11, FALSE))</f>
        <v>78733.171709179311</v>
      </c>
      <c r="DK74" s="102">
        <f>$BS74*(VLOOKUP(DK$4, Rates_current!$H$6:$R$41, 10, FALSE)+VLOOKUP(DK$4, Rates_current!$H$6:$R$41, 11, FALSE))</f>
        <v>89513.031230716835</v>
      </c>
      <c r="DL74" s="102">
        <f>$BS74*(VLOOKUP(DL$4, Rates_current!$H$6:$R$41, 10, FALSE)+VLOOKUP(DL$4, Rates_current!$H$6:$R$41, 11, FALSE))</f>
        <v>94443.235235847082</v>
      </c>
      <c r="DM74" s="102">
        <f>$BS74*(VLOOKUP(DM$4, Rates_current!$H$6:$R$41, 10, FALSE)+VLOOKUP(DM$4, Rates_current!$H$6:$R$41, 11, FALSE))</f>
        <v>75262.734655184657</v>
      </c>
      <c r="DN74" s="102">
        <f>$BS74*(VLOOKUP(DN$4, Rates_current!$H$6:$R$41, 10, FALSE)+VLOOKUP(DN$4, Rates_current!$H$6:$R$41, 11, FALSE))</f>
        <v>82277.624613206674</v>
      </c>
      <c r="DO74" s="102">
        <f>$BS74*(VLOOKUP(DO$4, Rates_current!$H$6:$R$41, 10, FALSE)+VLOOKUP(DO$4, Rates_current!$H$6:$R$41, 11, FALSE))</f>
        <v>63765.986711788777</v>
      </c>
      <c r="DP74" s="102">
        <f>$BS74*(VLOOKUP(DP$4, Rates_current!$H$6:$R$41, 10, FALSE)+VLOOKUP(DP$4, Rates_current!$H$6:$R$41, 11, FALSE))</f>
        <v>82523.686024598268</v>
      </c>
      <c r="DQ74" s="102">
        <f>$BS74*(VLOOKUP(DQ$4, Rates_current!$H$6:$R$41, 10, FALSE)+VLOOKUP(DQ$4, Rates_current!$H$6:$R$41, 11, FALSE))</f>
        <v>84285.806947608871</v>
      </c>
      <c r="DR74" s="102">
        <f>$BS74*(VLOOKUP(DR$4, Rates_current!$H$6:$R$41, 10, FALSE)+VLOOKUP(DR$4, Rates_current!$H$6:$R$41, 11, FALSE))</f>
        <v>75021.657618837664</v>
      </c>
      <c r="DS74" s="102">
        <f>$BS74*(VLOOKUP(DS$4, Rates_current!$H$6:$R$41, 10, FALSE)+VLOOKUP(DS$4, Rates_current!$H$6:$R$41, 11, FALSE))</f>
        <v>76958.462195294996</v>
      </c>
      <c r="DT74" s="102">
        <f>$BS74*(VLOOKUP(DT$4, Rates_current!$H$6:$R$41, 10, FALSE)+VLOOKUP(DT$4, Rates_current!$H$6:$R$41, 11, FALSE))</f>
        <v>59767.471028303393</v>
      </c>
      <c r="DU74" s="261">
        <f>IF(D74=0,IF(C74=0,MAX(0,DW74 - (VLOOKUP($A74,TOCA_current!$A$2:$AV$136,MATCH("RHWM "&amp;Init!$D$1,TOCA_current!$A$2:$AV$2,0),FALSE)*$BS$2)), 0),0)</f>
        <v>0</v>
      </c>
      <c r="DV74" s="262">
        <f>MIN(VLOOKUP($A74,TOCA_current!$A$2:$AV$136,MATCH("TRL - NLSL - Existing Resource "&amp;$BS$1,TOCA_current!$A$2:$AV$2,0),FALSE)*$BS$2, VLOOKUP($A74,TOCA_current!$A$2:$AV$136,MATCH("RHWM "&amp;Init!$D$1,TOCA_current!$A$2:$AV$2,0),FALSE)*$BS$2)</f>
        <v>924136.20000000007</v>
      </c>
      <c r="DW74" s="262">
        <f>SUM(BY74:CV74)+(BS74*RT1SC!$C$4*$BS$2)</f>
        <v>924136.96520352003</v>
      </c>
      <c r="DX74" s="262">
        <f>VLOOKUP($A74,TOCA_current!$A$2:$AV$136,MATCH("Above RHWM Not Served with LS "&amp;$BS$1,TOCA_current!$A$2:$AV$2,0),FALSE)*$BS$2</f>
        <v>310804.8</v>
      </c>
      <c r="DY74" s="262">
        <f t="shared" si="43"/>
        <v>0.76520351995714009</v>
      </c>
      <c r="DZ74" s="262">
        <f>(VLOOKUP($A74,TOCA_current!$A$2:$AV$136,MATCH("RHWM "&amp;Init!$D$1,TOCA_current!$A$2:$AV$2,0),FALSE)*$BS$2) - $DV74</f>
        <v>0</v>
      </c>
      <c r="EA74" s="262">
        <f t="shared" si="44"/>
        <v>0</v>
      </c>
      <c r="EB74" s="262">
        <f t="shared" si="45"/>
        <v>0</v>
      </c>
      <c r="EC74" s="262">
        <f t="shared" si="46"/>
        <v>0</v>
      </c>
      <c r="ED74" s="262">
        <f t="shared" si="47"/>
        <v>0</v>
      </c>
    </row>
    <row r="75" spans="1:134">
      <c r="A75" s="2">
        <v>10230</v>
      </c>
      <c r="B75" s="3" t="s">
        <v>77</v>
      </c>
      <c r="C75">
        <f>VLOOKUP(A75, TOCA_current!$A$3:$D$136, 4, FALSE)</f>
        <v>0</v>
      </c>
      <c r="D75">
        <v>0</v>
      </c>
      <c r="E75" s="84">
        <f>VLOOKUP($A75,TOCA_previous!$A$2:$AJ$136,MATCH(E$4,TOCA_previous!$A$2:$AJ$2,0),FALSE)</f>
        <v>1.4046E-3</v>
      </c>
      <c r="F75" s="85">
        <f>VLOOKUP($A75,TOCA_previous!$A$2:$AJ$136,MATCH(F$4,TOCA_previous!$A$2:$AJ$2,0),FALSE)</f>
        <v>1.4046E-3</v>
      </c>
      <c r="G75" s="85">
        <f t="shared" si="33"/>
        <v>0</v>
      </c>
      <c r="H75" s="85">
        <f>VLOOKUP($A75,TOCA_previous!$A$2:$AJ$136,MATCH(H$4,TOCA_previous!$A$2:$AJ$2,0),FALSE)</f>
        <v>8.9018759018759011E-2</v>
      </c>
      <c r="I75" s="85">
        <f t="shared" si="34"/>
        <v>0</v>
      </c>
      <c r="J75" s="85">
        <f t="shared" si="35"/>
        <v>0</v>
      </c>
      <c r="K75" s="101">
        <f>VLOOKUP(A75, IRD!$A$5:$C$138, 3, FALSE)</f>
        <v>0</v>
      </c>
      <c r="L75" s="102">
        <f t="array" ref="L75">IF($G75=0, INDEX(LS_previous!$D$4:$AY$137, MATCH('Staging Table'!$A75, LS_previous!$B$4:$B$137, 0), MATCH(L$4&amp;L$5, LS_previous!$D$2:$AY$2&amp;LS_previous!$D$3:$AY$3, 0)),SUM(VLOOKUP($A75, LS_previous!$B$4:$AY$137, LS_previous!D$148, FALSE), VLOOKUP('Staging Table'!$A75, LS_previous!$B$4:$AY$137,LS_previous!AB$148, FALSE))/2)</f>
        <v>825.72010703439946</v>
      </c>
      <c r="M75" s="102">
        <f t="array" ref="M75">IF($G75=0, INDEX(LS_previous!$D$4:$AY$137, MATCH('Staging Table'!$A75, LS_previous!$B$4:$B$137, 0), MATCH(M$4&amp;M$5, LS_previous!$D$2:$AY$2&amp;LS_previous!$D$3:$AY$3, 0)),SUM(VLOOKUP($A75, LS_previous!$B$4:$AY$137, LS_previous!E$148, FALSE), VLOOKUP('Staging Table'!$A75, LS_previous!$B$4:$AY$137,LS_previous!AC$148, FALSE))/2)</f>
        <v>92.692129562699847</v>
      </c>
      <c r="N75" s="102">
        <f t="array" ref="N75">IF($G75=0, INDEX(LS_previous!$D$4:$AY$137, MATCH('Staging Table'!$A75, LS_previous!$B$4:$B$137, 0), MATCH(N$4&amp;N$5, LS_previous!$D$2:$AY$2&amp;LS_previous!$D$3:$AY$3, 0)),SUM(VLOOKUP($A75, LS_previous!$B$4:$AY$137, LS_previous!F$148, FALSE), VLOOKUP('Staging Table'!$A75, LS_previous!$B$4:$AY$137,LS_previous!AD$148, FALSE))/2)</f>
        <v>623.36909909119913</v>
      </c>
      <c r="O75" s="102">
        <f t="array" ref="O75">IF($G75=0, INDEX(LS_previous!$D$4:$AY$137, MATCH('Staging Table'!$A75, LS_previous!$B$4:$B$137, 0), MATCH(O$4&amp;O$5, LS_previous!$D$2:$AY$2&amp;LS_previous!$D$3:$AY$3, 0)),SUM(VLOOKUP($A75, LS_previous!$B$4:$AY$137, LS_previous!G$148, FALSE), VLOOKUP('Staging Table'!$A75, LS_previous!$B$4:$AY$137,LS_previous!AE$148, FALSE))/2)</f>
        <v>373.1988748974004</v>
      </c>
      <c r="P75" s="102">
        <f t="array" ref="P75">IF($G75=0, INDEX(LS_previous!$D$4:$AY$137, MATCH('Staging Table'!$A75, LS_previous!$B$4:$B$137, 0), MATCH(P$4&amp;P$5, LS_previous!$D$2:$AY$2&amp;LS_previous!$D$3:$AY$3, 0)),SUM(VLOOKUP($A75, LS_previous!$B$4:$AY$137, LS_previous!H$148, FALSE), VLOOKUP('Staging Table'!$A75, LS_previous!$B$4:$AY$137,LS_previous!AF$148, FALSE))/2)</f>
        <v>2075.5237310006014</v>
      </c>
      <c r="Q75" s="102">
        <f t="array" ref="Q75">IF($G75=0, INDEX(LS_previous!$D$4:$AY$137, MATCH('Staging Table'!$A75, LS_previous!$B$4:$B$137, 0), MATCH(Q$4&amp;Q$5, LS_previous!$D$2:$AY$2&amp;LS_previous!$D$3:$AY$3, 0)),SUM(VLOOKUP($A75, LS_previous!$B$4:$AY$137, LS_previous!I$148, FALSE), VLOOKUP('Staging Table'!$A75, LS_previous!$B$4:$AY$137,LS_previous!AG$148, FALSE))/2)</f>
        <v>1716.0602545984007</v>
      </c>
      <c r="R75" s="102">
        <f t="array" ref="R75">IF($G75=0, INDEX(LS_previous!$D$4:$AY$137, MATCH('Staging Table'!$A75, LS_previous!$B$4:$B$137, 0), MATCH(R$4&amp;R$5, LS_previous!$D$2:$AY$2&amp;LS_previous!$D$3:$AY$3, 0)),SUM(VLOOKUP($A75, LS_previous!$B$4:$AY$137, LS_previous!J$148, FALSE), VLOOKUP('Staging Table'!$A75, LS_previous!$B$4:$AY$137,LS_previous!AH$148, FALSE))/2)</f>
        <v>1934.3974171110003</v>
      </c>
      <c r="S75" s="102">
        <f t="array" ref="S75">IF($G75=0, INDEX(LS_previous!$D$4:$AY$137, MATCH('Staging Table'!$A75, LS_previous!$B$4:$B$137, 0), MATCH(S$4&amp;S$5, LS_previous!$D$2:$AY$2&amp;LS_previous!$D$3:$AY$3, 0)),SUM(VLOOKUP($A75, LS_previous!$B$4:$AY$137, LS_previous!K$148, FALSE), VLOOKUP('Staging Table'!$A75, LS_previous!$B$4:$AY$137,LS_previous!AI$148, FALSE))/2)</f>
        <v>1542.6033244666</v>
      </c>
      <c r="T75" s="102">
        <f t="array" ref="T75">IF($G75=0, INDEX(LS_previous!$D$4:$AY$137, MATCH('Staging Table'!$A75, LS_previous!$B$4:$B$137, 0), MATCH(T$4&amp;T$5, LS_previous!$D$2:$AY$2&amp;LS_previous!$D$3:$AY$3, 0)),SUM(VLOOKUP($A75, LS_previous!$B$4:$AY$137, LS_previous!L$148, FALSE), VLOOKUP('Staging Table'!$A75, LS_previous!$B$4:$AY$137,LS_previous!AJ$148, FALSE))/2)</f>
        <v>557.27178835660015</v>
      </c>
      <c r="U75" s="102">
        <f t="array" ref="U75">IF($G75=0, INDEX(LS_previous!$D$4:$AY$137, MATCH('Staging Table'!$A75, LS_previous!$B$4:$B$137, 0), MATCH(U$4&amp;U$5, LS_previous!$D$2:$AY$2&amp;LS_previous!$D$3:$AY$3, 0)),SUM(VLOOKUP($A75, LS_previous!$B$4:$AY$137, LS_previous!M$148, FALSE), VLOOKUP('Staging Table'!$A75, LS_previous!$B$4:$AY$137,LS_previous!AK$148, FALSE))/2)</f>
        <v>769.55470838859992</v>
      </c>
      <c r="V75" s="102">
        <f t="array" ref="V75">IF($G75=0, INDEX(LS_previous!$D$4:$AY$137, MATCH('Staging Table'!$A75, LS_previous!$B$4:$B$137, 0), MATCH(V$4&amp;V$5, LS_previous!$D$2:$AY$2&amp;LS_previous!$D$3:$AY$3, 0)),SUM(VLOOKUP($A75, LS_previous!$B$4:$AY$137, LS_previous!N$148, FALSE), VLOOKUP('Staging Table'!$A75, LS_previous!$B$4:$AY$137,LS_previous!AL$148, FALSE))/2)</f>
        <v>616.35261388020081</v>
      </c>
      <c r="W75" s="102">
        <f t="array" ref="W75">IF($G75=0, INDEX(LS_previous!$D$4:$AY$137, MATCH('Staging Table'!$A75, LS_previous!$B$4:$B$137, 0), MATCH(W$4&amp;W$5, LS_previous!$D$2:$AY$2&amp;LS_previous!$D$3:$AY$3, 0)),SUM(VLOOKUP($A75, LS_previous!$B$4:$AY$137, LS_previous!O$148, FALSE), VLOOKUP('Staging Table'!$A75, LS_previous!$B$4:$AY$137,LS_previous!AM$148, FALSE))/2)</f>
        <v>346.93497062119968</v>
      </c>
      <c r="X75" s="102">
        <f t="array" ref="X75">IF($G75=0, INDEX(LS_previous!$D$4:$AY$137, MATCH('Staging Table'!$A75, LS_previous!$B$4:$B$137, 0), MATCH(X$4&amp;X$5, LS_previous!$D$2:$AY$2&amp;LS_previous!$D$3:$AY$3, 0)),SUM(VLOOKUP($A75, LS_previous!$B$4:$AY$137, LS_previous!P$148, FALSE), VLOOKUP('Staging Table'!$A75, LS_previous!$B$4:$AY$137,LS_previous!AN$148, FALSE))/2)</f>
        <v>1047.0680357234996</v>
      </c>
      <c r="Y75" s="102">
        <f t="array" ref="Y75">IF($G75=0, INDEX(LS_previous!$D$4:$AY$137, MATCH('Staging Table'!$A75, LS_previous!$B$4:$B$137, 0), MATCH(Y$4&amp;Y$5, LS_previous!$D$2:$AY$2&amp;LS_previous!$D$3:$AY$3, 0)),SUM(VLOOKUP($A75, LS_previous!$B$4:$AY$137, LS_previous!Q$148, FALSE), VLOOKUP('Staging Table'!$A75, LS_previous!$B$4:$AY$137,LS_previous!AO$148, FALSE))/2)</f>
        <v>553.57117162595023</v>
      </c>
      <c r="Z75" s="102">
        <f t="array" ref="Z75">IF($G75=0, INDEX(LS_previous!$D$4:$AY$137, MATCH('Staging Table'!$A75, LS_previous!$B$4:$B$137, 0), MATCH(Z$4&amp;Z$5, LS_previous!$D$2:$AY$2&amp;LS_previous!$D$3:$AY$3, 0)),SUM(VLOOKUP($A75, LS_previous!$B$4:$AY$137, LS_previous!R$148, FALSE), VLOOKUP('Staging Table'!$A75, LS_previous!$B$4:$AY$137,LS_previous!AP$148, FALSE))/2)</f>
        <v>-702.12294470080087</v>
      </c>
      <c r="AA75" s="102">
        <f t="array" ref="AA75">IF($G75=0, INDEX(LS_previous!$D$4:$AY$137, MATCH('Staging Table'!$A75, LS_previous!$B$4:$B$137, 0), MATCH(AA$4&amp;AA$5, LS_previous!$D$2:$AY$2&amp;LS_previous!$D$3:$AY$3, 0)),SUM(VLOOKUP($A75, LS_previous!$B$4:$AY$137, LS_previous!S$148, FALSE), VLOOKUP('Staging Table'!$A75, LS_previous!$B$4:$AY$137,LS_previous!AQ$148, FALSE))/2)</f>
        <v>-617.23134002910001</v>
      </c>
      <c r="AB75" s="102">
        <f t="array" ref="AB75">IF($G75=0, INDEX(LS_previous!$D$4:$AY$137, MATCH('Staging Table'!$A75, LS_previous!$B$4:$B$137, 0), MATCH(AB$4&amp;AB$5, LS_previous!$D$2:$AY$2&amp;LS_previous!$D$3:$AY$3, 0)),SUM(VLOOKUP($A75, LS_previous!$B$4:$AY$137, LS_previous!T$148, FALSE), VLOOKUP('Staging Table'!$A75, LS_previous!$B$4:$AY$137,LS_previous!AR$148, FALSE))/2)</f>
        <v>-1241.4431328596002</v>
      </c>
      <c r="AC75" s="102">
        <f t="array" ref="AC75">IF($G75=0, INDEX(LS_previous!$D$4:$AY$137, MATCH('Staging Table'!$A75, LS_previous!$B$4:$B$137, 0), MATCH(AC$4&amp;AC$5, LS_previous!$D$2:$AY$2&amp;LS_previous!$D$3:$AY$3, 0)),SUM(VLOOKUP($A75, LS_previous!$B$4:$AY$137, LS_previous!U$148, FALSE), VLOOKUP('Staging Table'!$A75, LS_previous!$B$4:$AY$137,LS_previous!AS$148, FALSE))/2)</f>
        <v>-1063.7047415507</v>
      </c>
      <c r="AD75" s="102">
        <f t="array" ref="AD75">IF($G75=0, INDEX(LS_previous!$D$4:$AY$137, MATCH('Staging Table'!$A75, LS_previous!$B$4:$B$137, 0), MATCH(AD$4&amp;AD$5, LS_previous!$D$2:$AY$2&amp;LS_previous!$D$3:$AY$3, 0)),SUM(VLOOKUP($A75, LS_previous!$B$4:$AY$137, LS_previous!V$148, FALSE), VLOOKUP('Staging Table'!$A75, LS_previous!$B$4:$AY$137,LS_previous!AT$148, FALSE))/2)</f>
        <v>70.385184285600189</v>
      </c>
      <c r="AE75" s="102">
        <f t="array" ref="AE75">IF($G75=0, INDEX(LS_previous!$D$4:$AY$137, MATCH('Staging Table'!$A75, LS_previous!$B$4:$B$137, 0), MATCH(AE$4&amp;AE$5, LS_previous!$D$2:$AY$2&amp;LS_previous!$D$3:$AY$3, 0)),SUM(VLOOKUP($A75, LS_previous!$B$4:$AY$137, LS_previous!W$148, FALSE), VLOOKUP('Staging Table'!$A75, LS_previous!$B$4:$AY$137,LS_previous!AU$148, FALSE))/2)</f>
        <v>-148.5534025865004</v>
      </c>
      <c r="AF75" s="102">
        <f t="array" ref="AF75">IF($G75=0, INDEX(LS_previous!$D$4:$AY$137, MATCH('Staging Table'!$A75, LS_previous!$B$4:$B$137, 0), MATCH(AF$4&amp;AF$5, LS_previous!$D$2:$AY$2&amp;LS_previous!$D$3:$AY$3, 0)),SUM(VLOOKUP($A75, LS_previous!$B$4:$AY$137, LS_previous!X$148, FALSE), VLOOKUP('Staging Table'!$A75, LS_previous!$B$4:$AY$137,LS_previous!AV$148, FALSE))/2)</f>
        <v>359.06462511110021</v>
      </c>
      <c r="AG75" s="102">
        <f t="array" ref="AG75">IF($G75=0, INDEX(LS_previous!$D$4:$AY$137, MATCH('Staging Table'!$A75, LS_previous!$B$4:$B$137, 0), MATCH(AG$4&amp;AG$5, LS_previous!$D$2:$AY$2&amp;LS_previous!$D$3:$AY$3, 0)),SUM(VLOOKUP($A75, LS_previous!$B$4:$AY$137, LS_previous!Y$148, FALSE), VLOOKUP('Staging Table'!$A75, LS_previous!$B$4:$AY$137,LS_previous!AW$148, FALSE))/2)</f>
        <v>-201.05110695730991</v>
      </c>
      <c r="AH75" s="102">
        <f t="array" ref="AH75">IF($G75=0, INDEX(LS_previous!$D$4:$AY$137, MATCH('Staging Table'!$A75, LS_previous!$B$4:$B$137, 0), MATCH(AH$4&amp;AH$5, LS_previous!$D$2:$AY$2&amp;LS_previous!$D$3:$AY$3, 0)),SUM(VLOOKUP($A75, LS_previous!$B$4:$AY$137, LS_previous!Z$148, FALSE), VLOOKUP('Staging Table'!$A75, LS_previous!$B$4:$AY$137,LS_previous!AX$148, FALSE))/2)</f>
        <v>-57.17029966040036</v>
      </c>
      <c r="AI75" s="102">
        <f t="array" ref="AI75">IF($G75=0, INDEX(LS_previous!$D$4:$AY$137, MATCH('Staging Table'!$A75, LS_previous!$B$4:$B$137, 0), MATCH(AI$4&amp;AI$5, LS_previous!$D$2:$AY$2&amp;LS_previous!$D$3:$AY$3, 0)),SUM(VLOOKUP($A75, LS_previous!$B$4:$AY$137, LS_previous!AA$148, FALSE), VLOOKUP('Staging Table'!$A75, LS_previous!$B$4:$AY$137,LS_previous!AY$148, FALSE))/2)</f>
        <v>-457.23124347839985</v>
      </c>
      <c r="AJ75" s="103">
        <f t="array" ref="AJ75">INDEX(Demand_previous!$D$4:$AY$137, MATCH('Staging Table'!$A75, Demand_previous!$B$4:$B$137, 0), MATCH(AJ$4&amp;AJ$5,Demand_previous!$D$2:$AY$2&amp;Demand_previous!$D$3:$AY$3, 0))/1000</f>
        <v>1.8558774038461543</v>
      </c>
      <c r="AK75" s="103">
        <f t="array" ref="AK75">INDEX(Demand_previous!$D$4:$AY$137, MATCH('Staging Table'!$A75, Demand_previous!$B$4:$B$137, 0), MATCH(AK$4&amp;AK$5,Demand_previous!$D$2:$AY$2&amp;Demand_previous!$D$3:$AY$3, 0))/1000</f>
        <v>3.3368300000000017</v>
      </c>
      <c r="AL75" s="103">
        <f t="array" ref="AL75">INDEX(Demand_previous!$D$4:$AY$137, MATCH('Staging Table'!$A75, Demand_previous!$B$4:$B$137, 0), MATCH(AL$4&amp;AL$5,Demand_previous!$D$2:$AY$2&amp;Demand_previous!$D$3:$AY$3, 0))/1000</f>
        <v>6.3155050000000017</v>
      </c>
      <c r="AM75" s="103">
        <f t="array" ref="AM75">INDEX(Demand_previous!$D$4:$AY$137, MATCH('Staging Table'!$A75, Demand_previous!$B$4:$B$137, 0), MATCH(AM$4&amp;AM$5,Demand_previous!$D$2:$AY$2&amp;Demand_previous!$D$3:$AY$3, 0))/1000</f>
        <v>6.3351778846153843</v>
      </c>
      <c r="AN75" s="103">
        <f t="array" ref="AN75">INDEX(Demand_previous!$D$4:$AY$137, MATCH('Staging Table'!$A75, Demand_previous!$B$4:$B$137, 0), MATCH(AN$4&amp;AN$5,Demand_previous!$D$2:$AY$2&amp;Demand_previous!$D$3:$AY$3, 0))/1000</f>
        <v>7.6623850000000013</v>
      </c>
      <c r="AO75" s="103">
        <f t="array" ref="AO75">INDEX(Demand_previous!$D$4:$AY$137, MATCH('Staging Table'!$A75, Demand_previous!$B$4:$B$137, 0), MATCH(AO$4&amp;AO$5,Demand_previous!$D$2:$AY$2&amp;Demand_previous!$D$3:$AY$3, 0))/1000</f>
        <v>4.0489302884615359</v>
      </c>
      <c r="AP75" s="103">
        <f t="array" ref="AP75">INDEX(Demand_previous!$D$4:$AY$137, MATCH('Staging Table'!$A75, Demand_previous!$B$4:$B$137, 0), MATCH(AP$4&amp;AP$5,Demand_previous!$D$2:$AY$2&amp;Demand_previous!$D$3:$AY$3, 0))/1000</f>
        <v>3.1383028846153866</v>
      </c>
      <c r="AQ75" s="103">
        <f t="array" ref="AQ75">INDEX(Demand_previous!$D$4:$AY$137, MATCH('Staging Table'!$A75, Demand_previous!$B$4:$B$137, 0), MATCH(AQ$4&amp;AQ$5,Demand_previous!$D$2:$AY$2&amp;Demand_previous!$D$3:$AY$3, 0))/1000</f>
        <v>3.0611274038461538</v>
      </c>
      <c r="AR75" s="103">
        <f t="array" ref="AR75">INDEX(Demand_previous!$D$4:$AY$137, MATCH('Staging Table'!$A75, Demand_previous!$B$4:$B$137, 0), MATCH(AR$4&amp;AR$5,Demand_previous!$D$2:$AY$2&amp;Demand_previous!$D$3:$AY$3, 0))/1000</f>
        <v>3.6641400000000011</v>
      </c>
      <c r="AS75" s="103">
        <f t="array" ref="AS75">INDEX(Demand_previous!$D$4:$AY$137, MATCH('Staging Table'!$A75, Demand_previous!$B$4:$B$137, 0), MATCH(AS$4&amp;AS$5,Demand_previous!$D$2:$AY$2&amp;Demand_previous!$D$3:$AY$3, 0))/1000</f>
        <v>4.183937499999999</v>
      </c>
      <c r="AT75" s="103">
        <f t="array" ref="AT75">INDEX(Demand_previous!$D$4:$AY$137, MATCH('Staging Table'!$A75, Demand_previous!$B$4:$B$137, 0), MATCH(AT$4&amp;AT$5,Demand_previous!$D$2:$AY$2&amp;Demand_previous!$D$3:$AY$3, 0))/1000</f>
        <v>4.0208449074074064</v>
      </c>
      <c r="AU75" s="103">
        <f t="array" ref="AU75">INDEX(Demand_previous!$D$4:$AY$137, MATCH('Staging Table'!$A75, Demand_previous!$B$4:$B$137, 0), MATCH(AU$4&amp;AU$5,Demand_previous!$D$2:$AY$2&amp;Demand_previous!$D$3:$AY$3, 0))/1000</f>
        <v>2.7598437499999999</v>
      </c>
      <c r="AV75" s="102">
        <f>$F75*(VLOOKUP(AV$4, Rates_previous!$G$6:$Q$29, 10, FALSE)+VLOOKUP(AV$4, Rates_previous!$G$6:$Q$29, 11, FALSE))</f>
        <v>5925.7317634028996</v>
      </c>
      <c r="AW75" s="102">
        <f>$F75*(VLOOKUP(AW$4, Rates_previous!$G$6:$Q$29, 10, FALSE)+VLOOKUP(AW$4, Rates_previous!$G$6:$Q$29, 11, FALSE))</f>
        <v>7557.2620260114008</v>
      </c>
      <c r="AX75" s="102">
        <f>$F75*(VLOOKUP(AX$4, Rates_previous!$G$6:$Q$29, 10, FALSE)+VLOOKUP(AX$4, Rates_previous!$G$6:$Q$29, 11, FALSE))</f>
        <v>8155.7810144010009</v>
      </c>
      <c r="AY75" s="102">
        <f>$F75*(VLOOKUP(AY$4, Rates_previous!$G$6:$Q$29, 10, FALSE)+VLOOKUP(AY$4, Rates_previous!$G$6:$Q$29, 11, FALSE))</f>
        <v>8475.1172584224005</v>
      </c>
      <c r="AZ75" s="102">
        <f>$F75*(VLOOKUP(AZ$4, Rates_previous!$G$6:$Q$29, 10, FALSE)+VLOOKUP(AZ$4, Rates_previous!$G$6:$Q$29, 11, FALSE))</f>
        <v>7289.7305032547993</v>
      </c>
      <c r="BA75" s="102">
        <f>$F75*(VLOOKUP(BA$4, Rates_previous!$G$6:$Q$29, 10, FALSE)+VLOOKUP(BA$4, Rates_previous!$G$6:$Q$29, 11, FALSE))</f>
        <v>7958.9424154986</v>
      </c>
      <c r="BB75" s="102">
        <f>$F75*(VLOOKUP(BB$4, Rates_previous!$G$6:$Q$29, 10, FALSE)+VLOOKUP(BB$4, Rates_previous!$G$6:$Q$29, 11, FALSE))</f>
        <v>6282.243792650549</v>
      </c>
      <c r="BC75" s="102">
        <f>$F75*(VLOOKUP(BC$4, Rates_previous!$G$6:$Q$29, 10, FALSE)+VLOOKUP(BC$4, Rates_previous!$G$6:$Q$29, 11, FALSE))</f>
        <v>7793.9652847299003</v>
      </c>
      <c r="BD75" s="102">
        <f>$F75*(VLOOKUP(BD$4, Rates_previous!$G$6:$Q$29, 10, FALSE)+VLOOKUP(BD$4, Rates_previous!$G$6:$Q$29, 11, FALSE))</f>
        <v>7963.0748744102993</v>
      </c>
      <c r="BE75" s="102">
        <f>$F75*(VLOOKUP(BE$4, Rates_previous!$G$6:$Q$29, 10, FALSE)+VLOOKUP(BE$4, Rates_previous!$G$6:$Q$29, 11, FALSE))</f>
        <v>6913.0962183008996</v>
      </c>
      <c r="BF75" s="102">
        <f>$F75*(VLOOKUP(BF$4, Rates_previous!$G$6:$Q$29, 10, FALSE)+VLOOKUP(BF$4, Rates_previous!$G$6:$Q$29, 11, FALSE))</f>
        <v>6683.1264818462105</v>
      </c>
      <c r="BG75" s="102">
        <f>$F75*(VLOOKUP(BG$4, Rates_previous!$G$6:$Q$29, 10, FALSE)+VLOOKUP(BG$4, Rates_previous!$G$6:$Q$29, 11, FALSE))</f>
        <v>6149.7705431388003</v>
      </c>
      <c r="BH75" s="103">
        <f>IF($D75=0,IF(C75=0, MAX(BJ75 - (VLOOKUP($A75,TOCA_previous!$A$2:$AJ$136,MATCH("RHWM "&amp;Init!$D$1-2,TOCA_previous!$A$2:$AJ$2,0),FALSE)*$F$2*TOCA_previous!C72),0),0), 0)</f>
        <v>10940.734399468231</v>
      </c>
      <c r="BI75" s="109">
        <f>MIN(VLOOKUP($A75,TOCA_previous!$A$2:$AJ$136,MATCH("TRL - NLSL - Existing Resource "&amp;$F$1,TOCA_previous!$A$2:$AJ$2,0),FALSE)*$F$2,(VLOOKUP($A75,TOCA_previous!$A$2:$AJ$136,MATCH("RHWM "&amp;Init!$D$1-2,TOCA_previous!$A$2:$AJ$2,0),FALSE)*$F$2))</f>
        <v>85222.368000000002</v>
      </c>
      <c r="BJ75" s="261">
        <f>SUM(L75:AI75)+(F75*RT1SC!$C$3*$F$2)</f>
        <v>96163.102399468233</v>
      </c>
      <c r="BK75" s="260">
        <f>VLOOKUP($A75,TOCA_previous!$A$2:$AJ$136,MATCH("Above RHWM Not Served with LS "&amp;$F$1,TOCA_previous!$A$2:$AJ$2,0),FALSE)*$F$2</f>
        <v>23154.624</v>
      </c>
      <c r="BL75" s="261">
        <f t="shared" si="36"/>
        <v>10940.734399468231</v>
      </c>
      <c r="BM75" s="260">
        <f>(VLOOKUP($A75,TOCA_previous!$A$2:$AJ$136,MATCH("RHWM "&amp;Init!$D$1-2,TOCA_previous!$A$2:$AJ$2,0),FALSE)*$F$2) - $BI75</f>
        <v>0</v>
      </c>
      <c r="BN75" s="261">
        <f t="shared" si="37"/>
        <v>0</v>
      </c>
      <c r="BO75" s="260">
        <f t="shared" si="38"/>
        <v>0</v>
      </c>
      <c r="BP75" s="261">
        <f t="shared" si="39"/>
        <v>0</v>
      </c>
      <c r="BQ75" s="260">
        <f t="shared" si="9"/>
        <v>0</v>
      </c>
      <c r="BR75" s="85">
        <f>VLOOKUP($A75,TOCA_current!$A$2:$ZZ$136,MATCH(BR$4,TOCA_current!$A$2:$ZZ$2,0),FALSE)</f>
        <v>1.3725E-3</v>
      </c>
      <c r="BS75" s="85">
        <f>VLOOKUP($A75,TOCA_current!$A$2:$ZZ$136,MATCH(BS$4,TOCA_current!$A$2:$ZZ$2,0),FALSE)</f>
        <v>1.3725E-3</v>
      </c>
      <c r="BT75" s="108">
        <f t="shared" si="40"/>
        <v>0</v>
      </c>
      <c r="BU75" s="85">
        <f>VLOOKUP($A75,TOCA_current!A72:BG206,MATCH(BU$4,TOCA_current!$A$2:$BG$2,0),FALSE)</f>
        <v>9.7711621233859416E-2</v>
      </c>
      <c r="BV75" s="85">
        <f t="shared" si="41"/>
        <v>0</v>
      </c>
      <c r="BW75" s="85">
        <f t="shared" si="42"/>
        <v>0</v>
      </c>
      <c r="BX75" s="101">
        <f>VLOOKUP($A75,IRD!$A$4:$G$138, 7, FALSE)</f>
        <v>0</v>
      </c>
      <c r="BY75" s="102">
        <f t="array" ref="BY75">IF($BT75=0, INDEX(LS_current!$D$4:$BW$137, MATCH('Staging Table'!$A75, LS_current!$B$4:$B$137, 0), MATCH(BY$4&amp;BY$5, LS_current!$D$2:$BW$2&amp;LS_current!$D$3:$BW$3, 0)),SUM(VLOOKUP($A75, LS_current!$B$4:$BW$137, LS_current!D$147, FALSE), VLOOKUP($A75, LS_current!$B$4:$BW$137,LS_current!AZ$147, FALSE))/2)</f>
        <v>289.29934923550445</v>
      </c>
      <c r="BZ75" s="102">
        <f t="array" ref="BZ75">IF($BT75=0, INDEX(LS_current!$D$4:$BW$137, MATCH('Staging Table'!$A75, LS_current!$B$4:$B$137, 0), MATCH(BZ$4&amp;BZ$5, LS_current!$D$2:$BW$2&amp;LS_current!$D$3:$BW$3, 0)),SUM(VLOOKUP($A75, LS_current!$B$4:$BW$137, LS_current!E$147, FALSE), VLOOKUP($A75, LS_current!$B$4:$BW$137,LS_current!BA$147, FALSE))/2)</f>
        <v>-54.313092145244809</v>
      </c>
      <c r="CA75" s="102">
        <f t="array" ref="CA75">IF($BT75=0, INDEX(LS_current!$D$4:$BW$137, MATCH('Staging Table'!$A75, LS_current!$B$4:$B$137, 0), MATCH(CA$4&amp;CA$5, LS_current!$D$2:$BW$2&amp;LS_current!$D$3:$BW$3, 0)),SUM(VLOOKUP($A75, LS_current!$B$4:$BW$137, LS_current!F$147, FALSE), VLOOKUP($A75, LS_current!$B$4:$BW$137,LS_current!BB$147, FALSE))/2)</f>
        <v>379.99109115566171</v>
      </c>
      <c r="CB75" s="102">
        <f t="array" ref="CB75">IF($BT75=0, INDEX(LS_current!$D$4:$BW$137, MATCH('Staging Table'!$A75, LS_current!$B$4:$B$137, 0), MATCH(CB$4&amp;CB$5, LS_current!$D$2:$BW$2&amp;LS_current!$D$3:$BW$3, 0)),SUM(VLOOKUP($A75, LS_current!$B$4:$BW$137, LS_current!G$147, FALSE), VLOOKUP($A75, LS_current!$B$4:$BW$137,LS_current!BC$147, FALSE))/2)</f>
        <v>6.6785186196793802</v>
      </c>
      <c r="CC75" s="102">
        <f t="array" ref="CC75">IF($BT75=0, INDEX(LS_current!$D$4:$BW$137, MATCH('Staging Table'!$A75, LS_current!$B$4:$B$137, 0), MATCH(CC$4&amp;CC$5, LS_current!$D$2:$BW$2&amp;LS_current!$D$3:$BW$3, 0)),SUM(VLOOKUP($A75, LS_current!$B$4:$BW$137, LS_current!H$147, FALSE), VLOOKUP($A75, LS_current!$B$4:$BW$137,LS_current!BD$147, FALSE))/2)</f>
        <v>1160.471772021192</v>
      </c>
      <c r="CD75" s="102">
        <f t="array" ref="CD75">IF($BT75=0, INDEX(LS_current!$D$4:$BW$137, MATCH('Staging Table'!$A75, LS_current!$B$4:$B$137, 0), MATCH(CD$4&amp;CD$5, LS_current!$D$2:$BW$2&amp;LS_current!$D$3:$BW$3, 0)),SUM(VLOOKUP($A75, LS_current!$B$4:$BW$137, LS_current!I$147, FALSE), VLOOKUP($A75, LS_current!$B$4:$BW$137,LS_current!BE$147, FALSE))/2)</f>
        <v>1594.4193288543102</v>
      </c>
      <c r="CE75" s="102">
        <f t="array" ref="CE75">IF($BT75=0, INDEX(LS_current!$D$4:$BW$137, MATCH('Staging Table'!$A75, LS_current!$B$4:$B$137, 0), MATCH(CE$4&amp;CE$5, LS_current!$D$2:$BW$2&amp;LS_current!$D$3:$BW$3, 0)),SUM(VLOOKUP($A75, LS_current!$B$4:$BW$137, LS_current!J$147, FALSE), VLOOKUP($A75, LS_current!$B$4:$BW$137,LS_current!BF$147, FALSE))/2)</f>
        <v>1164.9921009957116</v>
      </c>
      <c r="CF75" s="102">
        <f t="array" ref="CF75">IF($BT75=0, INDEX(LS_current!$D$4:$BW$137, MATCH('Staging Table'!$A75, LS_current!$B$4:$B$137, 0), MATCH(CF$4&amp;CF$5, LS_current!$D$2:$BW$2&amp;LS_current!$D$3:$BW$3, 0)),SUM(VLOOKUP($A75, LS_current!$B$4:$BW$137, LS_current!K$147, FALSE), VLOOKUP($A75, LS_current!$B$4:$BW$137,LS_current!BG$147, FALSE))/2)</f>
        <v>1138.6284801816228</v>
      </c>
      <c r="CG75" s="102">
        <f t="array" ref="CG75">IF($BT75=0, INDEX(LS_current!$D$4:$BW$137, MATCH('Staging Table'!$A75, LS_current!$B$4:$B$137, 0), MATCH(CG$4&amp;CG$5, LS_current!$D$2:$BW$2&amp;LS_current!$D$3:$BW$3, 0)),SUM(VLOOKUP($A75, LS_current!$B$4:$BW$137, LS_current!L$147, FALSE), VLOOKUP($A75, LS_current!$B$4:$BW$137,LS_current!BH$147, FALSE))/2)</f>
        <v>333.5169192103649</v>
      </c>
      <c r="CH75" s="102">
        <f t="array" ref="CH75">IF($BT75=0, INDEX(LS_current!$D$4:$BW$137, MATCH('Staging Table'!$A75, LS_current!$B$4:$B$137, 0), MATCH(CH$4&amp;CH$5, LS_current!$D$2:$BW$2&amp;LS_current!$D$3:$BW$3, 0)),SUM(VLOOKUP($A75, LS_current!$B$4:$BW$137, LS_current!M$147, FALSE), VLOOKUP($A75, LS_current!$B$4:$BW$137,LS_current!BI$147, FALSE))/2)</f>
        <v>560.26779287367708</v>
      </c>
      <c r="CI75" s="102">
        <f t="array" ref="CI75">IF($BT75=0, INDEX(LS_current!$D$4:$BW$137, MATCH('Staging Table'!$A75, LS_current!$B$4:$B$137, 0), MATCH(CI$4&amp;CI$5, LS_current!$D$2:$BW$2&amp;LS_current!$D$3:$BW$3, 0)),SUM(VLOOKUP($A75, LS_current!$B$4:$BW$137, LS_current!N$147, FALSE), VLOOKUP($A75, LS_current!$B$4:$BW$137,LS_current!BJ$147, FALSE))/2)</f>
        <v>2.153372128479532</v>
      </c>
      <c r="CJ75" s="102">
        <f t="array" ref="CJ75">IF($BT75=0, INDEX(LS_current!$D$4:$BW$137, MATCH('Staging Table'!$A75, LS_current!$B$4:$B$137, 0), MATCH(CJ$4&amp;CJ$5, LS_current!$D$2:$BW$2&amp;LS_current!$D$3:$BW$3, 0)),SUM(VLOOKUP($A75, LS_current!$B$4:$BW$137, LS_current!O$147, FALSE), VLOOKUP($A75, LS_current!$B$4:$BW$137,LS_current!BK$147, FALSE))/2)</f>
        <v>398.07497473096237</v>
      </c>
      <c r="CK75" s="102">
        <f t="array" ref="CK75">IF($BT75=0, INDEX(LS_current!$D$4:$BW$137, MATCH('Staging Table'!$A75, LS_current!$B$4:$B$137, 0), MATCH(CK$4&amp;CK$5, LS_current!$D$2:$BW$2&amp;LS_current!$D$3:$BW$3, 0)),SUM(VLOOKUP($A75, LS_current!$B$4:$BW$137, LS_current!P$147, FALSE), VLOOKUP($A75, LS_current!$B$4:$BW$137,LS_current!BL$147, FALSE))/2)</f>
        <v>729.01296866258144</v>
      </c>
      <c r="CL75" s="102">
        <f t="array" ref="CL75">IF($BT75=0, INDEX(LS_current!$D$4:$BW$137, MATCH('Staging Table'!$A75, LS_current!$B$4:$B$137, 0), MATCH(CL$4&amp;CL$5, LS_current!$D$2:$BW$2&amp;LS_current!$D$3:$BW$3, 0)),SUM(VLOOKUP($A75, LS_current!$B$4:$BW$137, LS_current!Q$147, FALSE), VLOOKUP($A75, LS_current!$B$4:$BW$137,LS_current!BM$147, FALSE))/2)</f>
        <v>372.3394721885752</v>
      </c>
      <c r="CM75" s="102">
        <f t="array" ref="CM75">IF($BT75=0, INDEX(LS_current!$D$4:$BW$137, MATCH('Staging Table'!$A75, LS_current!$B$4:$B$137, 0), MATCH(CM$4&amp;CM$5, LS_current!$D$2:$BW$2&amp;LS_current!$D$3:$BW$3, 0)),SUM(VLOOKUP($A75, LS_current!$B$4:$BW$137, LS_current!R$147, FALSE), VLOOKUP($A75, LS_current!$B$4:$BW$137,LS_current!BN$147, FALSE))/2)</f>
        <v>-1036.7534222638214</v>
      </c>
      <c r="CN75" s="102">
        <f t="array" ref="CN75">IF($BT75=0, INDEX(LS_current!$D$4:$BW$137, MATCH('Staging Table'!$A75, LS_current!$B$4:$B$137, 0), MATCH(CN$4&amp;CN$5, LS_current!$D$2:$BW$2&amp;LS_current!$D$3:$BW$3, 0)),SUM(VLOOKUP($A75, LS_current!$B$4:$BW$137, LS_current!S$147, FALSE), VLOOKUP($A75, LS_current!$B$4:$BW$137,LS_current!BO$147, FALSE))/2)</f>
        <v>-1034.6238957441401</v>
      </c>
      <c r="CO75" s="102">
        <f t="array" ref="CO75">IF($BT75=0, INDEX(LS_current!$D$4:$BW$137, MATCH('Staging Table'!$A75, LS_current!$B$4:$B$137, 0), MATCH(CO$4&amp;CO$5, LS_current!$D$2:$BW$2&amp;LS_current!$D$3:$BW$3, 0)),SUM(VLOOKUP($A75, LS_current!$B$4:$BW$137, LS_current!T$147, FALSE), VLOOKUP($A75, LS_current!$B$4:$BW$137,LS_current!BP$147, FALSE))/2)</f>
        <v>-1874.71521191377</v>
      </c>
      <c r="CP75" s="102">
        <f t="array" ref="CP75">IF($BT75=0, INDEX(LS_current!$D$4:$BW$137, MATCH('Staging Table'!$A75, LS_current!$B$4:$B$137, 0), MATCH(CP$4&amp;CP$5, LS_current!$D$2:$BW$2&amp;LS_current!$D$3:$BW$3, 0)),SUM(VLOOKUP($A75, LS_current!$B$4:$BW$137, LS_current!U$147, FALSE), VLOOKUP($A75, LS_current!$B$4:$BW$137,LS_current!BQ$147, FALSE))/2)</f>
        <v>-1146.8870178327118</v>
      </c>
      <c r="CQ75" s="102">
        <f t="array" ref="CQ75">IF($BT75=0, INDEX(LS_current!$D$4:$BW$137, MATCH('Staging Table'!$A75, LS_current!$B$4:$B$137, 0), MATCH(CQ$4&amp;CQ$5, LS_current!$D$2:$BW$2&amp;LS_current!$D$3:$BW$3, 0)),SUM(VLOOKUP($A75, LS_current!$B$4:$BW$137, LS_current!V$147, FALSE), VLOOKUP($A75, LS_current!$B$4:$BW$137,LS_current!BR$147, FALSE))/2)</f>
        <v>-529.13642282763522</v>
      </c>
      <c r="CR75" s="102">
        <f t="array" ref="CR75">IF($BT75=0, INDEX(LS_current!$D$4:$BW$137, MATCH('Staging Table'!$A75, LS_current!$B$4:$B$137, 0), MATCH(CR$4&amp;CR$5, LS_current!$D$2:$BW$2&amp;LS_current!$D$3:$BW$3, 0)),SUM(VLOOKUP($A75, LS_current!$B$4:$BW$137, LS_current!W$147, FALSE), VLOOKUP($A75, LS_current!$B$4:$BW$137,LS_current!BS$147, FALSE))/2)</f>
        <v>-488.01723433816414</v>
      </c>
      <c r="CS75" s="102">
        <f t="array" ref="CS75">IF($BT75=0, INDEX(LS_current!$D$4:$BW$137, MATCH('Staging Table'!$A75, LS_current!$B$4:$B$137, 0), MATCH(CS$4&amp;CS$5, LS_current!$D$2:$BW$2&amp;LS_current!$D$3:$BW$3, 0)),SUM(VLOOKUP($A75, LS_current!$B$4:$BW$137, LS_current!X$147, FALSE), VLOOKUP($A75, LS_current!$B$4:$BW$137,LS_current!BT$147, FALSE))/2)</f>
        <v>-601.349032559232</v>
      </c>
      <c r="CT75" s="102">
        <f t="array" ref="CT75">IF($BT75=0, INDEX(LS_current!$D$4:$BW$137, MATCH('Staging Table'!$A75, LS_current!$B$4:$B$137, 0), MATCH(CT$4&amp;CT$5, LS_current!$D$2:$BW$2&amp;LS_current!$D$3:$BW$3, 0)),SUM(VLOOKUP($A75, LS_current!$B$4:$BW$137, LS_current!Y$147, FALSE), VLOOKUP($A75, LS_current!$B$4:$BW$137,LS_current!BU$147, FALSE))/2)</f>
        <v>-588.7390532339673</v>
      </c>
      <c r="CU75" s="102">
        <f t="array" ref="CU75">IF($BT75=0, INDEX(LS_current!$D$4:$BW$137, MATCH('Staging Table'!$A75, LS_current!$B$4:$B$137, 0), MATCH(CU$4&amp;CU$5, LS_current!$D$2:$BW$2&amp;LS_current!$D$3:$BW$3, 0)),SUM(VLOOKUP($A75, LS_current!$B$4:$BW$137, LS_current!Z$147, FALSE), VLOOKUP($A75, LS_current!$B$4:$BW$137,LS_current!BV$147, FALSE))/2)</f>
        <v>-358.12256483191186</v>
      </c>
      <c r="CV75" s="102">
        <f t="array" ref="CV75">IF($BT75=0, INDEX(LS_current!$D$4:$BW$137, MATCH('Staging Table'!$A75, LS_current!$B$4:$B$137, 0), MATCH(CV$4&amp;CV$5, LS_current!$D$2:$BW$2&amp;LS_current!$D$3:$BW$3, 0)),SUM(VLOOKUP($A75, LS_current!$B$4:$BW$137, LS_current!AA$147, FALSE), VLOOKUP($A75, LS_current!$B$4:$BW$137,LS_current!BW$147, FALSE))/2)</f>
        <v>-418.19279857048082</v>
      </c>
      <c r="CW75" s="103">
        <f t="array" ref="CW75">INDEX(Demand_current!$D$4:$BW$137, MATCH($A75, Demand_current!$B$4:$B$137, 0), MATCH(CW$4&amp;CW$5,Demand_current!$D$2:$BW$2&amp;Demand_current!$D$3:$BW$3, 0))/1000</f>
        <v>2.3795115740740744</v>
      </c>
      <c r="CX75" s="103">
        <f t="array" ref="CX75">INDEX(Demand_current!$D$4:$BW$137, MATCH($A75, Demand_current!$B$4:$B$137, 0), MATCH(CX$4&amp;CX$5,Demand_current!$D$2:$BW$2&amp;Demand_current!$D$3:$BW$3, 0))/1000</f>
        <v>2.6453645833333352</v>
      </c>
      <c r="CY75" s="103">
        <f t="array" ref="CY75">INDEX(Demand_current!$D$4:$BW$137, MATCH($A75, Demand_current!$B$4:$B$137, 0), MATCH(CY$4&amp;CY$5,Demand_current!$D$2:$BW$2&amp;Demand_current!$D$3:$BW$3, 0))/1000</f>
        <v>7.1429855769230777</v>
      </c>
      <c r="CZ75" s="103">
        <f t="array" ref="CZ75">INDEX(Demand_current!$D$4:$BW$137, MATCH($A75, Demand_current!$B$4:$B$137, 0), MATCH(CZ$4&amp;CZ$5,Demand_current!$D$2:$BW$2&amp;Demand_current!$D$3:$BW$3, 0))/1000</f>
        <v>6.3351778846153843</v>
      </c>
      <c r="DA75" s="103">
        <f t="array" ref="DA75">INDEX(Demand_current!$D$4:$BW$137, MATCH($A75, Demand_current!$B$4:$B$137, 0), MATCH(DA$4&amp;DA$5,Demand_current!$D$2:$BW$2&amp;Demand_current!$D$3:$BW$3, 0))/1000</f>
        <v>6.9784427083333336</v>
      </c>
      <c r="DB75" s="103">
        <f t="array" ref="DB75">INDEX(Demand_current!$D$4:$BW$137, MATCH($A75, Demand_current!$B$4:$B$137, 0), MATCH(DB$4&amp;DB$5,Demand_current!$D$2:$BW$2&amp;Demand_current!$D$3:$BW$3, 0))/1000</f>
        <v>4.0489302884615359</v>
      </c>
      <c r="DC75" s="103">
        <f t="array" ref="DC75">INDEX(Demand_current!$D$4:$BW$137, MATCH($A75, Demand_current!$B$4:$B$137, 0), MATCH(DC$4&amp;DC$5,Demand_current!$D$2:$BW$2&amp;Demand_current!$D$3:$BW$3, 0))/1000</f>
        <v>3.1383028846153866</v>
      </c>
      <c r="DD75" s="103">
        <f t="array" ref="DD75">INDEX(Demand_current!$D$4:$BW$137, MATCH($A75, Demand_current!$B$4:$B$137, 0), MATCH(DD$4&amp;DD$5,Demand_current!$D$2:$BW$2&amp;Demand_current!$D$3:$BW$3, 0))/1000</f>
        <v>2.5347324999999987</v>
      </c>
      <c r="DE75" s="103">
        <f t="array" ref="DE75">INDEX(Demand_current!$D$4:$BW$137, MATCH($A75, Demand_current!$B$4:$B$137, 0), MATCH(DE$4&amp;DE$5,Demand_current!$D$2:$BW$2&amp;Demand_current!$D$3:$BW$3, 0))/1000</f>
        <v>4.1764807692307677</v>
      </c>
      <c r="DF75" s="103">
        <f t="array" ref="DF75">INDEX(Demand_current!$D$4:$BW$137, MATCH($A75, Demand_current!$B$4:$B$137, 0), MATCH(DF$4&amp;DF$5,Demand_current!$D$2:$BW$2&amp;Demand_current!$D$3:$BW$3, 0))/1000</f>
        <v>4.183937499999999</v>
      </c>
      <c r="DG75" s="103">
        <f t="array" ref="DG75">INDEX(Demand_current!$D$4:$BW$137, MATCH($A75, Demand_current!$B$4:$B$137, 0), MATCH(DG$4&amp;DG$5,Demand_current!$D$2:$BW$2&amp;Demand_current!$D$3:$BW$3, 0))/1000</f>
        <v>3.4700697115384629</v>
      </c>
      <c r="DH75" s="103">
        <f t="array" ref="DH75">INDEX(Demand_current!$D$4:$BW$137, MATCH($A75, Demand_current!$B$4:$B$137, 0), MATCH(DH$4&amp;DH$5,Demand_current!$D$2:$BW$2&amp;Demand_current!$D$3:$BW$3, 0))/1000</f>
        <v>3.2740100000000005</v>
      </c>
      <c r="DI75" s="102">
        <f>$BS75*(VLOOKUP(DI$4, Rates_current!$H$6:$R$41, 10, FALSE)+VLOOKUP(DI$4, Rates_current!$H$6:$R$41, 11, FALSE))</f>
        <v>5696.2697429097407</v>
      </c>
      <c r="DJ75" s="102">
        <f>$BS75*(VLOOKUP(DJ$4, Rates_current!$H$6:$R$41, 10, FALSE)+VLOOKUP(DJ$4, Rates_current!$H$6:$R$41, 11, FALSE))</f>
        <v>7282.4933902246594</v>
      </c>
      <c r="DK75" s="102">
        <f>$BS75*(VLOOKUP(DK$4, Rates_current!$H$6:$R$41, 10, FALSE)+VLOOKUP(DK$4, Rates_current!$H$6:$R$41, 11, FALSE))</f>
        <v>8279.5858991244986</v>
      </c>
      <c r="DL75" s="102">
        <f>$BS75*(VLOOKUP(DL$4, Rates_current!$H$6:$R$41, 10, FALSE)+VLOOKUP(DL$4, Rates_current!$H$6:$R$41, 11, FALSE))</f>
        <v>8735.6094188226652</v>
      </c>
      <c r="DM75" s="102">
        <f>$BS75*(VLOOKUP(DM$4, Rates_current!$H$6:$R$41, 10, FALSE)+VLOOKUP(DM$4, Rates_current!$H$6:$R$41, 11, FALSE))</f>
        <v>6961.4922879159585</v>
      </c>
      <c r="DN75" s="102">
        <f>$BS75*(VLOOKUP(DN$4, Rates_current!$H$6:$R$41, 10, FALSE)+VLOOKUP(DN$4, Rates_current!$H$6:$R$41, 11, FALSE))</f>
        <v>7610.3406531405581</v>
      </c>
      <c r="DO75" s="102">
        <f>$BS75*(VLOOKUP(DO$4, Rates_current!$H$6:$R$41, 10, FALSE)+VLOOKUP(DO$4, Rates_current!$H$6:$R$41, 11, FALSE))</f>
        <v>5898.0905591488427</v>
      </c>
      <c r="DP75" s="102">
        <f>$BS75*(VLOOKUP(DP$4, Rates_current!$H$6:$R$41, 10, FALSE)+VLOOKUP(DP$4, Rates_current!$H$6:$R$41, 11, FALSE))</f>
        <v>7633.1003180079606</v>
      </c>
      <c r="DQ75" s="102">
        <f>$BS75*(VLOOKUP(DQ$4, Rates_current!$H$6:$R$41, 10, FALSE)+VLOOKUP(DQ$4, Rates_current!$H$6:$R$41, 11, FALSE))</f>
        <v>7796.0892297464825</v>
      </c>
      <c r="DR75" s="102">
        <f>$BS75*(VLOOKUP(DR$4, Rates_current!$H$6:$R$41, 10, FALSE)+VLOOKUP(DR$4, Rates_current!$H$6:$R$41, 11, FALSE))</f>
        <v>6939.1936571657989</v>
      </c>
      <c r="DS75" s="102">
        <f>$BS75*(VLOOKUP(DS$4, Rates_current!$H$6:$R$41, 10, FALSE)+VLOOKUP(DS$4, Rates_current!$H$6:$R$41, 11, FALSE))</f>
        <v>7118.3400857931993</v>
      </c>
      <c r="DT75" s="102">
        <f>$BS75*(VLOOKUP(DT$4, Rates_current!$H$6:$R$41, 10, FALSE)+VLOOKUP(DT$4, Rates_current!$H$6:$R$41, 11, FALSE))</f>
        <v>5528.244363402393</v>
      </c>
      <c r="DU75" s="261">
        <f>IF(D75=0,IF(C75=0,MAX(0,DW75 - (VLOOKUP($A75,TOCA_current!$A$2:$AV$136,MATCH("RHWM "&amp;Init!$D$1,TOCA_current!$A$2:$AV$2,0),FALSE)*$BS$2)), 0),0)</f>
        <v>0</v>
      </c>
      <c r="DV75" s="262">
        <f>MIN(VLOOKUP($A75,TOCA_current!$A$2:$AV$136,MATCH("TRL - NLSL - Existing Resource "&amp;$BS$1,TOCA_current!$A$2:$AV$2,0),FALSE)*$BS$2, VLOOKUP($A75,TOCA_current!$A$2:$AV$136,MATCH("RHWM "&amp;Init!$D$1,TOCA_current!$A$2:$AV$2,0),FALSE)*$BS$2)</f>
        <v>85480.079999999987</v>
      </c>
      <c r="DW75" s="262">
        <f>SUM(BY75:CV75)+(BS75*RT1SC!$C$4*$BS$2)</f>
        <v>85477.851045797244</v>
      </c>
      <c r="DX75" s="262">
        <f>VLOOKUP($A75,TOCA_current!$A$2:$AV$136,MATCH("Above RHWM Not Served with LS "&amp;$BS$1,TOCA_current!$A$2:$AV$2,0),FALSE)*$BS$2</f>
        <v>33839.879999999997</v>
      </c>
      <c r="DY75" s="262">
        <f t="shared" si="43"/>
        <v>-2.2289542027428979</v>
      </c>
      <c r="DZ75" s="262">
        <f>(VLOOKUP($A75,TOCA_current!$A$2:$AV$136,MATCH("RHWM "&amp;Init!$D$1,TOCA_current!$A$2:$AV$2,0),FALSE)*$BS$2) - $DV75</f>
        <v>0</v>
      </c>
      <c r="EA75" s="262">
        <f t="shared" si="44"/>
        <v>0</v>
      </c>
      <c r="EB75" s="262">
        <f t="shared" si="45"/>
        <v>0</v>
      </c>
      <c r="EC75" s="262">
        <f t="shared" si="46"/>
        <v>0</v>
      </c>
      <c r="ED75" s="262">
        <f t="shared" si="47"/>
        <v>0</v>
      </c>
    </row>
    <row r="76" spans="1:134">
      <c r="A76" s="2">
        <v>10231</v>
      </c>
      <c r="B76" s="3" t="s">
        <v>78</v>
      </c>
      <c r="C76">
        <f>VLOOKUP(A76, TOCA_current!$A$3:$D$136, 4, FALSE)</f>
        <v>0</v>
      </c>
      <c r="D76">
        <v>0</v>
      </c>
      <c r="E76" s="84">
        <f>VLOOKUP($A76,TOCA_previous!$A$2:$AJ$136,MATCH(E$4,TOCA_previous!$A$2:$AJ$2,0),FALSE)</f>
        <v>5.3071000000000004E-3</v>
      </c>
      <c r="F76" s="85">
        <f>VLOOKUP($A76,TOCA_previous!$A$2:$AJ$136,MATCH(F$4,TOCA_previous!$A$2:$AJ$2,0),FALSE)</f>
        <v>5.3071000000000004E-3</v>
      </c>
      <c r="G76" s="85">
        <f t="shared" si="33"/>
        <v>0</v>
      </c>
      <c r="H76" s="85">
        <f>VLOOKUP($A76,TOCA_previous!$A$2:$AJ$136,MATCH(H$4,TOCA_previous!$A$2:$AJ$2,0),FALSE)</f>
        <v>0.10861180064922668</v>
      </c>
      <c r="I76" s="85">
        <f t="shared" si="34"/>
        <v>0</v>
      </c>
      <c r="J76" s="85">
        <f t="shared" si="35"/>
        <v>0</v>
      </c>
      <c r="K76" s="101">
        <f>VLOOKUP(A76, IRD!$A$5:$C$138, 3, FALSE)</f>
        <v>21632.728999999999</v>
      </c>
      <c r="L76" s="102">
        <f t="array" ref="L76">IF($G76=0, INDEX(LS_previous!$D$4:$AY$137, MATCH('Staging Table'!$A76, LS_previous!$B$4:$B$137, 0), MATCH(L$4&amp;L$5, LS_previous!$D$2:$AY$2&amp;LS_previous!$D$3:$AY$3, 0)),SUM(VLOOKUP($A76, LS_previous!$B$4:$AY$137, LS_previous!D$148, FALSE), VLOOKUP('Staging Table'!$A76, LS_previous!$B$4:$AY$137,LS_previous!AB$148, FALSE))/2)</f>
        <v>793.59925654439758</v>
      </c>
      <c r="M76" s="102">
        <f t="array" ref="M76">IF($G76=0, INDEX(LS_previous!$D$4:$AY$137, MATCH('Staging Table'!$A76, LS_previous!$B$4:$B$137, 0), MATCH(M$4&amp;M$5, LS_previous!$D$2:$AY$2&amp;LS_previous!$D$3:$AY$3, 0)),SUM(VLOOKUP($A76, LS_previous!$B$4:$AY$137, LS_previous!E$148, FALSE), VLOOKUP('Staging Table'!$A76, LS_previous!$B$4:$AY$137,LS_previous!AC$148, FALSE))/2)</f>
        <v>-2013.1276992010517</v>
      </c>
      <c r="N76" s="102">
        <f t="array" ref="N76">IF($G76=0, INDEX(LS_previous!$D$4:$AY$137, MATCH('Staging Table'!$A76, LS_previous!$B$4:$B$137, 0), MATCH(N$4&amp;N$5, LS_previous!$D$2:$AY$2&amp;LS_previous!$D$3:$AY$3, 0)),SUM(VLOOKUP($A76, LS_previous!$B$4:$AY$137, LS_previous!F$148, FALSE), VLOOKUP('Staging Table'!$A76, LS_previous!$B$4:$AY$137,LS_previous!AD$148, FALSE))/2)</f>
        <v>-4645.9406984288071</v>
      </c>
      <c r="O76" s="102">
        <f t="array" ref="O76">IF($G76=0, INDEX(LS_previous!$D$4:$AY$137, MATCH('Staging Table'!$A76, LS_previous!$B$4:$B$137, 0), MATCH(O$4&amp;O$5, LS_previous!$D$2:$AY$2&amp;LS_previous!$D$3:$AY$3, 0)),SUM(VLOOKUP($A76, LS_previous!$B$4:$AY$137, LS_previous!G$148, FALSE), VLOOKUP('Staging Table'!$A76, LS_previous!$B$4:$AY$137,LS_previous!AE$148, FALSE))/2)</f>
        <v>-2127.7664825801021</v>
      </c>
      <c r="P76" s="102">
        <f t="array" ref="P76">IF($G76=0, INDEX(LS_previous!$D$4:$AY$137, MATCH('Staging Table'!$A76, LS_previous!$B$4:$B$137, 0), MATCH(P$4&amp;P$5, LS_previous!$D$2:$AY$2&amp;LS_previous!$D$3:$AY$3, 0)),SUM(VLOOKUP($A76, LS_previous!$B$4:$AY$137, LS_previous!H$148, FALSE), VLOOKUP('Staging Table'!$A76, LS_previous!$B$4:$AY$137,LS_previous!AF$148, FALSE))/2)</f>
        <v>-696.1648654469027</v>
      </c>
      <c r="Q76" s="102">
        <f t="array" ref="Q76">IF($G76=0, INDEX(LS_previous!$D$4:$AY$137, MATCH('Staging Table'!$A76, LS_previous!$B$4:$B$137, 0), MATCH(Q$4&amp;Q$5, LS_previous!$D$2:$AY$2&amp;LS_previous!$D$3:$AY$3, 0)),SUM(VLOOKUP($A76, LS_previous!$B$4:$AY$137, LS_previous!I$148, FALSE), VLOOKUP('Staging Table'!$A76, LS_previous!$B$4:$AY$137,LS_previous!AG$148, FALSE))/2)</f>
        <v>-1620.7771440416036</v>
      </c>
      <c r="R76" s="102">
        <f t="array" ref="R76">IF($G76=0, INDEX(LS_previous!$D$4:$AY$137, MATCH('Staging Table'!$A76, LS_previous!$B$4:$B$137, 0), MATCH(R$4&amp;R$5, LS_previous!$D$2:$AY$2&amp;LS_previous!$D$3:$AY$3, 0)),SUM(VLOOKUP($A76, LS_previous!$B$4:$AY$137, LS_previous!J$148, FALSE), VLOOKUP('Staging Table'!$A76, LS_previous!$B$4:$AY$137,LS_previous!AH$148, FALSE))/2)</f>
        <v>-967.72350067650405</v>
      </c>
      <c r="S76" s="102">
        <f t="array" ref="S76">IF($G76=0, INDEX(LS_previous!$D$4:$AY$137, MATCH('Staging Table'!$A76, LS_previous!$B$4:$B$137, 0), MATCH(S$4&amp;S$5, LS_previous!$D$2:$AY$2&amp;LS_previous!$D$3:$AY$3, 0)),SUM(VLOOKUP($A76, LS_previous!$B$4:$AY$137, LS_previous!K$148, FALSE), VLOOKUP('Staging Table'!$A76, LS_previous!$B$4:$AY$137,LS_previous!AI$148, FALSE))/2)</f>
        <v>-207.13933370590348</v>
      </c>
      <c r="T76" s="102">
        <f t="array" ref="T76">IF($G76=0, INDEX(LS_previous!$D$4:$AY$137, MATCH('Staging Table'!$A76, LS_previous!$B$4:$B$137, 0), MATCH(T$4&amp;T$5, LS_previous!$D$2:$AY$2&amp;LS_previous!$D$3:$AY$3, 0)),SUM(VLOOKUP($A76, LS_previous!$B$4:$AY$137, LS_previous!L$148, FALSE), VLOOKUP('Staging Table'!$A76, LS_previous!$B$4:$AY$137,LS_previous!AJ$148, FALSE))/2)</f>
        <v>-5438.6341294409031</v>
      </c>
      <c r="U76" s="102">
        <f t="array" ref="U76">IF($G76=0, INDEX(LS_previous!$D$4:$AY$137, MATCH('Staging Table'!$A76, LS_previous!$B$4:$B$137, 0), MATCH(U$4&amp;U$5, LS_previous!$D$2:$AY$2&amp;LS_previous!$D$3:$AY$3, 0)),SUM(VLOOKUP($A76, LS_previous!$B$4:$AY$137, LS_previous!M$148, FALSE), VLOOKUP('Staging Table'!$A76, LS_previous!$B$4:$AY$137,LS_previous!AK$148, FALSE))/2)</f>
        <v>-2986.8756866089025</v>
      </c>
      <c r="V76" s="102">
        <f t="array" ref="V76">IF($G76=0, INDEX(LS_previous!$D$4:$AY$137, MATCH('Staging Table'!$A76, LS_previous!$B$4:$B$137, 0), MATCH(V$4&amp;V$5, LS_previous!$D$2:$AY$2&amp;LS_previous!$D$3:$AY$3, 0)),SUM(VLOOKUP($A76, LS_previous!$B$4:$AY$137, LS_previous!N$148, FALSE), VLOOKUP('Staging Table'!$A76, LS_previous!$B$4:$AY$137,LS_previous!AL$148, FALSE))/2)</f>
        <v>-5292.4647246023014</v>
      </c>
      <c r="W76" s="102">
        <f t="array" ref="W76">IF($G76=0, INDEX(LS_previous!$D$4:$AY$137, MATCH('Staging Table'!$A76, LS_previous!$B$4:$B$137, 0), MATCH(W$4&amp;W$5, LS_previous!$D$2:$AY$2&amp;LS_previous!$D$3:$AY$3, 0)),SUM(VLOOKUP($A76, LS_previous!$B$4:$AY$137, LS_previous!O$148, FALSE), VLOOKUP('Staging Table'!$A76, LS_previous!$B$4:$AY$137,LS_previous!AM$148, FALSE))/2)</f>
        <v>-3828.0180180238021</v>
      </c>
      <c r="X76" s="102">
        <f t="array" ref="X76">IF($G76=0, INDEX(LS_previous!$D$4:$AY$137, MATCH('Staging Table'!$A76, LS_previous!$B$4:$B$137, 0), MATCH(X$4&amp;X$5, LS_previous!$D$2:$AY$2&amp;LS_previous!$D$3:$AY$3, 0)),SUM(VLOOKUP($A76, LS_previous!$B$4:$AY$137, LS_previous!P$148, FALSE), VLOOKUP('Staging Table'!$A76, LS_previous!$B$4:$AY$137,LS_previous!AN$148, FALSE))/2)</f>
        <v>-2483.7643159702529</v>
      </c>
      <c r="Y76" s="102">
        <f t="array" ref="Y76">IF($G76=0, INDEX(LS_previous!$D$4:$AY$137, MATCH('Staging Table'!$A76, LS_previous!$B$4:$B$137, 0), MATCH(Y$4&amp;Y$5, LS_previous!$D$2:$AY$2&amp;LS_previous!$D$3:$AY$3, 0)),SUM(VLOOKUP($A76, LS_previous!$B$4:$AY$137, LS_previous!Q$148, FALSE), VLOOKUP('Staging Table'!$A76, LS_previous!$B$4:$AY$137,LS_previous!AO$148, FALSE))/2)</f>
        <v>-3175.1208628534259</v>
      </c>
      <c r="Z76" s="102">
        <f t="array" ref="Z76">IF($G76=0, INDEX(LS_previous!$D$4:$AY$137, MATCH('Staging Table'!$A76, LS_previous!$B$4:$B$137, 0), MATCH(Z$4&amp;Z$5, LS_previous!$D$2:$AY$2&amp;LS_previous!$D$3:$AY$3, 0)),SUM(VLOOKUP($A76, LS_previous!$B$4:$AY$137, LS_previous!R$148, FALSE), VLOOKUP('Staging Table'!$A76, LS_previous!$B$4:$AY$137,LS_previous!AP$148, FALSE))/2)</f>
        <v>-7817.9521940208033</v>
      </c>
      <c r="AA76" s="102">
        <f t="array" ref="AA76">IF($G76=0, INDEX(LS_previous!$D$4:$AY$137, MATCH('Staging Table'!$A76, LS_previous!$B$4:$B$137, 0), MATCH(AA$4&amp;AA$5, LS_previous!$D$2:$AY$2&amp;LS_previous!$D$3:$AY$3, 0)),SUM(VLOOKUP($A76, LS_previous!$B$4:$AY$137, LS_previous!S$148, FALSE), VLOOKUP('Staging Table'!$A76, LS_previous!$B$4:$AY$137,LS_previous!AQ$148, FALSE))/2)</f>
        <v>-5454.8407310753519</v>
      </c>
      <c r="AB76" s="102">
        <f t="array" ref="AB76">IF($G76=0, INDEX(LS_previous!$D$4:$AY$137, MATCH('Staging Table'!$A76, LS_previous!$B$4:$B$137, 0), MATCH(AB$4&amp;AB$5, LS_previous!$D$2:$AY$2&amp;LS_previous!$D$3:$AY$3, 0)),SUM(VLOOKUP($A76, LS_previous!$B$4:$AY$137, LS_previous!T$148, FALSE), VLOOKUP('Staging Table'!$A76, LS_previous!$B$4:$AY$137,LS_previous!AR$148, FALSE))/2)</f>
        <v>-6705.5540640746003</v>
      </c>
      <c r="AC76" s="102">
        <f t="array" ref="AC76">IF($G76=0, INDEX(LS_previous!$D$4:$AY$137, MATCH('Staging Table'!$A76, LS_previous!$B$4:$B$137, 0), MATCH(AC$4&amp;AC$5, LS_previous!$D$2:$AY$2&amp;LS_previous!$D$3:$AY$3, 0)),SUM(VLOOKUP($A76, LS_previous!$B$4:$AY$137, LS_previous!U$148, FALSE), VLOOKUP('Staging Table'!$A76, LS_previous!$B$4:$AY$137,LS_previous!AS$148, FALSE))/2)</f>
        <v>-6119.8406417369515</v>
      </c>
      <c r="AD76" s="102">
        <f t="array" ref="AD76">IF($G76=0, INDEX(LS_previous!$D$4:$AY$137, MATCH('Staging Table'!$A76, LS_previous!$B$4:$B$137, 0), MATCH(AD$4&amp;AD$5, LS_previous!$D$2:$AY$2&amp;LS_previous!$D$3:$AY$3, 0)),SUM(VLOOKUP($A76, LS_previous!$B$4:$AY$137, LS_previous!V$148, FALSE), VLOOKUP('Staging Table'!$A76, LS_previous!$B$4:$AY$137,LS_previous!AT$148, FALSE))/2)</f>
        <v>-217.32027472440313</v>
      </c>
      <c r="AE76" s="102">
        <f t="array" ref="AE76">IF($G76=0, INDEX(LS_previous!$D$4:$AY$137, MATCH('Staging Table'!$A76, LS_previous!$B$4:$B$137, 0), MATCH(AE$4&amp;AE$5, LS_previous!$D$2:$AY$2&amp;LS_previous!$D$3:$AY$3, 0)),SUM(VLOOKUP($A76, LS_previous!$B$4:$AY$137, LS_previous!W$148, FALSE), VLOOKUP('Staging Table'!$A76, LS_previous!$B$4:$AY$137,LS_previous!AU$148, FALSE))/2)</f>
        <v>-1445.2764564052522</v>
      </c>
      <c r="AF76" s="102">
        <f t="array" ref="AF76">IF($G76=0, INDEX(LS_previous!$D$4:$AY$137, MATCH('Staging Table'!$A76, LS_previous!$B$4:$B$137, 0), MATCH(AF$4&amp;AF$5, LS_previous!$D$2:$AY$2&amp;LS_previous!$D$3:$AY$3, 0)),SUM(VLOOKUP($A76, LS_previous!$B$4:$AY$137, LS_previous!X$148, FALSE), VLOOKUP('Staging Table'!$A76, LS_previous!$B$4:$AY$137,LS_previous!AV$148, FALSE))/2)</f>
        <v>-369.69176916765173</v>
      </c>
      <c r="AG76" s="102">
        <f t="array" ref="AG76">IF($G76=0, INDEX(LS_previous!$D$4:$AY$137, MATCH('Staging Table'!$A76, LS_previous!$B$4:$B$137, 0), MATCH(AG$4&amp;AG$5, LS_previous!$D$2:$AY$2&amp;LS_previous!$D$3:$AY$3, 0)),SUM(VLOOKUP($A76, LS_previous!$B$4:$AY$137, LS_previous!Y$148, FALSE), VLOOKUP('Staging Table'!$A76, LS_previous!$B$4:$AY$137,LS_previous!AW$148, FALSE))/2)</f>
        <v>-53.938963571936256</v>
      </c>
      <c r="AH76" s="102">
        <f t="array" ref="AH76">IF($G76=0, INDEX(LS_previous!$D$4:$AY$137, MATCH('Staging Table'!$A76, LS_previous!$B$4:$B$137, 0), MATCH(AH$4&amp;AH$5, LS_previous!$D$2:$AY$2&amp;LS_previous!$D$3:$AY$3, 0)),SUM(VLOOKUP($A76, LS_previous!$B$4:$AY$137, LS_previous!Z$148, FALSE), VLOOKUP('Staging Table'!$A76, LS_previous!$B$4:$AY$137,LS_previous!AX$148, FALSE))/2)</f>
        <v>206.90108605459682</v>
      </c>
      <c r="AI76" s="102">
        <f t="array" ref="AI76">IF($G76=0, INDEX(LS_previous!$D$4:$AY$137, MATCH('Staging Table'!$A76, LS_previous!$B$4:$B$137, 0), MATCH(AI$4&amp;AI$5, LS_previous!$D$2:$AY$2&amp;LS_previous!$D$3:$AY$3, 0)),SUM(VLOOKUP($A76, LS_previous!$B$4:$AY$137, LS_previous!AA$148, FALSE), VLOOKUP('Staging Table'!$A76, LS_previous!$B$4:$AY$137,LS_previous!AY$148, FALSE))/2)</f>
        <v>-2109.6161718384028</v>
      </c>
      <c r="AJ76" s="103">
        <f t="array" ref="AJ76">INDEX(Demand_previous!$D$4:$AY$137, MATCH('Staging Table'!$A76, Demand_previous!$B$4:$B$137, 0), MATCH(AJ$4&amp;AJ$5,Demand_previous!$D$2:$AY$2&amp;Demand_previous!$D$3:$AY$3, 0))/1000</f>
        <v>0</v>
      </c>
      <c r="AK76" s="103">
        <f t="array" ref="AK76">INDEX(Demand_previous!$D$4:$AY$137, MATCH('Staging Table'!$A76, Demand_previous!$B$4:$B$137, 0), MATCH(AK$4&amp;AK$5,Demand_previous!$D$2:$AY$2&amp;Demand_previous!$D$3:$AY$3, 0))/1000</f>
        <v>2.941450000000005</v>
      </c>
      <c r="AL76" s="103">
        <f t="array" ref="AL76">INDEX(Demand_previous!$D$4:$AY$137, MATCH('Staging Table'!$A76, Demand_previous!$B$4:$B$137, 0), MATCH(AL$4&amp;AL$5,Demand_previous!$D$2:$AY$2&amp;Demand_previous!$D$3:$AY$3, 0))/1000</f>
        <v>2.3429874999999871</v>
      </c>
      <c r="AM76" s="103">
        <f t="array" ref="AM76">INDEX(Demand_previous!$D$4:$AY$137, MATCH('Staging Table'!$A76, Demand_previous!$B$4:$B$137, 0), MATCH(AM$4&amp;AM$5,Demand_previous!$D$2:$AY$2&amp;Demand_previous!$D$3:$AY$3, 0))/1000</f>
        <v>0.73317788461539912</v>
      </c>
      <c r="AN76" s="103">
        <f t="array" ref="AN76">INDEX(Demand_previous!$D$4:$AY$137, MATCH('Staging Table'!$A76, Demand_previous!$B$4:$B$137, 0), MATCH(AN$4&amp;AN$5,Demand_previous!$D$2:$AY$2&amp;Demand_previous!$D$3:$AY$3, 0))/1000</f>
        <v>5.603065000000008</v>
      </c>
      <c r="AO76" s="103">
        <f t="array" ref="AO76">INDEX(Demand_previous!$D$4:$AY$137, MATCH('Staging Table'!$A76, Demand_previous!$B$4:$B$137, 0), MATCH(AO$4&amp;AO$5,Demand_previous!$D$2:$AY$2&amp;Demand_previous!$D$3:$AY$3, 0))/1000</f>
        <v>3.5918437500000024</v>
      </c>
      <c r="AP76" s="103">
        <f t="array" ref="AP76">INDEX(Demand_previous!$D$4:$AY$137, MATCH('Staging Table'!$A76, Demand_previous!$B$4:$B$137, 0), MATCH(AP$4&amp;AP$5,Demand_previous!$D$2:$AY$2&amp;Demand_previous!$D$3:$AY$3, 0))/1000</f>
        <v>0.30508173076923839</v>
      </c>
      <c r="AQ76" s="103">
        <f t="array" ref="AQ76">INDEX(Demand_previous!$D$4:$AY$137, MATCH('Staging Table'!$A76, Demand_previous!$B$4:$B$137, 0), MATCH(AQ$4&amp;AQ$5,Demand_previous!$D$2:$AY$2&amp;Demand_previous!$D$3:$AY$3, 0))/1000</f>
        <v>5.8402475961538469</v>
      </c>
      <c r="AR76" s="103">
        <f t="array" ref="AR76">INDEX(Demand_previous!$D$4:$AY$137, MATCH('Staging Table'!$A76, Demand_previous!$B$4:$B$137, 0), MATCH(AR$4&amp;AR$5,Demand_previous!$D$2:$AY$2&amp;Demand_previous!$D$3:$AY$3, 0))/1000</f>
        <v>6.4025900000000044</v>
      </c>
      <c r="AS76" s="103">
        <f t="array" ref="AS76">INDEX(Demand_previous!$D$4:$AY$137, MATCH('Staging Table'!$A76, Demand_previous!$B$4:$B$137, 0), MATCH(AS$4&amp;AS$5,Demand_previous!$D$2:$AY$2&amp;Demand_previous!$D$3:$AY$3, 0))/1000</f>
        <v>2.0222980769230752</v>
      </c>
      <c r="AT76" s="103">
        <f t="array" ref="AT76">INDEX(Demand_previous!$D$4:$AY$137, MATCH('Staging Table'!$A76, Demand_previous!$B$4:$B$137, 0), MATCH(AT$4&amp;AT$5,Demand_previous!$D$2:$AY$2&amp;Demand_previous!$D$3:$AY$3, 0))/1000</f>
        <v>10.617009259259255</v>
      </c>
      <c r="AU76" s="103">
        <f t="array" ref="AU76">INDEX(Demand_previous!$D$4:$AY$137, MATCH('Staging Table'!$A76, Demand_previous!$B$4:$B$137, 0), MATCH(AU$4&amp;AU$5,Demand_previous!$D$2:$AY$2&amp;Demand_previous!$D$3:$AY$3, 0))/1000</f>
        <v>0</v>
      </c>
      <c r="AV76" s="102">
        <f>$F76*(VLOOKUP(AV$4, Rates_previous!$G$6:$Q$29, 10, FALSE)+VLOOKUP(AV$4, Rates_previous!$G$6:$Q$29, 11, FALSE))</f>
        <v>22389.613442656653</v>
      </c>
      <c r="AW76" s="102">
        <f>$F76*(VLOOKUP(AW$4, Rates_previous!$G$6:$Q$29, 10, FALSE)+VLOOKUP(AW$4, Rates_previous!$G$6:$Q$29, 11, FALSE))</f>
        <v>28554.140181008905</v>
      </c>
      <c r="AX76" s="102">
        <f>$F76*(VLOOKUP(AX$4, Rates_previous!$G$6:$Q$29, 10, FALSE)+VLOOKUP(AX$4, Rates_previous!$G$6:$Q$29, 11, FALSE))</f>
        <v>30815.567009488506</v>
      </c>
      <c r="AY76" s="102">
        <f>$F76*(VLOOKUP(AY$4, Rates_previous!$G$6:$Q$29, 10, FALSE)+VLOOKUP(AY$4, Rates_previous!$G$6:$Q$29, 11, FALSE))</f>
        <v>32022.137834382404</v>
      </c>
      <c r="AZ76" s="102">
        <f>$F76*(VLOOKUP(AZ$4, Rates_previous!$G$6:$Q$29, 10, FALSE)+VLOOKUP(AZ$4, Rates_previous!$G$6:$Q$29, 11, FALSE))</f>
        <v>27543.306816049801</v>
      </c>
      <c r="BA76" s="102">
        <f>$F76*(VLOOKUP(BA$4, Rates_previous!$G$6:$Q$29, 10, FALSE)+VLOOKUP(BA$4, Rates_previous!$G$6:$Q$29, 11, FALSE))</f>
        <v>30071.837742626099</v>
      </c>
      <c r="BB76" s="102">
        <f>$F76*(VLOOKUP(BB$4, Rates_previous!$G$6:$Q$29, 10, FALSE)+VLOOKUP(BB$4, Rates_previous!$G$6:$Q$29, 11, FALSE))</f>
        <v>23736.648178823674</v>
      </c>
      <c r="BC76" s="102">
        <f>$F76*(VLOOKUP(BC$4, Rates_previous!$G$6:$Q$29, 10, FALSE)+VLOOKUP(BC$4, Rates_previous!$G$6:$Q$29, 11, FALSE))</f>
        <v>29448.492925096154</v>
      </c>
      <c r="BD76" s="102">
        <f>$F76*(VLOOKUP(BD$4, Rates_previous!$G$6:$Q$29, 10, FALSE)+VLOOKUP(BD$4, Rates_previous!$G$6:$Q$29, 11, FALSE))</f>
        <v>30087.451705811549</v>
      </c>
      <c r="BE76" s="102">
        <f>$F76*(VLOOKUP(BE$4, Rates_previous!$G$6:$Q$29, 10, FALSE)+VLOOKUP(BE$4, Rates_previous!$G$6:$Q$29, 11, FALSE))</f>
        <v>26120.242731129652</v>
      </c>
      <c r="BF76" s="102">
        <f>$F76*(VLOOKUP(BF$4, Rates_previous!$G$6:$Q$29, 10, FALSE)+VLOOKUP(BF$4, Rates_previous!$G$6:$Q$29, 11, FALSE))</f>
        <v>25251.331732739589</v>
      </c>
      <c r="BG76" s="102">
        <f>$F76*(VLOOKUP(BG$4, Rates_previous!$G$6:$Q$29, 10, FALSE)+VLOOKUP(BG$4, Rates_previous!$G$6:$Q$29, 11, FALSE))</f>
        <v>23236.115085783804</v>
      </c>
      <c r="BH76" s="103">
        <f>IF($D76=0,IF(C76=0, MAX(BJ76 - (VLOOKUP($A76,TOCA_previous!$A$2:$AJ$136,MATCH("RHWM "&amp;Init!$D$1-2,TOCA_previous!$A$2:$AJ$2,0),FALSE)*$F$2*TOCA_previous!C73),0),0), 0)</f>
        <v>0</v>
      </c>
      <c r="BI76" s="109">
        <f>MIN(VLOOKUP($A76,TOCA_previous!$A$2:$AJ$136,MATCH("TRL - NLSL - Existing Resource "&amp;$F$1,TOCA_previous!$A$2:$AJ$2,0),FALSE)*$F$2,(VLOOKUP($A76,TOCA_previous!$A$2:$AJ$136,MATCH("RHWM "&amp;Init!$D$1-2,TOCA_previous!$A$2:$AJ$2,0),FALSE)*$F$2))</f>
        <v>322012.65600000002</v>
      </c>
      <c r="BJ76" s="261">
        <f>SUM(L76:AI76)+(F76*RT1SC!$C$3*$F$2)</f>
        <v>264499.8385093392</v>
      </c>
      <c r="BK76" s="260">
        <f>VLOOKUP($A76,TOCA_previous!$A$2:$AJ$136,MATCH("Above RHWM Not Served with LS "&amp;$F$1,TOCA_previous!$A$2:$AJ$2,0),FALSE)*$F$2</f>
        <v>177621.26400000002</v>
      </c>
      <c r="BL76" s="261">
        <f t="shared" si="36"/>
        <v>-57512.817490660818</v>
      </c>
      <c r="BM76" s="260">
        <f>(VLOOKUP($A76,TOCA_previous!$A$2:$AJ$136,MATCH("RHWM "&amp;Init!$D$1-2,TOCA_previous!$A$2:$AJ$2,0),FALSE)*$F$2) - $BI76</f>
        <v>0</v>
      </c>
      <c r="BN76" s="261">
        <f t="shared" si="37"/>
        <v>0</v>
      </c>
      <c r="BO76" s="260">
        <f t="shared" si="38"/>
        <v>0</v>
      </c>
      <c r="BP76" s="261">
        <f t="shared" si="39"/>
        <v>0</v>
      </c>
      <c r="BQ76" s="260">
        <f t="shared" si="9"/>
        <v>0</v>
      </c>
      <c r="BR76" s="85">
        <f>VLOOKUP($A76,TOCA_current!$A$2:$ZZ$136,MATCH(BR$4,TOCA_current!$A$2:$ZZ$2,0),FALSE)</f>
        <v>5.1859999999999996E-3</v>
      </c>
      <c r="BS76" s="85">
        <f>VLOOKUP($A76,TOCA_current!$A$2:$ZZ$136,MATCH(BS$4,TOCA_current!$A$2:$ZZ$2,0),FALSE)</f>
        <v>5.1859999999999996E-3</v>
      </c>
      <c r="BT76" s="108">
        <f t="shared" si="40"/>
        <v>0</v>
      </c>
      <c r="BU76" s="85">
        <f>VLOOKUP($A76,TOCA_current!A73:BG207,MATCH(BU$4,TOCA_current!$A$2:$BG$2,0),FALSE)</f>
        <v>9.5820450230539742E-2</v>
      </c>
      <c r="BV76" s="85">
        <f t="shared" si="41"/>
        <v>0</v>
      </c>
      <c r="BW76" s="85">
        <f t="shared" si="42"/>
        <v>0</v>
      </c>
      <c r="BX76" s="101">
        <f>VLOOKUP($A76,IRD!$A$4:$G$138, 7, FALSE)</f>
        <v>21632.728999999999</v>
      </c>
      <c r="BY76" s="102">
        <f t="array" ref="BY76">IF($BT76=0, INDEX(LS_current!$D$4:$BW$137, MATCH('Staging Table'!$A76, LS_current!$B$4:$B$137, 0), MATCH(BY$4&amp;BY$5, LS_current!$D$2:$BW$2&amp;LS_current!$D$3:$BW$3, 0)),SUM(VLOOKUP($A76, LS_current!$B$4:$BW$137, LS_current!D$147, FALSE), VLOOKUP($A76, LS_current!$B$4:$BW$137,LS_current!AZ$147, FALSE))/2)</f>
        <v>3465.1933877124429</v>
      </c>
      <c r="BZ76" s="102">
        <f t="array" ref="BZ76">IF($BT76=0, INDEX(LS_current!$D$4:$BW$137, MATCH('Staging Table'!$A76, LS_current!$B$4:$B$137, 0), MATCH(BZ$4&amp;BZ$5, LS_current!$D$2:$BW$2&amp;LS_current!$D$3:$BW$3, 0)),SUM(VLOOKUP($A76, LS_current!$B$4:$BW$137, LS_current!E$147, FALSE), VLOOKUP($A76, LS_current!$B$4:$BW$137,LS_current!BA$147, FALSE))/2)</f>
        <v>1107.5240736865289</v>
      </c>
      <c r="CA76" s="102">
        <f t="array" ref="CA76">IF($BT76=0, INDEX(LS_current!$D$4:$BW$137, MATCH('Staging Table'!$A76, LS_current!$B$4:$B$137, 0), MATCH(CA$4&amp;CA$5, LS_current!$D$2:$BW$2&amp;LS_current!$D$3:$BW$3, 0)),SUM(VLOOKUP($A76, LS_current!$B$4:$BW$137, LS_current!F$147, FALSE), VLOOKUP($A76, LS_current!$B$4:$BW$137,LS_current!BB$147, FALSE))/2)</f>
        <v>-1079.2174770613783</v>
      </c>
      <c r="CB76" s="102">
        <f t="array" ref="CB76">IF($BT76=0, INDEX(LS_current!$D$4:$BW$137, MATCH('Staging Table'!$A76, LS_current!$B$4:$B$137, 0), MATCH(CB$4&amp;CB$5, LS_current!$D$2:$BW$2&amp;LS_current!$D$3:$BW$3, 0)),SUM(VLOOKUP($A76, LS_current!$B$4:$BW$137, LS_current!G$147, FALSE), VLOOKUP($A76, LS_current!$B$4:$BW$137,LS_current!BC$147, FALSE))/2)</f>
        <v>116.44377454401183</v>
      </c>
      <c r="CC76" s="102">
        <f t="array" ref="CC76">IF($BT76=0, INDEX(LS_current!$D$4:$BW$137, MATCH('Staging Table'!$A76, LS_current!$B$4:$B$137, 0), MATCH(CC$4&amp;CC$5, LS_current!$D$2:$BW$2&amp;LS_current!$D$3:$BW$3, 0)),SUM(VLOOKUP($A76, LS_current!$B$4:$BW$137, LS_current!H$147, FALSE), VLOOKUP($A76, LS_current!$B$4:$BW$137,LS_current!BD$147, FALSE))/2)</f>
        <v>364.46924021996529</v>
      </c>
      <c r="CD76" s="102">
        <f t="array" ref="CD76">IF($BT76=0, INDEX(LS_current!$D$4:$BW$137, MATCH('Staging Table'!$A76, LS_current!$B$4:$B$137, 0), MATCH(CD$4&amp;CD$5, LS_current!$D$2:$BW$2&amp;LS_current!$D$3:$BW$3, 0)),SUM(VLOOKUP($A76, LS_current!$B$4:$BW$137, LS_current!I$147, FALSE), VLOOKUP($A76, LS_current!$B$4:$BW$137,LS_current!BE$147, FALSE))/2)</f>
        <v>1775.7116556928613</v>
      </c>
      <c r="CE76" s="102">
        <f t="array" ref="CE76">IF($BT76=0, INDEX(LS_current!$D$4:$BW$137, MATCH('Staging Table'!$A76, LS_current!$B$4:$B$137, 0), MATCH(CE$4&amp;CE$5, LS_current!$D$2:$BW$2&amp;LS_current!$D$3:$BW$3, 0)),SUM(VLOOKUP($A76, LS_current!$B$4:$BW$137, LS_current!J$147, FALSE), VLOOKUP($A76, LS_current!$B$4:$BW$137,LS_current!BF$147, FALSE))/2)</f>
        <v>807.37018780602011</v>
      </c>
      <c r="CF76" s="102">
        <f t="array" ref="CF76">IF($BT76=0, INDEX(LS_current!$D$4:$BW$137, MATCH('Staging Table'!$A76, LS_current!$B$4:$B$137, 0), MATCH(CF$4&amp;CF$5, LS_current!$D$2:$BW$2&amp;LS_current!$D$3:$BW$3, 0)),SUM(VLOOKUP($A76, LS_current!$B$4:$BW$137, LS_current!K$147, FALSE), VLOOKUP($A76, LS_current!$B$4:$BW$137,LS_current!BG$147, FALSE))/2)</f>
        <v>1958.3729316735134</v>
      </c>
      <c r="CG76" s="102">
        <f t="array" ref="CG76">IF($BT76=0, INDEX(LS_current!$D$4:$BW$137, MATCH('Staging Table'!$A76, LS_current!$B$4:$B$137, 0), MATCH(CG$4&amp;CG$5, LS_current!$D$2:$BW$2&amp;LS_current!$D$3:$BW$3, 0)),SUM(VLOOKUP($A76, LS_current!$B$4:$BW$137, LS_current!L$147, FALSE), VLOOKUP($A76, LS_current!$B$4:$BW$137,LS_current!BH$147, FALSE))/2)</f>
        <v>-1797.7715016211623</v>
      </c>
      <c r="CH76" s="102">
        <f t="array" ref="CH76">IF($BT76=0, INDEX(LS_current!$D$4:$BW$137, MATCH('Staging Table'!$A76, LS_current!$B$4:$B$137, 0), MATCH(CH$4&amp;CH$5, LS_current!$D$2:$BW$2&amp;LS_current!$D$3:$BW$3, 0)),SUM(VLOOKUP($A76, LS_current!$B$4:$BW$137, LS_current!M$147, FALSE), VLOOKUP($A76, LS_current!$B$4:$BW$137,LS_current!BI$147, FALSE))/2)</f>
        <v>-453.85848936765615</v>
      </c>
      <c r="CI76" s="102">
        <f t="array" ref="CI76">IF($BT76=0, INDEX(LS_current!$D$4:$BW$137, MATCH('Staging Table'!$A76, LS_current!$B$4:$B$137, 0), MATCH(CI$4&amp;CI$5, LS_current!$D$2:$BW$2&amp;LS_current!$D$3:$BW$3, 0)),SUM(VLOOKUP($A76, LS_current!$B$4:$BW$137, LS_current!N$147, FALSE), VLOOKUP($A76, LS_current!$B$4:$BW$137,LS_current!BJ$147, FALSE))/2)</f>
        <v>-2930.8695822526097</v>
      </c>
      <c r="CJ76" s="102">
        <f t="array" ref="CJ76">IF($BT76=0, INDEX(LS_current!$D$4:$BW$137, MATCH('Staging Table'!$A76, LS_current!$B$4:$B$137, 0), MATCH(CJ$4&amp;CJ$5, LS_current!$D$2:$BW$2&amp;LS_current!$D$3:$BW$3, 0)),SUM(VLOOKUP($A76, LS_current!$B$4:$BW$137, LS_current!O$147, FALSE), VLOOKUP($A76, LS_current!$B$4:$BW$137,LS_current!BK$147, FALSE))/2)</f>
        <v>45.906906706573864</v>
      </c>
      <c r="CK76" s="102">
        <f t="array" ref="CK76">IF($BT76=0, INDEX(LS_current!$D$4:$BW$137, MATCH('Staging Table'!$A76, LS_current!$B$4:$B$137, 0), MATCH(CK$4&amp;CK$5, LS_current!$D$2:$BW$2&amp;LS_current!$D$3:$BW$3, 0)),SUM(VLOOKUP($A76, LS_current!$B$4:$BW$137, LS_current!P$147, FALSE), VLOOKUP($A76, LS_current!$B$4:$BW$137,LS_current!BL$147, FALSE))/2)</f>
        <v>996.95174534364378</v>
      </c>
      <c r="CL76" s="102">
        <f t="array" ref="CL76">IF($BT76=0, INDEX(LS_current!$D$4:$BW$137, MATCH('Staging Table'!$A76, LS_current!$B$4:$B$137, 0), MATCH(CL$4&amp;CL$5, LS_current!$D$2:$BW$2&amp;LS_current!$D$3:$BW$3, 0)),SUM(VLOOKUP($A76, LS_current!$B$4:$BW$137, LS_current!Q$147, FALSE), VLOOKUP($A76, LS_current!$B$4:$BW$137,LS_current!BM$147, FALSE))/2)</f>
        <v>-438.04152475777482</v>
      </c>
      <c r="CM76" s="102">
        <f t="array" ref="CM76">IF($BT76=0, INDEX(LS_current!$D$4:$BW$137, MATCH('Staging Table'!$A76, LS_current!$B$4:$B$137, 0), MATCH(CM$4&amp;CM$5, LS_current!$D$2:$BW$2&amp;LS_current!$D$3:$BW$3, 0)),SUM(VLOOKUP($A76, LS_current!$B$4:$BW$137, LS_current!R$147, FALSE), VLOOKUP($A76, LS_current!$B$4:$BW$137,LS_current!BN$147, FALSE))/2)</f>
        <v>-4415.931772211421</v>
      </c>
      <c r="CN76" s="102">
        <f t="array" ref="CN76">IF($BT76=0, INDEX(LS_current!$D$4:$BW$137, MATCH('Staging Table'!$A76, LS_current!$B$4:$B$137, 0), MATCH(CN$4&amp;CN$5, LS_current!$D$2:$BW$2&amp;LS_current!$D$3:$BW$3, 0)),SUM(VLOOKUP($A76, LS_current!$B$4:$BW$137, LS_current!S$147, FALSE), VLOOKUP($A76, LS_current!$B$4:$BW$137,LS_current!BO$147, FALSE))/2)</f>
        <v>-3324.0624421341417</v>
      </c>
      <c r="CO76" s="102">
        <f t="array" ref="CO76">IF($BT76=0, INDEX(LS_current!$D$4:$BW$137, MATCH('Staging Table'!$A76, LS_current!$B$4:$B$137, 0), MATCH(CO$4&amp;CO$5, LS_current!$D$2:$BW$2&amp;LS_current!$D$3:$BW$3, 0)),SUM(VLOOKUP($A76, LS_current!$B$4:$BW$137, LS_current!T$147, FALSE), VLOOKUP($A76, LS_current!$B$4:$BW$137,LS_current!BP$147, FALSE))/2)</f>
        <v>-4580.2203970745395</v>
      </c>
      <c r="CP76" s="102">
        <f t="array" ref="CP76">IF($BT76=0, INDEX(LS_current!$D$4:$BW$137, MATCH('Staging Table'!$A76, LS_current!$B$4:$B$137, 0), MATCH(CP$4&amp;CP$5, LS_current!$D$2:$BW$2&amp;LS_current!$D$3:$BW$3, 0)),SUM(VLOOKUP($A76, LS_current!$B$4:$BW$137, LS_current!U$147, FALSE), VLOOKUP($A76, LS_current!$B$4:$BW$137,LS_current!BQ$147, FALSE))/2)</f>
        <v>-2848.1754593664409</v>
      </c>
      <c r="CQ76" s="102">
        <f t="array" ref="CQ76">IF($BT76=0, INDEX(LS_current!$D$4:$BW$137, MATCH('Staging Table'!$A76, LS_current!$B$4:$B$137, 0), MATCH(CQ$4&amp;CQ$5, LS_current!$D$2:$BW$2&amp;LS_current!$D$3:$BW$3, 0)),SUM(VLOOKUP($A76, LS_current!$B$4:$BW$137, LS_current!V$147, FALSE), VLOOKUP($A76, LS_current!$B$4:$BW$137,LS_current!BR$147, FALSE))/2)</f>
        <v>2199.8071731991913</v>
      </c>
      <c r="CR76" s="102">
        <f t="array" ref="CR76">IF($BT76=0, INDEX(LS_current!$D$4:$BW$137, MATCH('Staging Table'!$A76, LS_current!$B$4:$B$137, 0), MATCH(CR$4&amp;CR$5, LS_current!$D$2:$BW$2&amp;LS_current!$D$3:$BW$3, 0)),SUM(VLOOKUP($A76, LS_current!$B$4:$BW$137, LS_current!W$147, FALSE), VLOOKUP($A76, LS_current!$B$4:$BW$137,LS_current!BS$147, FALSE))/2)</f>
        <v>964.07535426031427</v>
      </c>
      <c r="CS76" s="102">
        <f t="array" ref="CS76">IF($BT76=0, INDEX(LS_current!$D$4:$BW$137, MATCH('Staging Table'!$A76, LS_current!$B$4:$B$137, 0), MATCH(CS$4&amp;CS$5, LS_current!$D$2:$BW$2&amp;LS_current!$D$3:$BW$3, 0)),SUM(VLOOKUP($A76, LS_current!$B$4:$BW$137, LS_current!X$147, FALSE), VLOOKUP($A76, LS_current!$B$4:$BW$137,LS_current!BT$147, FALSE))/2)</f>
        <v>847.98574364140586</v>
      </c>
      <c r="CT76" s="102">
        <f t="array" ref="CT76">IF($BT76=0, INDEX(LS_current!$D$4:$BW$137, MATCH('Staging Table'!$A76, LS_current!$B$4:$B$137, 0), MATCH(CT$4&amp;CT$5, LS_current!$D$2:$BW$2&amp;LS_current!$D$3:$BW$3, 0)),SUM(VLOOKUP($A76, LS_current!$B$4:$BW$137, LS_current!Y$147, FALSE), VLOOKUP($A76, LS_current!$B$4:$BW$137,LS_current!BU$147, FALSE))/2)</f>
        <v>2009.0458611501999</v>
      </c>
      <c r="CU76" s="102">
        <f t="array" ref="CU76">IF($BT76=0, INDEX(LS_current!$D$4:$BW$137, MATCH('Staging Table'!$A76, LS_current!$B$4:$B$137, 0), MATCH(CU$4&amp;CU$5, LS_current!$D$2:$BW$2&amp;LS_current!$D$3:$BW$3, 0)),SUM(VLOOKUP($A76, LS_current!$B$4:$BW$137, LS_current!Z$147, FALSE), VLOOKUP($A76, LS_current!$B$4:$BW$137,LS_current!BV$147, FALSE))/2)</f>
        <v>3407.9712661433205</v>
      </c>
      <c r="CV76" s="102">
        <f t="array" ref="CV76">IF($BT76=0, INDEX(LS_current!$D$4:$BW$137, MATCH('Staging Table'!$A76, LS_current!$B$4:$B$137, 0), MATCH(CV$4&amp;CV$5, LS_current!$D$2:$BW$2&amp;LS_current!$D$3:$BW$3, 0)),SUM(VLOOKUP($A76, LS_current!$B$4:$BW$137, LS_current!AA$147, FALSE), VLOOKUP($A76, LS_current!$B$4:$BW$137,LS_current!BW$147, FALSE))/2)</f>
        <v>1804.0421629242164</v>
      </c>
      <c r="CW76" s="103">
        <f t="array" ref="CW76">INDEX(Demand_current!$D$4:$BW$137, MATCH($A76, Demand_current!$B$4:$B$137, 0), MATCH(CW$4&amp;CW$5,Demand_current!$D$2:$BW$2&amp;Demand_current!$D$3:$BW$3, 0))/1000</f>
        <v>0</v>
      </c>
      <c r="CX76" s="103">
        <f t="array" ref="CX76">INDEX(Demand_current!$D$4:$BW$137, MATCH($A76, Demand_current!$B$4:$B$137, 0), MATCH(CX$4&amp;CX$5,Demand_current!$D$2:$BW$2&amp;Demand_current!$D$3:$BW$3, 0))/1000</f>
        <v>0.59651041666666949</v>
      </c>
      <c r="CY76" s="103">
        <f t="array" ref="CY76">INDEX(Demand_current!$D$4:$BW$137, MATCH($A76, Demand_current!$B$4:$B$137, 0), MATCH(CY$4&amp;CY$5,Demand_current!$D$2:$BW$2&amp;Demand_current!$D$3:$BW$3, 0))/1000</f>
        <v>5.0365264423076841</v>
      </c>
      <c r="CZ76" s="103">
        <f t="array" ref="CZ76">INDEX(Demand_current!$D$4:$BW$137, MATCH($A76, Demand_current!$B$4:$B$137, 0), MATCH(CZ$4&amp;CZ$5,Demand_current!$D$2:$BW$2&amp;Demand_current!$D$3:$BW$3, 0))/1000</f>
        <v>0.73317788461539912</v>
      </c>
      <c r="DA76" s="103">
        <f t="array" ref="DA76">INDEX(Demand_current!$D$4:$BW$137, MATCH($A76, Demand_current!$B$4:$B$137, 0), MATCH(DA$4&amp;DA$5,Demand_current!$D$2:$BW$2&amp;Demand_current!$D$3:$BW$3, 0))/1000</f>
        <v>3.3208593750000048</v>
      </c>
      <c r="DB76" s="103">
        <f t="array" ref="DB76">INDEX(Demand_current!$D$4:$BW$137, MATCH($A76, Demand_current!$B$4:$B$137, 0), MATCH(DB$4&amp;DB$5,Demand_current!$D$2:$BW$2&amp;Demand_current!$D$3:$BW$3, 0))/1000</f>
        <v>3.5918437500000024</v>
      </c>
      <c r="DC76" s="103">
        <f t="array" ref="DC76">INDEX(Demand_current!$D$4:$BW$137, MATCH($A76, Demand_current!$B$4:$B$137, 0), MATCH(DC$4&amp;DC$5,Demand_current!$D$2:$BW$2&amp;Demand_current!$D$3:$BW$3, 0))/1000</f>
        <v>0.30508173076923839</v>
      </c>
      <c r="DD76" s="103">
        <f t="array" ref="DD76">INDEX(Demand_current!$D$4:$BW$137, MATCH($A76, Demand_current!$B$4:$B$137, 0), MATCH(DD$4&amp;DD$5,Demand_current!$D$2:$BW$2&amp;Demand_current!$D$3:$BW$3, 0))/1000</f>
        <v>3.8796174999999975</v>
      </c>
      <c r="DE76" s="103">
        <f t="array" ref="DE76">INDEX(Demand_current!$D$4:$BW$137, MATCH($A76, Demand_current!$B$4:$B$137, 0), MATCH(DE$4&amp;DE$5,Demand_current!$D$2:$BW$2&amp;Demand_current!$D$3:$BW$3, 0))/1000</f>
        <v>8.5418365384615385</v>
      </c>
      <c r="DF76" s="103">
        <f t="array" ref="DF76">INDEX(Demand_current!$D$4:$BW$137, MATCH($A76, Demand_current!$B$4:$B$137, 0), MATCH(DF$4&amp;DF$5,Demand_current!$D$2:$BW$2&amp;Demand_current!$D$3:$BW$3, 0))/1000</f>
        <v>2.0222980769230752</v>
      </c>
      <c r="DG76" s="103">
        <f t="array" ref="DG76">INDEX(Demand_current!$D$4:$BW$137, MATCH($A76, Demand_current!$B$4:$B$137, 0), MATCH(DG$4&amp;DG$5,Demand_current!$D$2:$BW$2&amp;Demand_current!$D$3:$BW$3, 0))/1000</f>
        <v>8.2771634615384571</v>
      </c>
      <c r="DH76" s="103">
        <f t="array" ref="DH76">INDEX(Demand_current!$D$4:$BW$137, MATCH($A76, Demand_current!$B$4:$B$137, 0), MATCH(DH$4&amp;DH$5,Demand_current!$D$2:$BW$2&amp;Demand_current!$D$3:$BW$3, 0))/1000</f>
        <v>0</v>
      </c>
      <c r="DI76" s="102">
        <f>$BS76*(VLOOKUP(DI$4, Rates_current!$H$6:$R$41, 10, FALSE)+VLOOKUP(DI$4, Rates_current!$H$6:$R$41, 11, FALSE))</f>
        <v>21523.39153860103</v>
      </c>
      <c r="DJ76" s="102">
        <f>$BS76*(VLOOKUP(DJ$4, Rates_current!$H$6:$R$41, 10, FALSE)+VLOOKUP(DJ$4, Rates_current!$H$6:$R$41, 11, FALSE))</f>
        <v>27516.947702517366</v>
      </c>
      <c r="DK76" s="102">
        <f>$BS76*(VLOOKUP(DK$4, Rates_current!$H$6:$R$41, 10, FALSE)+VLOOKUP(DK$4, Rates_current!$H$6:$R$41, 11, FALSE))</f>
        <v>31284.468104087173</v>
      </c>
      <c r="DL76" s="102">
        <f>$BS76*(VLOOKUP(DL$4, Rates_current!$H$6:$R$41, 10, FALSE)+VLOOKUP(DL$4, Rates_current!$H$6:$R$41, 11, FALSE))</f>
        <v>33007.555880520464</v>
      </c>
      <c r="DM76" s="102">
        <f>$BS76*(VLOOKUP(DM$4, Rates_current!$H$6:$R$41, 10, FALSE)+VLOOKUP(DM$4, Rates_current!$H$6:$R$41, 11, FALSE))</f>
        <v>26304.042990988823</v>
      </c>
      <c r="DN76" s="102">
        <f>$BS76*(VLOOKUP(DN$4, Rates_current!$H$6:$R$41, 10, FALSE)+VLOOKUP(DN$4, Rates_current!$H$6:$R$41, 11, FALSE))</f>
        <v>28755.720675546036</v>
      </c>
      <c r="DO76" s="102">
        <f>$BS76*(VLOOKUP(DO$4, Rates_current!$H$6:$R$41, 10, FALSE)+VLOOKUP(DO$4, Rates_current!$H$6:$R$41, 11, FALSE))</f>
        <v>22285.972779414133</v>
      </c>
      <c r="DP76" s="102">
        <f>$BS76*(VLOOKUP(DP$4, Rates_current!$H$6:$R$41, 10, FALSE)+VLOOKUP(DP$4, Rates_current!$H$6:$R$41, 11, FALSE))</f>
        <v>28841.718214345557</v>
      </c>
      <c r="DQ76" s="102">
        <f>$BS76*(VLOOKUP(DQ$4, Rates_current!$H$6:$R$41, 10, FALSE)+VLOOKUP(DQ$4, Rates_current!$H$6:$R$41, 11, FALSE))</f>
        <v>29457.572856440987</v>
      </c>
      <c r="DR76" s="102">
        <f>$BS76*(VLOOKUP(DR$4, Rates_current!$H$6:$R$41, 10, FALSE)+VLOOKUP(DR$4, Rates_current!$H$6:$R$41, 11, FALSE))</f>
        <v>26219.787472540494</v>
      </c>
      <c r="DS76" s="102">
        <f>$BS76*(VLOOKUP(DS$4, Rates_current!$H$6:$R$41, 10, FALSE)+VLOOKUP(DS$4, Rates_current!$H$6:$R$41, 11, FALSE))</f>
        <v>26896.6933952084</v>
      </c>
      <c r="DT76" s="102">
        <f>$BS76*(VLOOKUP(DT$4, Rates_current!$H$6:$R$41, 10, FALSE)+VLOOKUP(DT$4, Rates_current!$H$6:$R$41, 11, FALSE))</f>
        <v>20888.506570932466</v>
      </c>
      <c r="DU76" s="261">
        <f>IF(D76=0,IF(C76=0,MAX(0,DW76 - (VLOOKUP($A76,TOCA_current!$A$2:$AV$136,MATCH("RHWM "&amp;Init!$D$1,TOCA_current!$A$2:$AV$2,0),FALSE)*$BS$2)), 0),0)</f>
        <v>3.9200655771419406</v>
      </c>
      <c r="DV76" s="262">
        <f>MIN(VLOOKUP($A76,TOCA_current!$A$2:$AV$136,MATCH("TRL - NLSL - Existing Resource "&amp;$BS$1,TOCA_current!$A$2:$AV$2,0),FALSE)*$BS$2, VLOOKUP($A76,TOCA_current!$A$2:$AV$136,MATCH("RHWM "&amp;Init!$D$1,TOCA_current!$A$2:$AV$2,0),FALSE)*$BS$2)</f>
        <v>322981.19999999995</v>
      </c>
      <c r="DW76" s="262">
        <f>SUM(BY76:CV76)+(BS76*RT1SC!$C$4*$BS$2)</f>
        <v>322985.1200655771</v>
      </c>
      <c r="DX76" s="262">
        <f>VLOOKUP($A76,TOCA_current!$A$2:$AV$136,MATCH("Above RHWM Not Served with LS "&amp;$BS$1,TOCA_current!$A$2:$AV$2,0),FALSE)*$BS$2</f>
        <v>119136</v>
      </c>
      <c r="DY76" s="262">
        <f t="shared" si="43"/>
        <v>3.9200655771419406</v>
      </c>
      <c r="DZ76" s="262">
        <f>(VLOOKUP($A76,TOCA_current!$A$2:$AV$136,MATCH("RHWM "&amp;Init!$D$1,TOCA_current!$A$2:$AV$2,0),FALSE)*$BS$2) - $DV76</f>
        <v>0</v>
      </c>
      <c r="EA76" s="262">
        <f t="shared" si="44"/>
        <v>0</v>
      </c>
      <c r="EB76" s="262">
        <f t="shared" si="45"/>
        <v>0</v>
      </c>
      <c r="EC76" s="262">
        <f t="shared" si="46"/>
        <v>0</v>
      </c>
      <c r="ED76" s="262">
        <f t="shared" si="47"/>
        <v>0</v>
      </c>
    </row>
    <row r="77" spans="1:134">
      <c r="A77" s="2">
        <v>10234</v>
      </c>
      <c r="B77" s="3" t="s">
        <v>79</v>
      </c>
      <c r="C77">
        <f>VLOOKUP(A77, TOCA_current!$A$3:$D$136, 4, FALSE)</f>
        <v>1</v>
      </c>
      <c r="D77">
        <v>0</v>
      </c>
      <c r="E77" s="84">
        <f>VLOOKUP($A77,TOCA_previous!$A$2:$AJ$136,MATCH(E$4,TOCA_previous!$A$2:$AJ$2,0),FALSE)</f>
        <v>7.3832000000000004E-3</v>
      </c>
      <c r="F77" s="85">
        <f>VLOOKUP($A77,TOCA_previous!$A$2:$AJ$136,MATCH(F$4,TOCA_previous!$A$2:$AJ$2,0),FALSE)</f>
        <v>7.3832000000000004E-3</v>
      </c>
      <c r="G77" s="85">
        <f t="shared" si="33"/>
        <v>0</v>
      </c>
      <c r="H77" s="85">
        <f>VLOOKUP($A77,TOCA_previous!$A$2:$AJ$136,MATCH(H$4,TOCA_previous!$A$2:$AJ$2,0),FALSE)</f>
        <v>0</v>
      </c>
      <c r="I77" s="85">
        <f t="shared" si="34"/>
        <v>0</v>
      </c>
      <c r="J77" s="85">
        <f t="shared" si="35"/>
        <v>7.3832000000000004E-3</v>
      </c>
      <c r="K77" s="101">
        <f>VLOOKUP(A77, IRD!$A$5:$C$138, 3, FALSE)</f>
        <v>0</v>
      </c>
      <c r="L77" s="102">
        <f t="array" ref="L77">IF($G77=0, INDEX(LS_previous!$D$4:$AY$137, MATCH('Staging Table'!$A77, LS_previous!$B$4:$B$137, 0), MATCH(L$4&amp;L$5, LS_previous!$D$2:$AY$2&amp;LS_previous!$D$3:$AY$3, 0)),SUM(VLOOKUP($A77, LS_previous!$B$4:$AY$137, LS_previous!D$148, FALSE), VLOOKUP('Staging Table'!$A77, LS_previous!$B$4:$AY$137,LS_previous!AB$148, FALSE))/2)</f>
        <v>0</v>
      </c>
      <c r="M77" s="102">
        <f t="array" ref="M77">IF($G77=0, INDEX(LS_previous!$D$4:$AY$137, MATCH('Staging Table'!$A77, LS_previous!$B$4:$B$137, 0), MATCH(M$4&amp;M$5, LS_previous!$D$2:$AY$2&amp;LS_previous!$D$3:$AY$3, 0)),SUM(VLOOKUP($A77, LS_previous!$B$4:$AY$137, LS_previous!E$148, FALSE), VLOOKUP('Staging Table'!$A77, LS_previous!$B$4:$AY$137,LS_previous!AC$148, FALSE))/2)</f>
        <v>0</v>
      </c>
      <c r="N77" s="102">
        <f t="array" ref="N77">IF($G77=0, INDEX(LS_previous!$D$4:$AY$137, MATCH('Staging Table'!$A77, LS_previous!$B$4:$B$137, 0), MATCH(N$4&amp;N$5, LS_previous!$D$2:$AY$2&amp;LS_previous!$D$3:$AY$3, 0)),SUM(VLOOKUP($A77, LS_previous!$B$4:$AY$137, LS_previous!F$148, FALSE), VLOOKUP('Staging Table'!$A77, LS_previous!$B$4:$AY$137,LS_previous!AD$148, FALSE))/2)</f>
        <v>0</v>
      </c>
      <c r="O77" s="102">
        <f t="array" ref="O77">IF($G77=0, INDEX(LS_previous!$D$4:$AY$137, MATCH('Staging Table'!$A77, LS_previous!$B$4:$B$137, 0), MATCH(O$4&amp;O$5, LS_previous!$D$2:$AY$2&amp;LS_previous!$D$3:$AY$3, 0)),SUM(VLOOKUP($A77, LS_previous!$B$4:$AY$137, LS_previous!G$148, FALSE), VLOOKUP('Staging Table'!$A77, LS_previous!$B$4:$AY$137,LS_previous!AE$148, FALSE))/2)</f>
        <v>0</v>
      </c>
      <c r="P77" s="102">
        <f t="array" ref="P77">IF($G77=0, INDEX(LS_previous!$D$4:$AY$137, MATCH('Staging Table'!$A77, LS_previous!$B$4:$B$137, 0), MATCH(P$4&amp;P$5, LS_previous!$D$2:$AY$2&amp;LS_previous!$D$3:$AY$3, 0)),SUM(VLOOKUP($A77, LS_previous!$B$4:$AY$137, LS_previous!H$148, FALSE), VLOOKUP('Staging Table'!$A77, LS_previous!$B$4:$AY$137,LS_previous!AF$148, FALSE))/2)</f>
        <v>0</v>
      </c>
      <c r="Q77" s="102">
        <f t="array" ref="Q77">IF($G77=0, INDEX(LS_previous!$D$4:$AY$137, MATCH('Staging Table'!$A77, LS_previous!$B$4:$B$137, 0), MATCH(Q$4&amp;Q$5, LS_previous!$D$2:$AY$2&amp;LS_previous!$D$3:$AY$3, 0)),SUM(VLOOKUP($A77, LS_previous!$B$4:$AY$137, LS_previous!I$148, FALSE), VLOOKUP('Staging Table'!$A77, LS_previous!$B$4:$AY$137,LS_previous!AG$148, FALSE))/2)</f>
        <v>0</v>
      </c>
      <c r="R77" s="102">
        <f t="array" ref="R77">IF($G77=0, INDEX(LS_previous!$D$4:$AY$137, MATCH('Staging Table'!$A77, LS_previous!$B$4:$B$137, 0), MATCH(R$4&amp;R$5, LS_previous!$D$2:$AY$2&amp;LS_previous!$D$3:$AY$3, 0)),SUM(VLOOKUP($A77, LS_previous!$B$4:$AY$137, LS_previous!J$148, FALSE), VLOOKUP('Staging Table'!$A77, LS_previous!$B$4:$AY$137,LS_previous!AH$148, FALSE))/2)</f>
        <v>0</v>
      </c>
      <c r="S77" s="102">
        <f t="array" ref="S77">IF($G77=0, INDEX(LS_previous!$D$4:$AY$137, MATCH('Staging Table'!$A77, LS_previous!$B$4:$B$137, 0), MATCH(S$4&amp;S$5, LS_previous!$D$2:$AY$2&amp;LS_previous!$D$3:$AY$3, 0)),SUM(VLOOKUP($A77, LS_previous!$B$4:$AY$137, LS_previous!K$148, FALSE), VLOOKUP('Staging Table'!$A77, LS_previous!$B$4:$AY$137,LS_previous!AI$148, FALSE))/2)</f>
        <v>0</v>
      </c>
      <c r="T77" s="102">
        <f t="array" ref="T77">IF($G77=0, INDEX(LS_previous!$D$4:$AY$137, MATCH('Staging Table'!$A77, LS_previous!$B$4:$B$137, 0), MATCH(T$4&amp;T$5, LS_previous!$D$2:$AY$2&amp;LS_previous!$D$3:$AY$3, 0)),SUM(VLOOKUP($A77, LS_previous!$B$4:$AY$137, LS_previous!L$148, FALSE), VLOOKUP('Staging Table'!$A77, LS_previous!$B$4:$AY$137,LS_previous!AJ$148, FALSE))/2)</f>
        <v>0</v>
      </c>
      <c r="U77" s="102">
        <f t="array" ref="U77">IF($G77=0, INDEX(LS_previous!$D$4:$AY$137, MATCH('Staging Table'!$A77, LS_previous!$B$4:$B$137, 0), MATCH(U$4&amp;U$5, LS_previous!$D$2:$AY$2&amp;LS_previous!$D$3:$AY$3, 0)),SUM(VLOOKUP($A77, LS_previous!$B$4:$AY$137, LS_previous!M$148, FALSE), VLOOKUP('Staging Table'!$A77, LS_previous!$B$4:$AY$137,LS_previous!AK$148, FALSE))/2)</f>
        <v>0</v>
      </c>
      <c r="V77" s="102">
        <f t="array" ref="V77">IF($G77=0, INDEX(LS_previous!$D$4:$AY$137, MATCH('Staging Table'!$A77, LS_previous!$B$4:$B$137, 0), MATCH(V$4&amp;V$5, LS_previous!$D$2:$AY$2&amp;LS_previous!$D$3:$AY$3, 0)),SUM(VLOOKUP($A77, LS_previous!$B$4:$AY$137, LS_previous!N$148, FALSE), VLOOKUP('Staging Table'!$A77, LS_previous!$B$4:$AY$137,LS_previous!AL$148, FALSE))/2)</f>
        <v>0</v>
      </c>
      <c r="W77" s="102">
        <f t="array" ref="W77">IF($G77=0, INDEX(LS_previous!$D$4:$AY$137, MATCH('Staging Table'!$A77, LS_previous!$B$4:$B$137, 0), MATCH(W$4&amp;W$5, LS_previous!$D$2:$AY$2&amp;LS_previous!$D$3:$AY$3, 0)),SUM(VLOOKUP($A77, LS_previous!$B$4:$AY$137, LS_previous!O$148, FALSE), VLOOKUP('Staging Table'!$A77, LS_previous!$B$4:$AY$137,LS_previous!AM$148, FALSE))/2)</f>
        <v>0</v>
      </c>
      <c r="X77" s="102">
        <f t="array" ref="X77">IF($G77=0, INDEX(LS_previous!$D$4:$AY$137, MATCH('Staging Table'!$A77, LS_previous!$B$4:$B$137, 0), MATCH(X$4&amp;X$5, LS_previous!$D$2:$AY$2&amp;LS_previous!$D$3:$AY$3, 0)),SUM(VLOOKUP($A77, LS_previous!$B$4:$AY$137, LS_previous!P$148, FALSE), VLOOKUP('Staging Table'!$A77, LS_previous!$B$4:$AY$137,LS_previous!AN$148, FALSE))/2)</f>
        <v>0</v>
      </c>
      <c r="Y77" s="102">
        <f t="array" ref="Y77">IF($G77=0, INDEX(LS_previous!$D$4:$AY$137, MATCH('Staging Table'!$A77, LS_previous!$B$4:$B$137, 0), MATCH(Y$4&amp;Y$5, LS_previous!$D$2:$AY$2&amp;LS_previous!$D$3:$AY$3, 0)),SUM(VLOOKUP($A77, LS_previous!$B$4:$AY$137, LS_previous!Q$148, FALSE), VLOOKUP('Staging Table'!$A77, LS_previous!$B$4:$AY$137,LS_previous!AO$148, FALSE))/2)</f>
        <v>0</v>
      </c>
      <c r="Z77" s="102">
        <f t="array" ref="Z77">IF($G77=0, INDEX(LS_previous!$D$4:$AY$137, MATCH('Staging Table'!$A77, LS_previous!$B$4:$B$137, 0), MATCH(Z$4&amp;Z$5, LS_previous!$D$2:$AY$2&amp;LS_previous!$D$3:$AY$3, 0)),SUM(VLOOKUP($A77, LS_previous!$B$4:$AY$137, LS_previous!R$148, FALSE), VLOOKUP('Staging Table'!$A77, LS_previous!$B$4:$AY$137,LS_previous!AP$148, FALSE))/2)</f>
        <v>0</v>
      </c>
      <c r="AA77" s="102">
        <f t="array" ref="AA77">IF($G77=0, INDEX(LS_previous!$D$4:$AY$137, MATCH('Staging Table'!$A77, LS_previous!$B$4:$B$137, 0), MATCH(AA$4&amp;AA$5, LS_previous!$D$2:$AY$2&amp;LS_previous!$D$3:$AY$3, 0)),SUM(VLOOKUP($A77, LS_previous!$B$4:$AY$137, LS_previous!S$148, FALSE), VLOOKUP('Staging Table'!$A77, LS_previous!$B$4:$AY$137,LS_previous!AQ$148, FALSE))/2)</f>
        <v>0</v>
      </c>
      <c r="AB77" s="102">
        <f t="array" ref="AB77">IF($G77=0, INDEX(LS_previous!$D$4:$AY$137, MATCH('Staging Table'!$A77, LS_previous!$B$4:$B$137, 0), MATCH(AB$4&amp;AB$5, LS_previous!$D$2:$AY$2&amp;LS_previous!$D$3:$AY$3, 0)),SUM(VLOOKUP($A77, LS_previous!$B$4:$AY$137, LS_previous!T$148, FALSE), VLOOKUP('Staging Table'!$A77, LS_previous!$B$4:$AY$137,LS_previous!AR$148, FALSE))/2)</f>
        <v>0</v>
      </c>
      <c r="AC77" s="102">
        <f t="array" ref="AC77">IF($G77=0, INDEX(LS_previous!$D$4:$AY$137, MATCH('Staging Table'!$A77, LS_previous!$B$4:$B$137, 0), MATCH(AC$4&amp;AC$5, LS_previous!$D$2:$AY$2&amp;LS_previous!$D$3:$AY$3, 0)),SUM(VLOOKUP($A77, LS_previous!$B$4:$AY$137, LS_previous!U$148, FALSE), VLOOKUP('Staging Table'!$A77, LS_previous!$B$4:$AY$137,LS_previous!AS$148, FALSE))/2)</f>
        <v>0</v>
      </c>
      <c r="AD77" s="102">
        <f t="array" ref="AD77">IF($G77=0, INDEX(LS_previous!$D$4:$AY$137, MATCH('Staging Table'!$A77, LS_previous!$B$4:$B$137, 0), MATCH(AD$4&amp;AD$5, LS_previous!$D$2:$AY$2&amp;LS_previous!$D$3:$AY$3, 0)),SUM(VLOOKUP($A77, LS_previous!$B$4:$AY$137, LS_previous!V$148, FALSE), VLOOKUP('Staging Table'!$A77, LS_previous!$B$4:$AY$137,LS_previous!AT$148, FALSE))/2)</f>
        <v>0</v>
      </c>
      <c r="AE77" s="102">
        <f t="array" ref="AE77">IF($G77=0, INDEX(LS_previous!$D$4:$AY$137, MATCH('Staging Table'!$A77, LS_previous!$B$4:$B$137, 0), MATCH(AE$4&amp;AE$5, LS_previous!$D$2:$AY$2&amp;LS_previous!$D$3:$AY$3, 0)),SUM(VLOOKUP($A77, LS_previous!$B$4:$AY$137, LS_previous!W$148, FALSE), VLOOKUP('Staging Table'!$A77, LS_previous!$B$4:$AY$137,LS_previous!AU$148, FALSE))/2)</f>
        <v>0</v>
      </c>
      <c r="AF77" s="102">
        <f t="array" ref="AF77">IF($G77=0, INDEX(LS_previous!$D$4:$AY$137, MATCH('Staging Table'!$A77, LS_previous!$B$4:$B$137, 0), MATCH(AF$4&amp;AF$5, LS_previous!$D$2:$AY$2&amp;LS_previous!$D$3:$AY$3, 0)),SUM(VLOOKUP($A77, LS_previous!$B$4:$AY$137, LS_previous!X$148, FALSE), VLOOKUP('Staging Table'!$A77, LS_previous!$B$4:$AY$137,LS_previous!AV$148, FALSE))/2)</f>
        <v>0</v>
      </c>
      <c r="AG77" s="102">
        <f t="array" ref="AG77">IF($G77=0, INDEX(LS_previous!$D$4:$AY$137, MATCH('Staging Table'!$A77, LS_previous!$B$4:$B$137, 0), MATCH(AG$4&amp;AG$5, LS_previous!$D$2:$AY$2&amp;LS_previous!$D$3:$AY$3, 0)),SUM(VLOOKUP($A77, LS_previous!$B$4:$AY$137, LS_previous!Y$148, FALSE), VLOOKUP('Staging Table'!$A77, LS_previous!$B$4:$AY$137,LS_previous!AW$148, FALSE))/2)</f>
        <v>0</v>
      </c>
      <c r="AH77" s="102">
        <f t="array" ref="AH77">IF($G77=0, INDEX(LS_previous!$D$4:$AY$137, MATCH('Staging Table'!$A77, LS_previous!$B$4:$B$137, 0), MATCH(AH$4&amp;AH$5, LS_previous!$D$2:$AY$2&amp;LS_previous!$D$3:$AY$3, 0)),SUM(VLOOKUP($A77, LS_previous!$B$4:$AY$137, LS_previous!Z$148, FALSE), VLOOKUP('Staging Table'!$A77, LS_previous!$B$4:$AY$137,LS_previous!AX$148, FALSE))/2)</f>
        <v>0</v>
      </c>
      <c r="AI77" s="102">
        <f t="array" ref="AI77">IF($G77=0, INDEX(LS_previous!$D$4:$AY$137, MATCH('Staging Table'!$A77, LS_previous!$B$4:$B$137, 0), MATCH(AI$4&amp;AI$5, LS_previous!$D$2:$AY$2&amp;LS_previous!$D$3:$AY$3, 0)),SUM(VLOOKUP($A77, LS_previous!$B$4:$AY$137, LS_previous!AA$148, FALSE), VLOOKUP('Staging Table'!$A77, LS_previous!$B$4:$AY$137,LS_previous!AY$148, FALSE))/2)</f>
        <v>0</v>
      </c>
      <c r="AJ77" s="103">
        <f t="array" ref="AJ77">INDEX(Demand_previous!$D$4:$AY$137, MATCH('Staging Table'!$A77, Demand_previous!$B$4:$B$137, 0), MATCH(AJ$4&amp;AJ$5,Demand_previous!$D$2:$AY$2&amp;Demand_previous!$D$3:$AY$3, 0))/1000</f>
        <v>0</v>
      </c>
      <c r="AK77" s="103">
        <f t="array" ref="AK77">INDEX(Demand_previous!$D$4:$AY$137, MATCH('Staging Table'!$A77, Demand_previous!$B$4:$B$137, 0), MATCH(AK$4&amp;AK$5,Demand_previous!$D$2:$AY$2&amp;Demand_previous!$D$3:$AY$3, 0))/1000</f>
        <v>0</v>
      </c>
      <c r="AL77" s="103">
        <f t="array" ref="AL77">INDEX(Demand_previous!$D$4:$AY$137, MATCH('Staging Table'!$A77, Demand_previous!$B$4:$B$137, 0), MATCH(AL$4&amp;AL$5,Demand_previous!$D$2:$AY$2&amp;Demand_previous!$D$3:$AY$3, 0))/1000</f>
        <v>0</v>
      </c>
      <c r="AM77" s="103">
        <f t="array" ref="AM77">INDEX(Demand_previous!$D$4:$AY$137, MATCH('Staging Table'!$A77, Demand_previous!$B$4:$B$137, 0), MATCH(AM$4&amp;AM$5,Demand_previous!$D$2:$AY$2&amp;Demand_previous!$D$3:$AY$3, 0))/1000</f>
        <v>0</v>
      </c>
      <c r="AN77" s="103">
        <f t="array" ref="AN77">INDEX(Demand_previous!$D$4:$AY$137, MATCH('Staging Table'!$A77, Demand_previous!$B$4:$B$137, 0), MATCH(AN$4&amp;AN$5,Demand_previous!$D$2:$AY$2&amp;Demand_previous!$D$3:$AY$3, 0))/1000</f>
        <v>0</v>
      </c>
      <c r="AO77" s="103">
        <f t="array" ref="AO77">INDEX(Demand_previous!$D$4:$AY$137, MATCH('Staging Table'!$A77, Demand_previous!$B$4:$B$137, 0), MATCH(AO$4&amp;AO$5,Demand_previous!$D$2:$AY$2&amp;Demand_previous!$D$3:$AY$3, 0))/1000</f>
        <v>0</v>
      </c>
      <c r="AP77" s="103">
        <f t="array" ref="AP77">INDEX(Demand_previous!$D$4:$AY$137, MATCH('Staging Table'!$A77, Demand_previous!$B$4:$B$137, 0), MATCH(AP$4&amp;AP$5,Demand_previous!$D$2:$AY$2&amp;Demand_previous!$D$3:$AY$3, 0))/1000</f>
        <v>0</v>
      </c>
      <c r="AQ77" s="103">
        <f t="array" ref="AQ77">INDEX(Demand_previous!$D$4:$AY$137, MATCH('Staging Table'!$A77, Demand_previous!$B$4:$B$137, 0), MATCH(AQ$4&amp;AQ$5,Demand_previous!$D$2:$AY$2&amp;Demand_previous!$D$3:$AY$3, 0))/1000</f>
        <v>0</v>
      </c>
      <c r="AR77" s="103">
        <f t="array" ref="AR77">INDEX(Demand_previous!$D$4:$AY$137, MATCH('Staging Table'!$A77, Demand_previous!$B$4:$B$137, 0), MATCH(AR$4&amp;AR$5,Demand_previous!$D$2:$AY$2&amp;Demand_previous!$D$3:$AY$3, 0))/1000</f>
        <v>0</v>
      </c>
      <c r="AS77" s="103">
        <f t="array" ref="AS77">INDEX(Demand_previous!$D$4:$AY$137, MATCH('Staging Table'!$A77, Demand_previous!$B$4:$B$137, 0), MATCH(AS$4&amp;AS$5,Demand_previous!$D$2:$AY$2&amp;Demand_previous!$D$3:$AY$3, 0))/1000</f>
        <v>0</v>
      </c>
      <c r="AT77" s="103">
        <f t="array" ref="AT77">INDEX(Demand_previous!$D$4:$AY$137, MATCH('Staging Table'!$A77, Demand_previous!$B$4:$B$137, 0), MATCH(AT$4&amp;AT$5,Demand_previous!$D$2:$AY$2&amp;Demand_previous!$D$3:$AY$3, 0))/1000</f>
        <v>0</v>
      </c>
      <c r="AU77" s="103">
        <f t="array" ref="AU77">INDEX(Demand_previous!$D$4:$AY$137, MATCH('Staging Table'!$A77, Demand_previous!$B$4:$B$137, 0), MATCH(AU$4&amp;AU$5,Demand_previous!$D$2:$AY$2&amp;Demand_previous!$D$3:$AY$3, 0))/1000</f>
        <v>0</v>
      </c>
      <c r="AV77" s="102">
        <f>$F77*(VLOOKUP(AV$4, Rates_previous!$G$6:$Q$29, 10, FALSE)+VLOOKUP(AV$4, Rates_previous!$G$6:$Q$29, 11, FALSE))</f>
        <v>31148.271931906802</v>
      </c>
      <c r="AW77" s="102">
        <f>$F77*(VLOOKUP(AW$4, Rates_previous!$G$6:$Q$29, 10, FALSE)+VLOOKUP(AW$4, Rates_previous!$G$6:$Q$29, 11, FALSE))</f>
        <v>39724.31794848881</v>
      </c>
      <c r="AX77" s="102">
        <f>$F77*(VLOOKUP(AX$4, Rates_previous!$G$6:$Q$29, 10, FALSE)+VLOOKUP(AX$4, Rates_previous!$G$6:$Q$29, 11, FALSE))</f>
        <v>42870.398964492008</v>
      </c>
      <c r="AY77" s="102">
        <f>$F77*(VLOOKUP(AY$4, Rates_previous!$G$6:$Q$29, 10, FALSE)+VLOOKUP(AY$4, Rates_previous!$G$6:$Q$29, 11, FALSE))</f>
        <v>44548.971765900802</v>
      </c>
      <c r="AZ77" s="102">
        <f>$F77*(VLOOKUP(AZ$4, Rates_previous!$G$6:$Q$29, 10, FALSE)+VLOOKUP(AZ$4, Rates_previous!$G$6:$Q$29, 11, FALSE))</f>
        <v>38318.053717521601</v>
      </c>
      <c r="BA77" s="102">
        <f>$F77*(VLOOKUP(BA$4, Rates_previous!$G$6:$Q$29, 10, FALSE)+VLOOKUP(BA$4, Rates_previous!$G$6:$Q$29, 11, FALSE))</f>
        <v>41835.728066431198</v>
      </c>
      <c r="BB77" s="102">
        <f>$F77*(VLOOKUP(BB$4, Rates_previous!$G$6:$Q$29, 10, FALSE)+VLOOKUP(BB$4, Rates_previous!$G$6:$Q$29, 11, FALSE))</f>
        <v>33022.257133630599</v>
      </c>
      <c r="BC77" s="102">
        <f>$F77*(VLOOKUP(BC$4, Rates_previous!$G$6:$Q$29, 10, FALSE)+VLOOKUP(BC$4, Rates_previous!$G$6:$Q$29, 11, FALSE))</f>
        <v>40968.535163190805</v>
      </c>
      <c r="BD77" s="102">
        <f>$F77*(VLOOKUP(BD$4, Rates_previous!$G$6:$Q$29, 10, FALSE)+VLOOKUP(BD$4, Rates_previous!$G$6:$Q$29, 11, FALSE))</f>
        <v>41857.450101627597</v>
      </c>
      <c r="BE77" s="102">
        <f>$F77*(VLOOKUP(BE$4, Rates_previous!$G$6:$Q$29, 10, FALSE)+VLOOKUP(BE$4, Rates_previous!$G$6:$Q$29, 11, FALSE))</f>
        <v>36338.297023322804</v>
      </c>
      <c r="BF77" s="102">
        <f>$F77*(VLOOKUP(BF$4, Rates_previous!$G$6:$Q$29, 10, FALSE)+VLOOKUP(BF$4, Rates_previous!$G$6:$Q$29, 11, FALSE))</f>
        <v>35129.474185367326</v>
      </c>
      <c r="BG77" s="102">
        <f>$F77*(VLOOKUP(BG$4, Rates_previous!$G$6:$Q$29, 10, FALSE)+VLOOKUP(BG$4, Rates_previous!$G$6:$Q$29, 11, FALSE))</f>
        <v>32325.919033249604</v>
      </c>
      <c r="BH77" s="103">
        <f>IF($D77=0,IF(C77=0, MAX(BJ77 - (VLOOKUP($A77,TOCA_previous!$A$2:$AJ$136,MATCH("RHWM "&amp;Init!$D$1-2,TOCA_previous!$A$2:$AJ$2,0),FALSE)*$F$2*TOCA_previous!C74),0),0), 0)</f>
        <v>0</v>
      </c>
      <c r="BI77" s="109">
        <f>MIN(VLOOKUP($A77,TOCA_previous!$A$2:$AJ$136,MATCH("TRL - NLSL - Existing Resource "&amp;$F$1,TOCA_previous!$A$2:$AJ$2,0),FALSE)*$F$2,(VLOOKUP($A77,TOCA_previous!$A$2:$AJ$136,MATCH("RHWM "&amp;Init!$D$1-2,TOCA_previous!$A$2:$AJ$2,0),FALSE)*$F$2))</f>
        <v>447975.21600000001</v>
      </c>
      <c r="BJ77" s="261">
        <f>SUM(L77:AI77)+(F77*RT1SC!$C$3*$F$2)</f>
        <v>458087.677134912</v>
      </c>
      <c r="BK77" s="260">
        <f>VLOOKUP($A77,TOCA_previous!$A$2:$AJ$136,MATCH("Above RHWM Not Served with LS "&amp;$F$1,TOCA_previous!$A$2:$AJ$2,0),FALSE)*$F$2</f>
        <v>174801.59999999998</v>
      </c>
      <c r="BL77" s="261">
        <f t="shared" si="36"/>
        <v>10112.46113491198</v>
      </c>
      <c r="BM77" s="260">
        <f>(VLOOKUP($A77,TOCA_previous!$A$2:$AJ$136,MATCH("RHWM "&amp;Init!$D$1-2,TOCA_previous!$A$2:$AJ$2,0),FALSE)*$F$2) - $BI77</f>
        <v>0</v>
      </c>
      <c r="BN77" s="261">
        <f t="shared" si="37"/>
        <v>0</v>
      </c>
      <c r="BO77" s="260">
        <f t="shared" si="38"/>
        <v>0</v>
      </c>
      <c r="BP77" s="261">
        <f t="shared" si="39"/>
        <v>0</v>
      </c>
      <c r="BQ77" s="260">
        <f t="shared" si="9"/>
        <v>0</v>
      </c>
      <c r="BR77" s="85">
        <f>VLOOKUP($A77,TOCA_current!$A$2:$ZZ$136,MATCH(BR$4,TOCA_current!$A$2:$ZZ$2,0),FALSE)</f>
        <v>7.2147000000000001E-3</v>
      </c>
      <c r="BS77" s="85">
        <f>VLOOKUP($A77,TOCA_current!$A$2:$ZZ$136,MATCH(BS$4,TOCA_current!$A$2:$ZZ$2,0),FALSE)</f>
        <v>7.2147000000000001E-3</v>
      </c>
      <c r="BT77" s="108">
        <f t="shared" si="40"/>
        <v>0</v>
      </c>
      <c r="BU77" s="85">
        <f>VLOOKUP($A77,TOCA_current!A74:BG208,MATCH(BU$4,TOCA_current!$A$2:$BG$2,0),FALSE)</f>
        <v>0</v>
      </c>
      <c r="BV77" s="85">
        <f t="shared" si="41"/>
        <v>0</v>
      </c>
      <c r="BW77" s="85">
        <f t="shared" si="42"/>
        <v>7.2147000000000001E-3</v>
      </c>
      <c r="BX77" s="101">
        <f>VLOOKUP($A77,IRD!$A$4:$G$138, 7, FALSE)</f>
        <v>0</v>
      </c>
      <c r="BY77" s="102">
        <f t="array" ref="BY77">IF($BT77=0, INDEX(LS_current!$D$4:$BW$137, MATCH('Staging Table'!$A77, LS_current!$B$4:$B$137, 0), MATCH(BY$4&amp;BY$5, LS_current!$D$2:$BW$2&amp;LS_current!$D$3:$BW$3, 0)),SUM(VLOOKUP($A77, LS_current!$B$4:$BW$137, LS_current!D$147, FALSE), VLOOKUP($A77, LS_current!$B$4:$BW$137,LS_current!AZ$147, FALSE))/2)</f>
        <v>0</v>
      </c>
      <c r="BZ77" s="102">
        <f t="array" ref="BZ77">IF($BT77=0, INDEX(LS_current!$D$4:$BW$137, MATCH('Staging Table'!$A77, LS_current!$B$4:$B$137, 0), MATCH(BZ$4&amp;BZ$5, LS_current!$D$2:$BW$2&amp;LS_current!$D$3:$BW$3, 0)),SUM(VLOOKUP($A77, LS_current!$B$4:$BW$137, LS_current!E$147, FALSE), VLOOKUP($A77, LS_current!$B$4:$BW$137,LS_current!BA$147, FALSE))/2)</f>
        <v>0</v>
      </c>
      <c r="CA77" s="102">
        <f t="array" ref="CA77">IF($BT77=0, INDEX(LS_current!$D$4:$BW$137, MATCH('Staging Table'!$A77, LS_current!$B$4:$B$137, 0), MATCH(CA$4&amp;CA$5, LS_current!$D$2:$BW$2&amp;LS_current!$D$3:$BW$3, 0)),SUM(VLOOKUP($A77, LS_current!$B$4:$BW$137, LS_current!F$147, FALSE), VLOOKUP($A77, LS_current!$B$4:$BW$137,LS_current!BB$147, FALSE))/2)</f>
        <v>0</v>
      </c>
      <c r="CB77" s="102">
        <f t="array" ref="CB77">IF($BT77=0, INDEX(LS_current!$D$4:$BW$137, MATCH('Staging Table'!$A77, LS_current!$B$4:$B$137, 0), MATCH(CB$4&amp;CB$5, LS_current!$D$2:$BW$2&amp;LS_current!$D$3:$BW$3, 0)),SUM(VLOOKUP($A77, LS_current!$B$4:$BW$137, LS_current!G$147, FALSE), VLOOKUP($A77, LS_current!$B$4:$BW$137,LS_current!BC$147, FALSE))/2)</f>
        <v>0</v>
      </c>
      <c r="CC77" s="102">
        <f t="array" ref="CC77">IF($BT77=0, INDEX(LS_current!$D$4:$BW$137, MATCH('Staging Table'!$A77, LS_current!$B$4:$B$137, 0), MATCH(CC$4&amp;CC$5, LS_current!$D$2:$BW$2&amp;LS_current!$D$3:$BW$3, 0)),SUM(VLOOKUP($A77, LS_current!$B$4:$BW$137, LS_current!H$147, FALSE), VLOOKUP($A77, LS_current!$B$4:$BW$137,LS_current!BD$147, FALSE))/2)</f>
        <v>0</v>
      </c>
      <c r="CD77" s="102">
        <f t="array" ref="CD77">IF($BT77=0, INDEX(LS_current!$D$4:$BW$137, MATCH('Staging Table'!$A77, LS_current!$B$4:$B$137, 0), MATCH(CD$4&amp;CD$5, LS_current!$D$2:$BW$2&amp;LS_current!$D$3:$BW$3, 0)),SUM(VLOOKUP($A77, LS_current!$B$4:$BW$137, LS_current!I$147, FALSE), VLOOKUP($A77, LS_current!$B$4:$BW$137,LS_current!BE$147, FALSE))/2)</f>
        <v>0</v>
      </c>
      <c r="CE77" s="102">
        <f t="array" ref="CE77">IF($BT77=0, INDEX(LS_current!$D$4:$BW$137, MATCH('Staging Table'!$A77, LS_current!$B$4:$B$137, 0), MATCH(CE$4&amp;CE$5, LS_current!$D$2:$BW$2&amp;LS_current!$D$3:$BW$3, 0)),SUM(VLOOKUP($A77, LS_current!$B$4:$BW$137, LS_current!J$147, FALSE), VLOOKUP($A77, LS_current!$B$4:$BW$137,LS_current!BF$147, FALSE))/2)</f>
        <v>0</v>
      </c>
      <c r="CF77" s="102">
        <f t="array" ref="CF77">IF($BT77=0, INDEX(LS_current!$D$4:$BW$137, MATCH('Staging Table'!$A77, LS_current!$B$4:$B$137, 0), MATCH(CF$4&amp;CF$5, LS_current!$D$2:$BW$2&amp;LS_current!$D$3:$BW$3, 0)),SUM(VLOOKUP($A77, LS_current!$B$4:$BW$137, LS_current!K$147, FALSE), VLOOKUP($A77, LS_current!$B$4:$BW$137,LS_current!BG$147, FALSE))/2)</f>
        <v>0</v>
      </c>
      <c r="CG77" s="102">
        <f t="array" ref="CG77">IF($BT77=0, INDEX(LS_current!$D$4:$BW$137, MATCH('Staging Table'!$A77, LS_current!$B$4:$B$137, 0), MATCH(CG$4&amp;CG$5, LS_current!$D$2:$BW$2&amp;LS_current!$D$3:$BW$3, 0)),SUM(VLOOKUP($A77, LS_current!$B$4:$BW$137, LS_current!L$147, FALSE), VLOOKUP($A77, LS_current!$B$4:$BW$137,LS_current!BH$147, FALSE))/2)</f>
        <v>0</v>
      </c>
      <c r="CH77" s="102">
        <f t="array" ref="CH77">IF($BT77=0, INDEX(LS_current!$D$4:$BW$137, MATCH('Staging Table'!$A77, LS_current!$B$4:$B$137, 0), MATCH(CH$4&amp;CH$5, LS_current!$D$2:$BW$2&amp;LS_current!$D$3:$BW$3, 0)),SUM(VLOOKUP($A77, LS_current!$B$4:$BW$137, LS_current!M$147, FALSE), VLOOKUP($A77, LS_current!$B$4:$BW$137,LS_current!BI$147, FALSE))/2)</f>
        <v>0</v>
      </c>
      <c r="CI77" s="102">
        <f t="array" ref="CI77">IF($BT77=0, INDEX(LS_current!$D$4:$BW$137, MATCH('Staging Table'!$A77, LS_current!$B$4:$B$137, 0), MATCH(CI$4&amp;CI$5, LS_current!$D$2:$BW$2&amp;LS_current!$D$3:$BW$3, 0)),SUM(VLOOKUP($A77, LS_current!$B$4:$BW$137, LS_current!N$147, FALSE), VLOOKUP($A77, LS_current!$B$4:$BW$137,LS_current!BJ$147, FALSE))/2)</f>
        <v>0</v>
      </c>
      <c r="CJ77" s="102">
        <f t="array" ref="CJ77">IF($BT77=0, INDEX(LS_current!$D$4:$BW$137, MATCH('Staging Table'!$A77, LS_current!$B$4:$B$137, 0), MATCH(CJ$4&amp;CJ$5, LS_current!$D$2:$BW$2&amp;LS_current!$D$3:$BW$3, 0)),SUM(VLOOKUP($A77, LS_current!$B$4:$BW$137, LS_current!O$147, FALSE), VLOOKUP($A77, LS_current!$B$4:$BW$137,LS_current!BK$147, FALSE))/2)</f>
        <v>0</v>
      </c>
      <c r="CK77" s="102">
        <f t="array" ref="CK77">IF($BT77=0, INDEX(LS_current!$D$4:$BW$137, MATCH('Staging Table'!$A77, LS_current!$B$4:$B$137, 0), MATCH(CK$4&amp;CK$5, LS_current!$D$2:$BW$2&amp;LS_current!$D$3:$BW$3, 0)),SUM(VLOOKUP($A77, LS_current!$B$4:$BW$137, LS_current!P$147, FALSE), VLOOKUP($A77, LS_current!$B$4:$BW$137,LS_current!BL$147, FALSE))/2)</f>
        <v>0</v>
      </c>
      <c r="CL77" s="102">
        <f t="array" ref="CL77">IF($BT77=0, INDEX(LS_current!$D$4:$BW$137, MATCH('Staging Table'!$A77, LS_current!$B$4:$B$137, 0), MATCH(CL$4&amp;CL$5, LS_current!$D$2:$BW$2&amp;LS_current!$D$3:$BW$3, 0)),SUM(VLOOKUP($A77, LS_current!$B$4:$BW$137, LS_current!Q$147, FALSE), VLOOKUP($A77, LS_current!$B$4:$BW$137,LS_current!BM$147, FALSE))/2)</f>
        <v>0</v>
      </c>
      <c r="CM77" s="102">
        <f t="array" ref="CM77">IF($BT77=0, INDEX(LS_current!$D$4:$BW$137, MATCH('Staging Table'!$A77, LS_current!$B$4:$B$137, 0), MATCH(CM$4&amp;CM$5, LS_current!$D$2:$BW$2&amp;LS_current!$D$3:$BW$3, 0)),SUM(VLOOKUP($A77, LS_current!$B$4:$BW$137, LS_current!R$147, FALSE), VLOOKUP($A77, LS_current!$B$4:$BW$137,LS_current!BN$147, FALSE))/2)</f>
        <v>0</v>
      </c>
      <c r="CN77" s="102">
        <f t="array" ref="CN77">IF($BT77=0, INDEX(LS_current!$D$4:$BW$137, MATCH('Staging Table'!$A77, LS_current!$B$4:$B$137, 0), MATCH(CN$4&amp;CN$5, LS_current!$D$2:$BW$2&amp;LS_current!$D$3:$BW$3, 0)),SUM(VLOOKUP($A77, LS_current!$B$4:$BW$137, LS_current!S$147, FALSE), VLOOKUP($A77, LS_current!$B$4:$BW$137,LS_current!BO$147, FALSE))/2)</f>
        <v>0</v>
      </c>
      <c r="CO77" s="102">
        <f t="array" ref="CO77">IF($BT77=0, INDEX(LS_current!$D$4:$BW$137, MATCH('Staging Table'!$A77, LS_current!$B$4:$B$137, 0), MATCH(CO$4&amp;CO$5, LS_current!$D$2:$BW$2&amp;LS_current!$D$3:$BW$3, 0)),SUM(VLOOKUP($A77, LS_current!$B$4:$BW$137, LS_current!T$147, FALSE), VLOOKUP($A77, LS_current!$B$4:$BW$137,LS_current!BP$147, FALSE))/2)</f>
        <v>0</v>
      </c>
      <c r="CP77" s="102">
        <f t="array" ref="CP77">IF($BT77=0, INDEX(LS_current!$D$4:$BW$137, MATCH('Staging Table'!$A77, LS_current!$B$4:$B$137, 0), MATCH(CP$4&amp;CP$5, LS_current!$D$2:$BW$2&amp;LS_current!$D$3:$BW$3, 0)),SUM(VLOOKUP($A77, LS_current!$B$4:$BW$137, LS_current!U$147, FALSE), VLOOKUP($A77, LS_current!$B$4:$BW$137,LS_current!BQ$147, FALSE))/2)</f>
        <v>0</v>
      </c>
      <c r="CQ77" s="102">
        <f t="array" ref="CQ77">IF($BT77=0, INDEX(LS_current!$D$4:$BW$137, MATCH('Staging Table'!$A77, LS_current!$B$4:$B$137, 0), MATCH(CQ$4&amp;CQ$5, LS_current!$D$2:$BW$2&amp;LS_current!$D$3:$BW$3, 0)),SUM(VLOOKUP($A77, LS_current!$B$4:$BW$137, LS_current!V$147, FALSE), VLOOKUP($A77, LS_current!$B$4:$BW$137,LS_current!BR$147, FALSE))/2)</f>
        <v>0</v>
      </c>
      <c r="CR77" s="102">
        <f t="array" ref="CR77">IF($BT77=0, INDEX(LS_current!$D$4:$BW$137, MATCH('Staging Table'!$A77, LS_current!$B$4:$B$137, 0), MATCH(CR$4&amp;CR$5, LS_current!$D$2:$BW$2&amp;LS_current!$D$3:$BW$3, 0)),SUM(VLOOKUP($A77, LS_current!$B$4:$BW$137, LS_current!W$147, FALSE), VLOOKUP($A77, LS_current!$B$4:$BW$137,LS_current!BS$147, FALSE))/2)</f>
        <v>0</v>
      </c>
      <c r="CS77" s="102">
        <f t="array" ref="CS77">IF($BT77=0, INDEX(LS_current!$D$4:$BW$137, MATCH('Staging Table'!$A77, LS_current!$B$4:$B$137, 0), MATCH(CS$4&amp;CS$5, LS_current!$D$2:$BW$2&amp;LS_current!$D$3:$BW$3, 0)),SUM(VLOOKUP($A77, LS_current!$B$4:$BW$137, LS_current!X$147, FALSE), VLOOKUP($A77, LS_current!$B$4:$BW$137,LS_current!BT$147, FALSE))/2)</f>
        <v>0</v>
      </c>
      <c r="CT77" s="102">
        <f t="array" ref="CT77">IF($BT77=0, INDEX(LS_current!$D$4:$BW$137, MATCH('Staging Table'!$A77, LS_current!$B$4:$B$137, 0), MATCH(CT$4&amp;CT$5, LS_current!$D$2:$BW$2&amp;LS_current!$D$3:$BW$3, 0)),SUM(VLOOKUP($A77, LS_current!$B$4:$BW$137, LS_current!Y$147, FALSE), VLOOKUP($A77, LS_current!$B$4:$BW$137,LS_current!BU$147, FALSE))/2)</f>
        <v>0</v>
      </c>
      <c r="CU77" s="102">
        <f t="array" ref="CU77">IF($BT77=0, INDEX(LS_current!$D$4:$BW$137, MATCH('Staging Table'!$A77, LS_current!$B$4:$B$137, 0), MATCH(CU$4&amp;CU$5, LS_current!$D$2:$BW$2&amp;LS_current!$D$3:$BW$3, 0)),SUM(VLOOKUP($A77, LS_current!$B$4:$BW$137, LS_current!Z$147, FALSE), VLOOKUP($A77, LS_current!$B$4:$BW$137,LS_current!BV$147, FALSE))/2)</f>
        <v>0</v>
      </c>
      <c r="CV77" s="102">
        <f t="array" ref="CV77">IF($BT77=0, INDEX(LS_current!$D$4:$BW$137, MATCH('Staging Table'!$A77, LS_current!$B$4:$B$137, 0), MATCH(CV$4&amp;CV$5, LS_current!$D$2:$BW$2&amp;LS_current!$D$3:$BW$3, 0)),SUM(VLOOKUP($A77, LS_current!$B$4:$BW$137, LS_current!AA$147, FALSE), VLOOKUP($A77, LS_current!$B$4:$BW$137,LS_current!BW$147, FALSE))/2)</f>
        <v>0</v>
      </c>
      <c r="CW77" s="103">
        <f t="array" ref="CW77">INDEX(Demand_current!$D$4:$BW$137, MATCH($A77, Demand_current!$B$4:$B$137, 0), MATCH(CW$4&amp;CW$5,Demand_current!$D$2:$BW$2&amp;Demand_current!$D$3:$BW$3, 0))/1000</f>
        <v>0</v>
      </c>
      <c r="CX77" s="103">
        <f t="array" ref="CX77">INDEX(Demand_current!$D$4:$BW$137, MATCH($A77, Demand_current!$B$4:$B$137, 0), MATCH(CX$4&amp;CX$5,Demand_current!$D$2:$BW$2&amp;Demand_current!$D$3:$BW$3, 0))/1000</f>
        <v>0</v>
      </c>
      <c r="CY77" s="103">
        <f t="array" ref="CY77">INDEX(Demand_current!$D$4:$BW$137, MATCH($A77, Demand_current!$B$4:$B$137, 0), MATCH(CY$4&amp;CY$5,Demand_current!$D$2:$BW$2&amp;Demand_current!$D$3:$BW$3, 0))/1000</f>
        <v>0</v>
      </c>
      <c r="CZ77" s="103">
        <f t="array" ref="CZ77">INDEX(Demand_current!$D$4:$BW$137, MATCH($A77, Demand_current!$B$4:$B$137, 0), MATCH(CZ$4&amp;CZ$5,Demand_current!$D$2:$BW$2&amp;Demand_current!$D$3:$BW$3, 0))/1000</f>
        <v>0</v>
      </c>
      <c r="DA77" s="103">
        <f t="array" ref="DA77">INDEX(Demand_current!$D$4:$BW$137, MATCH($A77, Demand_current!$B$4:$B$137, 0), MATCH(DA$4&amp;DA$5,Demand_current!$D$2:$BW$2&amp;Demand_current!$D$3:$BW$3, 0))/1000</f>
        <v>0</v>
      </c>
      <c r="DB77" s="103">
        <f t="array" ref="DB77">INDEX(Demand_current!$D$4:$BW$137, MATCH($A77, Demand_current!$B$4:$B$137, 0), MATCH(DB$4&amp;DB$5,Demand_current!$D$2:$BW$2&amp;Demand_current!$D$3:$BW$3, 0))/1000</f>
        <v>0</v>
      </c>
      <c r="DC77" s="103">
        <f t="array" ref="DC77">INDEX(Demand_current!$D$4:$BW$137, MATCH($A77, Demand_current!$B$4:$B$137, 0), MATCH(DC$4&amp;DC$5,Demand_current!$D$2:$BW$2&amp;Demand_current!$D$3:$BW$3, 0))/1000</f>
        <v>0</v>
      </c>
      <c r="DD77" s="103">
        <f t="array" ref="DD77">INDEX(Demand_current!$D$4:$BW$137, MATCH($A77, Demand_current!$B$4:$B$137, 0), MATCH(DD$4&amp;DD$5,Demand_current!$D$2:$BW$2&amp;Demand_current!$D$3:$BW$3, 0))/1000</f>
        <v>0</v>
      </c>
      <c r="DE77" s="103">
        <f t="array" ref="DE77">INDEX(Demand_current!$D$4:$BW$137, MATCH($A77, Demand_current!$B$4:$B$137, 0), MATCH(DE$4&amp;DE$5,Demand_current!$D$2:$BW$2&amp;Demand_current!$D$3:$BW$3, 0))/1000</f>
        <v>0</v>
      </c>
      <c r="DF77" s="103">
        <f t="array" ref="DF77">INDEX(Demand_current!$D$4:$BW$137, MATCH($A77, Demand_current!$B$4:$B$137, 0), MATCH(DF$4&amp;DF$5,Demand_current!$D$2:$BW$2&amp;Demand_current!$D$3:$BW$3, 0))/1000</f>
        <v>0</v>
      </c>
      <c r="DG77" s="103">
        <f t="array" ref="DG77">INDEX(Demand_current!$D$4:$BW$137, MATCH($A77, Demand_current!$B$4:$B$137, 0), MATCH(DG$4&amp;DG$5,Demand_current!$D$2:$BW$2&amp;Demand_current!$D$3:$BW$3, 0))/1000</f>
        <v>0</v>
      </c>
      <c r="DH77" s="103">
        <f t="array" ref="DH77">INDEX(Demand_current!$D$4:$BW$137, MATCH($A77, Demand_current!$B$4:$B$137, 0), MATCH(DH$4&amp;DH$5,Demand_current!$D$2:$BW$2&amp;Demand_current!$D$3:$BW$3, 0))/1000</f>
        <v>0</v>
      </c>
      <c r="DI77" s="102">
        <f>$BS77*(VLOOKUP(DI$4, Rates_current!$H$6:$R$41, 10, FALSE)+VLOOKUP(DI$4, Rates_current!$H$6:$R$41, 11, FALSE))</f>
        <v>29943.080010324888</v>
      </c>
      <c r="DJ77" s="102">
        <f>$BS77*(VLOOKUP(DJ$4, Rates_current!$H$6:$R$41, 10, FALSE)+VLOOKUP(DJ$4, Rates_current!$H$6:$R$41, 11, FALSE))</f>
        <v>38281.242304155814</v>
      </c>
      <c r="DK77" s="102">
        <f>$BS77*(VLOOKUP(DK$4, Rates_current!$H$6:$R$41, 10, FALSE)+VLOOKUP(DK$4, Rates_current!$H$6:$R$41, 11, FALSE))</f>
        <v>43522.570773343185</v>
      </c>
      <c r="DL77" s="102">
        <f>$BS77*(VLOOKUP(DL$4, Rates_current!$H$6:$R$41, 10, FALSE)+VLOOKUP(DL$4, Rates_current!$H$6:$R$41, 11, FALSE))</f>
        <v>45919.709489238536</v>
      </c>
      <c r="DM77" s="102">
        <f>$BS77*(VLOOKUP(DM$4, Rates_current!$H$6:$R$41, 10, FALSE)+VLOOKUP(DM$4, Rates_current!$H$6:$R$41, 11, FALSE))</f>
        <v>36593.864050730248</v>
      </c>
      <c r="DN77" s="102">
        <f>$BS77*(VLOOKUP(DN$4, Rates_current!$H$6:$R$41, 10, FALSE)+VLOOKUP(DN$4, Rates_current!$H$6:$R$41, 11, FALSE))</f>
        <v>40004.608167732738</v>
      </c>
      <c r="DO77" s="102">
        <f>$BS77*(VLOOKUP(DO$4, Rates_current!$H$6:$R$41, 10, FALSE)+VLOOKUP(DO$4, Rates_current!$H$6:$R$41, 11, FALSE))</f>
        <v>31003.973739228528</v>
      </c>
      <c r="DP77" s="102">
        <f>$BS77*(VLOOKUP(DP$4, Rates_current!$H$6:$R$41, 10, FALSE)+VLOOKUP(DP$4, Rates_current!$H$6:$R$41, 11, FALSE))</f>
        <v>40124.246895688186</v>
      </c>
      <c r="DQ77" s="102">
        <f>$BS77*(VLOOKUP(DQ$4, Rates_current!$H$6:$R$41, 10, FALSE)+VLOOKUP(DQ$4, Rates_current!$H$6:$R$41, 11, FALSE))</f>
        <v>40981.016368562436</v>
      </c>
      <c r="DR77" s="102">
        <f>$BS77*(VLOOKUP(DR$4, Rates_current!$H$6:$R$41, 10, FALSE)+VLOOKUP(DR$4, Rates_current!$H$6:$R$41, 11, FALSE))</f>
        <v>36476.648800257986</v>
      </c>
      <c r="DS77" s="102">
        <f>$BS77*(VLOOKUP(DS$4, Rates_current!$H$6:$R$41, 10, FALSE)+VLOOKUP(DS$4, Rates_current!$H$6:$R$41, 11, FALSE))</f>
        <v>37418.352070653695</v>
      </c>
      <c r="DT77" s="102">
        <f>$BS77*(VLOOKUP(DT$4, Rates_current!$H$6:$R$41, 10, FALSE)+VLOOKUP(DT$4, Rates_current!$H$6:$R$41, 11, FALSE))</f>
        <v>29059.835780429323</v>
      </c>
      <c r="DU77" s="261">
        <f>IF(D77=0,IF(C77=0,MAX(0,DW77 - (VLOOKUP($A77,TOCA_current!$A$2:$AV$136,MATCH("RHWM "&amp;Init!$D$1,TOCA_current!$A$2:$AV$2,0),FALSE)*$BS$2)), 0),0)</f>
        <v>0</v>
      </c>
      <c r="DV77" s="262">
        <f>MIN(VLOOKUP($A77,TOCA_current!$A$2:$AV$136,MATCH("TRL - NLSL - Existing Resource "&amp;$BS$1,TOCA_current!$A$2:$AV$2,0),FALSE)*$BS$2, VLOOKUP($A77,TOCA_current!$A$2:$AV$136,MATCH("RHWM "&amp;Init!$D$1,TOCA_current!$A$2:$AV$2,0),FALSE)*$BS$2)</f>
        <v>449326.68</v>
      </c>
      <c r="DW77" s="262">
        <f>SUM(BY77:CV77)+(BS77*RT1SC!$C$4*$BS$2)</f>
        <v>449329.17497414403</v>
      </c>
      <c r="DX77" s="262">
        <f>VLOOKUP($A77,TOCA_current!$A$2:$AV$136,MATCH("Above RHWM Not Served with LS "&amp;$BS$1,TOCA_current!$A$2:$AV$2,0),FALSE)*$BS$2</f>
        <v>194664.72</v>
      </c>
      <c r="DY77" s="262">
        <f t="shared" si="43"/>
        <v>2.4949741440359503</v>
      </c>
      <c r="DZ77" s="262">
        <f>(VLOOKUP($A77,TOCA_current!$A$2:$AV$136,MATCH("RHWM "&amp;Init!$D$1,TOCA_current!$A$2:$AV$2,0),FALSE)*$BS$2) - $DV77</f>
        <v>0</v>
      </c>
      <c r="EA77" s="262">
        <f t="shared" si="44"/>
        <v>0</v>
      </c>
      <c r="EB77" s="262">
        <f t="shared" si="45"/>
        <v>0</v>
      </c>
      <c r="EC77" s="262">
        <f t="shared" si="46"/>
        <v>0</v>
      </c>
      <c r="ED77" s="262">
        <f t="shared" si="47"/>
        <v>0</v>
      </c>
    </row>
    <row r="78" spans="1:134">
      <c r="A78" s="2">
        <v>10235</v>
      </c>
      <c r="B78" s="3" t="s">
        <v>80</v>
      </c>
      <c r="C78">
        <f>VLOOKUP(A78, TOCA_current!$A$3:$D$136, 4, FALSE)</f>
        <v>0</v>
      </c>
      <c r="D78">
        <v>0</v>
      </c>
      <c r="E78" s="84">
        <f>VLOOKUP($A78,TOCA_previous!$A$2:$AJ$136,MATCH(E$4,TOCA_previous!$A$2:$AJ$2,0),FALSE)</f>
        <v>4.3772999999999998E-3</v>
      </c>
      <c r="F78" s="85">
        <f>VLOOKUP($A78,TOCA_previous!$A$2:$AJ$136,MATCH(F$4,TOCA_previous!$A$2:$AJ$2,0),FALSE)</f>
        <v>4.3772999999999998E-3</v>
      </c>
      <c r="G78" s="85">
        <f t="shared" si="33"/>
        <v>0</v>
      </c>
      <c r="H78" s="85">
        <f>VLOOKUP($A78,TOCA_previous!$A$2:$AJ$136,MATCH(H$4,TOCA_previous!$A$2:$AJ$2,0),FALSE)</f>
        <v>0</v>
      </c>
      <c r="I78" s="85">
        <f t="shared" si="34"/>
        <v>0</v>
      </c>
      <c r="J78" s="85">
        <f t="shared" si="35"/>
        <v>0</v>
      </c>
      <c r="K78" s="101">
        <f>VLOOKUP(A78, IRD!$A$5:$C$138, 3, FALSE)</f>
        <v>0</v>
      </c>
      <c r="L78" s="102">
        <f t="array" ref="L78">IF($G78=0, INDEX(LS_previous!$D$4:$AY$137, MATCH('Staging Table'!$A78, LS_previous!$B$4:$B$137, 0), MATCH(L$4&amp;L$5, LS_previous!$D$2:$AY$2&amp;LS_previous!$D$3:$AY$3, 0)),SUM(VLOOKUP($A78, LS_previous!$B$4:$AY$137, LS_previous!D$148, FALSE), VLOOKUP('Staging Table'!$A78, LS_previous!$B$4:$AY$137,LS_previous!AB$148, FALSE))/2)</f>
        <v>2674.9197212172003</v>
      </c>
      <c r="M78" s="102">
        <f t="array" ref="M78">IF($G78=0, INDEX(LS_previous!$D$4:$AY$137, MATCH('Staging Table'!$A78, LS_previous!$B$4:$B$137, 0), MATCH(M$4&amp;M$5, LS_previous!$D$2:$AY$2&amp;LS_previous!$D$3:$AY$3, 0)),SUM(VLOOKUP($A78, LS_previous!$B$4:$AY$137, LS_previous!E$148, FALSE), VLOOKUP('Staging Table'!$A78, LS_previous!$B$4:$AY$137,LS_previous!AC$148, FALSE))/2)</f>
        <v>449.15857356885044</v>
      </c>
      <c r="N78" s="102">
        <f t="array" ref="N78">IF($G78=0, INDEX(LS_previous!$D$4:$AY$137, MATCH('Staging Table'!$A78, LS_previous!$B$4:$B$137, 0), MATCH(N$4&amp;N$5, LS_previous!$D$2:$AY$2&amp;LS_previous!$D$3:$AY$3, 0)),SUM(VLOOKUP($A78, LS_previous!$B$4:$AY$137, LS_previous!F$148, FALSE), VLOOKUP('Staging Table'!$A78, LS_previous!$B$4:$AY$137,LS_previous!AD$148, FALSE))/2)</f>
        <v>197.57561914560029</v>
      </c>
      <c r="O78" s="102">
        <f t="array" ref="O78">IF($G78=0, INDEX(LS_previous!$D$4:$AY$137, MATCH('Staging Table'!$A78, LS_previous!$B$4:$B$137, 0), MATCH(O$4&amp;O$5, LS_previous!$D$2:$AY$2&amp;LS_previous!$D$3:$AY$3, 0)),SUM(VLOOKUP($A78, LS_previous!$B$4:$AY$137, LS_previous!G$148, FALSE), VLOOKUP('Staging Table'!$A78, LS_previous!$B$4:$AY$137,LS_previous!AE$148, FALSE))/2)</f>
        <v>887.69946852370049</v>
      </c>
      <c r="P78" s="102">
        <f t="array" ref="P78">IF($G78=0, INDEX(LS_previous!$D$4:$AY$137, MATCH('Staging Table'!$A78, LS_previous!$B$4:$B$137, 0), MATCH(P$4&amp;P$5, LS_previous!$D$2:$AY$2&amp;LS_previous!$D$3:$AY$3, 0)),SUM(VLOOKUP($A78, LS_previous!$B$4:$AY$137, LS_previous!H$148, FALSE), VLOOKUP('Staging Table'!$A78, LS_previous!$B$4:$AY$137,LS_previous!AF$148, FALSE))/2)</f>
        <v>1763.8597746752985</v>
      </c>
      <c r="Q78" s="102">
        <f t="array" ref="Q78">IF($G78=0, INDEX(LS_previous!$D$4:$AY$137, MATCH('Staging Table'!$A78, LS_previous!$B$4:$B$137, 0), MATCH(Q$4&amp;Q$5, LS_previous!$D$2:$AY$2&amp;LS_previous!$D$3:$AY$3, 0)),SUM(VLOOKUP($A78, LS_previous!$B$4:$AY$137, LS_previous!I$148, FALSE), VLOOKUP('Staging Table'!$A78, LS_previous!$B$4:$AY$137,LS_previous!AG$148, FALSE))/2)</f>
        <v>952.45779449920155</v>
      </c>
      <c r="R78" s="102">
        <f t="array" ref="R78">IF($G78=0, INDEX(LS_previous!$D$4:$AY$137, MATCH('Staging Table'!$A78, LS_previous!$B$4:$B$137, 0), MATCH(R$4&amp;R$5, LS_previous!$D$2:$AY$2&amp;LS_previous!$D$3:$AY$3, 0)),SUM(VLOOKUP($A78, LS_previous!$B$4:$AY$137, LS_previous!J$148, FALSE), VLOOKUP('Staging Table'!$A78, LS_previous!$B$4:$AY$137,LS_previous!AH$148, FALSE))/2)</f>
        <v>1423.1156559305018</v>
      </c>
      <c r="S78" s="102">
        <f t="array" ref="S78">IF($G78=0, INDEX(LS_previous!$D$4:$AY$137, MATCH('Staging Table'!$A78, LS_previous!$B$4:$B$137, 0), MATCH(S$4&amp;S$5, LS_previous!$D$2:$AY$2&amp;LS_previous!$D$3:$AY$3, 0)),SUM(VLOOKUP($A78, LS_previous!$B$4:$AY$137, LS_previous!K$148, FALSE), VLOOKUP('Staging Table'!$A78, LS_previous!$B$4:$AY$137,LS_previous!AI$148, FALSE))/2)</f>
        <v>1349.995405658301</v>
      </c>
      <c r="T78" s="102">
        <f t="array" ref="T78">IF($G78=0, INDEX(LS_previous!$D$4:$AY$137, MATCH('Staging Table'!$A78, LS_previous!$B$4:$B$137, 0), MATCH(T$4&amp;T$5, LS_previous!$D$2:$AY$2&amp;LS_previous!$D$3:$AY$3, 0)),SUM(VLOOKUP($A78, LS_previous!$B$4:$AY$137, LS_previous!L$148, FALSE), VLOOKUP('Staging Table'!$A78, LS_previous!$B$4:$AY$137,LS_previous!AJ$148, FALSE))/2)</f>
        <v>1016.1070388533026</v>
      </c>
      <c r="U78" s="102">
        <f t="array" ref="U78">IF($G78=0, INDEX(LS_previous!$D$4:$AY$137, MATCH('Staging Table'!$A78, LS_previous!$B$4:$B$137, 0), MATCH(U$4&amp;U$5, LS_previous!$D$2:$AY$2&amp;LS_previous!$D$3:$AY$3, 0)),SUM(VLOOKUP($A78, LS_previous!$B$4:$AY$137, LS_previous!M$148, FALSE), VLOOKUP('Staging Table'!$A78, LS_previous!$B$4:$AY$137,LS_previous!AK$148, FALSE))/2)</f>
        <v>1157.6731548693006</v>
      </c>
      <c r="V78" s="102">
        <f t="array" ref="V78">IF($G78=0, INDEX(LS_previous!$D$4:$AY$137, MATCH('Staging Table'!$A78, LS_previous!$B$4:$B$137, 0), MATCH(V$4&amp;V$5, LS_previous!$D$2:$AY$2&amp;LS_previous!$D$3:$AY$3, 0)),SUM(VLOOKUP($A78, LS_previous!$B$4:$AY$137, LS_previous!N$148, FALSE), VLOOKUP('Staging Table'!$A78, LS_previous!$B$4:$AY$137,LS_previous!AL$148, FALSE))/2)</f>
        <v>-441.22493333489911</v>
      </c>
      <c r="W78" s="102">
        <f t="array" ref="W78">IF($G78=0, INDEX(LS_previous!$D$4:$AY$137, MATCH('Staging Table'!$A78, LS_previous!$B$4:$B$137, 0), MATCH(W$4&amp;W$5, LS_previous!$D$2:$AY$2&amp;LS_previous!$D$3:$AY$3, 0)),SUM(VLOOKUP($A78, LS_previous!$B$4:$AY$137, LS_previous!O$148, FALSE), VLOOKUP('Staging Table'!$A78, LS_previous!$B$4:$AY$137,LS_previous!AM$148, FALSE))/2)</f>
        <v>-372.61704883940001</v>
      </c>
      <c r="X78" s="102">
        <f t="array" ref="X78">IF($G78=0, INDEX(LS_previous!$D$4:$AY$137, MATCH('Staging Table'!$A78, LS_previous!$B$4:$B$137, 0), MATCH(X$4&amp;X$5, LS_previous!$D$2:$AY$2&amp;LS_previous!$D$3:$AY$3, 0)),SUM(VLOOKUP($A78, LS_previous!$B$4:$AY$137, LS_previous!P$148, FALSE), VLOOKUP('Staging Table'!$A78, LS_previous!$B$4:$AY$137,LS_previous!AN$148, FALSE))/2)</f>
        <v>1134.9444355492506</v>
      </c>
      <c r="Y78" s="102">
        <f t="array" ref="Y78">IF($G78=0, INDEX(LS_previous!$D$4:$AY$137, MATCH('Staging Table'!$A78, LS_previous!$B$4:$B$137, 0), MATCH(Y$4&amp;Y$5, LS_previous!$D$2:$AY$2&amp;LS_previous!$D$3:$AY$3, 0)),SUM(VLOOKUP($A78, LS_previous!$B$4:$AY$137, LS_previous!Q$148, FALSE), VLOOKUP('Staging Table'!$A78, LS_previous!$B$4:$AY$137,LS_previous!AO$148, FALSE))/2)</f>
        <v>-8.754386118273942</v>
      </c>
      <c r="Z78" s="102">
        <f t="array" ref="Z78">IF($G78=0, INDEX(LS_previous!$D$4:$AY$137, MATCH('Staging Table'!$A78, LS_previous!$B$4:$B$137, 0), MATCH(Z$4&amp;Z$5, LS_previous!$D$2:$AY$2&amp;LS_previous!$D$3:$AY$3, 0)),SUM(VLOOKUP($A78, LS_previous!$B$4:$AY$137, LS_previous!R$148, FALSE), VLOOKUP('Staging Table'!$A78, LS_previous!$B$4:$AY$137,LS_previous!AP$148, FALSE))/2)</f>
        <v>-3469.0218887503997</v>
      </c>
      <c r="AA78" s="102">
        <f t="array" ref="AA78">IF($G78=0, INDEX(LS_previous!$D$4:$AY$137, MATCH('Staging Table'!$A78, LS_previous!$B$4:$B$137, 0), MATCH(AA$4&amp;AA$5, LS_previous!$D$2:$AY$2&amp;LS_previous!$D$3:$AY$3, 0)),SUM(VLOOKUP($A78, LS_previous!$B$4:$AY$137, LS_previous!S$148, FALSE), VLOOKUP('Staging Table'!$A78, LS_previous!$B$4:$AY$137,LS_previous!AQ$148, FALSE))/2)</f>
        <v>-1964.2018275020491</v>
      </c>
      <c r="AB78" s="102">
        <f t="array" ref="AB78">IF($G78=0, INDEX(LS_previous!$D$4:$AY$137, MATCH('Staging Table'!$A78, LS_previous!$B$4:$B$137, 0), MATCH(AB$4&amp;AB$5, LS_previous!$D$2:$AY$2&amp;LS_previous!$D$3:$AY$3, 0)),SUM(VLOOKUP($A78, LS_previous!$B$4:$AY$137, LS_previous!T$148, FALSE), VLOOKUP('Staging Table'!$A78, LS_previous!$B$4:$AY$137,LS_previous!AR$148, FALSE))/2)</f>
        <v>-3904.9266944797982</v>
      </c>
      <c r="AC78" s="102">
        <f t="array" ref="AC78">IF($G78=0, INDEX(LS_previous!$D$4:$AY$137, MATCH('Staging Table'!$A78, LS_previous!$B$4:$B$137, 0), MATCH(AC$4&amp;AC$5, LS_previous!$D$2:$AY$2&amp;LS_previous!$D$3:$AY$3, 0)),SUM(VLOOKUP($A78, LS_previous!$B$4:$AY$137, LS_previous!U$148, FALSE), VLOOKUP('Staging Table'!$A78, LS_previous!$B$4:$AY$137,LS_previous!AS$148, FALSE))/2)</f>
        <v>-2707.9426960628507</v>
      </c>
      <c r="AD78" s="102">
        <f t="array" ref="AD78">IF($G78=0, INDEX(LS_previous!$D$4:$AY$137, MATCH('Staging Table'!$A78, LS_previous!$B$4:$B$137, 0), MATCH(AD$4&amp;AD$5, LS_previous!$D$2:$AY$2&amp;LS_previous!$D$3:$AY$3, 0)),SUM(VLOOKUP($A78, LS_previous!$B$4:$AY$137, LS_previous!V$148, FALSE), VLOOKUP('Staging Table'!$A78, LS_previous!$B$4:$AY$137,LS_previous!AT$148, FALSE))/2)</f>
        <v>-1298.5101405571986</v>
      </c>
      <c r="AE78" s="102">
        <f t="array" ref="AE78">IF($G78=0, INDEX(LS_previous!$D$4:$AY$137, MATCH('Staging Table'!$A78, LS_previous!$B$4:$B$137, 0), MATCH(AE$4&amp;AE$5, LS_previous!$D$2:$AY$2&amp;LS_previous!$D$3:$AY$3, 0)),SUM(VLOOKUP($A78, LS_previous!$B$4:$AY$137, LS_previous!W$148, FALSE), VLOOKUP('Staging Table'!$A78, LS_previous!$B$4:$AY$137,LS_previous!AU$148, FALSE))/2)</f>
        <v>-906.45235735574897</v>
      </c>
      <c r="AF78" s="102">
        <f t="array" ref="AF78">IF($G78=0, INDEX(LS_previous!$D$4:$AY$137, MATCH('Staging Table'!$A78, LS_previous!$B$4:$B$137, 0), MATCH(AF$4&amp;AF$5, LS_previous!$D$2:$AY$2&amp;LS_previous!$D$3:$AY$3, 0)),SUM(VLOOKUP($A78, LS_previous!$B$4:$AY$137, LS_previous!X$148, FALSE), VLOOKUP('Staging Table'!$A78, LS_previous!$B$4:$AY$137,LS_previous!AV$148, FALSE))/2)</f>
        <v>-996.04356770695085</v>
      </c>
      <c r="AG78" s="102">
        <f t="array" ref="AG78">IF($G78=0, INDEX(LS_previous!$D$4:$AY$137, MATCH('Staging Table'!$A78, LS_previous!$B$4:$B$137, 0), MATCH(AG$4&amp;AG$5, LS_previous!$D$2:$AY$2&amp;LS_previous!$D$3:$AY$3, 0)),SUM(VLOOKUP($A78, LS_previous!$B$4:$AY$137, LS_previous!Y$148, FALSE), VLOOKUP('Staging Table'!$A78, LS_previous!$B$4:$AY$137,LS_previous!AW$148, FALSE))/2)</f>
        <v>-340.27049692740366</v>
      </c>
      <c r="AH78" s="102">
        <f t="array" ref="AH78">IF($G78=0, INDEX(LS_previous!$D$4:$AY$137, MATCH('Staging Table'!$A78, LS_previous!$B$4:$B$137, 0), MATCH(AH$4&amp;AH$5, LS_previous!$D$2:$AY$2&amp;LS_previous!$D$3:$AY$3, 0)),SUM(VLOOKUP($A78, LS_previous!$B$4:$AY$137, LS_previous!Z$148, FALSE), VLOOKUP('Staging Table'!$A78, LS_previous!$B$4:$AY$137,LS_previous!AX$148, FALSE))/2)</f>
        <v>-161.26130678019945</v>
      </c>
      <c r="AI78" s="102">
        <f t="array" ref="AI78">IF($G78=0, INDEX(LS_previous!$D$4:$AY$137, MATCH('Staging Table'!$A78, LS_previous!$B$4:$B$137, 0), MATCH(AI$4&amp;AI$5, LS_previous!$D$2:$AY$2&amp;LS_previous!$D$3:$AY$3, 0)),SUM(VLOOKUP($A78, LS_previous!$B$4:$AY$137, LS_previous!AA$148, FALSE), VLOOKUP('Staging Table'!$A78, LS_previous!$B$4:$AY$137,LS_previous!AY$148, FALSE))/2)</f>
        <v>-901.80657893920034</v>
      </c>
      <c r="AJ78" s="103">
        <f t="array" ref="AJ78">INDEX(Demand_previous!$D$4:$AY$137, MATCH('Staging Table'!$A78, Demand_previous!$B$4:$B$137, 0), MATCH(AJ$4&amp;AJ$5,Demand_previous!$D$2:$AY$2&amp;Demand_previous!$D$3:$AY$3, 0))/1000</f>
        <v>1.0171802884615353</v>
      </c>
      <c r="AK78" s="103">
        <f t="array" ref="AK78">INDEX(Demand_previous!$D$4:$AY$137, MATCH('Staging Table'!$A78, Demand_previous!$B$4:$B$137, 0), MATCH(AK$4&amp;AK$5,Demand_previous!$D$2:$AY$2&amp;Demand_previous!$D$3:$AY$3, 0))/1000</f>
        <v>3.135959999999999</v>
      </c>
      <c r="AL78" s="103">
        <f t="array" ref="AL78">INDEX(Demand_previous!$D$4:$AY$137, MATCH('Staging Table'!$A78, Demand_previous!$B$4:$B$137, 0), MATCH(AL$4&amp;AL$5,Demand_previous!$D$2:$AY$2&amp;Demand_previous!$D$3:$AY$3, 0))/1000</f>
        <v>5.4927950000000028</v>
      </c>
      <c r="AM78" s="103">
        <f t="array" ref="AM78">INDEX(Demand_previous!$D$4:$AY$137, MATCH('Staging Table'!$A78, Demand_previous!$B$4:$B$137, 0), MATCH(AM$4&amp;AM$5,Demand_previous!$D$2:$AY$2&amp;Demand_previous!$D$3:$AY$3, 0))/1000</f>
        <v>6.297771634615386</v>
      </c>
      <c r="AN78" s="103">
        <f t="array" ref="AN78">INDEX(Demand_previous!$D$4:$AY$137, MATCH('Staging Table'!$A78, Demand_previous!$B$4:$B$137, 0), MATCH(AN$4&amp;AN$5,Demand_previous!$D$2:$AY$2&amp;Demand_previous!$D$3:$AY$3, 0))/1000</f>
        <v>5.3420524999999959</v>
      </c>
      <c r="AO78" s="103">
        <f t="array" ref="AO78">INDEX(Demand_previous!$D$4:$AY$137, MATCH('Staging Table'!$A78, Demand_previous!$B$4:$B$137, 0), MATCH(AO$4&amp;AO$5,Demand_previous!$D$2:$AY$2&amp;Demand_previous!$D$3:$AY$3, 0))/1000</f>
        <v>4.1553605769230826</v>
      </c>
      <c r="AP78" s="103">
        <f t="array" ref="AP78">INDEX(Demand_previous!$D$4:$AY$137, MATCH('Staging Table'!$A78, Demand_previous!$B$4:$B$137, 0), MATCH(AP$4&amp;AP$5,Demand_previous!$D$2:$AY$2&amp;Demand_previous!$D$3:$AY$3, 0))/1000</f>
        <v>5.9606250000000029</v>
      </c>
      <c r="AQ78" s="103">
        <f t="array" ref="AQ78">INDEX(Demand_previous!$D$4:$AY$137, MATCH('Staging Table'!$A78, Demand_previous!$B$4:$B$137, 0), MATCH(AQ$4&amp;AQ$5,Demand_previous!$D$2:$AY$2&amp;Demand_previous!$D$3:$AY$3, 0))/1000</f>
        <v>4.227538461538459</v>
      </c>
      <c r="AR78" s="103">
        <f t="array" ref="AR78">INDEX(Demand_previous!$D$4:$AY$137, MATCH('Staging Table'!$A78, Demand_previous!$B$4:$B$137, 0), MATCH(AR$4&amp;AR$5,Demand_previous!$D$2:$AY$2&amp;Demand_previous!$D$3:$AY$3, 0))/1000</f>
        <v>3.1292599999999977</v>
      </c>
      <c r="AS78" s="103">
        <f t="array" ref="AS78">INDEX(Demand_previous!$D$4:$AY$137, MATCH('Staging Table'!$A78, Demand_previous!$B$4:$B$137, 0), MATCH(AS$4&amp;AS$5,Demand_previous!$D$2:$AY$2&amp;Demand_previous!$D$3:$AY$3, 0))/1000</f>
        <v>3.6850192307692291</v>
      </c>
      <c r="AT78" s="103">
        <f t="array" ref="AT78">INDEX(Demand_previous!$D$4:$AY$137, MATCH('Staging Table'!$A78, Demand_previous!$B$4:$B$137, 0), MATCH(AT$4&amp;AT$5,Demand_previous!$D$2:$AY$2&amp;Demand_previous!$D$3:$AY$3, 0))/1000</f>
        <v>5.4674120370370396</v>
      </c>
      <c r="AU78" s="103">
        <f t="array" ref="AU78">INDEX(Demand_previous!$D$4:$AY$137, MATCH('Staging Table'!$A78, Demand_previous!$B$4:$B$137, 0), MATCH(AU$4&amp;AU$5,Demand_previous!$D$2:$AY$2&amp;Demand_previous!$D$3:$AY$3, 0))/1000</f>
        <v>2.9636979166666704</v>
      </c>
      <c r="AV78" s="102">
        <f>$F78*(VLOOKUP(AV$4, Rates_previous!$G$6:$Q$29, 10, FALSE)+VLOOKUP(AV$4, Rates_previous!$G$6:$Q$29, 11, FALSE))</f>
        <v>18466.969705213949</v>
      </c>
      <c r="AW78" s="102">
        <f>$F78*(VLOOKUP(AW$4, Rates_previous!$G$6:$Q$29, 10, FALSE)+VLOOKUP(AW$4, Rates_previous!$G$6:$Q$29, 11, FALSE))</f>
        <v>23551.475912330701</v>
      </c>
      <c r="AX78" s="102">
        <f>$F78*(VLOOKUP(AX$4, Rates_previous!$G$6:$Q$29, 10, FALSE)+VLOOKUP(AX$4, Rates_previous!$G$6:$Q$29, 11, FALSE))</f>
        <v>25416.702430825502</v>
      </c>
      <c r="AY78" s="102">
        <f>$F78*(VLOOKUP(AY$4, Rates_previous!$G$6:$Q$29, 10, FALSE)+VLOOKUP(AY$4, Rates_previous!$G$6:$Q$29, 11, FALSE))</f>
        <v>26411.8829384112</v>
      </c>
      <c r="AZ78" s="102">
        <f>$F78*(VLOOKUP(AZ$4, Rates_previous!$G$6:$Q$29, 10, FALSE)+VLOOKUP(AZ$4, Rates_previous!$G$6:$Q$29, 11, FALSE))</f>
        <v>22717.739806277397</v>
      </c>
      <c r="BA78" s="102">
        <f>$F78*(VLOOKUP(BA$4, Rates_previous!$G$6:$Q$29, 10, FALSE)+VLOOKUP(BA$4, Rates_previous!$G$6:$Q$29, 11, FALSE))</f>
        <v>24803.273982174298</v>
      </c>
      <c r="BB78" s="102">
        <f>$F78*(VLOOKUP(BB$4, Rates_previous!$G$6:$Q$29, 10, FALSE)+VLOOKUP(BB$4, Rates_previous!$G$6:$Q$29, 11, FALSE))</f>
        <v>19578.004950569022</v>
      </c>
      <c r="BC78" s="102">
        <f>$F78*(VLOOKUP(BC$4, Rates_previous!$G$6:$Q$29, 10, FALSE)+VLOOKUP(BC$4, Rates_previous!$G$6:$Q$29, 11, FALSE))</f>
        <v>24289.138716252448</v>
      </c>
      <c r="BD78" s="102">
        <f>$F78*(VLOOKUP(BD$4, Rates_previous!$G$6:$Q$29, 10, FALSE)+VLOOKUP(BD$4, Rates_previous!$G$6:$Q$29, 11, FALSE))</f>
        <v>24816.152390542647</v>
      </c>
      <c r="BE78" s="102">
        <f>$F78*(VLOOKUP(BE$4, Rates_previous!$G$6:$Q$29, 10, FALSE)+VLOOKUP(BE$4, Rates_previous!$G$6:$Q$29, 11, FALSE))</f>
        <v>21543.995497912947</v>
      </c>
      <c r="BF78" s="102">
        <f>$F78*(VLOOKUP(BF$4, Rates_previous!$G$6:$Q$29, 10, FALSE)+VLOOKUP(BF$4, Rates_previous!$G$6:$Q$29, 11, FALSE))</f>
        <v>20827.317064634357</v>
      </c>
      <c r="BG78" s="102">
        <f>$F78*(VLOOKUP(BG$4, Rates_previous!$G$6:$Q$29, 10, FALSE)+VLOOKUP(BG$4, Rates_previous!$G$6:$Q$29, 11, FALSE))</f>
        <v>19165.164885719401</v>
      </c>
      <c r="BH78" s="103">
        <f>IF($D78=0,IF(C78=0, MAX(BJ78 - (VLOOKUP($A78,TOCA_previous!$A$2:$AJ$136,MATCH("RHWM "&amp;Init!$D$1-2,TOCA_previous!$A$2:$AJ$2,0),FALSE)*$F$2*TOCA_previous!C75),0),0), 0)</f>
        <v>0</v>
      </c>
      <c r="BI78" s="109">
        <f>MIN(VLOOKUP($A78,TOCA_previous!$A$2:$AJ$136,MATCH("TRL - NLSL - Existing Resource "&amp;$F$1,TOCA_previous!$A$2:$AJ$2,0),FALSE)*$F$2,(VLOOKUP($A78,TOCA_previous!$A$2:$AJ$136,MATCH("RHWM "&amp;Init!$D$1-2,TOCA_previous!$A$2:$AJ$2,0),FALSE)*$F$2))</f>
        <v>265593.02400000003</v>
      </c>
      <c r="BJ78" s="261">
        <f>SUM(L78:AI78)+(F78*RT1SC!$C$3*$F$2)</f>
        <v>267122.29224490415</v>
      </c>
      <c r="BK78" s="260">
        <f>VLOOKUP($A78,TOCA_previous!$A$2:$AJ$136,MATCH("Above RHWM Not Served with LS "&amp;$F$1,TOCA_previous!$A$2:$AJ$2,0),FALSE)*$F$2</f>
        <v>0</v>
      </c>
      <c r="BL78" s="261">
        <f t="shared" si="36"/>
        <v>1529.2682449041167</v>
      </c>
      <c r="BM78" s="260">
        <f>(VLOOKUP($A78,TOCA_previous!$A$2:$AJ$136,MATCH("RHWM "&amp;Init!$D$1-2,TOCA_previous!$A$2:$AJ$2,0),FALSE)*$F$2) - $BI78</f>
        <v>25271.56799999997</v>
      </c>
      <c r="BN78" s="261">
        <f t="shared" si="37"/>
        <v>-1529.2682449041167</v>
      </c>
      <c r="BO78" s="260">
        <f t="shared" si="38"/>
        <v>0</v>
      </c>
      <c r="BP78" s="261">
        <f t="shared" si="39"/>
        <v>0</v>
      </c>
      <c r="BQ78" s="260">
        <f t="shared" si="9"/>
        <v>-1529.2682449041167</v>
      </c>
      <c r="BR78" s="85">
        <f>VLOOKUP($A78,TOCA_current!$A$2:$ZZ$136,MATCH(BR$4,TOCA_current!$A$2:$ZZ$2,0),FALSE)</f>
        <v>4.2890000000000003E-3</v>
      </c>
      <c r="BS78" s="85">
        <f>VLOOKUP($A78,TOCA_current!$A$2:$ZZ$136,MATCH(BS$4,TOCA_current!$A$2:$ZZ$2,0),FALSE)</f>
        <v>4.2890000000000003E-3</v>
      </c>
      <c r="BT78" s="108">
        <f t="shared" si="40"/>
        <v>0</v>
      </c>
      <c r="BU78" s="85">
        <f>VLOOKUP($A78,TOCA_current!A75:BG209,MATCH(BU$4,TOCA_current!$A$2:$BG$2,0),FALSE)</f>
        <v>0</v>
      </c>
      <c r="BV78" s="85">
        <f t="shared" si="41"/>
        <v>0</v>
      </c>
      <c r="BW78" s="85">
        <f t="shared" si="42"/>
        <v>0</v>
      </c>
      <c r="BX78" s="101">
        <f>VLOOKUP($A78,IRD!$A$4:$G$138, 7, FALSE)</f>
        <v>0</v>
      </c>
      <c r="BY78" s="102">
        <f t="array" ref="BY78">IF($BT78=0, INDEX(LS_current!$D$4:$BW$137, MATCH('Staging Table'!$A78, LS_current!$B$4:$B$137, 0), MATCH(BY$4&amp;BY$5, LS_current!$D$2:$BW$2&amp;LS_current!$D$3:$BW$3, 0)),SUM(VLOOKUP($A78, LS_current!$B$4:$BW$137, LS_current!D$147, FALSE), VLOOKUP($A78, LS_current!$B$4:$BW$137,LS_current!AZ$147, FALSE))/2)</f>
        <v>2756.1957190317498</v>
      </c>
      <c r="BZ78" s="102">
        <f t="array" ref="BZ78">IF($BT78=0, INDEX(LS_current!$D$4:$BW$137, MATCH('Staging Table'!$A78, LS_current!$B$4:$B$137, 0), MATCH(BZ$4&amp;BZ$5, LS_current!$D$2:$BW$2&amp;LS_current!$D$3:$BW$3, 0)),SUM(VLOOKUP($A78, LS_current!$B$4:$BW$137, LS_current!E$147, FALSE), VLOOKUP($A78, LS_current!$B$4:$BW$137,LS_current!BA$147, FALSE))/2)</f>
        <v>1034.2687273508509</v>
      </c>
      <c r="CA78" s="102">
        <f t="array" ref="CA78">IF($BT78=0, INDEX(LS_current!$D$4:$BW$137, MATCH('Staging Table'!$A78, LS_current!$B$4:$B$137, 0), MATCH(CA$4&amp;CA$5, LS_current!$D$2:$BW$2&amp;LS_current!$D$3:$BW$3, 0)),SUM(VLOOKUP($A78, LS_current!$B$4:$BW$137, LS_current!F$147, FALSE), VLOOKUP($A78, LS_current!$B$4:$BW$137,LS_current!BB$147, FALSE))/2)</f>
        <v>738.40100981175419</v>
      </c>
      <c r="CB78" s="102">
        <f t="array" ref="CB78">IF($BT78=0, INDEX(LS_current!$D$4:$BW$137, MATCH('Staging Table'!$A78, LS_current!$B$4:$B$137, 0), MATCH(CB$4&amp;CB$5, LS_current!$D$2:$BW$2&amp;LS_current!$D$3:$BW$3, 0)),SUM(VLOOKUP($A78, LS_current!$B$4:$BW$137, LS_current!G$147, FALSE), VLOOKUP($A78, LS_current!$B$4:$BW$137,LS_current!BC$147, FALSE))/2)</f>
        <v>1140.8897711182544</v>
      </c>
      <c r="CC78" s="102">
        <f t="array" ref="CC78">IF($BT78=0, INDEX(LS_current!$D$4:$BW$137, MATCH('Staging Table'!$A78, LS_current!$B$4:$B$137, 0), MATCH(CC$4&amp;CC$5, LS_current!$D$2:$BW$2&amp;LS_current!$D$3:$BW$3, 0)),SUM(VLOOKUP($A78, LS_current!$B$4:$BW$137, LS_current!H$147, FALSE), VLOOKUP($A78, LS_current!$B$4:$BW$137,LS_current!BD$147, FALSE))/2)</f>
        <v>588.95421872414227</v>
      </c>
      <c r="CD78" s="102">
        <f t="array" ref="CD78">IF($BT78=0, INDEX(LS_current!$D$4:$BW$137, MATCH('Staging Table'!$A78, LS_current!$B$4:$B$137, 0), MATCH(CD$4&amp;CD$5, LS_current!$D$2:$BW$2&amp;LS_current!$D$3:$BW$3, 0)),SUM(VLOOKUP($A78, LS_current!$B$4:$BW$137, LS_current!I$147, FALSE), VLOOKUP($A78, LS_current!$B$4:$BW$137,LS_current!BE$147, FALSE))/2)</f>
        <v>1670.7368768350716</v>
      </c>
      <c r="CE78" s="102">
        <f t="array" ref="CE78">IF($BT78=0, INDEX(LS_current!$D$4:$BW$137, MATCH('Staging Table'!$A78, LS_current!$B$4:$B$137, 0), MATCH(CE$4&amp;CE$5, LS_current!$D$2:$BW$2&amp;LS_current!$D$3:$BW$3, 0)),SUM(VLOOKUP($A78, LS_current!$B$4:$BW$137, LS_current!J$147, FALSE), VLOOKUP($A78, LS_current!$B$4:$BW$137,LS_current!BF$147, FALSE))/2)</f>
        <v>568.96629994215255</v>
      </c>
      <c r="CF78" s="102">
        <f t="array" ref="CF78">IF($BT78=0, INDEX(LS_current!$D$4:$BW$137, MATCH('Staging Table'!$A78, LS_current!$B$4:$B$137, 0), MATCH(CF$4&amp;CF$5, LS_current!$D$2:$BW$2&amp;LS_current!$D$3:$BW$3, 0)),SUM(VLOOKUP($A78, LS_current!$B$4:$BW$137, LS_current!K$147, FALSE), VLOOKUP($A78, LS_current!$B$4:$BW$137,LS_current!BG$147, FALSE))/2)</f>
        <v>1317.6460626586377</v>
      </c>
      <c r="CG78" s="102">
        <f t="array" ref="CG78">IF($BT78=0, INDEX(LS_current!$D$4:$BW$137, MATCH('Staging Table'!$A78, LS_current!$B$4:$B$137, 0), MATCH(CG$4&amp;CG$5, LS_current!$D$2:$BW$2&amp;LS_current!$D$3:$BW$3, 0)),SUM(VLOOKUP($A78, LS_current!$B$4:$BW$137, LS_current!L$147, FALSE), VLOOKUP($A78, LS_current!$B$4:$BW$137,LS_current!BH$147, FALSE))/2)</f>
        <v>1617.8273500861615</v>
      </c>
      <c r="CH78" s="102">
        <f t="array" ref="CH78">IF($BT78=0, INDEX(LS_current!$D$4:$BW$137, MATCH('Staging Table'!$A78, LS_current!$B$4:$B$137, 0), MATCH(CH$4&amp;CH$5, LS_current!$D$2:$BW$2&amp;LS_current!$D$3:$BW$3, 0)),SUM(VLOOKUP($A78, LS_current!$B$4:$BW$137, LS_current!M$147, FALSE), VLOOKUP($A78, LS_current!$B$4:$BW$137,LS_current!BI$147, FALSE))/2)</f>
        <v>1519.3462580220039</v>
      </c>
      <c r="CI78" s="102">
        <f t="array" ref="CI78">IF($BT78=0, INDEX(LS_current!$D$4:$BW$137, MATCH('Staging Table'!$A78, LS_current!$B$4:$B$137, 0), MATCH(CI$4&amp;CI$5, LS_current!$D$2:$BW$2&amp;LS_current!$D$3:$BW$3, 0)),SUM(VLOOKUP($A78, LS_current!$B$4:$BW$137, LS_current!N$147, FALSE), VLOOKUP($A78, LS_current!$B$4:$BW$137,LS_current!BJ$147, FALSE))/2)</f>
        <v>-806.92994895515949</v>
      </c>
      <c r="CJ78" s="102">
        <f t="array" ref="CJ78">IF($BT78=0, INDEX(LS_current!$D$4:$BW$137, MATCH('Staging Table'!$A78, LS_current!$B$4:$B$137, 0), MATCH(CJ$4&amp;CJ$5, LS_current!$D$2:$BW$2&amp;LS_current!$D$3:$BW$3, 0)),SUM(VLOOKUP($A78, LS_current!$B$4:$BW$137, LS_current!O$147, FALSE), VLOOKUP($A78, LS_current!$B$4:$BW$137,LS_current!BK$147, FALSE))/2)</f>
        <v>1014.3939625654621</v>
      </c>
      <c r="CK78" s="102">
        <f t="array" ref="CK78">IF($BT78=0, INDEX(LS_current!$D$4:$BW$137, MATCH('Staging Table'!$A78, LS_current!$B$4:$B$137, 0), MATCH(CK$4&amp;CK$5, LS_current!$D$2:$BW$2&amp;LS_current!$D$3:$BW$3, 0)),SUM(VLOOKUP($A78, LS_current!$B$4:$BW$137, LS_current!P$147, FALSE), VLOOKUP($A78, LS_current!$B$4:$BW$137,LS_current!BL$147, FALSE))/2)</f>
        <v>1703.4146466985876</v>
      </c>
      <c r="CL78" s="102">
        <f t="array" ref="CL78">IF($BT78=0, INDEX(LS_current!$D$4:$BW$137, MATCH('Staging Table'!$A78, LS_current!$B$4:$B$137, 0), MATCH(CL$4&amp;CL$5, LS_current!$D$2:$BW$2&amp;LS_current!$D$3:$BW$3, 0)),SUM(VLOOKUP($A78, LS_current!$B$4:$BW$137, LS_current!Q$147, FALSE), VLOOKUP($A78, LS_current!$B$4:$BW$137,LS_current!BM$147, FALSE))/2)</f>
        <v>569.5159393200729</v>
      </c>
      <c r="CM78" s="102">
        <f t="array" ref="CM78">IF($BT78=0, INDEX(LS_current!$D$4:$BW$137, MATCH('Staging Table'!$A78, LS_current!$B$4:$B$137, 0), MATCH(CM$4&amp;CM$5, LS_current!$D$2:$BW$2&amp;LS_current!$D$3:$BW$3, 0)),SUM(VLOOKUP($A78, LS_current!$B$4:$BW$137, LS_current!R$147, FALSE), VLOOKUP($A78, LS_current!$B$4:$BW$137,LS_current!BN$147, FALSE))/2)</f>
        <v>-3153.2963432346296</v>
      </c>
      <c r="CN78" s="102">
        <f t="array" ref="CN78">IF($BT78=0, INDEX(LS_current!$D$4:$BW$137, MATCH('Staging Table'!$A78, LS_current!$B$4:$B$137, 0), MATCH(CN$4&amp;CN$5, LS_current!$D$2:$BW$2&amp;LS_current!$D$3:$BW$3, 0)),SUM(VLOOKUP($A78, LS_current!$B$4:$BW$137, LS_current!S$147, FALSE), VLOOKUP($A78, LS_current!$B$4:$BW$137,LS_current!BO$147, FALSE))/2)</f>
        <v>-1843.8795594510866</v>
      </c>
      <c r="CO78" s="102">
        <f t="array" ref="CO78">IF($BT78=0, INDEX(LS_current!$D$4:$BW$137, MATCH('Staging Table'!$A78, LS_current!$B$4:$B$137, 0), MATCH(CO$4&amp;CO$5, LS_current!$D$2:$BW$2&amp;LS_current!$D$3:$BW$3, 0)),SUM(VLOOKUP($A78, LS_current!$B$4:$BW$137, LS_current!T$147, FALSE), VLOOKUP($A78, LS_current!$B$4:$BW$137,LS_current!BP$147, FALSE))/2)</f>
        <v>-4199.7576596707913</v>
      </c>
      <c r="CP78" s="102">
        <f t="array" ref="CP78">IF($BT78=0, INDEX(LS_current!$D$4:$BW$137, MATCH('Staging Table'!$A78, LS_current!$B$4:$B$137, 0), MATCH(CP$4&amp;CP$5, LS_current!$D$2:$BW$2&amp;LS_current!$D$3:$BW$3, 0)),SUM(VLOOKUP($A78, LS_current!$B$4:$BW$137, LS_current!U$147, FALSE), VLOOKUP($A78, LS_current!$B$4:$BW$137,LS_current!BQ$147, FALSE))/2)</f>
        <v>-1959.3831701162117</v>
      </c>
      <c r="CQ78" s="102">
        <f t="array" ref="CQ78">IF($BT78=0, INDEX(LS_current!$D$4:$BW$137, MATCH('Staging Table'!$A78, LS_current!$B$4:$B$137, 0), MATCH(CQ$4&amp;CQ$5, LS_current!$D$2:$BW$2&amp;LS_current!$D$3:$BW$3, 0)),SUM(VLOOKUP($A78, LS_current!$B$4:$BW$137, LS_current!V$147, FALSE), VLOOKUP($A78, LS_current!$B$4:$BW$137,LS_current!BR$147, FALSE))/2)</f>
        <v>-1613.7493417178321</v>
      </c>
      <c r="CR78" s="102">
        <f t="array" ref="CR78">IF($BT78=0, INDEX(LS_current!$D$4:$BW$137, MATCH('Staging Table'!$A78, LS_current!$B$4:$B$137, 0), MATCH(CR$4&amp;CR$5, LS_current!$D$2:$BW$2&amp;LS_current!$D$3:$BW$3, 0)),SUM(VLOOKUP($A78, LS_current!$B$4:$BW$137, LS_current!W$147, FALSE), VLOOKUP($A78, LS_current!$B$4:$BW$137,LS_current!BS$147, FALSE))/2)</f>
        <v>-731.88184450009976</v>
      </c>
      <c r="CS78" s="102">
        <f t="array" ref="CS78">IF($BT78=0, INDEX(LS_current!$D$4:$BW$137, MATCH('Staging Table'!$A78, LS_current!$B$4:$B$137, 0), MATCH(CS$4&amp;CS$5, LS_current!$D$2:$BW$2&amp;LS_current!$D$3:$BW$3, 0)),SUM(VLOOKUP($A78, LS_current!$B$4:$BW$137, LS_current!X$147, FALSE), VLOOKUP($A78, LS_current!$B$4:$BW$137,LS_current!BT$147, FALSE))/2)</f>
        <v>-2570.2666350794516</v>
      </c>
      <c r="CT78" s="102">
        <f t="array" ref="CT78">IF($BT78=0, INDEX(LS_current!$D$4:$BW$137, MATCH('Staging Table'!$A78, LS_current!$B$4:$B$137, 0), MATCH(CT$4&amp;CT$5, LS_current!$D$2:$BW$2&amp;LS_current!$D$3:$BW$3, 0)),SUM(VLOOKUP($A78, LS_current!$B$4:$BW$137, LS_current!Y$147, FALSE), VLOOKUP($A78, LS_current!$B$4:$BW$137,LS_current!BU$147, FALSE))/2)</f>
        <v>-183.21898274716477</v>
      </c>
      <c r="CU78" s="102">
        <f t="array" ref="CU78">IF($BT78=0, INDEX(LS_current!$D$4:$BW$137, MATCH('Staging Table'!$A78, LS_current!$B$4:$B$137, 0), MATCH(CU$4&amp;CU$5, LS_current!$D$2:$BW$2&amp;LS_current!$D$3:$BW$3, 0)),SUM(VLOOKUP($A78, LS_current!$B$4:$BW$137, LS_current!Z$147, FALSE), VLOOKUP($A78, LS_current!$B$4:$BW$137,LS_current!BV$147, FALSE))/2)</f>
        <v>532.39417518100527</v>
      </c>
      <c r="CV78" s="102">
        <f t="array" ref="CV78">IF($BT78=0, INDEX(LS_current!$D$4:$BW$137, MATCH('Staging Table'!$A78, LS_current!$B$4:$B$137, 0), MATCH(CV$4&amp;CV$5, LS_current!$D$2:$BW$2&amp;LS_current!$D$3:$BW$3, 0)),SUM(VLOOKUP($A78, LS_current!$B$4:$BW$137, LS_current!AA$147, FALSE), VLOOKUP($A78, LS_current!$B$4:$BW$137,LS_current!BW$147, FALSE))/2)</f>
        <v>294.19093073311979</v>
      </c>
      <c r="CW78" s="103">
        <f t="array" ref="CW78">INDEX(Demand_current!$D$4:$BW$137, MATCH($A78, Demand_current!$B$4:$B$137, 0), MATCH(CW$4&amp;CW$5,Demand_current!$D$2:$BW$2&amp;Demand_current!$D$3:$BW$3, 0))/1000</f>
        <v>2.250062499999995</v>
      </c>
      <c r="CX78" s="103">
        <f t="array" ref="CX78">INDEX(Demand_current!$D$4:$BW$137, MATCH($A78, Demand_current!$B$4:$B$137, 0), MATCH(CX$4&amp;CX$5,Demand_current!$D$2:$BW$2&amp;Demand_current!$D$3:$BW$3, 0))/1000</f>
        <v>1.6268750000000001</v>
      </c>
      <c r="CY78" s="103">
        <f t="array" ref="CY78">INDEX(Demand_current!$D$4:$BW$137, MATCH($A78, Demand_current!$B$4:$B$137, 0), MATCH(CY$4&amp;CY$5,Demand_current!$D$2:$BW$2&amp;Demand_current!$D$3:$BW$3, 0))/1000</f>
        <v>7.1441490384615438</v>
      </c>
      <c r="CZ78" s="103">
        <f t="array" ref="CZ78">INDEX(Demand_current!$D$4:$BW$137, MATCH($A78, Demand_current!$B$4:$B$137, 0), MATCH(CZ$4&amp;CZ$5,Demand_current!$D$2:$BW$2&amp;Demand_current!$D$3:$BW$3, 0))/1000</f>
        <v>6.297771634615386</v>
      </c>
      <c r="DA78" s="103">
        <f t="array" ref="DA78">INDEX(Demand_current!$D$4:$BW$137, MATCH($A78, Demand_current!$B$4:$B$137, 0), MATCH(DA$4&amp;DA$5,Demand_current!$D$2:$BW$2&amp;Demand_current!$D$3:$BW$3, 0))/1000</f>
        <v>3.7315130208333347</v>
      </c>
      <c r="DB78" s="103">
        <f t="array" ref="DB78">INDEX(Demand_current!$D$4:$BW$137, MATCH($A78, Demand_current!$B$4:$B$137, 0), MATCH(DB$4&amp;DB$5,Demand_current!$D$2:$BW$2&amp;Demand_current!$D$3:$BW$3, 0))/1000</f>
        <v>4.1553605769230826</v>
      </c>
      <c r="DC78" s="103">
        <f t="array" ref="DC78">INDEX(Demand_current!$D$4:$BW$137, MATCH($A78, Demand_current!$B$4:$B$137, 0), MATCH(DC$4&amp;DC$5,Demand_current!$D$2:$BW$2&amp;Demand_current!$D$3:$BW$3, 0))/1000</f>
        <v>5.9606250000000029</v>
      </c>
      <c r="DD78" s="103">
        <f t="array" ref="DD78">INDEX(Demand_current!$D$4:$BW$137, MATCH($A78, Demand_current!$B$4:$B$137, 0), MATCH(DD$4&amp;DD$5,Demand_current!$D$2:$BW$2&amp;Demand_current!$D$3:$BW$3, 0))/1000</f>
        <v>3.1419199999999963</v>
      </c>
      <c r="DE78" s="103">
        <f t="array" ref="DE78">INDEX(Demand_current!$D$4:$BW$137, MATCH($A78, Demand_current!$B$4:$B$137, 0), MATCH(DE$4&amp;DE$5,Demand_current!$D$2:$BW$2&amp;Demand_current!$D$3:$BW$3, 0))/1000</f>
        <v>4.2521730769230741</v>
      </c>
      <c r="DF78" s="103">
        <f t="array" ref="DF78">INDEX(Demand_current!$D$4:$BW$137, MATCH($A78, Demand_current!$B$4:$B$137, 0), MATCH(DF$4&amp;DF$5,Demand_current!$D$2:$BW$2&amp;Demand_current!$D$3:$BW$3, 0))/1000</f>
        <v>3.6850192307692291</v>
      </c>
      <c r="DG78" s="103">
        <f t="array" ref="DG78">INDEX(Demand_current!$D$4:$BW$137, MATCH($A78, Demand_current!$B$4:$B$137, 0), MATCH(DG$4&amp;DG$5,Demand_current!$D$2:$BW$2&amp;Demand_current!$D$3:$BW$3, 0))/1000</f>
        <v>4.3798125000000034</v>
      </c>
      <c r="DH78" s="103">
        <f t="array" ref="DH78">INDEX(Demand_current!$D$4:$BW$137, MATCH($A78, Demand_current!$B$4:$B$137, 0), MATCH(DH$4&amp;DH$5,Demand_current!$D$2:$BW$2&amp;Demand_current!$D$3:$BW$3, 0))/1000</f>
        <v>4.139230000000004</v>
      </c>
      <c r="DI78" s="102">
        <f>$BS78*(VLOOKUP(DI$4, Rates_current!$H$6:$R$41, 10, FALSE)+VLOOKUP(DI$4, Rates_current!$H$6:$R$41, 11, FALSE))</f>
        <v>17800.583553617398</v>
      </c>
      <c r="DJ78" s="102">
        <f>$BS78*(VLOOKUP(DJ$4, Rates_current!$H$6:$R$41, 10, FALSE)+VLOOKUP(DJ$4, Rates_current!$H$6:$R$41, 11, FALSE))</f>
        <v>22757.460219069995</v>
      </c>
      <c r="DK78" s="102">
        <f>$BS78*(VLOOKUP(DK$4, Rates_current!$H$6:$R$41, 10, FALSE)+VLOOKUP(DK$4, Rates_current!$H$6:$R$41, 11, FALSE))</f>
        <v>25873.328904440783</v>
      </c>
      <c r="DL78" s="102">
        <f>$BS78*(VLOOKUP(DL$4, Rates_current!$H$6:$R$41, 10, FALSE)+VLOOKUP(DL$4, Rates_current!$H$6:$R$41, 11, FALSE))</f>
        <v>27298.381637399209</v>
      </c>
      <c r="DM78" s="102">
        <f>$BS78*(VLOOKUP(DM$4, Rates_current!$H$6:$R$41, 10, FALSE)+VLOOKUP(DM$4, Rates_current!$H$6:$R$41, 11, FALSE))</f>
        <v>21754.346391891839</v>
      </c>
      <c r="DN78" s="102">
        <f>$BS78*(VLOOKUP(DN$4, Rates_current!$H$6:$R$41, 10, FALSE)+VLOOKUP(DN$4, Rates_current!$H$6:$R$41, 11, FALSE))</f>
        <v>23781.967986389696</v>
      </c>
      <c r="DO78" s="102">
        <f>$BS78*(VLOOKUP(DO$4, Rates_current!$H$6:$R$41, 10, FALSE)+VLOOKUP(DO$4, Rates_current!$H$6:$R$41, 11, FALSE))</f>
        <v>18431.264413981338</v>
      </c>
      <c r="DP78" s="102">
        <f>$BS78*(VLOOKUP(DP$4, Rates_current!$H$6:$R$41, 10, FALSE)+VLOOKUP(DP$4, Rates_current!$H$6:$R$41, 11, FALSE))</f>
        <v>23853.090902685715</v>
      </c>
      <c r="DQ78" s="102">
        <f>$BS78*(VLOOKUP(DQ$4, Rates_current!$H$6:$R$41, 10, FALSE)+VLOOKUP(DQ$4, Rates_current!$H$6:$R$41, 11, FALSE))</f>
        <v>24362.423829787003</v>
      </c>
      <c r="DR78" s="102">
        <f>$BS78*(VLOOKUP(DR$4, Rates_current!$H$6:$R$41, 10, FALSE)+VLOOKUP(DR$4, Rates_current!$H$6:$R$41, 11, FALSE))</f>
        <v>21684.664186217931</v>
      </c>
      <c r="DS78" s="102">
        <f>$BS78*(VLOOKUP(DS$4, Rates_current!$H$6:$R$41, 10, FALSE)+VLOOKUP(DS$4, Rates_current!$H$6:$R$41, 11, FALSE))</f>
        <v>22244.488617826617</v>
      </c>
      <c r="DT78" s="102">
        <f>$BS78*(VLOOKUP(DT$4, Rates_current!$H$6:$R$41, 10, FALSE)+VLOOKUP(DT$4, Rates_current!$H$6:$R$41, 11, FALSE))</f>
        <v>17275.511894085877</v>
      </c>
      <c r="DU78" s="261">
        <f>IF(D78=0,IF(C78=0,MAX(0,DW78 - (VLOOKUP($A78,TOCA_current!$A$2:$AV$136,MATCH("RHWM "&amp;Init!$D$1,TOCA_current!$A$2:$AV$2,0),FALSE)*$BS$2)), 0),0)</f>
        <v>0</v>
      </c>
      <c r="DV78" s="262">
        <f>MIN(VLOOKUP($A78,TOCA_current!$A$2:$AV$136,MATCH("TRL - NLSL - Existing Resource "&amp;$BS$1,TOCA_current!$A$2:$AV$2,0),FALSE)*$BS$2, VLOOKUP($A78,TOCA_current!$A$2:$AV$136,MATCH("RHWM "&amp;Init!$D$1,TOCA_current!$A$2:$AV$2,0),FALSE)*$BS$2)</f>
        <v>267118.68</v>
      </c>
      <c r="DW78" s="262">
        <f>SUM(BY78:CV78)+(BS78*RT1SC!$C$4*$BS$2)</f>
        <v>267122.30676788668</v>
      </c>
      <c r="DX78" s="262">
        <f>VLOOKUP($A78,TOCA_current!$A$2:$AV$136,MATCH("Above RHWM Not Served with LS "&amp;$BS$1,TOCA_current!$A$2:$AV$2,0),FALSE)*$BS$2</f>
        <v>0</v>
      </c>
      <c r="DY78" s="262">
        <f t="shared" si="43"/>
        <v>3.6267678866861388</v>
      </c>
      <c r="DZ78" s="262">
        <f>(VLOOKUP($A78,TOCA_current!$A$2:$AV$136,MATCH("RHWM "&amp;Init!$D$1,TOCA_current!$A$2:$AV$2,0),FALSE)*$BS$2) - $DV78</f>
        <v>24624.360000000044</v>
      </c>
      <c r="EA78" s="262">
        <f t="shared" si="44"/>
        <v>-3.6267678866861388</v>
      </c>
      <c r="EB78" s="262">
        <f t="shared" si="45"/>
        <v>0</v>
      </c>
      <c r="EC78" s="262">
        <f t="shared" si="46"/>
        <v>0</v>
      </c>
      <c r="ED78" s="262">
        <f t="shared" si="47"/>
        <v>-3.6267678866861388</v>
      </c>
    </row>
    <row r="79" spans="1:134">
      <c r="A79" s="2">
        <v>10236</v>
      </c>
      <c r="B79" s="3" t="s">
        <v>81</v>
      </c>
      <c r="C79">
        <f>VLOOKUP(A79, TOCA_current!$A$3:$D$136, 4, FALSE)</f>
        <v>1</v>
      </c>
      <c r="D79">
        <v>0</v>
      </c>
      <c r="E79" s="84">
        <f>VLOOKUP($A79,TOCA_previous!$A$2:$AJ$136,MATCH(E$4,TOCA_previous!$A$2:$AJ$2,0),FALSE)</f>
        <v>4.0641000000000002E-3</v>
      </c>
      <c r="F79" s="85">
        <f>VLOOKUP($A79,TOCA_previous!$A$2:$AJ$136,MATCH(F$4,TOCA_previous!$A$2:$AJ$2,0),FALSE)</f>
        <v>4.0641000000000002E-3</v>
      </c>
      <c r="G79" s="85">
        <f t="shared" si="33"/>
        <v>0</v>
      </c>
      <c r="H79" s="85">
        <f>VLOOKUP($A79,TOCA_previous!$A$2:$AJ$136,MATCH(H$4,TOCA_previous!$A$2:$AJ$2,0),FALSE)</f>
        <v>6.5000000000000002E-2</v>
      </c>
      <c r="I79" s="85">
        <f t="shared" si="34"/>
        <v>6.5000000000000002E-2</v>
      </c>
      <c r="J79" s="85">
        <f t="shared" si="35"/>
        <v>4.0641000000000002E-3</v>
      </c>
      <c r="K79" s="101">
        <f>VLOOKUP(A79, IRD!$A$5:$C$138, 3, FALSE)</f>
        <v>0</v>
      </c>
      <c r="L79" s="102">
        <f t="array" ref="L79">IF($G79=0, INDEX(LS_previous!$D$4:$AY$137, MATCH('Staging Table'!$A79, LS_previous!$B$4:$B$137, 0), MATCH(L$4&amp;L$5, LS_previous!$D$2:$AY$2&amp;LS_previous!$D$3:$AY$3, 0)),SUM(VLOOKUP($A79, LS_previous!$B$4:$AY$137, LS_previous!D$148, FALSE), VLOOKUP('Staging Table'!$A79, LS_previous!$B$4:$AY$137,LS_previous!AB$148, FALSE))/2)</f>
        <v>0</v>
      </c>
      <c r="M79" s="102">
        <f t="array" ref="M79">IF($G79=0, INDEX(LS_previous!$D$4:$AY$137, MATCH('Staging Table'!$A79, LS_previous!$B$4:$B$137, 0), MATCH(M$4&amp;M$5, LS_previous!$D$2:$AY$2&amp;LS_previous!$D$3:$AY$3, 0)),SUM(VLOOKUP($A79, LS_previous!$B$4:$AY$137, LS_previous!E$148, FALSE), VLOOKUP('Staging Table'!$A79, LS_previous!$B$4:$AY$137,LS_previous!AC$148, FALSE))/2)</f>
        <v>0</v>
      </c>
      <c r="N79" s="102">
        <f t="array" ref="N79">IF($G79=0, INDEX(LS_previous!$D$4:$AY$137, MATCH('Staging Table'!$A79, LS_previous!$B$4:$B$137, 0), MATCH(N$4&amp;N$5, LS_previous!$D$2:$AY$2&amp;LS_previous!$D$3:$AY$3, 0)),SUM(VLOOKUP($A79, LS_previous!$B$4:$AY$137, LS_previous!F$148, FALSE), VLOOKUP('Staging Table'!$A79, LS_previous!$B$4:$AY$137,LS_previous!AD$148, FALSE))/2)</f>
        <v>0</v>
      </c>
      <c r="O79" s="102">
        <f t="array" ref="O79">IF($G79=0, INDEX(LS_previous!$D$4:$AY$137, MATCH('Staging Table'!$A79, LS_previous!$B$4:$B$137, 0), MATCH(O$4&amp;O$5, LS_previous!$D$2:$AY$2&amp;LS_previous!$D$3:$AY$3, 0)),SUM(VLOOKUP($A79, LS_previous!$B$4:$AY$137, LS_previous!G$148, FALSE), VLOOKUP('Staging Table'!$A79, LS_previous!$B$4:$AY$137,LS_previous!AE$148, FALSE))/2)</f>
        <v>0</v>
      </c>
      <c r="P79" s="102">
        <f t="array" ref="P79">IF($G79=0, INDEX(LS_previous!$D$4:$AY$137, MATCH('Staging Table'!$A79, LS_previous!$B$4:$B$137, 0), MATCH(P$4&amp;P$5, LS_previous!$D$2:$AY$2&amp;LS_previous!$D$3:$AY$3, 0)),SUM(VLOOKUP($A79, LS_previous!$B$4:$AY$137, LS_previous!H$148, FALSE), VLOOKUP('Staging Table'!$A79, LS_previous!$B$4:$AY$137,LS_previous!AF$148, FALSE))/2)</f>
        <v>0</v>
      </c>
      <c r="Q79" s="102">
        <f t="array" ref="Q79">IF($G79=0, INDEX(LS_previous!$D$4:$AY$137, MATCH('Staging Table'!$A79, LS_previous!$B$4:$B$137, 0), MATCH(Q$4&amp;Q$5, LS_previous!$D$2:$AY$2&amp;LS_previous!$D$3:$AY$3, 0)),SUM(VLOOKUP($A79, LS_previous!$B$4:$AY$137, LS_previous!I$148, FALSE), VLOOKUP('Staging Table'!$A79, LS_previous!$B$4:$AY$137,LS_previous!AG$148, FALSE))/2)</f>
        <v>0</v>
      </c>
      <c r="R79" s="102">
        <f t="array" ref="R79">IF($G79=0, INDEX(LS_previous!$D$4:$AY$137, MATCH('Staging Table'!$A79, LS_previous!$B$4:$B$137, 0), MATCH(R$4&amp;R$5, LS_previous!$D$2:$AY$2&amp;LS_previous!$D$3:$AY$3, 0)),SUM(VLOOKUP($A79, LS_previous!$B$4:$AY$137, LS_previous!J$148, FALSE), VLOOKUP('Staging Table'!$A79, LS_previous!$B$4:$AY$137,LS_previous!AH$148, FALSE))/2)</f>
        <v>0</v>
      </c>
      <c r="S79" s="102">
        <f t="array" ref="S79">IF($G79=0, INDEX(LS_previous!$D$4:$AY$137, MATCH('Staging Table'!$A79, LS_previous!$B$4:$B$137, 0), MATCH(S$4&amp;S$5, LS_previous!$D$2:$AY$2&amp;LS_previous!$D$3:$AY$3, 0)),SUM(VLOOKUP($A79, LS_previous!$B$4:$AY$137, LS_previous!K$148, FALSE), VLOOKUP('Staging Table'!$A79, LS_previous!$B$4:$AY$137,LS_previous!AI$148, FALSE))/2)</f>
        <v>0</v>
      </c>
      <c r="T79" s="102">
        <f t="array" ref="T79">IF($G79=0, INDEX(LS_previous!$D$4:$AY$137, MATCH('Staging Table'!$A79, LS_previous!$B$4:$B$137, 0), MATCH(T$4&amp;T$5, LS_previous!$D$2:$AY$2&amp;LS_previous!$D$3:$AY$3, 0)),SUM(VLOOKUP($A79, LS_previous!$B$4:$AY$137, LS_previous!L$148, FALSE), VLOOKUP('Staging Table'!$A79, LS_previous!$B$4:$AY$137,LS_previous!AJ$148, FALSE))/2)</f>
        <v>0</v>
      </c>
      <c r="U79" s="102">
        <f t="array" ref="U79">IF($G79=0, INDEX(LS_previous!$D$4:$AY$137, MATCH('Staging Table'!$A79, LS_previous!$B$4:$B$137, 0), MATCH(U$4&amp;U$5, LS_previous!$D$2:$AY$2&amp;LS_previous!$D$3:$AY$3, 0)),SUM(VLOOKUP($A79, LS_previous!$B$4:$AY$137, LS_previous!M$148, FALSE), VLOOKUP('Staging Table'!$A79, LS_previous!$B$4:$AY$137,LS_previous!AK$148, FALSE))/2)</f>
        <v>0</v>
      </c>
      <c r="V79" s="102">
        <f t="array" ref="V79">IF($G79=0, INDEX(LS_previous!$D$4:$AY$137, MATCH('Staging Table'!$A79, LS_previous!$B$4:$B$137, 0), MATCH(V$4&amp;V$5, LS_previous!$D$2:$AY$2&amp;LS_previous!$D$3:$AY$3, 0)),SUM(VLOOKUP($A79, LS_previous!$B$4:$AY$137, LS_previous!N$148, FALSE), VLOOKUP('Staging Table'!$A79, LS_previous!$B$4:$AY$137,LS_previous!AL$148, FALSE))/2)</f>
        <v>0</v>
      </c>
      <c r="W79" s="102">
        <f t="array" ref="W79">IF($G79=0, INDEX(LS_previous!$D$4:$AY$137, MATCH('Staging Table'!$A79, LS_previous!$B$4:$B$137, 0), MATCH(W$4&amp;W$5, LS_previous!$D$2:$AY$2&amp;LS_previous!$D$3:$AY$3, 0)),SUM(VLOOKUP($A79, LS_previous!$B$4:$AY$137, LS_previous!O$148, FALSE), VLOOKUP('Staging Table'!$A79, LS_previous!$B$4:$AY$137,LS_previous!AM$148, FALSE))/2)</f>
        <v>0</v>
      </c>
      <c r="X79" s="102">
        <f t="array" ref="X79">IF($G79=0, INDEX(LS_previous!$D$4:$AY$137, MATCH('Staging Table'!$A79, LS_previous!$B$4:$B$137, 0), MATCH(X$4&amp;X$5, LS_previous!$D$2:$AY$2&amp;LS_previous!$D$3:$AY$3, 0)),SUM(VLOOKUP($A79, LS_previous!$B$4:$AY$137, LS_previous!P$148, FALSE), VLOOKUP('Staging Table'!$A79, LS_previous!$B$4:$AY$137,LS_previous!AN$148, FALSE))/2)</f>
        <v>0</v>
      </c>
      <c r="Y79" s="102">
        <f t="array" ref="Y79">IF($G79=0, INDEX(LS_previous!$D$4:$AY$137, MATCH('Staging Table'!$A79, LS_previous!$B$4:$B$137, 0), MATCH(Y$4&amp;Y$5, LS_previous!$D$2:$AY$2&amp;LS_previous!$D$3:$AY$3, 0)),SUM(VLOOKUP($A79, LS_previous!$B$4:$AY$137, LS_previous!Q$148, FALSE), VLOOKUP('Staging Table'!$A79, LS_previous!$B$4:$AY$137,LS_previous!AO$148, FALSE))/2)</f>
        <v>0</v>
      </c>
      <c r="Z79" s="102">
        <f t="array" ref="Z79">IF($G79=0, INDEX(LS_previous!$D$4:$AY$137, MATCH('Staging Table'!$A79, LS_previous!$B$4:$B$137, 0), MATCH(Z$4&amp;Z$5, LS_previous!$D$2:$AY$2&amp;LS_previous!$D$3:$AY$3, 0)),SUM(VLOOKUP($A79, LS_previous!$B$4:$AY$137, LS_previous!R$148, FALSE), VLOOKUP('Staging Table'!$A79, LS_previous!$B$4:$AY$137,LS_previous!AP$148, FALSE))/2)</f>
        <v>0</v>
      </c>
      <c r="AA79" s="102">
        <f t="array" ref="AA79">IF($G79=0, INDEX(LS_previous!$D$4:$AY$137, MATCH('Staging Table'!$A79, LS_previous!$B$4:$B$137, 0), MATCH(AA$4&amp;AA$5, LS_previous!$D$2:$AY$2&amp;LS_previous!$D$3:$AY$3, 0)),SUM(VLOOKUP($A79, LS_previous!$B$4:$AY$137, LS_previous!S$148, FALSE), VLOOKUP('Staging Table'!$A79, LS_previous!$B$4:$AY$137,LS_previous!AQ$148, FALSE))/2)</f>
        <v>0</v>
      </c>
      <c r="AB79" s="102">
        <f t="array" ref="AB79">IF($G79=0, INDEX(LS_previous!$D$4:$AY$137, MATCH('Staging Table'!$A79, LS_previous!$B$4:$B$137, 0), MATCH(AB$4&amp;AB$5, LS_previous!$D$2:$AY$2&amp;LS_previous!$D$3:$AY$3, 0)),SUM(VLOOKUP($A79, LS_previous!$B$4:$AY$137, LS_previous!T$148, FALSE), VLOOKUP('Staging Table'!$A79, LS_previous!$B$4:$AY$137,LS_previous!AR$148, FALSE))/2)</f>
        <v>0</v>
      </c>
      <c r="AC79" s="102">
        <f t="array" ref="AC79">IF($G79=0, INDEX(LS_previous!$D$4:$AY$137, MATCH('Staging Table'!$A79, LS_previous!$B$4:$B$137, 0), MATCH(AC$4&amp;AC$5, LS_previous!$D$2:$AY$2&amp;LS_previous!$D$3:$AY$3, 0)),SUM(VLOOKUP($A79, LS_previous!$B$4:$AY$137, LS_previous!U$148, FALSE), VLOOKUP('Staging Table'!$A79, LS_previous!$B$4:$AY$137,LS_previous!AS$148, FALSE))/2)</f>
        <v>0</v>
      </c>
      <c r="AD79" s="102">
        <f t="array" ref="AD79">IF($G79=0, INDEX(LS_previous!$D$4:$AY$137, MATCH('Staging Table'!$A79, LS_previous!$B$4:$B$137, 0), MATCH(AD$4&amp;AD$5, LS_previous!$D$2:$AY$2&amp;LS_previous!$D$3:$AY$3, 0)),SUM(VLOOKUP($A79, LS_previous!$B$4:$AY$137, LS_previous!V$148, FALSE), VLOOKUP('Staging Table'!$A79, LS_previous!$B$4:$AY$137,LS_previous!AT$148, FALSE))/2)</f>
        <v>0</v>
      </c>
      <c r="AE79" s="102">
        <f t="array" ref="AE79">IF($G79=0, INDEX(LS_previous!$D$4:$AY$137, MATCH('Staging Table'!$A79, LS_previous!$B$4:$B$137, 0), MATCH(AE$4&amp;AE$5, LS_previous!$D$2:$AY$2&amp;LS_previous!$D$3:$AY$3, 0)),SUM(VLOOKUP($A79, LS_previous!$B$4:$AY$137, LS_previous!W$148, FALSE), VLOOKUP('Staging Table'!$A79, LS_previous!$B$4:$AY$137,LS_previous!AU$148, FALSE))/2)</f>
        <v>0</v>
      </c>
      <c r="AF79" s="102">
        <f t="array" ref="AF79">IF($G79=0, INDEX(LS_previous!$D$4:$AY$137, MATCH('Staging Table'!$A79, LS_previous!$B$4:$B$137, 0), MATCH(AF$4&amp;AF$5, LS_previous!$D$2:$AY$2&amp;LS_previous!$D$3:$AY$3, 0)),SUM(VLOOKUP($A79, LS_previous!$B$4:$AY$137, LS_previous!X$148, FALSE), VLOOKUP('Staging Table'!$A79, LS_previous!$B$4:$AY$137,LS_previous!AV$148, FALSE))/2)</f>
        <v>0</v>
      </c>
      <c r="AG79" s="102">
        <f t="array" ref="AG79">IF($G79=0, INDEX(LS_previous!$D$4:$AY$137, MATCH('Staging Table'!$A79, LS_previous!$B$4:$B$137, 0), MATCH(AG$4&amp;AG$5, LS_previous!$D$2:$AY$2&amp;LS_previous!$D$3:$AY$3, 0)),SUM(VLOOKUP($A79, LS_previous!$B$4:$AY$137, LS_previous!Y$148, FALSE), VLOOKUP('Staging Table'!$A79, LS_previous!$B$4:$AY$137,LS_previous!AW$148, FALSE))/2)</f>
        <v>0</v>
      </c>
      <c r="AH79" s="102">
        <f t="array" ref="AH79">IF($G79=0, INDEX(LS_previous!$D$4:$AY$137, MATCH('Staging Table'!$A79, LS_previous!$B$4:$B$137, 0), MATCH(AH$4&amp;AH$5, LS_previous!$D$2:$AY$2&amp;LS_previous!$D$3:$AY$3, 0)),SUM(VLOOKUP($A79, LS_previous!$B$4:$AY$137, LS_previous!Z$148, FALSE), VLOOKUP('Staging Table'!$A79, LS_previous!$B$4:$AY$137,LS_previous!AX$148, FALSE))/2)</f>
        <v>0</v>
      </c>
      <c r="AI79" s="102">
        <f t="array" ref="AI79">IF($G79=0, INDEX(LS_previous!$D$4:$AY$137, MATCH('Staging Table'!$A79, LS_previous!$B$4:$B$137, 0), MATCH(AI$4&amp;AI$5, LS_previous!$D$2:$AY$2&amp;LS_previous!$D$3:$AY$3, 0)),SUM(VLOOKUP($A79, LS_previous!$B$4:$AY$137, LS_previous!AA$148, FALSE), VLOOKUP('Staging Table'!$A79, LS_previous!$B$4:$AY$137,LS_previous!AY$148, FALSE))/2)</f>
        <v>0</v>
      </c>
      <c r="AJ79" s="103">
        <f t="array" ref="AJ79">INDEX(Demand_previous!$D$4:$AY$137, MATCH('Staging Table'!$A79, Demand_previous!$B$4:$B$137, 0), MATCH(AJ$4&amp;AJ$5,Demand_previous!$D$2:$AY$2&amp;Demand_previous!$D$3:$AY$3, 0))/1000</f>
        <v>0</v>
      </c>
      <c r="AK79" s="103">
        <f t="array" ref="AK79">INDEX(Demand_previous!$D$4:$AY$137, MATCH('Staging Table'!$A79, Demand_previous!$B$4:$B$137, 0), MATCH(AK$4&amp;AK$5,Demand_previous!$D$2:$AY$2&amp;Demand_previous!$D$3:$AY$3, 0))/1000</f>
        <v>0</v>
      </c>
      <c r="AL79" s="103">
        <f t="array" ref="AL79">INDEX(Demand_previous!$D$4:$AY$137, MATCH('Staging Table'!$A79, Demand_previous!$B$4:$B$137, 0), MATCH(AL$4&amp;AL$5,Demand_previous!$D$2:$AY$2&amp;Demand_previous!$D$3:$AY$3, 0))/1000</f>
        <v>0</v>
      </c>
      <c r="AM79" s="103">
        <f t="array" ref="AM79">INDEX(Demand_previous!$D$4:$AY$137, MATCH('Staging Table'!$A79, Demand_previous!$B$4:$B$137, 0), MATCH(AM$4&amp;AM$5,Demand_previous!$D$2:$AY$2&amp;Demand_previous!$D$3:$AY$3, 0))/1000</f>
        <v>0</v>
      </c>
      <c r="AN79" s="103">
        <f t="array" ref="AN79">INDEX(Demand_previous!$D$4:$AY$137, MATCH('Staging Table'!$A79, Demand_previous!$B$4:$B$137, 0), MATCH(AN$4&amp;AN$5,Demand_previous!$D$2:$AY$2&amp;Demand_previous!$D$3:$AY$3, 0))/1000</f>
        <v>0</v>
      </c>
      <c r="AO79" s="103">
        <f t="array" ref="AO79">INDEX(Demand_previous!$D$4:$AY$137, MATCH('Staging Table'!$A79, Demand_previous!$B$4:$B$137, 0), MATCH(AO$4&amp;AO$5,Demand_previous!$D$2:$AY$2&amp;Demand_previous!$D$3:$AY$3, 0))/1000</f>
        <v>0</v>
      </c>
      <c r="AP79" s="103">
        <f t="array" ref="AP79">INDEX(Demand_previous!$D$4:$AY$137, MATCH('Staging Table'!$A79, Demand_previous!$B$4:$B$137, 0), MATCH(AP$4&amp;AP$5,Demand_previous!$D$2:$AY$2&amp;Demand_previous!$D$3:$AY$3, 0))/1000</f>
        <v>0</v>
      </c>
      <c r="AQ79" s="103">
        <f t="array" ref="AQ79">INDEX(Demand_previous!$D$4:$AY$137, MATCH('Staging Table'!$A79, Demand_previous!$B$4:$B$137, 0), MATCH(AQ$4&amp;AQ$5,Demand_previous!$D$2:$AY$2&amp;Demand_previous!$D$3:$AY$3, 0))/1000</f>
        <v>0</v>
      </c>
      <c r="AR79" s="103">
        <f t="array" ref="AR79">INDEX(Demand_previous!$D$4:$AY$137, MATCH('Staging Table'!$A79, Demand_previous!$B$4:$B$137, 0), MATCH(AR$4&amp;AR$5,Demand_previous!$D$2:$AY$2&amp;Demand_previous!$D$3:$AY$3, 0))/1000</f>
        <v>0</v>
      </c>
      <c r="AS79" s="103">
        <f t="array" ref="AS79">INDEX(Demand_previous!$D$4:$AY$137, MATCH('Staging Table'!$A79, Demand_previous!$B$4:$B$137, 0), MATCH(AS$4&amp;AS$5,Demand_previous!$D$2:$AY$2&amp;Demand_previous!$D$3:$AY$3, 0))/1000</f>
        <v>0</v>
      </c>
      <c r="AT79" s="103">
        <f t="array" ref="AT79">INDEX(Demand_previous!$D$4:$AY$137, MATCH('Staging Table'!$A79, Demand_previous!$B$4:$B$137, 0), MATCH(AT$4&amp;AT$5,Demand_previous!$D$2:$AY$2&amp;Demand_previous!$D$3:$AY$3, 0))/1000</f>
        <v>0</v>
      </c>
      <c r="AU79" s="103">
        <f t="array" ref="AU79">INDEX(Demand_previous!$D$4:$AY$137, MATCH('Staging Table'!$A79, Demand_previous!$B$4:$B$137, 0), MATCH(AU$4&amp;AU$5,Demand_previous!$D$2:$AY$2&amp;Demand_previous!$D$3:$AY$3, 0))/1000</f>
        <v>0</v>
      </c>
      <c r="AV79" s="102">
        <f>$F79*(VLOOKUP(AV$4, Rates_previous!$G$6:$Q$29, 10, FALSE)+VLOOKUP(AV$4, Rates_previous!$G$6:$Q$29, 11, FALSE))</f>
        <v>17145.640367112152</v>
      </c>
      <c r="AW79" s="102">
        <f>$F79*(VLOOKUP(AW$4, Rates_previous!$G$6:$Q$29, 10, FALSE)+VLOOKUP(AW$4, Rates_previous!$G$6:$Q$29, 11, FALSE))</f>
        <v>21866.345293971903</v>
      </c>
      <c r="AX79" s="102">
        <f>$F79*(VLOOKUP(AX$4, Rates_previous!$G$6:$Q$29, 10, FALSE)+VLOOKUP(AX$4, Rates_previous!$G$6:$Q$29, 11, FALSE))</f>
        <v>23598.113071783504</v>
      </c>
      <c r="AY79" s="102">
        <f>$F79*(VLOOKUP(AY$4, Rates_previous!$G$6:$Q$29, 10, FALSE)+VLOOKUP(AY$4, Rates_previous!$G$6:$Q$29, 11, FALSE))</f>
        <v>24522.0874625904</v>
      </c>
      <c r="AZ79" s="102">
        <f>$F79*(VLOOKUP(AZ$4, Rates_previous!$G$6:$Q$29, 10, FALSE)+VLOOKUP(AZ$4, Rates_previous!$G$6:$Q$29, 11, FALSE))</f>
        <v>21092.263803415801</v>
      </c>
      <c r="BA79" s="102">
        <f>$F79*(VLOOKUP(BA$4, Rates_previous!$G$6:$Q$29, 10, FALSE)+VLOOKUP(BA$4, Rates_previous!$G$6:$Q$29, 11, FALSE))</f>
        <v>23028.5760151131</v>
      </c>
      <c r="BB79" s="102">
        <f>$F79*(VLOOKUP(BB$4, Rates_previous!$G$6:$Q$29, 10, FALSE)+VLOOKUP(BB$4, Rates_previous!$G$6:$Q$29, 11, FALSE))</f>
        <v>18177.179978435925</v>
      </c>
      <c r="BC79" s="102">
        <f>$F79*(VLOOKUP(BC$4, Rates_previous!$G$6:$Q$29, 10, FALSE)+VLOOKUP(BC$4, Rates_previous!$G$6:$Q$29, 11, FALSE))</f>
        <v>22551.227619016652</v>
      </c>
      <c r="BD79" s="102">
        <f>$F79*(VLOOKUP(BD$4, Rates_previous!$G$6:$Q$29, 10, FALSE)+VLOOKUP(BD$4, Rates_previous!$G$6:$Q$29, 11, FALSE))</f>
        <v>23040.532961050048</v>
      </c>
      <c r="BE79" s="102">
        <f>$F79*(VLOOKUP(BE$4, Rates_previous!$G$6:$Q$29, 10, FALSE)+VLOOKUP(BE$4, Rates_previous!$G$6:$Q$29, 11, FALSE))</f>
        <v>20002.502022495151</v>
      </c>
      <c r="BF79" s="102">
        <f>$F79*(VLOOKUP(BF$4, Rates_previous!$G$6:$Q$29, 10, FALSE)+VLOOKUP(BF$4, Rates_previous!$G$6:$Q$29, 11, FALSE))</f>
        <v>19337.102616311538</v>
      </c>
      <c r="BG79" s="102">
        <f>$F79*(VLOOKUP(BG$4, Rates_previous!$G$6:$Q$29, 10, FALSE)+VLOOKUP(BG$4, Rates_previous!$G$6:$Q$29, 11, FALSE))</f>
        <v>17793.879014929804</v>
      </c>
      <c r="BH79" s="103">
        <f>IF($D79=0,IF(C79=0, MAX(BJ79 - (VLOOKUP($A79,TOCA_previous!$A$2:$AJ$136,MATCH("RHWM "&amp;Init!$D$1-2,TOCA_previous!$A$2:$AJ$2,0),FALSE)*$F$2*TOCA_previous!C76),0),0), 0)</f>
        <v>0</v>
      </c>
      <c r="BI79" s="109">
        <f>MIN(VLOOKUP($A79,TOCA_previous!$A$2:$AJ$136,MATCH("TRL - NLSL - Existing Resource "&amp;$F$1,TOCA_previous!$A$2:$AJ$2,0),FALSE)*$F$2,(VLOOKUP($A79,TOCA_previous!$A$2:$AJ$136,MATCH("RHWM "&amp;Init!$D$1-2,TOCA_previous!$A$2:$AJ$2,0),FALSE)*$F$2))</f>
        <v>246593.23199999999</v>
      </c>
      <c r="BJ79" s="261">
        <f>SUM(L79:AI79)+(F79*RT1SC!$C$3*$F$2)</f>
        <v>252155.45138205602</v>
      </c>
      <c r="BK79" s="260">
        <f>VLOOKUP($A79,TOCA_previous!$A$2:$AJ$136,MATCH("Above RHWM Not Served with LS "&amp;$F$1,TOCA_previous!$A$2:$AJ$2,0),FALSE)*$F$2</f>
        <v>0</v>
      </c>
      <c r="BL79" s="261">
        <f t="shared" si="36"/>
        <v>5562.2193820560351</v>
      </c>
      <c r="BM79" s="260">
        <f>(VLOOKUP($A79,TOCA_previous!$A$2:$AJ$136,MATCH("RHWM "&amp;Init!$D$1-2,TOCA_previous!$A$2:$AJ$2,0),FALSE)*$F$2) - $BI79</f>
        <v>9047.5200000000186</v>
      </c>
      <c r="BN79" s="261">
        <f t="shared" si="37"/>
        <v>-5562.2193820560351</v>
      </c>
      <c r="BO79" s="260">
        <f t="shared" si="38"/>
        <v>0</v>
      </c>
      <c r="BP79" s="261">
        <f t="shared" si="39"/>
        <v>0</v>
      </c>
      <c r="BQ79" s="260">
        <f t="shared" si="9"/>
        <v>-5562.2193820560351</v>
      </c>
      <c r="BR79" s="85">
        <f>VLOOKUP($A79,TOCA_current!$A$2:$ZZ$136,MATCH(BR$4,TOCA_current!$A$2:$ZZ$2,0),FALSE)</f>
        <v>4.1171000000000003E-3</v>
      </c>
      <c r="BS79" s="85">
        <f>VLOOKUP($A79,TOCA_current!$A$2:$ZZ$136,MATCH(BS$4,TOCA_current!$A$2:$ZZ$2,0),FALSE)</f>
        <v>4.1171000000000003E-3</v>
      </c>
      <c r="BT79" s="108">
        <f t="shared" si="40"/>
        <v>0</v>
      </c>
      <c r="BU79" s="85">
        <f>VLOOKUP($A79,TOCA_current!A76:BG210,MATCH(BU$4,TOCA_current!$A$2:$BG$2,0),FALSE)</f>
        <v>6.5757234122510333E-2</v>
      </c>
      <c r="BV79" s="85">
        <f t="shared" si="41"/>
        <v>6.5757234122510333E-2</v>
      </c>
      <c r="BW79" s="85">
        <f t="shared" si="42"/>
        <v>4.1171000000000003E-3</v>
      </c>
      <c r="BX79" s="101">
        <f>VLOOKUP($A79,IRD!$A$4:$G$138, 7, FALSE)</f>
        <v>0</v>
      </c>
      <c r="BY79" s="102">
        <f t="array" ref="BY79">IF($BT79=0, INDEX(LS_current!$D$4:$BW$137, MATCH('Staging Table'!$A79, LS_current!$B$4:$B$137, 0), MATCH(BY$4&amp;BY$5, LS_current!$D$2:$BW$2&amp;LS_current!$D$3:$BW$3, 0)),SUM(VLOOKUP($A79, LS_current!$B$4:$BW$137, LS_current!D$147, FALSE), VLOOKUP($A79, LS_current!$B$4:$BW$137,LS_current!AZ$147, FALSE))/2)</f>
        <v>0</v>
      </c>
      <c r="BZ79" s="102">
        <f t="array" ref="BZ79">IF($BT79=0, INDEX(LS_current!$D$4:$BW$137, MATCH('Staging Table'!$A79, LS_current!$B$4:$B$137, 0), MATCH(BZ$4&amp;BZ$5, LS_current!$D$2:$BW$2&amp;LS_current!$D$3:$BW$3, 0)),SUM(VLOOKUP($A79, LS_current!$B$4:$BW$137, LS_current!E$147, FALSE), VLOOKUP($A79, LS_current!$B$4:$BW$137,LS_current!BA$147, FALSE))/2)</f>
        <v>0</v>
      </c>
      <c r="CA79" s="102">
        <f t="array" ref="CA79">IF($BT79=0, INDEX(LS_current!$D$4:$BW$137, MATCH('Staging Table'!$A79, LS_current!$B$4:$B$137, 0), MATCH(CA$4&amp;CA$5, LS_current!$D$2:$BW$2&amp;LS_current!$D$3:$BW$3, 0)),SUM(VLOOKUP($A79, LS_current!$B$4:$BW$137, LS_current!F$147, FALSE), VLOOKUP($A79, LS_current!$B$4:$BW$137,LS_current!BB$147, FALSE))/2)</f>
        <v>0</v>
      </c>
      <c r="CB79" s="102">
        <f t="array" ref="CB79">IF($BT79=0, INDEX(LS_current!$D$4:$BW$137, MATCH('Staging Table'!$A79, LS_current!$B$4:$B$137, 0), MATCH(CB$4&amp;CB$5, LS_current!$D$2:$BW$2&amp;LS_current!$D$3:$BW$3, 0)),SUM(VLOOKUP($A79, LS_current!$B$4:$BW$137, LS_current!G$147, FALSE), VLOOKUP($A79, LS_current!$B$4:$BW$137,LS_current!BC$147, FALSE))/2)</f>
        <v>0</v>
      </c>
      <c r="CC79" s="102">
        <f t="array" ref="CC79">IF($BT79=0, INDEX(LS_current!$D$4:$BW$137, MATCH('Staging Table'!$A79, LS_current!$B$4:$B$137, 0), MATCH(CC$4&amp;CC$5, LS_current!$D$2:$BW$2&amp;LS_current!$D$3:$BW$3, 0)),SUM(VLOOKUP($A79, LS_current!$B$4:$BW$137, LS_current!H$147, FALSE), VLOOKUP($A79, LS_current!$B$4:$BW$137,LS_current!BD$147, FALSE))/2)</f>
        <v>0</v>
      </c>
      <c r="CD79" s="102">
        <f t="array" ref="CD79">IF($BT79=0, INDEX(LS_current!$D$4:$BW$137, MATCH('Staging Table'!$A79, LS_current!$B$4:$B$137, 0), MATCH(CD$4&amp;CD$5, LS_current!$D$2:$BW$2&amp;LS_current!$D$3:$BW$3, 0)),SUM(VLOOKUP($A79, LS_current!$B$4:$BW$137, LS_current!I$147, FALSE), VLOOKUP($A79, LS_current!$B$4:$BW$137,LS_current!BE$147, FALSE))/2)</f>
        <v>0</v>
      </c>
      <c r="CE79" s="102">
        <f t="array" ref="CE79">IF($BT79=0, INDEX(LS_current!$D$4:$BW$137, MATCH('Staging Table'!$A79, LS_current!$B$4:$B$137, 0), MATCH(CE$4&amp;CE$5, LS_current!$D$2:$BW$2&amp;LS_current!$D$3:$BW$3, 0)),SUM(VLOOKUP($A79, LS_current!$B$4:$BW$137, LS_current!J$147, FALSE), VLOOKUP($A79, LS_current!$B$4:$BW$137,LS_current!BF$147, FALSE))/2)</f>
        <v>0</v>
      </c>
      <c r="CF79" s="102">
        <f t="array" ref="CF79">IF($BT79=0, INDEX(LS_current!$D$4:$BW$137, MATCH('Staging Table'!$A79, LS_current!$B$4:$B$137, 0), MATCH(CF$4&amp;CF$5, LS_current!$D$2:$BW$2&amp;LS_current!$D$3:$BW$3, 0)),SUM(VLOOKUP($A79, LS_current!$B$4:$BW$137, LS_current!K$147, FALSE), VLOOKUP($A79, LS_current!$B$4:$BW$137,LS_current!BG$147, FALSE))/2)</f>
        <v>0</v>
      </c>
      <c r="CG79" s="102">
        <f t="array" ref="CG79">IF($BT79=0, INDEX(LS_current!$D$4:$BW$137, MATCH('Staging Table'!$A79, LS_current!$B$4:$B$137, 0), MATCH(CG$4&amp;CG$5, LS_current!$D$2:$BW$2&amp;LS_current!$D$3:$BW$3, 0)),SUM(VLOOKUP($A79, LS_current!$B$4:$BW$137, LS_current!L$147, FALSE), VLOOKUP($A79, LS_current!$B$4:$BW$137,LS_current!BH$147, FALSE))/2)</f>
        <v>0</v>
      </c>
      <c r="CH79" s="102">
        <f t="array" ref="CH79">IF($BT79=0, INDEX(LS_current!$D$4:$BW$137, MATCH('Staging Table'!$A79, LS_current!$B$4:$B$137, 0), MATCH(CH$4&amp;CH$5, LS_current!$D$2:$BW$2&amp;LS_current!$D$3:$BW$3, 0)),SUM(VLOOKUP($A79, LS_current!$B$4:$BW$137, LS_current!M$147, FALSE), VLOOKUP($A79, LS_current!$B$4:$BW$137,LS_current!BI$147, FALSE))/2)</f>
        <v>0</v>
      </c>
      <c r="CI79" s="102">
        <f t="array" ref="CI79">IF($BT79=0, INDEX(LS_current!$D$4:$BW$137, MATCH('Staging Table'!$A79, LS_current!$B$4:$B$137, 0), MATCH(CI$4&amp;CI$5, LS_current!$D$2:$BW$2&amp;LS_current!$D$3:$BW$3, 0)),SUM(VLOOKUP($A79, LS_current!$B$4:$BW$137, LS_current!N$147, FALSE), VLOOKUP($A79, LS_current!$B$4:$BW$137,LS_current!BJ$147, FALSE))/2)</f>
        <v>0</v>
      </c>
      <c r="CJ79" s="102">
        <f t="array" ref="CJ79">IF($BT79=0, INDEX(LS_current!$D$4:$BW$137, MATCH('Staging Table'!$A79, LS_current!$B$4:$B$137, 0), MATCH(CJ$4&amp;CJ$5, LS_current!$D$2:$BW$2&amp;LS_current!$D$3:$BW$3, 0)),SUM(VLOOKUP($A79, LS_current!$B$4:$BW$137, LS_current!O$147, FALSE), VLOOKUP($A79, LS_current!$B$4:$BW$137,LS_current!BK$147, FALSE))/2)</f>
        <v>0</v>
      </c>
      <c r="CK79" s="102">
        <f t="array" ref="CK79">IF($BT79=0, INDEX(LS_current!$D$4:$BW$137, MATCH('Staging Table'!$A79, LS_current!$B$4:$B$137, 0), MATCH(CK$4&amp;CK$5, LS_current!$D$2:$BW$2&amp;LS_current!$D$3:$BW$3, 0)),SUM(VLOOKUP($A79, LS_current!$B$4:$BW$137, LS_current!P$147, FALSE), VLOOKUP($A79, LS_current!$B$4:$BW$137,LS_current!BL$147, FALSE))/2)</f>
        <v>0</v>
      </c>
      <c r="CL79" s="102">
        <f t="array" ref="CL79">IF($BT79=0, INDEX(LS_current!$D$4:$BW$137, MATCH('Staging Table'!$A79, LS_current!$B$4:$B$137, 0), MATCH(CL$4&amp;CL$5, LS_current!$D$2:$BW$2&amp;LS_current!$D$3:$BW$3, 0)),SUM(VLOOKUP($A79, LS_current!$B$4:$BW$137, LS_current!Q$147, FALSE), VLOOKUP($A79, LS_current!$B$4:$BW$137,LS_current!BM$147, FALSE))/2)</f>
        <v>0</v>
      </c>
      <c r="CM79" s="102">
        <f t="array" ref="CM79">IF($BT79=0, INDEX(LS_current!$D$4:$BW$137, MATCH('Staging Table'!$A79, LS_current!$B$4:$B$137, 0), MATCH(CM$4&amp;CM$5, LS_current!$D$2:$BW$2&amp;LS_current!$D$3:$BW$3, 0)),SUM(VLOOKUP($A79, LS_current!$B$4:$BW$137, LS_current!R$147, FALSE), VLOOKUP($A79, LS_current!$B$4:$BW$137,LS_current!BN$147, FALSE))/2)</f>
        <v>0</v>
      </c>
      <c r="CN79" s="102">
        <f t="array" ref="CN79">IF($BT79=0, INDEX(LS_current!$D$4:$BW$137, MATCH('Staging Table'!$A79, LS_current!$B$4:$B$137, 0), MATCH(CN$4&amp;CN$5, LS_current!$D$2:$BW$2&amp;LS_current!$D$3:$BW$3, 0)),SUM(VLOOKUP($A79, LS_current!$B$4:$BW$137, LS_current!S$147, FALSE), VLOOKUP($A79, LS_current!$B$4:$BW$137,LS_current!BO$147, FALSE))/2)</f>
        <v>0</v>
      </c>
      <c r="CO79" s="102">
        <f t="array" ref="CO79">IF($BT79=0, INDEX(LS_current!$D$4:$BW$137, MATCH('Staging Table'!$A79, LS_current!$B$4:$B$137, 0), MATCH(CO$4&amp;CO$5, LS_current!$D$2:$BW$2&amp;LS_current!$D$3:$BW$3, 0)),SUM(VLOOKUP($A79, LS_current!$B$4:$BW$137, LS_current!T$147, FALSE), VLOOKUP($A79, LS_current!$B$4:$BW$137,LS_current!BP$147, FALSE))/2)</f>
        <v>0</v>
      </c>
      <c r="CP79" s="102">
        <f t="array" ref="CP79">IF($BT79=0, INDEX(LS_current!$D$4:$BW$137, MATCH('Staging Table'!$A79, LS_current!$B$4:$B$137, 0), MATCH(CP$4&amp;CP$5, LS_current!$D$2:$BW$2&amp;LS_current!$D$3:$BW$3, 0)),SUM(VLOOKUP($A79, LS_current!$B$4:$BW$137, LS_current!U$147, FALSE), VLOOKUP($A79, LS_current!$B$4:$BW$137,LS_current!BQ$147, FALSE))/2)</f>
        <v>0</v>
      </c>
      <c r="CQ79" s="102">
        <f t="array" ref="CQ79">IF($BT79=0, INDEX(LS_current!$D$4:$BW$137, MATCH('Staging Table'!$A79, LS_current!$B$4:$B$137, 0), MATCH(CQ$4&amp;CQ$5, LS_current!$D$2:$BW$2&amp;LS_current!$D$3:$BW$3, 0)),SUM(VLOOKUP($A79, LS_current!$B$4:$BW$137, LS_current!V$147, FALSE), VLOOKUP($A79, LS_current!$B$4:$BW$137,LS_current!BR$147, FALSE))/2)</f>
        <v>0</v>
      </c>
      <c r="CR79" s="102">
        <f t="array" ref="CR79">IF($BT79=0, INDEX(LS_current!$D$4:$BW$137, MATCH('Staging Table'!$A79, LS_current!$B$4:$B$137, 0), MATCH(CR$4&amp;CR$5, LS_current!$D$2:$BW$2&amp;LS_current!$D$3:$BW$3, 0)),SUM(VLOOKUP($A79, LS_current!$B$4:$BW$137, LS_current!W$147, FALSE), VLOOKUP($A79, LS_current!$B$4:$BW$137,LS_current!BS$147, FALSE))/2)</f>
        <v>0</v>
      </c>
      <c r="CS79" s="102">
        <f t="array" ref="CS79">IF($BT79=0, INDEX(LS_current!$D$4:$BW$137, MATCH('Staging Table'!$A79, LS_current!$B$4:$B$137, 0), MATCH(CS$4&amp;CS$5, LS_current!$D$2:$BW$2&amp;LS_current!$D$3:$BW$3, 0)),SUM(VLOOKUP($A79, LS_current!$B$4:$BW$137, LS_current!X$147, FALSE), VLOOKUP($A79, LS_current!$B$4:$BW$137,LS_current!BT$147, FALSE))/2)</f>
        <v>0</v>
      </c>
      <c r="CT79" s="102">
        <f t="array" ref="CT79">IF($BT79=0, INDEX(LS_current!$D$4:$BW$137, MATCH('Staging Table'!$A79, LS_current!$B$4:$B$137, 0), MATCH(CT$4&amp;CT$5, LS_current!$D$2:$BW$2&amp;LS_current!$D$3:$BW$3, 0)),SUM(VLOOKUP($A79, LS_current!$B$4:$BW$137, LS_current!Y$147, FALSE), VLOOKUP($A79, LS_current!$B$4:$BW$137,LS_current!BU$147, FALSE))/2)</f>
        <v>0</v>
      </c>
      <c r="CU79" s="102">
        <f t="array" ref="CU79">IF($BT79=0, INDEX(LS_current!$D$4:$BW$137, MATCH('Staging Table'!$A79, LS_current!$B$4:$B$137, 0), MATCH(CU$4&amp;CU$5, LS_current!$D$2:$BW$2&amp;LS_current!$D$3:$BW$3, 0)),SUM(VLOOKUP($A79, LS_current!$B$4:$BW$137, LS_current!Z$147, FALSE), VLOOKUP($A79, LS_current!$B$4:$BW$137,LS_current!BV$147, FALSE))/2)</f>
        <v>0</v>
      </c>
      <c r="CV79" s="102">
        <f t="array" ref="CV79">IF($BT79=0, INDEX(LS_current!$D$4:$BW$137, MATCH('Staging Table'!$A79, LS_current!$B$4:$B$137, 0), MATCH(CV$4&amp;CV$5, LS_current!$D$2:$BW$2&amp;LS_current!$D$3:$BW$3, 0)),SUM(VLOOKUP($A79, LS_current!$B$4:$BW$137, LS_current!AA$147, FALSE), VLOOKUP($A79, LS_current!$B$4:$BW$137,LS_current!BW$147, FALSE))/2)</f>
        <v>0</v>
      </c>
      <c r="CW79" s="103">
        <f t="array" ref="CW79">INDEX(Demand_current!$D$4:$BW$137, MATCH($A79, Demand_current!$B$4:$B$137, 0), MATCH(CW$4&amp;CW$5,Demand_current!$D$2:$BW$2&amp;Demand_current!$D$3:$BW$3, 0))/1000</f>
        <v>0</v>
      </c>
      <c r="CX79" s="103">
        <f t="array" ref="CX79">INDEX(Demand_current!$D$4:$BW$137, MATCH($A79, Demand_current!$B$4:$B$137, 0), MATCH(CX$4&amp;CX$5,Demand_current!$D$2:$BW$2&amp;Demand_current!$D$3:$BW$3, 0))/1000</f>
        <v>0</v>
      </c>
      <c r="CY79" s="103">
        <f t="array" ref="CY79">INDEX(Demand_current!$D$4:$BW$137, MATCH($A79, Demand_current!$B$4:$B$137, 0), MATCH(CY$4&amp;CY$5,Demand_current!$D$2:$BW$2&amp;Demand_current!$D$3:$BW$3, 0))/1000</f>
        <v>0</v>
      </c>
      <c r="CZ79" s="103">
        <f t="array" ref="CZ79">INDEX(Demand_current!$D$4:$BW$137, MATCH($A79, Demand_current!$B$4:$B$137, 0), MATCH(CZ$4&amp;CZ$5,Demand_current!$D$2:$BW$2&amp;Demand_current!$D$3:$BW$3, 0))/1000</f>
        <v>0</v>
      </c>
      <c r="DA79" s="103">
        <f t="array" ref="DA79">INDEX(Demand_current!$D$4:$BW$137, MATCH($A79, Demand_current!$B$4:$B$137, 0), MATCH(DA$4&amp;DA$5,Demand_current!$D$2:$BW$2&amp;Demand_current!$D$3:$BW$3, 0))/1000</f>
        <v>0</v>
      </c>
      <c r="DB79" s="103">
        <f t="array" ref="DB79">INDEX(Demand_current!$D$4:$BW$137, MATCH($A79, Demand_current!$B$4:$B$137, 0), MATCH(DB$4&amp;DB$5,Demand_current!$D$2:$BW$2&amp;Demand_current!$D$3:$BW$3, 0))/1000</f>
        <v>0</v>
      </c>
      <c r="DC79" s="103">
        <f t="array" ref="DC79">INDEX(Demand_current!$D$4:$BW$137, MATCH($A79, Demand_current!$B$4:$B$137, 0), MATCH(DC$4&amp;DC$5,Demand_current!$D$2:$BW$2&amp;Demand_current!$D$3:$BW$3, 0))/1000</f>
        <v>0</v>
      </c>
      <c r="DD79" s="103">
        <f t="array" ref="DD79">INDEX(Demand_current!$D$4:$BW$137, MATCH($A79, Demand_current!$B$4:$B$137, 0), MATCH(DD$4&amp;DD$5,Demand_current!$D$2:$BW$2&amp;Demand_current!$D$3:$BW$3, 0))/1000</f>
        <v>0</v>
      </c>
      <c r="DE79" s="103">
        <f t="array" ref="DE79">INDEX(Demand_current!$D$4:$BW$137, MATCH($A79, Demand_current!$B$4:$B$137, 0), MATCH(DE$4&amp;DE$5,Demand_current!$D$2:$BW$2&amp;Demand_current!$D$3:$BW$3, 0))/1000</f>
        <v>0</v>
      </c>
      <c r="DF79" s="103">
        <f t="array" ref="DF79">INDEX(Demand_current!$D$4:$BW$137, MATCH($A79, Demand_current!$B$4:$B$137, 0), MATCH(DF$4&amp;DF$5,Demand_current!$D$2:$BW$2&amp;Demand_current!$D$3:$BW$3, 0))/1000</f>
        <v>0</v>
      </c>
      <c r="DG79" s="103">
        <f t="array" ref="DG79">INDEX(Demand_current!$D$4:$BW$137, MATCH($A79, Demand_current!$B$4:$B$137, 0), MATCH(DG$4&amp;DG$5,Demand_current!$D$2:$BW$2&amp;Demand_current!$D$3:$BW$3, 0))/1000</f>
        <v>0</v>
      </c>
      <c r="DH79" s="103">
        <f t="array" ref="DH79">INDEX(Demand_current!$D$4:$BW$137, MATCH($A79, Demand_current!$B$4:$B$137, 0), MATCH(DH$4&amp;DH$5,Demand_current!$D$2:$BW$2&amp;Demand_current!$D$3:$BW$3, 0))/1000</f>
        <v>0</v>
      </c>
      <c r="DI79" s="102">
        <f>$BS79*(VLOOKUP(DI$4, Rates_current!$H$6:$R$41, 10, FALSE)+VLOOKUP(DI$4, Rates_current!$H$6:$R$41, 11, FALSE))</f>
        <v>17087.149113685751</v>
      </c>
      <c r="DJ79" s="102">
        <f>$BS79*(VLOOKUP(DJ$4, Rates_current!$H$6:$R$41, 10, FALSE)+VLOOKUP(DJ$4, Rates_current!$H$6:$R$41, 11, FALSE))</f>
        <v>21845.357768228743</v>
      </c>
      <c r="DK79" s="102">
        <f>$BS79*(VLOOKUP(DK$4, Rates_current!$H$6:$R$41, 10, FALSE)+VLOOKUP(DK$4, Rates_current!$H$6:$R$41, 11, FALSE))</f>
        <v>24836.344703304534</v>
      </c>
      <c r="DL79" s="102">
        <f>$BS79*(VLOOKUP(DL$4, Rates_current!$H$6:$R$41, 10, FALSE)+VLOOKUP(DL$4, Rates_current!$H$6:$R$41, 11, FALSE))</f>
        <v>26204.282359369616</v>
      </c>
      <c r="DM79" s="102">
        <f>$BS79*(VLOOKUP(DM$4, Rates_current!$H$6:$R$41, 10, FALSE)+VLOOKUP(DM$4, Rates_current!$H$6:$R$41, 11, FALSE))</f>
        <v>20882.448013536461</v>
      </c>
      <c r="DN79" s="102">
        <f>$BS79*(VLOOKUP(DN$4, Rates_current!$H$6:$R$41, 10, FALSE)+VLOOKUP(DN$4, Rates_current!$H$6:$R$41, 11, FALSE))</f>
        <v>22828.804009504551</v>
      </c>
      <c r="DO79" s="102">
        <f>$BS79*(VLOOKUP(DO$4, Rates_current!$H$6:$R$41, 10, FALSE)+VLOOKUP(DO$4, Rates_current!$H$6:$R$41, 11, FALSE))</f>
        <v>17692.55274395024</v>
      </c>
      <c r="DP79" s="102">
        <f>$BS79*(VLOOKUP(DP$4, Rates_current!$H$6:$R$41, 10, FALSE)+VLOOKUP(DP$4, Rates_current!$H$6:$R$41, 11, FALSE))</f>
        <v>22897.076371053245</v>
      </c>
      <c r="DQ79" s="102">
        <f>$BS79*(VLOOKUP(DQ$4, Rates_current!$H$6:$R$41, 10, FALSE)+VLOOKUP(DQ$4, Rates_current!$H$6:$R$41, 11, FALSE))</f>
        <v>23385.995604946624</v>
      </c>
      <c r="DR79" s="102">
        <f>$BS79*(VLOOKUP(DR$4, Rates_current!$H$6:$R$41, 10, FALSE)+VLOOKUP(DR$4, Rates_current!$H$6:$R$41, 11, FALSE))</f>
        <v>20815.558619976182</v>
      </c>
      <c r="DS79" s="102">
        <f>$BS79*(VLOOKUP(DS$4, Rates_current!$H$6:$R$41, 10, FALSE)+VLOOKUP(DS$4, Rates_current!$H$6:$R$41, 11, FALSE))</f>
        <v>21352.945695605962</v>
      </c>
      <c r="DT79" s="102">
        <f>$BS79*(VLOOKUP(DT$4, Rates_current!$H$6:$R$41, 10, FALSE)+VLOOKUP(DT$4, Rates_current!$H$6:$R$41, 11, FALSE))</f>
        <v>16583.121944308921</v>
      </c>
      <c r="DU79" s="261">
        <f>IF(D79=0,IF(C79=0,MAX(0,DW79 - (VLOOKUP($A79,TOCA_current!$A$2:$AV$136,MATCH("RHWM "&amp;Init!$D$1,TOCA_current!$A$2:$AV$2,0),FALSE)*$BS$2)), 0),0)</f>
        <v>0</v>
      </c>
      <c r="DV79" s="262">
        <f>MIN(VLOOKUP($A79,TOCA_current!$A$2:$AV$136,MATCH("TRL - NLSL - Existing Resource "&amp;$BS$1,TOCA_current!$A$2:$AV$2,0),FALSE)*$BS$2, VLOOKUP($A79,TOCA_current!$A$2:$AV$136,MATCH("RHWM "&amp;Init!$D$1,TOCA_current!$A$2:$AV$2,0),FALSE)*$BS$2)</f>
        <v>256413.96000000002</v>
      </c>
      <c r="DW79" s="262">
        <f>SUM(BY79:CV79)+(BS79*RT1SC!$C$4*$BS$2)</f>
        <v>256411.65208339205</v>
      </c>
      <c r="DX79" s="262">
        <f>VLOOKUP($A79,TOCA_current!$A$2:$AV$136,MATCH("Above RHWM Not Served with LS "&amp;$BS$1,TOCA_current!$A$2:$AV$2,0),FALSE)*$BS$2</f>
        <v>2987.1600000000003</v>
      </c>
      <c r="DY79" s="262">
        <f t="shared" si="43"/>
        <v>-2.3079166079696734</v>
      </c>
      <c r="DZ79" s="262">
        <f>(VLOOKUP($A79,TOCA_current!$A$2:$AV$136,MATCH("RHWM "&amp;Init!$D$1,TOCA_current!$A$2:$AV$2,0),FALSE)*$BS$2) - $DV79</f>
        <v>0</v>
      </c>
      <c r="EA79" s="262">
        <f t="shared" si="44"/>
        <v>0</v>
      </c>
      <c r="EB79" s="262">
        <f t="shared" si="45"/>
        <v>0</v>
      </c>
      <c r="EC79" s="262">
        <f t="shared" si="46"/>
        <v>0</v>
      </c>
      <c r="ED79" s="262">
        <f t="shared" si="47"/>
        <v>0</v>
      </c>
    </row>
    <row r="80" spans="1:134">
      <c r="A80" s="2">
        <v>10237</v>
      </c>
      <c r="B80" s="3" t="s">
        <v>82</v>
      </c>
      <c r="C80">
        <f>VLOOKUP(A80, TOCA_current!$A$3:$D$136, 4, FALSE)</f>
        <v>0</v>
      </c>
      <c r="D80">
        <v>1</v>
      </c>
      <c r="E80" s="84">
        <f>VLOOKUP($A80,TOCA_previous!$A$2:$AJ$136,MATCH(E$4,TOCA_previous!$A$2:$AJ$2,0),FALSE)</f>
        <v>1.64651E-2</v>
      </c>
      <c r="F80" s="85">
        <f>VLOOKUP($A80,TOCA_previous!$A$2:$AJ$136,MATCH(F$4,TOCA_previous!$A$2:$AJ$2,0),FALSE)</f>
        <v>6.8644999999999991E-3</v>
      </c>
      <c r="G80" s="85">
        <f t="shared" si="33"/>
        <v>9.6006000000000008E-3</v>
      </c>
      <c r="H80" s="85">
        <f>VLOOKUP($A80,TOCA_previous!$A$2:$AJ$136,MATCH(H$4,TOCA_previous!$A$2:$AJ$2,0),FALSE)</f>
        <v>5.1190078429993319E-2</v>
      </c>
      <c r="I80" s="85">
        <f t="shared" si="34"/>
        <v>0</v>
      </c>
      <c r="J80" s="85">
        <f t="shared" si="35"/>
        <v>0</v>
      </c>
      <c r="K80" s="101">
        <f>VLOOKUP(A80, IRD!$A$5:$C$138, 3, FALSE)</f>
        <v>0</v>
      </c>
      <c r="L80" s="102">
        <f t="array" ref="L80">IF($G80=0, INDEX(LS_previous!$D$4:$AY$137, MATCH('Staging Table'!$A80, LS_previous!$B$4:$B$137, 0), MATCH(L$4&amp;L$5, LS_previous!$D$2:$AY$2&amp;LS_previous!$D$3:$AY$3, 0)),SUM(VLOOKUP($A80, LS_previous!$B$4:$AY$137, LS_previous!D$148, FALSE), VLOOKUP('Staging Table'!$A80, LS_previous!$B$4:$AY$137,LS_previous!AB$148, FALSE))/2)</f>
        <v>845.2333298545127</v>
      </c>
      <c r="M80" s="102">
        <f t="array" ref="M80">IF($G80=0, INDEX(LS_previous!$D$4:$AY$137, MATCH('Staging Table'!$A80, LS_previous!$B$4:$B$137, 0), MATCH(M$4&amp;M$5, LS_previous!$D$2:$AY$2&amp;LS_previous!$D$3:$AY$3, 0)),SUM(VLOOKUP($A80, LS_previous!$B$4:$AY$137, LS_previous!E$148, FALSE), VLOOKUP('Staging Table'!$A80, LS_previous!$B$4:$AY$137,LS_previous!AC$148, FALSE))/2)</f>
        <v>2419.227300508137</v>
      </c>
      <c r="N80" s="102">
        <f t="array" ref="N80">IF($G80=0, INDEX(LS_previous!$D$4:$AY$137, MATCH('Staging Table'!$A80, LS_previous!$B$4:$B$137, 0), MATCH(N$4&amp;N$5, LS_previous!$D$2:$AY$2&amp;LS_previous!$D$3:$AY$3, 0)),SUM(VLOOKUP($A80, LS_previous!$B$4:$AY$137, LS_previous!F$148, FALSE), VLOOKUP('Staging Table'!$A80, LS_previous!$B$4:$AY$137,LS_previous!AD$148, FALSE))/2)</f>
        <v>-1179.3804068698373</v>
      </c>
      <c r="O80" s="102">
        <f t="array" ref="O80">IF($G80=0, INDEX(LS_previous!$D$4:$AY$137, MATCH('Staging Table'!$A80, LS_previous!$B$4:$B$137, 0), MATCH(O$4&amp;O$5, LS_previous!$D$2:$AY$2&amp;LS_previous!$D$3:$AY$3, 0)),SUM(VLOOKUP($A80, LS_previous!$B$4:$AY$137, LS_previous!G$148, FALSE), VLOOKUP('Staging Table'!$A80, LS_previous!$B$4:$AY$137,LS_previous!AE$148, FALSE))/2)</f>
        <v>2512.3796545898949</v>
      </c>
      <c r="P80" s="102">
        <f t="array" ref="P80">IF($G80=0, INDEX(LS_previous!$D$4:$AY$137, MATCH('Staging Table'!$A80, LS_previous!$B$4:$B$137, 0), MATCH(P$4&amp;P$5, LS_previous!$D$2:$AY$2&amp;LS_previous!$D$3:$AY$3, 0)),SUM(VLOOKUP($A80, LS_previous!$B$4:$AY$137, LS_previous!H$148, FALSE), VLOOKUP('Staging Table'!$A80, LS_previous!$B$4:$AY$137,LS_previous!AF$148, FALSE))/2)</f>
        <v>738.26604037126344</v>
      </c>
      <c r="Q80" s="102">
        <f t="array" ref="Q80">IF($G80=0, INDEX(LS_previous!$D$4:$AY$137, MATCH('Staging Table'!$A80, LS_previous!$B$4:$B$137, 0), MATCH(Q$4&amp;Q$5, LS_previous!$D$2:$AY$2&amp;LS_previous!$D$3:$AY$3, 0)),SUM(VLOOKUP($A80, LS_previous!$B$4:$AY$137, LS_previous!I$148, FALSE), VLOOKUP('Staging Table'!$A80, LS_previous!$B$4:$AY$137,LS_previous!AG$148, FALSE))/2)</f>
        <v>5725.787014141617</v>
      </c>
      <c r="R80" s="102">
        <f t="array" ref="R80">IF($G80=0, INDEX(LS_previous!$D$4:$AY$137, MATCH('Staging Table'!$A80, LS_previous!$B$4:$B$137, 0), MATCH(R$4&amp;R$5, LS_previous!$D$2:$AY$2&amp;LS_previous!$D$3:$AY$3, 0)),SUM(VLOOKUP($A80, LS_previous!$B$4:$AY$137, LS_previous!J$148, FALSE), VLOOKUP('Staging Table'!$A80, LS_previous!$B$4:$AY$137,LS_previous!AH$148, FALSE))/2)</f>
        <v>-2895.9738022419442</v>
      </c>
      <c r="S80" s="102">
        <f t="array" ref="S80">IF($G80=0, INDEX(LS_previous!$D$4:$AY$137, MATCH('Staging Table'!$A80, LS_previous!$B$4:$B$137, 0), MATCH(S$4&amp;S$5, LS_previous!$D$2:$AY$2&amp;LS_previous!$D$3:$AY$3, 0)),SUM(VLOOKUP($A80, LS_previous!$B$4:$AY$137, LS_previous!K$148, FALSE), VLOOKUP('Staging Table'!$A80, LS_previous!$B$4:$AY$137,LS_previous!AI$148, FALSE))/2)</f>
        <v>2160.103826667917</v>
      </c>
      <c r="T80" s="102">
        <f t="array" ref="T80">IF($G80=0, INDEX(LS_previous!$D$4:$AY$137, MATCH('Staging Table'!$A80, LS_previous!$B$4:$B$137, 0), MATCH(T$4&amp;T$5, LS_previous!$D$2:$AY$2&amp;LS_previous!$D$3:$AY$3, 0)),SUM(VLOOKUP($A80, LS_previous!$B$4:$AY$137, LS_previous!L$148, FALSE), VLOOKUP('Staging Table'!$A80, LS_previous!$B$4:$AY$137,LS_previous!AJ$148, FALSE))/2)</f>
        <v>-1720.870423067503</v>
      </c>
      <c r="U80" s="102">
        <f t="array" ref="U80">IF($G80=0, INDEX(LS_previous!$D$4:$AY$137, MATCH('Staging Table'!$A80, LS_previous!$B$4:$B$137, 0), MATCH(U$4&amp;U$5, LS_previous!$D$2:$AY$2&amp;LS_previous!$D$3:$AY$3, 0)),SUM(VLOOKUP($A80, LS_previous!$B$4:$AY$137, LS_previous!M$148, FALSE), VLOOKUP('Staging Table'!$A80, LS_previous!$B$4:$AY$137,LS_previous!AK$148, FALSE))/2)</f>
        <v>2526.3427870635569</v>
      </c>
      <c r="V80" s="102">
        <f t="array" ref="V80">IF($G80=0, INDEX(LS_previous!$D$4:$AY$137, MATCH('Staging Table'!$A80, LS_previous!$B$4:$B$137, 0), MATCH(V$4&amp;V$5, LS_previous!$D$2:$AY$2&amp;LS_previous!$D$3:$AY$3, 0)),SUM(VLOOKUP($A80, LS_previous!$B$4:$AY$137, LS_previous!N$148, FALSE), VLOOKUP('Staging Table'!$A80, LS_previous!$B$4:$AY$137,LS_previous!AL$148, FALSE))/2)</f>
        <v>-3610.0042156759646</v>
      </c>
      <c r="W80" s="102">
        <f t="array" ref="W80">IF($G80=0, INDEX(LS_previous!$D$4:$AY$137, MATCH('Staging Table'!$A80, LS_previous!$B$4:$B$137, 0), MATCH(W$4&amp;W$5, LS_previous!$D$2:$AY$2&amp;LS_previous!$D$3:$AY$3, 0)),SUM(VLOOKUP($A80, LS_previous!$B$4:$AY$137, LS_previous!O$148, FALSE), VLOOKUP('Staging Table'!$A80, LS_previous!$B$4:$AY$137,LS_previous!AM$148, FALSE))/2)</f>
        <v>563.095613843514</v>
      </c>
      <c r="X80" s="102">
        <f t="array" ref="X80">IF($G80=0, INDEX(LS_previous!$D$4:$AY$137, MATCH('Staging Table'!$A80, LS_previous!$B$4:$B$137, 0), MATCH(X$4&amp;X$5, LS_previous!$D$2:$AY$2&amp;LS_previous!$D$3:$AY$3, 0)),SUM(VLOOKUP($A80, LS_previous!$B$4:$AY$137, LS_previous!P$148, FALSE), VLOOKUP('Staging Table'!$A80, LS_previous!$B$4:$AY$137,LS_previous!AN$148, FALSE))/2)</f>
        <v>861.52483573340578</v>
      </c>
      <c r="Y80" s="102">
        <f t="array" ref="Y80">IF($G80=0, INDEX(LS_previous!$D$4:$AY$137, MATCH('Staging Table'!$A80, LS_previous!$B$4:$B$137, 0), MATCH(Y$4&amp;Y$5, LS_previous!$D$2:$AY$2&amp;LS_previous!$D$3:$AY$3, 0)),SUM(VLOOKUP($A80, LS_previous!$B$4:$AY$137, LS_previous!Q$148, FALSE), VLOOKUP('Staging Table'!$A80, LS_previous!$B$4:$AY$137,LS_previous!AO$148, FALSE))/2)</f>
        <v>2271.8276711733179</v>
      </c>
      <c r="Z80" s="102">
        <f t="array" ref="Z80">IF($G80=0, INDEX(LS_previous!$D$4:$AY$137, MATCH('Staging Table'!$A80, LS_previous!$B$4:$B$137, 0), MATCH(Z$4&amp;Z$5, LS_previous!$D$2:$AY$2&amp;LS_previous!$D$3:$AY$3, 0)),SUM(VLOOKUP($A80, LS_previous!$B$4:$AY$137, LS_previous!R$148, FALSE), VLOOKUP('Staging Table'!$A80, LS_previous!$B$4:$AY$137,LS_previous!AP$148, FALSE))/2)</f>
        <v>-6253.9937020745456</v>
      </c>
      <c r="AA80" s="102">
        <f t="array" ref="AA80">IF($G80=0, INDEX(LS_previous!$D$4:$AY$137, MATCH('Staging Table'!$A80, LS_previous!$B$4:$B$137, 0), MATCH(AA$4&amp;AA$5, LS_previous!$D$2:$AY$2&amp;LS_previous!$D$3:$AY$3, 0)),SUM(VLOOKUP($A80, LS_previous!$B$4:$AY$137, LS_previous!S$148, FALSE), VLOOKUP('Staging Table'!$A80, LS_previous!$B$4:$AY$137,LS_previous!AQ$148, FALSE))/2)</f>
        <v>-1625.9226790640096</v>
      </c>
      <c r="AB80" s="102">
        <f t="array" ref="AB80">IF($G80=0, INDEX(LS_previous!$D$4:$AY$137, MATCH('Staging Table'!$A80, LS_previous!$B$4:$B$137, 0), MATCH(AB$4&amp;AB$5, LS_previous!$D$2:$AY$2&amp;LS_previous!$D$3:$AY$3, 0)),SUM(VLOOKUP($A80, LS_previous!$B$4:$AY$137, LS_previous!T$148, FALSE), VLOOKUP('Staging Table'!$A80, LS_previous!$B$4:$AY$137,LS_previous!AR$148, FALSE))/2)</f>
        <v>-9220.5781894144966</v>
      </c>
      <c r="AC80" s="102">
        <f t="array" ref="AC80">IF($G80=0, INDEX(LS_previous!$D$4:$AY$137, MATCH('Staging Table'!$A80, LS_previous!$B$4:$B$137, 0), MATCH(AC$4&amp;AC$5, LS_previous!$D$2:$AY$2&amp;LS_previous!$D$3:$AY$3, 0)),SUM(VLOOKUP($A80, LS_previous!$B$4:$AY$137, LS_previous!U$148, FALSE), VLOOKUP('Staging Table'!$A80, LS_previous!$B$4:$AY$137,LS_previous!AS$148, FALSE))/2)</f>
        <v>-2305.4416367252497</v>
      </c>
      <c r="AD80" s="102">
        <f t="array" ref="AD80">IF($G80=0, INDEX(LS_previous!$D$4:$AY$137, MATCH('Staging Table'!$A80, LS_previous!$B$4:$B$137, 0), MATCH(AD$4&amp;AD$5, LS_previous!$D$2:$AY$2&amp;LS_previous!$D$3:$AY$3, 0)),SUM(VLOOKUP($A80, LS_previous!$B$4:$AY$137, LS_previous!V$148, FALSE), VLOOKUP('Staging Table'!$A80, LS_previous!$B$4:$AY$137,LS_previous!AT$148, FALSE))/2)</f>
        <v>-5963.5930850654886</v>
      </c>
      <c r="AE80" s="102">
        <f t="array" ref="AE80">IF($G80=0, INDEX(LS_previous!$D$4:$AY$137, MATCH('Staging Table'!$A80, LS_previous!$B$4:$B$137, 0), MATCH(AE$4&amp;AE$5, LS_previous!$D$2:$AY$2&amp;LS_previous!$D$3:$AY$3, 0)),SUM(VLOOKUP($A80, LS_previous!$B$4:$AY$137, LS_previous!W$148, FALSE), VLOOKUP('Staging Table'!$A80, LS_previous!$B$4:$AY$137,LS_previous!AU$148, FALSE))/2)</f>
        <v>-833.82223002350293</v>
      </c>
      <c r="AF80" s="102">
        <f t="array" ref="AF80">IF($G80=0, INDEX(LS_previous!$D$4:$AY$137, MATCH('Staging Table'!$A80, LS_previous!$B$4:$B$137, 0), MATCH(AF$4&amp;AF$5, LS_previous!$D$2:$AY$2&amp;LS_previous!$D$3:$AY$3, 0)),SUM(VLOOKUP($A80, LS_previous!$B$4:$AY$137, LS_previous!X$148, FALSE), VLOOKUP('Staging Table'!$A80, LS_previous!$B$4:$AY$137,LS_previous!AV$148, FALSE))/2)</f>
        <v>-5110.974533257754</v>
      </c>
      <c r="AG80" s="102">
        <f t="array" ref="AG80">IF($G80=0, INDEX(LS_previous!$D$4:$AY$137, MATCH('Staging Table'!$A80, LS_previous!$B$4:$B$137, 0), MATCH(AG$4&amp;AG$5, LS_previous!$D$2:$AY$2&amp;LS_previous!$D$3:$AY$3, 0)),SUM(VLOOKUP($A80, LS_previous!$B$4:$AY$137, LS_previous!Y$148, FALSE), VLOOKUP('Staging Table'!$A80, LS_previous!$B$4:$AY$137,LS_previous!AW$148, FALSE))/2)</f>
        <v>-159.7372046318078</v>
      </c>
      <c r="AH80" s="102">
        <f t="array" ref="AH80">IF($G80=0, INDEX(LS_previous!$D$4:$AY$137, MATCH('Staging Table'!$A80, LS_previous!$B$4:$B$137, 0), MATCH(AH$4&amp;AH$5, LS_previous!$D$2:$AY$2&amp;LS_previous!$D$3:$AY$3, 0)),SUM(VLOOKUP($A80, LS_previous!$B$4:$AY$137, LS_previous!Z$148, FALSE), VLOOKUP('Staging Table'!$A80, LS_previous!$B$4:$AY$137,LS_previous!AX$148, FALSE))/2)</f>
        <v>-2816.3838194037216</v>
      </c>
      <c r="AI80" s="102">
        <f t="array" ref="AI80">IF($G80=0, INDEX(LS_previous!$D$4:$AY$137, MATCH('Staging Table'!$A80, LS_previous!$B$4:$B$137, 0), MATCH(AI$4&amp;AI$5, LS_previous!$D$2:$AY$2&amp;LS_previous!$D$3:$AY$3, 0)),SUM(VLOOKUP($A80, LS_previous!$B$4:$AY$137, LS_previous!AA$148, FALSE), VLOOKUP('Staging Table'!$A80, LS_previous!$B$4:$AY$137,LS_previous!AY$148, FALSE))/2)</f>
        <v>555.07150476496281</v>
      </c>
      <c r="AJ80" s="103">
        <f t="array" ref="AJ80">INDEX(Demand_previous!$D$4:$AY$137, MATCH('Staging Table'!$A80, Demand_previous!$B$4:$B$137, 0), MATCH(AJ$4&amp;AJ$5,Demand_previous!$D$2:$AY$2&amp;Demand_previous!$D$3:$AY$3, 0))/1000</f>
        <v>0</v>
      </c>
      <c r="AK80" s="103">
        <f t="array" ref="AK80">INDEX(Demand_previous!$D$4:$AY$137, MATCH('Staging Table'!$A80, Demand_previous!$B$4:$B$137, 0), MATCH(AK$4&amp;AK$5,Demand_previous!$D$2:$AY$2&amp;Demand_previous!$D$3:$AY$3, 0))/1000</f>
        <v>0</v>
      </c>
      <c r="AL80" s="103">
        <f t="array" ref="AL80">INDEX(Demand_previous!$D$4:$AY$137, MATCH('Staging Table'!$A80, Demand_previous!$B$4:$B$137, 0), MATCH(AL$4&amp;AL$5,Demand_previous!$D$2:$AY$2&amp;Demand_previous!$D$3:$AY$3, 0))/1000</f>
        <v>0</v>
      </c>
      <c r="AM80" s="103">
        <f t="array" ref="AM80">INDEX(Demand_previous!$D$4:$AY$137, MATCH('Staging Table'!$A80, Demand_previous!$B$4:$B$137, 0), MATCH(AM$4&amp;AM$5,Demand_previous!$D$2:$AY$2&amp;Demand_previous!$D$3:$AY$3, 0))/1000</f>
        <v>0</v>
      </c>
      <c r="AN80" s="103">
        <f t="array" ref="AN80">INDEX(Demand_previous!$D$4:$AY$137, MATCH('Staging Table'!$A80, Demand_previous!$B$4:$B$137, 0), MATCH(AN$4&amp;AN$5,Demand_previous!$D$2:$AY$2&amp;Demand_previous!$D$3:$AY$3, 0))/1000</f>
        <v>0</v>
      </c>
      <c r="AO80" s="103">
        <f t="array" ref="AO80">INDEX(Demand_previous!$D$4:$AY$137, MATCH('Staging Table'!$A80, Demand_previous!$B$4:$B$137, 0), MATCH(AO$4&amp;AO$5,Demand_previous!$D$2:$AY$2&amp;Demand_previous!$D$3:$AY$3, 0))/1000</f>
        <v>0</v>
      </c>
      <c r="AP80" s="103">
        <f t="array" ref="AP80">INDEX(Demand_previous!$D$4:$AY$137, MATCH('Staging Table'!$A80, Demand_previous!$B$4:$B$137, 0), MATCH(AP$4&amp;AP$5,Demand_previous!$D$2:$AY$2&amp;Demand_previous!$D$3:$AY$3, 0))/1000</f>
        <v>0</v>
      </c>
      <c r="AQ80" s="103">
        <f t="array" ref="AQ80">INDEX(Demand_previous!$D$4:$AY$137, MATCH('Staging Table'!$A80, Demand_previous!$B$4:$B$137, 0), MATCH(AQ$4&amp;AQ$5,Demand_previous!$D$2:$AY$2&amp;Demand_previous!$D$3:$AY$3, 0))/1000</f>
        <v>0</v>
      </c>
      <c r="AR80" s="103">
        <f t="array" ref="AR80">INDEX(Demand_previous!$D$4:$AY$137, MATCH('Staging Table'!$A80, Demand_previous!$B$4:$B$137, 0), MATCH(AR$4&amp;AR$5,Demand_previous!$D$2:$AY$2&amp;Demand_previous!$D$3:$AY$3, 0))/1000</f>
        <v>0</v>
      </c>
      <c r="AS80" s="103">
        <f t="array" ref="AS80">INDEX(Demand_previous!$D$4:$AY$137, MATCH('Staging Table'!$A80, Demand_previous!$B$4:$B$137, 0), MATCH(AS$4&amp;AS$5,Demand_previous!$D$2:$AY$2&amp;Demand_previous!$D$3:$AY$3, 0))/1000</f>
        <v>0</v>
      </c>
      <c r="AT80" s="103">
        <f t="array" ref="AT80">INDEX(Demand_previous!$D$4:$AY$137, MATCH('Staging Table'!$A80, Demand_previous!$B$4:$B$137, 0), MATCH(AT$4&amp;AT$5,Demand_previous!$D$2:$AY$2&amp;Demand_previous!$D$3:$AY$3, 0))/1000</f>
        <v>0</v>
      </c>
      <c r="AU80" s="103">
        <f t="array" ref="AU80">INDEX(Demand_previous!$D$4:$AY$137, MATCH('Staging Table'!$A80, Demand_previous!$B$4:$B$137, 0), MATCH(AU$4&amp;AU$5,Demand_previous!$D$2:$AY$2&amp;Demand_previous!$D$3:$AY$3, 0))/1000</f>
        <v>0</v>
      </c>
      <c r="AV80" s="102">
        <f>$F80*(VLOOKUP(AV$4, Rates_previous!$G$6:$Q$29, 10, FALSE)+VLOOKUP(AV$4, Rates_previous!$G$6:$Q$29, 11, FALSE))</f>
        <v>28959.978420816748</v>
      </c>
      <c r="AW80" s="102">
        <f>$F80*(VLOOKUP(AW$4, Rates_previous!$G$6:$Q$29, 10, FALSE)+VLOOKUP(AW$4, Rates_previous!$G$6:$Q$29, 11, FALSE))</f>
        <v>36933.522125555501</v>
      </c>
      <c r="AX80" s="102">
        <f>$F80*(VLOOKUP(AX$4, Rates_previous!$G$6:$Q$29, 10, FALSE)+VLOOKUP(AX$4, Rates_previous!$G$6:$Q$29, 11, FALSE))</f>
        <v>39858.578081557498</v>
      </c>
      <c r="AY80" s="102">
        <f>$F80*(VLOOKUP(AY$4, Rates_previous!$G$6:$Q$29, 10, FALSE)+VLOOKUP(AY$4, Rates_previous!$G$6:$Q$29, 11, FALSE))</f>
        <v>41419.224277687994</v>
      </c>
      <c r="AZ80" s="102">
        <f>$F80*(VLOOKUP(AZ$4, Rates_previous!$G$6:$Q$29, 10, FALSE)+VLOOKUP(AZ$4, Rates_previous!$G$6:$Q$29, 11, FALSE))</f>
        <v>35626.053708950989</v>
      </c>
      <c r="BA80" s="102">
        <f>$F80*(VLOOKUP(BA$4, Rates_previous!$G$6:$Q$29, 10, FALSE)+VLOOKUP(BA$4, Rates_previous!$G$6:$Q$29, 11, FALSE))</f>
        <v>38896.597046269497</v>
      </c>
      <c r="BB80" s="102">
        <f>$F80*(VLOOKUP(BB$4, Rates_previous!$G$6:$Q$29, 10, FALSE)+VLOOKUP(BB$4, Rates_previous!$G$6:$Q$29, 11, FALSE))</f>
        <v>30702.308496831618</v>
      </c>
      <c r="BC80" s="102">
        <f>$F80*(VLOOKUP(BC$4, Rates_previous!$G$6:$Q$29, 10, FALSE)+VLOOKUP(BC$4, Rates_previous!$G$6:$Q$29, 11, FALSE))</f>
        <v>38090.327991619248</v>
      </c>
      <c r="BD80" s="102">
        <f>$F80*(VLOOKUP(BD$4, Rates_previous!$G$6:$Q$29, 10, FALSE)+VLOOKUP(BD$4, Rates_previous!$G$6:$Q$29, 11, FALSE))</f>
        <v>38916.793019642239</v>
      </c>
      <c r="BE80" s="102">
        <f>$F80*(VLOOKUP(BE$4, Rates_previous!$G$6:$Q$29, 10, FALSE)+VLOOKUP(BE$4, Rates_previous!$G$6:$Q$29, 11, FALSE))</f>
        <v>33785.383020451744</v>
      </c>
      <c r="BF80" s="102">
        <f>$F80*(VLOOKUP(BF$4, Rates_previous!$G$6:$Q$29, 10, FALSE)+VLOOKUP(BF$4, Rates_previous!$G$6:$Q$29, 11, FALSE))</f>
        <v>32661.484931392075</v>
      </c>
      <c r="BG80" s="102">
        <f>$F80*(VLOOKUP(BG$4, Rates_previous!$G$6:$Q$29, 10, FALSE)+VLOOKUP(BG$4, Rates_previous!$G$6:$Q$29, 11, FALSE))</f>
        <v>30054.890996280999</v>
      </c>
      <c r="BH80" s="103">
        <f>IF($D80=0,IF(C80=0, MAX(BJ80 - (VLOOKUP($A80,TOCA_previous!$A$2:$AJ$136,MATCH("RHWM "&amp;Init!$D$1-2,TOCA_previous!$A$2:$AJ$2,0),FALSE)*$F$2*TOCA_previous!C77),0),0), 0)</f>
        <v>0</v>
      </c>
      <c r="BI80" s="109">
        <f>MIN(VLOOKUP($A80,TOCA_previous!$A$2:$AJ$136,MATCH("TRL - NLSL - Existing Resource "&amp;$F$1,TOCA_previous!$A$2:$AJ$2,0),FALSE)*$F$2,(VLOOKUP($A80,TOCA_previous!$A$2:$AJ$136,MATCH("RHWM "&amp;Init!$D$1-2,TOCA_previous!$A$2:$AJ$2,0),FALSE)*$F$2))</f>
        <v>999021.88800000004</v>
      </c>
      <c r="BJ80" s="261">
        <f>SUM(L80:AI80)+(F80*RT1SC!$C$3*$F$2)</f>
        <v>403387.32772051624</v>
      </c>
      <c r="BK80" s="260">
        <f>VLOOKUP($A80,TOCA_previous!$A$2:$AJ$136,MATCH("Above RHWM Not Served with LS "&amp;$F$1,TOCA_previous!$A$2:$AJ$2,0),FALSE)*$F$2</f>
        <v>23945.183999999994</v>
      </c>
      <c r="BL80" s="261">
        <f t="shared" si="36"/>
        <v>-595634.56027948379</v>
      </c>
      <c r="BM80" s="260">
        <f>(VLOOKUP($A80,TOCA_previous!$A$2:$AJ$136,MATCH("RHWM "&amp;Init!$D$1-2,TOCA_previous!$A$2:$AJ$2,0),FALSE)*$F$2) - $BI80</f>
        <v>0</v>
      </c>
      <c r="BN80" s="261">
        <f t="shared" si="37"/>
        <v>0</v>
      </c>
      <c r="BO80" s="260">
        <f t="shared" si="38"/>
        <v>571689.37627948378</v>
      </c>
      <c r="BP80" s="261">
        <f t="shared" si="39"/>
        <v>0</v>
      </c>
      <c r="BQ80" s="260">
        <f t="shared" si="9"/>
        <v>0</v>
      </c>
      <c r="BR80" s="85">
        <f>VLOOKUP($A80,TOCA_current!$A$2:$ZZ$136,MATCH(BR$4,TOCA_current!$A$2:$ZZ$2,0),FALSE)</f>
        <v>1.6089300000000001E-2</v>
      </c>
      <c r="BS80" s="85">
        <f>VLOOKUP($A80,TOCA_current!$A$2:$ZZ$136,MATCH(BS$4,TOCA_current!$A$2:$ZZ$2,0),FALSE)</f>
        <v>6.4939000000000004E-3</v>
      </c>
      <c r="BT80" s="108">
        <f t="shared" si="40"/>
        <v>9.5954000000000005E-3</v>
      </c>
      <c r="BU80" s="85">
        <f>VLOOKUP($A80,TOCA_current!A77:BG211,MATCH(BU$4,TOCA_current!$A$2:$BG$2,0),FALSE)</f>
        <v>5.1035510717907476E-2</v>
      </c>
      <c r="BV80" s="85">
        <f t="shared" si="41"/>
        <v>0</v>
      </c>
      <c r="BW80" s="85">
        <f t="shared" si="42"/>
        <v>0</v>
      </c>
      <c r="BX80" s="101">
        <f>VLOOKUP($A80,IRD!$A$4:$G$138, 7, FALSE)</f>
        <v>0</v>
      </c>
      <c r="BY80" s="102">
        <f t="array" ref="BY80">IF($BT80=0, INDEX(LS_current!$D$4:$BW$137, MATCH('Staging Table'!$A80, LS_current!$B$4:$B$137, 0), MATCH(BY$4&amp;BY$5, LS_current!$D$2:$BW$2&amp;LS_current!$D$3:$BW$3, 0)),SUM(VLOOKUP($A80, LS_current!$B$4:$BW$137, LS_current!D$147, FALSE), VLOOKUP($A80, LS_current!$B$4:$BW$137,LS_current!AZ$147, FALSE))/2)</f>
        <v>2063.5997962293677</v>
      </c>
      <c r="BZ80" s="102">
        <f t="array" ref="BZ80">IF($BT80=0, INDEX(LS_current!$D$4:$BW$137, MATCH('Staging Table'!$A80, LS_current!$B$4:$B$137, 0), MATCH(BZ$4&amp;BZ$5, LS_current!$D$2:$BW$2&amp;LS_current!$D$3:$BW$3, 0)),SUM(VLOOKUP($A80, LS_current!$B$4:$BW$137, LS_current!E$147, FALSE), VLOOKUP($A80, LS_current!$B$4:$BW$137,LS_current!BA$147, FALSE))/2)</f>
        <v>3460.9688162817511</v>
      </c>
      <c r="CA80" s="102">
        <f t="array" ref="CA80">IF($BT80=0, INDEX(LS_current!$D$4:$BW$137, MATCH('Staging Table'!$A80, LS_current!$B$4:$B$137, 0), MATCH(CA$4&amp;CA$5, LS_current!$D$2:$BW$2&amp;LS_current!$D$3:$BW$3, 0)),SUM(VLOOKUP($A80, LS_current!$B$4:$BW$137, LS_current!F$147, FALSE), VLOOKUP($A80, LS_current!$B$4:$BW$137,LS_current!BB$147, FALSE))/2)</f>
        <v>-277.15784867466027</v>
      </c>
      <c r="CB80" s="102">
        <f t="array" ref="CB80">IF($BT80=0, INDEX(LS_current!$D$4:$BW$137, MATCH('Staging Table'!$A80, LS_current!$B$4:$B$137, 0), MATCH(CB$4&amp;CB$5, LS_current!$D$2:$BW$2&amp;LS_current!$D$3:$BW$3, 0)),SUM(VLOOKUP($A80, LS_current!$B$4:$BW$137, LS_current!G$147, FALSE), VLOOKUP($A80, LS_current!$B$4:$BW$137,LS_current!BC$147, FALSE))/2)</f>
        <v>4385.8788118089942</v>
      </c>
      <c r="CC80" s="102">
        <f t="array" ref="CC80">IF($BT80=0, INDEX(LS_current!$D$4:$BW$137, MATCH('Staging Table'!$A80, LS_current!$B$4:$B$137, 0), MATCH(CC$4&amp;CC$5, LS_current!$D$2:$BW$2&amp;LS_current!$D$3:$BW$3, 0)),SUM(VLOOKUP($A80, LS_current!$B$4:$BW$137, LS_current!H$147, FALSE), VLOOKUP($A80, LS_current!$B$4:$BW$137,LS_current!BD$147, FALSE))/2)</f>
        <v>991.86667060724176</v>
      </c>
      <c r="CD80" s="102">
        <f t="array" ref="CD80">IF($BT80=0, INDEX(LS_current!$D$4:$BW$137, MATCH('Staging Table'!$A80, LS_current!$B$4:$B$137, 0), MATCH(CD$4&amp;CD$5, LS_current!$D$2:$BW$2&amp;LS_current!$D$3:$BW$3, 0)),SUM(VLOOKUP($A80, LS_current!$B$4:$BW$137, LS_current!I$147, FALSE), VLOOKUP($A80, LS_current!$B$4:$BW$137,LS_current!BE$147, FALSE))/2)</f>
        <v>6518.2022579140466</v>
      </c>
      <c r="CE80" s="102">
        <f t="array" ref="CE80">IF($BT80=0, INDEX(LS_current!$D$4:$BW$137, MATCH('Staging Table'!$A80, LS_current!$B$4:$B$137, 0), MATCH(CE$4&amp;CE$5, LS_current!$D$2:$BW$2&amp;LS_current!$D$3:$BW$3, 0)),SUM(VLOOKUP($A80, LS_current!$B$4:$BW$137, LS_current!J$147, FALSE), VLOOKUP($A80, LS_current!$B$4:$BW$137,LS_current!BF$147, FALSE))/2)</f>
        <v>-3572.913873387346</v>
      </c>
      <c r="CF80" s="102">
        <f t="array" ref="CF80">IF($BT80=0, INDEX(LS_current!$D$4:$BW$137, MATCH('Staging Table'!$A80, LS_current!$B$4:$B$137, 0), MATCH(CF$4&amp;CF$5, LS_current!$D$2:$BW$2&amp;LS_current!$D$3:$BW$3, 0)),SUM(VLOOKUP($A80, LS_current!$B$4:$BW$137, LS_current!K$147, FALSE), VLOOKUP($A80, LS_current!$B$4:$BW$137,LS_current!BG$147, FALSE))/2)</f>
        <v>3242.0141149908559</v>
      </c>
      <c r="CG80" s="102">
        <f t="array" ref="CG80">IF($BT80=0, INDEX(LS_current!$D$4:$BW$137, MATCH('Staging Table'!$A80, LS_current!$B$4:$B$137, 0), MATCH(CG$4&amp;CG$5, LS_current!$D$2:$BW$2&amp;LS_current!$D$3:$BW$3, 0)),SUM(VLOOKUP($A80, LS_current!$B$4:$BW$137, LS_current!L$147, FALSE), VLOOKUP($A80, LS_current!$B$4:$BW$137,LS_current!BH$147, FALSE))/2)</f>
        <v>-314.44271861540983</v>
      </c>
      <c r="CH80" s="102">
        <f t="array" ref="CH80">IF($BT80=0, INDEX(LS_current!$D$4:$BW$137, MATCH('Staging Table'!$A80, LS_current!$B$4:$B$137, 0), MATCH(CH$4&amp;CH$5, LS_current!$D$2:$BW$2&amp;LS_current!$D$3:$BW$3, 0)),SUM(VLOOKUP($A80, LS_current!$B$4:$BW$137, LS_current!M$147, FALSE), VLOOKUP($A80, LS_current!$B$4:$BW$137,LS_current!BI$147, FALSE))/2)</f>
        <v>3506.2517112367859</v>
      </c>
      <c r="CI80" s="102">
        <f t="array" ref="CI80">IF($BT80=0, INDEX(LS_current!$D$4:$BW$137, MATCH('Staging Table'!$A80, LS_current!$B$4:$B$137, 0), MATCH(CI$4&amp;CI$5, LS_current!$D$2:$BW$2&amp;LS_current!$D$3:$BW$3, 0)),SUM(VLOOKUP($A80, LS_current!$B$4:$BW$137, LS_current!N$147, FALSE), VLOOKUP($A80, LS_current!$B$4:$BW$137,LS_current!BJ$147, FALSE))/2)</f>
        <v>-2795.7762849003266</v>
      </c>
      <c r="CJ80" s="102">
        <f t="array" ref="CJ80">IF($BT80=0, INDEX(LS_current!$D$4:$BW$137, MATCH('Staging Table'!$A80, LS_current!$B$4:$B$137, 0), MATCH(CJ$4&amp;CJ$5, LS_current!$D$2:$BW$2&amp;LS_current!$D$3:$BW$3, 0)),SUM(VLOOKUP($A80, LS_current!$B$4:$BW$137, LS_current!O$147, FALSE), VLOOKUP($A80, LS_current!$B$4:$BW$137,LS_current!BK$147, FALSE))/2)</f>
        <v>2917.5988302124388</v>
      </c>
      <c r="CK80" s="102">
        <f t="array" ref="CK80">IF($BT80=0, INDEX(LS_current!$D$4:$BW$137, MATCH('Staging Table'!$A80, LS_current!$B$4:$B$137, 0), MATCH(CK$4&amp;CK$5, LS_current!$D$2:$BW$2&amp;LS_current!$D$3:$BW$3, 0)),SUM(VLOOKUP($A80, LS_current!$B$4:$BW$137, LS_current!P$147, FALSE), VLOOKUP($A80, LS_current!$B$4:$BW$137,LS_current!BL$147, FALSE))/2)</f>
        <v>2519.8790256593657</v>
      </c>
      <c r="CL80" s="102">
        <f t="array" ref="CL80">IF($BT80=0, INDEX(LS_current!$D$4:$BW$137, MATCH('Staging Table'!$A80, LS_current!$B$4:$B$137, 0), MATCH(CL$4&amp;CL$5, LS_current!$D$2:$BW$2&amp;LS_current!$D$3:$BW$3, 0)),SUM(VLOOKUP($A80, LS_current!$B$4:$BW$137, LS_current!Q$147, FALSE), VLOOKUP($A80, LS_current!$B$4:$BW$137,LS_current!BM$147, FALSE))/2)</f>
        <v>3673.5927756550764</v>
      </c>
      <c r="CM80" s="102">
        <f t="array" ref="CM80">IF($BT80=0, INDEX(LS_current!$D$4:$BW$137, MATCH('Staging Table'!$A80, LS_current!$B$4:$B$137, 0), MATCH(CM$4&amp;CM$5, LS_current!$D$2:$BW$2&amp;LS_current!$D$3:$BW$3, 0)),SUM(VLOOKUP($A80, LS_current!$B$4:$BW$137, LS_current!R$147, FALSE), VLOOKUP($A80, LS_current!$B$4:$BW$137,LS_current!BN$147, FALSE))/2)</f>
        <v>-5499.9840903206423</v>
      </c>
      <c r="CN80" s="102">
        <f t="array" ref="CN80">IF($BT80=0, INDEX(LS_current!$D$4:$BW$137, MATCH('Staging Table'!$A80, LS_current!$B$4:$B$137, 0), MATCH(CN$4&amp;CN$5, LS_current!$D$2:$BW$2&amp;LS_current!$D$3:$BW$3, 0)),SUM(VLOOKUP($A80, LS_current!$B$4:$BW$137, LS_current!S$147, FALSE), VLOOKUP($A80, LS_current!$B$4:$BW$137,LS_current!BO$147, FALSE))/2)</f>
        <v>-169.20055992952894</v>
      </c>
      <c r="CO80" s="102">
        <f t="array" ref="CO80">IF($BT80=0, INDEX(LS_current!$D$4:$BW$137, MATCH('Staging Table'!$A80, LS_current!$B$4:$B$137, 0), MATCH(CO$4&amp;CO$5, LS_current!$D$2:$BW$2&amp;LS_current!$D$3:$BW$3, 0)),SUM(VLOOKUP($A80, LS_current!$B$4:$BW$137, LS_current!T$147, FALSE), VLOOKUP($A80, LS_current!$B$4:$BW$137,LS_current!BP$147, FALSE))/2)</f>
        <v>-8091.2997398959378</v>
      </c>
      <c r="CP80" s="102">
        <f t="array" ref="CP80">IF($BT80=0, INDEX(LS_current!$D$4:$BW$137, MATCH('Staging Table'!$A80, LS_current!$B$4:$B$137, 0), MATCH(CP$4&amp;CP$5, LS_current!$D$2:$BW$2&amp;LS_current!$D$3:$BW$3, 0)),SUM(VLOOKUP($A80, LS_current!$B$4:$BW$137, LS_current!U$147, FALSE), VLOOKUP($A80, LS_current!$B$4:$BW$137,LS_current!BQ$147, FALSE))/2)</f>
        <v>-1190.7176156745554</v>
      </c>
      <c r="CQ80" s="102">
        <f t="array" ref="CQ80">IF($BT80=0, INDEX(LS_current!$D$4:$BW$137, MATCH('Staging Table'!$A80, LS_current!$B$4:$B$137, 0), MATCH(CQ$4&amp;CQ$5, LS_current!$D$2:$BW$2&amp;LS_current!$D$3:$BW$3, 0)),SUM(VLOOKUP($A80, LS_current!$B$4:$BW$137, LS_current!V$147, FALSE), VLOOKUP($A80, LS_current!$B$4:$BW$137,LS_current!BR$147, FALSE))/2)</f>
        <v>-5596.4337949896772</v>
      </c>
      <c r="CR80" s="102">
        <f t="array" ref="CR80">IF($BT80=0, INDEX(LS_current!$D$4:$BW$137, MATCH('Staging Table'!$A80, LS_current!$B$4:$B$137, 0), MATCH(CR$4&amp;CR$5, LS_current!$D$2:$BW$2&amp;LS_current!$D$3:$BW$3, 0)),SUM(VLOOKUP($A80, LS_current!$B$4:$BW$137, LS_current!W$147, FALSE), VLOOKUP($A80, LS_current!$B$4:$BW$137,LS_current!BS$147, FALSE))/2)</f>
        <v>-37.185963145697315</v>
      </c>
      <c r="CS80" s="102">
        <f t="array" ref="CS80">IF($BT80=0, INDEX(LS_current!$D$4:$BW$137, MATCH('Staging Table'!$A80, LS_current!$B$4:$B$137, 0), MATCH(CS$4&amp;CS$5, LS_current!$D$2:$BW$2&amp;LS_current!$D$3:$BW$3, 0)),SUM(VLOOKUP($A80, LS_current!$B$4:$BW$137, LS_current!X$147, FALSE), VLOOKUP($A80, LS_current!$B$4:$BW$137,LS_current!BT$147, FALSE))/2)</f>
        <v>-6952.6161761922458</v>
      </c>
      <c r="CT80" s="102">
        <f t="array" ref="CT80">IF($BT80=0, INDEX(LS_current!$D$4:$BW$137, MATCH('Staging Table'!$A80, LS_current!$B$4:$B$137, 0), MATCH(CT$4&amp;CT$5, LS_current!$D$2:$BW$2&amp;LS_current!$D$3:$BW$3, 0)),SUM(VLOOKUP($A80, LS_current!$B$4:$BW$137, LS_current!Y$147, FALSE), VLOOKUP($A80, LS_current!$B$4:$BW$137,LS_current!BU$147, FALSE))/2)</f>
        <v>877.32753895921724</v>
      </c>
      <c r="CU80" s="102">
        <f t="array" ref="CU80">IF($BT80=0, INDEX(LS_current!$D$4:$BW$137, MATCH('Staging Table'!$A80, LS_current!$B$4:$B$137, 0), MATCH(CU$4&amp;CU$5, LS_current!$D$2:$BW$2&amp;LS_current!$D$3:$BW$3, 0)),SUM(VLOOKUP($A80, LS_current!$B$4:$BW$137, LS_current!Z$147, FALSE), VLOOKUP($A80, LS_current!$B$4:$BW$137,LS_current!BV$147, FALSE))/2)</f>
        <v>-719.02142799413377</v>
      </c>
      <c r="CV80" s="102">
        <f t="array" ref="CV80">IF($BT80=0, INDEX(LS_current!$D$4:$BW$137, MATCH('Staging Table'!$A80, LS_current!$B$4:$B$137, 0), MATCH(CV$4&amp;CV$5, LS_current!$D$2:$BW$2&amp;LS_current!$D$3:$BW$3, 0)),SUM(VLOOKUP($A80, LS_current!$B$4:$BW$137, LS_current!AA$147, FALSE), VLOOKUP($A80, LS_current!$B$4:$BW$137,LS_current!BW$147, FALSE))/2)</f>
        <v>2573.1251899855433</v>
      </c>
      <c r="CW80" s="103">
        <f t="array" ref="CW80">INDEX(Demand_current!$D$4:$BW$137, MATCH($A80, Demand_current!$B$4:$B$137, 0), MATCH(CW$4&amp;CW$5,Demand_current!$D$2:$BW$2&amp;Demand_current!$D$3:$BW$3, 0))/1000</f>
        <v>0</v>
      </c>
      <c r="CX80" s="103">
        <f t="array" ref="CX80">INDEX(Demand_current!$D$4:$BW$137, MATCH($A80, Demand_current!$B$4:$B$137, 0), MATCH(CX$4&amp;CX$5,Demand_current!$D$2:$BW$2&amp;Demand_current!$D$3:$BW$3, 0))/1000</f>
        <v>0</v>
      </c>
      <c r="CY80" s="103">
        <f t="array" ref="CY80">INDEX(Demand_current!$D$4:$BW$137, MATCH($A80, Demand_current!$B$4:$B$137, 0), MATCH(CY$4&amp;CY$5,Demand_current!$D$2:$BW$2&amp;Demand_current!$D$3:$BW$3, 0))/1000</f>
        <v>0</v>
      </c>
      <c r="CZ80" s="103">
        <f t="array" ref="CZ80">INDEX(Demand_current!$D$4:$BW$137, MATCH($A80, Demand_current!$B$4:$B$137, 0), MATCH(CZ$4&amp;CZ$5,Demand_current!$D$2:$BW$2&amp;Demand_current!$D$3:$BW$3, 0))/1000</f>
        <v>0</v>
      </c>
      <c r="DA80" s="103">
        <f t="array" ref="DA80">INDEX(Demand_current!$D$4:$BW$137, MATCH($A80, Demand_current!$B$4:$B$137, 0), MATCH(DA$4&amp;DA$5,Demand_current!$D$2:$BW$2&amp;Demand_current!$D$3:$BW$3, 0))/1000</f>
        <v>0</v>
      </c>
      <c r="DB80" s="103">
        <f t="array" ref="DB80">INDEX(Demand_current!$D$4:$BW$137, MATCH($A80, Demand_current!$B$4:$B$137, 0), MATCH(DB$4&amp;DB$5,Demand_current!$D$2:$BW$2&amp;Demand_current!$D$3:$BW$3, 0))/1000</f>
        <v>0</v>
      </c>
      <c r="DC80" s="103">
        <f t="array" ref="DC80">INDEX(Demand_current!$D$4:$BW$137, MATCH($A80, Demand_current!$B$4:$B$137, 0), MATCH(DC$4&amp;DC$5,Demand_current!$D$2:$BW$2&amp;Demand_current!$D$3:$BW$3, 0))/1000</f>
        <v>0</v>
      </c>
      <c r="DD80" s="103">
        <f t="array" ref="DD80">INDEX(Demand_current!$D$4:$BW$137, MATCH($A80, Demand_current!$B$4:$B$137, 0), MATCH(DD$4&amp;DD$5,Demand_current!$D$2:$BW$2&amp;Demand_current!$D$3:$BW$3, 0))/1000</f>
        <v>0</v>
      </c>
      <c r="DE80" s="103">
        <f t="array" ref="DE80">INDEX(Demand_current!$D$4:$BW$137, MATCH($A80, Demand_current!$B$4:$B$137, 0), MATCH(DE$4&amp;DE$5,Demand_current!$D$2:$BW$2&amp;Demand_current!$D$3:$BW$3, 0))/1000</f>
        <v>0</v>
      </c>
      <c r="DF80" s="103">
        <f t="array" ref="DF80">INDEX(Demand_current!$D$4:$BW$137, MATCH($A80, Demand_current!$B$4:$B$137, 0), MATCH(DF$4&amp;DF$5,Demand_current!$D$2:$BW$2&amp;Demand_current!$D$3:$BW$3, 0))/1000</f>
        <v>0</v>
      </c>
      <c r="DG80" s="103">
        <f t="array" ref="DG80">INDEX(Demand_current!$D$4:$BW$137, MATCH($A80, Demand_current!$B$4:$B$137, 0), MATCH(DG$4&amp;DG$5,Demand_current!$D$2:$BW$2&amp;Demand_current!$D$3:$BW$3, 0))/1000</f>
        <v>0</v>
      </c>
      <c r="DH80" s="103">
        <f t="array" ref="DH80">INDEX(Demand_current!$D$4:$BW$137, MATCH($A80, Demand_current!$B$4:$B$137, 0), MATCH(DH$4&amp;DH$5,Demand_current!$D$2:$BW$2&amp;Demand_current!$D$3:$BW$3, 0))/1000</f>
        <v>0</v>
      </c>
      <c r="DI80" s="102">
        <f>$BS80*(VLOOKUP(DI$4, Rates_current!$H$6:$R$41, 10, FALSE)+VLOOKUP(DI$4, Rates_current!$H$6:$R$41, 11, FALSE))</f>
        <v>26951.552701990215</v>
      </c>
      <c r="DJ80" s="102">
        <f>$BS80*(VLOOKUP(DJ$4, Rates_current!$H$6:$R$41, 10, FALSE)+VLOOKUP(DJ$4, Rates_current!$H$6:$R$41, 11, FALSE))</f>
        <v>34456.673097836006</v>
      </c>
      <c r="DK80" s="102">
        <f>$BS80*(VLOOKUP(DK$4, Rates_current!$H$6:$R$41, 10, FALSE)+VLOOKUP(DK$4, Rates_current!$H$6:$R$41, 11, FALSE))</f>
        <v>39174.355461074374</v>
      </c>
      <c r="DL80" s="102">
        <f>$BS80*(VLOOKUP(DL$4, Rates_current!$H$6:$R$41, 10, FALSE)+VLOOKUP(DL$4, Rates_current!$H$6:$R$41, 11, FALSE))</f>
        <v>41332.002917954473</v>
      </c>
      <c r="DM80" s="102">
        <f>$BS80*(VLOOKUP(DM$4, Rates_current!$H$6:$R$41, 10, FALSE)+VLOOKUP(DM$4, Rates_current!$H$6:$R$41, 11, FALSE))</f>
        <v>32937.875969761342</v>
      </c>
      <c r="DN80" s="102">
        <f>$BS80*(VLOOKUP(DN$4, Rates_current!$H$6:$R$41, 10, FALSE)+VLOOKUP(DN$4, Rates_current!$H$6:$R$41, 11, FALSE))</f>
        <v>36007.862417070653</v>
      </c>
      <c r="DO80" s="102">
        <f>$BS80*(VLOOKUP(DO$4, Rates_current!$H$6:$R$41, 10, FALSE)+VLOOKUP(DO$4, Rates_current!$H$6:$R$41, 11, FALSE))</f>
        <v>27906.455578911966</v>
      </c>
      <c r="DP80" s="102">
        <f>$BS80*(VLOOKUP(DP$4, Rates_current!$H$6:$R$41, 10, FALSE)+VLOOKUP(DP$4, Rates_current!$H$6:$R$41, 11, FALSE))</f>
        <v>36115.548382595189</v>
      </c>
      <c r="DQ80" s="102">
        <f>$BS80*(VLOOKUP(DQ$4, Rates_current!$H$6:$R$41, 10, FALSE)+VLOOKUP(DQ$4, Rates_current!$H$6:$R$41, 11, FALSE))</f>
        <v>36886.720472896675</v>
      </c>
      <c r="DR80" s="102">
        <f>$BS80*(VLOOKUP(DR$4, Rates_current!$H$6:$R$41, 10, FALSE)+VLOOKUP(DR$4, Rates_current!$H$6:$R$41, 11, FALSE))</f>
        <v>32832.371359030221</v>
      </c>
      <c r="DS80" s="102">
        <f>$BS80*(VLOOKUP(DS$4, Rates_current!$H$6:$R$41, 10, FALSE)+VLOOKUP(DS$4, Rates_current!$H$6:$R$41, 11, FALSE))</f>
        <v>33679.991754559167</v>
      </c>
      <c r="DT80" s="102">
        <f>$BS80*(VLOOKUP(DT$4, Rates_current!$H$6:$R$41, 10, FALSE)+VLOOKUP(DT$4, Rates_current!$H$6:$R$41, 11, FALSE))</f>
        <v>26156.550871765976</v>
      </c>
      <c r="DU80" s="261">
        <f>IF(D80=0,IF(C80=0,MAX(0,DW80 - (VLOOKUP($A80,TOCA_current!$A$2:$AV$136,MATCH("RHWM "&amp;Init!$D$1,TOCA_current!$A$2:$AV$2,0),FALSE)*$BS$2)), 0),0)</f>
        <v>0</v>
      </c>
      <c r="DV80" s="262">
        <f>MIN(VLOOKUP($A80,TOCA_current!$A$2:$AV$136,MATCH("TRL - NLSL - Existing Resource "&amp;$BS$1,TOCA_current!$A$2:$AV$2,0),FALSE)*$BS$2, VLOOKUP($A80,TOCA_current!$A$2:$AV$136,MATCH("RHWM "&amp;Init!$D$1,TOCA_current!$A$2:$AV$2,0),FALSE)*$BS$2)</f>
        <v>1002038.88</v>
      </c>
      <c r="DW80" s="262">
        <f>SUM(BY80:CV80)+(BS80*RT1SC!$C$4*$BS$2)</f>
        <v>405951.54030514858</v>
      </c>
      <c r="DX80" s="262">
        <f>VLOOKUP($A80,TOCA_current!$A$2:$AV$136,MATCH("Above RHWM Not Served with LS "&amp;$BS$1,TOCA_current!$A$2:$AV$2,0),FALSE)*$BS$2</f>
        <v>20752.440000000002</v>
      </c>
      <c r="DY80" s="262">
        <f t="shared" si="43"/>
        <v>-596087.33969485143</v>
      </c>
      <c r="DZ80" s="262">
        <f>(VLOOKUP($A80,TOCA_current!$A$2:$AV$136,MATCH("RHWM "&amp;Init!$D$1,TOCA_current!$A$2:$AV$2,0),FALSE)*$BS$2) - $DV80</f>
        <v>0</v>
      </c>
      <c r="EA80" s="262">
        <f t="shared" si="44"/>
        <v>0</v>
      </c>
      <c r="EB80" s="262">
        <f t="shared" si="45"/>
        <v>575334.89969485137</v>
      </c>
      <c r="EC80" s="262">
        <f t="shared" si="46"/>
        <v>0</v>
      </c>
      <c r="ED80" s="262">
        <f t="shared" si="47"/>
        <v>0</v>
      </c>
    </row>
    <row r="81" spans="1:134">
      <c r="A81" s="2">
        <v>10239</v>
      </c>
      <c r="B81" s="3" t="s">
        <v>83</v>
      </c>
      <c r="C81">
        <f>VLOOKUP(A81, TOCA_current!$A$3:$D$136, 4, FALSE)</f>
        <v>1</v>
      </c>
      <c r="D81">
        <v>0</v>
      </c>
      <c r="E81" s="84">
        <f>VLOOKUP($A81,TOCA_previous!$A$2:$AJ$136,MATCH(E$4,TOCA_previous!$A$2:$AJ$2,0),FALSE)</f>
        <v>2.0268E-3</v>
      </c>
      <c r="F81" s="85">
        <f>VLOOKUP($A81,TOCA_previous!$A$2:$AJ$136,MATCH(F$4,TOCA_previous!$A$2:$AJ$2,0),FALSE)</f>
        <v>2.0268E-3</v>
      </c>
      <c r="G81" s="85">
        <f t="shared" si="33"/>
        <v>0</v>
      </c>
      <c r="H81" s="85">
        <f>VLOOKUP($A81,TOCA_previous!$A$2:$AJ$136,MATCH(H$4,TOCA_previous!$A$2:$AJ$2,0),FALSE)</f>
        <v>7.5445000000000012E-2</v>
      </c>
      <c r="I81" s="85">
        <f t="shared" si="34"/>
        <v>7.5445000000000012E-2</v>
      </c>
      <c r="J81" s="85">
        <f t="shared" si="35"/>
        <v>2.0268E-3</v>
      </c>
      <c r="K81" s="101">
        <f>VLOOKUP(A81, IRD!$A$5:$C$138, 3, FALSE)</f>
        <v>0</v>
      </c>
      <c r="L81" s="102">
        <f t="array" ref="L81">IF($G81=0, INDEX(LS_previous!$D$4:$AY$137, MATCH('Staging Table'!$A81, LS_previous!$B$4:$B$137, 0), MATCH(L$4&amp;L$5, LS_previous!$D$2:$AY$2&amp;LS_previous!$D$3:$AY$3, 0)),SUM(VLOOKUP($A81, LS_previous!$B$4:$AY$137, LS_previous!D$148, FALSE), VLOOKUP('Staging Table'!$A81, LS_previous!$B$4:$AY$137,LS_previous!AB$148, FALSE))/2)</f>
        <v>0</v>
      </c>
      <c r="M81" s="102">
        <f t="array" ref="M81">IF($G81=0, INDEX(LS_previous!$D$4:$AY$137, MATCH('Staging Table'!$A81, LS_previous!$B$4:$B$137, 0), MATCH(M$4&amp;M$5, LS_previous!$D$2:$AY$2&amp;LS_previous!$D$3:$AY$3, 0)),SUM(VLOOKUP($A81, LS_previous!$B$4:$AY$137, LS_previous!E$148, FALSE), VLOOKUP('Staging Table'!$A81, LS_previous!$B$4:$AY$137,LS_previous!AC$148, FALSE))/2)</f>
        <v>0</v>
      </c>
      <c r="N81" s="102">
        <f t="array" ref="N81">IF($G81=0, INDEX(LS_previous!$D$4:$AY$137, MATCH('Staging Table'!$A81, LS_previous!$B$4:$B$137, 0), MATCH(N$4&amp;N$5, LS_previous!$D$2:$AY$2&amp;LS_previous!$D$3:$AY$3, 0)),SUM(VLOOKUP($A81, LS_previous!$B$4:$AY$137, LS_previous!F$148, FALSE), VLOOKUP('Staging Table'!$A81, LS_previous!$B$4:$AY$137,LS_previous!AD$148, FALSE))/2)</f>
        <v>0</v>
      </c>
      <c r="O81" s="102">
        <f t="array" ref="O81">IF($G81=0, INDEX(LS_previous!$D$4:$AY$137, MATCH('Staging Table'!$A81, LS_previous!$B$4:$B$137, 0), MATCH(O$4&amp;O$5, LS_previous!$D$2:$AY$2&amp;LS_previous!$D$3:$AY$3, 0)),SUM(VLOOKUP($A81, LS_previous!$B$4:$AY$137, LS_previous!G$148, FALSE), VLOOKUP('Staging Table'!$A81, LS_previous!$B$4:$AY$137,LS_previous!AE$148, FALSE))/2)</f>
        <v>0</v>
      </c>
      <c r="P81" s="102">
        <f t="array" ref="P81">IF($G81=0, INDEX(LS_previous!$D$4:$AY$137, MATCH('Staging Table'!$A81, LS_previous!$B$4:$B$137, 0), MATCH(P$4&amp;P$5, LS_previous!$D$2:$AY$2&amp;LS_previous!$D$3:$AY$3, 0)),SUM(VLOOKUP($A81, LS_previous!$B$4:$AY$137, LS_previous!H$148, FALSE), VLOOKUP('Staging Table'!$A81, LS_previous!$B$4:$AY$137,LS_previous!AF$148, FALSE))/2)</f>
        <v>0</v>
      </c>
      <c r="Q81" s="102">
        <f t="array" ref="Q81">IF($G81=0, INDEX(LS_previous!$D$4:$AY$137, MATCH('Staging Table'!$A81, LS_previous!$B$4:$B$137, 0), MATCH(Q$4&amp;Q$5, LS_previous!$D$2:$AY$2&amp;LS_previous!$D$3:$AY$3, 0)),SUM(VLOOKUP($A81, LS_previous!$B$4:$AY$137, LS_previous!I$148, FALSE), VLOOKUP('Staging Table'!$A81, LS_previous!$B$4:$AY$137,LS_previous!AG$148, FALSE))/2)</f>
        <v>0</v>
      </c>
      <c r="R81" s="102">
        <f t="array" ref="R81">IF($G81=0, INDEX(LS_previous!$D$4:$AY$137, MATCH('Staging Table'!$A81, LS_previous!$B$4:$B$137, 0), MATCH(R$4&amp;R$5, LS_previous!$D$2:$AY$2&amp;LS_previous!$D$3:$AY$3, 0)),SUM(VLOOKUP($A81, LS_previous!$B$4:$AY$137, LS_previous!J$148, FALSE), VLOOKUP('Staging Table'!$A81, LS_previous!$B$4:$AY$137,LS_previous!AH$148, FALSE))/2)</f>
        <v>0</v>
      </c>
      <c r="S81" s="102">
        <f t="array" ref="S81">IF($G81=0, INDEX(LS_previous!$D$4:$AY$137, MATCH('Staging Table'!$A81, LS_previous!$B$4:$B$137, 0), MATCH(S$4&amp;S$5, LS_previous!$D$2:$AY$2&amp;LS_previous!$D$3:$AY$3, 0)),SUM(VLOOKUP($A81, LS_previous!$B$4:$AY$137, LS_previous!K$148, FALSE), VLOOKUP('Staging Table'!$A81, LS_previous!$B$4:$AY$137,LS_previous!AI$148, FALSE))/2)</f>
        <v>0</v>
      </c>
      <c r="T81" s="102">
        <f t="array" ref="T81">IF($G81=0, INDEX(LS_previous!$D$4:$AY$137, MATCH('Staging Table'!$A81, LS_previous!$B$4:$B$137, 0), MATCH(T$4&amp;T$5, LS_previous!$D$2:$AY$2&amp;LS_previous!$D$3:$AY$3, 0)),SUM(VLOOKUP($A81, LS_previous!$B$4:$AY$137, LS_previous!L$148, FALSE), VLOOKUP('Staging Table'!$A81, LS_previous!$B$4:$AY$137,LS_previous!AJ$148, FALSE))/2)</f>
        <v>0</v>
      </c>
      <c r="U81" s="102">
        <f t="array" ref="U81">IF($G81=0, INDEX(LS_previous!$D$4:$AY$137, MATCH('Staging Table'!$A81, LS_previous!$B$4:$B$137, 0), MATCH(U$4&amp;U$5, LS_previous!$D$2:$AY$2&amp;LS_previous!$D$3:$AY$3, 0)),SUM(VLOOKUP($A81, LS_previous!$B$4:$AY$137, LS_previous!M$148, FALSE), VLOOKUP('Staging Table'!$A81, LS_previous!$B$4:$AY$137,LS_previous!AK$148, FALSE))/2)</f>
        <v>0</v>
      </c>
      <c r="V81" s="102">
        <f t="array" ref="V81">IF($G81=0, INDEX(LS_previous!$D$4:$AY$137, MATCH('Staging Table'!$A81, LS_previous!$B$4:$B$137, 0), MATCH(V$4&amp;V$5, LS_previous!$D$2:$AY$2&amp;LS_previous!$D$3:$AY$3, 0)),SUM(VLOOKUP($A81, LS_previous!$B$4:$AY$137, LS_previous!N$148, FALSE), VLOOKUP('Staging Table'!$A81, LS_previous!$B$4:$AY$137,LS_previous!AL$148, FALSE))/2)</f>
        <v>0</v>
      </c>
      <c r="W81" s="102">
        <f t="array" ref="W81">IF($G81=0, INDEX(LS_previous!$D$4:$AY$137, MATCH('Staging Table'!$A81, LS_previous!$B$4:$B$137, 0), MATCH(W$4&amp;W$5, LS_previous!$D$2:$AY$2&amp;LS_previous!$D$3:$AY$3, 0)),SUM(VLOOKUP($A81, LS_previous!$B$4:$AY$137, LS_previous!O$148, FALSE), VLOOKUP('Staging Table'!$A81, LS_previous!$B$4:$AY$137,LS_previous!AM$148, FALSE))/2)</f>
        <v>0</v>
      </c>
      <c r="X81" s="102">
        <f t="array" ref="X81">IF($G81=0, INDEX(LS_previous!$D$4:$AY$137, MATCH('Staging Table'!$A81, LS_previous!$B$4:$B$137, 0), MATCH(X$4&amp;X$5, LS_previous!$D$2:$AY$2&amp;LS_previous!$D$3:$AY$3, 0)),SUM(VLOOKUP($A81, LS_previous!$B$4:$AY$137, LS_previous!P$148, FALSE), VLOOKUP('Staging Table'!$A81, LS_previous!$B$4:$AY$137,LS_previous!AN$148, FALSE))/2)</f>
        <v>0</v>
      </c>
      <c r="Y81" s="102">
        <f t="array" ref="Y81">IF($G81=0, INDEX(LS_previous!$D$4:$AY$137, MATCH('Staging Table'!$A81, LS_previous!$B$4:$B$137, 0), MATCH(Y$4&amp;Y$5, LS_previous!$D$2:$AY$2&amp;LS_previous!$D$3:$AY$3, 0)),SUM(VLOOKUP($A81, LS_previous!$B$4:$AY$137, LS_previous!Q$148, FALSE), VLOOKUP('Staging Table'!$A81, LS_previous!$B$4:$AY$137,LS_previous!AO$148, FALSE))/2)</f>
        <v>0</v>
      </c>
      <c r="Z81" s="102">
        <f t="array" ref="Z81">IF($G81=0, INDEX(LS_previous!$D$4:$AY$137, MATCH('Staging Table'!$A81, LS_previous!$B$4:$B$137, 0), MATCH(Z$4&amp;Z$5, LS_previous!$D$2:$AY$2&amp;LS_previous!$D$3:$AY$3, 0)),SUM(VLOOKUP($A81, LS_previous!$B$4:$AY$137, LS_previous!R$148, FALSE), VLOOKUP('Staging Table'!$A81, LS_previous!$B$4:$AY$137,LS_previous!AP$148, FALSE))/2)</f>
        <v>0</v>
      </c>
      <c r="AA81" s="102">
        <f t="array" ref="AA81">IF($G81=0, INDEX(LS_previous!$D$4:$AY$137, MATCH('Staging Table'!$A81, LS_previous!$B$4:$B$137, 0), MATCH(AA$4&amp;AA$5, LS_previous!$D$2:$AY$2&amp;LS_previous!$D$3:$AY$3, 0)),SUM(VLOOKUP($A81, LS_previous!$B$4:$AY$137, LS_previous!S$148, FALSE), VLOOKUP('Staging Table'!$A81, LS_previous!$B$4:$AY$137,LS_previous!AQ$148, FALSE))/2)</f>
        <v>0</v>
      </c>
      <c r="AB81" s="102">
        <f t="array" ref="AB81">IF($G81=0, INDEX(LS_previous!$D$4:$AY$137, MATCH('Staging Table'!$A81, LS_previous!$B$4:$B$137, 0), MATCH(AB$4&amp;AB$5, LS_previous!$D$2:$AY$2&amp;LS_previous!$D$3:$AY$3, 0)),SUM(VLOOKUP($A81, LS_previous!$B$4:$AY$137, LS_previous!T$148, FALSE), VLOOKUP('Staging Table'!$A81, LS_previous!$B$4:$AY$137,LS_previous!AR$148, FALSE))/2)</f>
        <v>0</v>
      </c>
      <c r="AC81" s="102">
        <f t="array" ref="AC81">IF($G81=0, INDEX(LS_previous!$D$4:$AY$137, MATCH('Staging Table'!$A81, LS_previous!$B$4:$B$137, 0), MATCH(AC$4&amp;AC$5, LS_previous!$D$2:$AY$2&amp;LS_previous!$D$3:$AY$3, 0)),SUM(VLOOKUP($A81, LS_previous!$B$4:$AY$137, LS_previous!U$148, FALSE), VLOOKUP('Staging Table'!$A81, LS_previous!$B$4:$AY$137,LS_previous!AS$148, FALSE))/2)</f>
        <v>0</v>
      </c>
      <c r="AD81" s="102">
        <f t="array" ref="AD81">IF($G81=0, INDEX(LS_previous!$D$4:$AY$137, MATCH('Staging Table'!$A81, LS_previous!$B$4:$B$137, 0), MATCH(AD$4&amp;AD$5, LS_previous!$D$2:$AY$2&amp;LS_previous!$D$3:$AY$3, 0)),SUM(VLOOKUP($A81, LS_previous!$B$4:$AY$137, LS_previous!V$148, FALSE), VLOOKUP('Staging Table'!$A81, LS_previous!$B$4:$AY$137,LS_previous!AT$148, FALSE))/2)</f>
        <v>0</v>
      </c>
      <c r="AE81" s="102">
        <f t="array" ref="AE81">IF($G81=0, INDEX(LS_previous!$D$4:$AY$137, MATCH('Staging Table'!$A81, LS_previous!$B$4:$B$137, 0), MATCH(AE$4&amp;AE$5, LS_previous!$D$2:$AY$2&amp;LS_previous!$D$3:$AY$3, 0)),SUM(VLOOKUP($A81, LS_previous!$B$4:$AY$137, LS_previous!W$148, FALSE), VLOOKUP('Staging Table'!$A81, LS_previous!$B$4:$AY$137,LS_previous!AU$148, FALSE))/2)</f>
        <v>0</v>
      </c>
      <c r="AF81" s="102">
        <f t="array" ref="AF81">IF($G81=0, INDEX(LS_previous!$D$4:$AY$137, MATCH('Staging Table'!$A81, LS_previous!$B$4:$B$137, 0), MATCH(AF$4&amp;AF$5, LS_previous!$D$2:$AY$2&amp;LS_previous!$D$3:$AY$3, 0)),SUM(VLOOKUP($A81, LS_previous!$B$4:$AY$137, LS_previous!X$148, FALSE), VLOOKUP('Staging Table'!$A81, LS_previous!$B$4:$AY$137,LS_previous!AV$148, FALSE))/2)</f>
        <v>0</v>
      </c>
      <c r="AG81" s="102">
        <f t="array" ref="AG81">IF($G81=0, INDEX(LS_previous!$D$4:$AY$137, MATCH('Staging Table'!$A81, LS_previous!$B$4:$B$137, 0), MATCH(AG$4&amp;AG$5, LS_previous!$D$2:$AY$2&amp;LS_previous!$D$3:$AY$3, 0)),SUM(VLOOKUP($A81, LS_previous!$B$4:$AY$137, LS_previous!Y$148, FALSE), VLOOKUP('Staging Table'!$A81, LS_previous!$B$4:$AY$137,LS_previous!AW$148, FALSE))/2)</f>
        <v>0</v>
      </c>
      <c r="AH81" s="102">
        <f t="array" ref="AH81">IF($G81=0, INDEX(LS_previous!$D$4:$AY$137, MATCH('Staging Table'!$A81, LS_previous!$B$4:$B$137, 0), MATCH(AH$4&amp;AH$5, LS_previous!$D$2:$AY$2&amp;LS_previous!$D$3:$AY$3, 0)),SUM(VLOOKUP($A81, LS_previous!$B$4:$AY$137, LS_previous!Z$148, FALSE), VLOOKUP('Staging Table'!$A81, LS_previous!$B$4:$AY$137,LS_previous!AX$148, FALSE))/2)</f>
        <v>0</v>
      </c>
      <c r="AI81" s="102">
        <f t="array" ref="AI81">IF($G81=0, INDEX(LS_previous!$D$4:$AY$137, MATCH('Staging Table'!$A81, LS_previous!$B$4:$B$137, 0), MATCH(AI$4&amp;AI$5, LS_previous!$D$2:$AY$2&amp;LS_previous!$D$3:$AY$3, 0)),SUM(VLOOKUP($A81, LS_previous!$B$4:$AY$137, LS_previous!AA$148, FALSE), VLOOKUP('Staging Table'!$A81, LS_previous!$B$4:$AY$137,LS_previous!AY$148, FALSE))/2)</f>
        <v>0</v>
      </c>
      <c r="AJ81" s="103">
        <f t="array" ref="AJ81">INDEX(Demand_previous!$D$4:$AY$137, MATCH('Staging Table'!$A81, Demand_previous!$B$4:$B$137, 0), MATCH(AJ$4&amp;AJ$5,Demand_previous!$D$2:$AY$2&amp;Demand_previous!$D$3:$AY$3, 0))/1000</f>
        <v>0</v>
      </c>
      <c r="AK81" s="103">
        <f t="array" ref="AK81">INDEX(Demand_previous!$D$4:$AY$137, MATCH('Staging Table'!$A81, Demand_previous!$B$4:$B$137, 0), MATCH(AK$4&amp;AK$5,Demand_previous!$D$2:$AY$2&amp;Demand_previous!$D$3:$AY$3, 0))/1000</f>
        <v>0</v>
      </c>
      <c r="AL81" s="103">
        <f t="array" ref="AL81">INDEX(Demand_previous!$D$4:$AY$137, MATCH('Staging Table'!$A81, Demand_previous!$B$4:$B$137, 0), MATCH(AL$4&amp;AL$5,Demand_previous!$D$2:$AY$2&amp;Demand_previous!$D$3:$AY$3, 0))/1000</f>
        <v>0</v>
      </c>
      <c r="AM81" s="103">
        <f t="array" ref="AM81">INDEX(Demand_previous!$D$4:$AY$137, MATCH('Staging Table'!$A81, Demand_previous!$B$4:$B$137, 0), MATCH(AM$4&amp;AM$5,Demand_previous!$D$2:$AY$2&amp;Demand_previous!$D$3:$AY$3, 0))/1000</f>
        <v>0</v>
      </c>
      <c r="AN81" s="103">
        <f t="array" ref="AN81">INDEX(Demand_previous!$D$4:$AY$137, MATCH('Staging Table'!$A81, Demand_previous!$B$4:$B$137, 0), MATCH(AN$4&amp;AN$5,Demand_previous!$D$2:$AY$2&amp;Demand_previous!$D$3:$AY$3, 0))/1000</f>
        <v>0</v>
      </c>
      <c r="AO81" s="103">
        <f t="array" ref="AO81">INDEX(Demand_previous!$D$4:$AY$137, MATCH('Staging Table'!$A81, Demand_previous!$B$4:$B$137, 0), MATCH(AO$4&amp;AO$5,Demand_previous!$D$2:$AY$2&amp;Demand_previous!$D$3:$AY$3, 0))/1000</f>
        <v>0</v>
      </c>
      <c r="AP81" s="103">
        <f t="array" ref="AP81">INDEX(Demand_previous!$D$4:$AY$137, MATCH('Staging Table'!$A81, Demand_previous!$B$4:$B$137, 0), MATCH(AP$4&amp;AP$5,Demand_previous!$D$2:$AY$2&amp;Demand_previous!$D$3:$AY$3, 0))/1000</f>
        <v>0</v>
      </c>
      <c r="AQ81" s="103">
        <f t="array" ref="AQ81">INDEX(Demand_previous!$D$4:$AY$137, MATCH('Staging Table'!$A81, Demand_previous!$B$4:$B$137, 0), MATCH(AQ$4&amp;AQ$5,Demand_previous!$D$2:$AY$2&amp;Demand_previous!$D$3:$AY$3, 0))/1000</f>
        <v>0</v>
      </c>
      <c r="AR81" s="103">
        <f t="array" ref="AR81">INDEX(Demand_previous!$D$4:$AY$137, MATCH('Staging Table'!$A81, Demand_previous!$B$4:$B$137, 0), MATCH(AR$4&amp;AR$5,Demand_previous!$D$2:$AY$2&amp;Demand_previous!$D$3:$AY$3, 0))/1000</f>
        <v>0</v>
      </c>
      <c r="AS81" s="103">
        <f t="array" ref="AS81">INDEX(Demand_previous!$D$4:$AY$137, MATCH('Staging Table'!$A81, Demand_previous!$B$4:$B$137, 0), MATCH(AS$4&amp;AS$5,Demand_previous!$D$2:$AY$2&amp;Demand_previous!$D$3:$AY$3, 0))/1000</f>
        <v>0</v>
      </c>
      <c r="AT81" s="103">
        <f t="array" ref="AT81">INDEX(Demand_previous!$D$4:$AY$137, MATCH('Staging Table'!$A81, Demand_previous!$B$4:$B$137, 0), MATCH(AT$4&amp;AT$5,Demand_previous!$D$2:$AY$2&amp;Demand_previous!$D$3:$AY$3, 0))/1000</f>
        <v>0</v>
      </c>
      <c r="AU81" s="103">
        <f t="array" ref="AU81">INDEX(Demand_previous!$D$4:$AY$137, MATCH('Staging Table'!$A81, Demand_previous!$B$4:$B$137, 0), MATCH(AU$4&amp;AU$5,Demand_previous!$D$2:$AY$2&amp;Demand_previous!$D$3:$AY$3, 0))/1000</f>
        <v>0</v>
      </c>
      <c r="AV81" s="102">
        <f>$F81*(VLOOKUP(AV$4, Rates_previous!$G$6:$Q$29, 10, FALSE)+VLOOKUP(AV$4, Rates_previous!$G$6:$Q$29, 11, FALSE))</f>
        <v>8550.6714638081994</v>
      </c>
      <c r="AW81" s="102">
        <f>$F81*(VLOOKUP(AW$4, Rates_previous!$G$6:$Q$29, 10, FALSE)+VLOOKUP(AW$4, Rates_previous!$G$6:$Q$29, 11, FALSE))</f>
        <v>10904.925725701201</v>
      </c>
      <c r="AX81" s="102">
        <f>$F81*(VLOOKUP(AX$4, Rates_previous!$G$6:$Q$29, 10, FALSE)+VLOOKUP(AX$4, Rates_previous!$G$6:$Q$29, 11, FALSE))</f>
        <v>11768.572518858002</v>
      </c>
      <c r="AY81" s="102">
        <f>$F81*(VLOOKUP(AY$4, Rates_previous!$G$6:$Q$29, 10, FALSE)+VLOOKUP(AY$4, Rates_previous!$G$6:$Q$29, 11, FALSE))</f>
        <v>12229.3661251392</v>
      </c>
      <c r="AZ81" s="102">
        <f>$F81*(VLOOKUP(AZ$4, Rates_previous!$G$6:$Q$29, 10, FALSE)+VLOOKUP(AZ$4, Rates_previous!$G$6:$Q$29, 11, FALSE))</f>
        <v>10518.8849380584</v>
      </c>
      <c r="BA81" s="102">
        <f>$F81*(VLOOKUP(BA$4, Rates_previous!$G$6:$Q$29, 10, FALSE)+VLOOKUP(BA$4, Rates_previous!$G$6:$Q$29, 11, FALSE))</f>
        <v>11484.539717878801</v>
      </c>
      <c r="BB81" s="102">
        <f>$F81*(VLOOKUP(BB$4, Rates_previous!$G$6:$Q$29, 10, FALSE)+VLOOKUP(BB$4, Rates_previous!$G$6:$Q$29, 11, FALSE))</f>
        <v>9065.1087277118986</v>
      </c>
      <c r="BC81" s="102">
        <f>$F81*(VLOOKUP(BC$4, Rates_previous!$G$6:$Q$29, 10, FALSE)+VLOOKUP(BC$4, Rates_previous!$G$6:$Q$29, 11, FALSE))</f>
        <v>11246.4821579742</v>
      </c>
      <c r="BD81" s="102">
        <f>$F81*(VLOOKUP(BD$4, Rates_previous!$G$6:$Q$29, 10, FALSE)+VLOOKUP(BD$4, Rates_previous!$G$6:$Q$29, 11, FALSE))</f>
        <v>11490.5027448774</v>
      </c>
      <c r="BE81" s="102">
        <f>$F81*(VLOOKUP(BE$4, Rates_previous!$G$6:$Q$29, 10, FALSE)+VLOOKUP(BE$4, Rates_previous!$G$6:$Q$29, 11, FALSE))</f>
        <v>9975.4118006921999</v>
      </c>
      <c r="BF81" s="102">
        <f>$F81*(VLOOKUP(BF$4, Rates_previous!$G$6:$Q$29, 10, FALSE)+VLOOKUP(BF$4, Rates_previous!$G$6:$Q$29, 11, FALSE))</f>
        <v>9643.5716598361814</v>
      </c>
      <c r="BG81" s="102">
        <f>$F81*(VLOOKUP(BG$4, Rates_previous!$G$6:$Q$29, 10, FALSE)+VLOOKUP(BG$4, Rates_previous!$G$6:$Q$29, 11, FALSE))</f>
        <v>8873.9533937304004</v>
      </c>
      <c r="BH81" s="103">
        <f>IF($D81=0,IF(C81=0, MAX(BJ81 - (VLOOKUP($A81,TOCA_previous!$A$2:$AJ$136,MATCH("RHWM "&amp;Init!$D$1-2,TOCA_previous!$A$2:$AJ$2,0),FALSE)*$F$2*TOCA_previous!C78),0),0), 0)</f>
        <v>0</v>
      </c>
      <c r="BI81" s="109">
        <f>MIN(VLOOKUP($A81,TOCA_previous!$A$2:$AJ$136,MATCH("TRL - NLSL - Existing Resource "&amp;$F$1,TOCA_previous!$A$2:$AJ$2,0),FALSE)*$F$2,(VLOOKUP($A81,TOCA_previous!$A$2:$AJ$136,MATCH("RHWM "&amp;Init!$D$1-2,TOCA_previous!$A$2:$AJ$2,0),FALSE)*$F$2))</f>
        <v>122976</v>
      </c>
      <c r="BJ81" s="261">
        <f>SUM(L81:AI81)+(F81*RT1SC!$C$3*$F$2)</f>
        <v>125751.99155068801</v>
      </c>
      <c r="BK81" s="260">
        <f>VLOOKUP($A81,TOCA_previous!$A$2:$AJ$136,MATCH("Above RHWM Not Served with LS "&amp;$F$1,TOCA_previous!$A$2:$AJ$2,0),FALSE)*$F$2</f>
        <v>9565.7759999999998</v>
      </c>
      <c r="BL81" s="261">
        <f t="shared" si="36"/>
        <v>2775.9915506880061</v>
      </c>
      <c r="BM81" s="260">
        <f>(VLOOKUP($A81,TOCA_previous!$A$2:$AJ$136,MATCH("RHWM "&amp;Init!$D$1-2,TOCA_previous!$A$2:$AJ$2,0),FALSE)*$F$2) - $BI81</f>
        <v>0</v>
      </c>
      <c r="BN81" s="261">
        <f t="shared" si="37"/>
        <v>0</v>
      </c>
      <c r="BO81" s="260">
        <f t="shared" si="38"/>
        <v>0</v>
      </c>
      <c r="BP81" s="261">
        <f t="shared" si="39"/>
        <v>0</v>
      </c>
      <c r="BQ81" s="260">
        <f t="shared" si="9"/>
        <v>0</v>
      </c>
      <c r="BR81" s="85">
        <f>VLOOKUP($A81,TOCA_current!$A$2:$ZZ$136,MATCH(BR$4,TOCA_current!$A$2:$ZZ$2,0),FALSE)</f>
        <v>1.9805999999999999E-3</v>
      </c>
      <c r="BS81" s="85">
        <f>VLOOKUP($A81,TOCA_current!$A$2:$ZZ$136,MATCH(BS$4,TOCA_current!$A$2:$ZZ$2,0),FALSE)</f>
        <v>1.9805999999999999E-3</v>
      </c>
      <c r="BT81" s="108">
        <f t="shared" si="40"/>
        <v>0</v>
      </c>
      <c r="BU81" s="85">
        <f>VLOOKUP($A81,TOCA_current!A78:BG212,MATCH(BU$4,TOCA_current!$A$2:$BG$2,0),FALSE)</f>
        <v>7.8500816703359136E-2</v>
      </c>
      <c r="BV81" s="85">
        <f t="shared" si="41"/>
        <v>7.8500816703359136E-2</v>
      </c>
      <c r="BW81" s="85">
        <f t="shared" si="42"/>
        <v>1.9805999999999999E-3</v>
      </c>
      <c r="BX81" s="101">
        <f>VLOOKUP($A81,IRD!$A$4:$G$138, 7, FALSE)</f>
        <v>0</v>
      </c>
      <c r="BY81" s="102">
        <f t="array" ref="BY81">IF($BT81=0, INDEX(LS_current!$D$4:$BW$137, MATCH('Staging Table'!$A81, LS_current!$B$4:$B$137, 0), MATCH(BY$4&amp;BY$5, LS_current!$D$2:$BW$2&amp;LS_current!$D$3:$BW$3, 0)),SUM(VLOOKUP($A81, LS_current!$B$4:$BW$137, LS_current!D$147, FALSE), VLOOKUP($A81, LS_current!$B$4:$BW$137,LS_current!AZ$147, FALSE))/2)</f>
        <v>0</v>
      </c>
      <c r="BZ81" s="102">
        <f t="array" ref="BZ81">IF($BT81=0, INDEX(LS_current!$D$4:$BW$137, MATCH('Staging Table'!$A81, LS_current!$B$4:$B$137, 0), MATCH(BZ$4&amp;BZ$5, LS_current!$D$2:$BW$2&amp;LS_current!$D$3:$BW$3, 0)),SUM(VLOOKUP($A81, LS_current!$B$4:$BW$137, LS_current!E$147, FALSE), VLOOKUP($A81, LS_current!$B$4:$BW$137,LS_current!BA$147, FALSE))/2)</f>
        <v>0</v>
      </c>
      <c r="CA81" s="102">
        <f t="array" ref="CA81">IF($BT81=0, INDEX(LS_current!$D$4:$BW$137, MATCH('Staging Table'!$A81, LS_current!$B$4:$B$137, 0), MATCH(CA$4&amp;CA$5, LS_current!$D$2:$BW$2&amp;LS_current!$D$3:$BW$3, 0)),SUM(VLOOKUP($A81, LS_current!$B$4:$BW$137, LS_current!F$147, FALSE), VLOOKUP($A81, LS_current!$B$4:$BW$137,LS_current!BB$147, FALSE))/2)</f>
        <v>0</v>
      </c>
      <c r="CB81" s="102">
        <f t="array" ref="CB81">IF($BT81=0, INDEX(LS_current!$D$4:$BW$137, MATCH('Staging Table'!$A81, LS_current!$B$4:$B$137, 0), MATCH(CB$4&amp;CB$5, LS_current!$D$2:$BW$2&amp;LS_current!$D$3:$BW$3, 0)),SUM(VLOOKUP($A81, LS_current!$B$4:$BW$137, LS_current!G$147, FALSE), VLOOKUP($A81, LS_current!$B$4:$BW$137,LS_current!BC$147, FALSE))/2)</f>
        <v>0</v>
      </c>
      <c r="CC81" s="102">
        <f t="array" ref="CC81">IF($BT81=0, INDEX(LS_current!$D$4:$BW$137, MATCH('Staging Table'!$A81, LS_current!$B$4:$B$137, 0), MATCH(CC$4&amp;CC$5, LS_current!$D$2:$BW$2&amp;LS_current!$D$3:$BW$3, 0)),SUM(VLOOKUP($A81, LS_current!$B$4:$BW$137, LS_current!H$147, FALSE), VLOOKUP($A81, LS_current!$B$4:$BW$137,LS_current!BD$147, FALSE))/2)</f>
        <v>0</v>
      </c>
      <c r="CD81" s="102">
        <f t="array" ref="CD81">IF($BT81=0, INDEX(LS_current!$D$4:$BW$137, MATCH('Staging Table'!$A81, LS_current!$B$4:$B$137, 0), MATCH(CD$4&amp;CD$5, LS_current!$D$2:$BW$2&amp;LS_current!$D$3:$BW$3, 0)),SUM(VLOOKUP($A81, LS_current!$B$4:$BW$137, LS_current!I$147, FALSE), VLOOKUP($A81, LS_current!$B$4:$BW$137,LS_current!BE$147, FALSE))/2)</f>
        <v>0</v>
      </c>
      <c r="CE81" s="102">
        <f t="array" ref="CE81">IF($BT81=0, INDEX(LS_current!$D$4:$BW$137, MATCH('Staging Table'!$A81, LS_current!$B$4:$B$137, 0), MATCH(CE$4&amp;CE$5, LS_current!$D$2:$BW$2&amp;LS_current!$D$3:$BW$3, 0)),SUM(VLOOKUP($A81, LS_current!$B$4:$BW$137, LS_current!J$147, FALSE), VLOOKUP($A81, LS_current!$B$4:$BW$137,LS_current!BF$147, FALSE))/2)</f>
        <v>0</v>
      </c>
      <c r="CF81" s="102">
        <f t="array" ref="CF81">IF($BT81=0, INDEX(LS_current!$D$4:$BW$137, MATCH('Staging Table'!$A81, LS_current!$B$4:$B$137, 0), MATCH(CF$4&amp;CF$5, LS_current!$D$2:$BW$2&amp;LS_current!$D$3:$BW$3, 0)),SUM(VLOOKUP($A81, LS_current!$B$4:$BW$137, LS_current!K$147, FALSE), VLOOKUP($A81, LS_current!$B$4:$BW$137,LS_current!BG$147, FALSE))/2)</f>
        <v>0</v>
      </c>
      <c r="CG81" s="102">
        <f t="array" ref="CG81">IF($BT81=0, INDEX(LS_current!$D$4:$BW$137, MATCH('Staging Table'!$A81, LS_current!$B$4:$B$137, 0), MATCH(CG$4&amp;CG$5, LS_current!$D$2:$BW$2&amp;LS_current!$D$3:$BW$3, 0)),SUM(VLOOKUP($A81, LS_current!$B$4:$BW$137, LS_current!L$147, FALSE), VLOOKUP($A81, LS_current!$B$4:$BW$137,LS_current!BH$147, FALSE))/2)</f>
        <v>0</v>
      </c>
      <c r="CH81" s="102">
        <f t="array" ref="CH81">IF($BT81=0, INDEX(LS_current!$D$4:$BW$137, MATCH('Staging Table'!$A81, LS_current!$B$4:$B$137, 0), MATCH(CH$4&amp;CH$5, LS_current!$D$2:$BW$2&amp;LS_current!$D$3:$BW$3, 0)),SUM(VLOOKUP($A81, LS_current!$B$4:$BW$137, LS_current!M$147, FALSE), VLOOKUP($A81, LS_current!$B$4:$BW$137,LS_current!BI$147, FALSE))/2)</f>
        <v>0</v>
      </c>
      <c r="CI81" s="102">
        <f t="array" ref="CI81">IF($BT81=0, INDEX(LS_current!$D$4:$BW$137, MATCH('Staging Table'!$A81, LS_current!$B$4:$B$137, 0), MATCH(CI$4&amp;CI$5, LS_current!$D$2:$BW$2&amp;LS_current!$D$3:$BW$3, 0)),SUM(VLOOKUP($A81, LS_current!$B$4:$BW$137, LS_current!N$147, FALSE), VLOOKUP($A81, LS_current!$B$4:$BW$137,LS_current!BJ$147, FALSE))/2)</f>
        <v>0</v>
      </c>
      <c r="CJ81" s="102">
        <f t="array" ref="CJ81">IF($BT81=0, INDEX(LS_current!$D$4:$BW$137, MATCH('Staging Table'!$A81, LS_current!$B$4:$B$137, 0), MATCH(CJ$4&amp;CJ$5, LS_current!$D$2:$BW$2&amp;LS_current!$D$3:$BW$3, 0)),SUM(VLOOKUP($A81, LS_current!$B$4:$BW$137, LS_current!O$147, FALSE), VLOOKUP($A81, LS_current!$B$4:$BW$137,LS_current!BK$147, FALSE))/2)</f>
        <v>0</v>
      </c>
      <c r="CK81" s="102">
        <f t="array" ref="CK81">IF($BT81=0, INDEX(LS_current!$D$4:$BW$137, MATCH('Staging Table'!$A81, LS_current!$B$4:$B$137, 0), MATCH(CK$4&amp;CK$5, LS_current!$D$2:$BW$2&amp;LS_current!$D$3:$BW$3, 0)),SUM(VLOOKUP($A81, LS_current!$B$4:$BW$137, LS_current!P$147, FALSE), VLOOKUP($A81, LS_current!$B$4:$BW$137,LS_current!BL$147, FALSE))/2)</f>
        <v>0</v>
      </c>
      <c r="CL81" s="102">
        <f t="array" ref="CL81">IF($BT81=0, INDEX(LS_current!$D$4:$BW$137, MATCH('Staging Table'!$A81, LS_current!$B$4:$B$137, 0), MATCH(CL$4&amp;CL$5, LS_current!$D$2:$BW$2&amp;LS_current!$D$3:$BW$3, 0)),SUM(VLOOKUP($A81, LS_current!$B$4:$BW$137, LS_current!Q$147, FALSE), VLOOKUP($A81, LS_current!$B$4:$BW$137,LS_current!BM$147, FALSE))/2)</f>
        <v>0</v>
      </c>
      <c r="CM81" s="102">
        <f t="array" ref="CM81">IF($BT81=0, INDEX(LS_current!$D$4:$BW$137, MATCH('Staging Table'!$A81, LS_current!$B$4:$B$137, 0), MATCH(CM$4&amp;CM$5, LS_current!$D$2:$BW$2&amp;LS_current!$D$3:$BW$3, 0)),SUM(VLOOKUP($A81, LS_current!$B$4:$BW$137, LS_current!R$147, FALSE), VLOOKUP($A81, LS_current!$B$4:$BW$137,LS_current!BN$147, FALSE))/2)</f>
        <v>0</v>
      </c>
      <c r="CN81" s="102">
        <f t="array" ref="CN81">IF($BT81=0, INDEX(LS_current!$D$4:$BW$137, MATCH('Staging Table'!$A81, LS_current!$B$4:$B$137, 0), MATCH(CN$4&amp;CN$5, LS_current!$D$2:$BW$2&amp;LS_current!$D$3:$BW$3, 0)),SUM(VLOOKUP($A81, LS_current!$B$4:$BW$137, LS_current!S$147, FALSE), VLOOKUP($A81, LS_current!$B$4:$BW$137,LS_current!BO$147, FALSE))/2)</f>
        <v>0</v>
      </c>
      <c r="CO81" s="102">
        <f t="array" ref="CO81">IF($BT81=0, INDEX(LS_current!$D$4:$BW$137, MATCH('Staging Table'!$A81, LS_current!$B$4:$B$137, 0), MATCH(CO$4&amp;CO$5, LS_current!$D$2:$BW$2&amp;LS_current!$D$3:$BW$3, 0)),SUM(VLOOKUP($A81, LS_current!$B$4:$BW$137, LS_current!T$147, FALSE), VLOOKUP($A81, LS_current!$B$4:$BW$137,LS_current!BP$147, FALSE))/2)</f>
        <v>0</v>
      </c>
      <c r="CP81" s="102">
        <f t="array" ref="CP81">IF($BT81=0, INDEX(LS_current!$D$4:$BW$137, MATCH('Staging Table'!$A81, LS_current!$B$4:$B$137, 0), MATCH(CP$4&amp;CP$5, LS_current!$D$2:$BW$2&amp;LS_current!$D$3:$BW$3, 0)),SUM(VLOOKUP($A81, LS_current!$B$4:$BW$137, LS_current!U$147, FALSE), VLOOKUP($A81, LS_current!$B$4:$BW$137,LS_current!BQ$147, FALSE))/2)</f>
        <v>0</v>
      </c>
      <c r="CQ81" s="102">
        <f t="array" ref="CQ81">IF($BT81=0, INDEX(LS_current!$D$4:$BW$137, MATCH('Staging Table'!$A81, LS_current!$B$4:$B$137, 0), MATCH(CQ$4&amp;CQ$5, LS_current!$D$2:$BW$2&amp;LS_current!$D$3:$BW$3, 0)),SUM(VLOOKUP($A81, LS_current!$B$4:$BW$137, LS_current!V$147, FALSE), VLOOKUP($A81, LS_current!$B$4:$BW$137,LS_current!BR$147, FALSE))/2)</f>
        <v>0</v>
      </c>
      <c r="CR81" s="102">
        <f t="array" ref="CR81">IF($BT81=0, INDEX(LS_current!$D$4:$BW$137, MATCH('Staging Table'!$A81, LS_current!$B$4:$B$137, 0), MATCH(CR$4&amp;CR$5, LS_current!$D$2:$BW$2&amp;LS_current!$D$3:$BW$3, 0)),SUM(VLOOKUP($A81, LS_current!$B$4:$BW$137, LS_current!W$147, FALSE), VLOOKUP($A81, LS_current!$B$4:$BW$137,LS_current!BS$147, FALSE))/2)</f>
        <v>0</v>
      </c>
      <c r="CS81" s="102">
        <f t="array" ref="CS81">IF($BT81=0, INDEX(LS_current!$D$4:$BW$137, MATCH('Staging Table'!$A81, LS_current!$B$4:$B$137, 0), MATCH(CS$4&amp;CS$5, LS_current!$D$2:$BW$2&amp;LS_current!$D$3:$BW$3, 0)),SUM(VLOOKUP($A81, LS_current!$B$4:$BW$137, LS_current!X$147, FALSE), VLOOKUP($A81, LS_current!$B$4:$BW$137,LS_current!BT$147, FALSE))/2)</f>
        <v>0</v>
      </c>
      <c r="CT81" s="102">
        <f t="array" ref="CT81">IF($BT81=0, INDEX(LS_current!$D$4:$BW$137, MATCH('Staging Table'!$A81, LS_current!$B$4:$B$137, 0), MATCH(CT$4&amp;CT$5, LS_current!$D$2:$BW$2&amp;LS_current!$D$3:$BW$3, 0)),SUM(VLOOKUP($A81, LS_current!$B$4:$BW$137, LS_current!Y$147, FALSE), VLOOKUP($A81, LS_current!$B$4:$BW$137,LS_current!BU$147, FALSE))/2)</f>
        <v>0</v>
      </c>
      <c r="CU81" s="102">
        <f t="array" ref="CU81">IF($BT81=0, INDEX(LS_current!$D$4:$BW$137, MATCH('Staging Table'!$A81, LS_current!$B$4:$B$137, 0), MATCH(CU$4&amp;CU$5, LS_current!$D$2:$BW$2&amp;LS_current!$D$3:$BW$3, 0)),SUM(VLOOKUP($A81, LS_current!$B$4:$BW$137, LS_current!Z$147, FALSE), VLOOKUP($A81, LS_current!$B$4:$BW$137,LS_current!BV$147, FALSE))/2)</f>
        <v>0</v>
      </c>
      <c r="CV81" s="102">
        <f t="array" ref="CV81">IF($BT81=0, INDEX(LS_current!$D$4:$BW$137, MATCH('Staging Table'!$A81, LS_current!$B$4:$B$137, 0), MATCH(CV$4&amp;CV$5, LS_current!$D$2:$BW$2&amp;LS_current!$D$3:$BW$3, 0)),SUM(VLOOKUP($A81, LS_current!$B$4:$BW$137, LS_current!AA$147, FALSE), VLOOKUP($A81, LS_current!$B$4:$BW$137,LS_current!BW$147, FALSE))/2)</f>
        <v>0</v>
      </c>
      <c r="CW81" s="103">
        <f t="array" ref="CW81">INDEX(Demand_current!$D$4:$BW$137, MATCH($A81, Demand_current!$B$4:$B$137, 0), MATCH(CW$4&amp;CW$5,Demand_current!$D$2:$BW$2&amp;Demand_current!$D$3:$BW$3, 0))/1000</f>
        <v>0</v>
      </c>
      <c r="CX81" s="103">
        <f t="array" ref="CX81">INDEX(Demand_current!$D$4:$BW$137, MATCH($A81, Demand_current!$B$4:$B$137, 0), MATCH(CX$4&amp;CX$5,Demand_current!$D$2:$BW$2&amp;Demand_current!$D$3:$BW$3, 0))/1000</f>
        <v>0</v>
      </c>
      <c r="CY81" s="103">
        <f t="array" ref="CY81">INDEX(Demand_current!$D$4:$BW$137, MATCH($A81, Demand_current!$B$4:$B$137, 0), MATCH(CY$4&amp;CY$5,Demand_current!$D$2:$BW$2&amp;Demand_current!$D$3:$BW$3, 0))/1000</f>
        <v>0</v>
      </c>
      <c r="CZ81" s="103">
        <f t="array" ref="CZ81">INDEX(Demand_current!$D$4:$BW$137, MATCH($A81, Demand_current!$B$4:$B$137, 0), MATCH(CZ$4&amp;CZ$5,Demand_current!$D$2:$BW$2&amp;Demand_current!$D$3:$BW$3, 0))/1000</f>
        <v>0</v>
      </c>
      <c r="DA81" s="103">
        <f t="array" ref="DA81">INDEX(Demand_current!$D$4:$BW$137, MATCH($A81, Demand_current!$B$4:$B$137, 0), MATCH(DA$4&amp;DA$5,Demand_current!$D$2:$BW$2&amp;Demand_current!$D$3:$BW$3, 0))/1000</f>
        <v>0</v>
      </c>
      <c r="DB81" s="103">
        <f t="array" ref="DB81">INDEX(Demand_current!$D$4:$BW$137, MATCH($A81, Demand_current!$B$4:$B$137, 0), MATCH(DB$4&amp;DB$5,Demand_current!$D$2:$BW$2&amp;Demand_current!$D$3:$BW$3, 0))/1000</f>
        <v>0</v>
      </c>
      <c r="DC81" s="103">
        <f t="array" ref="DC81">INDEX(Demand_current!$D$4:$BW$137, MATCH($A81, Demand_current!$B$4:$B$137, 0), MATCH(DC$4&amp;DC$5,Demand_current!$D$2:$BW$2&amp;Demand_current!$D$3:$BW$3, 0))/1000</f>
        <v>0</v>
      </c>
      <c r="DD81" s="103">
        <f t="array" ref="DD81">INDEX(Demand_current!$D$4:$BW$137, MATCH($A81, Demand_current!$B$4:$B$137, 0), MATCH(DD$4&amp;DD$5,Demand_current!$D$2:$BW$2&amp;Demand_current!$D$3:$BW$3, 0))/1000</f>
        <v>0</v>
      </c>
      <c r="DE81" s="103">
        <f t="array" ref="DE81">INDEX(Demand_current!$D$4:$BW$137, MATCH($A81, Demand_current!$B$4:$B$137, 0), MATCH(DE$4&amp;DE$5,Demand_current!$D$2:$BW$2&amp;Demand_current!$D$3:$BW$3, 0))/1000</f>
        <v>0</v>
      </c>
      <c r="DF81" s="103">
        <f t="array" ref="DF81">INDEX(Demand_current!$D$4:$BW$137, MATCH($A81, Demand_current!$B$4:$B$137, 0), MATCH(DF$4&amp;DF$5,Demand_current!$D$2:$BW$2&amp;Demand_current!$D$3:$BW$3, 0))/1000</f>
        <v>0</v>
      </c>
      <c r="DG81" s="103">
        <f t="array" ref="DG81">INDEX(Demand_current!$D$4:$BW$137, MATCH($A81, Demand_current!$B$4:$B$137, 0), MATCH(DG$4&amp;DG$5,Demand_current!$D$2:$BW$2&amp;Demand_current!$D$3:$BW$3, 0))/1000</f>
        <v>0</v>
      </c>
      <c r="DH81" s="103">
        <f t="array" ref="DH81">INDEX(Demand_current!$D$4:$BW$137, MATCH($A81, Demand_current!$B$4:$B$137, 0), MATCH(DH$4&amp;DH$5,Demand_current!$D$2:$BW$2&amp;Demand_current!$D$3:$BW$3, 0))/1000</f>
        <v>0</v>
      </c>
      <c r="DI81" s="102">
        <f>$BS81*(VLOOKUP(DI$4, Rates_current!$H$6:$R$41, 10, FALSE)+VLOOKUP(DI$4, Rates_current!$H$6:$R$41, 11, FALSE))</f>
        <v>8220.0596377464717</v>
      </c>
      <c r="DJ81" s="102">
        <f>$BS81*(VLOOKUP(DJ$4, Rates_current!$H$6:$R$41, 10, FALSE)+VLOOKUP(DJ$4, Rates_current!$H$6:$R$41, 11, FALSE))</f>
        <v>10509.075707598513</v>
      </c>
      <c r="DK81" s="102">
        <f>$BS81*(VLOOKUP(DK$4, Rates_current!$H$6:$R$41, 10, FALSE)+VLOOKUP(DK$4, Rates_current!$H$6:$R$41, 11, FALSE))</f>
        <v>11947.940132463375</v>
      </c>
      <c r="DL81" s="102">
        <f>$BS81*(VLOOKUP(DL$4, Rates_current!$H$6:$R$41, 10, FALSE)+VLOOKUP(DL$4, Rates_current!$H$6:$R$41, 11, FALSE))</f>
        <v>12606.009482637648</v>
      </c>
      <c r="DM81" s="102">
        <f>$BS81*(VLOOKUP(DM$4, Rates_current!$H$6:$R$41, 10, FALSE)+VLOOKUP(DM$4, Rates_current!$H$6:$R$41, 11, FALSE))</f>
        <v>10045.851821818831</v>
      </c>
      <c r="DN81" s="102">
        <f>$BS81*(VLOOKUP(DN$4, Rates_current!$H$6:$R$41, 10, FALSE)+VLOOKUP(DN$4, Rates_current!$H$6:$R$41, 11, FALSE))</f>
        <v>10982.179014652233</v>
      </c>
      <c r="DO81" s="102">
        <f>$BS81*(VLOOKUP(DO$4, Rates_current!$H$6:$R$41, 10, FALSE)+VLOOKUP(DO$4, Rates_current!$H$6:$R$41, 11, FALSE))</f>
        <v>8511.2992068853891</v>
      </c>
      <c r="DP81" s="102">
        <f>$BS81*(VLOOKUP(DP$4, Rates_current!$H$6:$R$41, 10, FALSE)+VLOOKUP(DP$4, Rates_current!$H$6:$R$41, 11, FALSE))</f>
        <v>11015.022579123181</v>
      </c>
      <c r="DQ81" s="102">
        <f>$BS81*(VLOOKUP(DQ$4, Rates_current!$H$6:$R$41, 10, FALSE)+VLOOKUP(DQ$4, Rates_current!$H$6:$R$41, 11, FALSE))</f>
        <v>11250.225375909567</v>
      </c>
      <c r="DR81" s="102">
        <f>$BS81*(VLOOKUP(DR$4, Rates_current!$H$6:$R$41, 10, FALSE)+VLOOKUP(DR$4, Rates_current!$H$6:$R$41, 11, FALSE))</f>
        <v>10013.673557291497</v>
      </c>
      <c r="DS81" s="102">
        <f>$BS81*(VLOOKUP(DS$4, Rates_current!$H$6:$R$41, 10, FALSE)+VLOOKUP(DS$4, Rates_current!$H$6:$R$41, 11, FALSE))</f>
        <v>10272.192622165398</v>
      </c>
      <c r="DT81" s="102">
        <f>$BS81*(VLOOKUP(DT$4, Rates_current!$H$6:$R$41, 10, FALSE)+VLOOKUP(DT$4, Rates_current!$H$6:$R$41, 11, FALSE))</f>
        <v>7977.5889152311693</v>
      </c>
      <c r="DU81" s="261">
        <f>IF(D81=0,IF(C81=0,MAX(0,DW81 - (VLOOKUP($A81,TOCA_current!$A$2:$AV$136,MATCH("RHWM "&amp;Init!$D$1,TOCA_current!$A$2:$AV$2,0),FALSE)*$BS$2)), 0),0)</f>
        <v>0</v>
      </c>
      <c r="DV81" s="262">
        <f>MIN(VLOOKUP($A81,TOCA_current!$A$2:$AV$136,MATCH("TRL - NLSL - Existing Resource "&amp;$BS$1,TOCA_current!$A$2:$AV$2,0),FALSE)*$BS$2, VLOOKUP($A81,TOCA_current!$A$2:$AV$136,MATCH("RHWM "&amp;Init!$D$1,TOCA_current!$A$2:$AV$2,0),FALSE)*$BS$2)</f>
        <v>123349.56</v>
      </c>
      <c r="DW81" s="262">
        <f>SUM(BY81:CV81)+(BS81*RT1SC!$C$4*$BS$2)</f>
        <v>123351.12533491199</v>
      </c>
      <c r="DX81" s="262">
        <f>VLOOKUP($A81,TOCA_current!$A$2:$AV$136,MATCH("Above RHWM Not Served with LS "&amp;$BS$1,TOCA_current!$A$2:$AV$2,0),FALSE)*$BS$2</f>
        <v>14979.6</v>
      </c>
      <c r="DY81" s="262">
        <f t="shared" si="43"/>
        <v>1.5653349119966151</v>
      </c>
      <c r="DZ81" s="262">
        <f>(VLOOKUP($A81,TOCA_current!$A$2:$AV$136,MATCH("RHWM "&amp;Init!$D$1,TOCA_current!$A$2:$AV$2,0),FALSE)*$BS$2) - $DV81</f>
        <v>0</v>
      </c>
      <c r="EA81" s="262">
        <f t="shared" si="44"/>
        <v>0</v>
      </c>
      <c r="EB81" s="262">
        <f t="shared" si="45"/>
        <v>0</v>
      </c>
      <c r="EC81" s="262">
        <f t="shared" si="46"/>
        <v>0</v>
      </c>
      <c r="ED81" s="262">
        <f t="shared" si="47"/>
        <v>0</v>
      </c>
    </row>
    <row r="82" spans="1:134">
      <c r="A82" s="2">
        <v>10242</v>
      </c>
      <c r="B82" s="3" t="s">
        <v>84</v>
      </c>
      <c r="C82">
        <f>VLOOKUP(A82, TOCA_current!$A$3:$D$136, 4, FALSE)</f>
        <v>0</v>
      </c>
      <c r="D82">
        <v>0</v>
      </c>
      <c r="E82" s="84">
        <f>VLOOKUP($A82,TOCA_previous!$A$2:$AJ$136,MATCH(E$4,TOCA_previous!$A$2:$AJ$2,0),FALSE)</f>
        <v>1.3791000000000001E-3</v>
      </c>
      <c r="F82" s="85">
        <f>VLOOKUP($A82,TOCA_previous!$A$2:$AJ$136,MATCH(F$4,TOCA_previous!$A$2:$AJ$2,0),FALSE)</f>
        <v>1.3791000000000001E-3</v>
      </c>
      <c r="G82" s="85">
        <f t="shared" si="33"/>
        <v>0</v>
      </c>
      <c r="H82" s="85">
        <f>VLOOKUP($A82,TOCA_previous!$A$2:$AJ$136,MATCH(H$4,TOCA_previous!$A$2:$AJ$2,0),FALSE)</f>
        <v>8.305794667226539E-2</v>
      </c>
      <c r="I82" s="85">
        <f t="shared" si="34"/>
        <v>0</v>
      </c>
      <c r="J82" s="85">
        <f t="shared" si="35"/>
        <v>0</v>
      </c>
      <c r="K82" s="101">
        <f>VLOOKUP(A82, IRD!$A$5:$C$138, 3, FALSE)</f>
        <v>37558.894</v>
      </c>
      <c r="L82" s="102">
        <f t="array" ref="L82">IF($G82=0, INDEX(LS_previous!$D$4:$AY$137, MATCH('Staging Table'!$A82, LS_previous!$B$4:$B$137, 0), MATCH(L$4&amp;L$5, LS_previous!$D$2:$AY$2&amp;LS_previous!$D$3:$AY$3, 0)),SUM(VLOOKUP($A82, LS_previous!$B$4:$AY$137, LS_previous!D$148, FALSE), VLOOKUP('Staging Table'!$A82, LS_previous!$B$4:$AY$137,LS_previous!AB$148, FALSE))/2)</f>
        <v>-1621.8685700476008</v>
      </c>
      <c r="M82" s="102">
        <f t="array" ref="M82">IF($G82=0, INDEX(LS_previous!$D$4:$AY$137, MATCH('Staging Table'!$A82, LS_previous!$B$4:$B$137, 0), MATCH(M$4&amp;M$5, LS_previous!$D$2:$AY$2&amp;LS_previous!$D$3:$AY$3, 0)),SUM(VLOOKUP($A82, LS_previous!$B$4:$AY$137, LS_previous!E$148, FALSE), VLOOKUP('Staging Table'!$A82, LS_previous!$B$4:$AY$137,LS_previous!AC$148, FALSE))/2)</f>
        <v>-1077.02469743705</v>
      </c>
      <c r="N82" s="102">
        <f t="array" ref="N82">IF($G82=0, INDEX(LS_previous!$D$4:$AY$137, MATCH('Staging Table'!$A82, LS_previous!$B$4:$B$137, 0), MATCH(N$4&amp;N$5, LS_previous!$D$2:$AY$2&amp;LS_previous!$D$3:$AY$3, 0)),SUM(VLOOKUP($A82, LS_previous!$B$4:$AY$137, LS_previous!F$148, FALSE), VLOOKUP('Staging Table'!$A82, LS_previous!$B$4:$AY$137,LS_previous!AD$148, FALSE))/2)</f>
        <v>-2695.4414740448001</v>
      </c>
      <c r="O82" s="102">
        <f t="array" ref="O82">IF($G82=0, INDEX(LS_previous!$D$4:$AY$137, MATCH('Staging Table'!$A82, LS_previous!$B$4:$B$137, 0), MATCH(O$4&amp;O$5, LS_previous!$D$2:$AY$2&amp;LS_previous!$D$3:$AY$3, 0)),SUM(VLOOKUP($A82, LS_previous!$B$4:$AY$137, LS_previous!G$148, FALSE), VLOOKUP('Staging Table'!$A82, LS_previous!$B$4:$AY$137,LS_previous!AE$148, FALSE))/2)</f>
        <v>-1431.2062200120999</v>
      </c>
      <c r="P82" s="102">
        <f t="array" ref="P82">IF($G82=0, INDEX(LS_previous!$D$4:$AY$137, MATCH('Staging Table'!$A82, LS_previous!$B$4:$B$137, 0), MATCH(P$4&amp;P$5, LS_previous!$D$2:$AY$2&amp;LS_previous!$D$3:$AY$3, 0)),SUM(VLOOKUP($A82, LS_previous!$B$4:$AY$137, LS_previous!H$148, FALSE), VLOOKUP('Staging Table'!$A82, LS_previous!$B$4:$AY$137,LS_previous!AF$148, FALSE))/2)</f>
        <v>-2279.7538826549007</v>
      </c>
      <c r="Q82" s="102">
        <f t="array" ref="Q82">IF($G82=0, INDEX(LS_previous!$D$4:$AY$137, MATCH('Staging Table'!$A82, LS_previous!$B$4:$B$137, 0), MATCH(Q$4&amp;Q$5, LS_previous!$D$2:$AY$2&amp;LS_previous!$D$3:$AY$3, 0)),SUM(VLOOKUP($A82, LS_previous!$B$4:$AY$137, LS_previous!I$148, FALSE), VLOOKUP('Staging Table'!$A82, LS_previous!$B$4:$AY$137,LS_previous!AG$148, FALSE))/2)</f>
        <v>-1158.3309061536002</v>
      </c>
      <c r="R82" s="102">
        <f t="array" ref="R82">IF($G82=0, INDEX(LS_previous!$D$4:$AY$137, MATCH('Staging Table'!$A82, LS_previous!$B$4:$B$137, 0), MATCH(R$4&amp;R$5, LS_previous!$D$2:$AY$2&amp;LS_previous!$D$3:$AY$3, 0)),SUM(VLOOKUP($A82, LS_previous!$B$4:$AY$137, LS_previous!J$148, FALSE), VLOOKUP('Staging Table'!$A82, LS_previous!$B$4:$AY$137,LS_previous!AH$148, FALSE))/2)</f>
        <v>-2559.3484441565006</v>
      </c>
      <c r="S82" s="102">
        <f t="array" ref="S82">IF($G82=0, INDEX(LS_previous!$D$4:$AY$137, MATCH('Staging Table'!$A82, LS_previous!$B$4:$B$137, 0), MATCH(S$4&amp;S$5, LS_previous!$D$2:$AY$2&amp;LS_previous!$D$3:$AY$3, 0)),SUM(VLOOKUP($A82, LS_previous!$B$4:$AY$137, LS_previous!K$148, FALSE), VLOOKUP('Staging Table'!$A82, LS_previous!$B$4:$AY$137,LS_previous!AI$148, FALSE))/2)</f>
        <v>-1069.7341557939008</v>
      </c>
      <c r="T82" s="102">
        <f t="array" ref="T82">IF($G82=0, INDEX(LS_previous!$D$4:$AY$137, MATCH('Staging Table'!$A82, LS_previous!$B$4:$B$137, 0), MATCH(T$4&amp;T$5, LS_previous!$D$2:$AY$2&amp;LS_previous!$D$3:$AY$3, 0)),SUM(VLOOKUP($A82, LS_previous!$B$4:$AY$137, LS_previous!L$148, FALSE), VLOOKUP('Staging Table'!$A82, LS_previous!$B$4:$AY$137,LS_previous!AJ$148, FALSE))/2)</f>
        <v>-2363.4753167289</v>
      </c>
      <c r="U82" s="102">
        <f t="array" ref="U82">IF($G82=0, INDEX(LS_previous!$D$4:$AY$137, MATCH('Staging Table'!$A82, LS_previous!$B$4:$B$137, 0), MATCH(U$4&amp;U$5, LS_previous!$D$2:$AY$2&amp;LS_previous!$D$3:$AY$3, 0)),SUM(VLOOKUP($A82, LS_previous!$B$4:$AY$137, LS_previous!M$148, FALSE), VLOOKUP('Staging Table'!$A82, LS_previous!$B$4:$AY$137,LS_previous!AK$148, FALSE))/2)</f>
        <v>-902.31979165689995</v>
      </c>
      <c r="V82" s="102">
        <f t="array" ref="V82">IF($G82=0, INDEX(LS_previous!$D$4:$AY$137, MATCH('Staging Table'!$A82, LS_previous!$B$4:$B$137, 0), MATCH(V$4&amp;V$5, LS_previous!$D$2:$AY$2&amp;LS_previous!$D$3:$AY$3, 0)),SUM(VLOOKUP($A82, LS_previous!$B$4:$AY$137, LS_previous!N$148, FALSE), VLOOKUP('Staging Table'!$A82, LS_previous!$B$4:$AY$137,LS_previous!AL$148, FALSE))/2)</f>
        <v>-2879.4694487382999</v>
      </c>
      <c r="W82" s="102">
        <f t="array" ref="W82">IF($G82=0, INDEX(LS_previous!$D$4:$AY$137, MATCH('Staging Table'!$A82, LS_previous!$B$4:$B$137, 0), MATCH(W$4&amp;W$5, LS_previous!$D$2:$AY$2&amp;LS_previous!$D$3:$AY$3, 0)),SUM(VLOOKUP($A82, LS_previous!$B$4:$AY$137, LS_previous!O$148, FALSE), VLOOKUP('Staging Table'!$A82, LS_previous!$B$4:$AY$137,LS_previous!AM$148, FALSE))/2)</f>
        <v>-1665.9282740397998</v>
      </c>
      <c r="X82" s="102">
        <f t="array" ref="X82">IF($G82=0, INDEX(LS_previous!$D$4:$AY$137, MATCH('Staging Table'!$A82, LS_previous!$B$4:$B$137, 0), MATCH(X$4&amp;X$5, LS_previous!$D$2:$AY$2&amp;LS_previous!$D$3:$AY$3, 0)),SUM(VLOOKUP($A82, LS_previous!$B$4:$AY$137, LS_previous!P$148, FALSE), VLOOKUP('Staging Table'!$A82, LS_previous!$B$4:$AY$137,LS_previous!AN$148, FALSE))/2)</f>
        <v>-2214.7105659502499</v>
      </c>
      <c r="Y82" s="102">
        <f t="array" ref="Y82">IF($G82=0, INDEX(LS_previous!$D$4:$AY$137, MATCH('Staging Table'!$A82, LS_previous!$B$4:$B$137, 0), MATCH(Y$4&amp;Y$5, LS_previous!$D$2:$AY$2&amp;LS_previous!$D$3:$AY$3, 0)),SUM(VLOOKUP($A82, LS_previous!$B$4:$AY$137, LS_previous!Q$148, FALSE), VLOOKUP('Staging Table'!$A82, LS_previous!$B$4:$AY$137,LS_previous!AO$148, FALSE))/2)</f>
        <v>-1347.014385099425</v>
      </c>
      <c r="Z82" s="102">
        <f t="array" ref="Z82">IF($G82=0, INDEX(LS_previous!$D$4:$AY$137, MATCH('Staging Table'!$A82, LS_previous!$B$4:$B$137, 0), MATCH(Z$4&amp;Z$5, LS_previous!$D$2:$AY$2&amp;LS_previous!$D$3:$AY$3, 0)),SUM(VLOOKUP($A82, LS_previous!$B$4:$AY$137, LS_previous!R$148, FALSE), VLOOKUP('Staging Table'!$A82, LS_previous!$B$4:$AY$137,LS_previous!AP$148, FALSE))/2)</f>
        <v>-424.66261507680065</v>
      </c>
      <c r="AA82" s="102">
        <f t="array" ref="AA82">IF($G82=0, INDEX(LS_previous!$D$4:$AY$137, MATCH('Staging Table'!$A82, LS_previous!$B$4:$B$137, 0), MATCH(AA$4&amp;AA$5, LS_previous!$D$2:$AY$2&amp;LS_previous!$D$3:$AY$3, 0)),SUM(VLOOKUP($A82, LS_previous!$B$4:$AY$137, LS_previous!S$148, FALSE), VLOOKUP('Staging Table'!$A82, LS_previous!$B$4:$AY$137,LS_previous!AQ$148, FALSE))/2)</f>
        <v>260.74492351264962</v>
      </c>
      <c r="AB82" s="102">
        <f t="array" ref="AB82">IF($G82=0, INDEX(LS_previous!$D$4:$AY$137, MATCH('Staging Table'!$A82, LS_previous!$B$4:$B$137, 0), MATCH(AB$4&amp;AB$5, LS_previous!$D$2:$AY$2&amp;LS_previous!$D$3:$AY$3, 0)),SUM(VLOOKUP($A82, LS_previous!$B$4:$AY$137, LS_previous!T$148, FALSE), VLOOKUP('Staging Table'!$A82, LS_previous!$B$4:$AY$137,LS_previous!AR$148, FALSE))/2)</f>
        <v>1892.3300692533994</v>
      </c>
      <c r="AC82" s="102">
        <f t="array" ref="AC82">IF($G82=0, INDEX(LS_previous!$D$4:$AY$137, MATCH('Staging Table'!$A82, LS_previous!$B$4:$B$137, 0), MATCH(AC$4&amp;AC$5, LS_previous!$D$2:$AY$2&amp;LS_previous!$D$3:$AY$3, 0)),SUM(VLOOKUP($A82, LS_previous!$B$4:$AY$137, LS_previous!U$148, FALSE), VLOOKUP('Staging Table'!$A82, LS_previous!$B$4:$AY$137,LS_previous!AS$148, FALSE))/2)</f>
        <v>1860.2967723390493</v>
      </c>
      <c r="AD82" s="102">
        <f t="array" ref="AD82">IF($G82=0, INDEX(LS_previous!$D$4:$AY$137, MATCH('Staging Table'!$A82, LS_previous!$B$4:$B$137, 0), MATCH(AD$4&amp;AD$5, LS_previous!$D$2:$AY$2&amp;LS_previous!$D$3:$AY$3, 0)),SUM(VLOOKUP($A82, LS_previous!$B$4:$AY$137, LS_previous!V$148, FALSE), VLOOKUP('Staging Table'!$A82, LS_previous!$B$4:$AY$137,LS_previous!AT$148, FALSE))/2)</f>
        <v>3701.5684942675998</v>
      </c>
      <c r="AE82" s="102">
        <f t="array" ref="AE82">IF($G82=0, INDEX(LS_previous!$D$4:$AY$137, MATCH('Staging Table'!$A82, LS_previous!$B$4:$B$137, 0), MATCH(AE$4&amp;AE$5, LS_previous!$D$2:$AY$2&amp;LS_previous!$D$3:$AY$3, 0)),SUM(VLOOKUP($A82, LS_previous!$B$4:$AY$137, LS_previous!W$148, FALSE), VLOOKUP('Staging Table'!$A82, LS_previous!$B$4:$AY$137,LS_previous!AU$148, FALSE))/2)</f>
        <v>3649.9930244147504</v>
      </c>
      <c r="AF82" s="102">
        <f t="array" ref="AF82">IF($G82=0, INDEX(LS_previous!$D$4:$AY$137, MATCH('Staging Table'!$A82, LS_previous!$B$4:$B$137, 0), MATCH(AF$4&amp;AF$5, LS_previous!$D$2:$AY$2&amp;LS_previous!$D$3:$AY$3, 0)),SUM(VLOOKUP($A82, LS_previous!$B$4:$AY$137, LS_previous!X$148, FALSE), VLOOKUP('Staging Table'!$A82, LS_previous!$B$4:$AY$137,LS_previous!AV$148, FALSE))/2)</f>
        <v>2793.2700244843491</v>
      </c>
      <c r="AG82" s="102">
        <f t="array" ref="AG82">IF($G82=0, INDEX(LS_previous!$D$4:$AY$137, MATCH('Staging Table'!$A82, LS_previous!$B$4:$B$137, 0), MATCH(AG$4&amp;AG$5, LS_previous!$D$2:$AY$2&amp;LS_previous!$D$3:$AY$3, 0)),SUM(VLOOKUP($A82, LS_previous!$B$4:$AY$137, LS_previous!Y$148, FALSE), VLOOKUP('Staging Table'!$A82, LS_previous!$B$4:$AY$137,LS_previous!AW$148, FALSE))/2)</f>
        <v>2029.4872140788652</v>
      </c>
      <c r="AH82" s="102">
        <f t="array" ref="AH82">IF($G82=0, INDEX(LS_previous!$D$4:$AY$137, MATCH('Staging Table'!$A82, LS_previous!$B$4:$B$137, 0), MATCH(AH$4&amp;AH$5, LS_previous!$D$2:$AY$2&amp;LS_previous!$D$3:$AY$3, 0)),SUM(VLOOKUP($A82, LS_previous!$B$4:$AY$137, LS_previous!Z$148, FALSE), VLOOKUP('Staging Table'!$A82, LS_previous!$B$4:$AY$137,LS_previous!AX$148, FALSE))/2)</f>
        <v>77.237626326599639</v>
      </c>
      <c r="AI82" s="102">
        <f t="array" ref="AI82">IF($G82=0, INDEX(LS_previous!$D$4:$AY$137, MATCH('Staging Table'!$A82, LS_previous!$B$4:$B$137, 0), MATCH(AI$4&amp;AI$5, LS_previous!$D$2:$AY$2&amp;LS_previous!$D$3:$AY$3, 0)),SUM(VLOOKUP($A82, LS_previous!$B$4:$AY$137, LS_previous!AA$148, FALSE), VLOOKUP('Staging Table'!$A82, LS_previous!$B$4:$AY$137,LS_previous!AY$148, FALSE))/2)</f>
        <v>459.42366867359988</v>
      </c>
      <c r="AJ82" s="103">
        <f t="array" ref="AJ82">INDEX(Demand_previous!$D$4:$AY$137, MATCH('Staging Table'!$A82, Demand_previous!$B$4:$B$137, 0), MATCH(AJ$4&amp;AJ$5,Demand_previous!$D$2:$AY$2&amp;Demand_previous!$D$3:$AY$3, 0))/1000</f>
        <v>3.2280024038461548</v>
      </c>
      <c r="AK82" s="103">
        <f t="array" ref="AK82">INDEX(Demand_previous!$D$4:$AY$137, MATCH('Staging Table'!$A82, Demand_previous!$B$4:$B$137, 0), MATCH(AK$4&amp;AK$5,Demand_previous!$D$2:$AY$2&amp;Demand_previous!$D$3:$AY$3, 0))/1000</f>
        <v>0.94446750000000046</v>
      </c>
      <c r="AL82" s="103">
        <f t="array" ref="AL82">INDEX(Demand_previous!$D$4:$AY$137, MATCH('Staging Table'!$A82, Demand_previous!$B$4:$B$137, 0), MATCH(AL$4&amp;AL$5,Demand_previous!$D$2:$AY$2&amp;Demand_previous!$D$3:$AY$3, 0))/1000</f>
        <v>0.94162999999999952</v>
      </c>
      <c r="AM82" s="103">
        <f t="array" ref="AM82">INDEX(Demand_previous!$D$4:$AY$137, MATCH('Staging Table'!$A82, Demand_previous!$B$4:$B$137, 0), MATCH(AM$4&amp;AM$5,Demand_previous!$D$2:$AY$2&amp;Demand_previous!$D$3:$AY$3, 0))/1000</f>
        <v>1.3889230769230778</v>
      </c>
      <c r="AN82" s="103">
        <f t="array" ref="AN82">INDEX(Demand_previous!$D$4:$AY$137, MATCH('Staging Table'!$A82, Demand_previous!$B$4:$B$137, 0), MATCH(AN$4&amp;AN$5,Demand_previous!$D$2:$AY$2&amp;Demand_previous!$D$3:$AY$3, 0))/1000</f>
        <v>1.5501274999999994</v>
      </c>
      <c r="AO82" s="103">
        <f t="array" ref="AO82">INDEX(Demand_previous!$D$4:$AY$137, MATCH('Staging Table'!$A82, Demand_previous!$B$4:$B$137, 0), MATCH(AO$4&amp;AO$5,Demand_previous!$D$2:$AY$2&amp;Demand_previous!$D$3:$AY$3, 0))/1000</f>
        <v>1.5988221153846149</v>
      </c>
      <c r="AP82" s="103">
        <f t="array" ref="AP82">INDEX(Demand_previous!$D$4:$AY$137, MATCH('Staging Table'!$A82, Demand_previous!$B$4:$B$137, 0), MATCH(AP$4&amp;AP$5,Demand_previous!$D$2:$AY$2&amp;Demand_previous!$D$3:$AY$3, 0))/1000</f>
        <v>2.1846490384615374</v>
      </c>
      <c r="AQ82" s="103">
        <f t="array" ref="AQ82">INDEX(Demand_previous!$D$4:$AY$137, MATCH('Staging Table'!$A82, Demand_previous!$B$4:$B$137, 0), MATCH(AQ$4&amp;AQ$5,Demand_previous!$D$2:$AY$2&amp;Demand_previous!$D$3:$AY$3, 0))/1000</f>
        <v>0</v>
      </c>
      <c r="AR82" s="103">
        <f t="array" ref="AR82">INDEX(Demand_previous!$D$4:$AY$137, MATCH('Staging Table'!$A82, Demand_previous!$B$4:$B$137, 0), MATCH(AR$4&amp;AR$5,Demand_previous!$D$2:$AY$2&amp;Demand_previous!$D$3:$AY$3, 0))/1000</f>
        <v>3.0141574999999996</v>
      </c>
      <c r="AS82" s="103">
        <f t="array" ref="AS82">INDEX(Demand_previous!$D$4:$AY$137, MATCH('Staging Table'!$A82, Demand_previous!$B$4:$B$137, 0), MATCH(AS$4&amp;AS$5,Demand_previous!$D$2:$AY$2&amp;Demand_previous!$D$3:$AY$3, 0))/1000</f>
        <v>5.1173461538461567</v>
      </c>
      <c r="AT82" s="103">
        <f t="array" ref="AT82">INDEX(Demand_previous!$D$4:$AY$137, MATCH('Staging Table'!$A82, Demand_previous!$B$4:$B$137, 0), MATCH(AT$4&amp;AT$5,Demand_previous!$D$2:$AY$2&amp;Demand_previous!$D$3:$AY$3, 0))/1000</f>
        <v>2.0116250000000031</v>
      </c>
      <c r="AU82" s="103">
        <f t="array" ref="AU82">INDEX(Demand_previous!$D$4:$AY$137, MATCH('Staging Table'!$A82, Demand_previous!$B$4:$B$137, 0), MATCH(AU$4&amp;AU$5,Demand_previous!$D$2:$AY$2&amp;Demand_previous!$D$3:$AY$3, 0))/1000</f>
        <v>2.1695546874999998</v>
      </c>
      <c r="AV82" s="102">
        <f>$F82*(VLOOKUP(AV$4, Rates_previous!$G$6:$Q$29, 10, FALSE)+VLOOKUP(AV$4, Rates_previous!$G$6:$Q$29, 11, FALSE))</f>
        <v>5818.1522674846501</v>
      </c>
      <c r="AW82" s="102">
        <f>$F82*(VLOOKUP(AW$4, Rates_previous!$G$6:$Q$29, 10, FALSE)+VLOOKUP(AW$4, Rates_previous!$G$6:$Q$29, 11, FALSE))</f>
        <v>7420.0626940569018</v>
      </c>
      <c r="AX82" s="102">
        <f>$F82*(VLOOKUP(AX$4, Rates_previous!$G$6:$Q$29, 10, FALSE)+VLOOKUP(AX$4, Rates_previous!$G$6:$Q$29, 11, FALSE))</f>
        <v>8007.7157888085012</v>
      </c>
      <c r="AY82" s="102">
        <f>$F82*(VLOOKUP(AY$4, Rates_previous!$G$6:$Q$29, 10, FALSE)+VLOOKUP(AY$4, Rates_previous!$G$6:$Q$29, 11, FALSE))</f>
        <v>8321.2545999504</v>
      </c>
      <c r="AZ82" s="102">
        <f>$F82*(VLOOKUP(AZ$4, Rates_previous!$G$6:$Q$29, 10, FALSE)+VLOOKUP(AZ$4, Rates_previous!$G$6:$Q$29, 11, FALSE))</f>
        <v>7157.3881083857996</v>
      </c>
      <c r="BA82" s="102">
        <f>$F82*(VLOOKUP(BA$4, Rates_previous!$G$6:$Q$29, 10, FALSE)+VLOOKUP(BA$4, Rates_previous!$G$6:$Q$29, 11, FALSE))</f>
        <v>7814.4507227781005</v>
      </c>
      <c r="BB82" s="102">
        <f>$F82*(VLOOKUP(BB$4, Rates_previous!$G$6:$Q$29, 10, FALSE)+VLOOKUP(BB$4, Rates_previous!$G$6:$Q$29, 11, FALSE))</f>
        <v>6168.1919510496746</v>
      </c>
      <c r="BC82" s="102">
        <f>$F82*(VLOOKUP(BC$4, Rates_previous!$G$6:$Q$29, 10, FALSE)+VLOOKUP(BC$4, Rates_previous!$G$6:$Q$29, 11, FALSE))</f>
        <v>7652.4686915641505</v>
      </c>
      <c r="BD82" s="102">
        <f>$F82*(VLOOKUP(BD$4, Rates_previous!$G$6:$Q$29, 10, FALSE)+VLOOKUP(BD$4, Rates_previous!$G$6:$Q$29, 11, FALSE))</f>
        <v>7818.5081584075497</v>
      </c>
      <c r="BE82" s="102">
        <f>$F82*(VLOOKUP(BE$4, Rates_previous!$G$6:$Q$29, 10, FALSE)+VLOOKUP(BE$4, Rates_previous!$G$6:$Q$29, 11, FALSE))</f>
        <v>6787.5914813176505</v>
      </c>
      <c r="BF82" s="102">
        <f>$F82*(VLOOKUP(BF$4, Rates_previous!$G$6:$Q$29, 10, FALSE)+VLOOKUP(BF$4, Rates_previous!$G$6:$Q$29, 11, FALSE))</f>
        <v>6561.7967614367863</v>
      </c>
      <c r="BG82" s="102">
        <f>$F82*(VLOOKUP(BG$4, Rates_previous!$G$6:$Q$29, 10, FALSE)+VLOOKUP(BG$4, Rates_previous!$G$6:$Q$29, 11, FALSE))</f>
        <v>6038.1237049998008</v>
      </c>
      <c r="BH82" s="103">
        <f>IF($D82=0,IF(C82=0, MAX(BJ82 - (VLOOKUP($A82,TOCA_previous!$A$2:$AJ$136,MATCH("RHWM "&amp;Init!$D$1-2,TOCA_previous!$A$2:$AJ$2,0),FALSE)*$F$2*TOCA_previous!C79),0),0), 0)</f>
        <v>0</v>
      </c>
      <c r="BI82" s="109">
        <f>MIN(VLOOKUP($A82,TOCA_previous!$A$2:$AJ$136,MATCH("TRL - NLSL - Existing Resource "&amp;$F$1,TOCA_previous!$A$2:$AJ$2,0),FALSE)*$F$2,(VLOOKUP($A82,TOCA_previous!$A$2:$AJ$136,MATCH("RHWM "&amp;Init!$D$1-2,TOCA_previous!$A$2:$AJ$2,0),FALSE)*$F$2))</f>
        <v>83676.384000000005</v>
      </c>
      <c r="BJ82" s="261">
        <f>SUM(L82:AI82)+(F82*RT1SC!$C$3*$F$2)</f>
        <v>76599.768392216036</v>
      </c>
      <c r="BK82" s="260">
        <f>VLOOKUP($A82,TOCA_previous!$A$2:$AJ$136,MATCH("Above RHWM Not Served with LS "&amp;$F$1,TOCA_previous!$A$2:$AJ$2,0),FALSE)*$F$2</f>
        <v>15609.168</v>
      </c>
      <c r="BL82" s="261">
        <f t="shared" si="36"/>
        <v>-7076.6156077839696</v>
      </c>
      <c r="BM82" s="260">
        <f>(VLOOKUP($A82,TOCA_previous!$A$2:$AJ$136,MATCH("RHWM "&amp;Init!$D$1-2,TOCA_previous!$A$2:$AJ$2,0),FALSE)*$F$2) - $BI82</f>
        <v>0</v>
      </c>
      <c r="BN82" s="261">
        <f t="shared" si="37"/>
        <v>0</v>
      </c>
      <c r="BO82" s="260">
        <f t="shared" si="38"/>
        <v>0</v>
      </c>
      <c r="BP82" s="261">
        <f t="shared" si="39"/>
        <v>0</v>
      </c>
      <c r="BQ82" s="260">
        <f t="shared" si="9"/>
        <v>0</v>
      </c>
      <c r="BR82" s="85">
        <f>VLOOKUP($A82,TOCA_current!$A$2:$ZZ$136,MATCH(BR$4,TOCA_current!$A$2:$ZZ$2,0),FALSE)</f>
        <v>1.3476E-3</v>
      </c>
      <c r="BS82" s="85">
        <f>VLOOKUP($A82,TOCA_current!$A$2:$ZZ$136,MATCH(BS$4,TOCA_current!$A$2:$ZZ$2,0),FALSE)</f>
        <v>1.3476E-3</v>
      </c>
      <c r="BT82" s="108">
        <f t="shared" si="40"/>
        <v>0</v>
      </c>
      <c r="BU82" s="85">
        <f>VLOOKUP($A82,TOCA_current!A79:BG213,MATCH(BU$4,TOCA_current!$A$2:$BG$2,0),FALSE)</f>
        <v>7.6904289740110654E-2</v>
      </c>
      <c r="BV82" s="85">
        <f t="shared" si="41"/>
        <v>0</v>
      </c>
      <c r="BW82" s="85">
        <f t="shared" si="42"/>
        <v>0</v>
      </c>
      <c r="BX82" s="101">
        <f>VLOOKUP($A82,IRD!$A$4:$G$138, 7, FALSE)</f>
        <v>37558.894</v>
      </c>
      <c r="BY82" s="102">
        <f t="array" ref="BY82">IF($BT82=0, INDEX(LS_current!$D$4:$BW$137, MATCH('Staging Table'!$A82, LS_current!$B$4:$B$137, 0), MATCH(BY$4&amp;BY$5, LS_current!$D$2:$BW$2&amp;LS_current!$D$3:$BW$3, 0)),SUM(VLOOKUP($A82, LS_current!$B$4:$BW$137, LS_current!D$147, FALSE), VLOOKUP($A82, LS_current!$B$4:$BW$137,LS_current!AZ$147, FALSE))/2)</f>
        <v>-847.51218671783909</v>
      </c>
      <c r="BZ82" s="102">
        <f t="array" ref="BZ82">IF($BT82=0, INDEX(LS_current!$D$4:$BW$137, MATCH('Staging Table'!$A82, LS_current!$B$4:$B$137, 0), MATCH(BZ$4&amp;BZ$5, LS_current!$D$2:$BW$2&amp;LS_current!$D$3:$BW$3, 0)),SUM(VLOOKUP($A82, LS_current!$B$4:$BW$137, LS_current!E$147, FALSE), VLOOKUP($A82, LS_current!$B$4:$BW$137,LS_current!BA$147, FALSE))/2)</f>
        <v>-304.06839473583386</v>
      </c>
      <c r="CA82" s="102">
        <f t="array" ref="CA82">IF($BT82=0, INDEX(LS_current!$D$4:$BW$137, MATCH('Staging Table'!$A82, LS_current!$B$4:$B$137, 0), MATCH(CA$4&amp;CA$5, LS_current!$D$2:$BW$2&amp;LS_current!$D$3:$BW$3, 0)),SUM(VLOOKUP($A82, LS_current!$B$4:$BW$137, LS_current!F$147, FALSE), VLOOKUP($A82, LS_current!$B$4:$BW$137,LS_current!BB$147, FALSE))/2)</f>
        <v>-1802.4524886401673</v>
      </c>
      <c r="CB82" s="102">
        <f t="array" ref="CB82">IF($BT82=0, INDEX(LS_current!$D$4:$BW$137, MATCH('Staging Table'!$A82, LS_current!$B$4:$B$137, 0), MATCH(CB$4&amp;CB$5, LS_current!$D$2:$BW$2&amp;LS_current!$D$3:$BW$3, 0)),SUM(VLOOKUP($A82, LS_current!$B$4:$BW$137, LS_current!G$147, FALSE), VLOOKUP($A82, LS_current!$B$4:$BW$137,LS_current!BC$147, FALSE))/2)</f>
        <v>-773.28934936839369</v>
      </c>
      <c r="CC82" s="102">
        <f t="array" ref="CC82">IF($BT82=0, INDEX(LS_current!$D$4:$BW$137, MATCH('Staging Table'!$A82, LS_current!$B$4:$B$137, 0), MATCH(CC$4&amp;CC$5, LS_current!$D$2:$BW$2&amp;LS_current!$D$3:$BW$3, 0)),SUM(VLOOKUP($A82, LS_current!$B$4:$BW$137, LS_current!H$147, FALSE), VLOOKUP($A82, LS_current!$B$4:$BW$137,LS_current!BD$147, FALSE))/2)</f>
        <v>-1924.8844546624723</v>
      </c>
      <c r="CD82" s="102">
        <f t="array" ref="CD82">IF($BT82=0, INDEX(LS_current!$D$4:$BW$137, MATCH('Staging Table'!$A82, LS_current!$B$4:$B$137, 0), MATCH(CD$4&amp;CD$5, LS_current!$D$2:$BW$2&amp;LS_current!$D$3:$BW$3, 0)),SUM(VLOOKUP($A82, LS_current!$B$4:$BW$137, LS_current!I$147, FALSE), VLOOKUP($A82, LS_current!$B$4:$BW$137,LS_current!BE$147, FALSE))/2)</f>
        <v>-312.77356366916729</v>
      </c>
      <c r="CE82" s="102">
        <f t="array" ref="CE82">IF($BT82=0, INDEX(LS_current!$D$4:$BW$137, MATCH('Staging Table'!$A82, LS_current!$B$4:$B$137, 0), MATCH(CE$4&amp;CE$5, LS_current!$D$2:$BW$2&amp;LS_current!$D$3:$BW$3, 0)),SUM(VLOOKUP($A82, LS_current!$B$4:$BW$137, LS_current!J$147, FALSE), VLOOKUP($A82, LS_current!$B$4:$BW$137,LS_current!BF$147, FALSE))/2)</f>
        <v>-2074.4573417108777</v>
      </c>
      <c r="CF82" s="102">
        <f t="array" ref="CF82">IF($BT82=0, INDEX(LS_current!$D$4:$BW$137, MATCH('Staging Table'!$A82, LS_current!$B$4:$B$137, 0), MATCH(CF$4&amp;CF$5, LS_current!$D$2:$BW$2&amp;LS_current!$D$3:$BW$3, 0)),SUM(VLOOKUP($A82, LS_current!$B$4:$BW$137, LS_current!K$147, FALSE), VLOOKUP($A82, LS_current!$B$4:$BW$137,LS_current!BG$147, FALSE))/2)</f>
        <v>-488.40998273751939</v>
      </c>
      <c r="CG82" s="102">
        <f t="array" ref="CG82">IF($BT82=0, INDEX(LS_current!$D$4:$BW$137, MATCH('Staging Table'!$A82, LS_current!$B$4:$B$137, 0), MATCH(CG$4&amp;CG$5, LS_current!$D$2:$BW$2&amp;LS_current!$D$3:$BW$3, 0)),SUM(VLOOKUP($A82, LS_current!$B$4:$BW$137, LS_current!L$147, FALSE), VLOOKUP($A82, LS_current!$B$4:$BW$137,LS_current!BH$147, FALSE))/2)</f>
        <v>-1451.2198233676581</v>
      </c>
      <c r="CH82" s="102">
        <f t="array" ref="CH82">IF($BT82=0, INDEX(LS_current!$D$4:$BW$137, MATCH('Staging Table'!$A82, LS_current!$B$4:$B$137, 0), MATCH(CH$4&amp;CH$5, LS_current!$D$2:$BW$2&amp;LS_current!$D$3:$BW$3, 0)),SUM(VLOOKUP($A82, LS_current!$B$4:$BW$137, LS_current!M$147, FALSE), VLOOKUP($A82, LS_current!$B$4:$BW$137,LS_current!BI$147, FALSE))/2)</f>
        <v>-255.59153888774699</v>
      </c>
      <c r="CI82" s="102">
        <f t="array" ref="CI82">IF($BT82=0, INDEX(LS_current!$D$4:$BW$137, MATCH('Staging Table'!$A82, LS_current!$B$4:$B$137, 0), MATCH(CI$4&amp;CI$5, LS_current!$D$2:$BW$2&amp;LS_current!$D$3:$BW$3, 0)),SUM(VLOOKUP($A82, LS_current!$B$4:$BW$137, LS_current!N$147, FALSE), VLOOKUP($A82, LS_current!$B$4:$BW$137,LS_current!BJ$147, FALSE))/2)</f>
        <v>-2242.1829915625954</v>
      </c>
      <c r="CJ82" s="102">
        <f t="array" ref="CJ82">IF($BT82=0, INDEX(LS_current!$D$4:$BW$137, MATCH('Staging Table'!$A82, LS_current!$B$4:$B$137, 0), MATCH(CJ$4&amp;CJ$5, LS_current!$D$2:$BW$2&amp;LS_current!$D$3:$BW$3, 0)),SUM(VLOOKUP($A82, LS_current!$B$4:$BW$137, LS_current!O$147, FALSE), VLOOKUP($A82, LS_current!$B$4:$BW$137,LS_current!BK$147, FALSE))/2)</f>
        <v>-640.72627923683444</v>
      </c>
      <c r="CK82" s="102">
        <f t="array" ref="CK82">IF($BT82=0, INDEX(LS_current!$D$4:$BW$137, MATCH('Staging Table'!$A82, LS_current!$B$4:$B$137, 0), MATCH(CK$4&amp;CK$5, LS_current!$D$2:$BW$2&amp;LS_current!$D$3:$BW$3, 0)),SUM(VLOOKUP($A82, LS_current!$B$4:$BW$137, LS_current!P$147, FALSE), VLOOKUP($A82, LS_current!$B$4:$BW$137,LS_current!BL$147, FALSE))/2)</f>
        <v>-1286.6397715339194</v>
      </c>
      <c r="CL82" s="102">
        <f t="array" ref="CL82">IF($BT82=0, INDEX(LS_current!$D$4:$BW$137, MATCH('Staging Table'!$A82, LS_current!$B$4:$B$137, 0), MATCH(CL$4&amp;CL$5, LS_current!$D$2:$BW$2&amp;LS_current!$D$3:$BW$3, 0)),SUM(VLOOKUP($A82, LS_current!$B$4:$BW$137, LS_current!Q$147, FALSE), VLOOKUP($A82, LS_current!$B$4:$BW$137,LS_current!BM$147, FALSE))/2)</f>
        <v>-618.54017747080161</v>
      </c>
      <c r="CM82" s="102">
        <f t="array" ref="CM82">IF($BT82=0, INDEX(LS_current!$D$4:$BW$137, MATCH('Staging Table'!$A82, LS_current!$B$4:$B$137, 0), MATCH(CM$4&amp;CM$5, LS_current!$D$2:$BW$2&amp;LS_current!$D$3:$BW$3, 0)),SUM(VLOOKUP($A82, LS_current!$B$4:$BW$137, LS_current!R$147, FALSE), VLOOKUP($A82, LS_current!$B$4:$BW$137,LS_current!BN$147, FALSE))/2)</f>
        <v>426.43535151713968</v>
      </c>
      <c r="CN82" s="102">
        <f t="array" ref="CN82">IF($BT82=0, INDEX(LS_current!$D$4:$BW$137, MATCH('Staging Table'!$A82, LS_current!$B$4:$B$137, 0), MATCH(CN$4&amp;CN$5, LS_current!$D$2:$BW$2&amp;LS_current!$D$3:$BW$3, 0)),SUM(VLOOKUP($A82, LS_current!$B$4:$BW$137, LS_current!S$147, FALSE), VLOOKUP($A82, LS_current!$B$4:$BW$137,LS_current!BO$147, FALSE))/2)</f>
        <v>889.58362039722897</v>
      </c>
      <c r="CO82" s="102">
        <f t="array" ref="CO82">IF($BT82=0, INDEX(LS_current!$D$4:$BW$137, MATCH('Staging Table'!$A82, LS_current!$B$4:$B$137, 0), MATCH(CO$4&amp;CO$5, LS_current!$D$2:$BW$2&amp;LS_current!$D$3:$BW$3, 0)),SUM(VLOOKUP($A82, LS_current!$B$4:$BW$137, LS_current!T$147, FALSE), VLOOKUP($A82, LS_current!$B$4:$BW$137,LS_current!BP$147, FALSE))/2)</f>
        <v>2523.8666078870701</v>
      </c>
      <c r="CP82" s="102">
        <f t="array" ref="CP82">IF($BT82=0, INDEX(LS_current!$D$4:$BW$137, MATCH('Staging Table'!$A82, LS_current!$B$4:$B$137, 0), MATCH(CP$4&amp;CP$5, LS_current!$D$2:$BW$2&amp;LS_current!$D$3:$BW$3, 0)),SUM(VLOOKUP($A82, LS_current!$B$4:$BW$137, LS_current!U$147, FALSE), VLOOKUP($A82, LS_current!$B$4:$BW$137,LS_current!BQ$147, FALSE))/2)</f>
        <v>2672.0564095946356</v>
      </c>
      <c r="CQ82" s="102">
        <f t="array" ref="CQ82">IF($BT82=0, INDEX(LS_current!$D$4:$BW$137, MATCH('Staging Table'!$A82, LS_current!$B$4:$B$137, 0), MATCH(CQ$4&amp;CQ$5, LS_current!$D$2:$BW$2&amp;LS_current!$D$3:$BW$3, 0)),SUM(VLOOKUP($A82, LS_current!$B$4:$BW$137, LS_current!V$147, FALSE), VLOOKUP($A82, LS_current!$B$4:$BW$137,LS_current!BR$147, FALSE))/2)</f>
        <v>4353.2730571930633</v>
      </c>
      <c r="CR82" s="102">
        <f t="array" ref="CR82">IF($BT82=0, INDEX(LS_current!$D$4:$BW$137, MATCH('Staging Table'!$A82, LS_current!$B$4:$B$137, 0), MATCH(CR$4&amp;CR$5, LS_current!$D$2:$BW$2&amp;LS_current!$D$3:$BW$3, 0)),SUM(VLOOKUP($A82, LS_current!$B$4:$BW$137, LS_current!W$147, FALSE), VLOOKUP($A82, LS_current!$B$4:$BW$137,LS_current!BS$147, FALSE))/2)</f>
        <v>4294.6656678367144</v>
      </c>
      <c r="CS82" s="102">
        <f t="array" ref="CS82">IF($BT82=0, INDEX(LS_current!$D$4:$BW$137, MATCH('Staging Table'!$A82, LS_current!$B$4:$B$137, 0), MATCH(CS$4&amp;CS$5, LS_current!$D$2:$BW$2&amp;LS_current!$D$3:$BW$3, 0)),SUM(VLOOKUP($A82, LS_current!$B$4:$BW$137, LS_current!X$147, FALSE), VLOOKUP($A82, LS_current!$B$4:$BW$137,LS_current!BT$147, FALSE))/2)</f>
        <v>3077.6518880314597</v>
      </c>
      <c r="CT82" s="102">
        <f t="array" ref="CT82">IF($BT82=0, INDEX(LS_current!$D$4:$BW$137, MATCH('Staging Table'!$A82, LS_current!$B$4:$B$137, 0), MATCH(CT$4&amp;CT$5, LS_current!$D$2:$BW$2&amp;LS_current!$D$3:$BW$3, 0)),SUM(VLOOKUP($A82, LS_current!$B$4:$BW$137, LS_current!Y$147, FALSE), VLOOKUP($A82, LS_current!$B$4:$BW$137,LS_current!BU$147, FALSE))/2)</f>
        <v>2639.7914965842674</v>
      </c>
      <c r="CU82" s="102">
        <f t="array" ref="CU82">IF($BT82=0, INDEX(LS_current!$D$4:$BW$137, MATCH('Staging Table'!$A82, LS_current!$B$4:$B$137, 0), MATCH(CU$4&amp;CU$5, LS_current!$D$2:$BW$2&amp;LS_current!$D$3:$BW$3, 0)),SUM(VLOOKUP($A82, LS_current!$B$4:$BW$137, LS_current!Z$147, FALSE), VLOOKUP($A82, LS_current!$B$4:$BW$137,LS_current!BV$147, FALSE))/2)</f>
        <v>987.37384301094016</v>
      </c>
      <c r="CV82" s="102">
        <f t="array" ref="CV82">IF($BT82=0, INDEX(LS_current!$D$4:$BW$137, MATCH('Staging Table'!$A82, LS_current!$B$4:$B$137, 0), MATCH(CV$4&amp;CV$5, LS_current!$D$2:$BW$2&amp;LS_current!$D$3:$BW$3, 0)),SUM(VLOOKUP($A82, LS_current!$B$4:$BW$137, LS_current!AA$147, FALSE), VLOOKUP($A82, LS_current!$B$4:$BW$137,LS_current!BW$147, FALSE))/2)</f>
        <v>1438.9006257533119</v>
      </c>
      <c r="CW82" s="103">
        <f t="array" ref="CW82">INDEX(Demand_current!$D$4:$BW$137, MATCH($A82, Demand_current!$B$4:$B$137, 0), MATCH(CW$4&amp;CW$5,Demand_current!$D$2:$BW$2&amp;Demand_current!$D$3:$BW$3, 0))/1000</f>
        <v>3.4628171296296308</v>
      </c>
      <c r="CX82" s="103">
        <f t="array" ref="CX82">INDEX(Demand_current!$D$4:$BW$137, MATCH($A82, Demand_current!$B$4:$B$137, 0), MATCH(CX$4&amp;CX$5,Demand_current!$D$2:$BW$2&amp;Demand_current!$D$3:$BW$3, 0))/1000</f>
        <v>0.68223697916666781</v>
      </c>
      <c r="CY82" s="103">
        <f t="array" ref="CY82">INDEX(Demand_current!$D$4:$BW$137, MATCH($A82, Demand_current!$B$4:$B$137, 0), MATCH(CY$4&amp;CY$5,Demand_current!$D$2:$BW$2&amp;Demand_current!$D$3:$BW$3, 0))/1000</f>
        <v>1.2576057692307683</v>
      </c>
      <c r="CZ82" s="103">
        <f t="array" ref="CZ82">INDEX(Demand_current!$D$4:$BW$137, MATCH($A82, Demand_current!$B$4:$B$137, 0), MATCH(CZ$4&amp;CZ$5,Demand_current!$D$2:$BW$2&amp;Demand_current!$D$3:$BW$3, 0))/1000</f>
        <v>1.3889230769230778</v>
      </c>
      <c r="DA82" s="103">
        <f t="array" ref="DA82">INDEX(Demand_current!$D$4:$BW$137, MATCH($A82, Demand_current!$B$4:$B$137, 0), MATCH(DA$4&amp;DA$5,Demand_current!$D$2:$BW$2&amp;Demand_current!$D$3:$BW$3, 0))/1000</f>
        <v>1.2482161458333332</v>
      </c>
      <c r="DB82" s="103">
        <f t="array" ref="DB82">INDEX(Demand_current!$D$4:$BW$137, MATCH($A82, Demand_current!$B$4:$B$137, 0), MATCH(DB$4&amp;DB$5,Demand_current!$D$2:$BW$2&amp;Demand_current!$D$3:$BW$3, 0))/1000</f>
        <v>1.5988221153846149</v>
      </c>
      <c r="DC82" s="103">
        <f t="array" ref="DC82">INDEX(Demand_current!$D$4:$BW$137, MATCH($A82, Demand_current!$B$4:$B$137, 0), MATCH(DC$4&amp;DC$5,Demand_current!$D$2:$BW$2&amp;Demand_current!$D$3:$BW$3, 0))/1000</f>
        <v>2.1846490384615374</v>
      </c>
      <c r="DD82" s="103">
        <f t="array" ref="DD82">INDEX(Demand_current!$D$4:$BW$137, MATCH($A82, Demand_current!$B$4:$B$137, 0), MATCH(DD$4&amp;DD$5,Demand_current!$D$2:$BW$2&amp;Demand_current!$D$3:$BW$3, 0))/1000</f>
        <v>0</v>
      </c>
      <c r="DE82" s="103">
        <f t="array" ref="DE82">INDEX(Demand_current!$D$4:$BW$137, MATCH($A82, Demand_current!$B$4:$B$137, 0), MATCH(DE$4&amp;DE$5,Demand_current!$D$2:$BW$2&amp;Demand_current!$D$3:$BW$3, 0))/1000</f>
        <v>3.7365360576923052</v>
      </c>
      <c r="DF82" s="103">
        <f t="array" ref="DF82">INDEX(Demand_current!$D$4:$BW$137, MATCH($A82, Demand_current!$B$4:$B$137, 0), MATCH(DF$4&amp;DF$5,Demand_current!$D$2:$BW$2&amp;Demand_current!$D$3:$BW$3, 0))/1000</f>
        <v>5.1173461538461567</v>
      </c>
      <c r="DG82" s="103">
        <f t="array" ref="DG82">INDEX(Demand_current!$D$4:$BW$137, MATCH($A82, Demand_current!$B$4:$B$137, 0), MATCH(DG$4&amp;DG$5,Demand_current!$D$2:$BW$2&amp;Demand_current!$D$3:$BW$3, 0))/1000</f>
        <v>1.3239951923076962</v>
      </c>
      <c r="DH82" s="103">
        <f t="array" ref="DH82">INDEX(Demand_current!$D$4:$BW$137, MATCH($A82, Demand_current!$B$4:$B$137, 0), MATCH(DH$4&amp;DH$5,Demand_current!$D$2:$BW$2&amp;Demand_current!$D$3:$BW$3, 0))/1000</f>
        <v>2.6243324999999995</v>
      </c>
      <c r="DI82" s="102">
        <f>$BS82*(VLOOKUP(DI$4, Rates_current!$H$6:$R$41, 10, FALSE)+VLOOKUP(DI$4, Rates_current!$H$6:$R$41, 11, FALSE))</f>
        <v>5592.9275814536732</v>
      </c>
      <c r="DJ82" s="102">
        <f>$BS82*(VLOOKUP(DJ$4, Rates_current!$H$6:$R$41, 10, FALSE)+VLOOKUP(DJ$4, Rates_current!$H$6:$R$41, 11, FALSE))</f>
        <v>7150.3738380085624</v>
      </c>
      <c r="DK82" s="102">
        <f>$BS82*(VLOOKUP(DK$4, Rates_current!$H$6:$R$41, 10, FALSE)+VLOOKUP(DK$4, Rates_current!$H$6:$R$41, 11, FALSE))</f>
        <v>8129.3770183316383</v>
      </c>
      <c r="DL82" s="102">
        <f>$BS82*(VLOOKUP(DL$4, Rates_current!$H$6:$R$41, 10, FALSE)+VLOOKUP(DL$4, Rates_current!$H$6:$R$41, 11, FALSE))</f>
        <v>8577.1273244483964</v>
      </c>
      <c r="DM82" s="102">
        <f>$BS82*(VLOOKUP(DM$4, Rates_current!$H$6:$R$41, 10, FALSE)+VLOOKUP(DM$4, Rates_current!$H$6:$R$41, 11, FALSE))</f>
        <v>6835.1963622554067</v>
      </c>
      <c r="DN82" s="102">
        <f>$BS82*(VLOOKUP(DN$4, Rates_current!$H$6:$R$41, 10, FALSE)+VLOOKUP(DN$4, Rates_current!$H$6:$R$41, 11, FALSE))</f>
        <v>7472.2732707994292</v>
      </c>
      <c r="DO82" s="102">
        <f>$BS82*(VLOOKUP(DO$4, Rates_current!$H$6:$R$41, 10, FALSE)+VLOOKUP(DO$4, Rates_current!$H$6:$R$41, 11, FALSE))</f>
        <v>5791.0869490047216</v>
      </c>
      <c r="DP82" s="102">
        <f>$BS82*(VLOOKUP(DP$4, Rates_current!$H$6:$R$41, 10, FALSE)+VLOOKUP(DP$4, Rates_current!$H$6:$R$41, 11, FALSE))</f>
        <v>7494.6200280856301</v>
      </c>
      <c r="DQ82" s="102">
        <f>$BS82*(VLOOKUP(DQ$4, Rates_current!$H$6:$R$41, 10, FALSE)+VLOOKUP(DQ$4, Rates_current!$H$6:$R$41, 11, FALSE))</f>
        <v>7654.651982518295</v>
      </c>
      <c r="DR82" s="102">
        <f>$BS82*(VLOOKUP(DR$4, Rates_current!$H$6:$R$41, 10, FALSE)+VLOOKUP(DR$4, Rates_current!$H$6:$R$41, 11, FALSE))</f>
        <v>6813.3022749702222</v>
      </c>
      <c r="DS82" s="102">
        <f>$BS82*(VLOOKUP(DS$4, Rates_current!$H$6:$R$41, 10, FALSE)+VLOOKUP(DS$4, Rates_current!$H$6:$R$41, 11, FALSE))</f>
        <v>6989.1986153842736</v>
      </c>
      <c r="DT82" s="102">
        <f>$BS82*(VLOOKUP(DT$4, Rates_current!$H$6:$R$41, 10, FALSE)+VLOOKUP(DT$4, Rates_current!$H$6:$R$41, 11, FALSE))</f>
        <v>5427.9505312357487</v>
      </c>
      <c r="DU82" s="261">
        <f>IF(D82=0,IF(C82=0,MAX(0,DW82 - (VLOOKUP($A82,TOCA_current!$A$2:$AV$136,MATCH("RHWM "&amp;Init!$D$1,TOCA_current!$A$2:$AV$2,0),FALSE)*$BS$2)), 0),0)</f>
        <v>8279.3809542560193</v>
      </c>
      <c r="DV82" s="262">
        <f>MIN(VLOOKUP($A82,TOCA_current!$A$2:$AV$136,MATCH("TRL - NLSL - Existing Resource "&amp;$BS$1,TOCA_current!$A$2:$AV$2,0),FALSE)*$BS$2, VLOOKUP($A82,TOCA_current!$A$2:$AV$136,MATCH("RHWM "&amp;Init!$D$1,TOCA_current!$A$2:$AV$2,0),FALSE)*$BS$2)</f>
        <v>83929.56</v>
      </c>
      <c r="DW82" s="262">
        <f>SUM(BY82:CV82)+(BS82*RT1SC!$C$4*$BS$2)</f>
        <v>92208.940954256017</v>
      </c>
      <c r="DX82" s="262">
        <f>VLOOKUP($A82,TOCA_current!$A$2:$AV$136,MATCH("Above RHWM Not Served with LS "&amp;$BS$1,TOCA_current!$A$2:$AV$2,0),FALSE)*$BS$2</f>
        <v>0</v>
      </c>
      <c r="DY82" s="262">
        <f t="shared" si="43"/>
        <v>8279.3809542560193</v>
      </c>
      <c r="DZ82" s="262">
        <f>(VLOOKUP($A82,TOCA_current!$A$2:$AV$136,MATCH("RHWM "&amp;Init!$D$1,TOCA_current!$A$2:$AV$2,0),FALSE)*$BS$2) - $DV82</f>
        <v>0</v>
      </c>
      <c r="EA82" s="262">
        <f t="shared" si="44"/>
        <v>0</v>
      </c>
      <c r="EB82" s="262">
        <f t="shared" si="45"/>
        <v>0</v>
      </c>
      <c r="EC82" s="262">
        <f t="shared" si="46"/>
        <v>0</v>
      </c>
      <c r="ED82" s="262">
        <f t="shared" si="47"/>
        <v>0</v>
      </c>
    </row>
    <row r="83" spans="1:134">
      <c r="A83" s="2">
        <v>10244</v>
      </c>
      <c r="B83" s="3" t="s">
        <v>85</v>
      </c>
      <c r="C83">
        <f>VLOOKUP(A83, TOCA_current!$A$3:$D$136, 4, FALSE)</f>
        <v>0</v>
      </c>
      <c r="D83">
        <v>0</v>
      </c>
      <c r="E83" s="84">
        <f>VLOOKUP($A83,TOCA_previous!$A$2:$AJ$136,MATCH(E$4,TOCA_previous!$A$2:$AJ$2,0),FALSE)</f>
        <v>1.24558E-2</v>
      </c>
      <c r="F83" s="85">
        <f>VLOOKUP($A83,TOCA_previous!$A$2:$AJ$136,MATCH(F$4,TOCA_previous!$A$2:$AJ$2,0),FALSE)</f>
        <v>1.24558E-2</v>
      </c>
      <c r="G83" s="85">
        <f t="shared" si="33"/>
        <v>0</v>
      </c>
      <c r="H83" s="85">
        <f>VLOOKUP($A83,TOCA_previous!$A$2:$AJ$136,MATCH(H$4,TOCA_previous!$A$2:$AJ$2,0),FALSE)</f>
        <v>6.9711522815500138E-2</v>
      </c>
      <c r="I83" s="85">
        <f t="shared" si="34"/>
        <v>0</v>
      </c>
      <c r="J83" s="85">
        <f t="shared" si="35"/>
        <v>0</v>
      </c>
      <c r="K83" s="101">
        <f>VLOOKUP(A83, IRD!$A$5:$C$138, 3, FALSE)</f>
        <v>0</v>
      </c>
      <c r="L83" s="102">
        <f t="array" ref="L83">IF($G83=0, INDEX(LS_previous!$D$4:$AY$137, MATCH('Staging Table'!$A83, LS_previous!$B$4:$B$137, 0), MATCH(L$4&amp;L$5, LS_previous!$D$2:$AY$2&amp;LS_previous!$D$3:$AY$3, 0)),SUM(VLOOKUP($A83, LS_previous!$B$4:$AY$137, LS_previous!D$148, FALSE), VLOOKUP('Staging Table'!$A83, LS_previous!$B$4:$AY$137,LS_previous!AB$148, FALSE))/2)</f>
        <v>7278.4065763912004</v>
      </c>
      <c r="M83" s="102">
        <f t="array" ref="M83">IF($G83=0, INDEX(LS_previous!$D$4:$AY$137, MATCH('Staging Table'!$A83, LS_previous!$B$4:$B$137, 0), MATCH(M$4&amp;M$5, LS_previous!$D$2:$AY$2&amp;LS_previous!$D$3:$AY$3, 0)),SUM(VLOOKUP($A83, LS_previous!$B$4:$AY$137, LS_previous!E$148, FALSE), VLOOKUP('Staging Table'!$A83, LS_previous!$B$4:$AY$137,LS_previous!AC$148, FALSE))/2)</f>
        <v>6182.8385311171005</v>
      </c>
      <c r="N83" s="102">
        <f t="array" ref="N83">IF($G83=0, INDEX(LS_previous!$D$4:$AY$137, MATCH('Staging Table'!$A83, LS_previous!$B$4:$B$137, 0), MATCH(N$4&amp;N$5, LS_previous!$D$2:$AY$2&amp;LS_previous!$D$3:$AY$3, 0)),SUM(VLOOKUP($A83, LS_previous!$B$4:$AY$137, LS_previous!F$148, FALSE), VLOOKUP('Staging Table'!$A83, LS_previous!$B$4:$AY$137,LS_previous!AD$148, FALSE))/2)</f>
        <v>5108.7397398975954</v>
      </c>
      <c r="O83" s="102">
        <f t="array" ref="O83">IF($G83=0, INDEX(LS_previous!$D$4:$AY$137, MATCH('Staging Table'!$A83, LS_previous!$B$4:$B$137, 0), MATCH(O$4&amp;O$5, LS_previous!$D$2:$AY$2&amp;LS_previous!$D$3:$AY$3, 0)),SUM(VLOOKUP($A83, LS_previous!$B$4:$AY$137, LS_previous!G$148, FALSE), VLOOKUP('Staging Table'!$A83, LS_previous!$B$4:$AY$137,LS_previous!AE$148, FALSE))/2)</f>
        <v>9982.1329479901979</v>
      </c>
      <c r="P83" s="102">
        <f t="array" ref="P83">IF($G83=0, INDEX(LS_previous!$D$4:$AY$137, MATCH('Staging Table'!$A83, LS_previous!$B$4:$B$137, 0), MATCH(P$4&amp;P$5, LS_previous!$D$2:$AY$2&amp;LS_previous!$D$3:$AY$3, 0)),SUM(VLOOKUP($A83, LS_previous!$B$4:$AY$137, LS_previous!H$148, FALSE), VLOOKUP('Staging Table'!$A83, LS_previous!$B$4:$AY$137,LS_previous!AF$148, FALSE))/2)</f>
        <v>22128.563732163799</v>
      </c>
      <c r="Q83" s="102">
        <f t="array" ref="Q83">IF($G83=0, INDEX(LS_previous!$D$4:$AY$137, MATCH('Staging Table'!$A83, LS_previous!$B$4:$B$137, 0), MATCH(Q$4&amp;Q$5, LS_previous!$D$2:$AY$2&amp;LS_previous!$D$3:$AY$3, 0)),SUM(VLOOKUP($A83, LS_previous!$B$4:$AY$137, LS_previous!I$148, FALSE), VLOOKUP('Staging Table'!$A83, LS_previous!$B$4:$AY$137,LS_previous!AG$148, FALSE))/2)</f>
        <v>22231.536721363202</v>
      </c>
      <c r="R83" s="102">
        <f t="array" ref="R83">IF($G83=0, INDEX(LS_previous!$D$4:$AY$137, MATCH('Staging Table'!$A83, LS_previous!$B$4:$B$137, 0), MATCH(R$4&amp;R$5, LS_previous!$D$2:$AY$2&amp;LS_previous!$D$3:$AY$3, 0)),SUM(VLOOKUP($A83, LS_previous!$B$4:$AY$137, LS_previous!J$148, FALSE), VLOOKUP('Staging Table'!$A83, LS_previous!$B$4:$AY$137,LS_previous!AH$148, FALSE))/2)</f>
        <v>17552.489136302996</v>
      </c>
      <c r="S83" s="102">
        <f t="array" ref="S83">IF($G83=0, INDEX(LS_previous!$D$4:$AY$137, MATCH('Staging Table'!$A83, LS_previous!$B$4:$B$137, 0), MATCH(S$4&amp;S$5, LS_previous!$D$2:$AY$2&amp;LS_previous!$D$3:$AY$3, 0)),SUM(VLOOKUP($A83, LS_previous!$B$4:$AY$137, LS_previous!K$148, FALSE), VLOOKUP('Staging Table'!$A83, LS_previous!$B$4:$AY$137,LS_previous!AI$148, FALSE))/2)</f>
        <v>22635.577338381798</v>
      </c>
      <c r="T83" s="102">
        <f t="array" ref="T83">IF($G83=0, INDEX(LS_previous!$D$4:$AY$137, MATCH('Staging Table'!$A83, LS_previous!$B$4:$B$137, 0), MATCH(T$4&amp;T$5, LS_previous!$D$2:$AY$2&amp;LS_previous!$D$3:$AY$3, 0)),SUM(VLOOKUP($A83, LS_previous!$B$4:$AY$137, LS_previous!L$148, FALSE), VLOOKUP('Staging Table'!$A83, LS_previous!$B$4:$AY$137,LS_previous!AJ$148, FALSE))/2)</f>
        <v>15509.722330351804</v>
      </c>
      <c r="U83" s="102">
        <f t="array" ref="U83">IF($G83=0, INDEX(LS_previous!$D$4:$AY$137, MATCH('Staging Table'!$A83, LS_previous!$B$4:$B$137, 0), MATCH(U$4&amp;U$5, LS_previous!$D$2:$AY$2&amp;LS_previous!$D$3:$AY$3, 0)),SUM(VLOOKUP($A83, LS_previous!$B$4:$AY$137, LS_previous!M$148, FALSE), VLOOKUP('Staging Table'!$A83, LS_previous!$B$4:$AY$137,LS_previous!AK$148, FALSE))/2)</f>
        <v>17881.546179087803</v>
      </c>
      <c r="V83" s="102">
        <f t="array" ref="V83">IF($G83=0, INDEX(LS_previous!$D$4:$AY$137, MATCH('Staging Table'!$A83, LS_previous!$B$4:$B$137, 0), MATCH(V$4&amp;V$5, LS_previous!$D$2:$AY$2&amp;LS_previous!$D$3:$AY$3, 0)),SUM(VLOOKUP($A83, LS_previous!$B$4:$AY$137, LS_previous!N$148, FALSE), VLOOKUP('Staging Table'!$A83, LS_previous!$B$4:$AY$137,LS_previous!AL$148, FALSE))/2)</f>
        <v>9791.215512294606</v>
      </c>
      <c r="W83" s="102">
        <f t="array" ref="W83">IF($G83=0, INDEX(LS_previous!$D$4:$AY$137, MATCH('Staging Table'!$A83, LS_previous!$B$4:$B$137, 0), MATCH(W$4&amp;W$5, LS_previous!$D$2:$AY$2&amp;LS_previous!$D$3:$AY$3, 0)),SUM(VLOOKUP($A83, LS_previous!$B$4:$AY$137, LS_previous!O$148, FALSE), VLOOKUP('Staging Table'!$A83, LS_previous!$B$4:$AY$137,LS_previous!AM$148, FALSE))/2)</f>
        <v>10083.981617587604</v>
      </c>
      <c r="X83" s="102">
        <f t="array" ref="X83">IF($G83=0, INDEX(LS_previous!$D$4:$AY$137, MATCH('Staging Table'!$A83, LS_previous!$B$4:$B$137, 0), MATCH(X$4&amp;X$5, LS_previous!$D$2:$AY$2&amp;LS_previous!$D$3:$AY$3, 0)),SUM(VLOOKUP($A83, LS_previous!$B$4:$AY$137, LS_previous!P$148, FALSE), VLOOKUP('Staging Table'!$A83, LS_previous!$B$4:$AY$137,LS_previous!AN$148, FALSE))/2)</f>
        <v>8648.6652050155026</v>
      </c>
      <c r="Y83" s="102">
        <f t="array" ref="Y83">IF($G83=0, INDEX(LS_previous!$D$4:$AY$137, MATCH('Staging Table'!$A83, LS_previous!$B$4:$B$137, 0), MATCH(Y$4&amp;Y$5, LS_previous!$D$2:$AY$2&amp;LS_previous!$D$3:$AY$3, 0)),SUM(VLOOKUP($A83, LS_previous!$B$4:$AY$137, LS_previous!Q$148, FALSE), VLOOKUP('Staging Table'!$A83, LS_previous!$B$4:$AY$137,LS_previous!AO$148, FALSE))/2)</f>
        <v>9520.5621631343529</v>
      </c>
      <c r="Z83" s="102">
        <f t="array" ref="Z83">IF($G83=0, INDEX(LS_previous!$D$4:$AY$137, MATCH('Staging Table'!$A83, LS_previous!$B$4:$B$137, 0), MATCH(Z$4&amp;Z$5, LS_previous!$D$2:$AY$2&amp;LS_previous!$D$3:$AY$3, 0)),SUM(VLOOKUP($A83, LS_previous!$B$4:$AY$137, LS_previous!R$148, FALSE), VLOOKUP('Staging Table'!$A83, LS_previous!$B$4:$AY$137,LS_previous!AP$148, FALSE))/2)</f>
        <v>-16479.8352953184</v>
      </c>
      <c r="AA83" s="102">
        <f t="array" ref="AA83">IF($G83=0, INDEX(LS_previous!$D$4:$AY$137, MATCH('Staging Table'!$A83, LS_previous!$B$4:$B$137, 0), MATCH(AA$4&amp;AA$5, LS_previous!$D$2:$AY$2&amp;LS_previous!$D$3:$AY$3, 0)),SUM(VLOOKUP($A83, LS_previous!$B$4:$AY$137, LS_previous!S$148, FALSE), VLOOKUP('Staging Table'!$A83, LS_previous!$B$4:$AY$137,LS_previous!AQ$148, FALSE))/2)</f>
        <v>-7683.5090244442981</v>
      </c>
      <c r="AB83" s="102">
        <f t="array" ref="AB83">IF($G83=0, INDEX(LS_previous!$D$4:$AY$137, MATCH('Staging Table'!$A83, LS_previous!$B$4:$B$137, 0), MATCH(AB$4&amp;AB$5, LS_previous!$D$2:$AY$2&amp;LS_previous!$D$3:$AY$3, 0)),SUM(VLOOKUP($A83, LS_previous!$B$4:$AY$137, LS_previous!T$148, FALSE), VLOOKUP('Staging Table'!$A83, LS_previous!$B$4:$AY$137,LS_previous!AR$148, FALSE))/2)</f>
        <v>-17660.287724670801</v>
      </c>
      <c r="AC83" s="102">
        <f t="array" ref="AC83">IF($G83=0, INDEX(LS_previous!$D$4:$AY$137, MATCH('Staging Table'!$A83, LS_previous!$B$4:$B$137, 0), MATCH(AC$4&amp;AC$5, LS_previous!$D$2:$AY$2&amp;LS_previous!$D$3:$AY$3, 0)),SUM(VLOOKUP($A83, LS_previous!$B$4:$AY$137, LS_previous!U$148, FALSE), VLOOKUP('Staging Table'!$A83, LS_previous!$B$4:$AY$137,LS_previous!AS$148, FALSE))/2)</f>
        <v>-10659.098223841098</v>
      </c>
      <c r="AD83" s="102">
        <f t="array" ref="AD83">IF($G83=0, INDEX(LS_previous!$D$4:$AY$137, MATCH('Staging Table'!$A83, LS_previous!$B$4:$B$137, 0), MATCH(AD$4&amp;AD$5, LS_previous!$D$2:$AY$2&amp;LS_previous!$D$3:$AY$3, 0)),SUM(VLOOKUP($A83, LS_previous!$B$4:$AY$137, LS_previous!V$148, FALSE), VLOOKUP('Staging Table'!$A83, LS_previous!$B$4:$AY$137,LS_previous!AT$148, FALSE))/2)</f>
        <v>-11069.284246031195</v>
      </c>
      <c r="AE83" s="102">
        <f t="array" ref="AE83">IF($G83=0, INDEX(LS_previous!$D$4:$AY$137, MATCH('Staging Table'!$A83, LS_previous!$B$4:$B$137, 0), MATCH(AE$4&amp;AE$5, LS_previous!$D$2:$AY$2&amp;LS_previous!$D$3:$AY$3, 0)),SUM(VLOOKUP($A83, LS_previous!$B$4:$AY$137, LS_previous!W$148, FALSE), VLOOKUP('Staging Table'!$A83, LS_previous!$B$4:$AY$137,LS_previous!AU$148, FALSE))/2)</f>
        <v>-5442.8441036144977</v>
      </c>
      <c r="AF83" s="102">
        <f t="array" ref="AF83">IF($G83=0, INDEX(LS_previous!$D$4:$AY$137, MATCH('Staging Table'!$A83, LS_previous!$B$4:$B$137, 0), MATCH(AF$4&amp;AF$5, LS_previous!$D$2:$AY$2&amp;LS_previous!$D$3:$AY$3, 0)),SUM(VLOOKUP($A83, LS_previous!$B$4:$AY$137, LS_previous!X$148, FALSE), VLOOKUP('Staging Table'!$A83, LS_previous!$B$4:$AY$137,LS_previous!AV$148, FALSE))/2)</f>
        <v>-9584.3987181697012</v>
      </c>
      <c r="AG83" s="102">
        <f t="array" ref="AG83">IF($G83=0, INDEX(LS_previous!$D$4:$AY$137, MATCH('Staging Table'!$A83, LS_previous!$B$4:$B$137, 0), MATCH(AG$4&amp;AG$5, LS_previous!$D$2:$AY$2&amp;LS_previous!$D$3:$AY$3, 0)),SUM(VLOOKUP($A83, LS_previous!$B$4:$AY$137, LS_previous!Y$148, FALSE), VLOOKUP('Staging Table'!$A83, LS_previous!$B$4:$AY$137,LS_previous!AW$148, FALSE))/2)</f>
        <v>-5754.003574995626</v>
      </c>
      <c r="AH83" s="102">
        <f t="array" ref="AH83">IF($G83=0, INDEX(LS_previous!$D$4:$AY$137, MATCH('Staging Table'!$A83, LS_previous!$B$4:$B$137, 0), MATCH(AH$4&amp;AH$5, LS_previous!$D$2:$AY$2&amp;LS_previous!$D$3:$AY$3, 0)),SUM(VLOOKUP($A83, LS_previous!$B$4:$AY$137, LS_previous!Z$148, FALSE), VLOOKUP('Staging Table'!$A83, LS_previous!$B$4:$AY$137,LS_previous!AX$148, FALSE))/2)</f>
        <v>-7551.3671532892004</v>
      </c>
      <c r="AI83" s="102">
        <f t="array" ref="AI83">IF($G83=0, INDEX(LS_previous!$D$4:$AY$137, MATCH('Staging Table'!$A83, LS_previous!$B$4:$B$137, 0), MATCH(AI$4&amp;AI$5, LS_previous!$D$2:$AY$2&amp;LS_previous!$D$3:$AY$3, 0)),SUM(VLOOKUP($A83, LS_previous!$B$4:$AY$137, LS_previous!AA$148, FALSE), VLOOKUP('Staging Table'!$A83, LS_previous!$B$4:$AY$137,LS_previous!AY$148, FALSE))/2)</f>
        <v>-5389.7948856032017</v>
      </c>
      <c r="AJ83" s="103">
        <f t="array" ref="AJ83">INDEX(Demand_previous!$D$4:$AY$137, MATCH('Staging Table'!$A83, Demand_previous!$B$4:$B$137, 0), MATCH(AJ$4&amp;AJ$5,Demand_previous!$D$2:$AY$2&amp;Demand_previous!$D$3:$AY$3, 0))/1000</f>
        <v>43.639185096153824</v>
      </c>
      <c r="AK83" s="103">
        <f t="array" ref="AK83">INDEX(Demand_previous!$D$4:$AY$137, MATCH('Staging Table'!$A83, Demand_previous!$B$4:$B$137, 0), MATCH(AK$4&amp;AK$5,Demand_previous!$D$2:$AY$2&amp;Demand_previous!$D$3:$AY$3, 0))/1000</f>
        <v>26.992647499999983</v>
      </c>
      <c r="AL83" s="103">
        <f t="array" ref="AL83">INDEX(Demand_previous!$D$4:$AY$137, MATCH('Staging Table'!$A83, Demand_previous!$B$4:$B$137, 0), MATCH(AL$4&amp;AL$5,Demand_previous!$D$2:$AY$2&amp;Demand_previous!$D$3:$AY$3, 0))/1000</f>
        <v>29.585925000000024</v>
      </c>
      <c r="AM83" s="103">
        <f t="array" ref="AM83">INDEX(Demand_previous!$D$4:$AY$137, MATCH('Staging Table'!$A83, Demand_previous!$B$4:$B$137, 0), MATCH(AM$4&amp;AM$5,Demand_previous!$D$2:$AY$2&amp;Demand_previous!$D$3:$AY$3, 0))/1000</f>
        <v>58.889697115384607</v>
      </c>
      <c r="AN83" s="103">
        <f t="array" ref="AN83">INDEX(Demand_previous!$D$4:$AY$137, MATCH('Staging Table'!$A83, Demand_previous!$B$4:$B$137, 0), MATCH(AN$4&amp;AN$5,Demand_previous!$D$2:$AY$2&amp;Demand_previous!$D$3:$AY$3, 0))/1000</f>
        <v>35.130972499999999</v>
      </c>
      <c r="AO83" s="103">
        <f t="array" ref="AO83">INDEX(Demand_previous!$D$4:$AY$137, MATCH('Staging Table'!$A83, Demand_previous!$B$4:$B$137, 0), MATCH(AO$4&amp;AO$5,Demand_previous!$D$2:$AY$2&amp;Demand_previous!$D$3:$AY$3, 0))/1000</f>
        <v>45.293312499999999</v>
      </c>
      <c r="AP83" s="103">
        <f t="array" ref="AP83">INDEX(Demand_previous!$D$4:$AY$137, MATCH('Staging Table'!$A83, Demand_previous!$B$4:$B$137, 0), MATCH(AP$4&amp;AP$5,Demand_previous!$D$2:$AY$2&amp;Demand_previous!$D$3:$AY$3, 0))/1000</f>
        <v>40.231346153846168</v>
      </c>
      <c r="AQ83" s="103">
        <f t="array" ref="AQ83">INDEX(Demand_previous!$D$4:$AY$137, MATCH('Staging Table'!$A83, Demand_previous!$B$4:$B$137, 0), MATCH(AQ$4&amp;AQ$5,Demand_previous!$D$2:$AY$2&amp;Demand_previous!$D$3:$AY$3, 0))/1000</f>
        <v>22.619786057692302</v>
      </c>
      <c r="AR83" s="103">
        <f t="array" ref="AR83">INDEX(Demand_previous!$D$4:$AY$137, MATCH('Staging Table'!$A83, Demand_previous!$B$4:$B$137, 0), MATCH(AR$4&amp;AR$5,Demand_previous!$D$2:$AY$2&amp;Demand_previous!$D$3:$AY$3, 0))/1000</f>
        <v>10.207352500000006</v>
      </c>
      <c r="AS83" s="103">
        <f t="array" ref="AS83">INDEX(Demand_previous!$D$4:$AY$137, MATCH('Staging Table'!$A83, Demand_previous!$B$4:$B$137, 0), MATCH(AS$4&amp;AS$5,Demand_previous!$D$2:$AY$2&amp;Demand_previous!$D$3:$AY$3, 0))/1000</f>
        <v>13.346725961538448</v>
      </c>
      <c r="AT83" s="103">
        <f t="array" ref="AT83">INDEX(Demand_previous!$D$4:$AY$137, MATCH('Staging Table'!$A83, Demand_previous!$B$4:$B$137, 0), MATCH(AT$4&amp;AT$5,Demand_previous!$D$2:$AY$2&amp;Demand_previous!$D$3:$AY$3, 0))/1000</f>
        <v>11.276694444444443</v>
      </c>
      <c r="AU83" s="103">
        <f t="array" ref="AU83">INDEX(Demand_previous!$D$4:$AY$137, MATCH('Staging Table'!$A83, Demand_previous!$B$4:$B$137, 0), MATCH(AU$4&amp;AU$5,Demand_previous!$D$2:$AY$2&amp;Demand_previous!$D$3:$AY$3, 0))/1000</f>
        <v>10.148445312499998</v>
      </c>
      <c r="AV83" s="102">
        <f>$F83*(VLOOKUP(AV$4, Rates_previous!$G$6:$Q$29, 10, FALSE)+VLOOKUP(AV$4, Rates_previous!$G$6:$Q$29, 11, FALSE))</f>
        <v>52548.575892491695</v>
      </c>
      <c r="AW83" s="102">
        <f>$F83*(VLOOKUP(AW$4, Rates_previous!$G$6:$Q$29, 10, FALSE)+VLOOKUP(AW$4, Rates_previous!$G$6:$Q$29, 11, FALSE))</f>
        <v>67016.762312112201</v>
      </c>
      <c r="AX83" s="102">
        <f>$F83*(VLOOKUP(AX$4, Rates_previous!$G$6:$Q$29, 10, FALSE)+VLOOKUP(AX$4, Rates_previous!$G$6:$Q$29, 11, FALSE))</f>
        <v>72324.346546473011</v>
      </c>
      <c r="AY83" s="102">
        <f>$F83*(VLOOKUP(AY$4, Rates_previous!$G$6:$Q$29, 10, FALSE)+VLOOKUP(AY$4, Rates_previous!$G$6:$Q$29, 11, FALSE))</f>
        <v>75156.176525315197</v>
      </c>
      <c r="AZ83" s="102">
        <f>$F83*(VLOOKUP(AZ$4, Rates_previous!$G$6:$Q$29, 10, FALSE)+VLOOKUP(AZ$4, Rates_previous!$G$6:$Q$29, 11, FALSE))</f>
        <v>64644.329490560391</v>
      </c>
      <c r="BA83" s="102">
        <f>$F83*(VLOOKUP(BA$4, Rates_previous!$G$6:$Q$29, 10, FALSE)+VLOOKUP(BA$4, Rates_previous!$G$6:$Q$29, 11, FALSE))</f>
        <v>70578.808870117791</v>
      </c>
      <c r="BB83" s="102">
        <f>$F83*(VLOOKUP(BB$4, Rates_previous!$G$6:$Q$29, 10, FALSE)+VLOOKUP(BB$4, Rates_previous!$G$6:$Q$29, 11, FALSE))</f>
        <v>55710.075631850144</v>
      </c>
      <c r="BC83" s="102">
        <f>$F83*(VLOOKUP(BC$4, Rates_previous!$G$6:$Q$29, 10, FALSE)+VLOOKUP(BC$4, Rates_previous!$G$6:$Q$29, 11, FALSE))</f>
        <v>69115.814319762692</v>
      </c>
      <c r="BD83" s="102">
        <f>$F83*(VLOOKUP(BD$4, Rates_previous!$G$6:$Q$29, 10, FALSE)+VLOOKUP(BD$4, Rates_previous!$G$6:$Q$29, 11, FALSE))</f>
        <v>70615.454948511891</v>
      </c>
      <c r="BE83" s="102">
        <f>$F83*(VLOOKUP(BE$4, Rates_previous!$G$6:$Q$29, 10, FALSE)+VLOOKUP(BE$4, Rates_previous!$G$6:$Q$29, 11, FALSE))</f>
        <v>61304.388349645698</v>
      </c>
      <c r="BF83" s="102">
        <f>$F83*(VLOOKUP(BF$4, Rates_previous!$G$6:$Q$29, 10, FALSE)+VLOOKUP(BF$4, Rates_previous!$G$6:$Q$29, 11, FALSE))</f>
        <v>59265.048293165331</v>
      </c>
      <c r="BG83" s="102">
        <f>$F83*(VLOOKUP(BG$4, Rates_previous!$G$6:$Q$29, 10, FALSE)+VLOOKUP(BG$4, Rates_previous!$G$6:$Q$29, 11, FALSE))</f>
        <v>54535.321038892405</v>
      </c>
      <c r="BH83" s="103">
        <f>IF($D83=0,IF(C83=0, MAX(BJ83 - (VLOOKUP($A83,TOCA_previous!$A$2:$AJ$136,MATCH("RHWM "&amp;Init!$D$1-2,TOCA_previous!$A$2:$AJ$2,0),FALSE)*$F$2*TOCA_previous!C80),0),0), 0)</f>
        <v>104318.86854242941</v>
      </c>
      <c r="BI83" s="109">
        <f>MIN(VLOOKUP($A83,TOCA_previous!$A$2:$AJ$136,MATCH("TRL - NLSL - Existing Resource "&amp;$F$1,TOCA_previous!$A$2:$AJ$2,0),FALSE)*$F$2,(VLOOKUP($A83,TOCA_previous!$A$2:$AJ$136,MATCH("RHWM "&amp;Init!$D$1-2,TOCA_previous!$A$2:$AJ$2,0),FALSE)*$F$2))</f>
        <v>755757.79200000002</v>
      </c>
      <c r="BJ83" s="261">
        <f>SUM(L83:AI83)+(F83*RT1SC!$C$3*$F$2)</f>
        <v>860076.66054242942</v>
      </c>
      <c r="BK83" s="260">
        <f>VLOOKUP($A83,TOCA_previous!$A$2:$AJ$136,MATCH("Above RHWM Not Served with LS "&amp;$F$1,TOCA_previous!$A$2:$AJ$2,0),FALSE)*$F$2</f>
        <v>122325.984</v>
      </c>
      <c r="BL83" s="261">
        <f t="shared" si="36"/>
        <v>104318.86854242941</v>
      </c>
      <c r="BM83" s="260">
        <f>(VLOOKUP($A83,TOCA_previous!$A$2:$AJ$136,MATCH("RHWM "&amp;Init!$D$1-2,TOCA_previous!$A$2:$AJ$2,0),FALSE)*$F$2) - $BI83</f>
        <v>0</v>
      </c>
      <c r="BN83" s="261">
        <f t="shared" si="37"/>
        <v>0</v>
      </c>
      <c r="BO83" s="260">
        <f t="shared" si="38"/>
        <v>0</v>
      </c>
      <c r="BP83" s="261">
        <f t="shared" si="39"/>
        <v>0</v>
      </c>
      <c r="BQ83" s="260">
        <f t="shared" si="9"/>
        <v>0</v>
      </c>
      <c r="BR83" s="85">
        <f>VLOOKUP($A83,TOCA_current!$A$2:$ZZ$136,MATCH(BR$4,TOCA_current!$A$2:$ZZ$2,0),FALSE)</f>
        <v>1.2171400000000001E-2</v>
      </c>
      <c r="BS83" s="85">
        <f>VLOOKUP($A83,TOCA_current!$A$2:$ZZ$136,MATCH(BS$4,TOCA_current!$A$2:$ZZ$2,0),FALSE)</f>
        <v>1.2171400000000001E-2</v>
      </c>
      <c r="BT83" s="108">
        <f t="shared" si="40"/>
        <v>0</v>
      </c>
      <c r="BU83" s="85">
        <f>VLOOKUP($A83,TOCA_current!A80:BG214,MATCH(BU$4,TOCA_current!$A$2:$BG$2,0),FALSE)</f>
        <v>7.7759467486392467E-2</v>
      </c>
      <c r="BV83" s="85">
        <f t="shared" si="41"/>
        <v>0</v>
      </c>
      <c r="BW83" s="85">
        <f t="shared" si="42"/>
        <v>0</v>
      </c>
      <c r="BX83" s="101">
        <f>VLOOKUP($A83,IRD!$A$4:$G$138, 7, FALSE)</f>
        <v>0</v>
      </c>
      <c r="BY83" s="102">
        <f t="array" ref="BY83">IF($BT83=0, INDEX(LS_current!$D$4:$BW$137, MATCH('Staging Table'!$A83, LS_current!$B$4:$B$137, 0), MATCH(BY$4&amp;BY$5, LS_current!$D$2:$BW$2&amp;LS_current!$D$3:$BW$3, 0)),SUM(VLOOKUP($A83, LS_current!$B$4:$BW$137, LS_current!D$147, FALSE), VLOOKUP($A83, LS_current!$B$4:$BW$137,LS_current!AZ$147, FALSE))/2)</f>
        <v>2323.7784820291599</v>
      </c>
      <c r="BZ83" s="102">
        <f t="array" ref="BZ83">IF($BT83=0, INDEX(LS_current!$D$4:$BW$137, MATCH('Staging Table'!$A83, LS_current!$B$4:$B$137, 0), MATCH(BZ$4&amp;BZ$5, LS_current!$D$2:$BW$2&amp;LS_current!$D$3:$BW$3, 0)),SUM(VLOOKUP($A83, LS_current!$B$4:$BW$137, LS_current!E$147, FALSE), VLOOKUP($A83, LS_current!$B$4:$BW$137,LS_current!BA$147, FALSE))/2)</f>
        <v>4476.1039177146558</v>
      </c>
      <c r="CA83" s="102">
        <f t="array" ref="CA83">IF($BT83=0, INDEX(LS_current!$D$4:$BW$137, MATCH('Staging Table'!$A83, LS_current!$B$4:$B$137, 0), MATCH(CA$4&amp;CA$5, LS_current!$D$2:$BW$2&amp;LS_current!$D$3:$BW$3, 0)),SUM(VLOOKUP($A83, LS_current!$B$4:$BW$137, LS_current!F$147, FALSE), VLOOKUP($A83, LS_current!$B$4:$BW$137,LS_current!BB$147, FALSE))/2)</f>
        <v>2497.9188364240545</v>
      </c>
      <c r="CB83" s="102">
        <f t="array" ref="CB83">IF($BT83=0, INDEX(LS_current!$D$4:$BW$137, MATCH('Staging Table'!$A83, LS_current!$B$4:$B$137, 0), MATCH(CB$4&amp;CB$5, LS_current!$D$2:$BW$2&amp;LS_current!$D$3:$BW$3, 0)),SUM(VLOOKUP($A83, LS_current!$B$4:$BW$137, LS_current!G$147, FALSE), VLOOKUP($A83, LS_current!$B$4:$BW$137,LS_current!BC$147, FALSE))/2)</f>
        <v>6601.8663586357434</v>
      </c>
      <c r="CC83" s="102">
        <f t="array" ref="CC83">IF($BT83=0, INDEX(LS_current!$D$4:$BW$137, MATCH('Staging Table'!$A83, LS_current!$B$4:$B$137, 0), MATCH(CC$4&amp;CC$5, LS_current!$D$2:$BW$2&amp;LS_current!$D$3:$BW$3, 0)),SUM(VLOOKUP($A83, LS_current!$B$4:$BW$137, LS_current!H$147, FALSE), VLOOKUP($A83, LS_current!$B$4:$BW$137,LS_current!BD$147, FALSE))/2)</f>
        <v>13821.853271387037</v>
      </c>
      <c r="CD83" s="102">
        <f t="array" ref="CD83">IF($BT83=0, INDEX(LS_current!$D$4:$BW$137, MATCH('Staging Table'!$A83, LS_current!$B$4:$B$137, 0), MATCH(CD$4&amp;CD$5, LS_current!$D$2:$BW$2&amp;LS_current!$D$3:$BW$3, 0)),SUM(VLOOKUP($A83, LS_current!$B$4:$BW$137, LS_current!I$147, FALSE), VLOOKUP($A83, LS_current!$B$4:$BW$137,LS_current!BE$147, FALSE))/2)</f>
        <v>20743.67570121483</v>
      </c>
      <c r="CE83" s="102">
        <f t="array" ref="CE83">IF($BT83=0, INDEX(LS_current!$D$4:$BW$137, MATCH('Staging Table'!$A83, LS_current!$B$4:$B$137, 0), MATCH(CE$4&amp;CE$5, LS_current!$D$2:$BW$2&amp;LS_current!$D$3:$BW$3, 0)),SUM(VLOOKUP($A83, LS_current!$B$4:$BW$137, LS_current!J$147, FALSE), VLOOKUP($A83, LS_current!$B$4:$BW$137,LS_current!BF$147, FALSE))/2)</f>
        <v>10393.120705179739</v>
      </c>
      <c r="CF83" s="102">
        <f t="array" ref="CF83">IF($BT83=0, INDEX(LS_current!$D$4:$BW$137, MATCH('Staging Table'!$A83, LS_current!$B$4:$B$137, 0), MATCH(CF$4&amp;CF$5, LS_current!$D$2:$BW$2&amp;LS_current!$D$3:$BW$3, 0)),SUM(VLOOKUP($A83, LS_current!$B$4:$BW$137, LS_current!K$147, FALSE), VLOOKUP($A83, LS_current!$B$4:$BW$137,LS_current!BG$147, FALSE))/2)</f>
        <v>18788.164436708637</v>
      </c>
      <c r="CG83" s="102">
        <f t="array" ref="CG83">IF($BT83=0, INDEX(LS_current!$D$4:$BW$137, MATCH('Staging Table'!$A83, LS_current!$B$4:$B$137, 0), MATCH(CG$4&amp;CG$5, LS_current!$D$2:$BW$2&amp;LS_current!$D$3:$BW$3, 0)),SUM(VLOOKUP($A83, LS_current!$B$4:$BW$137, LS_current!L$147, FALSE), VLOOKUP($A83, LS_current!$B$4:$BW$137,LS_current!BH$147, FALSE))/2)</f>
        <v>13063.911032697302</v>
      </c>
      <c r="CH83" s="102">
        <f t="array" ref="CH83">IF($BT83=0, INDEX(LS_current!$D$4:$BW$137, MATCH('Staging Table'!$A83, LS_current!$B$4:$B$137, 0), MATCH(CH$4&amp;CH$5, LS_current!$D$2:$BW$2&amp;LS_current!$D$3:$BW$3, 0)),SUM(VLOOKUP($A83, LS_current!$B$4:$BW$137, LS_current!M$147, FALSE), VLOOKUP($A83, LS_current!$B$4:$BW$137,LS_current!BI$147, FALSE))/2)</f>
        <v>15717.378309276992</v>
      </c>
      <c r="CI83" s="102">
        <f t="array" ref="CI83">IF($BT83=0, INDEX(LS_current!$D$4:$BW$137, MATCH('Staging Table'!$A83, LS_current!$B$4:$B$137, 0), MATCH(CI$4&amp;CI$5, LS_current!$D$2:$BW$2&amp;LS_current!$D$3:$BW$3, 0)),SUM(VLOOKUP($A83, LS_current!$B$4:$BW$137, LS_current!N$147, FALSE), VLOOKUP($A83, LS_current!$B$4:$BW$137,LS_current!BJ$147, FALSE))/2)</f>
        <v>4008.2980333148007</v>
      </c>
      <c r="CJ83" s="102">
        <f t="array" ref="CJ83">IF($BT83=0, INDEX(LS_current!$D$4:$BW$137, MATCH('Staging Table'!$A83, LS_current!$B$4:$B$137, 0), MATCH(CJ$4&amp;CJ$5, LS_current!$D$2:$BW$2&amp;LS_current!$D$3:$BW$3, 0)),SUM(VLOOKUP($A83, LS_current!$B$4:$BW$137, LS_current!O$147, FALSE), VLOOKUP($A83, LS_current!$B$4:$BW$137,LS_current!BK$147, FALSE))/2)</f>
        <v>10273.377913399221</v>
      </c>
      <c r="CK83" s="102">
        <f t="array" ref="CK83">IF($BT83=0, INDEX(LS_current!$D$4:$BW$137, MATCH('Staging Table'!$A83, LS_current!$B$4:$B$137, 0), MATCH(CK$4&amp;CK$5, LS_current!$D$2:$BW$2&amp;LS_current!$D$3:$BW$3, 0)),SUM(VLOOKUP($A83, LS_current!$B$4:$BW$137, LS_current!P$147, FALSE), VLOOKUP($A83, LS_current!$B$4:$BW$137,LS_current!BL$147, FALSE))/2)</f>
        <v>5492.1617521163898</v>
      </c>
      <c r="CL83" s="102">
        <f t="array" ref="CL83">IF($BT83=0, INDEX(LS_current!$D$4:$BW$137, MATCH('Staging Table'!$A83, LS_current!$B$4:$B$137, 0), MATCH(CL$4&amp;CL$5, LS_current!$D$2:$BW$2&amp;LS_current!$D$3:$BW$3, 0)),SUM(VLOOKUP($A83, LS_current!$B$4:$BW$137, LS_current!Q$147, FALSE), VLOOKUP($A83, LS_current!$B$4:$BW$137,LS_current!BM$147, FALSE))/2)</f>
        <v>7667.9333559898223</v>
      </c>
      <c r="CM83" s="102">
        <f t="array" ref="CM83">IF($BT83=0, INDEX(LS_current!$D$4:$BW$137, MATCH('Staging Table'!$A83, LS_current!$B$4:$B$137, 0), MATCH(CM$4&amp;CM$5, LS_current!$D$2:$BW$2&amp;LS_current!$D$3:$BW$3, 0)),SUM(VLOOKUP($A83, LS_current!$B$4:$BW$137, LS_current!R$147, FALSE), VLOOKUP($A83, LS_current!$B$4:$BW$137,LS_current!BN$147, FALSE))/2)</f>
        <v>-19902.810558136156</v>
      </c>
      <c r="CN83" s="102">
        <f t="array" ref="CN83">IF($BT83=0, INDEX(LS_current!$D$4:$BW$137, MATCH('Staging Table'!$A83, LS_current!$B$4:$B$137, 0), MATCH(CN$4&amp;CN$5, LS_current!$D$2:$BW$2&amp;LS_current!$D$3:$BW$3, 0)),SUM(VLOOKUP($A83, LS_current!$B$4:$BW$137, LS_current!S$147, FALSE), VLOOKUP($A83, LS_current!$B$4:$BW$137,LS_current!BO$147, FALSE))/2)</f>
        <v>-11530.57036397831</v>
      </c>
      <c r="CO83" s="102">
        <f t="array" ref="CO83">IF($BT83=0, INDEX(LS_current!$D$4:$BW$137, MATCH('Staging Table'!$A83, LS_current!$B$4:$B$137, 0), MATCH(CO$4&amp;CO$5, LS_current!$D$2:$BW$2&amp;LS_current!$D$3:$BW$3, 0)),SUM(VLOOKUP($A83, LS_current!$B$4:$BW$137, LS_current!T$147, FALSE), VLOOKUP($A83, LS_current!$B$4:$BW$137,LS_current!BP$147, FALSE))/2)</f>
        <v>-23487.170290118229</v>
      </c>
      <c r="CP83" s="102">
        <f t="array" ref="CP83">IF($BT83=0, INDEX(LS_current!$D$4:$BW$137, MATCH('Staging Table'!$A83, LS_current!$B$4:$B$137, 0), MATCH(CP$4&amp;CP$5, LS_current!$D$2:$BW$2&amp;LS_current!$D$3:$BW$3, 0)),SUM(VLOOKUP($A83, LS_current!$B$4:$BW$137, LS_current!U$147, FALSE), VLOOKUP($A83, LS_current!$B$4:$BW$137,LS_current!BQ$147, FALSE))/2)</f>
        <v>-11767.517614024822</v>
      </c>
      <c r="CQ83" s="102">
        <f t="array" ref="CQ83">IF($BT83=0, INDEX(LS_current!$D$4:$BW$137, MATCH('Staging Table'!$A83, LS_current!$B$4:$B$137, 0), MATCH(CQ$4&amp;CQ$5, LS_current!$D$2:$BW$2&amp;LS_current!$D$3:$BW$3, 0)),SUM(VLOOKUP($A83, LS_current!$B$4:$BW$137, LS_current!V$147, FALSE), VLOOKUP($A83, LS_current!$B$4:$BW$137,LS_current!BR$147, FALSE))/2)</f>
        <v>-16721.938462808212</v>
      </c>
      <c r="CR83" s="102">
        <f t="array" ref="CR83">IF($BT83=0, INDEX(LS_current!$D$4:$BW$137, MATCH('Staging Table'!$A83, LS_current!$B$4:$B$137, 0), MATCH(CR$4&amp;CR$5, LS_current!$D$2:$BW$2&amp;LS_current!$D$3:$BW$3, 0)),SUM(VLOOKUP($A83, LS_current!$B$4:$BW$137, LS_current!W$147, FALSE), VLOOKUP($A83, LS_current!$B$4:$BW$137,LS_current!BS$147, FALSE))/2)</f>
        <v>-8718.0528004543066</v>
      </c>
      <c r="CS83" s="102">
        <f t="array" ref="CS83">IF($BT83=0, INDEX(LS_current!$D$4:$BW$137, MATCH('Staging Table'!$A83, LS_current!$B$4:$B$137, 0), MATCH(CS$4&amp;CS$5, LS_current!$D$2:$BW$2&amp;LS_current!$D$3:$BW$3, 0)),SUM(VLOOKUP($A83, LS_current!$B$4:$BW$137, LS_current!X$147, FALSE), VLOOKUP($A83, LS_current!$B$4:$BW$137,LS_current!BT$147, FALSE))/2)</f>
        <v>-18588.652075403603</v>
      </c>
      <c r="CT83" s="102">
        <f t="array" ref="CT83">IF($BT83=0, INDEX(LS_current!$D$4:$BW$137, MATCH('Staging Table'!$A83, LS_current!$B$4:$B$137, 0), MATCH(CT$4&amp;CT$5, LS_current!$D$2:$BW$2&amp;LS_current!$D$3:$BW$3, 0)),SUM(VLOOKUP($A83, LS_current!$B$4:$BW$137, LS_current!Y$147, FALSE), VLOOKUP($A83, LS_current!$B$4:$BW$137,LS_current!BU$147, FALSE))/2)</f>
        <v>-9305.6328537208738</v>
      </c>
      <c r="CU83" s="102">
        <f t="array" ref="CU83">IF($BT83=0, INDEX(LS_current!$D$4:$BW$137, MATCH('Staging Table'!$A83, LS_current!$B$4:$B$137, 0), MATCH(CU$4&amp;CU$5, LS_current!$D$2:$BW$2&amp;LS_current!$D$3:$BW$3, 0)),SUM(VLOOKUP($A83, LS_current!$B$4:$BW$137, LS_current!Z$147, FALSE), VLOOKUP($A83, LS_current!$B$4:$BW$137,LS_current!BV$147, FALSE))/2)</f>
        <v>-10392.076326043814</v>
      </c>
      <c r="CV83" s="102">
        <f t="array" ref="CV83">IF($BT83=0, INDEX(LS_current!$D$4:$BW$137, MATCH('Staging Table'!$A83, LS_current!$B$4:$B$137, 0), MATCH(CV$4&amp;CV$5, LS_current!$D$2:$BW$2&amp;LS_current!$D$3:$BW$3, 0)),SUM(VLOOKUP($A83, LS_current!$B$4:$BW$137, LS_current!AA$147, FALSE), VLOOKUP($A83, LS_current!$B$4:$BW$137,LS_current!BW$147, FALSE))/2)</f>
        <v>-5453.1576391408016</v>
      </c>
      <c r="CW83" s="103">
        <f t="array" ref="CW83">INDEX(Demand_current!$D$4:$BW$137, MATCH($A83, Demand_current!$B$4:$B$137, 0), MATCH(CW$4&amp;CW$5,Demand_current!$D$2:$BW$2&amp;Demand_current!$D$3:$BW$3, 0))/1000</f>
        <v>47.693881944444428</v>
      </c>
      <c r="CX83" s="103">
        <f t="array" ref="CX83">INDEX(Demand_current!$D$4:$BW$137, MATCH($A83, Demand_current!$B$4:$B$137, 0), MATCH(CX$4&amp;CX$5,Demand_current!$D$2:$BW$2&amp;Demand_current!$D$3:$BW$3, 0))/1000</f>
        <v>21.589216145833326</v>
      </c>
      <c r="CY83" s="103">
        <f t="array" ref="CY83">INDEX(Demand_current!$D$4:$BW$137, MATCH($A83, Demand_current!$B$4:$B$137, 0), MATCH(CY$4&amp;CY$5,Demand_current!$D$2:$BW$2&amp;Demand_current!$D$3:$BW$3, 0))/1000</f>
        <v>36.515004807692343</v>
      </c>
      <c r="CZ83" s="103">
        <f t="array" ref="CZ83">INDEX(Demand_current!$D$4:$BW$137, MATCH($A83, Demand_current!$B$4:$B$137, 0), MATCH(CZ$4&amp;CZ$5,Demand_current!$D$2:$BW$2&amp;Demand_current!$D$3:$BW$3, 0))/1000</f>
        <v>58.889697115384607</v>
      </c>
      <c r="DA83" s="103">
        <f t="array" ref="DA83">INDEX(Demand_current!$D$4:$BW$137, MATCH($A83, Demand_current!$B$4:$B$137, 0), MATCH(DA$4&amp;DA$5,Demand_current!$D$2:$BW$2&amp;Demand_current!$D$3:$BW$3, 0))/1000</f>
        <v>28.612304687499986</v>
      </c>
      <c r="DB83" s="103">
        <f t="array" ref="DB83">INDEX(Demand_current!$D$4:$BW$137, MATCH($A83, Demand_current!$B$4:$B$137, 0), MATCH(DB$4&amp;DB$5,Demand_current!$D$2:$BW$2&amp;Demand_current!$D$3:$BW$3, 0))/1000</f>
        <v>45.293312499999999</v>
      </c>
      <c r="DC83" s="103">
        <f t="array" ref="DC83">INDEX(Demand_current!$D$4:$BW$137, MATCH($A83, Demand_current!$B$4:$B$137, 0), MATCH(DC$4&amp;DC$5,Demand_current!$D$2:$BW$2&amp;Demand_current!$D$3:$BW$3, 0))/1000</f>
        <v>40.231346153846168</v>
      </c>
      <c r="DD83" s="103">
        <f t="array" ref="DD83">INDEX(Demand_current!$D$4:$BW$137, MATCH($A83, Demand_current!$B$4:$B$137, 0), MATCH(DD$4&amp;DD$5,Demand_current!$D$2:$BW$2&amp;Demand_current!$D$3:$BW$3, 0))/1000</f>
        <v>19.507857499999993</v>
      </c>
      <c r="DE83" s="103">
        <f t="array" ref="DE83">INDEX(Demand_current!$D$4:$BW$137, MATCH($A83, Demand_current!$B$4:$B$137, 0), MATCH(DE$4&amp;DE$5,Demand_current!$D$2:$BW$2&amp;Demand_current!$D$3:$BW$3, 0))/1000</f>
        <v>13.431377403846163</v>
      </c>
      <c r="DF83" s="103">
        <f t="array" ref="DF83">INDEX(Demand_current!$D$4:$BW$137, MATCH($A83, Demand_current!$B$4:$B$137, 0), MATCH(DF$4&amp;DF$5,Demand_current!$D$2:$BW$2&amp;Demand_current!$D$3:$BW$3, 0))/1000</f>
        <v>13.346725961538448</v>
      </c>
      <c r="DG83" s="103">
        <f t="array" ref="DG83">INDEX(Demand_current!$D$4:$BW$137, MATCH($A83, Demand_current!$B$4:$B$137, 0), MATCH(DG$4&amp;DG$5,Demand_current!$D$2:$BW$2&amp;Demand_current!$D$3:$BW$3, 0))/1000</f>
        <v>8.1628365384615318</v>
      </c>
      <c r="DH83" s="103">
        <f t="array" ref="DH83">INDEX(Demand_current!$D$4:$BW$137, MATCH($A83, Demand_current!$B$4:$B$137, 0), MATCH(DH$4&amp;DH$5,Demand_current!$D$2:$BW$2&amp;Demand_current!$D$3:$BW$3, 0))/1000</f>
        <v>13.388587499999996</v>
      </c>
      <c r="DI83" s="102">
        <f>$BS83*(VLOOKUP(DI$4, Rates_current!$H$6:$R$41, 10, FALSE)+VLOOKUP(DI$4, Rates_current!$H$6:$R$41, 11, FALSE))</f>
        <v>50514.810600256191</v>
      </c>
      <c r="DJ83" s="102">
        <f>$BS83*(VLOOKUP(DJ$4, Rates_current!$H$6:$R$41, 10, FALSE)+VLOOKUP(DJ$4, Rates_current!$H$6:$R$41, 11, FALSE))</f>
        <v>64581.522804940199</v>
      </c>
      <c r="DK83" s="102">
        <f>$BS83*(VLOOKUP(DK$4, Rates_current!$H$6:$R$41, 10, FALSE)+VLOOKUP(DK$4, Rates_current!$H$6:$R$41, 11, FALSE))</f>
        <v>73423.790027398121</v>
      </c>
      <c r="DL83" s="102">
        <f>$BS83*(VLOOKUP(DL$4, Rates_current!$H$6:$R$41, 10, FALSE)+VLOOKUP(DL$4, Rates_current!$H$6:$R$41, 11, FALSE))</f>
        <v>77467.829858111625</v>
      </c>
      <c r="DM83" s="102">
        <f>$BS83*(VLOOKUP(DM$4, Rates_current!$H$6:$R$41, 10, FALSE)+VLOOKUP(DM$4, Rates_current!$H$6:$R$41, 11, FALSE))</f>
        <v>61734.86865802572</v>
      </c>
      <c r="DN83" s="102">
        <f>$BS83*(VLOOKUP(DN$4, Rates_current!$H$6:$R$41, 10, FALSE)+VLOOKUP(DN$4, Rates_current!$H$6:$R$41, 11, FALSE))</f>
        <v>67488.889053285966</v>
      </c>
      <c r="DO83" s="102">
        <f>$BS83*(VLOOKUP(DO$4, Rates_current!$H$6:$R$41, 10, FALSE)+VLOOKUP(DO$4, Rates_current!$H$6:$R$41, 11, FALSE))</f>
        <v>52304.567891893792</v>
      </c>
      <c r="DP83" s="102">
        <f>$BS83*(VLOOKUP(DP$4, Rates_current!$H$6:$R$41, 10, FALSE)+VLOOKUP(DP$4, Rates_current!$H$6:$R$41, 11, FALSE))</f>
        <v>67690.722922114452</v>
      </c>
      <c r="DQ83" s="102">
        <f>$BS83*(VLOOKUP(DQ$4, Rates_current!$H$6:$R$41, 10, FALSE)+VLOOKUP(DQ$4, Rates_current!$H$6:$R$41, 11, FALSE))</f>
        <v>69136.116904143055</v>
      </c>
      <c r="DR83" s="102">
        <f>$BS83*(VLOOKUP(DR$4, Rates_current!$H$6:$R$41, 10, FALSE)+VLOOKUP(DR$4, Rates_current!$H$6:$R$41, 11, FALSE))</f>
        <v>61537.123263262518</v>
      </c>
      <c r="DS83" s="102">
        <f>$BS83*(VLOOKUP(DS$4, Rates_current!$H$6:$R$41, 10, FALSE)+VLOOKUP(DS$4, Rates_current!$H$6:$R$41, 11, FALSE))</f>
        <v>63125.802929124482</v>
      </c>
      <c r="DT83" s="102">
        <f>$BS83*(VLOOKUP(DT$4, Rates_current!$H$6:$R$41, 10, FALSE)+VLOOKUP(DT$4, Rates_current!$H$6:$R$41, 11, FALSE))</f>
        <v>49024.75296518462</v>
      </c>
      <c r="DU83" s="261">
        <f>IF(D83=0,IF(C83=0,MAX(0,DW83 - (VLOOKUP($A83,TOCA_current!$A$2:$AV$136,MATCH("RHWM "&amp;Init!$D$1,TOCA_current!$A$2:$AV$2,0),FALSE)*$BS$2)), 0),0)</f>
        <v>3.7257463873829693</v>
      </c>
      <c r="DV83" s="262">
        <f>MIN(VLOOKUP($A83,TOCA_current!$A$2:$AV$136,MATCH("TRL - NLSL - Existing Resource "&amp;$BS$1,TOCA_current!$A$2:$AV$2,0),FALSE)*$BS$2, VLOOKUP($A83,TOCA_current!$A$2:$AV$136,MATCH("RHWM "&amp;Init!$D$1,TOCA_current!$A$2:$AV$2,0),FALSE)*$BS$2)</f>
        <v>758029.08</v>
      </c>
      <c r="DW83" s="262">
        <f>SUM(BY83:CV83)+(BS83*RT1SC!$C$4*$BS$2)</f>
        <v>758032.80574638734</v>
      </c>
      <c r="DX83" s="262">
        <f>VLOOKUP($A83,TOCA_current!$A$2:$AV$136,MATCH("Above RHWM Not Served with LS "&amp;$BS$1,TOCA_current!$A$2:$AV$2,0),FALSE)*$BS$2</f>
        <v>224369.88</v>
      </c>
      <c r="DY83" s="262">
        <f t="shared" si="43"/>
        <v>3.7257463873829693</v>
      </c>
      <c r="DZ83" s="262">
        <f>(VLOOKUP($A83,TOCA_current!$A$2:$AV$136,MATCH("RHWM "&amp;Init!$D$1,TOCA_current!$A$2:$AV$2,0),FALSE)*$BS$2) - $DV83</f>
        <v>0</v>
      </c>
      <c r="EA83" s="262">
        <f t="shared" si="44"/>
        <v>0</v>
      </c>
      <c r="EB83" s="262">
        <f t="shared" si="45"/>
        <v>0</v>
      </c>
      <c r="EC83" s="262">
        <f t="shared" si="46"/>
        <v>0</v>
      </c>
      <c r="ED83" s="262">
        <f t="shared" si="47"/>
        <v>0</v>
      </c>
    </row>
    <row r="84" spans="1:134">
      <c r="A84" s="2">
        <v>10246</v>
      </c>
      <c r="B84" s="3" t="s">
        <v>86</v>
      </c>
      <c r="C84">
        <f>VLOOKUP(A84, TOCA_current!$A$3:$D$136, 4, FALSE)</f>
        <v>0</v>
      </c>
      <c r="D84">
        <v>0</v>
      </c>
      <c r="E84" s="84">
        <f>VLOOKUP($A84,TOCA_previous!$A$2:$AJ$136,MATCH(E$4,TOCA_previous!$A$2:$AJ$2,0),FALSE)</f>
        <v>1.3010999999999999E-3</v>
      </c>
      <c r="F84" s="85">
        <f>VLOOKUP($A84,TOCA_previous!$A$2:$AJ$136,MATCH(F$4,TOCA_previous!$A$2:$AJ$2,0),FALSE)</f>
        <v>1.3010999999999999E-3</v>
      </c>
      <c r="G84" s="85">
        <f t="shared" si="33"/>
        <v>0</v>
      </c>
      <c r="H84" s="85">
        <f>VLOOKUP($A84,TOCA_previous!$A$2:$AJ$136,MATCH(H$4,TOCA_previous!$A$2:$AJ$2,0),FALSE)</f>
        <v>0</v>
      </c>
      <c r="I84" s="85">
        <f t="shared" si="34"/>
        <v>0</v>
      </c>
      <c r="J84" s="85">
        <f t="shared" si="35"/>
        <v>0</v>
      </c>
      <c r="K84" s="101">
        <f>VLOOKUP(A84, IRD!$A$5:$C$138, 3, FALSE)</f>
        <v>0</v>
      </c>
      <c r="L84" s="102">
        <f t="array" ref="L84">IF($G84=0, INDEX(LS_previous!$D$4:$AY$137, MATCH('Staging Table'!$A84, LS_previous!$B$4:$B$137, 0), MATCH(L$4&amp;L$5, LS_previous!$D$2:$AY$2&amp;LS_previous!$D$3:$AY$3, 0)),SUM(VLOOKUP($A84, LS_previous!$B$4:$AY$137, LS_previous!D$148, FALSE), VLOOKUP('Staging Table'!$A84, LS_previous!$B$4:$AY$137,LS_previous!AB$148, FALSE))/2)</f>
        <v>752.15106476040046</v>
      </c>
      <c r="M84" s="102">
        <f t="array" ref="M84">IF($G84=0, INDEX(LS_previous!$D$4:$AY$137, MATCH('Staging Table'!$A84, LS_previous!$B$4:$B$137, 0), MATCH(M$4&amp;M$5, LS_previous!$D$2:$AY$2&amp;LS_previous!$D$3:$AY$3, 0)),SUM(VLOOKUP($A84, LS_previous!$B$4:$AY$137, LS_previous!E$148, FALSE), VLOOKUP('Staging Table'!$A84, LS_previous!$B$4:$AY$137,LS_previous!AC$148, FALSE))/2)</f>
        <v>306.96636115195042</v>
      </c>
      <c r="N84" s="102">
        <f t="array" ref="N84">IF($G84=0, INDEX(LS_previous!$D$4:$AY$137, MATCH('Staging Table'!$A84, LS_previous!$B$4:$B$137, 0), MATCH(N$4&amp;N$5, LS_previous!$D$2:$AY$2&amp;LS_previous!$D$3:$AY$3, 0)),SUM(VLOOKUP($A84, LS_previous!$B$4:$AY$137, LS_previous!F$148, FALSE), VLOOKUP('Staging Table'!$A84, LS_previous!$B$4:$AY$137,LS_previous!AD$148, FALSE))/2)</f>
        <v>636.89153753919982</v>
      </c>
      <c r="O84" s="102">
        <f t="array" ref="O84">IF($G84=0, INDEX(LS_previous!$D$4:$AY$137, MATCH('Staging Table'!$A84, LS_previous!$B$4:$B$137, 0), MATCH(O$4&amp;O$5, LS_previous!$D$2:$AY$2&amp;LS_previous!$D$3:$AY$3, 0)),SUM(VLOOKUP($A84, LS_previous!$B$4:$AY$137, LS_previous!G$148, FALSE), VLOOKUP('Staging Table'!$A84, LS_previous!$B$4:$AY$137,LS_previous!AE$148, FALSE))/2)</f>
        <v>1029.8903132059004</v>
      </c>
      <c r="P84" s="102">
        <f t="array" ref="P84">IF($G84=0, INDEX(LS_previous!$D$4:$AY$137, MATCH('Staging Table'!$A84, LS_previous!$B$4:$B$137, 0), MATCH(P$4&amp;P$5, LS_previous!$D$2:$AY$2&amp;LS_previous!$D$3:$AY$3, 0)),SUM(VLOOKUP($A84, LS_previous!$B$4:$AY$137, LS_previous!H$148, FALSE), VLOOKUP('Staging Table'!$A84, LS_previous!$B$4:$AY$137,LS_previous!AF$148, FALSE))/2)</f>
        <v>1877.6640049871003</v>
      </c>
      <c r="Q84" s="102">
        <f t="array" ref="Q84">IF($G84=0, INDEX(LS_previous!$D$4:$AY$137, MATCH('Staging Table'!$A84, LS_previous!$B$4:$B$137, 0), MATCH(Q$4&amp;Q$5, LS_previous!$D$2:$AY$2&amp;LS_previous!$D$3:$AY$3, 0)),SUM(VLOOKUP($A84, LS_previous!$B$4:$AY$137, LS_previous!I$148, FALSE), VLOOKUP('Staging Table'!$A84, LS_previous!$B$4:$AY$137,LS_previous!AG$148, FALSE))/2)</f>
        <v>1386.3336021344007</v>
      </c>
      <c r="R84" s="102">
        <f t="array" ref="R84">IF($G84=0, INDEX(LS_previous!$D$4:$AY$137, MATCH('Staging Table'!$A84, LS_previous!$B$4:$B$137, 0), MATCH(R$4&amp;R$5, LS_previous!$D$2:$AY$2&amp;LS_previous!$D$3:$AY$3, 0)),SUM(VLOOKUP($A84, LS_previous!$B$4:$AY$137, LS_previous!J$148, FALSE), VLOOKUP('Staging Table'!$A84, LS_previous!$B$4:$AY$137,LS_previous!AH$148, FALSE))/2)</f>
        <v>931.83550961350102</v>
      </c>
      <c r="S84" s="102">
        <f t="array" ref="S84">IF($G84=0, INDEX(LS_previous!$D$4:$AY$137, MATCH('Staging Table'!$A84, LS_previous!$B$4:$B$137, 0), MATCH(S$4&amp;S$5, LS_previous!$D$2:$AY$2&amp;LS_previous!$D$3:$AY$3, 0)),SUM(VLOOKUP($A84, LS_previous!$B$4:$AY$137, LS_previous!K$148, FALSE), VLOOKUP('Staging Table'!$A84, LS_previous!$B$4:$AY$137,LS_previous!AI$148, FALSE))/2)</f>
        <v>1041.5816104681003</v>
      </c>
      <c r="T84" s="102">
        <f t="array" ref="T84">IF($G84=0, INDEX(LS_previous!$D$4:$AY$137, MATCH('Staging Table'!$A84, LS_previous!$B$4:$B$137, 0), MATCH(T$4&amp;T$5, LS_previous!$D$2:$AY$2&amp;LS_previous!$D$3:$AY$3, 0)),SUM(VLOOKUP($A84, LS_previous!$B$4:$AY$137, LS_previous!L$148, FALSE), VLOOKUP('Staging Table'!$A84, LS_previous!$B$4:$AY$137,LS_previous!AJ$148, FALSE))/2)</f>
        <v>1178.5773618331004</v>
      </c>
      <c r="U84" s="102">
        <f t="array" ref="U84">IF($G84=0, INDEX(LS_previous!$D$4:$AY$137, MATCH('Staging Table'!$A84, LS_previous!$B$4:$B$137, 0), MATCH(U$4&amp;U$5, LS_previous!$D$2:$AY$2&amp;LS_previous!$D$3:$AY$3, 0)),SUM(VLOOKUP($A84, LS_previous!$B$4:$AY$137, LS_previous!M$148, FALSE), VLOOKUP('Staging Table'!$A84, LS_previous!$B$4:$AY$137,LS_previous!AK$148, FALSE))/2)</f>
        <v>1180.1135611451</v>
      </c>
      <c r="V84" s="102">
        <f t="array" ref="V84">IF($G84=0, INDEX(LS_previous!$D$4:$AY$137, MATCH('Staging Table'!$A84, LS_previous!$B$4:$B$137, 0), MATCH(V$4&amp;V$5, LS_previous!$D$2:$AY$2&amp;LS_previous!$D$3:$AY$3, 0)),SUM(VLOOKUP($A84, LS_previous!$B$4:$AY$137, LS_previous!N$148, FALSE), VLOOKUP('Staging Table'!$A84, LS_previous!$B$4:$AY$137,LS_previous!AL$148, FALSE))/2)</f>
        <v>597.77524207570059</v>
      </c>
      <c r="W84" s="102">
        <f t="array" ref="W84">IF($G84=0, INDEX(LS_previous!$D$4:$AY$137, MATCH('Staging Table'!$A84, LS_previous!$B$4:$B$137, 0), MATCH(W$4&amp;W$5, LS_previous!$D$2:$AY$2&amp;LS_previous!$D$3:$AY$3, 0)),SUM(VLOOKUP($A84, LS_previous!$B$4:$AY$137, LS_previous!O$148, FALSE), VLOOKUP('Staging Table'!$A84, LS_previous!$B$4:$AY$137,LS_previous!AM$148, FALSE))/2)</f>
        <v>744.9776246442002</v>
      </c>
      <c r="X84" s="102">
        <f t="array" ref="X84">IF($G84=0, INDEX(LS_previous!$D$4:$AY$137, MATCH('Staging Table'!$A84, LS_previous!$B$4:$B$137, 0), MATCH(X$4&amp;X$5, LS_previous!$D$2:$AY$2&amp;LS_previous!$D$3:$AY$3, 0)),SUM(VLOOKUP($A84, LS_previous!$B$4:$AY$137, LS_previous!P$148, FALSE), VLOOKUP('Staging Table'!$A84, LS_previous!$B$4:$AY$137,LS_previous!AN$148, FALSE))/2)</f>
        <v>731.92024069475065</v>
      </c>
      <c r="Y84" s="102">
        <f t="array" ref="Y84">IF($G84=0, INDEX(LS_previous!$D$4:$AY$137, MATCH('Staging Table'!$A84, LS_previous!$B$4:$B$137, 0), MATCH(Y$4&amp;Y$5, LS_previous!$D$2:$AY$2&amp;LS_previous!$D$3:$AY$3, 0)),SUM(VLOOKUP($A84, LS_previous!$B$4:$AY$137, LS_previous!Q$148, FALSE), VLOOKUP('Staging Table'!$A84, LS_previous!$B$4:$AY$137,LS_previous!AO$148, FALSE))/2)</f>
        <v>475.61426491707562</v>
      </c>
      <c r="Z84" s="102">
        <f t="array" ref="Z84">IF($G84=0, INDEX(LS_previous!$D$4:$AY$137, MATCH('Staging Table'!$A84, LS_previous!$B$4:$B$137, 0), MATCH(Z$4&amp;Z$5, LS_previous!$D$2:$AY$2&amp;LS_previous!$D$3:$AY$3, 0)),SUM(VLOOKUP($A84, LS_previous!$B$4:$AY$137, LS_previous!R$148, FALSE), VLOOKUP('Staging Table'!$A84, LS_previous!$B$4:$AY$137,LS_previous!AP$148, FALSE))/2)</f>
        <v>-1291.3669009328</v>
      </c>
      <c r="AA84" s="102">
        <f t="array" ref="AA84">IF($G84=0, INDEX(LS_previous!$D$4:$AY$137, MATCH('Staging Table'!$A84, LS_previous!$B$4:$B$137, 0), MATCH(AA$4&amp;AA$5, LS_previous!$D$2:$AY$2&amp;LS_previous!$D$3:$AY$3, 0)),SUM(VLOOKUP($A84, LS_previous!$B$4:$AY$137, LS_previous!S$148, FALSE), VLOOKUP('Staging Table'!$A84, LS_previous!$B$4:$AY$137,LS_previous!AQ$148, FALSE))/2)</f>
        <v>-472.50768212434969</v>
      </c>
      <c r="AB84" s="102">
        <f t="array" ref="AB84">IF($G84=0, INDEX(LS_previous!$D$4:$AY$137, MATCH('Staging Table'!$A84, LS_previous!$B$4:$B$137, 0), MATCH(AB$4&amp;AB$5, LS_previous!$D$2:$AY$2&amp;LS_previous!$D$3:$AY$3, 0)),SUM(VLOOKUP($A84, LS_previous!$B$4:$AY$137, LS_previous!T$148, FALSE), VLOOKUP('Staging Table'!$A84, LS_previous!$B$4:$AY$137,LS_previous!AR$148, FALSE))/2)</f>
        <v>-1729.5833125186</v>
      </c>
      <c r="AC84" s="102">
        <f t="array" ref="AC84">IF($G84=0, INDEX(LS_previous!$D$4:$AY$137, MATCH('Staging Table'!$A84, LS_previous!$B$4:$B$137, 0), MATCH(AC$4&amp;AC$5, LS_previous!$D$2:$AY$2&amp;LS_previous!$D$3:$AY$3, 0)),SUM(VLOOKUP($A84, LS_previous!$B$4:$AY$137, LS_previous!U$148, FALSE), VLOOKUP('Staging Table'!$A84, LS_previous!$B$4:$AY$137,LS_previous!AS$148, FALSE))/2)</f>
        <v>-951.75177340994992</v>
      </c>
      <c r="AD84" s="102">
        <f t="array" ref="AD84">IF($G84=0, INDEX(LS_previous!$D$4:$AY$137, MATCH('Staging Table'!$A84, LS_previous!$B$4:$B$137, 0), MATCH(AD$4&amp;AD$5, LS_previous!$D$2:$AY$2&amp;LS_previous!$D$3:$AY$3, 0)),SUM(VLOOKUP($A84, LS_previous!$B$4:$AY$137, LS_previous!V$148, FALSE), VLOOKUP('Staging Table'!$A84, LS_previous!$B$4:$AY$137,LS_previous!AT$148, FALSE))/2)</f>
        <v>-870.02202814039993</v>
      </c>
      <c r="AE84" s="102">
        <f t="array" ref="AE84">IF($G84=0, INDEX(LS_previous!$D$4:$AY$137, MATCH('Staging Table'!$A84, LS_previous!$B$4:$B$137, 0), MATCH(AE$4&amp;AE$5, LS_previous!$D$2:$AY$2&amp;LS_previous!$D$3:$AY$3, 0)),SUM(VLOOKUP($A84, LS_previous!$B$4:$AY$137, LS_previous!W$148, FALSE), VLOOKUP('Staging Table'!$A84, LS_previous!$B$4:$AY$137,LS_previous!AU$148, FALSE))/2)</f>
        <v>-356.37061064024965</v>
      </c>
      <c r="AF84" s="102">
        <f t="array" ref="AF84">IF($G84=0, INDEX(LS_previous!$D$4:$AY$137, MATCH('Staging Table'!$A84, LS_previous!$B$4:$B$137, 0), MATCH(AF$4&amp;AF$5, LS_previous!$D$2:$AY$2&amp;LS_previous!$D$3:$AY$3, 0)),SUM(VLOOKUP($A84, LS_previous!$B$4:$AY$137, LS_previous!X$148, FALSE), VLOOKUP('Staging Table'!$A84, LS_previous!$B$4:$AY$137,LS_previous!AV$148, FALSE))/2)</f>
        <v>-925.56734213864956</v>
      </c>
      <c r="AG84" s="102">
        <f t="array" ref="AG84">IF($G84=0, INDEX(LS_previous!$D$4:$AY$137, MATCH('Staging Table'!$A84, LS_previous!$B$4:$B$137, 0), MATCH(AG$4&amp;AG$5, LS_previous!$D$2:$AY$2&amp;LS_previous!$D$3:$AY$3, 0)),SUM(VLOOKUP($A84, LS_previous!$B$4:$AY$137, LS_previous!Y$148, FALSE), VLOOKUP('Staging Table'!$A84, LS_previous!$B$4:$AY$137,LS_previous!AW$148, FALSE))/2)</f>
        <v>-319.42521569283485</v>
      </c>
      <c r="AH84" s="102">
        <f t="array" ref="AH84">IF($G84=0, INDEX(LS_previous!$D$4:$AY$137, MATCH('Staging Table'!$A84, LS_previous!$B$4:$B$137, 0), MATCH(AH$4&amp;AH$5, LS_previous!$D$2:$AY$2&amp;LS_previous!$D$3:$AY$3, 0)),SUM(VLOOKUP($A84, LS_previous!$B$4:$AY$137, LS_previous!Z$148, FALSE), VLOOKUP('Staging Table'!$A84, LS_previous!$B$4:$AY$137,LS_previous!AX$148, FALSE))/2)</f>
        <v>-491.47318830140011</v>
      </c>
      <c r="AI84" s="102">
        <f t="array" ref="AI84">IF($G84=0, INDEX(LS_previous!$D$4:$AY$137, MATCH('Staging Table'!$A84, LS_previous!$B$4:$B$137, 0), MATCH(AI$4&amp;AI$5, LS_previous!$D$2:$AY$2&amp;LS_previous!$D$3:$AY$3, 0)),SUM(VLOOKUP($A84, LS_previous!$B$4:$AY$137, LS_previous!AA$148, FALSE), VLOOKUP('Staging Table'!$A84, LS_previous!$B$4:$AY$137,LS_previous!AY$148, FALSE))/2)</f>
        <v>-316.04954121440005</v>
      </c>
      <c r="AJ84" s="103">
        <f t="array" ref="AJ84">INDEX(Demand_previous!$D$4:$AY$137, MATCH('Staging Table'!$A84, Demand_previous!$B$4:$B$137, 0), MATCH(AJ$4&amp;AJ$5,Demand_previous!$D$2:$AY$2&amp;Demand_previous!$D$3:$AY$3, 0))/1000</f>
        <v>4.285519230769232</v>
      </c>
      <c r="AK84" s="103">
        <f t="array" ref="AK84">INDEX(Demand_previous!$D$4:$AY$137, MATCH('Staging Table'!$A84, Demand_previous!$B$4:$B$137, 0), MATCH(AK$4&amp;AK$5,Demand_previous!$D$2:$AY$2&amp;Demand_previous!$D$3:$AY$3, 0))/1000</f>
        <v>1.9962100000000005</v>
      </c>
      <c r="AL84" s="103">
        <f t="array" ref="AL84">INDEX(Demand_previous!$D$4:$AY$137, MATCH('Staging Table'!$A84, Demand_previous!$B$4:$B$137, 0), MATCH(AL$4&amp;AL$5,Demand_previous!$D$2:$AY$2&amp;Demand_previous!$D$3:$AY$3, 0))/1000</f>
        <v>5.6380799999999986</v>
      </c>
      <c r="AM84" s="103">
        <f t="array" ref="AM84">INDEX(Demand_previous!$D$4:$AY$137, MATCH('Staging Table'!$A84, Demand_previous!$B$4:$B$137, 0), MATCH(AM$4&amp;AM$5,Demand_previous!$D$2:$AY$2&amp;Demand_previous!$D$3:$AY$3, 0))/1000</f>
        <v>3.3530961538461539</v>
      </c>
      <c r="AN84" s="103">
        <f t="array" ref="AN84">INDEX(Demand_previous!$D$4:$AY$137, MATCH('Staging Table'!$A84, Demand_previous!$B$4:$B$137, 0), MATCH(AN$4&amp;AN$5,Demand_previous!$D$2:$AY$2&amp;Demand_previous!$D$3:$AY$3, 0))/1000</f>
        <v>4.3484950000000016</v>
      </c>
      <c r="AO84" s="103">
        <f t="array" ref="AO84">INDEX(Demand_previous!$D$4:$AY$137, MATCH('Staging Table'!$A84, Demand_previous!$B$4:$B$137, 0), MATCH(AO$4&amp;AO$5,Demand_previous!$D$2:$AY$2&amp;Demand_previous!$D$3:$AY$3, 0))/1000</f>
        <v>3.335112980769229</v>
      </c>
      <c r="AP84" s="103">
        <f t="array" ref="AP84">INDEX(Demand_previous!$D$4:$AY$137, MATCH('Staging Table'!$A84, Demand_previous!$B$4:$B$137, 0), MATCH(AP$4&amp;AP$5,Demand_previous!$D$2:$AY$2&amp;Demand_previous!$D$3:$AY$3, 0))/1000</f>
        <v>3.1010841346153852</v>
      </c>
      <c r="AQ84" s="103">
        <f t="array" ref="AQ84">INDEX(Demand_previous!$D$4:$AY$137, MATCH('Staging Table'!$A84, Demand_previous!$B$4:$B$137, 0), MATCH(AQ$4&amp;AQ$5,Demand_previous!$D$2:$AY$2&amp;Demand_previous!$D$3:$AY$3, 0))/1000</f>
        <v>1.1715192307692313</v>
      </c>
      <c r="AR84" s="103">
        <f t="array" ref="AR84">INDEX(Demand_previous!$D$4:$AY$137, MATCH('Staging Table'!$A84, Demand_previous!$B$4:$B$137, 0), MATCH(AR$4&amp;AR$5,Demand_previous!$D$2:$AY$2&amp;Demand_previous!$D$3:$AY$3, 0))/1000</f>
        <v>1.8361425000000002</v>
      </c>
      <c r="AS84" s="103">
        <f t="array" ref="AS84">INDEX(Demand_previous!$D$4:$AY$137, MATCH('Staging Table'!$A84, Demand_previous!$B$4:$B$137, 0), MATCH(AS$4&amp;AS$5,Demand_previous!$D$2:$AY$2&amp;Demand_previous!$D$3:$AY$3, 0))/1000</f>
        <v>1.8635841346153839</v>
      </c>
      <c r="AT84" s="103">
        <f t="array" ref="AT84">INDEX(Demand_previous!$D$4:$AY$137, MATCH('Staging Table'!$A84, Demand_previous!$B$4:$B$137, 0), MATCH(AT$4&amp;AT$5,Demand_previous!$D$2:$AY$2&amp;Demand_previous!$D$3:$AY$3, 0))/1000</f>
        <v>3.3289953703703699</v>
      </c>
      <c r="AU84" s="103">
        <f t="array" ref="AU84">INDEX(Demand_previous!$D$4:$AY$137, MATCH('Staging Table'!$A84, Demand_previous!$B$4:$B$137, 0), MATCH(AU$4&amp;AU$5,Demand_previous!$D$2:$AY$2&amp;Demand_previous!$D$3:$AY$3, 0))/1000</f>
        <v>0</v>
      </c>
      <c r="AV84" s="102">
        <f>$F84*(VLOOKUP(AV$4, Rates_previous!$G$6:$Q$29, 10, FALSE)+VLOOKUP(AV$4, Rates_previous!$G$6:$Q$29, 11, FALSE))</f>
        <v>5489.0855740876495</v>
      </c>
      <c r="AW84" s="102">
        <f>$F84*(VLOOKUP(AW$4, Rates_previous!$G$6:$Q$29, 10, FALSE)+VLOOKUP(AW$4, Rates_previous!$G$6:$Q$29, 11, FALSE))</f>
        <v>7000.3941492549002</v>
      </c>
      <c r="AX84" s="102">
        <f>$F84*(VLOOKUP(AX$4, Rates_previous!$G$6:$Q$29, 10, FALSE)+VLOOKUP(AX$4, Rates_previous!$G$6:$Q$29, 11, FALSE))</f>
        <v>7554.8103928785004</v>
      </c>
      <c r="AY84" s="102">
        <f>$F84*(VLOOKUP(AY$4, Rates_previous!$G$6:$Q$29, 10, FALSE)+VLOOKUP(AY$4, Rates_previous!$G$6:$Q$29, 11, FALSE))</f>
        <v>7850.6158799183995</v>
      </c>
      <c r="AZ84" s="102">
        <f>$F84*(VLOOKUP(AZ$4, Rates_previous!$G$6:$Q$29, 10, FALSE)+VLOOKUP(AZ$4, Rates_previous!$G$6:$Q$29, 11, FALSE))</f>
        <v>6752.5760770217985</v>
      </c>
      <c r="BA84" s="102">
        <f>$F84*(VLOOKUP(BA$4, Rates_previous!$G$6:$Q$29, 10, FALSE)+VLOOKUP(BA$4, Rates_previous!$G$6:$Q$29, 11, FALSE))</f>
        <v>7372.476133280099</v>
      </c>
      <c r="BB84" s="102">
        <f>$F84*(VLOOKUP(BB$4, Rates_previous!$G$6:$Q$29, 10, FALSE)+VLOOKUP(BB$4, Rates_previous!$G$6:$Q$29, 11, FALSE))</f>
        <v>5819.3274943881743</v>
      </c>
      <c r="BC84" s="102">
        <f>$F84*(VLOOKUP(BC$4, Rates_previous!$G$6:$Q$29, 10, FALSE)+VLOOKUP(BC$4, Rates_previous!$G$6:$Q$29, 11, FALSE))</f>
        <v>7219.6555830571497</v>
      </c>
      <c r="BD84" s="102">
        <f>$F84*(VLOOKUP(BD$4, Rates_previous!$G$6:$Q$29, 10, FALSE)+VLOOKUP(BD$4, Rates_previous!$G$6:$Q$29, 11, FALSE))</f>
        <v>7376.3040859285493</v>
      </c>
      <c r="BE84" s="102">
        <f>$F84*(VLOOKUP(BE$4, Rates_previous!$G$6:$Q$29, 10, FALSE)+VLOOKUP(BE$4, Rates_previous!$G$6:$Q$29, 11, FALSE))</f>
        <v>6403.6946387806493</v>
      </c>
      <c r="BF84" s="102">
        <f>$F84*(VLOOKUP(BF$4, Rates_previous!$G$6:$Q$29, 10, FALSE)+VLOOKUP(BF$4, Rates_previous!$G$6:$Q$29, 11, FALSE))</f>
        <v>6190.670557831485</v>
      </c>
      <c r="BG84" s="102">
        <f>$F84*(VLOOKUP(BG$4, Rates_previous!$G$6:$Q$29, 10, FALSE)+VLOOKUP(BG$4, Rates_previous!$G$6:$Q$29, 11, FALSE))</f>
        <v>5696.6157295158</v>
      </c>
      <c r="BH84" s="103">
        <f>IF($D84=0,IF(C84=0, MAX(BJ84 - (VLOOKUP($A84,TOCA_previous!$A$2:$AJ$136,MATCH("RHWM "&amp;Init!$D$1-2,TOCA_previous!$A$2:$AJ$2,0),FALSE)*$F$2*TOCA_previous!C81),0),0), 0)</f>
        <v>6932.5933700328314</v>
      </c>
      <c r="BI84" s="109">
        <f>MIN(VLOOKUP($A84,TOCA_previous!$A$2:$AJ$136,MATCH("TRL - NLSL - Existing Resource "&amp;$F$1,TOCA_previous!$A$2:$AJ$2,0),FALSE)*$F$2,(VLOOKUP($A84,TOCA_previous!$A$2:$AJ$136,MATCH("RHWM "&amp;Init!$D$1-2,TOCA_previous!$A$2:$AJ$2,0),FALSE)*$F$2))</f>
        <v>78941.808000000005</v>
      </c>
      <c r="BJ84" s="261">
        <f>SUM(L84:AI84)+(F84*RT1SC!$C$3*$F$2)</f>
        <v>85874.401370032836</v>
      </c>
      <c r="BK84" s="260">
        <f>VLOOKUP($A84,TOCA_previous!$A$2:$AJ$136,MATCH("Above RHWM Not Served with LS "&amp;$F$1,TOCA_previous!$A$2:$AJ$2,0),FALSE)*$F$2</f>
        <v>0</v>
      </c>
      <c r="BL84" s="261">
        <f t="shared" si="36"/>
        <v>6932.5933700328314</v>
      </c>
      <c r="BM84" s="260">
        <f>(VLOOKUP($A84,TOCA_previous!$A$2:$AJ$136,MATCH("RHWM "&amp;Init!$D$1-2,TOCA_previous!$A$2:$AJ$2,0),FALSE)*$F$2) - $BI84</f>
        <v>0</v>
      </c>
      <c r="BN84" s="261">
        <f t="shared" si="37"/>
        <v>0</v>
      </c>
      <c r="BO84" s="260">
        <f t="shared" si="38"/>
        <v>0</v>
      </c>
      <c r="BP84" s="261">
        <f t="shared" si="39"/>
        <v>0</v>
      </c>
      <c r="BQ84" s="260">
        <f t="shared" si="9"/>
        <v>0</v>
      </c>
      <c r="BR84" s="85">
        <f>VLOOKUP($A84,TOCA_current!$A$2:$ZZ$136,MATCH(BR$4,TOCA_current!$A$2:$ZZ$2,0),FALSE)</f>
        <v>1.2714E-3</v>
      </c>
      <c r="BS84" s="85">
        <f>VLOOKUP($A84,TOCA_current!$A$2:$ZZ$136,MATCH(BS$4,TOCA_current!$A$2:$ZZ$2,0),FALSE)</f>
        <v>1.2714E-3</v>
      </c>
      <c r="BT84" s="108">
        <f t="shared" si="40"/>
        <v>0</v>
      </c>
      <c r="BU84" s="85">
        <f>VLOOKUP($A84,TOCA_current!A81:BG215,MATCH(BU$4,TOCA_current!$A$2:$BG$2,0),FALSE)</f>
        <v>0</v>
      </c>
      <c r="BV84" s="85">
        <f t="shared" si="41"/>
        <v>0</v>
      </c>
      <c r="BW84" s="85">
        <f t="shared" si="42"/>
        <v>0</v>
      </c>
      <c r="BX84" s="101">
        <f>VLOOKUP($A84,IRD!$A$4:$G$138, 7, FALSE)</f>
        <v>0</v>
      </c>
      <c r="BY84" s="102">
        <f t="array" ref="BY84">IF($BT84=0, INDEX(LS_current!$D$4:$BW$137, MATCH('Staging Table'!$A84, LS_current!$B$4:$B$137, 0), MATCH(BY$4&amp;BY$5, LS_current!$D$2:$BW$2&amp;LS_current!$D$3:$BW$3, 0)),SUM(VLOOKUP($A84, LS_current!$B$4:$BW$137, LS_current!D$147, FALSE), VLOOKUP($A84, LS_current!$B$4:$BW$137,LS_current!AZ$147, FALSE))/2)</f>
        <v>785.24126952132656</v>
      </c>
      <c r="BZ84" s="102">
        <f t="array" ref="BZ84">IF($BT84=0, INDEX(LS_current!$D$4:$BW$137, MATCH('Staging Table'!$A84, LS_current!$B$4:$B$137, 0), MATCH(BZ$4&amp;BZ$5, LS_current!$D$2:$BW$2&amp;LS_current!$D$3:$BW$3, 0)),SUM(VLOOKUP($A84, LS_current!$B$4:$BW$137, LS_current!E$147, FALSE), VLOOKUP($A84, LS_current!$B$4:$BW$137,LS_current!BA$147, FALSE))/2)</f>
        <v>486.28606480621897</v>
      </c>
      <c r="CA84" s="102">
        <f t="array" ref="CA84">IF($BT84=0, INDEX(LS_current!$D$4:$BW$137, MATCH('Staging Table'!$A84, LS_current!$B$4:$B$137, 0), MATCH(CA$4&amp;CA$5, LS_current!$D$2:$BW$2&amp;LS_current!$D$3:$BW$3, 0)),SUM(VLOOKUP($A84, LS_current!$B$4:$BW$137, LS_current!F$147, FALSE), VLOOKUP($A84, LS_current!$B$4:$BW$137,LS_current!BB$147, FALSE))/2)</f>
        <v>808.71717077982385</v>
      </c>
      <c r="CB84" s="102">
        <f t="array" ref="CB84">IF($BT84=0, INDEX(LS_current!$D$4:$BW$137, MATCH('Staging Table'!$A84, LS_current!$B$4:$B$137, 0), MATCH(CB$4&amp;CB$5, LS_current!$D$2:$BW$2&amp;LS_current!$D$3:$BW$3, 0)),SUM(VLOOKUP($A84, LS_current!$B$4:$BW$137, LS_current!G$147, FALSE), VLOOKUP($A84, LS_current!$B$4:$BW$137,LS_current!BC$147, FALSE))/2)</f>
        <v>1112.4026570295523</v>
      </c>
      <c r="CC84" s="102">
        <f t="array" ref="CC84">IF($BT84=0, INDEX(LS_current!$D$4:$BW$137, MATCH('Staging Table'!$A84, LS_current!$B$4:$B$137, 0), MATCH(CC$4&amp;CC$5, LS_current!$D$2:$BW$2&amp;LS_current!$D$3:$BW$3, 0)),SUM(VLOOKUP($A84, LS_current!$B$4:$BW$137, LS_current!H$147, FALSE), VLOOKUP($A84, LS_current!$B$4:$BW$137,LS_current!BD$147, FALSE))/2)</f>
        <v>1541.7932130766785</v>
      </c>
      <c r="CD84" s="102">
        <f t="array" ref="CD84">IF($BT84=0, INDEX(LS_current!$D$4:$BW$137, MATCH('Staging Table'!$A84, LS_current!$B$4:$B$137, 0), MATCH(CD$4&amp;CD$5, LS_current!$D$2:$BW$2&amp;LS_current!$D$3:$BW$3, 0)),SUM(VLOOKUP($A84, LS_current!$B$4:$BW$137, LS_current!I$147, FALSE), VLOOKUP($A84, LS_current!$B$4:$BW$137,LS_current!BE$147, FALSE))/2)</f>
        <v>1607.3131387288672</v>
      </c>
      <c r="CE84" s="102">
        <f t="array" ref="CE84">IF($BT84=0, INDEX(LS_current!$D$4:$BW$137, MATCH('Staging Table'!$A84, LS_current!$B$4:$B$137, 0), MATCH(CE$4&amp;CE$5, LS_current!$D$2:$BW$2&amp;LS_current!$D$3:$BW$3, 0)),SUM(VLOOKUP($A84, LS_current!$B$4:$BW$137, LS_current!J$147, FALSE), VLOOKUP($A84, LS_current!$B$4:$BW$137,LS_current!BF$147, FALSE))/2)</f>
        <v>691.80595410269416</v>
      </c>
      <c r="CF84" s="102">
        <f t="array" ref="CF84">IF($BT84=0, INDEX(LS_current!$D$4:$BW$137, MATCH('Staging Table'!$A84, LS_current!$B$4:$B$137, 0), MATCH(CF$4&amp;CF$5, LS_current!$D$2:$BW$2&amp;LS_current!$D$3:$BW$3, 0)),SUM(VLOOKUP($A84, LS_current!$B$4:$BW$137, LS_current!K$147, FALSE), VLOOKUP($A84, LS_current!$B$4:$BW$137,LS_current!BG$147, FALSE))/2)</f>
        <v>1040.0931186906491</v>
      </c>
      <c r="CG84" s="102">
        <f t="array" ref="CG84">IF($BT84=0, INDEX(LS_current!$D$4:$BW$137, MATCH('Staging Table'!$A84, LS_current!$B$4:$B$137, 0), MATCH(CG$4&amp;CG$5, LS_current!$D$2:$BW$2&amp;LS_current!$D$3:$BW$3, 0)),SUM(VLOOKUP($A84, LS_current!$B$4:$BW$137, LS_current!L$147, FALSE), VLOOKUP($A84, LS_current!$B$4:$BW$137,LS_current!BH$147, FALSE))/2)</f>
        <v>1368.5794101887495</v>
      </c>
      <c r="CH84" s="102">
        <f t="array" ref="CH84">IF($BT84=0, INDEX(LS_current!$D$4:$BW$137, MATCH('Staging Table'!$A84, LS_current!$B$4:$B$137, 0), MATCH(CH$4&amp;CH$5, LS_current!$D$2:$BW$2&amp;LS_current!$D$3:$BW$3, 0)),SUM(VLOOKUP($A84, LS_current!$B$4:$BW$137, LS_current!M$147, FALSE), VLOOKUP($A84, LS_current!$B$4:$BW$137,LS_current!BI$147, FALSE))/2)</f>
        <v>1293.9871928303046</v>
      </c>
      <c r="CI84" s="102">
        <f t="array" ref="CI84">IF($BT84=0, INDEX(LS_current!$D$4:$BW$137, MATCH('Staging Table'!$A84, LS_current!$B$4:$B$137, 0), MATCH(CI$4&amp;CI$5, LS_current!$D$2:$BW$2&amp;LS_current!$D$3:$BW$3, 0)),SUM(VLOOKUP($A84, LS_current!$B$4:$BW$137, LS_current!N$147, FALSE), VLOOKUP($A84, LS_current!$B$4:$BW$137,LS_current!BJ$147, FALSE))/2)</f>
        <v>501.52923280447976</v>
      </c>
      <c r="CJ84" s="102">
        <f t="array" ref="CJ84">IF($BT84=0, INDEX(LS_current!$D$4:$BW$137, MATCH('Staging Table'!$A84, LS_current!$B$4:$B$137, 0), MATCH(CJ$4&amp;CJ$5, LS_current!$D$2:$BW$2&amp;LS_current!$D$3:$BW$3, 0)),SUM(VLOOKUP($A84, LS_current!$B$4:$BW$137, LS_current!O$147, FALSE), VLOOKUP($A84, LS_current!$B$4:$BW$137,LS_current!BK$147, FALSE))/2)</f>
        <v>1163.9459556087036</v>
      </c>
      <c r="CK84" s="102">
        <f t="array" ref="CK84">IF($BT84=0, INDEX(LS_current!$D$4:$BW$137, MATCH('Staging Table'!$A84, LS_current!$B$4:$B$137, 0), MATCH(CK$4&amp;CK$5, LS_current!$D$2:$BW$2&amp;LS_current!$D$3:$BW$3, 0)),SUM(VLOOKUP($A84, LS_current!$B$4:$BW$137, LS_current!P$147, FALSE), VLOOKUP($A84, LS_current!$B$4:$BW$137,LS_current!BL$147, FALSE))/2)</f>
        <v>910.02987894907574</v>
      </c>
      <c r="CL84" s="102">
        <f t="array" ref="CL84">IF($BT84=0, INDEX(LS_current!$D$4:$BW$137, MATCH('Staging Table'!$A84, LS_current!$B$4:$B$137, 0), MATCH(CL$4&amp;CL$5, LS_current!$D$2:$BW$2&amp;LS_current!$D$3:$BW$3, 0)),SUM(VLOOKUP($A84, LS_current!$B$4:$BW$137, LS_current!Q$147, FALSE), VLOOKUP($A84, LS_current!$B$4:$BW$137,LS_current!BM$147, FALSE))/2)</f>
        <v>653.20200308965786</v>
      </c>
      <c r="CM84" s="102">
        <f t="array" ref="CM84">IF($BT84=0, INDEX(LS_current!$D$4:$BW$137, MATCH('Staging Table'!$A84, LS_current!$B$4:$B$137, 0), MATCH(CM$4&amp;CM$5, LS_current!$D$2:$BW$2&amp;LS_current!$D$3:$BW$3, 0)),SUM(VLOOKUP($A84, LS_current!$B$4:$BW$137, LS_current!R$147, FALSE), VLOOKUP($A84, LS_current!$B$4:$BW$137,LS_current!BN$147, FALSE))/2)</f>
        <v>-1185.8898949844966</v>
      </c>
      <c r="CN84" s="102">
        <f t="array" ref="CN84">IF($BT84=0, INDEX(LS_current!$D$4:$BW$137, MATCH('Staging Table'!$A84, LS_current!$B$4:$B$137, 0), MATCH(CN$4&amp;CN$5, LS_current!$D$2:$BW$2&amp;LS_current!$D$3:$BW$3, 0)),SUM(VLOOKUP($A84, LS_current!$B$4:$BW$137, LS_current!S$147, FALSE), VLOOKUP($A84, LS_current!$B$4:$BW$137,LS_current!BO$147, FALSE))/2)</f>
        <v>-429.16607719424383</v>
      </c>
      <c r="CO84" s="102">
        <f t="array" ref="CO84">IF($BT84=0, INDEX(LS_current!$D$4:$BW$137, MATCH('Staging Table'!$A84, LS_current!$B$4:$B$137, 0), MATCH(CO$4&amp;CO$5, LS_current!$D$2:$BW$2&amp;LS_current!$D$3:$BW$3, 0)),SUM(VLOOKUP($A84, LS_current!$B$4:$BW$137, LS_current!T$147, FALSE), VLOOKUP($A84, LS_current!$B$4:$BW$137,LS_current!BP$147, FALSE))/2)</f>
        <v>-1804.4318712766244</v>
      </c>
      <c r="CP84" s="102">
        <f t="array" ref="CP84">IF($BT84=0, INDEX(LS_current!$D$4:$BW$137, MATCH('Staging Table'!$A84, LS_current!$B$4:$B$137, 0), MATCH(CP$4&amp;CP$5, LS_current!$D$2:$BW$2&amp;LS_current!$D$3:$BW$3, 0)),SUM(VLOOKUP($A84, LS_current!$B$4:$BW$137, LS_current!U$147, FALSE), VLOOKUP($A84, LS_current!$B$4:$BW$137,LS_current!BQ$147, FALSE))/2)</f>
        <v>-722.41905345902364</v>
      </c>
      <c r="CQ84" s="102">
        <f t="array" ref="CQ84">IF($BT84=0, INDEX(LS_current!$D$4:$BW$137, MATCH('Staging Table'!$A84, LS_current!$B$4:$B$137, 0), MATCH(CQ$4&amp;CQ$5, LS_current!$D$2:$BW$2&amp;LS_current!$D$3:$BW$3, 0)),SUM(VLOOKUP($A84, LS_current!$B$4:$BW$137, LS_current!V$147, FALSE), VLOOKUP($A84, LS_current!$B$4:$BW$137,LS_current!BR$147, FALSE))/2)</f>
        <v>-952.65799190022199</v>
      </c>
      <c r="CR84" s="102">
        <f t="array" ref="CR84">IF($BT84=0, INDEX(LS_current!$D$4:$BW$137, MATCH('Staging Table'!$A84, LS_current!$B$4:$B$137, 0), MATCH(CR$4&amp;CR$5, LS_current!$D$2:$BW$2&amp;LS_current!$D$3:$BW$3, 0)),SUM(VLOOKUP($A84, LS_current!$B$4:$BW$137, LS_current!W$147, FALSE), VLOOKUP($A84, LS_current!$B$4:$BW$137,LS_current!BS$147, FALSE))/2)</f>
        <v>-298.08431827871891</v>
      </c>
      <c r="CS84" s="102">
        <f t="array" ref="CS84">IF($BT84=0, INDEX(LS_current!$D$4:$BW$137, MATCH('Staging Table'!$A84, LS_current!$B$4:$B$137, 0), MATCH(CS$4&amp;CS$5, LS_current!$D$2:$BW$2&amp;LS_current!$D$3:$BW$3, 0)),SUM(VLOOKUP($A84, LS_current!$B$4:$BW$137, LS_current!X$147, FALSE), VLOOKUP($A84, LS_current!$B$4:$BW$137,LS_current!BT$147, FALSE))/2)</f>
        <v>-1381.5791501608796</v>
      </c>
      <c r="CT84" s="102">
        <f t="array" ref="CT84">IF($BT84=0, INDEX(LS_current!$D$4:$BW$137, MATCH('Staging Table'!$A84, LS_current!$B$4:$B$137, 0), MATCH(CT$4&amp;CT$5, LS_current!$D$2:$BW$2&amp;LS_current!$D$3:$BW$3, 0)),SUM(VLOOKUP($A84, LS_current!$B$4:$BW$137, LS_current!Y$147, FALSE), VLOOKUP($A84, LS_current!$B$4:$BW$137,LS_current!BU$147, FALSE))/2)</f>
        <v>-266.7374473454754</v>
      </c>
      <c r="CU84" s="102">
        <f t="array" ref="CU84">IF($BT84=0, INDEX(LS_current!$D$4:$BW$137, MATCH('Staging Table'!$A84, LS_current!$B$4:$B$137, 0), MATCH(CU$4&amp;CU$5, LS_current!$D$2:$BW$2&amp;LS_current!$D$3:$BW$3, 0)),SUM(VLOOKUP($A84, LS_current!$B$4:$BW$137, LS_current!Z$147, FALSE), VLOOKUP($A84, LS_current!$B$4:$BW$137,LS_current!BV$147, FALSE))/2)</f>
        <v>-276.63336672298237</v>
      </c>
      <c r="CV84" s="102">
        <f t="array" ref="CV84">IF($BT84=0, INDEX(LS_current!$D$4:$BW$137, MATCH('Staging Table'!$A84, LS_current!$B$4:$B$137, 0), MATCH(CV$4&amp;CV$5, LS_current!$D$2:$BW$2&amp;LS_current!$D$3:$BW$3, 0)),SUM(VLOOKUP($A84, LS_current!$B$4:$BW$137, LS_current!AA$147, FALSE), VLOOKUP($A84, LS_current!$B$4:$BW$137,LS_current!BW$147, FALSE))/2)</f>
        <v>44.69912910563994</v>
      </c>
      <c r="CW84" s="103">
        <f t="array" ref="CW84">INDEX(Demand_current!$D$4:$BW$137, MATCH($A84, Demand_current!$B$4:$B$137, 0), MATCH(CW$4&amp;CW$5,Demand_current!$D$2:$BW$2&amp;Demand_current!$D$3:$BW$3, 0))/1000</f>
        <v>4.6502037037037045</v>
      </c>
      <c r="CX84" s="103">
        <f t="array" ref="CX84">INDEX(Demand_current!$D$4:$BW$137, MATCH($A84, Demand_current!$B$4:$B$137, 0), MATCH(CX$4&amp;CX$5,Demand_current!$D$2:$BW$2&amp;Demand_current!$D$3:$BW$3, 0))/1000</f>
        <v>1.4609687500000001</v>
      </c>
      <c r="CY84" s="103">
        <f t="array" ref="CY84">INDEX(Demand_current!$D$4:$BW$137, MATCH($A84, Demand_current!$B$4:$B$137, 0), MATCH(CY$4&amp;CY$5,Demand_current!$D$2:$BW$2&amp;Demand_current!$D$3:$BW$3, 0))/1000</f>
        <v>6.2920384615384606</v>
      </c>
      <c r="CZ84" s="103">
        <f t="array" ref="CZ84">INDEX(Demand_current!$D$4:$BW$137, MATCH($A84, Demand_current!$B$4:$B$137, 0), MATCH(CZ$4&amp;CZ$5,Demand_current!$D$2:$BW$2&amp;Demand_current!$D$3:$BW$3, 0))/1000</f>
        <v>3.3530961538461539</v>
      </c>
      <c r="DA84" s="103">
        <f t="array" ref="DA84">INDEX(Demand_current!$D$4:$BW$137, MATCH($A84, Demand_current!$B$4:$B$137, 0), MATCH(DA$4&amp;DA$5,Demand_current!$D$2:$BW$2&amp;Demand_current!$D$3:$BW$3, 0))/1000</f>
        <v>3.7334739583333345</v>
      </c>
      <c r="DB84" s="103">
        <f t="array" ref="DB84">INDEX(Demand_current!$D$4:$BW$137, MATCH($A84, Demand_current!$B$4:$B$137, 0), MATCH(DB$4&amp;DB$5,Demand_current!$D$2:$BW$2&amp;Demand_current!$D$3:$BW$3, 0))/1000</f>
        <v>3.335112980769229</v>
      </c>
      <c r="DC84" s="103">
        <f t="array" ref="DC84">INDEX(Demand_current!$D$4:$BW$137, MATCH($A84, Demand_current!$B$4:$B$137, 0), MATCH(DC$4&amp;DC$5,Demand_current!$D$2:$BW$2&amp;Demand_current!$D$3:$BW$3, 0))/1000</f>
        <v>3.1010841346153852</v>
      </c>
      <c r="DD84" s="103">
        <f t="array" ref="DD84">INDEX(Demand_current!$D$4:$BW$137, MATCH($A84, Demand_current!$B$4:$B$137, 0), MATCH(DD$4&amp;DD$5,Demand_current!$D$2:$BW$2&amp;Demand_current!$D$3:$BW$3, 0))/1000</f>
        <v>0.84674000000000049</v>
      </c>
      <c r="DE84" s="103">
        <f t="array" ref="DE84">INDEX(Demand_current!$D$4:$BW$137, MATCH($A84, Demand_current!$B$4:$B$137, 0), MATCH(DE$4&amp;DE$5,Demand_current!$D$2:$BW$2&amp;Demand_current!$D$3:$BW$3, 0))/1000</f>
        <v>2.1234831730769228</v>
      </c>
      <c r="DF84" s="103">
        <f t="array" ref="DF84">INDEX(Demand_current!$D$4:$BW$137, MATCH($A84, Demand_current!$B$4:$B$137, 0), MATCH(DF$4&amp;DF$5,Demand_current!$D$2:$BW$2&amp;Demand_current!$D$3:$BW$3, 0))/1000</f>
        <v>1.8635841346153839</v>
      </c>
      <c r="DG84" s="103">
        <f t="array" ref="DG84">INDEX(Demand_current!$D$4:$BW$137, MATCH($A84, Demand_current!$B$4:$B$137, 0), MATCH(DG$4&amp;DG$5,Demand_current!$D$2:$BW$2&amp;Demand_current!$D$3:$BW$3, 0))/1000</f>
        <v>3.0586490384615379</v>
      </c>
      <c r="DH84" s="103">
        <f t="array" ref="DH84">INDEX(Demand_current!$D$4:$BW$137, MATCH($A84, Demand_current!$B$4:$B$137, 0), MATCH(DH$4&amp;DH$5,Demand_current!$D$2:$BW$2&amp;Demand_current!$D$3:$BW$3, 0))/1000</f>
        <v>0.24494250000000095</v>
      </c>
      <c r="DI84" s="102">
        <f>$BS84*(VLOOKUP(DI$4, Rates_current!$H$6:$R$41, 10, FALSE)+VLOOKUP(DI$4, Rates_current!$H$6:$R$41, 11, FALSE))</f>
        <v>5276.6756656724547</v>
      </c>
      <c r="DJ84" s="102">
        <f>$BS84*(VLOOKUP(DJ$4, Rates_current!$H$6:$R$41, 10, FALSE)+VLOOKUP(DJ$4, Rates_current!$H$6:$R$41, 11, FALSE))</f>
        <v>6746.0561721906242</v>
      </c>
      <c r="DK84" s="102">
        <f>$BS84*(VLOOKUP(DK$4, Rates_current!$H$6:$R$41, 10, FALSE)+VLOOKUP(DK$4, Rates_current!$H$6:$R$41, 11, FALSE))</f>
        <v>7669.7016481944538</v>
      </c>
      <c r="DL84" s="102">
        <f>$BS84*(VLOOKUP(DL$4, Rates_current!$H$6:$R$41, 10, FALSE)+VLOOKUP(DL$4, Rates_current!$H$6:$R$41, 11, FALSE))</f>
        <v>8092.1339272066571</v>
      </c>
      <c r="DM84" s="102">
        <f>$BS84*(VLOOKUP(DM$4, Rates_current!$H$6:$R$41, 10, FALSE)+VLOOKUP(DM$4, Rates_current!$H$6:$R$41, 11, FALSE))</f>
        <v>6448.7003969809466</v>
      </c>
      <c r="DN84" s="102">
        <f>$BS84*(VLOOKUP(DN$4, Rates_current!$H$6:$R$41, 10, FALSE)+VLOOKUP(DN$4, Rates_current!$H$6:$R$41, 11, FALSE))</f>
        <v>7049.7538115868165</v>
      </c>
      <c r="DO84" s="102">
        <f>$BS84*(VLOOKUP(DO$4, Rates_current!$H$6:$R$41, 10, FALSE)+VLOOKUP(DO$4, Rates_current!$H$6:$R$41, 11, FALSE))</f>
        <v>5463.6301179612665</v>
      </c>
      <c r="DP84" s="102">
        <f>$BS84*(VLOOKUP(DP$4, Rates_current!$H$6:$R$41, 10, FALSE)+VLOOKUP(DP$4, Rates_current!$H$6:$R$41, 11, FALSE))</f>
        <v>7070.8369721787403</v>
      </c>
      <c r="DQ84" s="102">
        <f>$BS84*(VLOOKUP(DQ$4, Rates_current!$H$6:$R$41, 10, FALSE)+VLOOKUP(DQ$4, Rates_current!$H$6:$R$41, 11, FALSE))</f>
        <v>7221.8199247356479</v>
      </c>
      <c r="DR84" s="102">
        <f>$BS84*(VLOOKUP(DR$4, Rates_current!$H$6:$R$41, 10, FALSE)+VLOOKUP(DR$4, Rates_current!$H$6:$R$41, 11, FALSE))</f>
        <v>6428.0443101789406</v>
      </c>
      <c r="DS84" s="102">
        <f>$BS84*(VLOOKUP(DS$4, Rates_current!$H$6:$R$41, 10, FALSE)+VLOOKUP(DS$4, Rates_current!$H$6:$R$41, 11, FALSE))</f>
        <v>6593.9945975063556</v>
      </c>
      <c r="DT84" s="102">
        <f>$BS84*(VLOOKUP(DT$4, Rates_current!$H$6:$R$41, 10, FALSE)+VLOOKUP(DT$4, Rates_current!$H$6:$R$41, 11, FALSE))</f>
        <v>5121.0272376173425</v>
      </c>
      <c r="DU84" s="261">
        <f>IF(D84=0,IF(C84=0,MAX(0,DW84 - (VLOOKUP($A84,TOCA_current!$A$2:$AV$136,MATCH("RHWM "&amp;Init!$D$1,TOCA_current!$A$2:$AV$2,0),FALSE)*$BS$2)), 0),0)</f>
        <v>6692.7656741177634</v>
      </c>
      <c r="DV84" s="262">
        <f>MIN(VLOOKUP($A84,TOCA_current!$A$2:$AV$136,MATCH("TRL - NLSL - Existing Resource "&amp;$BS$1,TOCA_current!$A$2:$AV$2,0),FALSE)*$BS$2, VLOOKUP($A84,TOCA_current!$A$2:$AV$136,MATCH("RHWM "&amp;Init!$D$1,TOCA_current!$A$2:$AV$2,0),FALSE)*$BS$2)</f>
        <v>79181.64</v>
      </c>
      <c r="DW84" s="262">
        <f>SUM(BY84:CV84)+(BS84*RT1SC!$C$4*$BS$2)</f>
        <v>85874.405674117763</v>
      </c>
      <c r="DX84" s="262">
        <f>VLOOKUP($A84,TOCA_current!$A$2:$AV$136,MATCH("Above RHWM Not Served with LS "&amp;$BS$1,TOCA_current!$A$2:$AV$2,0),FALSE)*$BS$2</f>
        <v>0</v>
      </c>
      <c r="DY84" s="262">
        <f t="shared" si="43"/>
        <v>6692.7656741177634</v>
      </c>
      <c r="DZ84" s="262">
        <f>(VLOOKUP($A84,TOCA_current!$A$2:$AV$136,MATCH("RHWM "&amp;Init!$D$1,TOCA_current!$A$2:$AV$2,0),FALSE)*$BS$2) - $DV84</f>
        <v>0</v>
      </c>
      <c r="EA84" s="262">
        <f t="shared" si="44"/>
        <v>0</v>
      </c>
      <c r="EB84" s="262">
        <f t="shared" si="45"/>
        <v>0</v>
      </c>
      <c r="EC84" s="262">
        <f t="shared" si="46"/>
        <v>0</v>
      </c>
      <c r="ED84" s="262">
        <f t="shared" si="47"/>
        <v>0</v>
      </c>
    </row>
    <row r="85" spans="1:134">
      <c r="A85" s="2">
        <v>10247</v>
      </c>
      <c r="B85" s="3" t="s">
        <v>87</v>
      </c>
      <c r="C85">
        <f>VLOOKUP(A85, TOCA_current!$A$3:$D$136, 4, FALSE)</f>
        <v>0</v>
      </c>
      <c r="D85">
        <v>0</v>
      </c>
      <c r="E85" s="84">
        <f>VLOOKUP($A85,TOCA_previous!$A$2:$AJ$136,MATCH(E$4,TOCA_previous!$A$2:$AJ$2,0),FALSE)</f>
        <v>1.1571400000000001E-2</v>
      </c>
      <c r="F85" s="85">
        <f>VLOOKUP($A85,TOCA_previous!$A$2:$AJ$136,MATCH(F$4,TOCA_previous!$A$2:$AJ$2,0),FALSE)</f>
        <v>1.1571400000000001E-2</v>
      </c>
      <c r="G85" s="85">
        <f t="shared" si="33"/>
        <v>0</v>
      </c>
      <c r="H85" s="85">
        <f>VLOOKUP($A85,TOCA_previous!$A$2:$AJ$136,MATCH(H$4,TOCA_previous!$A$2:$AJ$2,0),FALSE)</f>
        <v>0</v>
      </c>
      <c r="I85" s="85">
        <f t="shared" si="34"/>
        <v>0</v>
      </c>
      <c r="J85" s="85">
        <f t="shared" si="35"/>
        <v>0</v>
      </c>
      <c r="K85" s="101">
        <f>VLOOKUP(A85, IRD!$A$5:$C$138, 3, FALSE)</f>
        <v>0</v>
      </c>
      <c r="L85" s="102">
        <f t="array" ref="L85">IF($G85=0, INDEX(LS_previous!$D$4:$AY$137, MATCH('Staging Table'!$A85, LS_previous!$B$4:$B$137, 0), MATCH(L$4&amp;L$5, LS_previous!$D$2:$AY$2&amp;LS_previous!$D$3:$AY$3, 0)),SUM(VLOOKUP($A85, LS_previous!$B$4:$AY$137, LS_previous!D$148, FALSE), VLOOKUP('Staging Table'!$A85, LS_previous!$B$4:$AY$137,LS_previous!AB$148, FALSE))/2)</f>
        <v>5647.8190818295916</v>
      </c>
      <c r="M85" s="102">
        <f t="array" ref="M85">IF($G85=0, INDEX(LS_previous!$D$4:$AY$137, MATCH('Staging Table'!$A85, LS_previous!$B$4:$B$137, 0), MATCH(M$4&amp;M$5, LS_previous!$D$2:$AY$2&amp;LS_previous!$D$3:$AY$3, 0)),SUM(VLOOKUP($A85, LS_previous!$B$4:$AY$137, LS_previous!E$148, FALSE), VLOOKUP('Staging Table'!$A85, LS_previous!$B$4:$AY$137,LS_previous!AC$148, FALSE))/2)</f>
        <v>3872.975072349298</v>
      </c>
      <c r="N85" s="102">
        <f t="array" ref="N85">IF($G85=0, INDEX(LS_previous!$D$4:$AY$137, MATCH('Staging Table'!$A85, LS_previous!$B$4:$B$137, 0), MATCH(N$4&amp;N$5, LS_previous!$D$2:$AY$2&amp;LS_previous!$D$3:$AY$3, 0)),SUM(VLOOKUP($A85, LS_previous!$B$4:$AY$137, LS_previous!F$148, FALSE), VLOOKUP('Staging Table'!$A85, LS_previous!$B$4:$AY$137,LS_previous!AD$148, FALSE))/2)</f>
        <v>3195.1813327807977</v>
      </c>
      <c r="O85" s="102">
        <f t="array" ref="O85">IF($G85=0, INDEX(LS_previous!$D$4:$AY$137, MATCH('Staging Table'!$A85, LS_previous!$B$4:$B$137, 0), MATCH(O$4&amp;O$5, LS_previous!$D$2:$AY$2&amp;LS_previous!$D$3:$AY$3, 0)),SUM(VLOOKUP($A85, LS_previous!$B$4:$AY$137, LS_previous!G$148, FALSE), VLOOKUP('Staging Table'!$A85, LS_previous!$B$4:$AY$137,LS_previous!AE$148, FALSE))/2)</f>
        <v>2453.2370092465935</v>
      </c>
      <c r="P85" s="102">
        <f t="array" ref="P85">IF($G85=0, INDEX(LS_previous!$D$4:$AY$137, MATCH('Staging Table'!$A85, LS_previous!$B$4:$B$137, 0), MATCH(P$4&amp;P$5, LS_previous!$D$2:$AY$2&amp;LS_previous!$D$3:$AY$3, 0)),SUM(VLOOKUP($A85, LS_previous!$B$4:$AY$137, LS_previous!H$148, FALSE), VLOOKUP('Staging Table'!$A85, LS_previous!$B$4:$AY$137,LS_previous!AF$148, FALSE))/2)</f>
        <v>9346.7013197353954</v>
      </c>
      <c r="Q85" s="102">
        <f t="array" ref="Q85">IF($G85=0, INDEX(LS_previous!$D$4:$AY$137, MATCH('Staging Table'!$A85, LS_previous!$B$4:$B$137, 0), MATCH(Q$4&amp;Q$5, LS_previous!$D$2:$AY$2&amp;LS_previous!$D$3:$AY$3, 0)),SUM(VLOOKUP($A85, LS_previous!$B$4:$AY$137, LS_previous!I$148, FALSE), VLOOKUP('Staging Table'!$A85, LS_previous!$B$4:$AY$137,LS_previous!AG$148, FALSE))/2)</f>
        <v>6481.2425461055973</v>
      </c>
      <c r="R85" s="102">
        <f t="array" ref="R85">IF($G85=0, INDEX(LS_previous!$D$4:$AY$137, MATCH('Staging Table'!$A85, LS_previous!$B$4:$B$137, 0), MATCH(R$4&amp;R$5, LS_previous!$D$2:$AY$2&amp;LS_previous!$D$3:$AY$3, 0)),SUM(VLOOKUP($A85, LS_previous!$B$4:$AY$137, LS_previous!J$148, FALSE), VLOOKUP('Staging Table'!$A85, LS_previous!$B$4:$AY$137,LS_previous!AH$148, FALSE))/2)</f>
        <v>8329.1168890489935</v>
      </c>
      <c r="S85" s="102">
        <f t="array" ref="S85">IF($G85=0, INDEX(LS_previous!$D$4:$AY$137, MATCH('Staging Table'!$A85, LS_previous!$B$4:$B$137, 0), MATCH(S$4&amp;S$5, LS_previous!$D$2:$AY$2&amp;LS_previous!$D$3:$AY$3, 0)),SUM(VLOOKUP($A85, LS_previous!$B$4:$AY$137, LS_previous!K$148, FALSE), VLOOKUP('Staging Table'!$A85, LS_previous!$B$4:$AY$137,LS_previous!AI$148, FALSE))/2)</f>
        <v>7322.8956112293963</v>
      </c>
      <c r="T85" s="102">
        <f t="array" ref="T85">IF($G85=0, INDEX(LS_previous!$D$4:$AY$137, MATCH('Staging Table'!$A85, LS_previous!$B$4:$B$137, 0), MATCH(T$4&amp;T$5, LS_previous!$D$2:$AY$2&amp;LS_previous!$D$3:$AY$3, 0)),SUM(VLOOKUP($A85, LS_previous!$B$4:$AY$137, LS_previous!L$148, FALSE), VLOOKUP('Staging Table'!$A85, LS_previous!$B$4:$AY$137,LS_previous!AJ$148, FALSE))/2)</f>
        <v>4663.4476857393965</v>
      </c>
      <c r="U85" s="102">
        <f t="array" ref="U85">IF($G85=0, INDEX(LS_previous!$D$4:$AY$137, MATCH('Staging Table'!$A85, LS_previous!$B$4:$B$137, 0), MATCH(U$4&amp;U$5, LS_previous!$D$2:$AY$2&amp;LS_previous!$D$3:$AY$3, 0)),SUM(VLOOKUP($A85, LS_previous!$B$4:$AY$137, LS_previous!M$148, FALSE), VLOOKUP('Staging Table'!$A85, LS_previous!$B$4:$AY$137,LS_previous!AK$148, FALSE))/2)</f>
        <v>6329.4184716273994</v>
      </c>
      <c r="V85" s="102">
        <f t="array" ref="V85">IF($G85=0, INDEX(LS_previous!$D$4:$AY$137, MATCH('Staging Table'!$A85, LS_previous!$B$4:$B$137, 0), MATCH(V$4&amp;V$5, LS_previous!$D$2:$AY$2&amp;LS_previous!$D$3:$AY$3, 0)),SUM(VLOOKUP($A85, LS_previous!$B$4:$AY$137, LS_previous!N$148, FALSE), VLOOKUP('Staging Table'!$A85, LS_previous!$B$4:$AY$137,LS_previous!AL$148, FALSE))/2)</f>
        <v>1579.985975831798</v>
      </c>
      <c r="W85" s="102">
        <f t="array" ref="W85">IF($G85=0, INDEX(LS_previous!$D$4:$AY$137, MATCH('Staging Table'!$A85, LS_previous!$B$4:$B$137, 0), MATCH(W$4&amp;W$5, LS_previous!$D$2:$AY$2&amp;LS_previous!$D$3:$AY$3, 0)),SUM(VLOOKUP($A85, LS_previous!$B$4:$AY$137, LS_previous!O$148, FALSE), VLOOKUP('Staging Table'!$A85, LS_previous!$B$4:$AY$137,LS_previous!AM$148, FALSE))/2)</f>
        <v>1657.6120380508</v>
      </c>
      <c r="X85" s="102">
        <f t="array" ref="X85">IF($G85=0, INDEX(LS_previous!$D$4:$AY$137, MATCH('Staging Table'!$A85, LS_previous!$B$4:$B$137, 0), MATCH(X$4&amp;X$5, LS_previous!$D$2:$AY$2&amp;LS_previous!$D$3:$AY$3, 0)),SUM(VLOOKUP($A85, LS_previous!$B$4:$AY$137, LS_previous!P$148, FALSE), VLOOKUP('Staging Table'!$A85, LS_previous!$B$4:$AY$137,LS_previous!AN$148, FALSE))/2)</f>
        <v>4798.3206434364984</v>
      </c>
      <c r="Y85" s="102">
        <f t="array" ref="Y85">IF($G85=0, INDEX(LS_previous!$D$4:$AY$137, MATCH('Staging Table'!$A85, LS_previous!$B$4:$B$137, 0), MATCH(Y$4&amp;Y$5, LS_previous!$D$2:$AY$2&amp;LS_previous!$D$3:$AY$3, 0)),SUM(VLOOKUP($A85, LS_previous!$B$4:$AY$137, LS_previous!Q$148, FALSE), VLOOKUP('Staging Table'!$A85, LS_previous!$B$4:$AY$137,LS_previous!AO$148, FALSE))/2)</f>
        <v>3632.4799487060518</v>
      </c>
      <c r="Z85" s="102">
        <f t="array" ref="Z85">IF($G85=0, INDEX(LS_previous!$D$4:$AY$137, MATCH('Staging Table'!$A85, LS_previous!$B$4:$B$137, 0), MATCH(Z$4&amp;Z$5, LS_previous!$D$2:$AY$2&amp;LS_previous!$D$3:$AY$3, 0)),SUM(VLOOKUP($A85, LS_previous!$B$4:$AY$137, LS_previous!R$148, FALSE), VLOOKUP('Staging Table'!$A85, LS_previous!$B$4:$AY$137,LS_previous!AP$148, FALSE))/2)</f>
        <v>-8652.1714749472048</v>
      </c>
      <c r="AA85" s="102">
        <f t="array" ref="AA85">IF($G85=0, INDEX(LS_previous!$D$4:$AY$137, MATCH('Staging Table'!$A85, LS_previous!$B$4:$B$137, 0), MATCH(AA$4&amp;AA$5, LS_previous!$D$2:$AY$2&amp;LS_previous!$D$3:$AY$3, 0)),SUM(VLOOKUP($A85, LS_previous!$B$4:$AY$137, LS_previous!S$148, FALSE), VLOOKUP('Staging Table'!$A85, LS_previous!$B$4:$AY$137,LS_previous!AQ$148, FALSE))/2)</f>
        <v>-6353.2680606669019</v>
      </c>
      <c r="AB85" s="102">
        <f t="array" ref="AB85">IF($G85=0, INDEX(LS_previous!$D$4:$AY$137, MATCH('Staging Table'!$A85, LS_previous!$B$4:$B$137, 0), MATCH(AB$4&amp;AB$5, LS_previous!$D$2:$AY$2&amp;LS_previous!$D$3:$AY$3, 0)),SUM(VLOOKUP($A85, LS_previous!$B$4:$AY$137, LS_previous!T$148, FALSE), VLOOKUP('Staging Table'!$A85, LS_previous!$B$4:$AY$137,LS_previous!AR$148, FALSE))/2)</f>
        <v>-12916.955714916403</v>
      </c>
      <c r="AC85" s="102">
        <f t="array" ref="AC85">IF($G85=0, INDEX(LS_previous!$D$4:$AY$137, MATCH('Staging Table'!$A85, LS_previous!$B$4:$B$137, 0), MATCH(AC$4&amp;AC$5, LS_previous!$D$2:$AY$2&amp;LS_previous!$D$3:$AY$3, 0)),SUM(VLOOKUP($A85, LS_previous!$B$4:$AY$137, LS_previous!U$148, FALSE), VLOOKUP('Staging Table'!$A85, LS_previous!$B$4:$AY$137,LS_previous!AS$148, FALSE))/2)</f>
        <v>-6811.2553656413038</v>
      </c>
      <c r="AD85" s="102">
        <f t="array" ref="AD85">IF($G85=0, INDEX(LS_previous!$D$4:$AY$137, MATCH('Staging Table'!$A85, LS_previous!$B$4:$B$137, 0), MATCH(AD$4&amp;AD$5, LS_previous!$D$2:$AY$2&amp;LS_previous!$D$3:$AY$3, 0)),SUM(VLOOKUP($A85, LS_previous!$B$4:$AY$137, LS_previous!V$148, FALSE), VLOOKUP('Staging Table'!$A85, LS_previous!$B$4:$AY$137,LS_previous!AT$148, FALSE))/2)</f>
        <v>-6488.7813539496055</v>
      </c>
      <c r="AE85" s="102">
        <f t="array" ref="AE85">IF($G85=0, INDEX(LS_previous!$D$4:$AY$137, MATCH('Staging Table'!$A85, LS_previous!$B$4:$B$137, 0), MATCH(AE$4&amp;AE$5, LS_previous!$D$2:$AY$2&amp;LS_previous!$D$3:$AY$3, 0)),SUM(VLOOKUP($A85, LS_previous!$B$4:$AY$137, LS_previous!W$148, FALSE), VLOOKUP('Staging Table'!$A85, LS_previous!$B$4:$AY$137,LS_previous!AU$148, FALSE))/2)</f>
        <v>-3413.5674118535026</v>
      </c>
      <c r="AF85" s="102">
        <f t="array" ref="AF85">IF($G85=0, INDEX(LS_previous!$D$4:$AY$137, MATCH('Staging Table'!$A85, LS_previous!$B$4:$B$137, 0), MATCH(AF$4&amp;AF$5, LS_previous!$D$2:$AY$2&amp;LS_previous!$D$3:$AY$3, 0)),SUM(VLOOKUP($A85, LS_previous!$B$4:$AY$137, LS_previous!X$148, FALSE), VLOOKUP('Staging Table'!$A85, LS_previous!$B$4:$AY$137,LS_previous!AV$148, FALSE))/2)</f>
        <v>-5543.6628904951067</v>
      </c>
      <c r="AG85" s="102">
        <f t="array" ref="AG85">IF($G85=0, INDEX(LS_previous!$D$4:$AY$137, MATCH('Staging Table'!$A85, LS_previous!$B$4:$B$137, 0), MATCH(AG$4&amp;AG$5, LS_previous!$D$2:$AY$2&amp;LS_previous!$D$3:$AY$3, 0)),SUM(VLOOKUP($A85, LS_previous!$B$4:$AY$137, LS_previous!Y$148, FALSE), VLOOKUP('Staging Table'!$A85, LS_previous!$B$4:$AY$137,LS_previous!AW$148, FALSE))/2)</f>
        <v>-1830.455217176288</v>
      </c>
      <c r="AH85" s="102">
        <f t="array" ref="AH85">IF($G85=0, INDEX(LS_previous!$D$4:$AY$137, MATCH('Staging Table'!$A85, LS_previous!$B$4:$B$137, 0), MATCH(AH$4&amp;AH$5, LS_previous!$D$2:$AY$2&amp;LS_previous!$D$3:$AY$3, 0)),SUM(VLOOKUP($A85, LS_previous!$B$4:$AY$137, LS_previous!Z$148, FALSE), VLOOKUP('Staging Table'!$A85, LS_previous!$B$4:$AY$137,LS_previous!AX$148, FALSE))/2)</f>
        <v>-2092.3667437636032</v>
      </c>
      <c r="AI85" s="102">
        <f t="array" ref="AI85">IF($G85=0, INDEX(LS_previous!$D$4:$AY$137, MATCH('Staging Table'!$A85, LS_previous!$B$4:$B$137, 0), MATCH(AI$4&amp;AI$5, LS_previous!$D$2:$AY$2&amp;LS_previous!$D$3:$AY$3, 0)),SUM(VLOOKUP($A85, LS_previous!$B$4:$AY$137, LS_previous!AA$148, FALSE), VLOOKUP('Staging Table'!$A85, LS_previous!$B$4:$AY$137,LS_previous!AY$148, FALSE))/2)</f>
        <v>-2856.1692500256031</v>
      </c>
      <c r="AJ85" s="103">
        <f t="array" ref="AJ85">INDEX(Demand_previous!$D$4:$AY$137, MATCH('Staging Table'!$A85, Demand_previous!$B$4:$B$137, 0), MATCH(AJ$4&amp;AJ$5,Demand_previous!$D$2:$AY$2&amp;Demand_previous!$D$3:$AY$3, 0))/1000</f>
        <v>2.1579759615384546</v>
      </c>
      <c r="AK85" s="103">
        <f t="array" ref="AK85">INDEX(Demand_previous!$D$4:$AY$137, MATCH('Staging Table'!$A85, Demand_previous!$B$4:$B$137, 0), MATCH(AK$4&amp;AK$5,Demand_previous!$D$2:$AY$2&amp;Demand_previous!$D$3:$AY$3, 0))/1000</f>
        <v>8.7373249999999985</v>
      </c>
      <c r="AL85" s="103">
        <f t="array" ref="AL85">INDEX(Demand_previous!$D$4:$AY$137, MATCH('Staging Table'!$A85, Demand_previous!$B$4:$B$137, 0), MATCH(AL$4&amp;AL$5,Demand_previous!$D$2:$AY$2&amp;Demand_previous!$D$3:$AY$3, 0))/1000</f>
        <v>29.372874999999993</v>
      </c>
      <c r="AM85" s="103">
        <f t="array" ref="AM85">INDEX(Demand_previous!$D$4:$AY$137, MATCH('Staging Table'!$A85, Demand_previous!$B$4:$B$137, 0), MATCH(AM$4&amp;AM$5,Demand_previous!$D$2:$AY$2&amp;Demand_previous!$D$3:$AY$3, 0))/1000</f>
        <v>6.0303942307692431</v>
      </c>
      <c r="AN85" s="103">
        <f t="array" ref="AN85">INDEX(Demand_previous!$D$4:$AY$137, MATCH('Staging Table'!$A85, Demand_previous!$B$4:$B$137, 0), MATCH(AN$4&amp;AN$5,Demand_previous!$D$2:$AY$2&amp;Demand_previous!$D$3:$AY$3, 0))/1000</f>
        <v>24.885449999999995</v>
      </c>
      <c r="AO85" s="103">
        <f t="array" ref="AO85">INDEX(Demand_previous!$D$4:$AY$137, MATCH('Staging Table'!$A85, Demand_previous!$B$4:$B$137, 0), MATCH(AO$4&amp;AO$5,Demand_previous!$D$2:$AY$2&amp;Demand_previous!$D$3:$AY$3, 0))/1000</f>
        <v>25.4651826923077</v>
      </c>
      <c r="AP85" s="103">
        <f t="array" ref="AP85">INDEX(Demand_previous!$D$4:$AY$137, MATCH('Staging Table'!$A85, Demand_previous!$B$4:$B$137, 0), MATCH(AP$4&amp;AP$5,Demand_previous!$D$2:$AY$2&amp;Demand_previous!$D$3:$AY$3, 0))/1000</f>
        <v>13.91212019230769</v>
      </c>
      <c r="AQ85" s="103">
        <f t="array" ref="AQ85">INDEX(Demand_previous!$D$4:$AY$137, MATCH('Staging Table'!$A85, Demand_previous!$B$4:$B$137, 0), MATCH(AQ$4&amp;AQ$5,Demand_previous!$D$2:$AY$2&amp;Demand_previous!$D$3:$AY$3, 0))/1000</f>
        <v>4.011870192307704</v>
      </c>
      <c r="AR85" s="103">
        <f t="array" ref="AR85">INDEX(Demand_previous!$D$4:$AY$137, MATCH('Staging Table'!$A85, Demand_previous!$B$4:$B$137, 0), MATCH(AR$4&amp;AR$5,Demand_previous!$D$2:$AY$2&amp;Demand_previous!$D$3:$AY$3, 0))/1000</f>
        <v>7.8816999999999959</v>
      </c>
      <c r="AS85" s="103">
        <f t="array" ref="AS85">INDEX(Demand_previous!$D$4:$AY$137, MATCH('Staging Table'!$A85, Demand_previous!$B$4:$B$137, 0), MATCH(AS$4&amp;AS$5,Demand_previous!$D$2:$AY$2&amp;Demand_previous!$D$3:$AY$3, 0))/1000</f>
        <v>14.70650480769231</v>
      </c>
      <c r="AT85" s="103">
        <f t="array" ref="AT85">INDEX(Demand_previous!$D$4:$AY$137, MATCH('Staging Table'!$A85, Demand_previous!$B$4:$B$137, 0), MATCH(AT$4&amp;AT$5,Demand_previous!$D$2:$AY$2&amp;Demand_previous!$D$3:$AY$3, 0))/1000</f>
        <v>23.328435185185192</v>
      </c>
      <c r="AU85" s="103">
        <f t="array" ref="AU85">INDEX(Demand_previous!$D$4:$AY$137, MATCH('Staging Table'!$A85, Demand_previous!$B$4:$B$137, 0), MATCH(AU$4&amp;AU$5,Demand_previous!$D$2:$AY$2&amp;Demand_previous!$D$3:$AY$3, 0))/1000</f>
        <v>0</v>
      </c>
      <c r="AV85" s="102">
        <f>$F85*(VLOOKUP(AV$4, Rates_previous!$G$6:$Q$29, 10, FALSE)+VLOOKUP(AV$4, Rates_previous!$G$6:$Q$29, 11, FALSE))</f>
        <v>48817.465845821105</v>
      </c>
      <c r="AW85" s="102">
        <f>$F85*(VLOOKUP(AW$4, Rates_previous!$G$6:$Q$29, 10, FALSE)+VLOOKUP(AW$4, Rates_previous!$G$6:$Q$29, 11, FALSE))</f>
        <v>62258.366657972612</v>
      </c>
      <c r="AX85" s="102">
        <f>$F85*(VLOOKUP(AX$4, Rates_previous!$G$6:$Q$29, 10, FALSE)+VLOOKUP(AX$4, Rates_previous!$G$6:$Q$29, 11, FALSE))</f>
        <v>67189.096134159015</v>
      </c>
      <c r="AY85" s="102">
        <f>$F85*(VLOOKUP(AY$4, Rates_previous!$G$6:$Q$29, 10, FALSE)+VLOOKUP(AY$4, Rates_previous!$G$6:$Q$29, 11, FALSE))</f>
        <v>69819.857499721606</v>
      </c>
      <c r="AZ85" s="102">
        <f>$F85*(VLOOKUP(AZ$4, Rates_previous!$G$6:$Q$29, 10, FALSE)+VLOOKUP(AZ$4, Rates_previous!$G$6:$Q$29, 11, FALSE))</f>
        <v>60054.3838426332</v>
      </c>
      <c r="BA85" s="102">
        <f>$F85*(VLOOKUP(BA$4, Rates_previous!$G$6:$Q$29, 10, FALSE)+VLOOKUP(BA$4, Rates_previous!$G$6:$Q$29, 11, FALSE))</f>
        <v>65567.496986117403</v>
      </c>
      <c r="BB85" s="102">
        <f>$F85*(VLOOKUP(BB$4, Rates_previous!$G$6:$Q$29, 10, FALSE)+VLOOKUP(BB$4, Rates_previous!$G$6:$Q$29, 11, FALSE))</f>
        <v>51754.489407857451</v>
      </c>
      <c r="BC85" s="102">
        <f>$F85*(VLOOKUP(BC$4, Rates_previous!$G$6:$Q$29, 10, FALSE)+VLOOKUP(BC$4, Rates_previous!$G$6:$Q$29, 11, FALSE))</f>
        <v>64208.379535614105</v>
      </c>
      <c r="BD85" s="102">
        <f>$F85*(VLOOKUP(BD$4, Rates_previous!$G$6:$Q$29, 10, FALSE)+VLOOKUP(BD$4, Rates_previous!$G$6:$Q$29, 11, FALSE))</f>
        <v>65601.541080557698</v>
      </c>
      <c r="BE85" s="102">
        <f>$F85*(VLOOKUP(BE$4, Rates_previous!$G$6:$Q$29, 10, FALSE)+VLOOKUP(BE$4, Rates_previous!$G$6:$Q$29, 11, FALSE))</f>
        <v>56951.588765803106</v>
      </c>
      <c r="BF85" s="102">
        <f>$F85*(VLOOKUP(BF$4, Rates_previous!$G$6:$Q$29, 10, FALSE)+VLOOKUP(BF$4, Rates_previous!$G$6:$Q$29, 11, FALSE))</f>
        <v>55057.048107671399</v>
      </c>
      <c r="BG85" s="102">
        <f>$F85*(VLOOKUP(BG$4, Rates_previous!$G$6:$Q$29, 10, FALSE)+VLOOKUP(BG$4, Rates_previous!$G$6:$Q$29, 11, FALSE))</f>
        <v>50663.145993789207</v>
      </c>
      <c r="BH85" s="103">
        <f>IF($D85=0,IF(C85=0, MAX(BJ85 - (VLOOKUP($A85,TOCA_previous!$A$2:$AJ$136,MATCH("RHWM "&amp;Init!$D$1-2,TOCA_previous!$A$2:$AJ$2,0),FALSE)*$F$2*TOCA_previous!C82),0),0), 0)</f>
        <v>28198.307290906203</v>
      </c>
      <c r="BI85" s="109">
        <f>MIN(VLOOKUP($A85,TOCA_previous!$A$2:$AJ$136,MATCH("TRL - NLSL - Existing Resource "&amp;$F$1,TOCA_previous!$A$2:$AJ$2,0),FALSE)*$F$2,(VLOOKUP($A85,TOCA_previous!$A$2:$AJ$136,MATCH("RHWM "&amp;Init!$D$1-2,TOCA_previous!$A$2:$AJ$2,0),FALSE)*$F$2))</f>
        <v>702096.33600000001</v>
      </c>
      <c r="BJ85" s="261">
        <f>SUM(L85:AI85)+(F85*RT1SC!$C$3*$F$2)</f>
        <v>730294.64329090621</v>
      </c>
      <c r="BK85" s="260">
        <f>VLOOKUP($A85,TOCA_previous!$A$2:$AJ$136,MATCH("Above RHWM Not Served with LS "&amp;$F$1,TOCA_previous!$A$2:$AJ$2,0),FALSE)*$F$2</f>
        <v>219.60000000000002</v>
      </c>
      <c r="BL85" s="261">
        <f t="shared" si="36"/>
        <v>28198.307290906203</v>
      </c>
      <c r="BM85" s="260">
        <f>(VLOOKUP($A85,TOCA_previous!$A$2:$AJ$136,MATCH("RHWM "&amp;Init!$D$1-2,TOCA_previous!$A$2:$AJ$2,0),FALSE)*$F$2) - $BI85</f>
        <v>0</v>
      </c>
      <c r="BN85" s="261">
        <f t="shared" si="37"/>
        <v>0</v>
      </c>
      <c r="BO85" s="260">
        <f t="shared" si="38"/>
        <v>0</v>
      </c>
      <c r="BP85" s="261">
        <f t="shared" si="39"/>
        <v>0</v>
      </c>
      <c r="BQ85" s="260">
        <f t="shared" si="9"/>
        <v>0</v>
      </c>
      <c r="BR85" s="85">
        <f>VLOOKUP($A85,TOCA_current!$A$2:$ZZ$136,MATCH(BR$4,TOCA_current!$A$2:$ZZ$2,0),FALSE)</f>
        <v>1.13072E-2</v>
      </c>
      <c r="BS85" s="85">
        <f>VLOOKUP($A85,TOCA_current!$A$2:$ZZ$136,MATCH(BS$4,TOCA_current!$A$2:$ZZ$2,0),FALSE)</f>
        <v>1.13072E-2</v>
      </c>
      <c r="BT85" s="108">
        <f t="shared" si="40"/>
        <v>0</v>
      </c>
      <c r="BU85" s="85">
        <f>VLOOKUP($A85,TOCA_current!A82:BG216,MATCH(BU$4,TOCA_current!$A$2:$BG$2,0),FALSE)</f>
        <v>0</v>
      </c>
      <c r="BV85" s="85">
        <f t="shared" si="41"/>
        <v>0</v>
      </c>
      <c r="BW85" s="85">
        <f t="shared" si="42"/>
        <v>0</v>
      </c>
      <c r="BX85" s="101">
        <f>VLOOKUP($A85,IRD!$A$4:$G$138, 7, FALSE)</f>
        <v>0</v>
      </c>
      <c r="BY85" s="102">
        <f t="array" ref="BY85">IF($BT85=0, INDEX(LS_current!$D$4:$BW$137, MATCH('Staging Table'!$A85, LS_current!$B$4:$B$137, 0), MATCH(BY$4&amp;BY$5, LS_current!$D$2:$BW$2&amp;LS_current!$D$3:$BW$3, 0)),SUM(VLOOKUP($A85, LS_current!$B$4:$BW$137, LS_current!D$147, FALSE), VLOOKUP($A85, LS_current!$B$4:$BW$137,LS_current!AZ$147, FALSE))/2)</f>
        <v>4655.3716117127078</v>
      </c>
      <c r="BZ85" s="102">
        <f t="array" ref="BZ85">IF($BT85=0, INDEX(LS_current!$D$4:$BW$137, MATCH('Staging Table'!$A85, LS_current!$B$4:$B$137, 0), MATCH(BZ$4&amp;BZ$5, LS_current!$D$2:$BW$2&amp;LS_current!$D$3:$BW$3, 0)),SUM(VLOOKUP($A85, LS_current!$B$4:$BW$137, LS_current!E$147, FALSE), VLOOKUP($A85, LS_current!$B$4:$BW$137,LS_current!BA$147, FALSE))/2)</f>
        <v>4539.124339450118</v>
      </c>
      <c r="CA85" s="102">
        <f t="array" ref="CA85">IF($BT85=0, INDEX(LS_current!$D$4:$BW$137, MATCH('Staging Table'!$A85, LS_current!$B$4:$B$137, 0), MATCH(CA$4&amp;CA$5, LS_current!$D$2:$BW$2&amp;LS_current!$D$3:$BW$3, 0)),SUM(VLOOKUP($A85, LS_current!$B$4:$BW$137, LS_current!F$147, FALSE), VLOOKUP($A85, LS_current!$B$4:$BW$137,LS_current!BB$147, FALSE))/2)</f>
        <v>3580.3666693736232</v>
      </c>
      <c r="CB85" s="102">
        <f t="array" ref="CB85">IF($BT85=0, INDEX(LS_current!$D$4:$BW$137, MATCH('Staging Table'!$A85, LS_current!$B$4:$B$137, 0), MATCH(CB$4&amp;CB$5, LS_current!$D$2:$BW$2&amp;LS_current!$D$3:$BW$3, 0)),SUM(VLOOKUP($A85, LS_current!$B$4:$BW$137, LS_current!G$147, FALSE), VLOOKUP($A85, LS_current!$B$4:$BW$137,LS_current!BC$147, FALSE))/2)</f>
        <v>2183.2080086239985</v>
      </c>
      <c r="CC85" s="102">
        <f t="array" ref="CC85">IF($BT85=0, INDEX(LS_current!$D$4:$BW$137, MATCH('Staging Table'!$A85, LS_current!$B$4:$B$137, 0), MATCH(CC$4&amp;CC$5, LS_current!$D$2:$BW$2&amp;LS_current!$D$3:$BW$3, 0)),SUM(VLOOKUP($A85, LS_current!$B$4:$BW$137, LS_current!H$147, FALSE), VLOOKUP($A85, LS_current!$B$4:$BW$137,LS_current!BD$147, FALSE))/2)</f>
        <v>5120.6069782134873</v>
      </c>
      <c r="CD85" s="102">
        <f t="array" ref="CD85">IF($BT85=0, INDEX(LS_current!$D$4:$BW$137, MATCH('Staging Table'!$A85, LS_current!$B$4:$B$137, 0), MATCH(CD$4&amp;CD$5, LS_current!$D$2:$BW$2&amp;LS_current!$D$3:$BW$3, 0)),SUM(VLOOKUP($A85, LS_current!$B$4:$BW$137, LS_current!I$147, FALSE), VLOOKUP($A85, LS_current!$B$4:$BW$137,LS_current!BE$147, FALSE))/2)</f>
        <v>7470.2846803799293</v>
      </c>
      <c r="CE85" s="102">
        <f t="array" ref="CE85">IF($BT85=0, INDEX(LS_current!$D$4:$BW$137, MATCH('Staging Table'!$A85, LS_current!$B$4:$B$137, 0), MATCH(CE$4&amp;CE$5, LS_current!$D$2:$BW$2&amp;LS_current!$D$3:$BW$3, 0)),SUM(VLOOKUP($A85, LS_current!$B$4:$BW$137, LS_current!J$147, FALSE), VLOOKUP($A85, LS_current!$B$4:$BW$137,LS_current!BF$147, FALSE))/2)</f>
        <v>4955.8004406402251</v>
      </c>
      <c r="CF85" s="102">
        <f t="array" ref="CF85">IF($BT85=0, INDEX(LS_current!$D$4:$BW$137, MATCH('Staging Table'!$A85, LS_current!$B$4:$B$137, 0), MATCH(CF$4&amp;CF$5, LS_current!$D$2:$BW$2&amp;LS_current!$D$3:$BW$3, 0)),SUM(VLOOKUP($A85, LS_current!$B$4:$BW$137, LS_current!K$147, FALSE), VLOOKUP($A85, LS_current!$B$4:$BW$137,LS_current!BG$147, FALSE))/2)</f>
        <v>6333.0183823021107</v>
      </c>
      <c r="CG85" s="102">
        <f t="array" ref="CG85">IF($BT85=0, INDEX(LS_current!$D$4:$BW$137, MATCH('Staging Table'!$A85, LS_current!$B$4:$B$137, 0), MATCH(CG$4&amp;CG$5, LS_current!$D$2:$BW$2&amp;LS_current!$D$3:$BW$3, 0)),SUM(VLOOKUP($A85, LS_current!$B$4:$BW$137, LS_current!L$147, FALSE), VLOOKUP($A85, LS_current!$B$4:$BW$137,LS_current!BH$147, FALSE))/2)</f>
        <v>5210.2872641861104</v>
      </c>
      <c r="CH85" s="102">
        <f t="array" ref="CH85">IF($BT85=0, INDEX(LS_current!$D$4:$BW$137, MATCH('Staging Table'!$A85, LS_current!$B$4:$B$137, 0), MATCH(CH$4&amp;CH$5, LS_current!$D$2:$BW$2&amp;LS_current!$D$3:$BW$3, 0)),SUM(VLOOKUP($A85, LS_current!$B$4:$BW$137, LS_current!M$147, FALSE), VLOOKUP($A85, LS_current!$B$4:$BW$137,LS_current!BI$147, FALSE))/2)</f>
        <v>6484.8089595491729</v>
      </c>
      <c r="CI85" s="102">
        <f t="array" ref="CI85">IF($BT85=0, INDEX(LS_current!$D$4:$BW$137, MATCH('Staging Table'!$A85, LS_current!$B$4:$B$137, 0), MATCH(CI$4&amp;CI$5, LS_current!$D$2:$BW$2&amp;LS_current!$D$3:$BW$3, 0)),SUM(VLOOKUP($A85, LS_current!$B$4:$BW$137, LS_current!N$147, FALSE), VLOOKUP($A85, LS_current!$B$4:$BW$137,LS_current!BJ$147, FALSE))/2)</f>
        <v>-514.60903101557051</v>
      </c>
      <c r="CJ85" s="102">
        <f t="array" ref="CJ85">IF($BT85=0, INDEX(LS_current!$D$4:$BW$137, MATCH('Staging Table'!$A85, LS_current!$B$4:$B$137, 0), MATCH(CJ$4&amp;CJ$5, LS_current!$D$2:$BW$2&amp;LS_current!$D$3:$BW$3, 0)),SUM(VLOOKUP($A85, LS_current!$B$4:$BW$137, LS_current!O$147, FALSE), VLOOKUP($A85, LS_current!$B$4:$BW$137,LS_current!BK$147, FALSE))/2)</f>
        <v>4410.041773681558</v>
      </c>
      <c r="CK85" s="102">
        <f t="array" ref="CK85">IF($BT85=0, INDEX(LS_current!$D$4:$BW$137, MATCH('Staging Table'!$A85, LS_current!$B$4:$B$137, 0), MATCH(CK$4&amp;CK$5, LS_current!$D$2:$BW$2&amp;LS_current!$D$3:$BW$3, 0)),SUM(VLOOKUP($A85, LS_current!$B$4:$BW$137, LS_current!P$147, FALSE), VLOOKUP($A85, LS_current!$B$4:$BW$137,LS_current!BL$147, FALSE))/2)</f>
        <v>5143.6626726860086</v>
      </c>
      <c r="CL85" s="102">
        <f t="array" ref="CL85">IF($BT85=0, INDEX(LS_current!$D$4:$BW$137, MATCH('Staging Table'!$A85, LS_current!$B$4:$B$137, 0), MATCH(CL$4&amp;CL$5, LS_current!$D$2:$BW$2&amp;LS_current!$D$3:$BW$3, 0)),SUM(VLOOKUP($A85, LS_current!$B$4:$BW$137, LS_current!Q$147, FALSE), VLOOKUP($A85, LS_current!$B$4:$BW$137,LS_current!BM$147, FALSE))/2)</f>
        <v>4306.6552541571327</v>
      </c>
      <c r="CM85" s="102">
        <f t="array" ref="CM85">IF($BT85=0, INDEX(LS_current!$D$4:$BW$137, MATCH('Staging Table'!$A85, LS_current!$B$4:$B$137, 0), MATCH(CM$4&amp;CM$5, LS_current!$D$2:$BW$2&amp;LS_current!$D$3:$BW$3, 0)),SUM(VLOOKUP($A85, LS_current!$B$4:$BW$137, LS_current!R$147, FALSE), VLOOKUP($A85, LS_current!$B$4:$BW$137,LS_current!BN$147, FALSE))/2)</f>
        <v>-8904.6991122925174</v>
      </c>
      <c r="CN85" s="102">
        <f t="array" ref="CN85">IF($BT85=0, INDEX(LS_current!$D$4:$BW$137, MATCH('Staging Table'!$A85, LS_current!$B$4:$B$137, 0), MATCH(CN$4&amp;CN$5, LS_current!$D$2:$BW$2&amp;LS_current!$D$3:$BW$3, 0)),SUM(VLOOKUP($A85, LS_current!$B$4:$BW$137, LS_current!S$147, FALSE), VLOOKUP($A85, LS_current!$B$4:$BW$137,LS_current!BO$147, FALSE))/2)</f>
        <v>-6992.5043017545649</v>
      </c>
      <c r="CO85" s="102">
        <f t="array" ref="CO85">IF($BT85=0, INDEX(LS_current!$D$4:$BW$137, MATCH('Staging Table'!$A85, LS_current!$B$4:$B$137, 0), MATCH(CO$4&amp;CO$5, LS_current!$D$2:$BW$2&amp;LS_current!$D$3:$BW$3, 0)),SUM(VLOOKUP($A85, LS_current!$B$4:$BW$137, LS_current!T$147, FALSE), VLOOKUP($A85, LS_current!$B$4:$BW$137,LS_current!BP$147, FALSE))/2)</f>
        <v>-14821.64549606658</v>
      </c>
      <c r="CP85" s="102">
        <f t="array" ref="CP85">IF($BT85=0, INDEX(LS_current!$D$4:$BW$137, MATCH('Staging Table'!$A85, LS_current!$B$4:$B$137, 0), MATCH(CP$4&amp;CP$5, LS_current!$D$2:$BW$2&amp;LS_current!$D$3:$BW$3, 0)),SUM(VLOOKUP($A85, LS_current!$B$4:$BW$137, LS_current!U$147, FALSE), VLOOKUP($A85, LS_current!$B$4:$BW$137,LS_current!BQ$147, FALSE))/2)</f>
        <v>-5676.4632934339097</v>
      </c>
      <c r="CQ85" s="102">
        <f t="array" ref="CQ85">IF($BT85=0, INDEX(LS_current!$D$4:$BW$137, MATCH('Staging Table'!$A85, LS_current!$B$4:$B$137, 0), MATCH(CQ$4&amp;CQ$5, LS_current!$D$2:$BW$2&amp;LS_current!$D$3:$BW$3, 0)),SUM(VLOOKUP($A85, LS_current!$B$4:$BW$137, LS_current!V$147, FALSE), VLOOKUP($A85, LS_current!$B$4:$BW$137,LS_current!BR$147, FALSE))/2)</f>
        <v>-8462.359481527601</v>
      </c>
      <c r="CR85" s="102">
        <f t="array" ref="CR85">IF($BT85=0, INDEX(LS_current!$D$4:$BW$137, MATCH('Staging Table'!$A85, LS_current!$B$4:$B$137, 0), MATCH(CR$4&amp;CR$5, LS_current!$D$2:$BW$2&amp;LS_current!$D$3:$BW$3, 0)),SUM(VLOOKUP($A85, LS_current!$B$4:$BW$137, LS_current!W$147, FALSE), VLOOKUP($A85, LS_current!$B$4:$BW$137,LS_current!BS$147, FALSE))/2)</f>
        <v>-3871.8653201519082</v>
      </c>
      <c r="CS85" s="102">
        <f t="array" ref="CS85">IF($BT85=0, INDEX(LS_current!$D$4:$BW$137, MATCH('Staging Table'!$A85, LS_current!$B$4:$B$137, 0), MATCH(CS$4&amp;CS$5, LS_current!$D$2:$BW$2&amp;LS_current!$D$3:$BW$3, 0)),SUM(VLOOKUP($A85, LS_current!$B$4:$BW$137, LS_current!X$147, FALSE), VLOOKUP($A85, LS_current!$B$4:$BW$137,LS_current!BT$147, FALSE))/2)</f>
        <v>-10837.463361569218</v>
      </c>
      <c r="CT85" s="102">
        <f t="array" ref="CT85">IF($BT85=0, INDEX(LS_current!$D$4:$BW$137, MATCH('Staging Table'!$A85, LS_current!$B$4:$B$137, 0), MATCH(CT$4&amp;CT$5, LS_current!$D$2:$BW$2&amp;LS_current!$D$3:$BW$3, 0)),SUM(VLOOKUP($A85, LS_current!$B$4:$BW$137, LS_current!Y$147, FALSE), VLOOKUP($A85, LS_current!$B$4:$BW$137,LS_current!BU$147, FALSE))/2)</f>
        <v>-2338.9508556117362</v>
      </c>
      <c r="CU85" s="102">
        <f t="array" ref="CU85">IF($BT85=0, INDEX(LS_current!$D$4:$BW$137, MATCH('Staging Table'!$A85, LS_current!$B$4:$B$137, 0), MATCH(CU$4&amp;CU$5, LS_current!$D$2:$BW$2&amp;LS_current!$D$3:$BW$3, 0)),SUM(VLOOKUP($A85, LS_current!$B$4:$BW$137, LS_current!Z$147, FALSE), VLOOKUP($A85, LS_current!$B$4:$BW$137,LS_current!BV$147, FALSE))/2)</f>
        <v>-1373.1234763332577</v>
      </c>
      <c r="CV85" s="102">
        <f t="array" ref="CV85">IF($BT85=0, INDEX(LS_current!$D$4:$BW$137, MATCH('Staging Table'!$A85, LS_current!$B$4:$B$137, 0), MATCH(CV$4&amp;CV$5, LS_current!$D$2:$BW$2&amp;LS_current!$D$3:$BW$3, 0)),SUM(VLOOKUP($A85, LS_current!$B$4:$BW$137, LS_current!AA$147, FALSE), VLOOKUP($A85, LS_current!$B$4:$BW$137,LS_current!BW$147, FALSE))/2)</f>
        <v>-600.2987756620314</v>
      </c>
      <c r="CW85" s="103">
        <f t="array" ref="CW85">INDEX(Demand_current!$D$4:$BW$137, MATCH($A85, Demand_current!$B$4:$B$137, 0), MATCH(CW$4&amp;CW$5,Demand_current!$D$2:$BW$2&amp;Demand_current!$D$3:$BW$3, 0))/1000</f>
        <v>5.3074212962962974</v>
      </c>
      <c r="CX85" s="103">
        <f t="array" ref="CX85">INDEX(Demand_current!$D$4:$BW$137, MATCH($A85, Demand_current!$B$4:$B$137, 0), MATCH(CX$4&amp;CX$5,Demand_current!$D$2:$BW$2&amp;Demand_current!$D$3:$BW$3, 0))/1000</f>
        <v>4.449838541666665</v>
      </c>
      <c r="CY85" s="103">
        <f t="array" ref="CY85">INDEX(Demand_current!$D$4:$BW$137, MATCH($A85, Demand_current!$B$4:$B$137, 0), MATCH(CY$4&amp;CY$5,Demand_current!$D$2:$BW$2&amp;Demand_current!$D$3:$BW$3, 0))/1000</f>
        <v>34.223610576923065</v>
      </c>
      <c r="CZ85" s="103">
        <f t="array" ref="CZ85">INDEX(Demand_current!$D$4:$BW$137, MATCH($A85, Demand_current!$B$4:$B$137, 0), MATCH(CZ$4&amp;CZ$5,Demand_current!$D$2:$BW$2&amp;Demand_current!$D$3:$BW$3, 0))/1000</f>
        <v>6.0303942307692431</v>
      </c>
      <c r="DA85" s="103">
        <f t="array" ref="DA85">INDEX(Demand_current!$D$4:$BW$137, MATCH($A85, Demand_current!$B$4:$B$137, 0), MATCH(DA$4&amp;DA$5,Demand_current!$D$2:$BW$2&amp;Demand_current!$D$3:$BW$3, 0))/1000</f>
        <v>20.40138541666666</v>
      </c>
      <c r="DB85" s="103">
        <f t="array" ref="DB85">INDEX(Demand_current!$D$4:$BW$137, MATCH($A85, Demand_current!$B$4:$B$137, 0), MATCH(DB$4&amp;DB$5,Demand_current!$D$2:$BW$2&amp;Demand_current!$D$3:$BW$3, 0))/1000</f>
        <v>25.4651826923077</v>
      </c>
      <c r="DC85" s="103">
        <f t="array" ref="DC85">INDEX(Demand_current!$D$4:$BW$137, MATCH($A85, Demand_current!$B$4:$B$137, 0), MATCH(DC$4&amp;DC$5,Demand_current!$D$2:$BW$2&amp;Demand_current!$D$3:$BW$3, 0))/1000</f>
        <v>13.91212019230769</v>
      </c>
      <c r="DD85" s="103">
        <f t="array" ref="DD85">INDEX(Demand_current!$D$4:$BW$137, MATCH($A85, Demand_current!$B$4:$B$137, 0), MATCH(DD$4&amp;DD$5,Demand_current!$D$2:$BW$2&amp;Demand_current!$D$3:$BW$3, 0))/1000</f>
        <v>1.0458250000000007</v>
      </c>
      <c r="DE85" s="103">
        <f t="array" ref="DE85">INDEX(Demand_current!$D$4:$BW$137, MATCH($A85, Demand_current!$B$4:$B$137, 0), MATCH(DE$4&amp;DE$5,Demand_current!$D$2:$BW$2&amp;Demand_current!$D$3:$BW$3, 0))/1000</f>
        <v>10.647211538461534</v>
      </c>
      <c r="DF85" s="103">
        <f t="array" ref="DF85">INDEX(Demand_current!$D$4:$BW$137, MATCH($A85, Demand_current!$B$4:$B$137, 0), MATCH(DF$4&amp;DF$5,Demand_current!$D$2:$BW$2&amp;Demand_current!$D$3:$BW$3, 0))/1000</f>
        <v>14.70650480769231</v>
      </c>
      <c r="DG85" s="103">
        <f t="array" ref="DG85">INDEX(Demand_current!$D$4:$BW$137, MATCH($A85, Demand_current!$B$4:$B$137, 0), MATCH(DG$4&amp;DG$5,Demand_current!$D$2:$BW$2&amp;Demand_current!$D$3:$BW$3, 0))/1000</f>
        <v>20.691951923076921</v>
      </c>
      <c r="DH85" s="103">
        <f t="array" ref="DH85">INDEX(Demand_current!$D$4:$BW$137, MATCH($A85, Demand_current!$B$4:$B$137, 0), MATCH(DH$4&amp;DH$5,Demand_current!$D$2:$BW$2&amp;Demand_current!$D$3:$BW$3, 0))/1000</f>
        <v>2.7676750000000077</v>
      </c>
      <c r="DI85" s="102">
        <f>$BS85*(VLOOKUP(DI$4, Rates_current!$H$6:$R$41, 10, FALSE)+VLOOKUP(DI$4, Rates_current!$H$6:$R$41, 11, FALSE))</f>
        <v>46928.132048837171</v>
      </c>
      <c r="DJ85" s="102">
        <f>$BS85*(VLOOKUP(DJ$4, Rates_current!$H$6:$R$41, 10, FALSE)+VLOOKUP(DJ$4, Rates_current!$H$6:$R$41, 11, FALSE))</f>
        <v>59996.072322002386</v>
      </c>
      <c r="DK85" s="102">
        <f>$BS85*(VLOOKUP(DK$4, Rates_current!$H$6:$R$41, 10, FALSE)+VLOOKUP(DK$4, Rates_current!$H$6:$R$41, 11, FALSE))</f>
        <v>68210.516341406576</v>
      </c>
      <c r="DL85" s="102">
        <f>$BS85*(VLOOKUP(DL$4, Rates_current!$H$6:$R$41, 10, FALSE)+VLOOKUP(DL$4, Rates_current!$H$6:$R$41, 11, FALSE))</f>
        <v>71967.419177057658</v>
      </c>
      <c r="DM85" s="102">
        <f>$BS85*(VLOOKUP(DM$4, Rates_current!$H$6:$R$41, 10, FALSE)+VLOOKUP(DM$4, Rates_current!$H$6:$R$41, 11, FALSE))</f>
        <v>57351.537776264719</v>
      </c>
      <c r="DN85" s="102">
        <f>$BS85*(VLOOKUP(DN$4, Rates_current!$H$6:$R$41, 10, FALSE)+VLOOKUP(DN$4, Rates_current!$H$6:$R$41, 11, FALSE))</f>
        <v>62697.008257334004</v>
      </c>
      <c r="DO85" s="102">
        <f>$BS85*(VLOOKUP(DO$4, Rates_current!$H$6:$R$41, 10, FALSE)+VLOOKUP(DO$4, Rates_current!$H$6:$R$41, 11, FALSE))</f>
        <v>48590.812073156863</v>
      </c>
      <c r="DP85" s="102">
        <f>$BS85*(VLOOKUP(DP$4, Rates_current!$H$6:$R$41, 10, FALSE)+VLOOKUP(DP$4, Rates_current!$H$6:$R$41, 11, FALSE))</f>
        <v>62884.511414047076</v>
      </c>
      <c r="DQ85" s="102">
        <f>$BS85*(VLOOKUP(DQ$4, Rates_current!$H$6:$R$41, 10, FALSE)+VLOOKUP(DQ$4, Rates_current!$H$6:$R$41, 11, FALSE))</f>
        <v>64227.278789500488</v>
      </c>
      <c r="DR85" s="102">
        <f>$BS85*(VLOOKUP(DR$4, Rates_current!$H$6:$R$41, 10, FALSE)+VLOOKUP(DR$4, Rates_current!$H$6:$R$41, 11, FALSE))</f>
        <v>57167.832801679506</v>
      </c>
      <c r="DS85" s="102">
        <f>$BS85*(VLOOKUP(DS$4, Rates_current!$H$6:$R$41, 10, FALSE)+VLOOKUP(DS$4, Rates_current!$H$6:$R$41, 11, FALSE))</f>
        <v>58643.712217180953</v>
      </c>
      <c r="DT85" s="102">
        <f>$BS85*(VLOOKUP(DT$4, Rates_current!$H$6:$R$41, 10, FALSE)+VLOOKUP(DT$4, Rates_current!$H$6:$R$41, 11, FALSE))</f>
        <v>45543.872251995293</v>
      </c>
      <c r="DU85" s="261">
        <f>IF(D85=0,IF(C85=0,MAX(0,DW85 - (VLOOKUP($A85,TOCA_current!$A$2:$AV$136,MATCH("RHWM "&amp;Init!$D$1,TOCA_current!$A$2:$AV$2,0),FALSE)*$BS$2)), 0),0)</f>
        <v>0.36156928131822497</v>
      </c>
      <c r="DV85" s="262">
        <f>MIN(VLOOKUP($A85,TOCA_current!$A$2:$AV$136,MATCH("TRL - NLSL - Existing Resource "&amp;$BS$1,TOCA_current!$A$2:$AV$2,0),FALSE)*$BS$2, VLOOKUP($A85,TOCA_current!$A$2:$AV$136,MATCH("RHWM "&amp;Init!$D$1,TOCA_current!$A$2:$AV$2,0),FALSE)*$BS$2)</f>
        <v>704207.64</v>
      </c>
      <c r="DW85" s="262">
        <f>SUM(BY85:CV85)+(BS85*RT1SC!$C$4*$BS$2)</f>
        <v>704208.00156928133</v>
      </c>
      <c r="DX85" s="262">
        <f>VLOOKUP($A85,TOCA_current!$A$2:$AV$136,MATCH("Above RHWM Not Served with LS "&amp;$BS$1,TOCA_current!$A$2:$AV$2,0),FALSE)*$BS$2</f>
        <v>26306.280000000002</v>
      </c>
      <c r="DY85" s="262">
        <f t="shared" si="43"/>
        <v>0.36156928131822497</v>
      </c>
      <c r="DZ85" s="262">
        <f>(VLOOKUP($A85,TOCA_current!$A$2:$AV$136,MATCH("RHWM "&amp;Init!$D$1,TOCA_current!$A$2:$AV$2,0),FALSE)*$BS$2) - $DV85</f>
        <v>0</v>
      </c>
      <c r="EA85" s="262">
        <f t="shared" si="44"/>
        <v>0</v>
      </c>
      <c r="EB85" s="262">
        <f t="shared" si="45"/>
        <v>0</v>
      </c>
      <c r="EC85" s="262">
        <f t="shared" si="46"/>
        <v>0</v>
      </c>
      <c r="ED85" s="262">
        <f t="shared" si="47"/>
        <v>0</v>
      </c>
    </row>
    <row r="86" spans="1:134">
      <c r="A86" s="2">
        <v>10256</v>
      </c>
      <c r="B86" s="3" t="s">
        <v>88</v>
      </c>
      <c r="C86">
        <f>VLOOKUP(A86, TOCA_current!$A$3:$D$136, 4, FALSE)</f>
        <v>0</v>
      </c>
      <c r="D86">
        <v>0</v>
      </c>
      <c r="E86" s="84">
        <f>VLOOKUP($A86,TOCA_previous!$A$2:$AJ$136,MATCH(E$4,TOCA_previous!$A$2:$AJ$2,0),FALSE)</f>
        <v>6.7673999999999998E-3</v>
      </c>
      <c r="F86" s="85">
        <f>VLOOKUP($A86,TOCA_previous!$A$2:$AJ$136,MATCH(F$4,TOCA_previous!$A$2:$AJ$2,0),FALSE)</f>
        <v>6.7673999999999998E-3</v>
      </c>
      <c r="G86" s="85">
        <f t="shared" si="33"/>
        <v>0</v>
      </c>
      <c r="H86" s="85">
        <f>VLOOKUP($A86,TOCA_previous!$A$2:$AJ$136,MATCH(H$4,TOCA_previous!$A$2:$AJ$2,0),FALSE)</f>
        <v>8.0086852351003296E-2</v>
      </c>
      <c r="I86" s="85">
        <f t="shared" si="34"/>
        <v>0</v>
      </c>
      <c r="J86" s="85">
        <f t="shared" si="35"/>
        <v>0</v>
      </c>
      <c r="K86" s="101">
        <f>VLOOKUP(A86, IRD!$A$5:$C$138, 3, FALSE)</f>
        <v>41489.314000000006</v>
      </c>
      <c r="L86" s="102">
        <f t="array" ref="L86">IF($G86=0, INDEX(LS_previous!$D$4:$AY$137, MATCH('Staging Table'!$A86, LS_previous!$B$4:$B$137, 0), MATCH(L$4&amp;L$5, LS_previous!$D$2:$AY$2&amp;LS_previous!$D$3:$AY$3, 0)),SUM(VLOOKUP($A86, LS_previous!$B$4:$AY$137, LS_previous!D$148, FALSE), VLOOKUP('Staging Table'!$A86, LS_previous!$B$4:$AY$137,LS_previous!AB$148, FALSE))/2)</f>
        <v>3007.0582307736004</v>
      </c>
      <c r="M86" s="102">
        <f t="array" ref="M86">IF($G86=0, INDEX(LS_previous!$D$4:$AY$137, MATCH('Staging Table'!$A86, LS_previous!$B$4:$B$137, 0), MATCH(M$4&amp;M$5, LS_previous!$D$2:$AY$2&amp;LS_previous!$D$3:$AY$3, 0)),SUM(VLOOKUP($A86, LS_previous!$B$4:$AY$137, LS_previous!E$148, FALSE), VLOOKUP('Staging Table'!$A86, LS_previous!$B$4:$AY$137,LS_previous!AC$148, FALSE))/2)</f>
        <v>1956.3691936513023</v>
      </c>
      <c r="N86" s="102">
        <f t="array" ref="N86">IF($G86=0, INDEX(LS_previous!$D$4:$AY$137, MATCH('Staging Table'!$A86, LS_previous!$B$4:$B$137, 0), MATCH(N$4&amp;N$5, LS_previous!$D$2:$AY$2&amp;LS_previous!$D$3:$AY$3, 0)),SUM(VLOOKUP($A86, LS_previous!$B$4:$AY$137, LS_previous!F$148, FALSE), VLOOKUP('Staging Table'!$A86, LS_previous!$B$4:$AY$137,LS_previous!AD$148, FALSE))/2)</f>
        <v>668.2854564927984</v>
      </c>
      <c r="O86" s="102">
        <f t="array" ref="O86">IF($G86=0, INDEX(LS_previous!$D$4:$AY$137, MATCH('Staging Table'!$A86, LS_previous!$B$4:$B$137, 0), MATCH(O$4&amp;O$5, LS_previous!$D$2:$AY$2&amp;LS_previous!$D$3:$AY$3, 0)),SUM(VLOOKUP($A86, LS_previous!$B$4:$AY$137, LS_previous!G$148, FALSE), VLOOKUP('Staging Table'!$A86, LS_previous!$B$4:$AY$137,LS_previous!AE$148, FALSE))/2)</f>
        <v>2539.0979525706007</v>
      </c>
      <c r="P86" s="102">
        <f t="array" ref="P86">IF($G86=0, INDEX(LS_previous!$D$4:$AY$137, MATCH('Staging Table'!$A86, LS_previous!$B$4:$B$137, 0), MATCH(P$4&amp;P$5, LS_previous!$D$2:$AY$2&amp;LS_previous!$D$3:$AY$3, 0)),SUM(VLOOKUP($A86, LS_previous!$B$4:$AY$137, LS_previous!H$148, FALSE), VLOOKUP('Staging Table'!$A86, LS_previous!$B$4:$AY$137,LS_previous!AF$148, FALSE))/2)</f>
        <v>7479.5738098913971</v>
      </c>
      <c r="Q86" s="102">
        <f t="array" ref="Q86">IF($G86=0, INDEX(LS_previous!$D$4:$AY$137, MATCH('Staging Table'!$A86, LS_previous!$B$4:$B$137, 0), MATCH(Q$4&amp;Q$5, LS_previous!$D$2:$AY$2&amp;LS_previous!$D$3:$AY$3, 0)),SUM(VLOOKUP($A86, LS_previous!$B$4:$AY$137, LS_previous!I$148, FALSE), VLOOKUP('Staging Table'!$A86, LS_previous!$B$4:$AY$137,LS_previous!AG$148, FALSE))/2)</f>
        <v>7066.9522616895993</v>
      </c>
      <c r="R86" s="102">
        <f t="array" ref="R86">IF($G86=0, INDEX(LS_previous!$D$4:$AY$137, MATCH('Staging Table'!$A86, LS_previous!$B$4:$B$137, 0), MATCH(R$4&amp;R$5, LS_previous!$D$2:$AY$2&amp;LS_previous!$D$3:$AY$3, 0)),SUM(VLOOKUP($A86, LS_previous!$B$4:$AY$137, LS_previous!J$148, FALSE), VLOOKUP('Staging Table'!$A86, LS_previous!$B$4:$AY$137,LS_previous!AH$148, FALSE))/2)</f>
        <v>4325.4368879090071</v>
      </c>
      <c r="S86" s="102">
        <f t="array" ref="S86">IF($G86=0, INDEX(LS_previous!$D$4:$AY$137, MATCH('Staging Table'!$A86, LS_previous!$B$4:$B$137, 0), MATCH(S$4&amp;S$5, LS_previous!$D$2:$AY$2&amp;LS_previous!$D$3:$AY$3, 0)),SUM(VLOOKUP($A86, LS_previous!$B$4:$AY$137, LS_previous!K$148, FALSE), VLOOKUP('Staging Table'!$A86, LS_previous!$B$4:$AY$137,LS_previous!AI$148, FALSE))/2)</f>
        <v>6958.077702545399</v>
      </c>
      <c r="T86" s="102">
        <f t="array" ref="T86">IF($G86=0, INDEX(LS_previous!$D$4:$AY$137, MATCH('Staging Table'!$A86, LS_previous!$B$4:$B$137, 0), MATCH(T$4&amp;T$5, LS_previous!$D$2:$AY$2&amp;LS_previous!$D$3:$AY$3, 0)),SUM(VLOOKUP($A86, LS_previous!$B$4:$AY$137, LS_previous!L$148, FALSE), VLOOKUP('Staging Table'!$A86, LS_previous!$B$4:$AY$137,LS_previous!AJ$148, FALSE))/2)</f>
        <v>2210.8288884554022</v>
      </c>
      <c r="U86" s="102">
        <f t="array" ref="U86">IF($G86=0, INDEX(LS_previous!$D$4:$AY$137, MATCH('Staging Table'!$A86, LS_previous!$B$4:$B$137, 0), MATCH(U$4&amp;U$5, LS_previous!$D$2:$AY$2&amp;LS_previous!$D$3:$AY$3, 0)),SUM(VLOOKUP($A86, LS_previous!$B$4:$AY$137, LS_previous!M$148, FALSE), VLOOKUP('Staging Table'!$A86, LS_previous!$B$4:$AY$137,LS_previous!AK$148, FALSE))/2)</f>
        <v>4053.6264826634015</v>
      </c>
      <c r="V86" s="102">
        <f t="array" ref="V86">IF($G86=0, INDEX(LS_previous!$D$4:$AY$137, MATCH('Staging Table'!$A86, LS_previous!$B$4:$B$137, 0), MATCH(V$4&amp;V$5, LS_previous!$D$2:$AY$2&amp;LS_previous!$D$3:$AY$3, 0)),SUM(VLOOKUP($A86, LS_previous!$B$4:$AY$137, LS_previous!N$148, FALSE), VLOOKUP('Staging Table'!$A86, LS_previous!$B$4:$AY$137,LS_previous!AL$148, FALSE))/2)</f>
        <v>2849.9953946838032</v>
      </c>
      <c r="W86" s="102">
        <f t="array" ref="W86">IF($G86=0, INDEX(LS_previous!$D$4:$AY$137, MATCH('Staging Table'!$A86, LS_previous!$B$4:$B$137, 0), MATCH(W$4&amp;W$5, LS_previous!$D$2:$AY$2&amp;LS_previous!$D$3:$AY$3, 0)),SUM(VLOOKUP($A86, LS_previous!$B$4:$AY$137, LS_previous!O$148, FALSE), VLOOKUP('Staging Table'!$A86, LS_previous!$B$4:$AY$137,LS_previous!AM$148, FALSE))/2)</f>
        <v>2825.2762595627992</v>
      </c>
      <c r="X86" s="102">
        <f t="array" ref="X86">IF($G86=0, INDEX(LS_previous!$D$4:$AY$137, MATCH('Staging Table'!$A86, LS_previous!$B$4:$B$137, 0), MATCH(X$4&amp;X$5, LS_previous!$D$2:$AY$2&amp;LS_previous!$D$3:$AY$3, 0)),SUM(VLOOKUP($A86, LS_previous!$B$4:$AY$137, LS_previous!P$148, FALSE), VLOOKUP('Staging Table'!$A86, LS_previous!$B$4:$AY$137,LS_previous!AN$148, FALSE))/2)</f>
        <v>5220.2546065465031</v>
      </c>
      <c r="Y86" s="102">
        <f t="array" ref="Y86">IF($G86=0, INDEX(LS_previous!$D$4:$AY$137, MATCH('Staging Table'!$A86, LS_previous!$B$4:$B$137, 0), MATCH(Y$4&amp;Y$5, LS_previous!$D$2:$AY$2&amp;LS_previous!$D$3:$AY$3, 0)),SUM(VLOOKUP($A86, LS_previous!$B$4:$AY$137, LS_previous!Q$148, FALSE), VLOOKUP('Staging Table'!$A86, LS_previous!$B$4:$AY$137,LS_previous!AO$148, FALSE))/2)</f>
        <v>3948.8204189530534</v>
      </c>
      <c r="Z86" s="102">
        <f t="array" ref="Z86">IF($G86=0, INDEX(LS_previous!$D$4:$AY$137, MATCH('Staging Table'!$A86, LS_previous!$B$4:$B$137, 0), MATCH(Z$4&amp;Z$5, LS_previous!$D$2:$AY$2&amp;LS_previous!$D$3:$AY$3, 0)),SUM(VLOOKUP($A86, LS_previous!$B$4:$AY$137, LS_previous!R$148, FALSE), VLOOKUP('Staging Table'!$A86, LS_previous!$B$4:$AY$137,LS_previous!AP$148, FALSE))/2)</f>
        <v>-1339.5643371551996</v>
      </c>
      <c r="AA86" s="102">
        <f t="array" ref="AA86">IF($G86=0, INDEX(LS_previous!$D$4:$AY$137, MATCH('Staging Table'!$A86, LS_previous!$B$4:$B$137, 0), MATCH(AA$4&amp;AA$5, LS_previous!$D$2:$AY$2&amp;LS_previous!$D$3:$AY$3, 0)),SUM(VLOOKUP($A86, LS_previous!$B$4:$AY$137, LS_previous!S$148, FALSE), VLOOKUP('Staging Table'!$A86, LS_previous!$B$4:$AY$137,LS_previous!AQ$148, FALSE))/2)</f>
        <v>-59.973823232900031</v>
      </c>
      <c r="AB86" s="102">
        <f t="array" ref="AB86">IF($G86=0, INDEX(LS_previous!$D$4:$AY$137, MATCH('Staging Table'!$A86, LS_previous!$B$4:$B$137, 0), MATCH(AB$4&amp;AB$5, LS_previous!$D$2:$AY$2&amp;LS_previous!$D$3:$AY$3, 0)),SUM(VLOOKUP($A86, LS_previous!$B$4:$AY$137, LS_previous!T$148, FALSE), VLOOKUP('Staging Table'!$A86, LS_previous!$B$4:$AY$137,LS_previous!AR$148, FALSE))/2)</f>
        <v>-3904.6986384123993</v>
      </c>
      <c r="AC86" s="102">
        <f t="array" ref="AC86">IF($G86=0, INDEX(LS_previous!$D$4:$AY$137, MATCH('Staging Table'!$A86, LS_previous!$B$4:$B$137, 0), MATCH(AC$4&amp;AC$5, LS_previous!$D$2:$AY$2&amp;LS_previous!$D$3:$AY$3, 0)),SUM(VLOOKUP($A86, LS_previous!$B$4:$AY$137, LS_previous!U$148, FALSE), VLOOKUP('Staging Table'!$A86, LS_previous!$B$4:$AY$137,LS_previous!AS$148, FALSE))/2)</f>
        <v>-2447.544003823301</v>
      </c>
      <c r="AD86" s="102">
        <f t="array" ref="AD86">IF($G86=0, INDEX(LS_previous!$D$4:$AY$137, MATCH('Staging Table'!$A86, LS_previous!$B$4:$B$137, 0), MATCH(AD$4&amp;AD$5, LS_previous!$D$2:$AY$2&amp;LS_previous!$D$3:$AY$3, 0)),SUM(VLOOKUP($A86, LS_previous!$B$4:$AY$137, LS_previous!V$148, FALSE), VLOOKUP('Staging Table'!$A86, LS_previous!$B$4:$AY$137,LS_previous!AT$148, FALSE))/2)</f>
        <v>849.22924030640206</v>
      </c>
      <c r="AE86" s="102">
        <f t="array" ref="AE86">IF($G86=0, INDEX(LS_previous!$D$4:$AY$137, MATCH('Staging Table'!$A86, LS_previous!$B$4:$B$137, 0), MATCH(AE$4&amp;AE$5, LS_previous!$D$2:$AY$2&amp;LS_previous!$D$3:$AY$3, 0)),SUM(VLOOKUP($A86, LS_previous!$B$4:$AY$137, LS_previous!W$148, FALSE), VLOOKUP('Staging Table'!$A86, LS_previous!$B$4:$AY$137,LS_previous!AU$148, FALSE))/2)</f>
        <v>2380.1730906565008</v>
      </c>
      <c r="AF86" s="102">
        <f t="array" ref="AF86">IF($G86=0, INDEX(LS_previous!$D$4:$AY$137, MATCH('Staging Table'!$A86, LS_previous!$B$4:$B$137, 0), MATCH(AF$4&amp;AF$5, LS_previous!$D$2:$AY$2&amp;LS_previous!$D$3:$AY$3, 0)),SUM(VLOOKUP($A86, LS_previous!$B$4:$AY$137, LS_previous!X$148, FALSE), VLOOKUP('Staging Table'!$A86, LS_previous!$B$4:$AY$137,LS_previous!AV$148, FALSE))/2)</f>
        <v>1317.6390933908988</v>
      </c>
      <c r="AG86" s="102">
        <f t="array" ref="AG86">IF($G86=0, INDEX(LS_previous!$D$4:$AY$137, MATCH('Staging Table'!$A86, LS_previous!$B$4:$B$137, 0), MATCH(AG$4&amp;AG$5, LS_previous!$D$2:$AY$2&amp;LS_previous!$D$3:$AY$3, 0)),SUM(VLOOKUP($A86, LS_previous!$B$4:$AY$137, LS_previous!Y$148, FALSE), VLOOKUP('Staging Table'!$A86, LS_previous!$B$4:$AY$137,LS_previous!AW$148, FALSE))/2)</f>
        <v>1657.2225184231102</v>
      </c>
      <c r="AH86" s="102">
        <f t="array" ref="AH86">IF($G86=0, INDEX(LS_previous!$D$4:$AY$137, MATCH('Staging Table'!$A86, LS_previous!$B$4:$B$137, 0), MATCH(AH$4&amp;AH$5, LS_previous!$D$2:$AY$2&amp;LS_previous!$D$3:$AY$3, 0)),SUM(VLOOKUP($A86, LS_previous!$B$4:$AY$137, LS_previous!Z$148, FALSE), VLOOKUP('Staging Table'!$A86, LS_previous!$B$4:$AY$137,LS_previous!AX$148, FALSE))/2)</f>
        <v>-502.28627546760254</v>
      </c>
      <c r="AI86" s="102">
        <f t="array" ref="AI86">IF($G86=0, INDEX(LS_previous!$D$4:$AY$137, MATCH('Staging Table'!$A86, LS_previous!$B$4:$B$137, 0), MATCH(AI$4&amp;AI$5, LS_previous!$D$2:$AY$2&amp;LS_previous!$D$3:$AY$3, 0)),SUM(VLOOKUP($A86, LS_previous!$B$4:$AY$137, LS_previous!AA$148, FALSE), VLOOKUP('Staging Table'!$A86, LS_previous!$B$4:$AY$137,LS_previous!AY$148, FALSE))/2)</f>
        <v>-715.21507440960158</v>
      </c>
      <c r="AJ86" s="103">
        <f t="array" ref="AJ86">INDEX(Demand_previous!$D$4:$AY$137, MATCH('Staging Table'!$A86, Demand_previous!$B$4:$B$137, 0), MATCH(AJ$4&amp;AJ$5,Demand_previous!$D$2:$AY$2&amp;Demand_previous!$D$3:$AY$3, 0))/1000</f>
        <v>20.158605769230768</v>
      </c>
      <c r="AK86" s="103">
        <f t="array" ref="AK86">INDEX(Demand_previous!$D$4:$AY$137, MATCH('Staging Table'!$A86, Demand_previous!$B$4:$B$137, 0), MATCH(AK$4&amp;AK$5,Demand_previous!$D$2:$AY$2&amp;Demand_previous!$D$3:$AY$3, 0))/1000</f>
        <v>18.2685575</v>
      </c>
      <c r="AL86" s="103">
        <f t="array" ref="AL86">INDEX(Demand_previous!$D$4:$AY$137, MATCH('Staging Table'!$A86, Demand_previous!$B$4:$B$137, 0), MATCH(AL$4&amp;AL$5,Demand_previous!$D$2:$AY$2&amp;Demand_previous!$D$3:$AY$3, 0))/1000</f>
        <v>25.527227500000009</v>
      </c>
      <c r="AM86" s="103">
        <f t="array" ref="AM86">INDEX(Demand_previous!$D$4:$AY$137, MATCH('Staging Table'!$A86, Demand_previous!$B$4:$B$137, 0), MATCH(AM$4&amp;AM$5,Demand_previous!$D$2:$AY$2&amp;Demand_previous!$D$3:$AY$3, 0))/1000</f>
        <v>31.496237980769223</v>
      </c>
      <c r="AN86" s="103">
        <f t="array" ref="AN86">INDEX(Demand_previous!$D$4:$AY$137, MATCH('Staging Table'!$A86, Demand_previous!$B$4:$B$137, 0), MATCH(AN$4&amp;AN$5,Demand_previous!$D$2:$AY$2&amp;Demand_previous!$D$3:$AY$3, 0))/1000</f>
        <v>23.035947499999988</v>
      </c>
      <c r="AO86" s="103">
        <f t="array" ref="AO86">INDEX(Demand_previous!$D$4:$AY$137, MATCH('Staging Table'!$A86, Demand_previous!$B$4:$B$137, 0), MATCH(AO$4&amp;AO$5,Demand_previous!$D$2:$AY$2&amp;Demand_previous!$D$3:$AY$3, 0))/1000</f>
        <v>23.120860576923072</v>
      </c>
      <c r="AP86" s="103">
        <f t="array" ref="AP86">INDEX(Demand_previous!$D$4:$AY$137, MATCH('Staging Table'!$A86, Demand_previous!$B$4:$B$137, 0), MATCH(AP$4&amp;AP$5,Demand_previous!$D$2:$AY$2&amp;Demand_previous!$D$3:$AY$3, 0))/1000</f>
        <v>16.176122596153846</v>
      </c>
      <c r="AQ86" s="103">
        <f t="array" ref="AQ86">INDEX(Demand_previous!$D$4:$AY$137, MATCH('Staging Table'!$A86, Demand_previous!$B$4:$B$137, 0), MATCH(AQ$4&amp;AQ$5,Demand_previous!$D$2:$AY$2&amp;Demand_previous!$D$3:$AY$3, 0))/1000</f>
        <v>7.7884687500000034</v>
      </c>
      <c r="AR86" s="103">
        <f t="array" ref="AR86">INDEX(Demand_previous!$D$4:$AY$137, MATCH('Staging Table'!$A86, Demand_previous!$B$4:$B$137, 0), MATCH(AR$4&amp;AR$5,Demand_previous!$D$2:$AY$2&amp;Demand_previous!$D$3:$AY$3, 0))/1000</f>
        <v>6.0602525000000069</v>
      </c>
      <c r="AS86" s="103">
        <f t="array" ref="AS86">INDEX(Demand_previous!$D$4:$AY$137, MATCH('Staging Table'!$A86, Demand_previous!$B$4:$B$137, 0), MATCH(AS$4&amp;AS$5,Demand_previous!$D$2:$AY$2&amp;Demand_previous!$D$3:$AY$3, 0))/1000</f>
        <v>8.0121250000000046</v>
      </c>
      <c r="AT86" s="103">
        <f t="array" ref="AT86">INDEX(Demand_previous!$D$4:$AY$137, MATCH('Staging Table'!$A86, Demand_previous!$B$4:$B$137, 0), MATCH(AT$4&amp;AT$5,Demand_previous!$D$2:$AY$2&amp;Demand_previous!$D$3:$AY$3, 0))/1000</f>
        <v>11.095240740740746</v>
      </c>
      <c r="AU86" s="103">
        <f t="array" ref="AU86">INDEX(Demand_previous!$D$4:$AY$137, MATCH('Staging Table'!$A86, Demand_previous!$B$4:$B$137, 0), MATCH(AU$4&amp;AU$5,Demand_previous!$D$2:$AY$2&amp;Demand_previous!$D$3:$AY$3, 0))/1000</f>
        <v>4.1155651041666683</v>
      </c>
      <c r="AV86" s="102">
        <f>$F86*(VLOOKUP(AV$4, Rates_previous!$G$6:$Q$29, 10, FALSE)+VLOOKUP(AV$4, Rates_previous!$G$6:$Q$29, 11, FALSE))</f>
        <v>28550.332575575099</v>
      </c>
      <c r="AW86" s="102">
        <f>$F86*(VLOOKUP(AW$4, Rates_previous!$G$6:$Q$29, 10, FALSE)+VLOOKUP(AW$4, Rates_previous!$G$6:$Q$29, 11, FALSE))</f>
        <v>36411.088590936604</v>
      </c>
      <c r="AX86" s="102">
        <f>$F86*(VLOOKUP(AX$4, Rates_previous!$G$6:$Q$29, 10, FALSE)+VLOOKUP(AX$4, Rates_previous!$G$6:$Q$29, 11, FALSE))</f>
        <v>39294.768928419006</v>
      </c>
      <c r="AY86" s="102">
        <f>$F86*(VLOOKUP(AY$4, Rates_previous!$G$6:$Q$29, 10, FALSE)+VLOOKUP(AY$4, Rates_previous!$G$6:$Q$29, 11, FALSE))</f>
        <v>40833.339409545595</v>
      </c>
      <c r="AZ86" s="102">
        <f>$F86*(VLOOKUP(AZ$4, Rates_previous!$G$6:$Q$29, 10, FALSE)+VLOOKUP(AZ$4, Rates_previous!$G$6:$Q$29, 11, FALSE))</f>
        <v>35122.114628881194</v>
      </c>
      <c r="BA86" s="102">
        <f>$F86*(VLOOKUP(BA$4, Rates_previous!$G$6:$Q$29, 10, FALSE)+VLOOKUP(BA$4, Rates_previous!$G$6:$Q$29, 11, FALSE))</f>
        <v>38346.395345753401</v>
      </c>
      <c r="BB86" s="102">
        <f>$F86*(VLOOKUP(BB$4, Rates_previous!$G$6:$Q$29, 10, FALSE)+VLOOKUP(BB$4, Rates_previous!$G$6:$Q$29, 11, FALSE))</f>
        <v>30268.016974500446</v>
      </c>
      <c r="BC86" s="102">
        <f>$F86*(VLOOKUP(BC$4, Rates_previous!$G$6:$Q$29, 10, FALSE)+VLOOKUP(BC$4, Rates_previous!$G$6:$Q$29, 11, FALSE))</f>
        <v>37551.531160388098</v>
      </c>
      <c r="BD86" s="102">
        <f>$F86*(VLOOKUP(BD$4, Rates_previous!$G$6:$Q$29, 10, FALSE)+VLOOKUP(BD$4, Rates_previous!$G$6:$Q$29, 11, FALSE))</f>
        <v>38366.305642235697</v>
      </c>
      <c r="BE86" s="102">
        <f>$F86*(VLOOKUP(BE$4, Rates_previous!$G$6:$Q$29, 10, FALSE)+VLOOKUP(BE$4, Rates_previous!$G$6:$Q$29, 11, FALSE))</f>
        <v>33307.480669037097</v>
      </c>
      <c r="BF86" s="102">
        <f>$F86*(VLOOKUP(BF$4, Rates_previous!$G$6:$Q$29, 10, FALSE)+VLOOKUP(BF$4, Rates_previous!$G$6:$Q$29, 11, FALSE))</f>
        <v>32199.480388185992</v>
      </c>
      <c r="BG86" s="102">
        <f>$F86*(VLOOKUP(BG$4, Rates_previous!$G$6:$Q$29, 10, FALSE)+VLOOKUP(BG$4, Rates_previous!$G$6:$Q$29, 11, FALSE))</f>
        <v>29629.757349877204</v>
      </c>
      <c r="BH86" s="103">
        <f>IF($D86=0,IF(C86=0, MAX(BJ86 - (VLOOKUP($A86,TOCA_previous!$A$2:$AJ$136,MATCH("RHWM "&amp;Init!$D$1-2,TOCA_previous!$A$2:$AJ$2,0),FALSE)*$F$2*TOCA_previous!C83),0),0), 0)</f>
        <v>61608.384924648562</v>
      </c>
      <c r="BI86" s="109">
        <f>MIN(VLOOKUP($A86,TOCA_previous!$A$2:$AJ$136,MATCH("TRL - NLSL - Existing Resource "&amp;$F$1,TOCA_previous!$A$2:$AJ$2,0),FALSE)*$F$2,(VLOOKUP($A86,TOCA_previous!$A$2:$AJ$136,MATCH("RHWM "&amp;Init!$D$1-2,TOCA_previous!$A$2:$AJ$2,0),FALSE)*$F$2))</f>
        <v>410616.864</v>
      </c>
      <c r="BJ86" s="261">
        <f>SUM(L86:AI86)+(F86*RT1SC!$C$3*$F$2)</f>
        <v>472225.24892464856</v>
      </c>
      <c r="BK86" s="260">
        <f>VLOOKUP($A86,TOCA_previous!$A$2:$AJ$136,MATCH("Above RHWM Not Served with LS "&amp;$F$1,TOCA_previous!$A$2:$AJ$2,0),FALSE)*$F$2</f>
        <v>95306.4</v>
      </c>
      <c r="BL86" s="261">
        <f t="shared" si="36"/>
        <v>61608.384924648562</v>
      </c>
      <c r="BM86" s="260">
        <f>(VLOOKUP($A86,TOCA_previous!$A$2:$AJ$136,MATCH("RHWM "&amp;Init!$D$1-2,TOCA_previous!$A$2:$AJ$2,0),FALSE)*$F$2) - $BI86</f>
        <v>0</v>
      </c>
      <c r="BN86" s="261">
        <f t="shared" si="37"/>
        <v>0</v>
      </c>
      <c r="BO86" s="260">
        <f t="shared" si="38"/>
        <v>0</v>
      </c>
      <c r="BP86" s="261">
        <f t="shared" si="39"/>
        <v>0</v>
      </c>
      <c r="BQ86" s="260">
        <f t="shared" si="9"/>
        <v>0</v>
      </c>
      <c r="BR86" s="85">
        <f>VLOOKUP($A86,TOCA_current!$A$2:$ZZ$136,MATCH(BR$4,TOCA_current!$A$2:$ZZ$2,0),FALSE)</f>
        <v>6.6128999999999997E-3</v>
      </c>
      <c r="BS86" s="85">
        <f>VLOOKUP($A86,TOCA_current!$A$2:$ZZ$136,MATCH(BS$4,TOCA_current!$A$2:$ZZ$2,0),FALSE)</f>
        <v>6.6128999999999997E-3</v>
      </c>
      <c r="BT86" s="108">
        <f t="shared" si="40"/>
        <v>0</v>
      </c>
      <c r="BU86" s="85">
        <f>VLOOKUP($A86,TOCA_current!A83:BG217,MATCH(BU$4,TOCA_current!$A$2:$BG$2,0),FALSE)</f>
        <v>8.9570456237371074E-2</v>
      </c>
      <c r="BV86" s="85">
        <f t="shared" si="41"/>
        <v>0</v>
      </c>
      <c r="BW86" s="85">
        <f t="shared" si="42"/>
        <v>0</v>
      </c>
      <c r="BX86" s="101">
        <f>VLOOKUP($A86,IRD!$A$4:$G$138, 7, FALSE)</f>
        <v>41489.314000000006</v>
      </c>
      <c r="BY86" s="102">
        <f t="array" ref="BY86">IF($BT86=0, INDEX(LS_current!$D$4:$BW$137, MATCH('Staging Table'!$A86, LS_current!$B$4:$B$137, 0), MATCH(BY$4&amp;BY$5, LS_current!$D$2:$BW$2&amp;LS_current!$D$3:$BW$3, 0)),SUM(VLOOKUP($A86, LS_current!$B$4:$BW$137, LS_current!D$147, FALSE), VLOOKUP($A86, LS_current!$B$4:$BW$137,LS_current!AZ$147, FALSE))/2)</f>
        <v>15.322012283762888</v>
      </c>
      <c r="BZ86" s="102">
        <f t="array" ref="BZ86">IF($BT86=0, INDEX(LS_current!$D$4:$BW$137, MATCH('Staging Table'!$A86, LS_current!$B$4:$B$137, 0), MATCH(BZ$4&amp;BZ$5, LS_current!$D$2:$BW$2&amp;LS_current!$D$3:$BW$3, 0)),SUM(VLOOKUP($A86, LS_current!$B$4:$BW$137, LS_current!E$147, FALSE), VLOOKUP($A86, LS_current!$B$4:$BW$137,LS_current!BA$147, FALSE))/2)</f>
        <v>903.03306029341547</v>
      </c>
      <c r="CA86" s="102">
        <f t="array" ref="CA86">IF($BT86=0, INDEX(LS_current!$D$4:$BW$137, MATCH('Staging Table'!$A86, LS_current!$B$4:$B$137, 0), MATCH(CA$4&amp;CA$5, LS_current!$D$2:$BW$2&amp;LS_current!$D$3:$BW$3, 0)),SUM(VLOOKUP($A86, LS_current!$B$4:$BW$137, LS_current!F$147, FALSE), VLOOKUP($A86, LS_current!$B$4:$BW$137,LS_current!BB$147, FALSE))/2)</f>
        <v>-913.37798265699166</v>
      </c>
      <c r="CB86" s="102">
        <f t="array" ref="CB86">IF($BT86=0, INDEX(LS_current!$D$4:$BW$137, MATCH('Staging Table'!$A86, LS_current!$B$4:$B$137, 0), MATCH(CB$4&amp;CB$5, LS_current!$D$2:$BW$2&amp;LS_current!$D$3:$BW$3, 0)),SUM(VLOOKUP($A86, LS_current!$B$4:$BW$137, LS_current!G$147, FALSE), VLOOKUP($A86, LS_current!$B$4:$BW$137,LS_current!BC$147, FALSE))/2)</f>
        <v>453.00015736253226</v>
      </c>
      <c r="CC86" s="102">
        <f t="array" ref="CC86">IF($BT86=0, INDEX(LS_current!$D$4:$BW$137, MATCH('Staging Table'!$A86, LS_current!$B$4:$B$137, 0), MATCH(CC$4&amp;CC$5, LS_current!$D$2:$BW$2&amp;LS_current!$D$3:$BW$3, 0)),SUM(VLOOKUP($A86, LS_current!$B$4:$BW$137, LS_current!H$147, FALSE), VLOOKUP($A86, LS_current!$B$4:$BW$137,LS_current!BD$147, FALSE))/2)</f>
        <v>2671.5437323853803</v>
      </c>
      <c r="CD86" s="102">
        <f t="array" ref="CD86">IF($BT86=0, INDEX(LS_current!$D$4:$BW$137, MATCH('Staging Table'!$A86, LS_current!$B$4:$B$137, 0), MATCH(CD$4&amp;CD$5, LS_current!$D$2:$BW$2&amp;LS_current!$D$3:$BW$3, 0)),SUM(VLOOKUP($A86, LS_current!$B$4:$BW$137, LS_current!I$147, FALSE), VLOOKUP($A86, LS_current!$B$4:$BW$137,LS_current!BE$147, FALSE))/2)</f>
        <v>6127.5620710241656</v>
      </c>
      <c r="CE86" s="102">
        <f t="array" ref="CE86">IF($BT86=0, INDEX(LS_current!$D$4:$BW$137, MATCH('Staging Table'!$A86, LS_current!$B$4:$B$137, 0), MATCH(CE$4&amp;CE$5, LS_current!$D$2:$BW$2&amp;LS_current!$D$3:$BW$3, 0)),SUM(VLOOKUP($A86, LS_current!$B$4:$BW$137, LS_current!J$147, FALSE), VLOOKUP($A86, LS_current!$B$4:$BW$137,LS_current!BF$147, FALSE))/2)</f>
        <v>197.50812748600947</v>
      </c>
      <c r="CF86" s="102">
        <f t="array" ref="CF86">IF($BT86=0, INDEX(LS_current!$D$4:$BW$137, MATCH('Staging Table'!$A86, LS_current!$B$4:$B$137, 0), MATCH(CF$4&amp;CF$5, LS_current!$D$2:$BW$2&amp;LS_current!$D$3:$BW$3, 0)),SUM(VLOOKUP($A86, LS_current!$B$4:$BW$137, LS_current!K$147, FALSE), VLOOKUP($A86, LS_current!$B$4:$BW$137,LS_current!BG$147, FALSE))/2)</f>
        <v>4679.9705677909296</v>
      </c>
      <c r="CG86" s="102">
        <f t="array" ref="CG86">IF($BT86=0, INDEX(LS_current!$D$4:$BW$137, MATCH('Staging Table'!$A86, LS_current!$B$4:$B$137, 0), MATCH(CG$4&amp;CG$5, LS_current!$D$2:$BW$2&amp;LS_current!$D$3:$BW$3, 0)),SUM(VLOOKUP($A86, LS_current!$B$4:$BW$137, LS_current!L$147, FALSE), VLOOKUP($A86, LS_current!$B$4:$BW$137,LS_current!BH$147, FALSE))/2)</f>
        <v>714.70675478778139</v>
      </c>
      <c r="CH86" s="102">
        <f t="array" ref="CH86">IF($BT86=0, INDEX(LS_current!$D$4:$BW$137, MATCH('Staging Table'!$A86, LS_current!$B$4:$B$137, 0), MATCH(CH$4&amp;CH$5, LS_current!$D$2:$BW$2&amp;LS_current!$D$3:$BW$3, 0)),SUM(VLOOKUP($A86, LS_current!$B$4:$BW$137, LS_current!M$147, FALSE), VLOOKUP($A86, LS_current!$B$4:$BW$137,LS_current!BI$147, FALSE))/2)</f>
        <v>2739.2203375550762</v>
      </c>
      <c r="CI86" s="102">
        <f t="array" ref="CI86">IF($BT86=0, INDEX(LS_current!$D$4:$BW$137, MATCH('Staging Table'!$A86, LS_current!$B$4:$B$137, 0), MATCH(CI$4&amp;CI$5, LS_current!$D$2:$BW$2&amp;LS_current!$D$3:$BW$3, 0)),SUM(VLOOKUP($A86, LS_current!$B$4:$BW$137, LS_current!N$147, FALSE), VLOOKUP($A86, LS_current!$B$4:$BW$137,LS_current!BJ$147, FALSE))/2)</f>
        <v>-530.08205009222365</v>
      </c>
      <c r="CJ86" s="102">
        <f t="array" ref="CJ86">IF($BT86=0, INDEX(LS_current!$D$4:$BW$137, MATCH('Staging Table'!$A86, LS_current!$B$4:$B$137, 0), MATCH(CJ$4&amp;CJ$5, LS_current!$D$2:$BW$2&amp;LS_current!$D$3:$BW$3, 0)),SUM(VLOOKUP($A86, LS_current!$B$4:$BW$137, LS_current!O$147, FALSE), VLOOKUP($A86, LS_current!$B$4:$BW$137,LS_current!BK$147, FALSE))/2)</f>
        <v>2741.0005326764167</v>
      </c>
      <c r="CK86" s="102">
        <f t="array" ref="CK86">IF($BT86=0, INDEX(LS_current!$D$4:$BW$137, MATCH('Staging Table'!$A86, LS_current!$B$4:$B$137, 0), MATCH(CK$4&amp;CK$5, LS_current!$D$2:$BW$2&amp;LS_current!$D$3:$BW$3, 0)),SUM(VLOOKUP($A86, LS_current!$B$4:$BW$137, LS_current!P$147, FALSE), VLOOKUP($A86, LS_current!$B$4:$BW$137,LS_current!BL$147, FALSE))/2)</f>
        <v>3267.1599897768974</v>
      </c>
      <c r="CL86" s="102">
        <f t="array" ref="CL86">IF($BT86=0, INDEX(LS_current!$D$4:$BW$137, MATCH('Staging Table'!$A86, LS_current!$B$4:$B$137, 0), MATCH(CL$4&amp;CL$5, LS_current!$D$2:$BW$2&amp;LS_current!$D$3:$BW$3, 0)),SUM(VLOOKUP($A86, LS_current!$B$4:$BW$137, LS_current!Q$147, FALSE), VLOOKUP($A86, LS_current!$B$4:$BW$137,LS_current!BM$147, FALSE))/2)</f>
        <v>2768.253716164545</v>
      </c>
      <c r="CM86" s="102">
        <f t="array" ref="CM86">IF($BT86=0, INDEX(LS_current!$D$4:$BW$137, MATCH('Staging Table'!$A86, LS_current!$B$4:$B$137, 0), MATCH(CM$4&amp;CM$5, LS_current!$D$2:$BW$2&amp;LS_current!$D$3:$BW$3, 0)),SUM(VLOOKUP($A86, LS_current!$B$4:$BW$137, LS_current!R$147, FALSE), VLOOKUP($A86, LS_current!$B$4:$BW$137,LS_current!BN$147, FALSE))/2)</f>
        <v>-3378.0748006473004</v>
      </c>
      <c r="CN86" s="102">
        <f t="array" ref="CN86">IF($BT86=0, INDEX(LS_current!$D$4:$BW$137, MATCH('Staging Table'!$A86, LS_current!$B$4:$B$137, 0), MATCH(CN$4&amp;CN$5, LS_current!$D$2:$BW$2&amp;LS_current!$D$3:$BW$3, 0)),SUM(VLOOKUP($A86, LS_current!$B$4:$BW$137, LS_current!S$147, FALSE), VLOOKUP($A86, LS_current!$B$4:$BW$137,LS_current!BO$147, FALSE))/2)</f>
        <v>-2397.2620157132405</v>
      </c>
      <c r="CO86" s="102">
        <f t="array" ref="CO86">IF($BT86=0, INDEX(LS_current!$D$4:$BW$137, MATCH('Staging Table'!$A86, LS_current!$B$4:$B$137, 0), MATCH(CO$4&amp;CO$5, LS_current!$D$2:$BW$2&amp;LS_current!$D$3:$BW$3, 0)),SUM(VLOOKUP($A86, LS_current!$B$4:$BW$137, LS_current!T$147, FALSE), VLOOKUP($A86, LS_current!$B$4:$BW$137,LS_current!BP$147, FALSE))/2)</f>
        <v>-7355.0796369869349</v>
      </c>
      <c r="CP86" s="102">
        <f t="array" ref="CP86">IF($BT86=0, INDEX(LS_current!$D$4:$BW$137, MATCH('Staging Table'!$A86, LS_current!$B$4:$B$137, 0), MATCH(CP$4&amp;CP$5, LS_current!$D$2:$BW$2&amp;LS_current!$D$3:$BW$3, 0)),SUM(VLOOKUP($A86, LS_current!$B$4:$BW$137, LS_current!U$147, FALSE), VLOOKUP($A86, LS_current!$B$4:$BW$137,LS_current!BQ$147, FALSE))/2)</f>
        <v>-3177.3629130243626</v>
      </c>
      <c r="CQ86" s="102">
        <f t="array" ref="CQ86">IF($BT86=0, INDEX(LS_current!$D$4:$BW$137, MATCH('Staging Table'!$A86, LS_current!$B$4:$B$137, 0), MATCH(CQ$4&amp;CQ$5, LS_current!$D$2:$BW$2&amp;LS_current!$D$3:$BW$3, 0)),SUM(VLOOKUP($A86, LS_current!$B$4:$BW$137, LS_current!V$147, FALSE), VLOOKUP($A86, LS_current!$B$4:$BW$137,LS_current!BR$147, FALSE))/2)</f>
        <v>-2460.067109593343</v>
      </c>
      <c r="CR86" s="102">
        <f t="array" ref="CR86">IF($BT86=0, INDEX(LS_current!$D$4:$BW$137, MATCH('Staging Table'!$A86, LS_current!$B$4:$B$137, 0), MATCH(CR$4&amp;CR$5, LS_current!$D$2:$BW$2&amp;LS_current!$D$3:$BW$3, 0)),SUM(VLOOKUP($A86, LS_current!$B$4:$BW$137, LS_current!W$147, FALSE), VLOOKUP($A86, LS_current!$B$4:$BW$137,LS_current!BS$147, FALSE))/2)</f>
        <v>412.96117300193328</v>
      </c>
      <c r="CS86" s="102">
        <f t="array" ref="CS86">IF($BT86=0, INDEX(LS_current!$D$4:$BW$137, MATCH('Staging Table'!$A86, LS_current!$B$4:$B$137, 0), MATCH(CS$4&amp;CS$5, LS_current!$D$2:$BW$2&amp;LS_current!$D$3:$BW$3, 0)),SUM(VLOOKUP($A86, LS_current!$B$4:$BW$137, LS_current!X$147, FALSE), VLOOKUP($A86, LS_current!$B$4:$BW$137,LS_current!BT$147, FALSE))/2)</f>
        <v>-3760.0884768750038</v>
      </c>
      <c r="CT86" s="102">
        <f t="array" ref="CT86">IF($BT86=0, INDEX(LS_current!$D$4:$BW$137, MATCH('Staging Table'!$A86, LS_current!$B$4:$B$137, 0), MATCH(CT$4&amp;CT$5, LS_current!$D$2:$BW$2&amp;LS_current!$D$3:$BW$3, 0)),SUM(VLOOKUP($A86, LS_current!$B$4:$BW$137, LS_current!Y$147, FALSE), VLOOKUP($A86, LS_current!$B$4:$BW$137,LS_current!BU$147, FALSE))/2)</f>
        <v>-512.71140534127335</v>
      </c>
      <c r="CU86" s="102">
        <f t="array" ref="CU86">IF($BT86=0, INDEX(LS_current!$D$4:$BW$137, MATCH('Staging Table'!$A86, LS_current!$B$4:$B$137, 0), MATCH(CU$4&amp;CU$5, LS_current!$D$2:$BW$2&amp;LS_current!$D$3:$BW$3, 0)),SUM(VLOOKUP($A86, LS_current!$B$4:$BW$137, LS_current!Z$147, FALSE), VLOOKUP($A86, LS_current!$B$4:$BW$137,LS_current!BV$147, FALSE))/2)</f>
        <v>-2327.1875190360297</v>
      </c>
      <c r="CV86" s="102">
        <f t="array" ref="CV86">IF($BT86=0, INDEX(LS_current!$D$4:$BW$137, MATCH('Staging Table'!$A86, LS_current!$B$4:$B$137, 0), MATCH(CV$4&amp;CV$5, LS_current!$D$2:$BW$2&amp;LS_current!$D$3:$BW$3, 0)),SUM(VLOOKUP($A86, LS_current!$B$4:$BW$137, LS_current!AA$147, FALSE), VLOOKUP($A86, LS_current!$B$4:$BW$137,LS_current!BW$147, FALSE))/2)</f>
        <v>-880.26325746209841</v>
      </c>
      <c r="CW86" s="103">
        <f t="array" ref="CW86">INDEX(Demand_current!$D$4:$BW$137, MATCH($A86, Demand_current!$B$4:$B$137, 0), MATCH(CW$4&amp;CW$5,Demand_current!$D$2:$BW$2&amp;Demand_current!$D$3:$BW$3, 0))/1000</f>
        <v>22.386175925925926</v>
      </c>
      <c r="CX86" s="103">
        <f t="array" ref="CX86">INDEX(Demand_current!$D$4:$BW$137, MATCH($A86, Demand_current!$B$4:$B$137, 0), MATCH(CX$4&amp;CX$5,Demand_current!$D$2:$BW$2&amp;Demand_current!$D$3:$BW$3, 0))/1000</f>
        <v>15.423830729166667</v>
      </c>
      <c r="CY86" s="103">
        <f t="array" ref="CY86">INDEX(Demand_current!$D$4:$BW$137, MATCH($A86, Demand_current!$B$4:$B$137, 0), MATCH(CY$4&amp;CY$5,Demand_current!$D$2:$BW$2&amp;Demand_current!$D$3:$BW$3, 0))/1000</f>
        <v>28.974641826923076</v>
      </c>
      <c r="CZ86" s="103">
        <f t="array" ref="CZ86">INDEX(Demand_current!$D$4:$BW$137, MATCH($A86, Demand_current!$B$4:$B$137, 0), MATCH(CZ$4&amp;CZ$5,Demand_current!$D$2:$BW$2&amp;Demand_current!$D$3:$BW$3, 0))/1000</f>
        <v>31.496237980769223</v>
      </c>
      <c r="DA86" s="103">
        <f t="array" ref="DA86">INDEX(Demand_current!$D$4:$BW$137, MATCH($A86, Demand_current!$B$4:$B$137, 0), MATCH(DA$4&amp;DA$5,Demand_current!$D$2:$BW$2&amp;Demand_current!$D$3:$BW$3, 0))/1000</f>
        <v>20.006445312499988</v>
      </c>
      <c r="DB86" s="103">
        <f t="array" ref="DB86">INDEX(Demand_current!$D$4:$BW$137, MATCH($A86, Demand_current!$B$4:$B$137, 0), MATCH(DB$4&amp;DB$5,Demand_current!$D$2:$BW$2&amp;Demand_current!$D$3:$BW$3, 0))/1000</f>
        <v>23.120860576923072</v>
      </c>
      <c r="DC86" s="103">
        <f t="array" ref="DC86">INDEX(Demand_current!$D$4:$BW$137, MATCH($A86, Demand_current!$B$4:$B$137, 0), MATCH(DC$4&amp;DC$5,Demand_current!$D$2:$BW$2&amp;Demand_current!$D$3:$BW$3, 0))/1000</f>
        <v>16.176122596153846</v>
      </c>
      <c r="DD86" s="103">
        <f t="array" ref="DD86">INDEX(Demand_current!$D$4:$BW$137, MATCH($A86, Demand_current!$B$4:$B$137, 0), MATCH(DD$4&amp;DD$5,Demand_current!$D$2:$BW$2&amp;Demand_current!$D$3:$BW$3, 0))/1000</f>
        <v>5.2683275000000016</v>
      </c>
      <c r="DE86" s="103">
        <f t="array" ref="DE86">INDEX(Demand_current!$D$4:$BW$137, MATCH($A86, Demand_current!$B$4:$B$137, 0), MATCH(DE$4&amp;DE$5,Demand_current!$D$2:$BW$2&amp;Demand_current!$D$3:$BW$3, 0))/1000</f>
        <v>8.4387427884615498</v>
      </c>
      <c r="DF86" s="103">
        <f t="array" ref="DF86">INDEX(Demand_current!$D$4:$BW$137, MATCH($A86, Demand_current!$B$4:$B$137, 0), MATCH(DF$4&amp;DF$5,Demand_current!$D$2:$BW$2&amp;Demand_current!$D$3:$BW$3, 0))/1000</f>
        <v>8.0121250000000046</v>
      </c>
      <c r="DG86" s="103">
        <f t="array" ref="DG86">INDEX(Demand_current!$D$4:$BW$137, MATCH($A86, Demand_current!$B$4:$B$137, 0), MATCH(DG$4&amp;DG$5,Demand_current!$D$2:$BW$2&amp;Demand_current!$D$3:$BW$3, 0))/1000</f>
        <v>8.7227500000000084</v>
      </c>
      <c r="DH86" s="103">
        <f t="array" ref="DH86">INDEX(Demand_current!$D$4:$BW$137, MATCH($A86, Demand_current!$B$4:$B$137, 0), MATCH(DH$4&amp;DH$5,Demand_current!$D$2:$BW$2&amp;Demand_current!$D$3:$BW$3, 0))/1000</f>
        <v>6.3623825000000007</v>
      </c>
      <c r="DI86" s="102">
        <f>$BS86*(VLOOKUP(DI$4, Rates_current!$H$6:$R$41, 10, FALSE)+VLOOKUP(DI$4, Rates_current!$H$6:$R$41, 11, FALSE))</f>
        <v>27445.436927422823</v>
      </c>
      <c r="DJ86" s="102">
        <f>$BS86*(VLOOKUP(DJ$4, Rates_current!$H$6:$R$41, 10, FALSE)+VLOOKUP(DJ$4, Rates_current!$H$6:$R$41, 11, FALSE))</f>
        <v>35088.08782529446</v>
      </c>
      <c r="DK86" s="102">
        <f>$BS86*(VLOOKUP(DK$4, Rates_current!$H$6:$R$41, 10, FALSE)+VLOOKUP(DK$4, Rates_current!$H$6:$R$41, 11, FALSE))</f>
        <v>39892.22119659045</v>
      </c>
      <c r="DL86" s="102">
        <f>$BS86*(VLOOKUP(DL$4, Rates_current!$H$6:$R$41, 10, FALSE)+VLOOKUP(DL$4, Rates_current!$H$6:$R$41, 11, FALSE))</f>
        <v>42089.407304723063</v>
      </c>
      <c r="DM86" s="102">
        <f>$BS86*(VLOOKUP(DM$4, Rates_current!$H$6:$R$41, 10, FALSE)+VLOOKUP(DM$4, Rates_current!$H$6:$R$41, 11, FALSE))</f>
        <v>33541.45890765715</v>
      </c>
      <c r="DN86" s="102">
        <f>$BS86*(VLOOKUP(DN$4, Rates_current!$H$6:$R$41, 10, FALSE)+VLOOKUP(DN$4, Rates_current!$H$6:$R$41, 11, FALSE))</f>
        <v>36667.702517415804</v>
      </c>
      <c r="DO86" s="102">
        <f>$BS86*(VLOOKUP(DO$4, Rates_current!$H$6:$R$41, 10, FALSE)+VLOOKUP(DO$4, Rates_current!$H$6:$R$41, 11, FALSE))</f>
        <v>28417.838294058565</v>
      </c>
      <c r="DP86" s="102">
        <f>$BS86*(VLOOKUP(DP$4, Rates_current!$H$6:$R$41, 10, FALSE)+VLOOKUP(DP$4, Rates_current!$H$6:$R$41, 11, FALSE))</f>
        <v>36777.361816360535</v>
      </c>
      <c r="DQ86" s="102">
        <f>$BS86*(VLOOKUP(DQ$4, Rates_current!$H$6:$R$41, 10, FALSE)+VLOOKUP(DQ$4, Rates_current!$H$6:$R$41, 11, FALSE))</f>
        <v>37562.665550011297</v>
      </c>
      <c r="DR86" s="102">
        <f>$BS86*(VLOOKUP(DR$4, Rates_current!$H$6:$R$41, 10, FALSE)+VLOOKUP(DR$4, Rates_current!$H$6:$R$41, 11, FALSE))</f>
        <v>33434.020936591405</v>
      </c>
      <c r="DS86" s="102">
        <f>$BS86*(VLOOKUP(DS$4, Rates_current!$H$6:$R$41, 10, FALSE)+VLOOKUP(DS$4, Rates_current!$H$6:$R$41, 11, FALSE))</f>
        <v>34297.173882216281</v>
      </c>
      <c r="DT86" s="102">
        <f>$BS86*(VLOOKUP(DT$4, Rates_current!$H$6:$R$41, 10, FALSE)+VLOOKUP(DT$4, Rates_current!$H$6:$R$41, 11, FALSE))</f>
        <v>26635.866776498129</v>
      </c>
      <c r="DU86" s="261">
        <f>IF(D86=0,IF(C86=0,MAX(0,DW86 - (VLOOKUP($A86,TOCA_current!$A$2:$AV$136,MATCH("RHWM "&amp;Init!$D$1,TOCA_current!$A$2:$AV$2,0),FALSE)*$BS$2)), 0),0)</f>
        <v>0</v>
      </c>
      <c r="DV86" s="262">
        <f>MIN(VLOOKUP($A86,TOCA_current!$A$2:$AV$136,MATCH("TRL - NLSL - Existing Resource "&amp;$BS$1,TOCA_current!$A$2:$AV$2,0),FALSE)*$BS$2, VLOOKUP($A86,TOCA_current!$A$2:$AV$136,MATCH("RHWM "&amp;Init!$D$1,TOCA_current!$A$2:$AV$2,0),FALSE)*$BS$2)</f>
        <v>411851.4</v>
      </c>
      <c r="DW86" s="262">
        <f>SUM(BY86:CV86)+(BS86*RT1SC!$C$4*$BS$2)</f>
        <v>411848.95131136809</v>
      </c>
      <c r="DX86" s="262">
        <f>VLOOKUP($A86,TOCA_current!$A$2:$AV$136,MATCH("Above RHWM Not Served with LS "&amp;$BS$1,TOCA_current!$A$2:$AV$2,0),FALSE)*$BS$2</f>
        <v>155682.71999999997</v>
      </c>
      <c r="DY86" s="262">
        <f t="shared" si="43"/>
        <v>-2.4486886319355108</v>
      </c>
      <c r="DZ86" s="262">
        <f>(VLOOKUP($A86,TOCA_current!$A$2:$AV$136,MATCH("RHWM "&amp;Init!$D$1,TOCA_current!$A$2:$AV$2,0),FALSE)*$BS$2) - $DV86</f>
        <v>0</v>
      </c>
      <c r="EA86" s="262">
        <f t="shared" si="44"/>
        <v>0</v>
      </c>
      <c r="EB86" s="262">
        <f t="shared" si="45"/>
        <v>0</v>
      </c>
      <c r="EC86" s="262">
        <f t="shared" si="46"/>
        <v>0</v>
      </c>
      <c r="ED86" s="262">
        <f t="shared" si="47"/>
        <v>0</v>
      </c>
    </row>
    <row r="87" spans="1:134">
      <c r="A87" s="2">
        <v>10258</v>
      </c>
      <c r="B87" s="3" t="s">
        <v>89</v>
      </c>
      <c r="C87">
        <f>VLOOKUP(A87, TOCA_current!$A$3:$D$136, 4, FALSE)</f>
        <v>0</v>
      </c>
      <c r="D87">
        <v>0</v>
      </c>
      <c r="E87" s="84">
        <f>VLOOKUP($A87,TOCA_previous!$A$2:$AJ$136,MATCH(E$4,TOCA_previous!$A$2:$AJ$2,0),FALSE)</f>
        <v>5.4942999999999997E-3</v>
      </c>
      <c r="F87" s="85">
        <f>VLOOKUP($A87,TOCA_previous!$A$2:$AJ$136,MATCH(F$4,TOCA_previous!$A$2:$AJ$2,0),FALSE)</f>
        <v>5.4942999999999997E-3</v>
      </c>
      <c r="G87" s="85">
        <f t="shared" si="33"/>
        <v>0</v>
      </c>
      <c r="H87" s="85">
        <f>VLOOKUP($A87,TOCA_previous!$A$2:$AJ$136,MATCH(H$4,TOCA_previous!$A$2:$AJ$2,0),FALSE)</f>
        <v>5.4293581365935928E-2</v>
      </c>
      <c r="I87" s="85">
        <f t="shared" si="34"/>
        <v>0</v>
      </c>
      <c r="J87" s="85">
        <f t="shared" si="35"/>
        <v>0</v>
      </c>
      <c r="K87" s="101">
        <f>VLOOKUP(A87, IRD!$A$5:$C$138, 3, FALSE)</f>
        <v>18387.022000000001</v>
      </c>
      <c r="L87" s="102">
        <f t="array" ref="L87">IF($G87=0, INDEX(LS_previous!$D$4:$AY$137, MATCH('Staging Table'!$A87, LS_previous!$B$4:$B$137, 0), MATCH(L$4&amp;L$5, LS_previous!$D$2:$AY$2&amp;LS_previous!$D$3:$AY$3, 0)),SUM(VLOOKUP($A87, LS_previous!$B$4:$AY$137, LS_previous!D$148, FALSE), VLOOKUP('Staging Table'!$A87, LS_previous!$B$4:$AY$137,LS_previous!AB$148, FALSE))/2)</f>
        <v>3934.3117330052009</v>
      </c>
      <c r="M87" s="102">
        <f t="array" ref="M87">IF($G87=0, INDEX(LS_previous!$D$4:$AY$137, MATCH('Staging Table'!$A87, LS_previous!$B$4:$B$137, 0), MATCH(M$4&amp;M$5, LS_previous!$D$2:$AY$2&amp;LS_previous!$D$3:$AY$3, 0)),SUM(VLOOKUP($A87, LS_previous!$B$4:$AY$137, LS_previous!E$148, FALSE), VLOOKUP('Staging Table'!$A87, LS_previous!$B$4:$AY$137,LS_previous!AC$148, FALSE))/2)</f>
        <v>2129.5487601853511</v>
      </c>
      <c r="N87" s="102">
        <f t="array" ref="N87">IF($G87=0, INDEX(LS_previous!$D$4:$AY$137, MATCH('Staging Table'!$A87, LS_previous!$B$4:$B$137, 0), MATCH(N$4&amp;N$5, LS_previous!$D$2:$AY$2&amp;LS_previous!$D$3:$AY$3, 0)),SUM(VLOOKUP($A87, LS_previous!$B$4:$AY$137, LS_previous!F$148, FALSE), VLOOKUP('Staging Table'!$A87, LS_previous!$B$4:$AY$137,LS_previous!AD$148, FALSE))/2)</f>
        <v>5136.6282737696019</v>
      </c>
      <c r="O87" s="102">
        <f t="array" ref="O87">IF($G87=0, INDEX(LS_previous!$D$4:$AY$137, MATCH('Staging Table'!$A87, LS_previous!$B$4:$B$137, 0), MATCH(O$4&amp;O$5, LS_previous!$D$2:$AY$2&amp;LS_previous!$D$3:$AY$3, 0)),SUM(VLOOKUP($A87, LS_previous!$B$4:$AY$137, LS_previous!G$148, FALSE), VLOOKUP('Staging Table'!$A87, LS_previous!$B$4:$AY$137,LS_previous!AE$148, FALSE))/2)</f>
        <v>5231.6830376967027</v>
      </c>
      <c r="P87" s="102">
        <f t="array" ref="P87">IF($G87=0, INDEX(LS_previous!$D$4:$AY$137, MATCH('Staging Table'!$A87, LS_previous!$B$4:$B$137, 0), MATCH(P$4&amp;P$5, LS_previous!$D$2:$AY$2&amp;LS_previous!$D$3:$AY$3, 0)),SUM(VLOOKUP($A87, LS_previous!$B$4:$AY$137, LS_previous!H$148, FALSE), VLOOKUP('Staging Table'!$A87, LS_previous!$B$4:$AY$137,LS_previous!AF$148, FALSE))/2)</f>
        <v>9535.8792042123023</v>
      </c>
      <c r="Q87" s="102">
        <f t="array" ref="Q87">IF($G87=0, INDEX(LS_previous!$D$4:$AY$137, MATCH('Staging Table'!$A87, LS_previous!$B$4:$B$137, 0), MATCH(Q$4&amp;Q$5, LS_previous!$D$2:$AY$2&amp;LS_previous!$D$3:$AY$3, 0)),SUM(VLOOKUP($A87, LS_previous!$B$4:$AY$137, LS_previous!I$148, FALSE), VLOOKUP('Staging Table'!$A87, LS_previous!$B$4:$AY$137,LS_previous!AG$148, FALSE))/2)</f>
        <v>8439.4508360671989</v>
      </c>
      <c r="R87" s="102">
        <f t="array" ref="R87">IF($G87=0, INDEX(LS_previous!$D$4:$AY$137, MATCH('Staging Table'!$A87, LS_previous!$B$4:$B$137, 0), MATCH(R$4&amp;R$5, LS_previous!$D$2:$AY$2&amp;LS_previous!$D$3:$AY$3, 0)),SUM(VLOOKUP($A87, LS_previous!$B$4:$AY$137, LS_previous!J$148, FALSE), VLOOKUP('Staging Table'!$A87, LS_previous!$B$4:$AY$137,LS_previous!AH$148, FALSE))/2)</f>
        <v>6110.442010275503</v>
      </c>
      <c r="S87" s="102">
        <f t="array" ref="S87">IF($G87=0, INDEX(LS_previous!$D$4:$AY$137, MATCH('Staging Table'!$A87, LS_previous!$B$4:$B$137, 0), MATCH(S$4&amp;S$5, LS_previous!$D$2:$AY$2&amp;LS_previous!$D$3:$AY$3, 0)),SUM(VLOOKUP($A87, LS_previous!$B$4:$AY$137, LS_previous!K$148, FALSE), VLOOKUP('Staging Table'!$A87, LS_previous!$B$4:$AY$137,LS_previous!AI$148, FALSE))/2)</f>
        <v>7346.1032272652992</v>
      </c>
      <c r="T87" s="102">
        <f t="array" ref="T87">IF($G87=0, INDEX(LS_previous!$D$4:$AY$137, MATCH('Staging Table'!$A87, LS_previous!$B$4:$B$137, 0), MATCH(T$4&amp;T$5, LS_previous!$D$2:$AY$2&amp;LS_previous!$D$3:$AY$3, 0)),SUM(VLOOKUP($A87, LS_previous!$B$4:$AY$137, LS_previous!L$148, FALSE), VLOOKUP('Staging Table'!$A87, LS_previous!$B$4:$AY$137,LS_previous!AJ$148, FALSE))/2)</f>
        <v>10900.031642010304</v>
      </c>
      <c r="U87" s="102">
        <f t="array" ref="U87">IF($G87=0, INDEX(LS_previous!$D$4:$AY$137, MATCH('Staging Table'!$A87, LS_previous!$B$4:$B$137, 0), MATCH(U$4&amp;U$5, LS_previous!$D$2:$AY$2&amp;LS_previous!$D$3:$AY$3, 0)),SUM(VLOOKUP($A87, LS_previous!$B$4:$AY$137, LS_previous!M$148, FALSE), VLOOKUP('Staging Table'!$A87, LS_previous!$B$4:$AY$137,LS_previous!AK$148, FALSE))/2)</f>
        <v>10172.3956666663</v>
      </c>
      <c r="V87" s="102">
        <f t="array" ref="V87">IF($G87=0, INDEX(LS_previous!$D$4:$AY$137, MATCH('Staging Table'!$A87, LS_previous!$B$4:$B$137, 0), MATCH(V$4&amp;V$5, LS_previous!$D$2:$AY$2&amp;LS_previous!$D$3:$AY$3, 0)),SUM(VLOOKUP($A87, LS_previous!$B$4:$AY$137, LS_previous!N$148, FALSE), VLOOKUP('Staging Table'!$A87, LS_previous!$B$4:$AY$137,LS_previous!AL$148, FALSE))/2)</f>
        <v>6141.5604174441032</v>
      </c>
      <c r="W87" s="102">
        <f t="array" ref="W87">IF($G87=0, INDEX(LS_previous!$D$4:$AY$137, MATCH('Staging Table'!$A87, LS_previous!$B$4:$B$137, 0), MATCH(W$4&amp;W$5, LS_previous!$D$2:$AY$2&amp;LS_previous!$D$3:$AY$3, 0)),SUM(VLOOKUP($A87, LS_previous!$B$4:$AY$137, LS_previous!O$148, FALSE), VLOOKUP('Staging Table'!$A87, LS_previous!$B$4:$AY$137,LS_previous!AM$148, FALSE))/2)</f>
        <v>5187.6028251346015</v>
      </c>
      <c r="X87" s="102">
        <f t="array" ref="X87">IF($G87=0, INDEX(LS_previous!$D$4:$AY$137, MATCH('Staging Table'!$A87, LS_previous!$B$4:$B$137, 0), MATCH(X$4&amp;X$5, LS_previous!$D$2:$AY$2&amp;LS_previous!$D$3:$AY$3, 0)),SUM(VLOOKUP($A87, LS_previous!$B$4:$AY$137, LS_previous!P$148, FALSE), VLOOKUP('Staging Table'!$A87, LS_previous!$B$4:$AY$137,LS_previous!AN$148, FALSE))/2)</f>
        <v>4012.0679480817525</v>
      </c>
      <c r="Y87" s="102">
        <f t="array" ref="Y87">IF($G87=0, INDEX(LS_previous!$D$4:$AY$137, MATCH('Staging Table'!$A87, LS_previous!$B$4:$B$137, 0), MATCH(Y$4&amp;Y$5, LS_previous!$D$2:$AY$2&amp;LS_previous!$D$3:$AY$3, 0)),SUM(VLOOKUP($A87, LS_previous!$B$4:$AY$137, LS_previous!Q$148, FALSE), VLOOKUP('Staging Table'!$A87, LS_previous!$B$4:$AY$137,LS_previous!AO$148, FALSE))/2)</f>
        <v>3227.3561771069762</v>
      </c>
      <c r="Z87" s="102">
        <f t="array" ref="Z87">IF($G87=0, INDEX(LS_previous!$D$4:$AY$137, MATCH('Staging Table'!$A87, LS_previous!$B$4:$B$137, 0), MATCH(Z$4&amp;Z$5, LS_previous!$D$2:$AY$2&amp;LS_previous!$D$3:$AY$3, 0)),SUM(VLOOKUP($A87, LS_previous!$B$4:$AY$137, LS_previous!R$148, FALSE), VLOOKUP('Staging Table'!$A87, LS_previous!$B$4:$AY$137,LS_previous!AP$148, FALSE))/2)</f>
        <v>-3043.3743079663982</v>
      </c>
      <c r="AA87" s="102">
        <f t="array" ref="AA87">IF($G87=0, INDEX(LS_previous!$D$4:$AY$137, MATCH('Staging Table'!$A87, LS_previous!$B$4:$B$137, 0), MATCH(AA$4&amp;AA$5, LS_previous!$D$2:$AY$2&amp;LS_previous!$D$3:$AY$3, 0)),SUM(VLOOKUP($A87, LS_previous!$B$4:$AY$137, LS_previous!S$148, FALSE), VLOOKUP('Staging Table'!$A87, LS_previous!$B$4:$AY$137,LS_previous!AQ$148, FALSE))/2)</f>
        <v>-1387.6510775465467</v>
      </c>
      <c r="AB87" s="102">
        <f t="array" ref="AB87">IF($G87=0, INDEX(LS_previous!$D$4:$AY$137, MATCH('Staging Table'!$A87, LS_previous!$B$4:$B$137, 0), MATCH(AB$4&amp;AB$5, LS_previous!$D$2:$AY$2&amp;LS_previous!$D$3:$AY$3, 0)),SUM(VLOOKUP($A87, LS_previous!$B$4:$AY$137, LS_previous!T$148, FALSE), VLOOKUP('Staging Table'!$A87, LS_previous!$B$4:$AY$137,LS_previous!AR$148, FALSE))/2)</f>
        <v>-4632.5765478217945</v>
      </c>
      <c r="AC87" s="102">
        <f t="array" ref="AC87">IF($G87=0, INDEX(LS_previous!$D$4:$AY$137, MATCH('Staging Table'!$A87, LS_previous!$B$4:$B$137, 0), MATCH(AC$4&amp;AC$5, LS_previous!$D$2:$AY$2&amp;LS_previous!$D$3:$AY$3, 0)),SUM(VLOOKUP($A87, LS_previous!$B$4:$AY$137, LS_previous!U$148, FALSE), VLOOKUP('Staging Table'!$A87, LS_previous!$B$4:$AY$137,LS_previous!AS$148, FALSE))/2)</f>
        <v>-2959.5889319393482</v>
      </c>
      <c r="AD87" s="102">
        <f t="array" ref="AD87">IF($G87=0, INDEX(LS_previous!$D$4:$AY$137, MATCH('Staging Table'!$A87, LS_previous!$B$4:$B$137, 0), MATCH(AD$4&amp;AD$5, LS_previous!$D$2:$AY$2&amp;LS_previous!$D$3:$AY$3, 0)),SUM(VLOOKUP($A87, LS_previous!$B$4:$AY$137, LS_previous!V$148, FALSE), VLOOKUP('Staging Table'!$A87, LS_previous!$B$4:$AY$137,LS_previous!AT$148, FALSE))/2)</f>
        <v>5189.5613790548014</v>
      </c>
      <c r="AE87" s="102">
        <f t="array" ref="AE87">IF($G87=0, INDEX(LS_previous!$D$4:$AY$137, MATCH('Staging Table'!$A87, LS_previous!$B$4:$B$137, 0), MATCH(AE$4&amp;AE$5, LS_previous!$D$2:$AY$2&amp;LS_previous!$D$3:$AY$3, 0)),SUM(VLOOKUP($A87, LS_previous!$B$4:$AY$137, LS_previous!W$148, FALSE), VLOOKUP('Staging Table'!$A87, LS_previous!$B$4:$AY$137,LS_previous!AU$148, FALSE))/2)</f>
        <v>4104.2434677267538</v>
      </c>
      <c r="AF87" s="102">
        <f t="array" ref="AF87">IF($G87=0, INDEX(LS_previous!$D$4:$AY$137, MATCH('Staging Table'!$A87, LS_previous!$B$4:$B$137, 0), MATCH(AF$4&amp;AF$5, LS_previous!$D$2:$AY$2&amp;LS_previous!$D$3:$AY$3, 0)),SUM(VLOOKUP($A87, LS_previous!$B$4:$AY$137, LS_previous!X$148, FALSE), VLOOKUP('Staging Table'!$A87, LS_previous!$B$4:$AY$137,LS_previous!AV$148, FALSE))/2)</f>
        <v>4674.9823107275515</v>
      </c>
      <c r="AG87" s="102">
        <f t="array" ref="AG87">IF($G87=0, INDEX(LS_previous!$D$4:$AY$137, MATCH('Staging Table'!$A87, LS_previous!$B$4:$B$137, 0), MATCH(AG$4&amp;AG$5, LS_previous!$D$2:$AY$2&amp;LS_previous!$D$3:$AY$3, 0)),SUM(VLOOKUP($A87, LS_previous!$B$4:$AY$137, LS_previous!Y$148, FALSE), VLOOKUP('Staging Table'!$A87, LS_previous!$B$4:$AY$137,LS_previous!AW$148, FALSE))/2)</f>
        <v>2940.7220678801477</v>
      </c>
      <c r="AH87" s="102">
        <f t="array" ref="AH87">IF($G87=0, INDEX(LS_previous!$D$4:$AY$137, MATCH('Staging Table'!$A87, LS_previous!$B$4:$B$137, 0), MATCH(AH$4&amp;AH$5, LS_previous!$D$2:$AY$2&amp;LS_previous!$D$3:$AY$3, 0)),SUM(VLOOKUP($A87, LS_previous!$B$4:$AY$137, LS_previous!Z$148, FALSE), VLOOKUP('Staging Table'!$A87, LS_previous!$B$4:$AY$137,LS_previous!AX$148, FALSE))/2)</f>
        <v>-204.07235883820067</v>
      </c>
      <c r="AI87" s="102">
        <f t="array" ref="AI87">IF($G87=0, INDEX(LS_previous!$D$4:$AY$137, MATCH('Staging Table'!$A87, LS_previous!$B$4:$B$137, 0), MATCH(AI$4&amp;AI$5, LS_previous!$D$2:$AY$2&amp;LS_previous!$D$3:$AY$3, 0)),SUM(VLOOKUP($A87, LS_previous!$B$4:$AY$137, LS_previous!AA$148, FALSE), VLOOKUP('Staging Table'!$A87, LS_previous!$B$4:$AY$137,LS_previous!AY$148, FALSE))/2)</f>
        <v>-92.311868107199189</v>
      </c>
      <c r="AJ87" s="103">
        <f t="array" ref="AJ87">INDEX(Demand_previous!$D$4:$AY$137, MATCH('Staging Table'!$A87, Demand_previous!$B$4:$B$137, 0), MATCH(AJ$4&amp;AJ$5,Demand_previous!$D$2:$AY$2&amp;Demand_previous!$D$3:$AY$3, 0))/1000</f>
        <v>26.861449519230774</v>
      </c>
      <c r="AK87" s="103">
        <f t="array" ref="AK87">INDEX(Demand_previous!$D$4:$AY$137, MATCH('Staging Table'!$A87, Demand_previous!$B$4:$B$137, 0), MATCH(AK$4&amp;AK$5,Demand_previous!$D$2:$AY$2&amp;Demand_previous!$D$3:$AY$3, 0))/1000</f>
        <v>3.2812474999999992</v>
      </c>
      <c r="AL87" s="103">
        <f t="array" ref="AL87">INDEX(Demand_previous!$D$4:$AY$137, MATCH('Staging Table'!$A87, Demand_previous!$B$4:$B$137, 0), MATCH(AL$4&amp;AL$5,Demand_previous!$D$2:$AY$2&amp;Demand_previous!$D$3:$AY$3, 0))/1000</f>
        <v>17.219290000000015</v>
      </c>
      <c r="AM87" s="103">
        <f t="array" ref="AM87">INDEX(Demand_previous!$D$4:$AY$137, MATCH('Staging Table'!$A87, Demand_previous!$B$4:$B$137, 0), MATCH(AM$4&amp;AM$5,Demand_previous!$D$2:$AY$2&amp;Demand_previous!$D$3:$AY$3, 0))/1000</f>
        <v>7.70268028846154</v>
      </c>
      <c r="AN87" s="103">
        <f t="array" ref="AN87">INDEX(Demand_previous!$D$4:$AY$137, MATCH('Staging Table'!$A87, Demand_previous!$B$4:$B$137, 0), MATCH(AN$4&amp;AN$5,Demand_previous!$D$2:$AY$2&amp;Demand_previous!$D$3:$AY$3, 0))/1000</f>
        <v>23.302502500000003</v>
      </c>
      <c r="AO87" s="103">
        <f t="array" ref="AO87">INDEX(Demand_previous!$D$4:$AY$137, MATCH('Staging Table'!$A87, Demand_previous!$B$4:$B$137, 0), MATCH(AO$4&amp;AO$5,Demand_previous!$D$2:$AY$2&amp;Demand_previous!$D$3:$AY$3, 0))/1000</f>
        <v>11.536185096153838</v>
      </c>
      <c r="AP87" s="103">
        <f t="array" ref="AP87">INDEX(Demand_previous!$D$4:$AY$137, MATCH('Staging Table'!$A87, Demand_previous!$B$4:$B$137, 0), MATCH(AP$4&amp;AP$5,Demand_previous!$D$2:$AY$2&amp;Demand_previous!$D$3:$AY$3, 0))/1000</f>
        <v>11.565382211538463</v>
      </c>
      <c r="AQ87" s="103">
        <f t="array" ref="AQ87">INDEX(Demand_previous!$D$4:$AY$137, MATCH('Staging Table'!$A87, Demand_previous!$B$4:$B$137, 0), MATCH(AQ$4&amp;AQ$5,Demand_previous!$D$2:$AY$2&amp;Demand_previous!$D$3:$AY$3, 0))/1000</f>
        <v>1.8299447115384631</v>
      </c>
      <c r="AR87" s="103">
        <f t="array" ref="AR87">INDEX(Demand_previous!$D$4:$AY$137, MATCH('Staging Table'!$A87, Demand_previous!$B$4:$B$137, 0), MATCH(AR$4&amp;AR$5,Demand_previous!$D$2:$AY$2&amp;Demand_previous!$D$3:$AY$3, 0))/1000</f>
        <v>2.7505624999999929</v>
      </c>
      <c r="AS87" s="103">
        <f t="array" ref="AS87">INDEX(Demand_previous!$D$4:$AY$137, MATCH('Staging Table'!$A87, Demand_previous!$B$4:$B$137, 0), MATCH(AS$4&amp;AS$5,Demand_previous!$D$2:$AY$2&amp;Demand_previous!$D$3:$AY$3, 0))/1000</f>
        <v>7.886495192307688</v>
      </c>
      <c r="AT87" s="103">
        <f t="array" ref="AT87">INDEX(Demand_previous!$D$4:$AY$137, MATCH('Staging Table'!$A87, Demand_previous!$B$4:$B$137, 0), MATCH(AT$4&amp;AT$5,Demand_previous!$D$2:$AY$2&amp;Demand_previous!$D$3:$AY$3, 0))/1000</f>
        <v>12.017152777777781</v>
      </c>
      <c r="AU87" s="103">
        <f t="array" ref="AU87">INDEX(Demand_previous!$D$4:$AY$137, MATCH('Staging Table'!$A87, Demand_previous!$B$4:$B$137, 0), MATCH(AU$4&amp;AU$5,Demand_previous!$D$2:$AY$2&amp;Demand_previous!$D$3:$AY$3, 0))/1000</f>
        <v>7.3734817708333384</v>
      </c>
      <c r="AV87" s="102">
        <f>$F87*(VLOOKUP(AV$4, Rates_previous!$G$6:$Q$29, 10, FALSE)+VLOOKUP(AV$4, Rates_previous!$G$6:$Q$29, 11, FALSE))</f>
        <v>23179.37350680945</v>
      </c>
      <c r="AW87" s="102">
        <f>$F87*(VLOOKUP(AW$4, Rates_previous!$G$6:$Q$29, 10, FALSE)+VLOOKUP(AW$4, Rates_previous!$G$6:$Q$29, 11, FALSE))</f>
        <v>29561.344688533703</v>
      </c>
      <c r="AX87" s="102">
        <f>$F87*(VLOOKUP(AX$4, Rates_previous!$G$6:$Q$29, 10, FALSE)+VLOOKUP(AX$4, Rates_previous!$G$6:$Q$29, 11, FALSE))</f>
        <v>31902.5399597205</v>
      </c>
      <c r="AY87" s="102">
        <f>$F87*(VLOOKUP(AY$4, Rates_previous!$G$6:$Q$29, 10, FALSE)+VLOOKUP(AY$4, Rates_previous!$G$6:$Q$29, 11, FALSE))</f>
        <v>33151.670762459195</v>
      </c>
      <c r="AZ87" s="102">
        <f>$F87*(VLOOKUP(AZ$4, Rates_previous!$G$6:$Q$29, 10, FALSE)+VLOOKUP(AZ$4, Rates_previous!$G$6:$Q$29, 11, FALSE))</f>
        <v>28514.855691323395</v>
      </c>
      <c r="BA87" s="102">
        <f>$F87*(VLOOKUP(BA$4, Rates_previous!$G$6:$Q$29, 10, FALSE)+VLOOKUP(BA$4, Rates_previous!$G$6:$Q$29, 11, FALSE))</f>
        <v>31132.576757421299</v>
      </c>
      <c r="BB87" s="102">
        <f>$F87*(VLOOKUP(BB$4, Rates_previous!$G$6:$Q$29, 10, FALSE)+VLOOKUP(BB$4, Rates_previous!$G$6:$Q$29, 11, FALSE))</f>
        <v>24573.922874811273</v>
      </c>
      <c r="BC87" s="102">
        <f>$F87*(VLOOKUP(BC$4, Rates_previous!$G$6:$Q$29, 10, FALSE)+VLOOKUP(BC$4, Rates_previous!$G$6:$Q$29, 11, FALSE))</f>
        <v>30487.24438551295</v>
      </c>
      <c r="BD87" s="102">
        <f>$F87*(VLOOKUP(BD$4, Rates_previous!$G$6:$Q$29, 10, FALSE)+VLOOKUP(BD$4, Rates_previous!$G$6:$Q$29, 11, FALSE))</f>
        <v>31148.741479761145</v>
      </c>
      <c r="BE87" s="102">
        <f>$F87*(VLOOKUP(BE$4, Rates_previous!$G$6:$Q$29, 10, FALSE)+VLOOKUP(BE$4, Rates_previous!$G$6:$Q$29, 11, FALSE))</f>
        <v>27041.595153218448</v>
      </c>
      <c r="BF87" s="102">
        <f>$F87*(VLOOKUP(BF$4, Rates_previous!$G$6:$Q$29, 10, FALSE)+VLOOKUP(BF$4, Rates_previous!$G$6:$Q$29, 11, FALSE))</f>
        <v>26142.034621392308</v>
      </c>
      <c r="BG87" s="102">
        <f>$F87*(VLOOKUP(BG$4, Rates_previous!$G$6:$Q$29, 10, FALSE)+VLOOKUP(BG$4, Rates_previous!$G$6:$Q$29, 11, FALSE))</f>
        <v>24055.734226945402</v>
      </c>
      <c r="BH87" s="103">
        <f>IF($D87=0,IF(C87=0, MAX(BJ87 - (VLOOKUP($A87,TOCA_previous!$A$2:$AJ$136,MATCH("RHWM "&amp;Init!$D$1-2,TOCA_previous!$A$2:$AJ$2,0),FALSE)*$F$2*TOCA_previous!C84),0),0), 0)</f>
        <v>99616.263562579057</v>
      </c>
      <c r="BI87" s="109">
        <f>MIN(VLOOKUP($A87,TOCA_previous!$A$2:$AJ$136,MATCH("TRL - NLSL - Existing Resource "&amp;$F$1,TOCA_previous!$A$2:$AJ$2,0),FALSE)*$F$2,(VLOOKUP($A87,TOCA_previous!$A$2:$AJ$136,MATCH("RHWM "&amp;Init!$D$1-2,TOCA_previous!$A$2:$AJ$2,0),FALSE)*$F$2))</f>
        <v>333370.36799999996</v>
      </c>
      <c r="BJ87" s="261">
        <f>SUM(L87:AI87)+(F87*RT1SC!$C$3*$F$2)</f>
        <v>432986.63156257902</v>
      </c>
      <c r="BK87" s="260">
        <f>VLOOKUP($A87,TOCA_previous!$A$2:$AJ$136,MATCH("Above RHWM Not Served with LS "&amp;$F$1,TOCA_previous!$A$2:$AJ$2,0),FALSE)*$F$2</f>
        <v>28627.056</v>
      </c>
      <c r="BL87" s="261">
        <f t="shared" si="36"/>
        <v>99616.263562579057</v>
      </c>
      <c r="BM87" s="260">
        <f>(VLOOKUP($A87,TOCA_previous!$A$2:$AJ$136,MATCH("RHWM "&amp;Init!$D$1-2,TOCA_previous!$A$2:$AJ$2,0),FALSE)*$F$2) - $BI87</f>
        <v>0</v>
      </c>
      <c r="BN87" s="261">
        <f t="shared" si="37"/>
        <v>0</v>
      </c>
      <c r="BO87" s="260">
        <f t="shared" si="38"/>
        <v>0</v>
      </c>
      <c r="BP87" s="261">
        <f t="shared" si="39"/>
        <v>0</v>
      </c>
      <c r="BQ87" s="260">
        <f t="shared" si="9"/>
        <v>0</v>
      </c>
      <c r="BR87" s="85">
        <f>VLOOKUP($A87,TOCA_current!$A$2:$ZZ$136,MATCH(BR$4,TOCA_current!$A$2:$ZZ$2,0),FALSE)</f>
        <v>5.3689999999999996E-3</v>
      </c>
      <c r="BS87" s="85">
        <f>VLOOKUP($A87,TOCA_current!$A$2:$ZZ$136,MATCH(BS$4,TOCA_current!$A$2:$ZZ$2,0),FALSE)</f>
        <v>5.3689999999999996E-3</v>
      </c>
      <c r="BT87" s="108">
        <f t="shared" si="40"/>
        <v>0</v>
      </c>
      <c r="BU87" s="85">
        <f>VLOOKUP($A87,TOCA_current!A84:BG218,MATCH(BU$4,TOCA_current!$A$2:$BG$2,0),FALSE)</f>
        <v>6.9026224096827446E-2</v>
      </c>
      <c r="BV87" s="85">
        <f t="shared" si="41"/>
        <v>0</v>
      </c>
      <c r="BW87" s="85">
        <f t="shared" si="42"/>
        <v>0</v>
      </c>
      <c r="BX87" s="101">
        <f>VLOOKUP($A87,IRD!$A$4:$G$138, 7, FALSE)</f>
        <v>18387.022000000001</v>
      </c>
      <c r="BY87" s="102">
        <f t="array" ref="BY87">IF($BT87=0, INDEX(LS_current!$D$4:$BW$137, MATCH('Staging Table'!$A87, LS_current!$B$4:$B$137, 0), MATCH(BY$4&amp;BY$5, LS_current!$D$2:$BW$2&amp;LS_current!$D$3:$BW$3, 0)),SUM(VLOOKUP($A87, LS_current!$B$4:$BW$137, LS_current!D$147, FALSE), VLOOKUP($A87, LS_current!$B$4:$BW$137,LS_current!AZ$147, FALSE))/2)</f>
        <v>-845.3144323894885</v>
      </c>
      <c r="BZ87" s="102">
        <f t="array" ref="BZ87">IF($BT87=0, INDEX(LS_current!$D$4:$BW$137, MATCH('Staging Table'!$A87, LS_current!$B$4:$B$137, 0), MATCH(BZ$4&amp;BZ$5, LS_current!$D$2:$BW$2&amp;LS_current!$D$3:$BW$3, 0)),SUM(VLOOKUP($A87, LS_current!$B$4:$BW$137, LS_current!E$147, FALSE), VLOOKUP($A87, LS_current!$B$4:$BW$137,LS_current!BA$147, FALSE))/2)</f>
        <v>-576.24973859950296</v>
      </c>
      <c r="CA87" s="102">
        <f t="array" ref="CA87">IF($BT87=0, INDEX(LS_current!$D$4:$BW$137, MATCH('Staging Table'!$A87, LS_current!$B$4:$B$137, 0), MATCH(CA$4&amp;CA$5, LS_current!$D$2:$BW$2&amp;LS_current!$D$3:$BW$3, 0)),SUM(VLOOKUP($A87, LS_current!$B$4:$BW$137, LS_current!F$147, FALSE), VLOOKUP($A87, LS_current!$B$4:$BW$137,LS_current!BB$147, FALSE))/2)</f>
        <v>1587.8388684260462</v>
      </c>
      <c r="CB87" s="102">
        <f t="array" ref="CB87">IF($BT87=0, INDEX(LS_current!$D$4:$BW$137, MATCH('Staging Table'!$A87, LS_current!$B$4:$B$137, 0), MATCH(CB$4&amp;CB$5, LS_current!$D$2:$BW$2&amp;LS_current!$D$3:$BW$3, 0)),SUM(VLOOKUP($A87, LS_current!$B$4:$BW$137, LS_current!G$147, FALSE), VLOOKUP($A87, LS_current!$B$4:$BW$137,LS_current!BC$147, FALSE))/2)</f>
        <v>1731.0843103599709</v>
      </c>
      <c r="CC87" s="102">
        <f t="array" ref="CC87">IF($BT87=0, INDEX(LS_current!$D$4:$BW$137, MATCH('Staging Table'!$A87, LS_current!$B$4:$B$137, 0), MATCH(CC$4&amp;CC$5, LS_current!$D$2:$BW$2&amp;LS_current!$D$3:$BW$3, 0)),SUM(VLOOKUP($A87, LS_current!$B$4:$BW$137, LS_current!H$147, FALSE), VLOOKUP($A87, LS_current!$B$4:$BW$137,LS_current!BD$147, FALSE))/2)</f>
        <v>3378.3058098227848</v>
      </c>
      <c r="CD87" s="102">
        <f t="array" ref="CD87">IF($BT87=0, INDEX(LS_current!$D$4:$BW$137, MATCH('Staging Table'!$A87, LS_current!$B$4:$B$137, 0), MATCH(CD$4&amp;CD$5, LS_current!$D$2:$BW$2&amp;LS_current!$D$3:$BW$3, 0)),SUM(VLOOKUP($A87, LS_current!$B$4:$BW$137, LS_current!I$147, FALSE), VLOOKUP($A87, LS_current!$B$4:$BW$137,LS_current!BE$147, FALSE))/2)</f>
        <v>5729.2472995401022</v>
      </c>
      <c r="CE87" s="102">
        <f t="array" ref="CE87">IF($BT87=0, INDEX(LS_current!$D$4:$BW$137, MATCH('Staging Table'!$A87, LS_current!$B$4:$B$137, 0), MATCH(CE$4&amp;CE$5, LS_current!$D$2:$BW$2&amp;LS_current!$D$3:$BW$3, 0)),SUM(VLOOKUP($A87, LS_current!$B$4:$BW$137, LS_current!J$147, FALSE), VLOOKUP($A87, LS_current!$B$4:$BW$137,LS_current!BF$147, FALSE))/2)</f>
        <v>409.71506793878143</v>
      </c>
      <c r="CF87" s="102">
        <f t="array" ref="CF87">IF($BT87=0, INDEX(LS_current!$D$4:$BW$137, MATCH('Staging Table'!$A87, LS_current!$B$4:$B$137, 0), MATCH(CF$4&amp;CF$5, LS_current!$D$2:$BW$2&amp;LS_current!$D$3:$BW$3, 0)),SUM(VLOOKUP($A87, LS_current!$B$4:$BW$137, LS_current!K$147, FALSE), VLOOKUP($A87, LS_current!$B$4:$BW$137,LS_current!BG$147, FALSE))/2)</f>
        <v>3644.2931290310626</v>
      </c>
      <c r="CG87" s="102">
        <f t="array" ref="CG87">IF($BT87=0, INDEX(LS_current!$D$4:$BW$137, MATCH('Staging Table'!$A87, LS_current!$B$4:$B$137, 0), MATCH(CG$4&amp;CG$5, LS_current!$D$2:$BW$2&amp;LS_current!$D$3:$BW$3, 0)),SUM(VLOOKUP($A87, LS_current!$B$4:$BW$137, LS_current!L$147, FALSE), VLOOKUP($A87, LS_current!$B$4:$BW$137,LS_current!BH$147, FALSE))/2)</f>
        <v>7427.9952209402218</v>
      </c>
      <c r="CH87" s="102">
        <f t="array" ref="CH87">IF($BT87=0, INDEX(LS_current!$D$4:$BW$137, MATCH('Staging Table'!$A87, LS_current!$B$4:$B$137, 0), MATCH(CH$4&amp;CH$5, LS_current!$D$2:$BW$2&amp;LS_current!$D$3:$BW$3, 0)),SUM(VLOOKUP($A87, LS_current!$B$4:$BW$137, LS_current!M$147, FALSE), VLOOKUP($A87, LS_current!$B$4:$BW$137,LS_current!BI$147, FALSE))/2)</f>
        <v>7434.509816348831</v>
      </c>
      <c r="CI87" s="102">
        <f t="array" ref="CI87">IF($BT87=0, INDEX(LS_current!$D$4:$BW$137, MATCH('Staging Table'!$A87, LS_current!$B$4:$B$137, 0), MATCH(CI$4&amp;CI$5, LS_current!$D$2:$BW$2&amp;LS_current!$D$3:$BW$3, 0)),SUM(VLOOKUP($A87, LS_current!$B$4:$BW$137, LS_current!N$147, FALSE), VLOOKUP($A87, LS_current!$B$4:$BW$137,LS_current!BJ$147, FALSE))/2)</f>
        <v>1048.0519340311839</v>
      </c>
      <c r="CJ87" s="102">
        <f t="array" ref="CJ87">IF($BT87=0, INDEX(LS_current!$D$4:$BW$137, MATCH('Staging Table'!$A87, LS_current!$B$4:$B$137, 0), MATCH(CJ$4&amp;CJ$5, LS_current!$D$2:$BW$2&amp;LS_current!$D$3:$BW$3, 0)),SUM(VLOOKUP($A87, LS_current!$B$4:$BW$137, LS_current!O$147, FALSE), VLOOKUP($A87, LS_current!$B$4:$BW$137,LS_current!BK$147, FALSE))/2)</f>
        <v>3272.6173033373689</v>
      </c>
      <c r="CK87" s="102">
        <f t="array" ref="CK87">IF($BT87=0, INDEX(LS_current!$D$4:$BW$137, MATCH('Staging Table'!$A87, LS_current!$B$4:$B$137, 0), MATCH(CK$4&amp;CK$5, LS_current!$D$2:$BW$2&amp;LS_current!$D$3:$BW$3, 0)),SUM(VLOOKUP($A87, LS_current!$B$4:$BW$137, LS_current!P$147, FALSE), VLOOKUP($A87, LS_current!$B$4:$BW$137,LS_current!BL$147, FALSE))/2)</f>
        <v>77.224474498652853</v>
      </c>
      <c r="CL87" s="102">
        <f t="array" ref="CL87">IF($BT87=0, INDEX(LS_current!$D$4:$BW$137, MATCH('Staging Table'!$A87, LS_current!$B$4:$B$137, 0), MATCH(CL$4&amp;CL$5, LS_current!$D$2:$BW$2&amp;LS_current!$D$3:$BW$3, 0)),SUM(VLOOKUP($A87, LS_current!$B$4:$BW$137, LS_current!Q$147, FALSE), VLOOKUP($A87, LS_current!$B$4:$BW$137,LS_current!BM$147, FALSE))/2)</f>
        <v>552.21767153403562</v>
      </c>
      <c r="CM87" s="102">
        <f t="array" ref="CM87">IF($BT87=0, INDEX(LS_current!$D$4:$BW$137, MATCH('Staging Table'!$A87, LS_current!$B$4:$B$137, 0), MATCH(CM$4&amp;CM$5, LS_current!$D$2:$BW$2&amp;LS_current!$D$3:$BW$3, 0)),SUM(VLOOKUP($A87, LS_current!$B$4:$BW$137, LS_current!R$147, FALSE), VLOOKUP($A87, LS_current!$B$4:$BW$137,LS_current!BN$147, FALSE))/2)</f>
        <v>-7052.6164951799292</v>
      </c>
      <c r="CN87" s="102">
        <f t="array" ref="CN87">IF($BT87=0, INDEX(LS_current!$D$4:$BW$137, MATCH('Staging Table'!$A87, LS_current!$B$4:$B$137, 0), MATCH(CN$4&amp;CN$5, LS_current!$D$2:$BW$2&amp;LS_current!$D$3:$BW$3, 0)),SUM(VLOOKUP($A87, LS_current!$B$4:$BW$137, LS_current!S$147, FALSE), VLOOKUP($A87, LS_current!$B$4:$BW$137,LS_current!BO$147, FALSE))/2)</f>
        <v>-5132.5334282333606</v>
      </c>
      <c r="CO87" s="102">
        <f t="array" ref="CO87">IF($BT87=0, INDEX(LS_current!$D$4:$BW$137, MATCH('Staging Table'!$A87, LS_current!$B$4:$B$137, 0), MATCH(CO$4&amp;CO$5, LS_current!$D$2:$BW$2&amp;LS_current!$D$3:$BW$3, 0)),SUM(VLOOKUP($A87, LS_current!$B$4:$BW$137, LS_current!T$147, FALSE), VLOOKUP($A87, LS_current!$B$4:$BW$137,LS_current!BP$147, FALSE))/2)</f>
        <v>-9687.882891996378</v>
      </c>
      <c r="CP87" s="102">
        <f t="array" ref="CP87">IF($BT87=0, INDEX(LS_current!$D$4:$BW$137, MATCH('Staging Table'!$A87, LS_current!$B$4:$B$137, 0), MATCH(CP$4&amp;CP$5, LS_current!$D$2:$BW$2&amp;LS_current!$D$3:$BW$3, 0)),SUM(VLOOKUP($A87, LS_current!$B$4:$BW$137, LS_current!U$147, FALSE), VLOOKUP($A87, LS_current!$B$4:$BW$137,LS_current!BQ$147, FALSE))/2)</f>
        <v>-5364.1125284108039</v>
      </c>
      <c r="CQ87" s="102">
        <f t="array" ref="CQ87">IF($BT87=0, INDEX(LS_current!$D$4:$BW$137, MATCH('Staging Table'!$A87, LS_current!$B$4:$B$137, 0), MATCH(CQ$4&amp;CQ$5, LS_current!$D$2:$BW$2&amp;LS_current!$D$3:$BW$3, 0)),SUM(VLOOKUP($A87, LS_current!$B$4:$BW$137, LS_current!V$147, FALSE), VLOOKUP($A87, LS_current!$B$4:$BW$137,LS_current!BR$147, FALSE))/2)</f>
        <v>153.57285015550224</v>
      </c>
      <c r="CR87" s="102">
        <f t="array" ref="CR87">IF($BT87=0, INDEX(LS_current!$D$4:$BW$137, MATCH('Staging Table'!$A87, LS_current!$B$4:$B$137, 0), MATCH(CR$4&amp;CR$5, LS_current!$D$2:$BW$2&amp;LS_current!$D$3:$BW$3, 0)),SUM(VLOOKUP($A87, LS_current!$B$4:$BW$137, LS_current!W$147, FALSE), VLOOKUP($A87, LS_current!$B$4:$BW$137,LS_current!BS$147, FALSE))/2)</f>
        <v>654.90985634856042</v>
      </c>
      <c r="CS87" s="102">
        <f t="array" ref="CS87">IF($BT87=0, INDEX(LS_current!$D$4:$BW$137, MATCH('Staging Table'!$A87, LS_current!$B$4:$B$137, 0), MATCH(CS$4&amp;CS$5, LS_current!$D$2:$BW$2&amp;LS_current!$D$3:$BW$3, 0)),SUM(VLOOKUP($A87, LS_current!$B$4:$BW$137, LS_current!X$147, FALSE), VLOOKUP($A87, LS_current!$B$4:$BW$137,LS_current!BT$147, FALSE))/2)</f>
        <v>-1885.5866606998316</v>
      </c>
      <c r="CT87" s="102">
        <f t="array" ref="CT87">IF($BT87=0, INDEX(LS_current!$D$4:$BW$137, MATCH('Staging Table'!$A87, LS_current!$B$4:$B$137, 0), MATCH(CT$4&amp;CT$5, LS_current!$D$2:$BW$2&amp;LS_current!$D$3:$BW$3, 0)),SUM(VLOOKUP($A87, LS_current!$B$4:$BW$137, LS_current!Y$147, FALSE), VLOOKUP($A87, LS_current!$B$4:$BW$137,LS_current!BU$147, FALSE))/2)</f>
        <v>-584.38374594765992</v>
      </c>
      <c r="CU87" s="102">
        <f t="array" ref="CU87">IF($BT87=0, INDEX(LS_current!$D$4:$BW$137, MATCH('Staging Table'!$A87, LS_current!$B$4:$B$137, 0), MATCH(CU$4&amp;CU$5, LS_current!$D$2:$BW$2&amp;LS_current!$D$3:$BW$3, 0)),SUM(VLOOKUP($A87, LS_current!$B$4:$BW$137, LS_current!Z$147, FALSE), VLOOKUP($A87, LS_current!$B$4:$BW$137,LS_current!BV$147, FALSE))/2)</f>
        <v>-3855.6828758342708</v>
      </c>
      <c r="CV87" s="102">
        <f t="array" ref="CV87">IF($BT87=0, INDEX(LS_current!$D$4:$BW$137, MATCH('Staging Table'!$A87, LS_current!$B$4:$B$137, 0), MATCH(CV$4&amp;CV$5, LS_current!$D$2:$BW$2&amp;LS_current!$D$3:$BW$3, 0)),SUM(VLOOKUP($A87, LS_current!$B$4:$BW$137, LS_current!AA$147, FALSE), VLOOKUP($A87, LS_current!$B$4:$BW$137,LS_current!BW$147, FALSE))/2)</f>
        <v>-2122.0929435518465</v>
      </c>
      <c r="CW87" s="103">
        <f t="array" ref="CW87">INDEX(Demand_current!$D$4:$BW$137, MATCH($A87, Demand_current!$B$4:$B$137, 0), MATCH(CW$4&amp;CW$5,Demand_current!$D$2:$BW$2&amp;Demand_current!$D$3:$BW$3, 0))/1000</f>
        <v>28.728877314814817</v>
      </c>
      <c r="CX87" s="103">
        <f t="array" ref="CX87">INDEX(Demand_current!$D$4:$BW$137, MATCH($A87, Demand_current!$B$4:$B$137, 0), MATCH(CX$4&amp;CX$5,Demand_current!$D$2:$BW$2&amp;Demand_current!$D$3:$BW$3, 0))/1000</f>
        <v>0.73746614583333781</v>
      </c>
      <c r="CY87" s="103">
        <f t="array" ref="CY87">INDEX(Demand_current!$D$4:$BW$137, MATCH($A87, Demand_current!$B$4:$B$137, 0), MATCH(CY$4&amp;CY$5,Demand_current!$D$2:$BW$2&amp;Demand_current!$D$3:$BW$3, 0))/1000</f>
        <v>20.125740384615398</v>
      </c>
      <c r="CZ87" s="103">
        <f t="array" ref="CZ87">INDEX(Demand_current!$D$4:$BW$137, MATCH($A87, Demand_current!$B$4:$B$137, 0), MATCH(CZ$4&amp;CZ$5,Demand_current!$D$2:$BW$2&amp;Demand_current!$D$3:$BW$3, 0))/1000</f>
        <v>7.70268028846154</v>
      </c>
      <c r="DA87" s="103">
        <f t="array" ref="DA87">INDEX(Demand_current!$D$4:$BW$137, MATCH($A87, Demand_current!$B$4:$B$137, 0), MATCH(DA$4&amp;DA$5,Demand_current!$D$2:$BW$2&amp;Demand_current!$D$3:$BW$3, 0))/1000</f>
        <v>20.13898177083334</v>
      </c>
      <c r="DB87" s="103">
        <f t="array" ref="DB87">INDEX(Demand_current!$D$4:$BW$137, MATCH($A87, Demand_current!$B$4:$B$137, 0), MATCH(DB$4&amp;DB$5,Demand_current!$D$2:$BW$2&amp;Demand_current!$D$3:$BW$3, 0))/1000</f>
        <v>11.536185096153838</v>
      </c>
      <c r="DC87" s="103">
        <f t="array" ref="DC87">INDEX(Demand_current!$D$4:$BW$137, MATCH($A87, Demand_current!$B$4:$B$137, 0), MATCH(DC$4&amp;DC$5,Demand_current!$D$2:$BW$2&amp;Demand_current!$D$3:$BW$3, 0))/1000</f>
        <v>11.565382211538463</v>
      </c>
      <c r="DD87" s="103">
        <f t="array" ref="DD87">INDEX(Demand_current!$D$4:$BW$137, MATCH($A87, Demand_current!$B$4:$B$137, 0), MATCH(DD$4&amp;DD$5,Demand_current!$D$2:$BW$2&amp;Demand_current!$D$3:$BW$3, 0))/1000</f>
        <v>6.2142500000003764E-2</v>
      </c>
      <c r="DE87" s="103">
        <f t="array" ref="DE87">INDEX(Demand_current!$D$4:$BW$137, MATCH($A87, Demand_current!$B$4:$B$137, 0), MATCH(DE$4&amp;DE$5,Demand_current!$D$2:$BW$2&amp;Demand_current!$D$3:$BW$3, 0))/1000</f>
        <v>4.4641947115384601</v>
      </c>
      <c r="DF87" s="103">
        <f t="array" ref="DF87">INDEX(Demand_current!$D$4:$BW$137, MATCH($A87, Demand_current!$B$4:$B$137, 0), MATCH(DF$4&amp;DF$5,Demand_current!$D$2:$BW$2&amp;Demand_current!$D$3:$BW$3, 0))/1000</f>
        <v>7.886495192307688</v>
      </c>
      <c r="DG87" s="103">
        <f t="array" ref="DG87">INDEX(Demand_current!$D$4:$BW$137, MATCH($A87, Demand_current!$B$4:$B$137, 0), MATCH(DG$4&amp;DG$5,Demand_current!$D$2:$BW$2&amp;Demand_current!$D$3:$BW$3, 0))/1000</f>
        <v>9.8564278846153854</v>
      </c>
      <c r="DH87" s="103">
        <f t="array" ref="DH87">INDEX(Demand_current!$D$4:$BW$137, MATCH($A87, Demand_current!$B$4:$B$137, 0), MATCH(DH$4&amp;DH$5,Demand_current!$D$2:$BW$2&amp;Demand_current!$D$3:$BW$3, 0))/1000</f>
        <v>9.1399024999999998</v>
      </c>
      <c r="DI87" s="102">
        <f>$BS87*(VLOOKUP(DI$4, Rates_current!$H$6:$R$41, 10, FALSE)+VLOOKUP(DI$4, Rates_current!$H$6:$R$41, 11, FALSE))</f>
        <v>22282.894170988995</v>
      </c>
      <c r="DJ87" s="102">
        <f>$BS87*(VLOOKUP(DJ$4, Rates_current!$H$6:$R$41, 10, FALSE)+VLOOKUP(DJ$4, Rates_current!$H$6:$R$41, 11, FALSE))</f>
        <v>28487.946821213987</v>
      </c>
      <c r="DK87" s="102">
        <f>$BS87*(VLOOKUP(DK$4, Rates_current!$H$6:$R$41, 10, FALSE)+VLOOKUP(DK$4, Rates_current!$H$6:$R$41, 11, FALSE))</f>
        <v>32388.412890637108</v>
      </c>
      <c r="DL87" s="102">
        <f>$BS87*(VLOOKUP(DL$4, Rates_current!$H$6:$R$41, 10, FALSE)+VLOOKUP(DL$4, Rates_current!$H$6:$R$41, 11, FALSE))</f>
        <v>34172.303803030154</v>
      </c>
      <c r="DM87" s="102">
        <f>$BS87*(VLOOKUP(DM$4, Rates_current!$H$6:$R$41, 10, FALSE)+VLOOKUP(DM$4, Rates_current!$H$6:$R$41, 11, FALSE))</f>
        <v>27232.241962710948</v>
      </c>
      <c r="DN87" s="102">
        <f>$BS87*(VLOOKUP(DN$4, Rates_current!$H$6:$R$41, 10, FALSE)+VLOOKUP(DN$4, Rates_current!$H$6:$R$41, 11, FALSE))</f>
        <v>29770.432762631441</v>
      </c>
      <c r="DO87" s="102">
        <f>$BS87*(VLOOKUP(DO$4, Rates_current!$H$6:$R$41, 10, FALSE)+VLOOKUP(DO$4, Rates_current!$H$6:$R$41, 11, FALSE))</f>
        <v>23072.384853967313</v>
      </c>
      <c r="DP87" s="102">
        <f>$BS87*(VLOOKUP(DP$4, Rates_current!$H$6:$R$41, 10, FALSE)+VLOOKUP(DP$4, Rates_current!$H$6:$R$41, 11, FALSE))</f>
        <v>29859.464923413288</v>
      </c>
      <c r="DQ87" s="102">
        <f>$BS87*(VLOOKUP(DQ$4, Rates_current!$H$6:$R$41, 10, FALSE)+VLOOKUP(DQ$4, Rates_current!$H$6:$R$41, 11, FALSE))</f>
        <v>30497.051420407184</v>
      </c>
      <c r="DR87" s="102">
        <f>$BS87*(VLOOKUP(DR$4, Rates_current!$H$6:$R$41, 10, FALSE)+VLOOKUP(DR$4, Rates_current!$H$6:$R$41, 11, FALSE))</f>
        <v>27145.013293495937</v>
      </c>
      <c r="DS87" s="102">
        <f>$BS87*(VLOOKUP(DS$4, Rates_current!$H$6:$R$41, 10, FALSE)+VLOOKUP(DS$4, Rates_current!$H$6:$R$41, 11, FALSE))</f>
        <v>27845.805406647491</v>
      </c>
      <c r="DT87" s="102">
        <f>$BS87*(VLOOKUP(DT$4, Rates_current!$H$6:$R$41, 10, FALSE)+VLOOKUP(DT$4, Rates_current!$H$6:$R$41, 11, FALSE))</f>
        <v>21625.605819386117</v>
      </c>
      <c r="DU87" s="261">
        <f>IF(D87=0,IF(C87=0,MAX(0,DW87 - (VLOOKUP($A87,TOCA_current!$A$2:$AV$136,MATCH("RHWM "&amp;Init!$D$1,TOCA_current!$A$2:$AV$2,0),FALSE)*$BS$2)), 0),0)</f>
        <v>0</v>
      </c>
      <c r="DV87" s="262">
        <f>MIN(VLOOKUP($A87,TOCA_current!$A$2:$AV$136,MATCH("TRL - NLSL - Existing Resource "&amp;$BS$1,TOCA_current!$A$2:$AV$2,0),FALSE)*$BS$2, VLOOKUP($A87,TOCA_current!$A$2:$AV$136,MATCH("RHWM "&amp;Init!$D$1,TOCA_current!$A$2:$AV$2,0),FALSE)*$BS$2)</f>
        <v>334377.96000000002</v>
      </c>
      <c r="DW87" s="262">
        <f>SUM(BY87:CV87)+(BS87*RT1SC!$C$4*$BS$2)</f>
        <v>334374.70573835011</v>
      </c>
      <c r="DX87" s="262">
        <f>VLOOKUP($A87,TOCA_current!$A$2:$AV$136,MATCH("Above RHWM Not Served with LS "&amp;$BS$1,TOCA_current!$A$2:$AV$2,0),FALSE)*$BS$2</f>
        <v>127239</v>
      </c>
      <c r="DY87" s="262">
        <f t="shared" si="43"/>
        <v>-3.2542616499122232</v>
      </c>
      <c r="DZ87" s="262">
        <f>(VLOOKUP($A87,TOCA_current!$A$2:$AV$136,MATCH("RHWM "&amp;Init!$D$1,TOCA_current!$A$2:$AV$2,0),FALSE)*$BS$2) - $DV87</f>
        <v>0</v>
      </c>
      <c r="EA87" s="262">
        <f t="shared" si="44"/>
        <v>0</v>
      </c>
      <c r="EB87" s="262">
        <f t="shared" si="45"/>
        <v>0</v>
      </c>
      <c r="EC87" s="262">
        <f t="shared" si="46"/>
        <v>0</v>
      </c>
      <c r="ED87" s="262">
        <f t="shared" si="47"/>
        <v>0</v>
      </c>
    </row>
    <row r="88" spans="1:134">
      <c r="A88" s="2">
        <v>10259</v>
      </c>
      <c r="B88" s="3" t="s">
        <v>90</v>
      </c>
      <c r="C88">
        <f>VLOOKUP(A88, TOCA_current!$A$3:$D$136, 4, FALSE)</f>
        <v>0</v>
      </c>
      <c r="D88">
        <v>0</v>
      </c>
      <c r="E88" s="84">
        <f>VLOOKUP($A88,TOCA_previous!$A$2:$AJ$136,MATCH(E$4,TOCA_previous!$A$2:$AJ$2,0),FALSE)</f>
        <v>3.9065999999999997E-3</v>
      </c>
      <c r="F88" s="85">
        <f>VLOOKUP($A88,TOCA_previous!$A$2:$AJ$136,MATCH(F$4,TOCA_previous!$A$2:$AJ$2,0),FALSE)</f>
        <v>3.9065999999999997E-3</v>
      </c>
      <c r="G88" s="85">
        <f t="shared" si="33"/>
        <v>0</v>
      </c>
      <c r="H88" s="85">
        <f>VLOOKUP($A88,TOCA_previous!$A$2:$AJ$136,MATCH(H$4,TOCA_previous!$A$2:$AJ$2,0),FALSE)</f>
        <v>8.06207152121549E-2</v>
      </c>
      <c r="I88" s="85">
        <f t="shared" si="34"/>
        <v>0</v>
      </c>
      <c r="J88" s="85">
        <f t="shared" si="35"/>
        <v>0</v>
      </c>
      <c r="K88" s="101">
        <f>VLOOKUP(A88, IRD!$A$5:$C$138, 3, FALSE)</f>
        <v>0</v>
      </c>
      <c r="L88" s="102">
        <f t="array" ref="L88">IF($G88=0, INDEX(LS_previous!$D$4:$AY$137, MATCH('Staging Table'!$A88, LS_previous!$B$4:$B$137, 0), MATCH(L$4&amp;L$5, LS_previous!$D$2:$AY$2&amp;LS_previous!$D$3:$AY$3, 0)),SUM(VLOOKUP($A88, LS_previous!$B$4:$AY$137, LS_previous!D$148, FALSE), VLOOKUP('Staging Table'!$A88, LS_previous!$B$4:$AY$137,LS_previous!AB$148, FALSE))/2)</f>
        <v>1568.9721289623994</v>
      </c>
      <c r="M88" s="102">
        <f t="array" ref="M88">IF($G88=0, INDEX(LS_previous!$D$4:$AY$137, MATCH('Staging Table'!$A88, LS_previous!$B$4:$B$137, 0), MATCH(M$4&amp;M$5, LS_previous!$D$2:$AY$2&amp;LS_previous!$D$3:$AY$3, 0)),SUM(VLOOKUP($A88, LS_previous!$B$4:$AY$137, LS_previous!E$148, FALSE), VLOOKUP('Staging Table'!$A88, LS_previous!$B$4:$AY$137,LS_previous!AC$148, FALSE))/2)</f>
        <v>-184.05690363829854</v>
      </c>
      <c r="N88" s="102">
        <f t="array" ref="N88">IF($G88=0, INDEX(LS_previous!$D$4:$AY$137, MATCH('Staging Table'!$A88, LS_previous!$B$4:$B$137, 0), MATCH(N$4&amp;N$5, LS_previous!$D$2:$AY$2&amp;LS_previous!$D$3:$AY$3, 0)),SUM(VLOOKUP($A88, LS_previous!$B$4:$AY$137, LS_previous!F$148, FALSE), VLOOKUP('Staging Table'!$A88, LS_previous!$B$4:$AY$137,LS_previous!AD$148, FALSE))/2)</f>
        <v>-1147.2461955647996</v>
      </c>
      <c r="O88" s="102">
        <f t="array" ref="O88">IF($G88=0, INDEX(LS_previous!$D$4:$AY$137, MATCH('Staging Table'!$A88, LS_previous!$B$4:$B$137, 0), MATCH(O$4&amp;O$5, LS_previous!$D$2:$AY$2&amp;LS_previous!$D$3:$AY$3, 0)),SUM(VLOOKUP($A88, LS_previous!$B$4:$AY$137, LS_previous!G$148, FALSE), VLOOKUP('Staging Table'!$A88, LS_previous!$B$4:$AY$137,LS_previous!AE$148, FALSE))/2)</f>
        <v>606.04354013540251</v>
      </c>
      <c r="P88" s="102">
        <f t="array" ref="P88">IF($G88=0, INDEX(LS_previous!$D$4:$AY$137, MATCH('Staging Table'!$A88, LS_previous!$B$4:$B$137, 0), MATCH(P$4&amp;P$5, LS_previous!$D$2:$AY$2&amp;LS_previous!$D$3:$AY$3, 0)),SUM(VLOOKUP($A88, LS_previous!$B$4:$AY$137, LS_previous!H$148, FALSE), VLOOKUP('Staging Table'!$A88, LS_previous!$B$4:$AY$137,LS_previous!AF$148, FALSE))/2)</f>
        <v>2802.1704120226004</v>
      </c>
      <c r="Q88" s="102">
        <f t="array" ref="Q88">IF($G88=0, INDEX(LS_previous!$D$4:$AY$137, MATCH('Staging Table'!$A88, LS_previous!$B$4:$B$137, 0), MATCH(Q$4&amp;Q$5, LS_previous!$D$2:$AY$2&amp;LS_previous!$D$3:$AY$3, 0)),SUM(VLOOKUP($A88, LS_previous!$B$4:$AY$137, LS_previous!I$148, FALSE), VLOOKUP('Staging Table'!$A88, LS_previous!$B$4:$AY$137,LS_previous!AG$148, FALSE))/2)</f>
        <v>1819.5770272064001</v>
      </c>
      <c r="R88" s="102">
        <f t="array" ref="R88">IF($G88=0, INDEX(LS_previous!$D$4:$AY$137, MATCH('Staging Table'!$A88, LS_previous!$B$4:$B$137, 0), MATCH(R$4&amp;R$5, LS_previous!$D$2:$AY$2&amp;LS_previous!$D$3:$AY$3, 0)),SUM(VLOOKUP($A88, LS_previous!$B$4:$AY$137, LS_previous!J$148, FALSE), VLOOKUP('Staging Table'!$A88, LS_previous!$B$4:$AY$137,LS_previous!AH$148, FALSE))/2)</f>
        <v>1656.7367461810009</v>
      </c>
      <c r="S88" s="102">
        <f t="array" ref="S88">IF($G88=0, INDEX(LS_previous!$D$4:$AY$137, MATCH('Staging Table'!$A88, LS_previous!$B$4:$B$137, 0), MATCH(S$4&amp;S$5, LS_previous!$D$2:$AY$2&amp;LS_previous!$D$3:$AY$3, 0)),SUM(VLOOKUP($A88, LS_previous!$B$4:$AY$137, LS_previous!K$148, FALSE), VLOOKUP('Staging Table'!$A88, LS_previous!$B$4:$AY$137,LS_previous!AI$148, FALSE))/2)</f>
        <v>1982.0039759085994</v>
      </c>
      <c r="T88" s="102">
        <f t="array" ref="T88">IF($G88=0, INDEX(LS_previous!$D$4:$AY$137, MATCH('Staging Table'!$A88, LS_previous!$B$4:$B$137, 0), MATCH(T$4&amp;T$5, LS_previous!$D$2:$AY$2&amp;LS_previous!$D$3:$AY$3, 0)),SUM(VLOOKUP($A88, LS_previous!$B$4:$AY$137, LS_previous!L$148, FALSE), VLOOKUP('Staging Table'!$A88, LS_previous!$B$4:$AY$137,LS_previous!AJ$148, FALSE))/2)</f>
        <v>-398.18390090139837</v>
      </c>
      <c r="U88" s="102">
        <f t="array" ref="U88">IF($G88=0, INDEX(LS_previous!$D$4:$AY$137, MATCH('Staging Table'!$A88, LS_previous!$B$4:$B$137, 0), MATCH(U$4&amp;U$5, LS_previous!$D$2:$AY$2&amp;LS_previous!$D$3:$AY$3, 0)),SUM(VLOOKUP($A88, LS_previous!$B$4:$AY$137, LS_previous!M$148, FALSE), VLOOKUP('Staging Table'!$A88, LS_previous!$B$4:$AY$137,LS_previous!AK$148, FALSE))/2)</f>
        <v>801.17900697060031</v>
      </c>
      <c r="V88" s="102">
        <f t="array" ref="V88">IF($G88=0, INDEX(LS_previous!$D$4:$AY$137, MATCH('Staging Table'!$A88, LS_previous!$B$4:$B$137, 0), MATCH(V$4&amp;V$5, LS_previous!$D$2:$AY$2&amp;LS_previous!$D$3:$AY$3, 0)),SUM(VLOOKUP($A88, LS_previous!$B$4:$AY$137, LS_previous!N$148, FALSE), VLOOKUP('Staging Table'!$A88, LS_previous!$B$4:$AY$137,LS_previous!AL$148, FALSE))/2)</f>
        <v>-848.76400684579858</v>
      </c>
      <c r="W88" s="102">
        <f t="array" ref="W88">IF($G88=0, INDEX(LS_previous!$D$4:$AY$137, MATCH('Staging Table'!$A88, LS_previous!$B$4:$B$137, 0), MATCH(W$4&amp;W$5, LS_previous!$D$2:$AY$2&amp;LS_previous!$D$3:$AY$3, 0)),SUM(VLOOKUP($A88, LS_previous!$B$4:$AY$137, LS_previous!O$148, FALSE), VLOOKUP('Staging Table'!$A88, LS_previous!$B$4:$AY$137,LS_previous!AM$148, FALSE))/2)</f>
        <v>82.201682065200657</v>
      </c>
      <c r="X88" s="102">
        <f t="array" ref="X88">IF($G88=0, INDEX(LS_previous!$D$4:$AY$137, MATCH('Staging Table'!$A88, LS_previous!$B$4:$B$137, 0), MATCH(X$4&amp;X$5, LS_previous!$D$2:$AY$2&amp;LS_previous!$D$3:$AY$3, 0)),SUM(VLOOKUP($A88, LS_previous!$B$4:$AY$137, LS_previous!P$148, FALSE), VLOOKUP('Staging Table'!$A88, LS_previous!$B$4:$AY$137,LS_previous!AN$148, FALSE))/2)</f>
        <v>645.72177641850067</v>
      </c>
      <c r="Y88" s="102">
        <f t="array" ref="Y88">IF($G88=0, INDEX(LS_previous!$D$4:$AY$137, MATCH('Staging Table'!$A88, LS_previous!$B$4:$B$137, 0), MATCH(Y$4&amp;Y$5, LS_previous!$D$2:$AY$2&amp;LS_previous!$D$3:$AY$3, 0)),SUM(VLOOKUP($A88, LS_previous!$B$4:$AY$137, LS_previous!Q$148, FALSE), VLOOKUP('Staging Table'!$A88, LS_previous!$B$4:$AY$137,LS_previous!AO$148, FALSE))/2)</f>
        <v>15.252090327449878</v>
      </c>
      <c r="Z88" s="102">
        <f t="array" ref="Z88">IF($G88=0, INDEX(LS_previous!$D$4:$AY$137, MATCH('Staging Table'!$A88, LS_previous!$B$4:$B$137, 0), MATCH(Z$4&amp;Z$5, LS_previous!$D$2:$AY$2&amp;LS_previous!$D$3:$AY$3, 0)),SUM(VLOOKUP($A88, LS_previous!$B$4:$AY$137, LS_previous!R$148, FALSE), VLOOKUP('Staging Table'!$A88, LS_previous!$B$4:$AY$137,LS_previous!AP$148, FALSE))/2)</f>
        <v>-5412.8196983967991</v>
      </c>
      <c r="AA88" s="102">
        <f t="array" ref="AA88">IF($G88=0, INDEX(LS_previous!$D$4:$AY$137, MATCH('Staging Table'!$A88, LS_previous!$B$4:$B$137, 0), MATCH(AA$4&amp;AA$5, LS_previous!$D$2:$AY$2&amp;LS_previous!$D$3:$AY$3, 0)),SUM(VLOOKUP($A88, LS_previous!$B$4:$AY$137, LS_previous!S$148, FALSE), VLOOKUP('Staging Table'!$A88, LS_previous!$B$4:$AY$137,LS_previous!AQ$148, FALSE))/2)</f>
        <v>-2915.1343745960985</v>
      </c>
      <c r="AB88" s="102">
        <f t="array" ref="AB88">IF($G88=0, INDEX(LS_previous!$D$4:$AY$137, MATCH('Staging Table'!$A88, LS_previous!$B$4:$B$137, 0), MATCH(AB$4&amp;AB$5, LS_previous!$D$2:$AY$2&amp;LS_previous!$D$3:$AY$3, 0)),SUM(VLOOKUP($A88, LS_previous!$B$4:$AY$137, LS_previous!T$148, FALSE), VLOOKUP('Staging Table'!$A88, LS_previous!$B$4:$AY$137,LS_previous!AR$148, FALSE))/2)</f>
        <v>-4514.5069637115976</v>
      </c>
      <c r="AC88" s="102">
        <f t="array" ref="AC88">IF($G88=0, INDEX(LS_previous!$D$4:$AY$137, MATCH('Staging Table'!$A88, LS_previous!$B$4:$B$137, 0), MATCH(AC$4&amp;AC$5, LS_previous!$D$2:$AY$2&amp;LS_previous!$D$3:$AY$3, 0)),SUM(VLOOKUP($A88, LS_previous!$B$4:$AY$137, LS_previous!U$148, FALSE), VLOOKUP('Staging Table'!$A88, LS_previous!$B$4:$AY$137,LS_previous!AS$148, FALSE))/2)</f>
        <v>-3422.017927909701</v>
      </c>
      <c r="AD88" s="102">
        <f t="array" ref="AD88">IF($G88=0, INDEX(LS_previous!$D$4:$AY$137, MATCH('Staging Table'!$A88, LS_previous!$B$4:$B$137, 0), MATCH(AD$4&amp;AD$5, LS_previous!$D$2:$AY$2&amp;LS_previous!$D$3:$AY$3, 0)),SUM(VLOOKUP($A88, LS_previous!$B$4:$AY$137, LS_previous!V$148, FALSE), VLOOKUP('Staging Table'!$A88, LS_previous!$B$4:$AY$137,LS_previous!AT$148, FALSE))/2)</f>
        <v>-1126.3562892423997</v>
      </c>
      <c r="AE88" s="102">
        <f t="array" ref="AE88">IF($G88=0, INDEX(LS_previous!$D$4:$AY$137, MATCH('Staging Table'!$A88, LS_previous!$B$4:$B$137, 0), MATCH(AE$4&amp;AE$5, LS_previous!$D$2:$AY$2&amp;LS_previous!$D$3:$AY$3, 0)),SUM(VLOOKUP($A88, LS_previous!$B$4:$AY$137, LS_previous!W$148, FALSE), VLOOKUP('Staging Table'!$A88, LS_previous!$B$4:$AY$137,LS_previous!AU$148, FALSE))/2)</f>
        <v>-1251.8924165914996</v>
      </c>
      <c r="AF88" s="102">
        <f t="array" ref="AF88">IF($G88=0, INDEX(LS_previous!$D$4:$AY$137, MATCH('Staging Table'!$A88, LS_previous!$B$4:$B$137, 0), MATCH(AF$4&amp;AF$5, LS_previous!$D$2:$AY$2&amp;LS_previous!$D$3:$AY$3, 0)),SUM(VLOOKUP($A88, LS_previous!$B$4:$AY$137, LS_previous!X$148, FALSE), VLOOKUP('Staging Table'!$A88, LS_previous!$B$4:$AY$137,LS_previous!AV$148, FALSE))/2)</f>
        <v>-1663.0923839819006</v>
      </c>
      <c r="AG88" s="102">
        <f t="array" ref="AG88">IF($G88=0, INDEX(LS_previous!$D$4:$AY$137, MATCH('Staging Table'!$A88, LS_previous!$B$4:$B$137, 0), MATCH(AG$4&amp;AG$5, LS_previous!$D$2:$AY$2&amp;LS_previous!$D$3:$AY$3, 0)),SUM(VLOOKUP($A88, LS_previous!$B$4:$AY$137, LS_previous!Y$148, FALSE), VLOOKUP('Staging Table'!$A88, LS_previous!$B$4:$AY$137,LS_previous!AW$148, FALSE))/2)</f>
        <v>-681.32278274200962</v>
      </c>
      <c r="AH88" s="102">
        <f t="array" ref="AH88">IF($G88=0, INDEX(LS_previous!$D$4:$AY$137, MATCH('Staging Table'!$A88, LS_previous!$B$4:$B$137, 0), MATCH(AH$4&amp;AH$5, LS_previous!$D$2:$AY$2&amp;LS_previous!$D$3:$AY$3, 0)),SUM(VLOOKUP($A88, LS_previous!$B$4:$AY$137, LS_previous!Z$148, FALSE), VLOOKUP('Staging Table'!$A88, LS_previous!$B$4:$AY$137,LS_previous!AX$148, FALSE))/2)</f>
        <v>-2223.9778612083992</v>
      </c>
      <c r="AI88" s="102">
        <f t="array" ref="AI88">IF($G88=0, INDEX(LS_previous!$D$4:$AY$137, MATCH('Staging Table'!$A88, LS_previous!$B$4:$B$137, 0), MATCH(AI$4&amp;AI$5, LS_previous!$D$2:$AY$2&amp;LS_previous!$D$3:$AY$3, 0)),SUM(VLOOKUP($A88, LS_previous!$B$4:$AY$137, LS_previous!AA$148, FALSE), VLOOKUP('Staging Table'!$A88, LS_previous!$B$4:$AY$137,LS_previous!AY$148, FALSE))/2)</f>
        <v>-2210.7807416863989</v>
      </c>
      <c r="AJ88" s="103">
        <f t="array" ref="AJ88">INDEX(Demand_previous!$D$4:$AY$137, MATCH('Staging Table'!$A88, Demand_previous!$B$4:$B$137, 0), MATCH(AJ$4&amp;AJ$5,Demand_previous!$D$2:$AY$2&amp;Demand_previous!$D$3:$AY$3, 0))/1000</f>
        <v>2.5187740384615385</v>
      </c>
      <c r="AK88" s="103">
        <f t="array" ref="AK88">INDEX(Demand_previous!$D$4:$AY$137, MATCH('Staging Table'!$A88, Demand_previous!$B$4:$B$137, 0), MATCH(AK$4&amp;AK$5,Demand_previous!$D$2:$AY$2&amp;Demand_previous!$D$3:$AY$3, 0))/1000</f>
        <v>6.5794999999999995</v>
      </c>
      <c r="AL88" s="103">
        <f t="array" ref="AL88">INDEX(Demand_previous!$D$4:$AY$137, MATCH('Staging Table'!$A88, Demand_previous!$B$4:$B$137, 0), MATCH(AL$4&amp;AL$5,Demand_previous!$D$2:$AY$2&amp;Demand_previous!$D$3:$AY$3, 0))/1000</f>
        <v>7.4577500000000025</v>
      </c>
      <c r="AM88" s="103">
        <f t="array" ref="AM88">INDEX(Demand_previous!$D$4:$AY$137, MATCH('Staging Table'!$A88, Demand_previous!$B$4:$B$137, 0), MATCH(AM$4&amp;AM$5,Demand_previous!$D$2:$AY$2&amp;Demand_previous!$D$3:$AY$3, 0))/1000</f>
        <v>14.759081730769235</v>
      </c>
      <c r="AN88" s="103">
        <f t="array" ref="AN88">INDEX(Demand_previous!$D$4:$AY$137, MATCH('Staging Table'!$A88, Demand_previous!$B$4:$B$137, 0), MATCH(AN$4&amp;AN$5,Demand_previous!$D$2:$AY$2&amp;Demand_previous!$D$3:$AY$3, 0))/1000</f>
        <v>10.92605</v>
      </c>
      <c r="AO88" s="103">
        <f t="array" ref="AO88">INDEX(Demand_previous!$D$4:$AY$137, MATCH('Staging Table'!$A88, Demand_previous!$B$4:$B$137, 0), MATCH(AO$4&amp;AO$5,Demand_previous!$D$2:$AY$2&amp;Demand_previous!$D$3:$AY$3, 0))/1000</f>
        <v>7.5105721153846083</v>
      </c>
      <c r="AP88" s="103">
        <f t="array" ref="AP88">INDEX(Demand_previous!$D$4:$AY$137, MATCH('Staging Table'!$A88, Demand_previous!$B$4:$B$137, 0), MATCH(AP$4&amp;AP$5,Demand_previous!$D$2:$AY$2&amp;Demand_previous!$D$3:$AY$3, 0))/1000</f>
        <v>8.6750192307692302</v>
      </c>
      <c r="AQ88" s="103">
        <f t="array" ref="AQ88">INDEX(Demand_previous!$D$4:$AY$137, MATCH('Staging Table'!$A88, Demand_previous!$B$4:$B$137, 0), MATCH(AQ$4&amp;AQ$5,Demand_previous!$D$2:$AY$2&amp;Demand_previous!$D$3:$AY$3, 0))/1000</f>
        <v>4.7173076923076938</v>
      </c>
      <c r="AR88" s="103">
        <f t="array" ref="AR88">INDEX(Demand_previous!$D$4:$AY$137, MATCH('Staging Table'!$A88, Demand_previous!$B$4:$B$137, 0), MATCH(AR$4&amp;AR$5,Demand_previous!$D$2:$AY$2&amp;Demand_previous!$D$3:$AY$3, 0))/1000</f>
        <v>6.5214499999999962</v>
      </c>
      <c r="AS88" s="103">
        <f t="array" ref="AS88">INDEX(Demand_previous!$D$4:$AY$137, MATCH('Staging Table'!$A88, Demand_previous!$B$4:$B$137, 0), MATCH(AS$4&amp;AS$5,Demand_previous!$D$2:$AY$2&amp;Demand_previous!$D$3:$AY$3, 0))/1000</f>
        <v>9.1895048076923107</v>
      </c>
      <c r="AT88" s="103">
        <f t="array" ref="AT88">INDEX(Demand_previous!$D$4:$AY$137, MATCH('Staging Table'!$A88, Demand_previous!$B$4:$B$137, 0), MATCH(AT$4&amp;AT$5,Demand_previous!$D$2:$AY$2&amp;Demand_previous!$D$3:$AY$3, 0))/1000</f>
        <v>9.0551851851851879</v>
      </c>
      <c r="AU88" s="103">
        <f t="array" ref="AU88">INDEX(Demand_previous!$D$4:$AY$137, MATCH('Staging Table'!$A88, Demand_previous!$B$4:$B$137, 0), MATCH(AU$4&amp;AU$5,Demand_previous!$D$2:$AY$2&amp;Demand_previous!$D$3:$AY$3, 0))/1000</f>
        <v>2.6166979166666646</v>
      </c>
      <c r="AV88" s="102">
        <f>$F88*(VLOOKUP(AV$4, Rates_previous!$G$6:$Q$29, 10, FALSE)+VLOOKUP(AV$4, Rates_previous!$G$6:$Q$29, 11, FALSE))</f>
        <v>16481.1787746759</v>
      </c>
      <c r="AW88" s="102">
        <f>$F88*(VLOOKUP(AW$4, Rates_previous!$G$6:$Q$29, 10, FALSE)+VLOOKUP(AW$4, Rates_previous!$G$6:$Q$29, 11, FALSE))</f>
        <v>21018.937655429399</v>
      </c>
      <c r="AX88" s="102">
        <f>$F88*(VLOOKUP(AX$4, Rates_previous!$G$6:$Q$29, 10, FALSE)+VLOOKUP(AX$4, Rates_previous!$G$6:$Q$29, 11, FALSE))</f>
        <v>22683.592560771001</v>
      </c>
      <c r="AY88" s="102">
        <f>$F88*(VLOOKUP(AY$4, Rates_previous!$G$6:$Q$29, 10, FALSE)+VLOOKUP(AY$4, Rates_previous!$G$6:$Q$29, 11, FALSE))</f>
        <v>23571.759277910398</v>
      </c>
      <c r="AZ88" s="102">
        <f>$F88*(VLOOKUP(AZ$4, Rates_previous!$G$6:$Q$29, 10, FALSE)+VLOOKUP(AZ$4, Rates_previous!$G$6:$Q$29, 11, FALSE))</f>
        <v>20274.854893930795</v>
      </c>
      <c r="BA88" s="102">
        <f>$F88*(VLOOKUP(BA$4, Rates_previous!$G$6:$Q$29, 10, FALSE)+VLOOKUP(BA$4, Rates_previous!$G$6:$Q$29, 11, FALSE))</f>
        <v>22136.127324780598</v>
      </c>
      <c r="BB88" s="102">
        <f>$F88*(VLOOKUP(BB$4, Rates_previous!$G$6:$Q$29, 10, FALSE)+VLOOKUP(BB$4, Rates_previous!$G$6:$Q$29, 11, FALSE))</f>
        <v>17472.742133254047</v>
      </c>
      <c r="BC88" s="102">
        <f>$F88*(VLOOKUP(BC$4, Rates_previous!$G$6:$Q$29, 10, FALSE)+VLOOKUP(BC$4, Rates_previous!$G$6:$Q$29, 11, FALSE))</f>
        <v>21677.2780729929</v>
      </c>
      <c r="BD88" s="102">
        <f>$F88*(VLOOKUP(BD$4, Rates_previous!$G$6:$Q$29, 10, FALSE)+VLOOKUP(BD$4, Rates_previous!$G$6:$Q$29, 11, FALSE))</f>
        <v>22147.620891621296</v>
      </c>
      <c r="BE88" s="102">
        <f>$F88*(VLOOKUP(BE$4, Rates_previous!$G$6:$Q$29, 10, FALSE)+VLOOKUP(BE$4, Rates_previous!$G$6:$Q$29, 11, FALSE))</f>
        <v>19227.325705833897</v>
      </c>
      <c r="BF88" s="102">
        <f>$F88*(VLOOKUP(BF$4, Rates_previous!$G$6:$Q$29, 10, FALSE)+VLOOKUP(BF$4, Rates_previous!$G$6:$Q$29, 11, FALSE))</f>
        <v>18587.713166723912</v>
      </c>
      <c r="BG88" s="102">
        <f>$F88*(VLOOKUP(BG$4, Rates_previous!$G$6:$Q$29, 10, FALSE)+VLOOKUP(BG$4, Rates_previous!$G$6:$Q$29, 11, FALSE))</f>
        <v>17104.295602894799</v>
      </c>
      <c r="BH88" s="103">
        <f>IF($D88=0,IF(C88=0, MAX(BJ88 - (VLOOKUP($A88,TOCA_previous!$A$2:$AJ$136,MATCH("RHWM "&amp;Init!$D$1-2,TOCA_previous!$A$2:$AJ$2,0),FALSE)*$F$2*TOCA_previous!C85),0),0), 0)</f>
        <v>0</v>
      </c>
      <c r="BI88" s="109">
        <f>MIN(VLOOKUP($A88,TOCA_previous!$A$2:$AJ$136,MATCH("TRL - NLSL - Existing Resource "&amp;$F$1,TOCA_previous!$A$2:$AJ$2,0),FALSE)*$F$2,(VLOOKUP($A88,TOCA_previous!$A$2:$AJ$136,MATCH("RHWM "&amp;Init!$D$1-2,TOCA_previous!$A$2:$AJ$2,0),FALSE)*$F$2))</f>
        <v>237036.24</v>
      </c>
      <c r="BJ88" s="261">
        <f>SUM(L88:AI88)+(F88*RT1SC!$C$3*$F$2)</f>
        <v>226363.13311103702</v>
      </c>
      <c r="BK88" s="260">
        <f>VLOOKUP($A88,TOCA_previous!$A$2:$AJ$136,MATCH("Above RHWM Not Served with LS "&amp;$F$1,TOCA_previous!$A$2:$AJ$2,0),FALSE)*$F$2</f>
        <v>56964.240000000005</v>
      </c>
      <c r="BL88" s="261">
        <f t="shared" si="36"/>
        <v>-10673.106888962968</v>
      </c>
      <c r="BM88" s="260">
        <f>(VLOOKUP($A88,TOCA_previous!$A$2:$AJ$136,MATCH("RHWM "&amp;Init!$D$1-2,TOCA_previous!$A$2:$AJ$2,0),FALSE)*$F$2) - $BI88</f>
        <v>0</v>
      </c>
      <c r="BN88" s="261">
        <f t="shared" si="37"/>
        <v>0</v>
      </c>
      <c r="BO88" s="260">
        <f t="shared" si="38"/>
        <v>0</v>
      </c>
      <c r="BP88" s="261">
        <f t="shared" si="39"/>
        <v>0</v>
      </c>
      <c r="BQ88" s="260">
        <f t="shared" si="9"/>
        <v>0</v>
      </c>
      <c r="BR88" s="85">
        <f>VLOOKUP($A88,TOCA_current!$A$2:$ZZ$136,MATCH(BR$4,TOCA_current!$A$2:$ZZ$2,0),FALSE)</f>
        <v>3.8175000000000001E-3</v>
      </c>
      <c r="BS88" s="85">
        <f>VLOOKUP($A88,TOCA_current!$A$2:$ZZ$136,MATCH(BS$4,TOCA_current!$A$2:$ZZ$2,0),FALSE)</f>
        <v>3.8175000000000001E-3</v>
      </c>
      <c r="BT88" s="108">
        <f t="shared" si="40"/>
        <v>0</v>
      </c>
      <c r="BU88" s="85">
        <f>VLOOKUP($A88,TOCA_current!A85:BG219,MATCH(BU$4,TOCA_current!$A$2:$BG$2,0),FALSE)</f>
        <v>7.7458273460815755E-2</v>
      </c>
      <c r="BV88" s="85">
        <f t="shared" si="41"/>
        <v>0</v>
      </c>
      <c r="BW88" s="85">
        <f t="shared" si="42"/>
        <v>0</v>
      </c>
      <c r="BX88" s="101">
        <f>VLOOKUP($A88,IRD!$A$4:$G$138, 7, FALSE)</f>
        <v>0</v>
      </c>
      <c r="BY88" s="102">
        <f t="array" ref="BY88">IF($BT88=0, INDEX(LS_current!$D$4:$BW$137, MATCH('Staging Table'!$A88, LS_current!$B$4:$B$137, 0), MATCH(BY$4&amp;BY$5, LS_current!$D$2:$BW$2&amp;LS_current!$D$3:$BW$3, 0)),SUM(VLOOKUP($A88, LS_current!$B$4:$BW$137, LS_current!D$147, FALSE), VLOOKUP($A88, LS_current!$B$4:$BW$137,LS_current!AZ$147, FALSE))/2)</f>
        <v>2118.6278675457488</v>
      </c>
      <c r="BZ88" s="102">
        <f t="array" ref="BZ88">IF($BT88=0, INDEX(LS_current!$D$4:$BW$137, MATCH('Staging Table'!$A88, LS_current!$B$4:$B$137, 0), MATCH(BZ$4&amp;BZ$5, LS_current!$D$2:$BW$2&amp;LS_current!$D$3:$BW$3, 0)),SUM(VLOOKUP($A88, LS_current!$B$4:$BW$137, LS_current!E$147, FALSE), VLOOKUP($A88, LS_current!$B$4:$BW$137,LS_current!BA$147, FALSE))/2)</f>
        <v>858.2951863282542</v>
      </c>
      <c r="CA88" s="102">
        <f t="array" ref="CA88">IF($BT88=0, INDEX(LS_current!$D$4:$BW$137, MATCH('Staging Table'!$A88, LS_current!$B$4:$B$137, 0), MATCH(CA$4&amp;CA$5, LS_current!$D$2:$BW$2&amp;LS_current!$D$3:$BW$3, 0)),SUM(VLOOKUP($A88, LS_current!$B$4:$BW$137, LS_current!F$147, FALSE), VLOOKUP($A88, LS_current!$B$4:$BW$137,LS_current!BB$147, FALSE))/2)</f>
        <v>-35.142965036984606</v>
      </c>
      <c r="CB88" s="102">
        <f t="array" ref="CB88">IF($BT88=0, INDEX(LS_current!$D$4:$BW$137, MATCH('Staging Table'!$A88, LS_current!$B$4:$B$137, 0), MATCH(CB$4&amp;CB$5, LS_current!$D$2:$BW$2&amp;LS_current!$D$3:$BW$3, 0)),SUM(VLOOKUP($A88, LS_current!$B$4:$BW$137, LS_current!G$147, FALSE), VLOOKUP($A88, LS_current!$B$4:$BW$137,LS_current!BC$147, FALSE))/2)</f>
        <v>1182.2426282918941</v>
      </c>
      <c r="CC88" s="102">
        <f t="array" ref="CC88">IF($BT88=0, INDEX(LS_current!$D$4:$BW$137, MATCH('Staging Table'!$A88, LS_current!$B$4:$B$137, 0), MATCH(CC$4&amp;CC$5, LS_current!$D$2:$BW$2&amp;LS_current!$D$3:$BW$3, 0)),SUM(VLOOKUP($A88, LS_current!$B$4:$BW$137, LS_current!H$147, FALSE), VLOOKUP($A88, LS_current!$B$4:$BW$137,LS_current!BD$147, FALSE))/2)</f>
        <v>2223.382874091727</v>
      </c>
      <c r="CD88" s="102">
        <f t="array" ref="CD88">IF($BT88=0, INDEX(LS_current!$D$4:$BW$137, MATCH('Staging Table'!$A88, LS_current!$B$4:$B$137, 0), MATCH(CD$4&amp;CD$5, LS_current!$D$2:$BW$2&amp;LS_current!$D$3:$BW$3, 0)),SUM(VLOOKUP($A88, LS_current!$B$4:$BW$137, LS_current!I$147, FALSE), VLOOKUP($A88, LS_current!$B$4:$BW$137,LS_current!BE$147, FALSE))/2)</f>
        <v>3007.4969802559772</v>
      </c>
      <c r="CE88" s="102">
        <f t="array" ref="CE88">IF($BT88=0, INDEX(LS_current!$D$4:$BW$137, MATCH('Staging Table'!$A88, LS_current!$B$4:$B$137, 0), MATCH(CE$4&amp;CE$5, LS_current!$D$2:$BW$2&amp;LS_current!$D$3:$BW$3, 0)),SUM(VLOOKUP($A88, LS_current!$B$4:$BW$137, LS_current!J$147, FALSE), VLOOKUP($A88, LS_current!$B$4:$BW$137,LS_current!BF$147, FALSE))/2)</f>
        <v>1469.4650896547373</v>
      </c>
      <c r="CF88" s="102">
        <f t="array" ref="CF88">IF($BT88=0, INDEX(LS_current!$D$4:$BW$137, MATCH('Staging Table'!$A88, LS_current!$B$4:$B$137, 0), MATCH(CF$4&amp;CF$5, LS_current!$D$2:$BW$2&amp;LS_current!$D$3:$BW$3, 0)),SUM(VLOOKUP($A88, LS_current!$B$4:$BW$137, LS_current!K$147, FALSE), VLOOKUP($A88, LS_current!$B$4:$BW$137,LS_current!BG$147, FALSE))/2)</f>
        <v>2398.1814776636402</v>
      </c>
      <c r="CG88" s="102">
        <f t="array" ref="CG88">IF($BT88=0, INDEX(LS_current!$D$4:$BW$137, MATCH('Staging Table'!$A88, LS_current!$B$4:$B$137, 0), MATCH(CG$4&amp;CG$5, LS_current!$D$2:$BW$2&amp;LS_current!$D$3:$BW$3, 0)),SUM(VLOOKUP($A88, LS_current!$B$4:$BW$137, LS_current!L$147, FALSE), VLOOKUP($A88, LS_current!$B$4:$BW$137,LS_current!BH$147, FALSE))/2)</f>
        <v>768.49301572719196</v>
      </c>
      <c r="CH88" s="102">
        <f t="array" ref="CH88">IF($BT88=0, INDEX(LS_current!$D$4:$BW$137, MATCH('Staging Table'!$A88, LS_current!$B$4:$B$137, 0), MATCH(CH$4&amp;CH$5, LS_current!$D$2:$BW$2&amp;LS_current!$D$3:$BW$3, 0)),SUM(VLOOKUP($A88, LS_current!$B$4:$BW$137, LS_current!M$147, FALSE), VLOOKUP($A88, LS_current!$B$4:$BW$137,LS_current!BI$147, FALSE))/2)</f>
        <v>1564.3337790858013</v>
      </c>
      <c r="CI88" s="102">
        <f t="array" ref="CI88">IF($BT88=0, INDEX(LS_current!$D$4:$BW$137, MATCH('Staging Table'!$A88, LS_current!$B$4:$B$137, 0), MATCH(CI$4&amp;CI$5, LS_current!$D$2:$BW$2&amp;LS_current!$D$3:$BW$3, 0)),SUM(VLOOKUP($A88, LS_current!$B$4:$BW$137, LS_current!N$147, FALSE), VLOOKUP($A88, LS_current!$B$4:$BW$137,LS_current!BJ$147, FALSE))/2)</f>
        <v>-604.28979555521437</v>
      </c>
      <c r="CJ88" s="102">
        <f t="array" ref="CJ88">IF($BT88=0, INDEX(LS_current!$D$4:$BW$137, MATCH('Staging Table'!$A88, LS_current!$B$4:$B$137, 0), MATCH(CJ$4&amp;CJ$5, LS_current!$D$2:$BW$2&amp;LS_current!$D$3:$BW$3, 0)),SUM(VLOOKUP($A88, LS_current!$B$4:$BW$137, LS_current!O$147, FALSE), VLOOKUP($A88, LS_current!$B$4:$BW$137,LS_current!BK$147, FALSE))/2)</f>
        <v>1759.564273978468</v>
      </c>
      <c r="CK88" s="102">
        <f t="array" ref="CK88">IF($BT88=0, INDEX(LS_current!$D$4:$BW$137, MATCH('Staging Table'!$A88, LS_current!$B$4:$B$137, 0), MATCH(CK$4&amp;CK$5, LS_current!$D$2:$BW$2&amp;LS_current!$D$3:$BW$3, 0)),SUM(VLOOKUP($A88, LS_current!$B$4:$BW$137, LS_current!P$147, FALSE), VLOOKUP($A88, LS_current!$B$4:$BW$137,LS_current!BL$147, FALSE))/2)</f>
        <v>1714.0311204877289</v>
      </c>
      <c r="CL88" s="102">
        <f t="array" ref="CL88">IF($BT88=0, INDEX(LS_current!$D$4:$BW$137, MATCH('Staging Table'!$A88, LS_current!$B$4:$B$137, 0), MATCH(CL$4&amp;CL$5, LS_current!$D$2:$BW$2&amp;LS_current!$D$3:$BW$3, 0)),SUM(VLOOKUP($A88, LS_current!$B$4:$BW$137, LS_current!Q$147, FALSE), VLOOKUP($A88, LS_current!$B$4:$BW$137,LS_current!BM$147, FALSE))/2)</f>
        <v>938.3733242840708</v>
      </c>
      <c r="CM88" s="102">
        <f t="array" ref="CM88">IF($BT88=0, INDEX(LS_current!$D$4:$BW$137, MATCH('Staging Table'!$A88, LS_current!$B$4:$B$137, 0), MATCH(CM$4&amp;CM$5, LS_current!$D$2:$BW$2&amp;LS_current!$D$3:$BW$3, 0)),SUM(VLOOKUP($A88, LS_current!$B$4:$BW$137, LS_current!R$147, FALSE), VLOOKUP($A88, LS_current!$B$4:$BW$137,LS_current!BN$147, FALSE))/2)</f>
        <v>-4479.4148356955466</v>
      </c>
      <c r="CN88" s="102">
        <f t="array" ref="CN88">IF($BT88=0, INDEX(LS_current!$D$4:$BW$137, MATCH('Staging Table'!$A88, LS_current!$B$4:$B$137, 0), MATCH(CN$4&amp;CN$5, LS_current!$D$2:$BW$2&amp;LS_current!$D$3:$BW$3, 0)),SUM(VLOOKUP($A88, LS_current!$B$4:$BW$137, LS_current!S$147, FALSE), VLOOKUP($A88, LS_current!$B$4:$BW$137,LS_current!BO$147, FALSE))/2)</f>
        <v>-2447.5728903484551</v>
      </c>
      <c r="CO88" s="102">
        <f t="array" ref="CO88">IF($BT88=0, INDEX(LS_current!$D$4:$BW$137, MATCH('Staging Table'!$A88, LS_current!$B$4:$B$137, 0), MATCH(CO$4&amp;CO$5, LS_current!$D$2:$BW$2&amp;LS_current!$D$3:$BW$3, 0)),SUM(VLOOKUP($A88, LS_current!$B$4:$BW$137, LS_current!T$147, FALSE), VLOOKUP($A88, LS_current!$B$4:$BW$137,LS_current!BP$147, FALSE))/2)</f>
        <v>-4309.5533489842019</v>
      </c>
      <c r="CP88" s="102">
        <f t="array" ref="CP88">IF($BT88=0, INDEX(LS_current!$D$4:$BW$137, MATCH('Staging Table'!$A88, LS_current!$B$4:$B$137, 0), MATCH(CP$4&amp;CP$5, LS_current!$D$2:$BW$2&amp;LS_current!$D$3:$BW$3, 0)),SUM(VLOOKUP($A88, LS_current!$B$4:$BW$137, LS_current!U$147, FALSE), VLOOKUP($A88, LS_current!$B$4:$BW$137,LS_current!BQ$147, FALSE))/2)</f>
        <v>-2239.795120638526</v>
      </c>
      <c r="CQ88" s="102">
        <f t="array" ref="CQ88">IF($BT88=0, INDEX(LS_current!$D$4:$BW$137, MATCH('Staging Table'!$A88, LS_current!$B$4:$B$137, 0), MATCH(CQ$4&amp;CQ$5, LS_current!$D$2:$BW$2&amp;LS_current!$D$3:$BW$3, 0)),SUM(VLOOKUP($A88, LS_current!$B$4:$BW$137, LS_current!V$147, FALSE), VLOOKUP($A88, LS_current!$B$4:$BW$137,LS_current!BR$147, FALSE))/2)</f>
        <v>-840.98709955883169</v>
      </c>
      <c r="CR88" s="102">
        <f t="array" ref="CR88">IF($BT88=0, INDEX(LS_current!$D$4:$BW$137, MATCH('Staging Table'!$A88, LS_current!$B$4:$B$137, 0), MATCH(CR$4&amp;CR$5, LS_current!$D$2:$BW$2&amp;LS_current!$D$3:$BW$3, 0)),SUM(VLOOKUP($A88, LS_current!$B$4:$BW$137, LS_current!W$147, FALSE), VLOOKUP($A88, LS_current!$B$4:$BW$137,LS_current!BS$147, FALSE))/2)</f>
        <v>-656.20123102800972</v>
      </c>
      <c r="CS88" s="102">
        <f t="array" ref="CS88">IF($BT88=0, INDEX(LS_current!$D$4:$BW$137, MATCH('Staging Table'!$A88, LS_current!$B$4:$B$137, 0), MATCH(CS$4&amp;CS$5, LS_current!$D$2:$BW$2&amp;LS_current!$D$3:$BW$3, 0)),SUM(VLOOKUP($A88, LS_current!$B$4:$BW$137, LS_current!X$147, FALSE), VLOOKUP($A88, LS_current!$B$4:$BW$137,LS_current!BT$147, FALSE))/2)</f>
        <v>-2395.0560905609236</v>
      </c>
      <c r="CT88" s="102">
        <f t="array" ref="CT88">IF($BT88=0, INDEX(LS_current!$D$4:$BW$137, MATCH('Staging Table'!$A88, LS_current!$B$4:$B$137, 0), MATCH(CT$4&amp;CT$5, LS_current!$D$2:$BW$2&amp;LS_current!$D$3:$BW$3, 0)),SUM(VLOOKUP($A88, LS_current!$B$4:$BW$137, LS_current!Y$147, FALSE), VLOOKUP($A88, LS_current!$B$4:$BW$137,LS_current!BU$147, FALSE))/2)</f>
        <v>-206.1928365906515</v>
      </c>
      <c r="CU88" s="102">
        <f t="array" ref="CU88">IF($BT88=0, INDEX(LS_current!$D$4:$BW$137, MATCH('Staging Table'!$A88, LS_current!$B$4:$B$137, 0), MATCH(CU$4&amp;CU$5, LS_current!$D$2:$BW$2&amp;LS_current!$D$3:$BW$3, 0)),SUM(VLOOKUP($A88, LS_current!$B$4:$BW$137, LS_current!Z$147, FALSE), VLOOKUP($A88, LS_current!$B$4:$BW$137,LS_current!BV$147, FALSE))/2)</f>
        <v>-1169.6623469914939</v>
      </c>
      <c r="CV88" s="102">
        <f t="array" ref="CV88">IF($BT88=0, INDEX(LS_current!$D$4:$BW$137, MATCH('Staging Table'!$A88, LS_current!$B$4:$B$137, 0), MATCH(CV$4&amp;CV$5, LS_current!$D$2:$BW$2&amp;LS_current!$D$3:$BW$3, 0)),SUM(VLOOKUP($A88, LS_current!$B$4:$BW$137, LS_current!AA$147, FALSE), VLOOKUP($A88, LS_current!$B$4:$BW$137,LS_current!BW$147, FALSE))/2)</f>
        <v>-613.41431952117273</v>
      </c>
      <c r="CW88" s="103">
        <f t="array" ref="CW88">INDEX(Demand_current!$D$4:$BW$137, MATCH($A88, Demand_current!$B$4:$B$137, 0), MATCH(CW$4&amp;CW$5,Demand_current!$D$2:$BW$2&amp;Demand_current!$D$3:$BW$3, 0))/1000</f>
        <v>3.7864120370370333</v>
      </c>
      <c r="CX88" s="103">
        <f t="array" ref="CX88">INDEX(Demand_current!$D$4:$BW$137, MATCH($A88, Demand_current!$B$4:$B$137, 0), MATCH(CX$4&amp;CX$5,Demand_current!$D$2:$BW$2&amp;Demand_current!$D$3:$BW$3, 0))/1000</f>
        <v>5.1003541666666656</v>
      </c>
      <c r="CY88" s="103">
        <f t="array" ref="CY88">INDEX(Demand_current!$D$4:$BW$137, MATCH($A88, Demand_current!$B$4:$B$137, 0), MATCH(CY$4&amp;CY$5,Demand_current!$D$2:$BW$2&amp;Demand_current!$D$3:$BW$3, 0))/1000</f>
        <v>9.2990288461538508</v>
      </c>
      <c r="CZ88" s="103">
        <f t="array" ref="CZ88">INDEX(Demand_current!$D$4:$BW$137, MATCH($A88, Demand_current!$B$4:$B$137, 0), MATCH(CZ$4&amp;CZ$5,Demand_current!$D$2:$BW$2&amp;Demand_current!$D$3:$BW$3, 0))/1000</f>
        <v>14.759081730769235</v>
      </c>
      <c r="DA88" s="103">
        <f t="array" ref="DA88">INDEX(Demand_current!$D$4:$BW$137, MATCH($A88, Demand_current!$B$4:$B$137, 0), MATCH(DA$4&amp;DA$5,Demand_current!$D$2:$BW$2&amp;Demand_current!$D$3:$BW$3, 0))/1000</f>
        <v>9.3544270833333307</v>
      </c>
      <c r="DB88" s="103">
        <f t="array" ref="DB88">INDEX(Demand_current!$D$4:$BW$137, MATCH($A88, Demand_current!$B$4:$B$137, 0), MATCH(DB$4&amp;DB$5,Demand_current!$D$2:$BW$2&amp;Demand_current!$D$3:$BW$3, 0))/1000</f>
        <v>7.5105721153846083</v>
      </c>
      <c r="DC88" s="103">
        <f t="array" ref="DC88">INDEX(Demand_current!$D$4:$BW$137, MATCH($A88, Demand_current!$B$4:$B$137, 0), MATCH(DC$4&amp;DC$5,Demand_current!$D$2:$BW$2&amp;Demand_current!$D$3:$BW$3, 0))/1000</f>
        <v>8.6750192307692302</v>
      </c>
      <c r="DD88" s="103">
        <f t="array" ref="DD88">INDEX(Demand_current!$D$4:$BW$137, MATCH($A88, Demand_current!$B$4:$B$137, 0), MATCH(DD$4&amp;DD$5,Demand_current!$D$2:$BW$2&amp;Demand_current!$D$3:$BW$3, 0))/1000</f>
        <v>3.7118000000000064</v>
      </c>
      <c r="DE88" s="103">
        <f t="array" ref="DE88">INDEX(Demand_current!$D$4:$BW$137, MATCH($A88, Demand_current!$B$4:$B$137, 0), MATCH(DE$4&amp;DE$5,Demand_current!$D$2:$BW$2&amp;Demand_current!$D$3:$BW$3, 0))/1000</f>
        <v>7.6740480769230732</v>
      </c>
      <c r="DF88" s="103">
        <f t="array" ref="DF88">INDEX(Demand_current!$D$4:$BW$137, MATCH($A88, Demand_current!$B$4:$B$137, 0), MATCH(DF$4&amp;DF$5,Demand_current!$D$2:$BW$2&amp;Demand_current!$D$3:$BW$3, 0))/1000</f>
        <v>9.1895048076923107</v>
      </c>
      <c r="DG88" s="103">
        <f t="array" ref="DG88">INDEX(Demand_current!$D$4:$BW$137, MATCH($A88, Demand_current!$B$4:$B$137, 0), MATCH(DG$4&amp;DG$5,Demand_current!$D$2:$BW$2&amp;Demand_current!$D$3:$BW$3, 0))/1000</f>
        <v>7.9040384615384625</v>
      </c>
      <c r="DH88" s="103">
        <f t="array" ref="DH88">INDEX(Demand_current!$D$4:$BW$137, MATCH($A88, Demand_current!$B$4:$B$137, 0), MATCH(DH$4&amp;DH$5,Demand_current!$D$2:$BW$2&amp;Demand_current!$D$3:$BW$3, 0))/1000</f>
        <v>3.7085500000000007</v>
      </c>
      <c r="DI88" s="102">
        <f>$BS88*(VLOOKUP(DI$4, Rates_current!$H$6:$R$41, 10, FALSE)+VLOOKUP(DI$4, Rates_current!$H$6:$R$41, 11, FALSE))</f>
        <v>15843.722946126001</v>
      </c>
      <c r="DJ88" s="102">
        <f>$BS88*(VLOOKUP(DJ$4, Rates_current!$H$6:$R$41, 10, FALSE)+VLOOKUP(DJ$4, Rates_current!$H$6:$R$41, 11, FALSE))</f>
        <v>20255.678336745092</v>
      </c>
      <c r="DK88" s="102">
        <f>$BS88*(VLOOKUP(DK$4, Rates_current!$H$6:$R$41, 10, FALSE)+VLOOKUP(DK$4, Rates_current!$H$6:$R$41, 11, FALSE))</f>
        <v>23029.012145652294</v>
      </c>
      <c r="DL88" s="102">
        <f>$BS88*(VLOOKUP(DL$4, Rates_current!$H$6:$R$41, 10, FALSE)+VLOOKUP(DL$4, Rates_current!$H$6:$R$41, 11, FALSE))</f>
        <v>24297.405432681622</v>
      </c>
      <c r="DM88" s="102">
        <f>$BS88*(VLOOKUP(DM$4, Rates_current!$H$6:$R$41, 10, FALSE)+VLOOKUP(DM$4, Rates_current!$H$6:$R$41, 11, FALSE))</f>
        <v>19362.839205187011</v>
      </c>
      <c r="DN88" s="102">
        <f>$BS88*(VLOOKUP(DN$4, Rates_current!$H$6:$R$41, 10, FALSE)+VLOOKUP(DN$4, Rates_current!$H$6:$R$41, 11, FALSE))</f>
        <v>21167.559521576746</v>
      </c>
      <c r="DO88" s="102">
        <f>$BS88*(VLOOKUP(DO$4, Rates_current!$H$6:$R$41, 10, FALSE)+VLOOKUP(DO$4, Rates_current!$H$6:$R$41, 11, FALSE))</f>
        <v>16405.071555228202</v>
      </c>
      <c r="DP88" s="102">
        <f>$BS88*(VLOOKUP(DP$4, Rates_current!$H$6:$R$41, 10, FALSE)+VLOOKUP(DP$4, Rates_current!$H$6:$R$41, 11, FALSE))</f>
        <v>21230.863726044001</v>
      </c>
      <c r="DQ88" s="102">
        <f>$BS88*(VLOOKUP(DQ$4, Rates_current!$H$6:$R$41, 10, FALSE)+VLOOKUP(DQ$4, Rates_current!$H$6:$R$41, 11, FALSE))</f>
        <v>21684.204469622731</v>
      </c>
      <c r="DR88" s="102">
        <f>$BS88*(VLOOKUP(DR$4, Rates_current!$H$6:$R$41, 10, FALSE)+VLOOKUP(DR$4, Rates_current!$H$6:$R$41, 11, FALSE))</f>
        <v>19300.81733058684</v>
      </c>
      <c r="DS88" s="102">
        <f>$BS88*(VLOOKUP(DS$4, Rates_current!$H$6:$R$41, 10, FALSE)+VLOOKUP(DS$4, Rates_current!$H$6:$R$41, 11, FALSE))</f>
        <v>19799.098927151575</v>
      </c>
      <c r="DT88" s="102">
        <f>$BS88*(VLOOKUP(DT$4, Rates_current!$H$6:$R$41, 10, FALSE)+VLOOKUP(DT$4, Rates_current!$H$6:$R$41, 11, FALSE))</f>
        <v>15376.373666512667</v>
      </c>
      <c r="DU88" s="261">
        <f>IF(D88=0,IF(C88=0,MAX(0,DW88 - (VLOOKUP($A88,TOCA_current!$A$2:$AV$136,MATCH("RHWM "&amp;Init!$D$1,TOCA_current!$A$2:$AV$2,0),FALSE)*$BS$2)), 0),0)</f>
        <v>2.7060344852798153</v>
      </c>
      <c r="DV88" s="262">
        <f>MIN(VLOOKUP($A88,TOCA_current!$A$2:$AV$136,MATCH("TRL - NLSL - Existing Resource "&amp;$BS$1,TOCA_current!$A$2:$AV$2,0),FALSE)*$BS$2, VLOOKUP($A88,TOCA_current!$A$2:$AV$136,MATCH("RHWM "&amp;Init!$D$1,TOCA_current!$A$2:$AV$2,0),FALSE)*$BS$2)</f>
        <v>237755.15999999997</v>
      </c>
      <c r="DW88" s="262">
        <f>SUM(BY88:CV88)+(BS88*RT1SC!$C$4*$BS$2)</f>
        <v>237757.86603448525</v>
      </c>
      <c r="DX88" s="262">
        <f>VLOOKUP($A88,TOCA_current!$A$2:$AV$136,MATCH("Above RHWM Not Served with LS "&amp;$BS$1,TOCA_current!$A$2:$AV$2,0),FALSE)*$BS$2</f>
        <v>45569.52</v>
      </c>
      <c r="DY88" s="262">
        <f t="shared" si="43"/>
        <v>2.7060344852798153</v>
      </c>
      <c r="DZ88" s="262">
        <f>(VLOOKUP($A88,TOCA_current!$A$2:$AV$136,MATCH("RHWM "&amp;Init!$D$1,TOCA_current!$A$2:$AV$2,0),FALSE)*$BS$2) - $DV88</f>
        <v>0</v>
      </c>
      <c r="EA88" s="262">
        <f t="shared" si="44"/>
        <v>0</v>
      </c>
      <c r="EB88" s="262">
        <f t="shared" si="45"/>
        <v>0</v>
      </c>
      <c r="EC88" s="262">
        <f t="shared" si="46"/>
        <v>0</v>
      </c>
      <c r="ED88" s="262">
        <f t="shared" si="47"/>
        <v>0</v>
      </c>
    </row>
    <row r="89" spans="1:134">
      <c r="A89" s="2">
        <v>10260</v>
      </c>
      <c r="B89" s="3" t="s">
        <v>91</v>
      </c>
      <c r="C89">
        <f>VLOOKUP(A89, TOCA_current!$A$3:$D$136, 4, FALSE)</f>
        <v>0</v>
      </c>
      <c r="D89">
        <v>0</v>
      </c>
      <c r="E89" s="84">
        <f>VLOOKUP($A89,TOCA_previous!$A$2:$AJ$136,MATCH(E$4,TOCA_previous!$A$2:$AJ$2,0),FALSE)</f>
        <v>3.8053000000000002E-3</v>
      </c>
      <c r="F89" s="85">
        <f>VLOOKUP($A89,TOCA_previous!$A$2:$AJ$136,MATCH(F$4,TOCA_previous!$A$2:$AJ$2,0),FALSE)</f>
        <v>3.8053000000000002E-3</v>
      </c>
      <c r="G89" s="85">
        <f t="shared" si="33"/>
        <v>0</v>
      </c>
      <c r="H89" s="85">
        <f>VLOOKUP($A89,TOCA_previous!$A$2:$AJ$136,MATCH(H$4,TOCA_previous!$A$2:$AJ$2,0),FALSE)</f>
        <v>0</v>
      </c>
      <c r="I89" s="85">
        <f t="shared" si="34"/>
        <v>0</v>
      </c>
      <c r="J89" s="85">
        <f t="shared" si="35"/>
        <v>0</v>
      </c>
      <c r="K89" s="101">
        <f>VLOOKUP(A89, IRD!$A$5:$C$138, 3, FALSE)</f>
        <v>0</v>
      </c>
      <c r="L89" s="102">
        <f t="array" ref="L89">IF($G89=0, INDEX(LS_previous!$D$4:$AY$137, MATCH('Staging Table'!$A89, LS_previous!$B$4:$B$137, 0), MATCH(L$4&amp;L$5, LS_previous!$D$2:$AY$2&amp;LS_previous!$D$3:$AY$3, 0)),SUM(VLOOKUP($A89, LS_previous!$B$4:$AY$137, LS_previous!D$148, FALSE), VLOOKUP('Staging Table'!$A89, LS_previous!$B$4:$AY$137,LS_previous!AB$148, FALSE))/2)</f>
        <v>1825.0897098091991</v>
      </c>
      <c r="M89" s="102">
        <f t="array" ref="M89">IF($G89=0, INDEX(LS_previous!$D$4:$AY$137, MATCH('Staging Table'!$A89, LS_previous!$B$4:$B$137, 0), MATCH(M$4&amp;M$5, LS_previous!$D$2:$AY$2&amp;LS_previous!$D$3:$AY$3, 0)),SUM(VLOOKUP($A89, LS_previous!$B$4:$AY$137, LS_previous!E$148, FALSE), VLOOKUP('Staging Table'!$A89, LS_previous!$B$4:$AY$137,LS_previous!AC$148, FALSE))/2)</f>
        <v>363.98933655485052</v>
      </c>
      <c r="N89" s="102">
        <f t="array" ref="N89">IF($G89=0, INDEX(LS_previous!$D$4:$AY$137, MATCH('Staging Table'!$A89, LS_previous!$B$4:$B$137, 0), MATCH(N$4&amp;N$5, LS_previous!$D$2:$AY$2&amp;LS_previous!$D$3:$AY$3, 0)),SUM(VLOOKUP($A89, LS_previous!$B$4:$AY$137, LS_previous!F$148, FALSE), VLOOKUP('Staging Table'!$A89, LS_previous!$B$4:$AY$137,LS_previous!AD$148, FALSE))/2)</f>
        <v>-302.33462923840125</v>
      </c>
      <c r="O89" s="102">
        <f t="array" ref="O89">IF($G89=0, INDEX(LS_previous!$D$4:$AY$137, MATCH('Staging Table'!$A89, LS_previous!$B$4:$B$137, 0), MATCH(O$4&amp;O$5, LS_previous!$D$2:$AY$2&amp;LS_previous!$D$3:$AY$3, 0)),SUM(VLOOKUP($A89, LS_previous!$B$4:$AY$137, LS_previous!G$148, FALSE), VLOOKUP('Staging Table'!$A89, LS_previous!$B$4:$AY$137,LS_previous!AE$148, FALSE))/2)</f>
        <v>166.81704545570028</v>
      </c>
      <c r="P89" s="102">
        <f t="array" ref="P89">IF($G89=0, INDEX(LS_previous!$D$4:$AY$137, MATCH('Staging Table'!$A89, LS_previous!$B$4:$B$137, 0), MATCH(P$4&amp;P$5, LS_previous!$D$2:$AY$2&amp;LS_previous!$D$3:$AY$3, 0)),SUM(VLOOKUP($A89, LS_previous!$B$4:$AY$137, LS_previous!H$148, FALSE), VLOOKUP('Staging Table'!$A89, LS_previous!$B$4:$AY$137,LS_previous!AF$148, FALSE))/2)</f>
        <v>1461.1056173833003</v>
      </c>
      <c r="Q89" s="102">
        <f t="array" ref="Q89">IF($G89=0, INDEX(LS_previous!$D$4:$AY$137, MATCH('Staging Table'!$A89, LS_previous!$B$4:$B$137, 0), MATCH(Q$4&amp;Q$5, LS_previous!$D$2:$AY$2&amp;LS_previous!$D$3:$AY$3, 0)),SUM(VLOOKUP($A89, LS_previous!$B$4:$AY$137, LS_previous!I$148, FALSE), VLOOKUP('Staging Table'!$A89, LS_previous!$B$4:$AY$137,LS_previous!AG$148, FALSE))/2)</f>
        <v>1474.2361886111994</v>
      </c>
      <c r="R89" s="102">
        <f t="array" ref="R89">IF($G89=0, INDEX(LS_previous!$D$4:$AY$137, MATCH('Staging Table'!$A89, LS_previous!$B$4:$B$137, 0), MATCH(R$4&amp;R$5, LS_previous!$D$2:$AY$2&amp;LS_previous!$D$3:$AY$3, 0)),SUM(VLOOKUP($A89, LS_previous!$B$4:$AY$137, LS_previous!J$148, FALSE), VLOOKUP('Staging Table'!$A89, LS_previous!$B$4:$AY$137,LS_previous!AH$148, FALSE))/2)</f>
        <v>649.04831691050094</v>
      </c>
      <c r="S89" s="102">
        <f t="array" ref="S89">IF($G89=0, INDEX(LS_previous!$D$4:$AY$137, MATCH('Staging Table'!$A89, LS_previous!$B$4:$B$137, 0), MATCH(S$4&amp;S$5, LS_previous!$D$2:$AY$2&amp;LS_previous!$D$3:$AY$3, 0)),SUM(VLOOKUP($A89, LS_previous!$B$4:$AY$137, LS_previous!K$148, FALSE), VLOOKUP('Staging Table'!$A89, LS_previous!$B$4:$AY$137,LS_previous!AI$148, FALSE))/2)</f>
        <v>1335.4383582462997</v>
      </c>
      <c r="T89" s="102">
        <f t="array" ref="T89">IF($G89=0, INDEX(LS_previous!$D$4:$AY$137, MATCH('Staging Table'!$A89, LS_previous!$B$4:$B$137, 0), MATCH(T$4&amp;T$5, LS_previous!$D$2:$AY$2&amp;LS_previous!$D$3:$AY$3, 0)),SUM(VLOOKUP($A89, LS_previous!$B$4:$AY$137, LS_previous!L$148, FALSE), VLOOKUP('Staging Table'!$A89, LS_previous!$B$4:$AY$137,LS_previous!AJ$148, FALSE))/2)</f>
        <v>120.6786816413005</v>
      </c>
      <c r="U89" s="102">
        <f t="array" ref="U89">IF($G89=0, INDEX(LS_previous!$D$4:$AY$137, MATCH('Staging Table'!$A89, LS_previous!$B$4:$B$137, 0), MATCH(U$4&amp;U$5, LS_previous!$D$2:$AY$2&amp;LS_previous!$D$3:$AY$3, 0)),SUM(VLOOKUP($A89, LS_previous!$B$4:$AY$137, LS_previous!M$148, FALSE), VLOOKUP('Staging Table'!$A89, LS_previous!$B$4:$AY$137,LS_previous!AK$148, FALSE))/2)</f>
        <v>905.14107541729936</v>
      </c>
      <c r="V89" s="102">
        <f t="array" ref="V89">IF($G89=0, INDEX(LS_previous!$D$4:$AY$137, MATCH('Staging Table'!$A89, LS_previous!$B$4:$B$137, 0), MATCH(V$4&amp;V$5, LS_previous!$D$2:$AY$2&amp;LS_previous!$D$3:$AY$3, 0)),SUM(VLOOKUP($A89, LS_previous!$B$4:$AY$137, LS_previous!N$148, FALSE), VLOOKUP('Staging Table'!$A89, LS_previous!$B$4:$AY$137,LS_previous!AL$148, FALSE))/2)</f>
        <v>-234.12620069889999</v>
      </c>
      <c r="W89" s="102">
        <f t="array" ref="W89">IF($G89=0, INDEX(LS_previous!$D$4:$AY$137, MATCH('Staging Table'!$A89, LS_previous!$B$4:$B$137, 0), MATCH(W$4&amp;W$5, LS_previous!$D$2:$AY$2&amp;LS_previous!$D$3:$AY$3, 0)),SUM(VLOOKUP($A89, LS_previous!$B$4:$AY$137, LS_previous!O$148, FALSE), VLOOKUP('Staging Table'!$A89, LS_previous!$B$4:$AY$137,LS_previous!AM$148, FALSE))/2)</f>
        <v>-389.28679182339965</v>
      </c>
      <c r="X89" s="102">
        <f t="array" ref="X89">IF($G89=0, INDEX(LS_previous!$D$4:$AY$137, MATCH('Staging Table'!$A89, LS_previous!$B$4:$B$137, 0), MATCH(X$4&amp;X$5, LS_previous!$D$2:$AY$2&amp;LS_previous!$D$3:$AY$3, 0)),SUM(VLOOKUP($A89, LS_previous!$B$4:$AY$137, LS_previous!P$148, FALSE), VLOOKUP('Staging Table'!$A89, LS_previous!$B$4:$AY$137,LS_previous!AN$148, FALSE))/2)</f>
        <v>946.4426842792509</v>
      </c>
      <c r="Y89" s="102">
        <f t="array" ref="Y89">IF($G89=0, INDEX(LS_previous!$D$4:$AY$137, MATCH('Staging Table'!$A89, LS_previous!$B$4:$B$137, 0), MATCH(Y$4&amp;Y$5, LS_previous!$D$2:$AY$2&amp;LS_previous!$D$3:$AY$3, 0)),SUM(VLOOKUP($A89, LS_previous!$B$4:$AY$137, LS_previous!Q$148, FALSE), VLOOKUP('Staging Table'!$A89, LS_previous!$B$4:$AY$137,LS_previous!AO$148, FALSE))/2)</f>
        <v>226.77871400272579</v>
      </c>
      <c r="Z89" s="102">
        <f t="array" ref="Z89">IF($G89=0, INDEX(LS_previous!$D$4:$AY$137, MATCH('Staging Table'!$A89, LS_previous!$B$4:$B$137, 0), MATCH(Z$4&amp;Z$5, LS_previous!$D$2:$AY$2&amp;LS_previous!$D$3:$AY$3, 0)),SUM(VLOOKUP($A89, LS_previous!$B$4:$AY$137, LS_previous!R$148, FALSE), VLOOKUP('Staging Table'!$A89, LS_previous!$B$4:$AY$137,LS_previous!AP$148, FALSE))/2)</f>
        <v>-2421.7976516944</v>
      </c>
      <c r="AA89" s="102">
        <f t="array" ref="AA89">IF($G89=0, INDEX(LS_previous!$D$4:$AY$137, MATCH('Staging Table'!$A89, LS_previous!$B$4:$B$137, 0), MATCH(AA$4&amp;AA$5, LS_previous!$D$2:$AY$2&amp;LS_previous!$D$3:$AY$3, 0)),SUM(VLOOKUP($A89, LS_previous!$B$4:$AY$137, LS_previous!S$148, FALSE), VLOOKUP('Staging Table'!$A89, LS_previous!$B$4:$AY$137,LS_previous!AQ$148, FALSE))/2)</f>
        <v>-1659.862268840051</v>
      </c>
      <c r="AB89" s="102">
        <f t="array" ref="AB89">IF($G89=0, INDEX(LS_previous!$D$4:$AY$137, MATCH('Staging Table'!$A89, LS_previous!$B$4:$B$137, 0), MATCH(AB$4&amp;AB$5, LS_previous!$D$2:$AY$2&amp;LS_previous!$D$3:$AY$3, 0)),SUM(VLOOKUP($A89, LS_previous!$B$4:$AY$137, LS_previous!T$148, FALSE), VLOOKUP('Staging Table'!$A89, LS_previous!$B$4:$AY$137,LS_previous!AR$148, FALSE))/2)</f>
        <v>-2358.5511608078014</v>
      </c>
      <c r="AC89" s="102">
        <f t="array" ref="AC89">IF($G89=0, INDEX(LS_previous!$D$4:$AY$137, MATCH('Staging Table'!$A89, LS_previous!$B$4:$B$137, 0), MATCH(AC$4&amp;AC$5, LS_previous!$D$2:$AY$2&amp;LS_previous!$D$3:$AY$3, 0)),SUM(VLOOKUP($A89, LS_previous!$B$4:$AY$137, LS_previous!U$148, FALSE), VLOOKUP('Staging Table'!$A89, LS_previous!$B$4:$AY$137,LS_previous!AS$148, FALSE))/2)</f>
        <v>-1659.0673648888505</v>
      </c>
      <c r="AD89" s="102">
        <f t="array" ref="AD89">IF($G89=0, INDEX(LS_previous!$D$4:$AY$137, MATCH('Staging Table'!$A89, LS_previous!$B$4:$B$137, 0), MATCH(AD$4&amp;AD$5, LS_previous!$D$2:$AY$2&amp;LS_previous!$D$3:$AY$3, 0)),SUM(VLOOKUP($A89, LS_previous!$B$4:$AY$137, LS_previous!V$148, FALSE), VLOOKUP('Staging Table'!$A89, LS_previous!$B$4:$AY$137,LS_previous!AT$148, FALSE))/2)</f>
        <v>543.92702845080021</v>
      </c>
      <c r="AE89" s="102">
        <f t="array" ref="AE89">IF($G89=0, INDEX(LS_previous!$D$4:$AY$137, MATCH('Staging Table'!$A89, LS_previous!$B$4:$B$137, 0), MATCH(AE$4&amp;AE$5, LS_previous!$D$2:$AY$2&amp;LS_previous!$D$3:$AY$3, 0)),SUM(VLOOKUP($A89, LS_previous!$B$4:$AY$137, LS_previous!W$148, FALSE), VLOOKUP('Staging Table'!$A89, LS_previous!$B$4:$AY$137,LS_previous!AU$148, FALSE))/2)</f>
        <v>249.40198557424992</v>
      </c>
      <c r="AF89" s="102">
        <f t="array" ref="AF89">IF($G89=0, INDEX(LS_previous!$D$4:$AY$137, MATCH('Staging Table'!$A89, LS_previous!$B$4:$B$137, 0), MATCH(AF$4&amp;AF$5, LS_previous!$D$2:$AY$2&amp;LS_previous!$D$3:$AY$3, 0)),SUM(VLOOKUP($A89, LS_previous!$B$4:$AY$137, LS_previous!X$148, FALSE), VLOOKUP('Staging Table'!$A89, LS_previous!$B$4:$AY$137,LS_previous!AV$148, FALSE))/2)</f>
        <v>1147.4444103910482</v>
      </c>
      <c r="AG89" s="102">
        <f t="array" ref="AG89">IF($G89=0, INDEX(LS_previous!$D$4:$AY$137, MATCH('Staging Table'!$A89, LS_previous!$B$4:$B$137, 0), MATCH(AG$4&amp;AG$5, LS_previous!$D$2:$AY$2&amp;LS_previous!$D$3:$AY$3, 0)),SUM(VLOOKUP($A89, LS_previous!$B$4:$AY$137, LS_previous!Y$148, FALSE), VLOOKUP('Staging Table'!$A89, LS_previous!$B$4:$AY$137,LS_previous!AW$148, FALSE))/2)</f>
        <v>328.8506847467952</v>
      </c>
      <c r="AH89" s="102">
        <f t="array" ref="AH89">IF($G89=0, INDEX(LS_previous!$D$4:$AY$137, MATCH('Staging Table'!$A89, LS_previous!$B$4:$B$137, 0), MATCH(AH$4&amp;AH$5, LS_previous!$D$2:$AY$2&amp;LS_previous!$D$3:$AY$3, 0)),SUM(VLOOKUP($A89, LS_previous!$B$4:$AY$137, LS_previous!Z$148, FALSE), VLOOKUP('Staging Table'!$A89, LS_previous!$B$4:$AY$137,LS_previous!AX$148, FALSE))/2)</f>
        <v>394.76438594779756</v>
      </c>
      <c r="AI89" s="102">
        <f t="array" ref="AI89">IF($G89=0, INDEX(LS_previous!$D$4:$AY$137, MATCH('Staging Table'!$A89, LS_previous!$B$4:$B$137, 0), MATCH(AI$4&amp;AI$5, LS_previous!$D$2:$AY$2&amp;LS_previous!$D$3:$AY$3, 0)),SUM(VLOOKUP($A89, LS_previous!$B$4:$AY$137, LS_previous!AA$148, FALSE), VLOOKUP('Staging Table'!$A89, LS_previous!$B$4:$AY$137,LS_previous!AY$148, FALSE))/2)</f>
        <v>-91.91545145120017</v>
      </c>
      <c r="AJ89" s="103">
        <f t="array" ref="AJ89">INDEX(Demand_previous!$D$4:$AY$137, MATCH('Staging Table'!$A89, Demand_previous!$B$4:$B$137, 0), MATCH(AJ$4&amp;AJ$5,Demand_previous!$D$2:$AY$2&amp;Demand_previous!$D$3:$AY$3, 0))/1000</f>
        <v>0.32265144230769316</v>
      </c>
      <c r="AK89" s="103">
        <f t="array" ref="AK89">INDEX(Demand_previous!$D$4:$AY$137, MATCH('Staging Table'!$A89, Demand_previous!$B$4:$B$137, 0), MATCH(AK$4&amp;AK$5,Demand_previous!$D$2:$AY$2&amp;Demand_previous!$D$3:$AY$3, 0))/1000</f>
        <v>1.5339524999999963</v>
      </c>
      <c r="AL89" s="103">
        <f t="array" ref="AL89">INDEX(Demand_previous!$D$4:$AY$137, MATCH('Staging Table'!$A89, Demand_previous!$B$4:$B$137, 0), MATCH(AL$4&amp;AL$5,Demand_previous!$D$2:$AY$2&amp;Demand_previous!$D$3:$AY$3, 0))/1000</f>
        <v>6.2699749999999987</v>
      </c>
      <c r="AM89" s="103">
        <f t="array" ref="AM89">INDEX(Demand_previous!$D$4:$AY$137, MATCH('Staging Table'!$A89, Demand_previous!$B$4:$B$137, 0), MATCH(AM$4&amp;AM$5,Demand_previous!$D$2:$AY$2&amp;Demand_previous!$D$3:$AY$3, 0))/1000</f>
        <v>5.4630865384615372</v>
      </c>
      <c r="AN89" s="103">
        <f t="array" ref="AN89">INDEX(Demand_previous!$D$4:$AY$137, MATCH('Staging Table'!$A89, Demand_previous!$B$4:$B$137, 0), MATCH(AN$4&amp;AN$5,Demand_previous!$D$2:$AY$2&amp;Demand_previous!$D$3:$AY$3, 0))/1000</f>
        <v>7.5776175000000006</v>
      </c>
      <c r="AO89" s="103">
        <f t="array" ref="AO89">INDEX(Demand_previous!$D$4:$AY$137, MATCH('Staging Table'!$A89, Demand_previous!$B$4:$B$137, 0), MATCH(AO$4&amp;AO$5,Demand_previous!$D$2:$AY$2&amp;Demand_previous!$D$3:$AY$3, 0))/1000</f>
        <v>2.1851658653846151</v>
      </c>
      <c r="AP89" s="103">
        <f t="array" ref="AP89">INDEX(Demand_previous!$D$4:$AY$137, MATCH('Staging Table'!$A89, Demand_previous!$B$4:$B$137, 0), MATCH(AP$4&amp;AP$5,Demand_previous!$D$2:$AY$2&amp;Demand_previous!$D$3:$AY$3, 0))/1000</f>
        <v>4.7790649038461535</v>
      </c>
      <c r="AQ89" s="103">
        <f t="array" ref="AQ89">INDEX(Demand_previous!$D$4:$AY$137, MATCH('Staging Table'!$A89, Demand_previous!$B$4:$B$137, 0), MATCH(AQ$4&amp;AQ$5,Demand_previous!$D$2:$AY$2&amp;Demand_previous!$D$3:$AY$3, 0))/1000</f>
        <v>3.4984206730769229</v>
      </c>
      <c r="AR89" s="103">
        <f t="array" ref="AR89">INDEX(Demand_previous!$D$4:$AY$137, MATCH('Staging Table'!$A89, Demand_previous!$B$4:$B$137, 0), MATCH(AR$4&amp;AR$5,Demand_previous!$D$2:$AY$2&amp;Demand_previous!$D$3:$AY$3, 0))/1000</f>
        <v>7.300132500000001</v>
      </c>
      <c r="AS89" s="103">
        <f t="array" ref="AS89">INDEX(Demand_previous!$D$4:$AY$137, MATCH('Staging Table'!$A89, Demand_previous!$B$4:$B$137, 0), MATCH(AS$4&amp;AS$5,Demand_previous!$D$2:$AY$2&amp;Demand_previous!$D$3:$AY$3, 0))/1000</f>
        <v>7.911252403846154</v>
      </c>
      <c r="AT89" s="103">
        <f t="array" ref="AT89">INDEX(Demand_previous!$D$4:$AY$137, MATCH('Staging Table'!$A89, Demand_previous!$B$4:$B$137, 0), MATCH(AT$4&amp;AT$5,Demand_previous!$D$2:$AY$2&amp;Demand_previous!$D$3:$AY$3, 0))/1000</f>
        <v>9.4840740740740763</v>
      </c>
      <c r="AU89" s="103">
        <f t="array" ref="AU89">INDEX(Demand_previous!$D$4:$AY$137, MATCH('Staging Table'!$A89, Demand_previous!$B$4:$B$137, 0), MATCH(AU$4&amp;AU$5,Demand_previous!$D$2:$AY$2&amp;Demand_previous!$D$3:$AY$3, 0))/1000</f>
        <v>4.9918828125000045</v>
      </c>
      <c r="AV89" s="102">
        <f>$F89*(VLOOKUP(AV$4, Rates_previous!$G$6:$Q$29, 10, FALSE)+VLOOKUP(AV$4, Rates_previous!$G$6:$Q$29, 11, FALSE))</f>
        <v>16053.81395363595</v>
      </c>
      <c r="AW89" s="102">
        <f>$F89*(VLOOKUP(AW$4, Rates_previous!$G$6:$Q$29, 10, FALSE)+VLOOKUP(AW$4, Rates_previous!$G$6:$Q$29, 11, FALSE))</f>
        <v>20473.906583782704</v>
      </c>
      <c r="AX89" s="102">
        <f>$F89*(VLOOKUP(AX$4, Rates_previous!$G$6:$Q$29, 10, FALSE)+VLOOKUP(AX$4, Rates_previous!$G$6:$Q$29, 11, FALSE))</f>
        <v>22095.396194005501</v>
      </c>
      <c r="AY89" s="102">
        <f>$F89*(VLOOKUP(AY$4, Rates_previous!$G$6:$Q$29, 10, FALSE)+VLOOKUP(AY$4, Rates_previous!$G$6:$Q$29, 11, FALSE))</f>
        <v>22960.5323248432</v>
      </c>
      <c r="AZ89" s="102">
        <f>$F89*(VLOOKUP(AZ$4, Rates_previous!$G$6:$Q$29, 10, FALSE)+VLOOKUP(AZ$4, Rates_previous!$G$6:$Q$29, 11, FALSE))</f>
        <v>19749.1182429414</v>
      </c>
      <c r="BA89" s="102">
        <f>$F89*(VLOOKUP(BA$4, Rates_previous!$G$6:$Q$29, 10, FALSE)+VLOOKUP(BA$4, Rates_previous!$G$6:$Q$29, 11, FALSE))</f>
        <v>21562.126992522299</v>
      </c>
      <c r="BB89" s="102">
        <f>$F89*(VLOOKUP(BB$4, Rates_previous!$G$6:$Q$29, 10, FALSE)+VLOOKUP(BB$4, Rates_previous!$G$6:$Q$29, 11, FALSE))</f>
        <v>17019.665601718025</v>
      </c>
      <c r="BC89" s="102">
        <f>$F89*(VLOOKUP(BC$4, Rates_previous!$G$6:$Q$29, 10, FALSE)+VLOOKUP(BC$4, Rates_previous!$G$6:$Q$29, 11, FALSE))</f>
        <v>21115.17592053445</v>
      </c>
      <c r="BD89" s="102">
        <f>$F89*(VLOOKUP(BD$4, Rates_previous!$G$6:$Q$29, 10, FALSE)+VLOOKUP(BD$4, Rates_previous!$G$6:$Q$29, 11, FALSE))</f>
        <v>21573.322525696651</v>
      </c>
      <c r="BE89" s="102">
        <f>$F89*(VLOOKUP(BE$4, Rates_previous!$G$6:$Q$29, 10, FALSE)+VLOOKUP(BE$4, Rates_previous!$G$6:$Q$29, 11, FALSE))</f>
        <v>18728.751985974952</v>
      </c>
      <c r="BF89" s="102">
        <f>$F89*(VLOOKUP(BF$4, Rates_previous!$G$6:$Q$29, 10, FALSE)+VLOOKUP(BF$4, Rates_previous!$G$6:$Q$29, 11, FALSE))</f>
        <v>18105.724904862156</v>
      </c>
      <c r="BG89" s="102">
        <f>$F89*(VLOOKUP(BG$4, Rates_previous!$G$6:$Q$29, 10, FALSE)+VLOOKUP(BG$4, Rates_previous!$G$6:$Q$29, 11, FALSE))</f>
        <v>16660.773065503403</v>
      </c>
      <c r="BH89" s="103">
        <f>IF($D89=0,IF(C89=0, MAX(BJ89 - (VLOOKUP($A89,TOCA_previous!$A$2:$AJ$136,MATCH("RHWM "&amp;Init!$D$1-2,TOCA_previous!$A$2:$AJ$2,0),FALSE)*$F$2*TOCA_previous!C86),0),0), 0)</f>
        <v>8233.082082227309</v>
      </c>
      <c r="BI89" s="109">
        <f>MIN(VLOOKUP($A89,TOCA_previous!$A$2:$AJ$136,MATCH("TRL - NLSL - Existing Resource "&amp;$F$1,TOCA_previous!$A$2:$AJ$2,0),FALSE)*$F$2,(VLOOKUP($A89,TOCA_previous!$A$2:$AJ$136,MATCH("RHWM "&amp;Init!$D$1-2,TOCA_previous!$A$2:$AJ$2,0),FALSE)*$F$2))</f>
        <v>230887.44</v>
      </c>
      <c r="BJ89" s="261">
        <f>SUM(L89:AI89)+(F89*RT1SC!$C$3*$F$2)</f>
        <v>239120.52208222731</v>
      </c>
      <c r="BK89" s="260">
        <f>VLOOKUP($A89,TOCA_previous!$A$2:$AJ$136,MATCH("Above RHWM Not Served with LS "&amp;$F$1,TOCA_previous!$A$2:$AJ$2,0),FALSE)*$F$2</f>
        <v>0</v>
      </c>
      <c r="BL89" s="261">
        <f t="shared" si="36"/>
        <v>8233.082082227309</v>
      </c>
      <c r="BM89" s="260">
        <f>(VLOOKUP($A89,TOCA_previous!$A$2:$AJ$136,MATCH("RHWM "&amp;Init!$D$1-2,TOCA_previous!$A$2:$AJ$2,0),FALSE)*$F$2) - $BI89</f>
        <v>0</v>
      </c>
      <c r="BN89" s="261">
        <f t="shared" si="37"/>
        <v>0</v>
      </c>
      <c r="BO89" s="260">
        <f t="shared" si="38"/>
        <v>0</v>
      </c>
      <c r="BP89" s="261">
        <f t="shared" si="39"/>
        <v>0</v>
      </c>
      <c r="BQ89" s="260">
        <f t="shared" si="9"/>
        <v>0</v>
      </c>
      <c r="BR89" s="85">
        <f>VLOOKUP($A89,TOCA_current!$A$2:$ZZ$136,MATCH(BR$4,TOCA_current!$A$2:$ZZ$2,0),FALSE)</f>
        <v>3.7184000000000002E-3</v>
      </c>
      <c r="BS89" s="85">
        <f>VLOOKUP($A89,TOCA_current!$A$2:$ZZ$136,MATCH(BS$4,TOCA_current!$A$2:$ZZ$2,0),FALSE)</f>
        <v>3.7184000000000002E-3</v>
      </c>
      <c r="BT89" s="108">
        <f t="shared" si="40"/>
        <v>0</v>
      </c>
      <c r="BU89" s="85">
        <f>VLOOKUP($A89,TOCA_current!A86:BG220,MATCH(BU$4,TOCA_current!$A$2:$BG$2,0),FALSE)</f>
        <v>0</v>
      </c>
      <c r="BV89" s="85">
        <f t="shared" si="41"/>
        <v>0</v>
      </c>
      <c r="BW89" s="85">
        <f t="shared" si="42"/>
        <v>0</v>
      </c>
      <c r="BX89" s="101">
        <f>VLOOKUP($A89,IRD!$A$4:$G$138, 7, FALSE)</f>
        <v>0</v>
      </c>
      <c r="BY89" s="102">
        <f t="array" ref="BY89">IF($BT89=0, INDEX(LS_current!$D$4:$BW$137, MATCH('Staging Table'!$A89, LS_current!$B$4:$B$137, 0), MATCH(BY$4&amp;BY$5, LS_current!$D$2:$BW$2&amp;LS_current!$D$3:$BW$3, 0)),SUM(VLOOKUP($A89, LS_current!$B$4:$BW$137, LS_current!D$147, FALSE), VLOOKUP($A89, LS_current!$B$4:$BW$137,LS_current!AZ$147, FALSE))/2)</f>
        <v>1921.9637023659743</v>
      </c>
      <c r="BZ89" s="102">
        <f t="array" ref="BZ89">IF($BT89=0, INDEX(LS_current!$D$4:$BW$137, MATCH('Staging Table'!$A89, LS_current!$B$4:$B$137, 0), MATCH(BZ$4&amp;BZ$5, LS_current!$D$2:$BW$2&amp;LS_current!$D$3:$BW$3, 0)),SUM(VLOOKUP($A89, LS_current!$B$4:$BW$137, LS_current!E$147, FALSE), VLOOKUP($A89, LS_current!$B$4:$BW$137,LS_current!BA$147, FALSE))/2)</f>
        <v>888.49985352795738</v>
      </c>
      <c r="CA89" s="102">
        <f t="array" ref="CA89">IF($BT89=0, INDEX(LS_current!$D$4:$BW$137, MATCH('Staging Table'!$A89, LS_current!$B$4:$B$137, 0), MATCH(CA$4&amp;CA$5, LS_current!$D$2:$BW$2&amp;LS_current!$D$3:$BW$3, 0)),SUM(VLOOKUP($A89, LS_current!$B$4:$BW$137, LS_current!F$147, FALSE), VLOOKUP($A89, LS_current!$B$4:$BW$137,LS_current!BB$147, FALSE))/2)</f>
        <v>200.3189161772043</v>
      </c>
      <c r="CB89" s="102">
        <f t="array" ref="CB89">IF($BT89=0, INDEX(LS_current!$D$4:$BW$137, MATCH('Staging Table'!$A89, LS_current!$B$4:$B$137, 0), MATCH(CB$4&amp;CB$5, LS_current!$D$2:$BW$2&amp;LS_current!$D$3:$BW$3, 0)),SUM(VLOOKUP($A89, LS_current!$B$4:$BW$137, LS_current!G$147, FALSE), VLOOKUP($A89, LS_current!$B$4:$BW$137,LS_current!BC$147, FALSE))/2)</f>
        <v>408.21695288554838</v>
      </c>
      <c r="CC89" s="102">
        <f t="array" ref="CC89">IF($BT89=0, INDEX(LS_current!$D$4:$BW$137, MATCH('Staging Table'!$A89, LS_current!$B$4:$B$137, 0), MATCH(CC$4&amp;CC$5, LS_current!$D$2:$BW$2&amp;LS_current!$D$3:$BW$3, 0)),SUM(VLOOKUP($A89, LS_current!$B$4:$BW$137, LS_current!H$147, FALSE), VLOOKUP($A89, LS_current!$B$4:$BW$137,LS_current!BD$147, FALSE))/2)</f>
        <v>478.93451809369435</v>
      </c>
      <c r="CD89" s="102">
        <f t="array" ref="CD89">IF($BT89=0, INDEX(LS_current!$D$4:$BW$137, MATCH('Staging Table'!$A89, LS_current!$B$4:$B$137, 0), MATCH(CD$4&amp;CD$5, LS_current!$D$2:$BW$2&amp;LS_current!$D$3:$BW$3, 0)),SUM(VLOOKUP($A89, LS_current!$B$4:$BW$137, LS_current!I$147, FALSE), VLOOKUP($A89, LS_current!$B$4:$BW$137,LS_current!BE$147, FALSE))/2)</f>
        <v>2120.6106168392471</v>
      </c>
      <c r="CE89" s="102">
        <f t="array" ref="CE89">IF($BT89=0, INDEX(LS_current!$D$4:$BW$137, MATCH('Staging Table'!$A89, LS_current!$B$4:$B$137, 0), MATCH(CE$4&amp;CE$5, LS_current!$D$2:$BW$2&amp;LS_current!$D$3:$BW$3, 0)),SUM(VLOOKUP($A89, LS_current!$B$4:$BW$137, LS_current!J$147, FALSE), VLOOKUP($A89, LS_current!$B$4:$BW$137,LS_current!BF$147, FALSE))/2)</f>
        <v>-52.812555816062741</v>
      </c>
      <c r="CF89" s="102">
        <f t="array" ref="CF89">IF($BT89=0, INDEX(LS_current!$D$4:$BW$137, MATCH('Staging Table'!$A89, LS_current!$B$4:$B$137, 0), MATCH(CF$4&amp;CF$5, LS_current!$D$2:$BW$2&amp;LS_current!$D$3:$BW$3, 0)),SUM(VLOOKUP($A89, LS_current!$B$4:$BW$137, LS_current!K$147, FALSE), VLOOKUP($A89, LS_current!$B$4:$BW$137,LS_current!BG$147, FALSE))/2)</f>
        <v>1331.1721292585389</v>
      </c>
      <c r="CG89" s="102">
        <f t="array" ref="CG89">IF($BT89=0, INDEX(LS_current!$D$4:$BW$137, MATCH('Staging Table'!$A89, LS_current!$B$4:$B$137, 0), MATCH(CG$4&amp;CG$5, LS_current!$D$2:$BW$2&amp;LS_current!$D$3:$BW$3, 0)),SUM(VLOOKUP($A89, LS_current!$B$4:$BW$137, LS_current!L$147, FALSE), VLOOKUP($A89, LS_current!$B$4:$BW$137,LS_current!BH$147, FALSE))/2)</f>
        <v>676.49322498493348</v>
      </c>
      <c r="CH89" s="102">
        <f t="array" ref="CH89">IF($BT89=0, INDEX(LS_current!$D$4:$BW$137, MATCH('Staging Table'!$A89, LS_current!$B$4:$B$137, 0), MATCH(CH$4&amp;CH$5, LS_current!$D$2:$BW$2&amp;LS_current!$D$3:$BW$3, 0)),SUM(VLOOKUP($A89, LS_current!$B$4:$BW$137, LS_current!M$147, FALSE), VLOOKUP($A89, LS_current!$B$4:$BW$137,LS_current!BI$147, FALSE))/2)</f>
        <v>1238.2532097059966</v>
      </c>
      <c r="CI89" s="102">
        <f t="array" ref="CI89">IF($BT89=0, INDEX(LS_current!$D$4:$BW$137, MATCH('Staging Table'!$A89, LS_current!$B$4:$B$137, 0), MATCH(CI$4&amp;CI$5, LS_current!$D$2:$BW$2&amp;LS_current!$D$3:$BW$3, 0)),SUM(VLOOKUP($A89, LS_current!$B$4:$BW$137, LS_current!N$147, FALSE), VLOOKUP($A89, LS_current!$B$4:$BW$137,LS_current!BJ$147, FALSE))/2)</f>
        <v>-515.48135546627782</v>
      </c>
      <c r="CJ89" s="102">
        <f t="array" ref="CJ89">IF($BT89=0, INDEX(LS_current!$D$4:$BW$137, MATCH('Staging Table'!$A89, LS_current!$B$4:$B$137, 0), MATCH(CJ$4&amp;CJ$5, LS_current!$D$2:$BW$2&amp;LS_current!$D$3:$BW$3, 0)),SUM(VLOOKUP($A89, LS_current!$B$4:$BW$137, LS_current!O$147, FALSE), VLOOKUP($A89, LS_current!$B$4:$BW$137,LS_current!BK$147, FALSE))/2)</f>
        <v>836.13292585763975</v>
      </c>
      <c r="CK89" s="102">
        <f t="array" ref="CK89">IF($BT89=0, INDEX(LS_current!$D$4:$BW$137, MATCH('Staging Table'!$A89, LS_current!$B$4:$B$137, 0), MATCH(CK$4&amp;CK$5, LS_current!$D$2:$BW$2&amp;LS_current!$D$3:$BW$3, 0)),SUM(VLOOKUP($A89, LS_current!$B$4:$BW$137, LS_current!P$147, FALSE), VLOOKUP($A89, LS_current!$B$4:$BW$137,LS_current!BL$147, FALSE))/2)</f>
        <v>1467.4542026775543</v>
      </c>
      <c r="CL89" s="102">
        <f t="array" ref="CL89">IF($BT89=0, INDEX(LS_current!$D$4:$BW$137, MATCH('Staging Table'!$A89, LS_current!$B$4:$B$137, 0), MATCH(CL$4&amp;CL$5, LS_current!$D$2:$BW$2&amp;LS_current!$D$3:$BW$3, 0)),SUM(VLOOKUP($A89, LS_current!$B$4:$BW$137, LS_current!Q$147, FALSE), VLOOKUP($A89, LS_current!$B$4:$BW$137,LS_current!BM$147, FALSE))/2)</f>
        <v>746.22701580036392</v>
      </c>
      <c r="CM89" s="102">
        <f t="array" ref="CM89">IF($BT89=0, INDEX(LS_current!$D$4:$BW$137, MATCH('Staging Table'!$A89, LS_current!$B$4:$B$137, 0), MATCH(CM$4&amp;CM$5, LS_current!$D$2:$BW$2&amp;LS_current!$D$3:$BW$3, 0)),SUM(VLOOKUP($A89, LS_current!$B$4:$BW$137, LS_current!R$147, FALSE), VLOOKUP($A89, LS_current!$B$4:$BW$137,LS_current!BN$147, FALSE))/2)</f>
        <v>-2113.186551290195</v>
      </c>
      <c r="CN89" s="102">
        <f t="array" ref="CN89">IF($BT89=0, INDEX(LS_current!$D$4:$BW$137, MATCH('Staging Table'!$A89, LS_current!$B$4:$B$137, 0), MATCH(CN$4&amp;CN$5, LS_current!$D$2:$BW$2&amp;LS_current!$D$3:$BW$3, 0)),SUM(VLOOKUP($A89, LS_current!$B$4:$BW$137, LS_current!S$147, FALSE), VLOOKUP($A89, LS_current!$B$4:$BW$137,LS_current!BO$147, FALSE))/2)</f>
        <v>-1533.0207437777863</v>
      </c>
      <c r="CO89" s="102">
        <f t="array" ref="CO89">IF($BT89=0, INDEX(LS_current!$D$4:$BW$137, MATCH('Staging Table'!$A89, LS_current!$B$4:$B$137, 0), MATCH(CO$4&amp;CO$5, LS_current!$D$2:$BW$2&amp;LS_current!$D$3:$BW$3, 0)),SUM(VLOOKUP($A89, LS_current!$B$4:$BW$137, LS_current!T$147, FALSE), VLOOKUP($A89, LS_current!$B$4:$BW$137,LS_current!BP$147, FALSE))/2)</f>
        <v>-2577.3220902587709</v>
      </c>
      <c r="CP89" s="102">
        <f t="array" ref="CP89">IF($BT89=0, INDEX(LS_current!$D$4:$BW$137, MATCH('Staging Table'!$A89, LS_current!$B$4:$B$137, 0), MATCH(CP$4&amp;CP$5, LS_current!$D$2:$BW$2&amp;LS_current!$D$3:$BW$3, 0)),SUM(VLOOKUP($A89, LS_current!$B$4:$BW$137, LS_current!U$147, FALSE), VLOOKUP($A89, LS_current!$B$4:$BW$137,LS_current!BQ$147, FALSE))/2)</f>
        <v>-988.26949581723511</v>
      </c>
      <c r="CQ89" s="102">
        <f t="array" ref="CQ89">IF($BT89=0, INDEX(LS_current!$D$4:$BW$137, MATCH('Staging Table'!$A89, LS_current!$B$4:$B$137, 0), MATCH(CQ$4&amp;CQ$5, LS_current!$D$2:$BW$2&amp;LS_current!$D$3:$BW$3, 0)),SUM(VLOOKUP($A89, LS_current!$B$4:$BW$137, LS_current!V$147, FALSE), VLOOKUP($A89, LS_current!$B$4:$BW$137,LS_current!BR$147, FALSE))/2)</f>
        <v>302.36198357575449</v>
      </c>
      <c r="CR89" s="102">
        <f t="array" ref="CR89">IF($BT89=0, INDEX(LS_current!$D$4:$BW$137, MATCH('Staging Table'!$A89, LS_current!$B$4:$B$137, 0), MATCH(CR$4&amp;CR$5, LS_current!$D$2:$BW$2&amp;LS_current!$D$3:$BW$3, 0)),SUM(VLOOKUP($A89, LS_current!$B$4:$BW$137, LS_current!W$147, FALSE), VLOOKUP($A89, LS_current!$B$4:$BW$137,LS_current!BS$147, FALSE))/2)</f>
        <v>419.93927521819296</v>
      </c>
      <c r="CS89" s="102">
        <f t="array" ref="CS89">IF($BT89=0, INDEX(LS_current!$D$4:$BW$137, MATCH('Staging Table'!$A89, LS_current!$B$4:$B$137, 0), MATCH(CS$4&amp;CS$5, LS_current!$D$2:$BW$2&amp;LS_current!$D$3:$BW$3, 0)),SUM(VLOOKUP($A89, LS_current!$B$4:$BW$137, LS_current!X$147, FALSE), VLOOKUP($A89, LS_current!$B$4:$BW$137,LS_current!BT$147, FALSE))/2)</f>
        <v>-186.11614154335257</v>
      </c>
      <c r="CT89" s="102">
        <f t="array" ref="CT89">IF($BT89=0, INDEX(LS_current!$D$4:$BW$137, MATCH('Staging Table'!$A89, LS_current!$B$4:$B$137, 0), MATCH(CT$4&amp;CT$5, LS_current!$D$2:$BW$2&amp;LS_current!$D$3:$BW$3, 0)),SUM(VLOOKUP($A89, LS_current!$B$4:$BW$137, LS_current!Y$147, FALSE), VLOOKUP($A89, LS_current!$B$4:$BW$137,LS_current!BU$147, FALSE))/2)</f>
        <v>483.009893810432</v>
      </c>
      <c r="CU89" s="102">
        <f t="array" ref="CU89">IF($BT89=0, INDEX(LS_current!$D$4:$BW$137, MATCH('Staging Table'!$A89, LS_current!$B$4:$B$137, 0), MATCH(CU$4&amp;CU$5, LS_current!$D$2:$BW$2&amp;LS_current!$D$3:$BW$3, 0)),SUM(VLOOKUP($A89, LS_current!$B$4:$BW$137, LS_current!Z$147, FALSE), VLOOKUP($A89, LS_current!$B$4:$BW$137,LS_current!BV$147, FALSE))/2)</f>
        <v>1023.1947621340732</v>
      </c>
      <c r="CV89" s="102">
        <f t="array" ref="CV89">IF($BT89=0, INDEX(LS_current!$D$4:$BW$137, MATCH('Staging Table'!$A89, LS_current!$B$4:$B$137, 0), MATCH(CV$4&amp;CV$5, LS_current!$D$2:$BW$2&amp;LS_current!$D$3:$BW$3, 0)),SUM(VLOOKUP($A89, LS_current!$B$4:$BW$137, LS_current!AA$147, FALSE), VLOOKUP($A89, LS_current!$B$4:$BW$137,LS_current!BW$147, FALSE))/2)</f>
        <v>963.2149676470126</v>
      </c>
      <c r="CW89" s="103">
        <f t="array" ref="CW89">INDEX(Demand_current!$D$4:$BW$137, MATCH($A89, Demand_current!$B$4:$B$137, 0), MATCH(CW$4&amp;CW$5,Demand_current!$D$2:$BW$2&amp;Demand_current!$D$3:$BW$3, 0))/1000</f>
        <v>1.3498865740740751</v>
      </c>
      <c r="CX89" s="103">
        <f t="array" ref="CX89">INDEX(Demand_current!$D$4:$BW$137, MATCH($A89, Demand_current!$B$4:$B$137, 0), MATCH(CX$4&amp;CX$5,Demand_current!$D$2:$BW$2&amp;Demand_current!$D$3:$BW$3, 0))/1000</f>
        <v>0.27145052083333177</v>
      </c>
      <c r="CY89" s="103">
        <f t="array" ref="CY89">INDEX(Demand_current!$D$4:$BW$137, MATCH($A89, Demand_current!$B$4:$B$137, 0), MATCH(CY$4&amp;CY$5,Demand_current!$D$2:$BW$2&amp;Demand_current!$D$3:$BW$3, 0))/1000</f>
        <v>7.6985913461538438</v>
      </c>
      <c r="CZ89" s="103">
        <f t="array" ref="CZ89">INDEX(Demand_current!$D$4:$BW$137, MATCH($A89, Demand_current!$B$4:$B$137, 0), MATCH(CZ$4&amp;CZ$5,Demand_current!$D$2:$BW$2&amp;Demand_current!$D$3:$BW$3, 0))/1000</f>
        <v>5.4630865384615372</v>
      </c>
      <c r="DA89" s="103">
        <f t="array" ref="DA89">INDEX(Demand_current!$D$4:$BW$137, MATCH($A89, Demand_current!$B$4:$B$137, 0), MATCH(DA$4&amp;DA$5,Demand_current!$D$2:$BW$2&amp;Demand_current!$D$3:$BW$3, 0))/1000</f>
        <v>6.2569765624999985</v>
      </c>
      <c r="DB89" s="103">
        <f t="array" ref="DB89">INDEX(Demand_current!$D$4:$BW$137, MATCH($A89, Demand_current!$B$4:$B$137, 0), MATCH(DB$4&amp;DB$5,Demand_current!$D$2:$BW$2&amp;Demand_current!$D$3:$BW$3, 0))/1000</f>
        <v>2.1851658653846151</v>
      </c>
      <c r="DC89" s="103">
        <f t="array" ref="DC89">INDEX(Demand_current!$D$4:$BW$137, MATCH($A89, Demand_current!$B$4:$B$137, 0), MATCH(DC$4&amp;DC$5,Demand_current!$D$2:$BW$2&amp;Demand_current!$D$3:$BW$3, 0))/1000</f>
        <v>4.7790649038461535</v>
      </c>
      <c r="DD89" s="103">
        <f t="array" ref="DD89">INDEX(Demand_current!$D$4:$BW$137, MATCH($A89, Demand_current!$B$4:$B$137, 0), MATCH(DD$4&amp;DD$5,Demand_current!$D$2:$BW$2&amp;Demand_current!$D$3:$BW$3, 0))/1000</f>
        <v>2.4975575000000005</v>
      </c>
      <c r="DE89" s="103">
        <f t="array" ref="DE89">INDEX(Demand_current!$D$4:$BW$137, MATCH($A89, Demand_current!$B$4:$B$137, 0), MATCH(DE$4&amp;DE$5,Demand_current!$D$2:$BW$2&amp;Demand_current!$D$3:$BW$3, 0))/1000</f>
        <v>8.3759350961538459</v>
      </c>
      <c r="DF89" s="103">
        <f t="array" ref="DF89">INDEX(Demand_current!$D$4:$BW$137, MATCH($A89, Demand_current!$B$4:$B$137, 0), MATCH(DF$4&amp;DF$5,Demand_current!$D$2:$BW$2&amp;Demand_current!$D$3:$BW$3, 0))/1000</f>
        <v>7.911252403846154</v>
      </c>
      <c r="DG89" s="103">
        <f t="array" ref="DG89">INDEX(Demand_current!$D$4:$BW$137, MATCH($A89, Demand_current!$B$4:$B$137, 0), MATCH(DG$4&amp;DG$5,Demand_current!$D$2:$BW$2&amp;Demand_current!$D$3:$BW$3, 0))/1000</f>
        <v>8.359346153846154</v>
      </c>
      <c r="DH89" s="103">
        <f t="array" ref="DH89">INDEX(Demand_current!$D$4:$BW$137, MATCH($A89, Demand_current!$B$4:$B$137, 0), MATCH(DH$4&amp;DH$5,Demand_current!$D$2:$BW$2&amp;Demand_current!$D$3:$BW$3, 0))/1000</f>
        <v>6.0695275000000057</v>
      </c>
      <c r="DI89" s="102">
        <f>$BS89*(VLOOKUP(DI$4, Rates_current!$H$6:$R$41, 10, FALSE)+VLOOKUP(DI$4, Rates_current!$H$6:$R$41, 11, FALSE))</f>
        <v>15432.42944410607</v>
      </c>
      <c r="DJ89" s="102">
        <f>$BS89*(VLOOKUP(DJ$4, Rates_current!$H$6:$R$41, 10, FALSE)+VLOOKUP(DJ$4, Rates_current!$H$6:$R$41, 11, FALSE))</f>
        <v>19729.853130937248</v>
      </c>
      <c r="DK89" s="102">
        <f>$BS89*(VLOOKUP(DK$4, Rates_current!$H$6:$R$41, 10, FALSE)+VLOOKUP(DK$4, Rates_current!$H$6:$R$41, 11, FALSE))</f>
        <v>22431.192865067056</v>
      </c>
      <c r="DL89" s="102">
        <f>$BS89*(VLOOKUP(DL$4, Rates_current!$H$6:$R$41, 10, FALSE)+VLOOKUP(DL$4, Rates_current!$H$6:$R$41, 11, FALSE))</f>
        <v>23666.659426557522</v>
      </c>
      <c r="DM89" s="102">
        <f>$BS89*(VLOOKUP(DM$4, Rates_current!$H$6:$R$41, 10, FALSE)+VLOOKUP(DM$4, Rates_current!$H$6:$R$41, 11, FALSE))</f>
        <v>18860.191565309073</v>
      </c>
      <c r="DN89" s="102">
        <f>$BS89*(VLOOKUP(DN$4, Rates_current!$H$6:$R$41, 10, FALSE)+VLOOKUP(DN$4, Rates_current!$H$6:$R$41, 11, FALSE))</f>
        <v>20618.062429608635</v>
      </c>
      <c r="DO89" s="102">
        <f>$BS89*(VLOOKUP(DO$4, Rates_current!$H$6:$R$41, 10, FALSE)+VLOOKUP(DO$4, Rates_current!$H$6:$R$41, 11, FALSE))</f>
        <v>15979.205781522083</v>
      </c>
      <c r="DP89" s="102">
        <f>$BS89*(VLOOKUP(DP$4, Rates_current!$H$6:$R$41, 10, FALSE)+VLOOKUP(DP$4, Rates_current!$H$6:$R$41, 11, FALSE))</f>
        <v>20679.723295067979</v>
      </c>
      <c r="DQ89" s="102">
        <f>$BS89*(VLOOKUP(DQ$4, Rates_current!$H$6:$R$41, 10, FALSE)+VLOOKUP(DQ$4, Rates_current!$H$6:$R$41, 11, FALSE))</f>
        <v>21121.295586076008</v>
      </c>
      <c r="DR89" s="102">
        <f>$BS89*(VLOOKUP(DR$4, Rates_current!$H$6:$R$41, 10, FALSE)+VLOOKUP(DR$4, Rates_current!$H$6:$R$41, 11, FALSE))</f>
        <v>18799.779741206054</v>
      </c>
      <c r="DS89" s="102">
        <f>$BS89*(VLOOKUP(DS$4, Rates_current!$H$6:$R$41, 10, FALSE)+VLOOKUP(DS$4, Rates_current!$H$6:$R$41, 11, FALSE))</f>
        <v>19285.126247732918</v>
      </c>
      <c r="DT89" s="102">
        <f>$BS89*(VLOOKUP(DT$4, Rates_current!$H$6:$R$41, 10, FALSE)+VLOOKUP(DT$4, Rates_current!$H$6:$R$41, 11, FALSE))</f>
        <v>14977.212270218914</v>
      </c>
      <c r="DU89" s="261">
        <f>IF(D89=0,IF(C89=0,MAX(0,DW89 - (VLOOKUP($A89,TOCA_current!$A$2:$AV$136,MATCH("RHWM "&amp;Init!$D$1,TOCA_current!$A$2:$AV$2,0),FALSE)*$BS$2)), 0),0)</f>
        <v>7541.174670158478</v>
      </c>
      <c r="DV89" s="262">
        <f>MIN(VLOOKUP($A89,TOCA_current!$A$2:$AV$136,MATCH("TRL - NLSL - Existing Resource "&amp;$BS$1,TOCA_current!$A$2:$AV$2,0),FALSE)*$BS$2, VLOOKUP($A89,TOCA_current!$A$2:$AV$136,MATCH("RHWM "&amp;Init!$D$1,TOCA_current!$A$2:$AV$2,0),FALSE)*$BS$2)</f>
        <v>231579.36</v>
      </c>
      <c r="DW89" s="262">
        <f>SUM(BY89:CV89)+(BS89*RT1SC!$C$4*$BS$2)</f>
        <v>239120.53467015846</v>
      </c>
      <c r="DX89" s="262">
        <f>VLOOKUP($A89,TOCA_current!$A$2:$AV$136,MATCH("Above RHWM Not Served with LS "&amp;$BS$1,TOCA_current!$A$2:$AV$2,0),FALSE)*$BS$2</f>
        <v>0</v>
      </c>
      <c r="DY89" s="262">
        <f t="shared" si="43"/>
        <v>7541.174670158478</v>
      </c>
      <c r="DZ89" s="262">
        <f>(VLOOKUP($A89,TOCA_current!$A$2:$AV$136,MATCH("RHWM "&amp;Init!$D$1,TOCA_current!$A$2:$AV$2,0),FALSE)*$BS$2) - $DV89</f>
        <v>0</v>
      </c>
      <c r="EA89" s="262">
        <f t="shared" si="44"/>
        <v>0</v>
      </c>
      <c r="EB89" s="262">
        <f t="shared" si="45"/>
        <v>0</v>
      </c>
      <c r="EC89" s="262">
        <f t="shared" si="46"/>
        <v>0</v>
      </c>
      <c r="ED89" s="262">
        <f t="shared" si="47"/>
        <v>0</v>
      </c>
    </row>
    <row r="90" spans="1:134">
      <c r="A90" s="2">
        <v>10273</v>
      </c>
      <c r="B90" s="3" t="s">
        <v>92</v>
      </c>
      <c r="C90">
        <f>VLOOKUP(A90, TOCA_current!$A$3:$D$136, 4, FALSE)</f>
        <v>0</v>
      </c>
      <c r="D90">
        <v>0</v>
      </c>
      <c r="E90" s="84">
        <f>VLOOKUP($A90,TOCA_previous!$A$2:$AJ$136,MATCH(E$4,TOCA_previous!$A$2:$AJ$2,0),FALSE)</f>
        <v>8.5139999999999999E-4</v>
      </c>
      <c r="F90" s="85">
        <f>VLOOKUP($A90,TOCA_previous!$A$2:$AJ$136,MATCH(F$4,TOCA_previous!$A$2:$AJ$2,0),FALSE)</f>
        <v>8.5139999999999999E-4</v>
      </c>
      <c r="G90" s="85">
        <f t="shared" si="33"/>
        <v>0</v>
      </c>
      <c r="H90" s="85">
        <f>VLOOKUP($A90,TOCA_previous!$A$2:$AJ$136,MATCH(H$4,TOCA_previous!$A$2:$AJ$2,0),FALSE)</f>
        <v>9.6233633735759244E-2</v>
      </c>
      <c r="I90" s="85">
        <f t="shared" si="34"/>
        <v>0</v>
      </c>
      <c r="J90" s="85">
        <f t="shared" si="35"/>
        <v>0</v>
      </c>
      <c r="K90" s="101">
        <f>VLOOKUP(A90, IRD!$A$5:$C$138, 3, FALSE)</f>
        <v>9522.0249999999996</v>
      </c>
      <c r="L90" s="102">
        <f t="array" ref="L90">IF($G90=0, INDEX(LS_previous!$D$4:$AY$137, MATCH('Staging Table'!$A90, LS_previous!$B$4:$B$137, 0), MATCH(L$4&amp;L$5, LS_previous!$D$2:$AY$2&amp;LS_previous!$D$3:$AY$3, 0)),SUM(VLOOKUP($A90, LS_previous!$B$4:$AY$137, LS_previous!D$148, FALSE), VLOOKUP('Staging Table'!$A90, LS_previous!$B$4:$AY$137,LS_previous!AB$148, FALSE))/2)</f>
        <v>201.32014774959998</v>
      </c>
      <c r="M90" s="102">
        <f t="array" ref="M90">IF($G90=0, INDEX(LS_previous!$D$4:$AY$137, MATCH('Staging Table'!$A90, LS_previous!$B$4:$B$137, 0), MATCH(M$4&amp;M$5, LS_previous!$D$2:$AY$2&amp;LS_previous!$D$3:$AY$3, 0)),SUM(VLOOKUP($A90, LS_previous!$B$4:$AY$137, LS_previous!E$148, FALSE), VLOOKUP('Staging Table'!$A90, LS_previous!$B$4:$AY$137,LS_previous!AC$148, FALSE))/2)</f>
        <v>-54.045670290699945</v>
      </c>
      <c r="N90" s="102">
        <f t="array" ref="N90">IF($G90=0, INDEX(LS_previous!$D$4:$AY$137, MATCH('Staging Table'!$A90, LS_previous!$B$4:$B$137, 0), MATCH(N$4&amp;N$5, LS_previous!$D$2:$AY$2&amp;LS_previous!$D$3:$AY$3, 0)),SUM(VLOOKUP($A90, LS_previous!$B$4:$AY$137, LS_previous!F$148, FALSE), VLOOKUP('Staging Table'!$A90, LS_previous!$B$4:$AY$137,LS_previous!AD$148, FALSE))/2)</f>
        <v>-1104.7035110592001</v>
      </c>
      <c r="O90" s="102">
        <f t="array" ref="O90">IF($G90=0, INDEX(LS_previous!$D$4:$AY$137, MATCH('Staging Table'!$A90, LS_previous!$B$4:$B$137, 0), MATCH(O$4&amp;O$5, LS_previous!$D$2:$AY$2&amp;LS_previous!$D$3:$AY$3, 0)),SUM(VLOOKUP($A90, LS_previous!$B$4:$AY$137, LS_previous!G$148, FALSE), VLOOKUP('Staging Table'!$A90, LS_previous!$B$4:$AY$137,LS_previous!AE$148, FALSE))/2)</f>
        <v>-472.44706643339987</v>
      </c>
      <c r="P90" s="102">
        <f t="array" ref="P90">IF($G90=0, INDEX(LS_previous!$D$4:$AY$137, MATCH('Staging Table'!$A90, LS_previous!$B$4:$B$137, 0), MATCH(P$4&amp;P$5, LS_previous!$D$2:$AY$2&amp;LS_previous!$D$3:$AY$3, 0)),SUM(VLOOKUP($A90, LS_previous!$B$4:$AY$137, LS_previous!H$148, FALSE), VLOOKUP('Staging Table'!$A90, LS_previous!$B$4:$AY$137,LS_previous!AF$148, FALSE))/2)</f>
        <v>-682.25355818460002</v>
      </c>
      <c r="Q90" s="102">
        <f t="array" ref="Q90">IF($G90=0, INDEX(LS_previous!$D$4:$AY$137, MATCH('Staging Table'!$A90, LS_previous!$B$4:$B$137, 0), MATCH(Q$4&amp;Q$5, LS_previous!$D$2:$AY$2&amp;LS_previous!$D$3:$AY$3, 0)),SUM(VLOOKUP($A90, LS_previous!$B$4:$AY$137, LS_previous!I$148, FALSE), VLOOKUP('Staging Table'!$A90, LS_previous!$B$4:$AY$137,LS_previous!AG$148, FALSE))/2)</f>
        <v>-290.82503277439969</v>
      </c>
      <c r="R90" s="102">
        <f t="array" ref="R90">IF($G90=0, INDEX(LS_previous!$D$4:$AY$137, MATCH('Staging Table'!$A90, LS_previous!$B$4:$B$137, 0), MATCH(R$4&amp;R$5, LS_previous!$D$2:$AY$2&amp;LS_previous!$D$3:$AY$3, 0)),SUM(VLOOKUP($A90, LS_previous!$B$4:$AY$137, LS_previous!J$148, FALSE), VLOOKUP('Staging Table'!$A90, LS_previous!$B$4:$AY$137,LS_previous!AH$148, FALSE))/2)</f>
        <v>-833.11592615100017</v>
      </c>
      <c r="S90" s="102">
        <f t="array" ref="S90">IF($G90=0, INDEX(LS_previous!$D$4:$AY$137, MATCH('Staging Table'!$A90, LS_previous!$B$4:$B$137, 0), MATCH(S$4&amp;S$5, LS_previous!$D$2:$AY$2&amp;LS_previous!$D$3:$AY$3, 0)),SUM(VLOOKUP($A90, LS_previous!$B$4:$AY$137, LS_previous!K$148, FALSE), VLOOKUP('Staging Table'!$A90, LS_previous!$B$4:$AY$137,LS_previous!AI$148, FALSE))/2)</f>
        <v>-219.93371789060029</v>
      </c>
      <c r="T90" s="102">
        <f t="array" ref="T90">IF($G90=0, INDEX(LS_previous!$D$4:$AY$137, MATCH('Staging Table'!$A90, LS_previous!$B$4:$B$137, 0), MATCH(T$4&amp;T$5, LS_previous!$D$2:$AY$2&amp;LS_previous!$D$3:$AY$3, 0)),SUM(VLOOKUP($A90, LS_previous!$B$4:$AY$137, LS_previous!L$148, FALSE), VLOOKUP('Staging Table'!$A90, LS_previous!$B$4:$AY$137,LS_previous!AJ$148, FALSE))/2)</f>
        <v>-1018.2784913805995</v>
      </c>
      <c r="U90" s="102">
        <f t="array" ref="U90">IF($G90=0, INDEX(LS_previous!$D$4:$AY$137, MATCH('Staging Table'!$A90, LS_previous!$B$4:$B$137, 0), MATCH(U$4&amp;U$5, LS_previous!$D$2:$AY$2&amp;LS_previous!$D$3:$AY$3, 0)),SUM(VLOOKUP($A90, LS_previous!$B$4:$AY$137, LS_previous!M$148, FALSE), VLOOKUP('Staging Table'!$A90, LS_previous!$B$4:$AY$137,LS_previous!AK$148, FALSE))/2)</f>
        <v>-311.78552789259993</v>
      </c>
      <c r="V90" s="102">
        <f t="array" ref="V90">IF($G90=0, INDEX(LS_previous!$D$4:$AY$137, MATCH('Staging Table'!$A90, LS_previous!$B$4:$B$137, 0), MATCH(V$4&amp;V$5, LS_previous!$D$2:$AY$2&amp;LS_previous!$D$3:$AY$3, 0)),SUM(VLOOKUP($A90, LS_previous!$B$4:$AY$137, LS_previous!N$148, FALSE), VLOOKUP('Staging Table'!$A90, LS_previous!$B$4:$AY$137,LS_previous!AL$148, FALSE))/2)</f>
        <v>-1342.8301328081998</v>
      </c>
      <c r="W90" s="102">
        <f t="array" ref="W90">IF($G90=0, INDEX(LS_previous!$D$4:$AY$137, MATCH('Staging Table'!$A90, LS_previous!$B$4:$B$137, 0), MATCH(W$4&amp;W$5, LS_previous!$D$2:$AY$2&amp;LS_previous!$D$3:$AY$3, 0)),SUM(VLOOKUP($A90, LS_previous!$B$4:$AY$137, LS_previous!O$148, FALSE), VLOOKUP('Staging Table'!$A90, LS_previous!$B$4:$AY$137,LS_previous!AM$148, FALSE))/2)</f>
        <v>-685.00150178919989</v>
      </c>
      <c r="X90" s="102">
        <f t="array" ref="X90">IF($G90=0, INDEX(LS_previous!$D$4:$AY$137, MATCH('Staging Table'!$A90, LS_previous!$B$4:$B$137, 0), MATCH(X$4&amp;X$5, LS_previous!$D$2:$AY$2&amp;LS_previous!$D$3:$AY$3, 0)),SUM(VLOOKUP($A90, LS_previous!$B$4:$AY$137, LS_previous!P$148, FALSE), VLOOKUP('Staging Table'!$A90, LS_previous!$B$4:$AY$137,LS_previous!AN$148, FALSE))/2)</f>
        <v>-500.19698176349993</v>
      </c>
      <c r="Y90" s="102">
        <f t="array" ref="Y90">IF($G90=0, INDEX(LS_previous!$D$4:$AY$137, MATCH('Staging Table'!$A90, LS_previous!$B$4:$B$137, 0), MATCH(Y$4&amp;Y$5, LS_previous!$D$2:$AY$2&amp;LS_previous!$D$3:$AY$3, 0)),SUM(VLOOKUP($A90, LS_previous!$B$4:$AY$137, LS_previous!Q$148, FALSE), VLOOKUP('Staging Table'!$A90, LS_previous!$B$4:$AY$137,LS_previous!AO$148, FALSE))/2)</f>
        <v>-308.69874133394978</v>
      </c>
      <c r="Z90" s="102">
        <f t="array" ref="Z90">IF($G90=0, INDEX(LS_previous!$D$4:$AY$137, MATCH('Staging Table'!$A90, LS_previous!$B$4:$B$137, 0), MATCH(Z$4&amp;Z$5, LS_previous!$D$2:$AY$2&amp;LS_previous!$D$3:$AY$3, 0)),SUM(VLOOKUP($A90, LS_previous!$B$4:$AY$137, LS_previous!R$148, FALSE), VLOOKUP('Staging Table'!$A90, LS_previous!$B$4:$AY$137,LS_previous!AP$148, FALSE))/2)</f>
        <v>-359.72586438720055</v>
      </c>
      <c r="AA90" s="102">
        <f t="array" ref="AA90">IF($G90=0, INDEX(LS_previous!$D$4:$AY$137, MATCH('Staging Table'!$A90, LS_previous!$B$4:$B$137, 0), MATCH(AA$4&amp;AA$5, LS_previous!$D$2:$AY$2&amp;LS_previous!$D$3:$AY$3, 0)),SUM(VLOOKUP($A90, LS_previous!$B$4:$AY$137, LS_previous!S$148, FALSE), VLOOKUP('Staging Table'!$A90, LS_previous!$B$4:$AY$137,LS_previous!AQ$148, FALSE))/2)</f>
        <v>-230.81368154689972</v>
      </c>
      <c r="AB90" s="102">
        <f t="array" ref="AB90">IF($G90=0, INDEX(LS_previous!$D$4:$AY$137, MATCH('Staging Table'!$A90, LS_previous!$B$4:$B$137, 0), MATCH(AB$4&amp;AB$5, LS_previous!$D$2:$AY$2&amp;LS_previous!$D$3:$AY$3, 0)),SUM(VLOOKUP($A90, LS_previous!$B$4:$AY$137, LS_previous!T$148, FALSE), VLOOKUP('Staging Table'!$A90, LS_previous!$B$4:$AY$137,LS_previous!AR$148, FALSE))/2)</f>
        <v>192.98525180360002</v>
      </c>
      <c r="AC90" s="102">
        <f t="array" ref="AC90">IF($G90=0, INDEX(LS_previous!$D$4:$AY$137, MATCH('Staging Table'!$A90, LS_previous!$B$4:$B$137, 0), MATCH(AC$4&amp;AC$5, LS_previous!$D$2:$AY$2&amp;LS_previous!$D$3:$AY$3, 0)),SUM(VLOOKUP($A90, LS_previous!$B$4:$AY$137, LS_previous!U$148, FALSE), VLOOKUP('Staging Table'!$A90, LS_previous!$B$4:$AY$137,LS_previous!AS$148, FALSE))/2)</f>
        <v>319.62521859870003</v>
      </c>
      <c r="AD90" s="102">
        <f t="array" ref="AD90">IF($G90=0, INDEX(LS_previous!$D$4:$AY$137, MATCH('Staging Table'!$A90, LS_previous!$B$4:$B$137, 0), MATCH(AD$4&amp;AD$5, LS_previous!$D$2:$AY$2&amp;LS_previous!$D$3:$AY$3, 0)),SUM(VLOOKUP($A90, LS_previous!$B$4:$AY$137, LS_previous!V$148, FALSE), VLOOKUP('Staging Table'!$A90, LS_previous!$B$4:$AY$137,LS_previous!AT$148, FALSE))/2)</f>
        <v>1634.9291561304008</v>
      </c>
      <c r="AE90" s="102">
        <f t="array" ref="AE90">IF($G90=0, INDEX(LS_previous!$D$4:$AY$137, MATCH('Staging Table'!$A90, LS_previous!$B$4:$B$137, 0), MATCH(AE$4&amp;AE$5, LS_previous!$D$2:$AY$2&amp;LS_previous!$D$3:$AY$3, 0)),SUM(VLOOKUP($A90, LS_previous!$B$4:$AY$137, LS_previous!W$148, FALSE), VLOOKUP('Staging Table'!$A90, LS_previous!$B$4:$AY$137,LS_previous!AU$148, FALSE))/2)</f>
        <v>1353.1061549464998</v>
      </c>
      <c r="AF90" s="102">
        <f t="array" ref="AF90">IF($G90=0, INDEX(LS_previous!$D$4:$AY$137, MATCH('Staging Table'!$A90, LS_previous!$B$4:$B$137, 0), MATCH(AF$4&amp;AF$5, LS_previous!$D$2:$AY$2&amp;LS_previous!$D$3:$AY$3, 0)),SUM(VLOOKUP($A90, LS_previous!$B$4:$AY$137, LS_previous!X$148, FALSE), VLOOKUP('Staging Table'!$A90, LS_previous!$B$4:$AY$137,LS_previous!AV$148, FALSE))/2)</f>
        <v>1847.1527479849001</v>
      </c>
      <c r="AG90" s="102">
        <f t="array" ref="AG90">IF($G90=0, INDEX(LS_previous!$D$4:$AY$137, MATCH('Staging Table'!$A90, LS_previous!$B$4:$B$137, 0), MATCH(AG$4&amp;AG$5, LS_previous!$D$2:$AY$2&amp;LS_previous!$D$3:$AY$3, 0)),SUM(VLOOKUP($A90, LS_previous!$B$4:$AY$137, LS_previous!Y$148, FALSE), VLOOKUP('Staging Table'!$A90, LS_previous!$B$4:$AY$137,LS_previous!AW$148, FALSE))/2)</f>
        <v>1237.96499881571</v>
      </c>
      <c r="AH90" s="102">
        <f t="array" ref="AH90">IF($G90=0, INDEX(LS_previous!$D$4:$AY$137, MATCH('Staging Table'!$A90, LS_previous!$B$4:$B$137, 0), MATCH(AH$4&amp;AH$5, LS_previous!$D$2:$AY$2&amp;LS_previous!$D$3:$AY$3, 0)),SUM(VLOOKUP($A90, LS_previous!$B$4:$AY$137, LS_previous!Z$148, FALSE), VLOOKUP('Staging Table'!$A90, LS_previous!$B$4:$AY$137,LS_previous!AX$148, FALSE))/2)</f>
        <v>652.77055351639956</v>
      </c>
      <c r="AI90" s="102">
        <f t="array" ref="AI90">IF($G90=0, INDEX(LS_previous!$D$4:$AY$137, MATCH('Staging Table'!$A90, LS_previous!$B$4:$B$137, 0), MATCH(AI$4&amp;AI$5, LS_previous!$D$2:$AY$2&amp;LS_previous!$D$3:$AY$3, 0)),SUM(VLOOKUP($A90, LS_previous!$B$4:$AY$137, LS_previous!AA$148, FALSE), VLOOKUP('Staging Table'!$A90, LS_previous!$B$4:$AY$137,LS_previous!AY$148, FALSE))/2)</f>
        <v>597.42854485439943</v>
      </c>
      <c r="AJ90" s="103">
        <f t="array" ref="AJ90">INDEX(Demand_previous!$D$4:$AY$137, MATCH('Staging Table'!$A90, Demand_previous!$B$4:$B$137, 0), MATCH(AJ$4&amp;AJ$5,Demand_previous!$D$2:$AY$2&amp;Demand_previous!$D$3:$AY$3, 0))/1000</f>
        <v>2.6711370192307702</v>
      </c>
      <c r="AK90" s="103">
        <f t="array" ref="AK90">INDEX(Demand_previous!$D$4:$AY$137, MATCH('Staging Table'!$A90, Demand_previous!$B$4:$B$137, 0), MATCH(AK$4&amp;AK$5,Demand_previous!$D$2:$AY$2&amp;Demand_previous!$D$3:$AY$3, 0))/1000</f>
        <v>1.2122975000000009</v>
      </c>
      <c r="AL90" s="103">
        <f t="array" ref="AL90">INDEX(Demand_previous!$D$4:$AY$137, MATCH('Staging Table'!$A90, Demand_previous!$B$4:$B$137, 0), MATCH(AL$4&amp;AL$5,Demand_previous!$D$2:$AY$2&amp;Demand_previous!$D$3:$AY$3, 0))/1000</f>
        <v>2.3262800000000006</v>
      </c>
      <c r="AM90" s="103">
        <f t="array" ref="AM90">INDEX(Demand_previous!$D$4:$AY$137, MATCH('Staging Table'!$A90, Demand_previous!$B$4:$B$137, 0), MATCH(AM$4&amp;AM$5,Demand_previous!$D$2:$AY$2&amp;Demand_previous!$D$3:$AY$3, 0))/1000</f>
        <v>2.2930865384615391</v>
      </c>
      <c r="AN90" s="103">
        <f t="array" ref="AN90">INDEX(Demand_previous!$D$4:$AY$137, MATCH('Staging Table'!$A90, Demand_previous!$B$4:$B$137, 0), MATCH(AN$4&amp;AN$5,Demand_previous!$D$2:$AY$2&amp;Demand_previous!$D$3:$AY$3, 0))/1000</f>
        <v>2.2376550000000002</v>
      </c>
      <c r="AO90" s="103">
        <f t="array" ref="AO90">INDEX(Demand_previous!$D$4:$AY$137, MATCH('Staging Table'!$A90, Demand_previous!$B$4:$B$137, 0), MATCH(AO$4&amp;AO$5,Demand_previous!$D$2:$AY$2&amp;Demand_previous!$D$3:$AY$3, 0))/1000</f>
        <v>2.3182331730769228</v>
      </c>
      <c r="AP90" s="103">
        <f t="array" ref="AP90">INDEX(Demand_previous!$D$4:$AY$137, MATCH('Staging Table'!$A90, Demand_previous!$B$4:$B$137, 0), MATCH(AP$4&amp;AP$5,Demand_previous!$D$2:$AY$2&amp;Demand_previous!$D$3:$AY$3, 0))/1000</f>
        <v>1.0936225961538462</v>
      </c>
      <c r="AQ90" s="103">
        <f t="array" ref="AQ90">INDEX(Demand_previous!$D$4:$AY$137, MATCH('Staging Table'!$A90, Demand_previous!$B$4:$B$137, 0), MATCH(AQ$4&amp;AQ$5,Demand_previous!$D$2:$AY$2&amp;Demand_previous!$D$3:$AY$3, 0))/1000</f>
        <v>1.7458485576923088</v>
      </c>
      <c r="AR90" s="103">
        <f t="array" ref="AR90">INDEX(Demand_previous!$D$4:$AY$137, MATCH('Staging Table'!$A90, Demand_previous!$B$4:$B$137, 0), MATCH(AR$4&amp;AR$5,Demand_previous!$D$2:$AY$2&amp;Demand_previous!$D$3:$AY$3, 0))/1000</f>
        <v>2.922060000000001</v>
      </c>
      <c r="AS90" s="103">
        <f t="array" ref="AS90">INDEX(Demand_previous!$D$4:$AY$137, MATCH('Staging Table'!$A90, Demand_previous!$B$4:$B$137, 0), MATCH(AS$4&amp;AS$5,Demand_previous!$D$2:$AY$2&amp;Demand_previous!$D$3:$AY$3, 0))/1000</f>
        <v>2.3897884615384601</v>
      </c>
      <c r="AT90" s="103">
        <f t="array" ref="AT90">INDEX(Demand_previous!$D$4:$AY$137, MATCH('Staging Table'!$A90, Demand_previous!$B$4:$B$137, 0), MATCH(AT$4&amp;AT$5,Demand_previous!$D$2:$AY$2&amp;Demand_previous!$D$3:$AY$3, 0))/1000</f>
        <v>3.2196365740740762</v>
      </c>
      <c r="AU90" s="103">
        <f t="array" ref="AU90">INDEX(Demand_previous!$D$4:$AY$137, MATCH('Staging Table'!$A90, Demand_previous!$B$4:$B$137, 0), MATCH(AU$4&amp;AU$5,Demand_previous!$D$2:$AY$2&amp;Demand_previous!$D$3:$AY$3, 0))/1000</f>
        <v>3.6362682291666659</v>
      </c>
      <c r="AV90" s="102">
        <f>$F90*(VLOOKUP(AV$4, Rates_previous!$G$6:$Q$29, 10, FALSE)+VLOOKUP(AV$4, Rates_previous!$G$6:$Q$29, 11, FALSE))</f>
        <v>3591.8895225411002</v>
      </c>
      <c r="AW90" s="102">
        <f>$F90*(VLOOKUP(AW$4, Rates_previous!$G$6:$Q$29, 10, FALSE)+VLOOKUP(AW$4, Rates_previous!$G$6:$Q$29, 11, FALSE))</f>
        <v>4580.8435774926002</v>
      </c>
      <c r="AX90" s="102">
        <f>$F90*(VLOOKUP(AX$4, Rates_previous!$G$6:$Q$29, 10, FALSE)+VLOOKUP(AX$4, Rates_previous!$G$6:$Q$29, 11, FALSE))</f>
        <v>4943.6365909590004</v>
      </c>
      <c r="AY90" s="102">
        <f>$F90*(VLOOKUP(AY$4, Rates_previous!$G$6:$Q$29, 10, FALSE)+VLOOKUP(AY$4, Rates_previous!$G$6:$Q$29, 11, FALSE))</f>
        <v>5137.2026440416003</v>
      </c>
      <c r="AZ90" s="102">
        <f>$F90*(VLOOKUP(AZ$4, Rates_previous!$G$6:$Q$29, 10, FALSE)+VLOOKUP(AZ$4, Rates_previous!$G$6:$Q$29, 11, FALSE))</f>
        <v>4418.6790192731996</v>
      </c>
      <c r="BA90" s="102">
        <f>$F90*(VLOOKUP(BA$4, Rates_previous!$G$6:$Q$29, 10, FALSE)+VLOOKUP(BA$4, Rates_previous!$G$6:$Q$29, 11, FALSE))</f>
        <v>4824.3226345973999</v>
      </c>
      <c r="BB90" s="102">
        <f>$F90*(VLOOKUP(BB$4, Rates_previous!$G$6:$Q$29, 10, FALSE)+VLOOKUP(BB$4, Rates_previous!$G$6:$Q$29, 11, FALSE))</f>
        <v>3807.9897230974498</v>
      </c>
      <c r="BC90" s="102">
        <f>$F90*(VLOOKUP(BC$4, Rates_previous!$G$6:$Q$29, 10, FALSE)+VLOOKUP(BC$4, Rates_previous!$G$6:$Q$29, 11, FALSE))</f>
        <v>4724.3215459341</v>
      </c>
      <c r="BD90" s="102">
        <f>$F90*(VLOOKUP(BD$4, Rates_previous!$G$6:$Q$29, 10, FALSE)+VLOOKUP(BD$4, Rates_previous!$G$6:$Q$29, 11, FALSE))</f>
        <v>4826.8275295976991</v>
      </c>
      <c r="BE90" s="102">
        <f>$F90*(VLOOKUP(BE$4, Rates_previous!$G$6:$Q$29, 10, FALSE)+VLOOKUP(BE$4, Rates_previous!$G$6:$Q$29, 11, FALSE))</f>
        <v>4190.3816889231002</v>
      </c>
      <c r="BF90" s="102">
        <f>$F90*(VLOOKUP(BF$4, Rates_previous!$G$6:$Q$29, 10, FALSE)+VLOOKUP(BF$4, Rates_previous!$G$6:$Q$29, 11, FALSE))</f>
        <v>4050.9852531993902</v>
      </c>
      <c r="BG90" s="102">
        <f>$F90*(VLOOKUP(BG$4, Rates_previous!$G$6:$Q$29, 10, FALSE)+VLOOKUP(BG$4, Rates_previous!$G$6:$Q$29, 11, FALSE))</f>
        <v>3727.6909016292002</v>
      </c>
      <c r="BH90" s="103">
        <f>IF($D90=0,IF(C90=0, MAX(BJ90 - (VLOOKUP($A90,TOCA_previous!$A$2:$AJ$136,MATCH("RHWM "&amp;Init!$D$1-2,TOCA_previous!$A$2:$AJ$2,0),FALSE)*$F$2*TOCA_previous!C87),0),0), 0)</f>
        <v>788.69424213815364</v>
      </c>
      <c r="BI90" s="109">
        <f>MIN(VLOOKUP($A90,TOCA_previous!$A$2:$AJ$136,MATCH("TRL - NLSL - Existing Resource "&amp;$F$1,TOCA_previous!$A$2:$AJ$2,0),FALSE)*$F$2,(VLOOKUP($A90,TOCA_previous!$A$2:$AJ$136,MATCH("RHWM "&amp;Init!$D$1-2,TOCA_previous!$A$2:$AJ$2,0),FALSE)*$F$2))</f>
        <v>51658.704000000005</v>
      </c>
      <c r="BJ90" s="261">
        <f>SUM(L90:AI90)+(F90*RT1SC!$C$3*$F$2)</f>
        <v>52447.398242138159</v>
      </c>
      <c r="BK90" s="260">
        <f>VLOOKUP($A90,TOCA_previous!$A$2:$AJ$136,MATCH("Above RHWM Not Served with LS "&amp;$F$1,TOCA_previous!$A$2:$AJ$2,0),FALSE)*$F$2</f>
        <v>19359.936000000002</v>
      </c>
      <c r="BL90" s="261">
        <f t="shared" si="36"/>
        <v>788.69424213815364</v>
      </c>
      <c r="BM90" s="260">
        <f>(VLOOKUP($A90,TOCA_previous!$A$2:$AJ$136,MATCH("RHWM "&amp;Init!$D$1-2,TOCA_previous!$A$2:$AJ$2,0),FALSE)*$F$2) - $BI90</f>
        <v>0</v>
      </c>
      <c r="BN90" s="261">
        <f t="shared" si="37"/>
        <v>0</v>
      </c>
      <c r="BO90" s="260">
        <f t="shared" si="38"/>
        <v>0</v>
      </c>
      <c r="BP90" s="261">
        <f t="shared" si="39"/>
        <v>0</v>
      </c>
      <c r="BQ90" s="260">
        <f t="shared" si="9"/>
        <v>0</v>
      </c>
      <c r="BR90" s="85">
        <f>VLOOKUP($A90,TOCA_current!$A$2:$ZZ$136,MATCH(BR$4,TOCA_current!$A$2:$ZZ$2,0),FALSE)</f>
        <v>8.3199999999999995E-4</v>
      </c>
      <c r="BS90" s="85">
        <f>VLOOKUP($A90,TOCA_current!$A$2:$ZZ$136,MATCH(BS$4,TOCA_current!$A$2:$ZZ$2,0),FALSE)</f>
        <v>8.3199999999999995E-4</v>
      </c>
      <c r="BT90" s="108">
        <f t="shared" si="40"/>
        <v>0</v>
      </c>
      <c r="BU90" s="85">
        <f>VLOOKUP($A90,TOCA_current!A87:BG221,MATCH(BU$4,TOCA_current!$A$2:$BG$2,0),FALSE)</f>
        <v>9.7005917159763325E-2</v>
      </c>
      <c r="BV90" s="85">
        <f t="shared" si="41"/>
        <v>0</v>
      </c>
      <c r="BW90" s="85">
        <f t="shared" si="42"/>
        <v>0</v>
      </c>
      <c r="BX90" s="101">
        <f>VLOOKUP($A90,IRD!$A$4:$G$138, 7, FALSE)</f>
        <v>9522.0249999999996</v>
      </c>
      <c r="BY90" s="102">
        <f t="array" ref="BY90">IF($BT90=0, INDEX(LS_current!$D$4:$BW$137, MATCH('Staging Table'!$A90, LS_current!$B$4:$B$137, 0), MATCH(BY$4&amp;BY$5, LS_current!$D$2:$BW$2&amp;LS_current!$D$3:$BW$3, 0)),SUM(VLOOKUP($A90, LS_current!$B$4:$BW$137, LS_current!D$147, FALSE), VLOOKUP($A90, LS_current!$B$4:$BW$137,LS_current!AZ$147, FALSE))/2)</f>
        <v>153.92344631252445</v>
      </c>
      <c r="BZ90" s="102">
        <f t="array" ref="BZ90">IF($BT90=0, INDEX(LS_current!$D$4:$BW$137, MATCH('Staging Table'!$A90, LS_current!$B$4:$B$137, 0), MATCH(BZ$4&amp;BZ$5, LS_current!$D$2:$BW$2&amp;LS_current!$D$3:$BW$3, 0)),SUM(VLOOKUP($A90, LS_current!$B$4:$BW$137, LS_current!E$147, FALSE), VLOOKUP($A90, LS_current!$B$4:$BW$137,LS_current!BA$147, FALSE))/2)</f>
        <v>74.169263267873475</v>
      </c>
      <c r="CA90" s="102">
        <f t="array" ref="CA90">IF($BT90=0, INDEX(LS_current!$D$4:$BW$137, MATCH('Staging Table'!$A90, LS_current!$B$4:$B$137, 0), MATCH(CA$4&amp;CA$5, LS_current!$D$2:$BW$2&amp;LS_current!$D$3:$BW$3, 0)),SUM(VLOOKUP($A90, LS_current!$B$4:$BW$137, LS_current!F$147, FALSE), VLOOKUP($A90, LS_current!$B$4:$BW$137,LS_current!BB$147, FALSE))/2)</f>
        <v>-987.06553854899039</v>
      </c>
      <c r="CB90" s="102">
        <f t="array" ref="CB90">IF($BT90=0, INDEX(LS_current!$D$4:$BW$137, MATCH('Staging Table'!$A90, LS_current!$B$4:$B$137, 0), MATCH(CB$4&amp;CB$5, LS_current!$D$2:$BW$2&amp;LS_current!$D$3:$BW$3, 0)),SUM(VLOOKUP($A90, LS_current!$B$4:$BW$137, LS_current!G$147, FALSE), VLOOKUP($A90, LS_current!$B$4:$BW$137,LS_current!BC$147, FALSE))/2)</f>
        <v>-480.07654754712325</v>
      </c>
      <c r="CC90" s="102">
        <f t="array" ref="CC90">IF($BT90=0, INDEX(LS_current!$D$4:$BW$137, MATCH('Staging Table'!$A90, LS_current!$B$4:$B$137, 0), MATCH(CC$4&amp;CC$5, LS_current!$D$2:$BW$2&amp;LS_current!$D$3:$BW$3, 0)),SUM(VLOOKUP($A90, LS_current!$B$4:$BW$137, LS_current!H$147, FALSE), VLOOKUP($A90, LS_current!$B$4:$BW$137,LS_current!BD$147, FALSE))/2)</f>
        <v>-969.88357426474931</v>
      </c>
      <c r="CD90" s="102">
        <f t="array" ref="CD90">IF($BT90=0, INDEX(LS_current!$D$4:$BW$137, MATCH('Staging Table'!$A90, LS_current!$B$4:$B$137, 0), MATCH(CD$4&amp;CD$5, LS_current!$D$2:$BW$2&amp;LS_current!$D$3:$BW$3, 0)),SUM(VLOOKUP($A90, LS_current!$B$4:$BW$137, LS_current!I$147, FALSE), VLOOKUP($A90, LS_current!$B$4:$BW$137,LS_current!BE$147, FALSE))/2)</f>
        <v>-136.61808917538337</v>
      </c>
      <c r="CE90" s="102">
        <f t="array" ref="CE90">IF($BT90=0, INDEX(LS_current!$D$4:$BW$137, MATCH('Staging Table'!$A90, LS_current!$B$4:$B$137, 0), MATCH(CE$4&amp;CE$5, LS_current!$D$2:$BW$2&amp;LS_current!$D$3:$BW$3, 0)),SUM(VLOOKUP($A90, LS_current!$B$4:$BW$137, LS_current!J$147, FALSE), VLOOKUP($A90, LS_current!$B$4:$BW$137,LS_current!BF$147, FALSE))/2)</f>
        <v>-1022.771408358155</v>
      </c>
      <c r="CF90" s="102">
        <f t="array" ref="CF90">IF($BT90=0, INDEX(LS_current!$D$4:$BW$137, MATCH('Staging Table'!$A90, LS_current!$B$4:$B$137, 0), MATCH(CF$4&amp;CF$5, LS_current!$D$2:$BW$2&amp;LS_current!$D$3:$BW$3, 0)),SUM(VLOOKUP($A90, LS_current!$B$4:$BW$137, LS_current!K$147, FALSE), VLOOKUP($A90, LS_current!$B$4:$BW$137,LS_current!BG$147, FALSE))/2)</f>
        <v>-246.5735562760583</v>
      </c>
      <c r="CG90" s="102">
        <f t="array" ref="CG90">IF($BT90=0, INDEX(LS_current!$D$4:$BW$137, MATCH('Staging Table'!$A90, LS_current!$B$4:$B$137, 0), MATCH(CG$4&amp;CG$5, LS_current!$D$2:$BW$2&amp;LS_current!$D$3:$BW$3, 0)),SUM(VLOOKUP($A90, LS_current!$B$4:$BW$137, LS_current!L$147, FALSE), VLOOKUP($A90, LS_current!$B$4:$BW$137,LS_current!BH$147, FALSE))/2)</f>
        <v>-888.7471957865032</v>
      </c>
      <c r="CH90" s="102">
        <f t="array" ref="CH90">IF($BT90=0, INDEX(LS_current!$D$4:$BW$137, MATCH('Staging Table'!$A90, LS_current!$B$4:$B$137, 0), MATCH(CH$4&amp;CH$5, LS_current!$D$2:$BW$2&amp;LS_current!$D$3:$BW$3, 0)),SUM(VLOOKUP($A90, LS_current!$B$4:$BW$137, LS_current!M$147, FALSE), VLOOKUP($A90, LS_current!$B$4:$BW$137,LS_current!BI$147, FALSE))/2)</f>
        <v>-242.16624395562872</v>
      </c>
      <c r="CI90" s="102">
        <f t="array" ref="CI90">IF($BT90=0, INDEX(LS_current!$D$4:$BW$137, MATCH('Staging Table'!$A90, LS_current!$B$4:$B$137, 0), MATCH(CI$4&amp;CI$5, LS_current!$D$2:$BW$2&amp;LS_current!$D$3:$BW$3, 0)),SUM(VLOOKUP($A90, LS_current!$B$4:$BW$137, LS_current!N$147, FALSE), VLOOKUP($A90, LS_current!$B$4:$BW$137,LS_current!BJ$147, FALSE))/2)</f>
        <v>-1438.3839642179273</v>
      </c>
      <c r="CJ90" s="102">
        <f t="array" ref="CJ90">IF($BT90=0, INDEX(LS_current!$D$4:$BW$137, MATCH('Staging Table'!$A90, LS_current!$B$4:$B$137, 0), MATCH(CJ$4&amp;CJ$5, LS_current!$D$2:$BW$2&amp;LS_current!$D$3:$BW$3, 0)),SUM(VLOOKUP($A90, LS_current!$B$4:$BW$137, LS_current!O$147, FALSE), VLOOKUP($A90, LS_current!$B$4:$BW$137,LS_current!BK$147, FALSE))/2)</f>
        <v>-436.41486340534721</v>
      </c>
      <c r="CK90" s="102">
        <f t="array" ref="CK90">IF($BT90=0, INDEX(LS_current!$D$4:$BW$137, MATCH('Staging Table'!$A90, LS_current!$B$4:$B$137, 0), MATCH(CK$4&amp;CK$5, LS_current!$D$2:$BW$2&amp;LS_current!$D$3:$BW$3, 0)),SUM(VLOOKUP($A90, LS_current!$B$4:$BW$137, LS_current!P$147, FALSE), VLOOKUP($A90, LS_current!$B$4:$BW$137,LS_current!BL$147, FALSE))/2)</f>
        <v>-416.18748821328336</v>
      </c>
      <c r="CL90" s="102">
        <f t="array" ref="CL90">IF($BT90=0, INDEX(LS_current!$D$4:$BW$137, MATCH('Staging Table'!$A90, LS_current!$B$4:$B$137, 0), MATCH(CL$4&amp;CL$5, LS_current!$D$2:$BW$2&amp;LS_current!$D$3:$BW$3, 0)),SUM(VLOOKUP($A90, LS_current!$B$4:$BW$137, LS_current!Q$147, FALSE), VLOOKUP($A90, LS_current!$B$4:$BW$137,LS_current!BM$147, FALSE))/2)</f>
        <v>-216.26018407220749</v>
      </c>
      <c r="CM90" s="102">
        <f t="array" ref="CM90">IF($BT90=0, INDEX(LS_current!$D$4:$BW$137, MATCH('Staging Table'!$A90, LS_current!$B$4:$B$137, 0), MATCH(CM$4&amp;CM$5, LS_current!$D$2:$BW$2&amp;LS_current!$D$3:$BW$3, 0)),SUM(VLOOKUP($A90, LS_current!$B$4:$BW$137, LS_current!R$147, FALSE), VLOOKUP($A90, LS_current!$B$4:$BW$137,LS_current!BN$147, FALSE))/2)</f>
        <v>-286.75803557267682</v>
      </c>
      <c r="CN90" s="102">
        <f t="array" ref="CN90">IF($BT90=0, INDEX(LS_current!$D$4:$BW$137, MATCH('Staging Table'!$A90, LS_current!$B$4:$B$137, 0), MATCH(CN$4&amp;CN$5, LS_current!$D$2:$BW$2&amp;LS_current!$D$3:$BW$3, 0)),SUM(VLOOKUP($A90, LS_current!$B$4:$BW$137, LS_current!S$147, FALSE), VLOOKUP($A90, LS_current!$B$4:$BW$137,LS_current!BO$147, FALSE))/2)</f>
        <v>-264.62454335819621</v>
      </c>
      <c r="CO90" s="102">
        <f t="array" ref="CO90">IF($BT90=0, INDEX(LS_current!$D$4:$BW$137, MATCH('Staging Table'!$A90, LS_current!$B$4:$B$137, 0), MATCH(CO$4&amp;CO$5, LS_current!$D$2:$BW$2&amp;LS_current!$D$3:$BW$3, 0)),SUM(VLOOKUP($A90, LS_current!$B$4:$BW$137, LS_current!T$147, FALSE), VLOOKUP($A90, LS_current!$B$4:$BW$137,LS_current!BP$147, FALSE))/2)</f>
        <v>76.165924726953563</v>
      </c>
      <c r="CP90" s="102">
        <f t="array" ref="CP90">IF($BT90=0, INDEX(LS_current!$D$4:$BW$137, MATCH('Staging Table'!$A90, LS_current!$B$4:$B$137, 0), MATCH(CP$4&amp;CP$5, LS_current!$D$2:$BW$2&amp;LS_current!$D$3:$BW$3, 0)),SUM(VLOOKUP($A90, LS_current!$B$4:$BW$137, LS_current!U$147, FALSE), VLOOKUP($A90, LS_current!$B$4:$BW$137,LS_current!BQ$147, FALSE))/2)</f>
        <v>481.17674620268417</v>
      </c>
      <c r="CQ90" s="102">
        <f t="array" ref="CQ90">IF($BT90=0, INDEX(LS_current!$D$4:$BW$137, MATCH('Staging Table'!$A90, LS_current!$B$4:$B$137, 0), MATCH(CQ$4&amp;CQ$5, LS_current!$D$2:$BW$2&amp;LS_current!$D$3:$BW$3, 0)),SUM(VLOOKUP($A90, LS_current!$B$4:$BW$137, LS_current!V$147, FALSE), VLOOKUP($A90, LS_current!$B$4:$BW$137,LS_current!BR$147, FALSE))/2)</f>
        <v>1548.2953181839043</v>
      </c>
      <c r="CR90" s="102">
        <f t="array" ref="CR90">IF($BT90=0, INDEX(LS_current!$D$4:$BW$137, MATCH('Staging Table'!$A90, LS_current!$B$4:$B$137, 0), MATCH(CR$4&amp;CR$5, LS_current!$D$2:$BW$2&amp;LS_current!$D$3:$BW$3, 0)),SUM(VLOOKUP($A90, LS_current!$B$4:$BW$137, LS_current!W$147, FALSE), VLOOKUP($A90, LS_current!$B$4:$BW$137,LS_current!BS$147, FALSE))/2)</f>
        <v>1365.5985176908177</v>
      </c>
      <c r="CS90" s="102">
        <f t="array" ref="CS90">IF($BT90=0, INDEX(LS_current!$D$4:$BW$137, MATCH('Staging Table'!$A90, LS_current!$B$4:$B$137, 0), MATCH(CS$4&amp;CS$5, LS_current!$D$2:$BW$2&amp;LS_current!$D$3:$BW$3, 0)),SUM(VLOOKUP($A90, LS_current!$B$4:$BW$137, LS_current!X$147, FALSE), VLOOKUP($A90, LS_current!$B$4:$BW$137,LS_current!BT$147, FALSE))/2)</f>
        <v>1551.4487135961522</v>
      </c>
      <c r="CT90" s="102">
        <f t="array" ref="CT90">IF($BT90=0, INDEX(LS_current!$D$4:$BW$137, MATCH('Staging Table'!$A90, LS_current!$B$4:$B$137, 0), MATCH(CT$4&amp;CT$5, LS_current!$D$2:$BW$2&amp;LS_current!$D$3:$BW$3, 0)),SUM(VLOOKUP($A90, LS_current!$B$4:$BW$137, LS_current!Y$147, FALSE), VLOOKUP($A90, LS_current!$B$4:$BW$137,LS_current!BU$147, FALSE))/2)</f>
        <v>1211.5337972381346</v>
      </c>
      <c r="CU90" s="102">
        <f t="array" ref="CU90">IF($BT90=0, INDEX(LS_current!$D$4:$BW$137, MATCH('Staging Table'!$A90, LS_current!$B$4:$B$137, 0), MATCH(CU$4&amp;CU$5, LS_current!$D$2:$BW$2&amp;LS_current!$D$3:$BW$3, 0)),SUM(VLOOKUP($A90, LS_current!$B$4:$BW$137, LS_current!Z$147, FALSE), VLOOKUP($A90, LS_current!$B$4:$BW$137,LS_current!BV$147, FALSE))/2)</f>
        <v>726.80398292156588</v>
      </c>
      <c r="CV90" s="102">
        <f t="array" ref="CV90">IF($BT90=0, INDEX(LS_current!$D$4:$BW$137, MATCH('Staging Table'!$A90, LS_current!$B$4:$B$137, 0), MATCH(CV$4&amp;CV$5, LS_current!$D$2:$BW$2&amp;LS_current!$D$3:$BW$3, 0)),SUM(VLOOKUP($A90, LS_current!$B$4:$BW$137, LS_current!AA$147, FALSE), VLOOKUP($A90, LS_current!$B$4:$BW$137,LS_current!BW$147, FALSE))/2)</f>
        <v>843.74254869898687</v>
      </c>
      <c r="CW90" s="103">
        <f t="array" ref="CW90">INDEX(Demand_current!$D$4:$BW$137, MATCH($A90, Demand_current!$B$4:$B$137, 0), MATCH(CW$4&amp;CW$5,Demand_current!$D$2:$BW$2&amp;Demand_current!$D$3:$BW$3, 0))/1000</f>
        <v>2.9641689814814822</v>
      </c>
      <c r="CX90" s="103">
        <f t="array" ref="CX90">INDEX(Demand_current!$D$4:$BW$137, MATCH($A90, Demand_current!$B$4:$B$137, 0), MATCH(CX$4&amp;CX$5,Demand_current!$D$2:$BW$2&amp;Demand_current!$D$3:$BW$3, 0))/1000</f>
        <v>0.94601822916666745</v>
      </c>
      <c r="CY90" s="103">
        <f t="array" ref="CY90">INDEX(Demand_current!$D$4:$BW$137, MATCH($A90, Demand_current!$B$4:$B$137, 0), MATCH(CY$4&amp;CY$5,Demand_current!$D$2:$BW$2&amp;Demand_current!$D$3:$BW$3, 0))/1000</f>
        <v>2.6336538461538463</v>
      </c>
      <c r="CZ90" s="103">
        <f t="array" ref="CZ90">INDEX(Demand_current!$D$4:$BW$137, MATCH($A90, Demand_current!$B$4:$B$137, 0), MATCH(CZ$4&amp;CZ$5,Demand_current!$D$2:$BW$2&amp;Demand_current!$D$3:$BW$3, 0))/1000</f>
        <v>2.2930865384615391</v>
      </c>
      <c r="DA90" s="103">
        <f t="array" ref="DA90">INDEX(Demand_current!$D$4:$BW$137, MATCH($A90, Demand_current!$B$4:$B$137, 0), MATCH(DA$4&amp;DA$5,Demand_current!$D$2:$BW$2&amp;Demand_current!$D$3:$BW$3, 0))/1000</f>
        <v>1.9592239583333342</v>
      </c>
      <c r="DB90" s="103">
        <f t="array" ref="DB90">INDEX(Demand_current!$D$4:$BW$137, MATCH($A90, Demand_current!$B$4:$B$137, 0), MATCH(DB$4&amp;DB$5,Demand_current!$D$2:$BW$2&amp;Demand_current!$D$3:$BW$3, 0))/1000</f>
        <v>2.3182331730769228</v>
      </c>
      <c r="DC90" s="103">
        <f t="array" ref="DC90">INDEX(Demand_current!$D$4:$BW$137, MATCH($A90, Demand_current!$B$4:$B$137, 0), MATCH(DC$4&amp;DC$5,Demand_current!$D$2:$BW$2&amp;Demand_current!$D$3:$BW$3, 0))/1000</f>
        <v>1.0936225961538462</v>
      </c>
      <c r="DD90" s="103">
        <f t="array" ref="DD90">INDEX(Demand_current!$D$4:$BW$137, MATCH($A90, Demand_current!$B$4:$B$137, 0), MATCH(DD$4&amp;DD$5,Demand_current!$D$2:$BW$2&amp;Demand_current!$D$3:$BW$3, 0))/1000</f>
        <v>1.4162424999999992</v>
      </c>
      <c r="DE90" s="103">
        <f t="array" ref="DE90">INDEX(Demand_current!$D$4:$BW$137, MATCH($A90, Demand_current!$B$4:$B$137, 0), MATCH(DE$4&amp;DE$5,Demand_current!$D$2:$BW$2&amp;Demand_current!$D$3:$BW$3, 0))/1000</f>
        <v>3.3168269230769232</v>
      </c>
      <c r="DF90" s="103">
        <f t="array" ref="DF90">INDEX(Demand_current!$D$4:$BW$137, MATCH($A90, Demand_current!$B$4:$B$137, 0), MATCH(DF$4&amp;DF$5,Demand_current!$D$2:$BW$2&amp;Demand_current!$D$3:$BW$3, 0))/1000</f>
        <v>2.3897884615384601</v>
      </c>
      <c r="DG90" s="103">
        <f t="array" ref="DG90">INDEX(Demand_current!$D$4:$BW$137, MATCH($A90, Demand_current!$B$4:$B$137, 0), MATCH(DG$4&amp;DG$5,Demand_current!$D$2:$BW$2&amp;Demand_current!$D$3:$BW$3, 0))/1000</f>
        <v>2.7416225961538472</v>
      </c>
      <c r="DH90" s="103">
        <f t="array" ref="DH90">INDEX(Demand_current!$D$4:$BW$137, MATCH($A90, Demand_current!$B$4:$B$137, 0), MATCH(DH$4&amp;DH$5,Demand_current!$D$2:$BW$2&amp;Demand_current!$D$3:$BW$3, 0))/1000</f>
        <v>4.0243374999999997</v>
      </c>
      <c r="DI90" s="102">
        <f>$BS90*(VLOOKUP(DI$4, Rates_current!$H$6:$R$41, 10, FALSE)+VLOOKUP(DI$4, Rates_current!$H$6:$R$41, 11, FALSE))</f>
        <v>3453.0392904196024</v>
      </c>
      <c r="DJ90" s="102">
        <f>$BS90*(VLOOKUP(DJ$4, Rates_current!$H$6:$R$41, 10, FALSE)+VLOOKUP(DJ$4, Rates_current!$H$6:$R$41, 11, FALSE))</f>
        <v>4414.5970860961143</v>
      </c>
      <c r="DK90" s="102">
        <f>$BS90*(VLOOKUP(DK$4, Rates_current!$H$6:$R$41, 10, FALSE)+VLOOKUP(DK$4, Rates_current!$H$6:$R$41, 11, FALSE))</f>
        <v>5019.0276634401325</v>
      </c>
      <c r="DL90" s="102">
        <f>$BS90*(VLOOKUP(DL$4, Rates_current!$H$6:$R$41, 10, FALSE)+VLOOKUP(DL$4, Rates_current!$H$6:$R$41, 11, FALSE))</f>
        <v>5295.4659646342134</v>
      </c>
      <c r="DM90" s="102">
        <f>$BS90*(VLOOKUP(DM$4, Rates_current!$H$6:$R$41, 10, FALSE)+VLOOKUP(DM$4, Rates_current!$H$6:$R$41, 11, FALSE))</f>
        <v>4220.0084397421324</v>
      </c>
      <c r="DN90" s="102">
        <f>$BS90*(VLOOKUP(DN$4, Rates_current!$H$6:$R$41, 10, FALSE)+VLOOKUP(DN$4, Rates_current!$H$6:$R$41, 11, FALSE))</f>
        <v>4613.3358276232748</v>
      </c>
      <c r="DO90" s="102">
        <f>$BS90*(VLOOKUP(DO$4, Rates_current!$H$6:$R$41, 10, FALSE)+VLOOKUP(DO$4, Rates_current!$H$6:$R$41, 11, FALSE))</f>
        <v>3575.3816722854913</v>
      </c>
      <c r="DP90" s="102">
        <f>$BS90*(VLOOKUP(DP$4, Rates_current!$H$6:$R$41, 10, FALSE)+VLOOKUP(DP$4, Rates_current!$H$6:$R$41, 11, FALSE))</f>
        <v>4627.132578930873</v>
      </c>
      <c r="DQ90" s="102">
        <f>$BS90*(VLOOKUP(DQ$4, Rates_current!$H$6:$R$41, 10, FALSE)+VLOOKUP(DQ$4, Rates_current!$H$6:$R$41, 11, FALSE))</f>
        <v>4725.935329070363</v>
      </c>
      <c r="DR90" s="102">
        <f>$BS90*(VLOOKUP(DR$4, Rates_current!$H$6:$R$41, 10, FALSE)+VLOOKUP(DR$4, Rates_current!$H$6:$R$41, 11, FALSE))</f>
        <v>4206.4911641252784</v>
      </c>
      <c r="DS90" s="102">
        <f>$BS90*(VLOOKUP(DS$4, Rates_current!$H$6:$R$41, 10, FALSE)+VLOOKUP(DS$4, Rates_current!$H$6:$R$41, 11, FALSE))</f>
        <v>4315.0884891657133</v>
      </c>
      <c r="DT90" s="102">
        <f>$BS90*(VLOOKUP(DT$4, Rates_current!$H$6:$R$41, 10, FALSE)+VLOOKUP(DT$4, Rates_current!$H$6:$R$41, 11, FALSE))</f>
        <v>3351.1834683794468</v>
      </c>
      <c r="DU90" s="261">
        <f>IF(D90=0,IF(C90=0,MAX(0,DW90 - (VLOOKUP($A90,TOCA_current!$A$2:$AV$136,MATCH("RHWM "&amp;Init!$D$1,TOCA_current!$A$2:$AV$2,0),FALSE)*$BS$2)), 0),0)</f>
        <v>1.6170587273663841</v>
      </c>
      <c r="DV90" s="262">
        <f>MIN(VLOOKUP($A90,TOCA_current!$A$2:$AV$136,MATCH("TRL - NLSL - Existing Resource "&amp;$BS$1,TOCA_current!$A$2:$AV$2,0),FALSE)*$BS$2, VLOOKUP($A90,TOCA_current!$A$2:$AV$136,MATCH("RHWM "&amp;Init!$D$1,TOCA_current!$A$2:$AV$2,0),FALSE)*$BS$2)</f>
        <v>51815.4</v>
      </c>
      <c r="DW90" s="262">
        <f>SUM(BY90:CV90)+(BS90*RT1SC!$C$4*$BS$2)</f>
        <v>51817.017058727368</v>
      </c>
      <c r="DX90" s="262">
        <f>VLOOKUP($A90,TOCA_current!$A$2:$AV$136,MATCH("Above RHWM Not Served with LS "&amp;$BS$1,TOCA_current!$A$2:$AV$2,0),FALSE)*$BS$2</f>
        <v>19990.32</v>
      </c>
      <c r="DY90" s="262">
        <f t="shared" si="43"/>
        <v>1.6170587273663841</v>
      </c>
      <c r="DZ90" s="262">
        <f>(VLOOKUP($A90,TOCA_current!$A$2:$AV$136,MATCH("RHWM "&amp;Init!$D$1,TOCA_current!$A$2:$AV$2,0),FALSE)*$BS$2) - $DV90</f>
        <v>0</v>
      </c>
      <c r="EA90" s="262">
        <f t="shared" si="44"/>
        <v>0</v>
      </c>
      <c r="EB90" s="262">
        <f t="shared" si="45"/>
        <v>0</v>
      </c>
      <c r="EC90" s="262">
        <f t="shared" si="46"/>
        <v>0</v>
      </c>
      <c r="ED90" s="262">
        <f t="shared" si="47"/>
        <v>0</v>
      </c>
    </row>
    <row r="91" spans="1:134">
      <c r="A91" s="2">
        <v>10278</v>
      </c>
      <c r="B91" s="3" t="s">
        <v>93</v>
      </c>
      <c r="C91">
        <f>VLOOKUP(A91, TOCA_current!$A$3:$D$136, 4, FALSE)</f>
        <v>1</v>
      </c>
      <c r="D91">
        <v>0</v>
      </c>
      <c r="E91" s="84">
        <f>VLOOKUP($A91,TOCA_previous!$A$2:$AJ$136,MATCH(E$4,TOCA_previous!$A$2:$AJ$2,0),FALSE)</f>
        <v>5.2012999999999998E-3</v>
      </c>
      <c r="F91" s="85">
        <f>VLOOKUP($A91,TOCA_previous!$A$2:$AJ$136,MATCH(F$4,TOCA_previous!$A$2:$AJ$2,0),FALSE)</f>
        <v>5.2012999999999998E-3</v>
      </c>
      <c r="G91" s="85">
        <f t="shared" si="33"/>
        <v>0</v>
      </c>
      <c r="H91" s="85">
        <f>VLOOKUP($A91,TOCA_previous!$A$2:$AJ$136,MATCH(H$4,TOCA_previous!$A$2:$AJ$2,0),FALSE)</f>
        <v>7.1523881095524378E-2</v>
      </c>
      <c r="I91" s="85">
        <f t="shared" si="34"/>
        <v>7.1523881095524378E-2</v>
      </c>
      <c r="J91" s="85">
        <f t="shared" si="35"/>
        <v>5.2012999999999998E-3</v>
      </c>
      <c r="K91" s="101">
        <f>VLOOKUP(A91, IRD!$A$5:$C$138, 3, FALSE)</f>
        <v>0</v>
      </c>
      <c r="L91" s="102">
        <f t="array" ref="L91">IF($G91=0, INDEX(LS_previous!$D$4:$AY$137, MATCH('Staging Table'!$A91, LS_previous!$B$4:$B$137, 0), MATCH(L$4&amp;L$5, LS_previous!$D$2:$AY$2&amp;LS_previous!$D$3:$AY$3, 0)),SUM(VLOOKUP($A91, LS_previous!$B$4:$AY$137, LS_previous!D$148, FALSE), VLOOKUP('Staging Table'!$A91, LS_previous!$B$4:$AY$137,LS_previous!AB$148, FALSE))/2)</f>
        <v>0</v>
      </c>
      <c r="M91" s="102">
        <f t="array" ref="M91">IF($G91=0, INDEX(LS_previous!$D$4:$AY$137, MATCH('Staging Table'!$A91, LS_previous!$B$4:$B$137, 0), MATCH(M$4&amp;M$5, LS_previous!$D$2:$AY$2&amp;LS_previous!$D$3:$AY$3, 0)),SUM(VLOOKUP($A91, LS_previous!$B$4:$AY$137, LS_previous!E$148, FALSE), VLOOKUP('Staging Table'!$A91, LS_previous!$B$4:$AY$137,LS_previous!AC$148, FALSE))/2)</f>
        <v>0</v>
      </c>
      <c r="N91" s="102">
        <f t="array" ref="N91">IF($G91=0, INDEX(LS_previous!$D$4:$AY$137, MATCH('Staging Table'!$A91, LS_previous!$B$4:$B$137, 0), MATCH(N$4&amp;N$5, LS_previous!$D$2:$AY$2&amp;LS_previous!$D$3:$AY$3, 0)),SUM(VLOOKUP($A91, LS_previous!$B$4:$AY$137, LS_previous!F$148, FALSE), VLOOKUP('Staging Table'!$A91, LS_previous!$B$4:$AY$137,LS_previous!AD$148, FALSE))/2)</f>
        <v>0</v>
      </c>
      <c r="O91" s="102">
        <f t="array" ref="O91">IF($G91=0, INDEX(LS_previous!$D$4:$AY$137, MATCH('Staging Table'!$A91, LS_previous!$B$4:$B$137, 0), MATCH(O$4&amp;O$5, LS_previous!$D$2:$AY$2&amp;LS_previous!$D$3:$AY$3, 0)),SUM(VLOOKUP($A91, LS_previous!$B$4:$AY$137, LS_previous!G$148, FALSE), VLOOKUP('Staging Table'!$A91, LS_previous!$B$4:$AY$137,LS_previous!AE$148, FALSE))/2)</f>
        <v>0</v>
      </c>
      <c r="P91" s="102">
        <f t="array" ref="P91">IF($G91=0, INDEX(LS_previous!$D$4:$AY$137, MATCH('Staging Table'!$A91, LS_previous!$B$4:$B$137, 0), MATCH(P$4&amp;P$5, LS_previous!$D$2:$AY$2&amp;LS_previous!$D$3:$AY$3, 0)),SUM(VLOOKUP($A91, LS_previous!$B$4:$AY$137, LS_previous!H$148, FALSE), VLOOKUP('Staging Table'!$A91, LS_previous!$B$4:$AY$137,LS_previous!AF$148, FALSE))/2)</f>
        <v>0</v>
      </c>
      <c r="Q91" s="102">
        <f t="array" ref="Q91">IF($G91=0, INDEX(LS_previous!$D$4:$AY$137, MATCH('Staging Table'!$A91, LS_previous!$B$4:$B$137, 0), MATCH(Q$4&amp;Q$5, LS_previous!$D$2:$AY$2&amp;LS_previous!$D$3:$AY$3, 0)),SUM(VLOOKUP($A91, LS_previous!$B$4:$AY$137, LS_previous!I$148, FALSE), VLOOKUP('Staging Table'!$A91, LS_previous!$B$4:$AY$137,LS_previous!AG$148, FALSE))/2)</f>
        <v>0</v>
      </c>
      <c r="R91" s="102">
        <f t="array" ref="R91">IF($G91=0, INDEX(LS_previous!$D$4:$AY$137, MATCH('Staging Table'!$A91, LS_previous!$B$4:$B$137, 0), MATCH(R$4&amp;R$5, LS_previous!$D$2:$AY$2&amp;LS_previous!$D$3:$AY$3, 0)),SUM(VLOOKUP($A91, LS_previous!$B$4:$AY$137, LS_previous!J$148, FALSE), VLOOKUP('Staging Table'!$A91, LS_previous!$B$4:$AY$137,LS_previous!AH$148, FALSE))/2)</f>
        <v>0</v>
      </c>
      <c r="S91" s="102">
        <f t="array" ref="S91">IF($G91=0, INDEX(LS_previous!$D$4:$AY$137, MATCH('Staging Table'!$A91, LS_previous!$B$4:$B$137, 0), MATCH(S$4&amp;S$5, LS_previous!$D$2:$AY$2&amp;LS_previous!$D$3:$AY$3, 0)),SUM(VLOOKUP($A91, LS_previous!$B$4:$AY$137, LS_previous!K$148, FALSE), VLOOKUP('Staging Table'!$A91, LS_previous!$B$4:$AY$137,LS_previous!AI$148, FALSE))/2)</f>
        <v>0</v>
      </c>
      <c r="T91" s="102">
        <f t="array" ref="T91">IF($G91=0, INDEX(LS_previous!$D$4:$AY$137, MATCH('Staging Table'!$A91, LS_previous!$B$4:$B$137, 0), MATCH(T$4&amp;T$5, LS_previous!$D$2:$AY$2&amp;LS_previous!$D$3:$AY$3, 0)),SUM(VLOOKUP($A91, LS_previous!$B$4:$AY$137, LS_previous!L$148, FALSE), VLOOKUP('Staging Table'!$A91, LS_previous!$B$4:$AY$137,LS_previous!AJ$148, FALSE))/2)</f>
        <v>0</v>
      </c>
      <c r="U91" s="102">
        <f t="array" ref="U91">IF($G91=0, INDEX(LS_previous!$D$4:$AY$137, MATCH('Staging Table'!$A91, LS_previous!$B$4:$B$137, 0), MATCH(U$4&amp;U$5, LS_previous!$D$2:$AY$2&amp;LS_previous!$D$3:$AY$3, 0)),SUM(VLOOKUP($A91, LS_previous!$B$4:$AY$137, LS_previous!M$148, FALSE), VLOOKUP('Staging Table'!$A91, LS_previous!$B$4:$AY$137,LS_previous!AK$148, FALSE))/2)</f>
        <v>0</v>
      </c>
      <c r="V91" s="102">
        <f t="array" ref="V91">IF($G91=0, INDEX(LS_previous!$D$4:$AY$137, MATCH('Staging Table'!$A91, LS_previous!$B$4:$B$137, 0), MATCH(V$4&amp;V$5, LS_previous!$D$2:$AY$2&amp;LS_previous!$D$3:$AY$3, 0)),SUM(VLOOKUP($A91, LS_previous!$B$4:$AY$137, LS_previous!N$148, FALSE), VLOOKUP('Staging Table'!$A91, LS_previous!$B$4:$AY$137,LS_previous!AL$148, FALSE))/2)</f>
        <v>0</v>
      </c>
      <c r="W91" s="102">
        <f t="array" ref="W91">IF($G91=0, INDEX(LS_previous!$D$4:$AY$137, MATCH('Staging Table'!$A91, LS_previous!$B$4:$B$137, 0), MATCH(W$4&amp;W$5, LS_previous!$D$2:$AY$2&amp;LS_previous!$D$3:$AY$3, 0)),SUM(VLOOKUP($A91, LS_previous!$B$4:$AY$137, LS_previous!O$148, FALSE), VLOOKUP('Staging Table'!$A91, LS_previous!$B$4:$AY$137,LS_previous!AM$148, FALSE))/2)</f>
        <v>0</v>
      </c>
      <c r="X91" s="102">
        <f t="array" ref="X91">IF($G91=0, INDEX(LS_previous!$D$4:$AY$137, MATCH('Staging Table'!$A91, LS_previous!$B$4:$B$137, 0), MATCH(X$4&amp;X$5, LS_previous!$D$2:$AY$2&amp;LS_previous!$D$3:$AY$3, 0)),SUM(VLOOKUP($A91, LS_previous!$B$4:$AY$137, LS_previous!P$148, FALSE), VLOOKUP('Staging Table'!$A91, LS_previous!$B$4:$AY$137,LS_previous!AN$148, FALSE))/2)</f>
        <v>0</v>
      </c>
      <c r="Y91" s="102">
        <f t="array" ref="Y91">IF($G91=0, INDEX(LS_previous!$D$4:$AY$137, MATCH('Staging Table'!$A91, LS_previous!$B$4:$B$137, 0), MATCH(Y$4&amp;Y$5, LS_previous!$D$2:$AY$2&amp;LS_previous!$D$3:$AY$3, 0)),SUM(VLOOKUP($A91, LS_previous!$B$4:$AY$137, LS_previous!Q$148, FALSE), VLOOKUP('Staging Table'!$A91, LS_previous!$B$4:$AY$137,LS_previous!AO$148, FALSE))/2)</f>
        <v>0</v>
      </c>
      <c r="Z91" s="102">
        <f t="array" ref="Z91">IF($G91=0, INDEX(LS_previous!$D$4:$AY$137, MATCH('Staging Table'!$A91, LS_previous!$B$4:$B$137, 0), MATCH(Z$4&amp;Z$5, LS_previous!$D$2:$AY$2&amp;LS_previous!$D$3:$AY$3, 0)),SUM(VLOOKUP($A91, LS_previous!$B$4:$AY$137, LS_previous!R$148, FALSE), VLOOKUP('Staging Table'!$A91, LS_previous!$B$4:$AY$137,LS_previous!AP$148, FALSE))/2)</f>
        <v>0</v>
      </c>
      <c r="AA91" s="102">
        <f t="array" ref="AA91">IF($G91=0, INDEX(LS_previous!$D$4:$AY$137, MATCH('Staging Table'!$A91, LS_previous!$B$4:$B$137, 0), MATCH(AA$4&amp;AA$5, LS_previous!$D$2:$AY$2&amp;LS_previous!$D$3:$AY$3, 0)),SUM(VLOOKUP($A91, LS_previous!$B$4:$AY$137, LS_previous!S$148, FALSE), VLOOKUP('Staging Table'!$A91, LS_previous!$B$4:$AY$137,LS_previous!AQ$148, FALSE))/2)</f>
        <v>0</v>
      </c>
      <c r="AB91" s="102">
        <f t="array" ref="AB91">IF($G91=0, INDEX(LS_previous!$D$4:$AY$137, MATCH('Staging Table'!$A91, LS_previous!$B$4:$B$137, 0), MATCH(AB$4&amp;AB$5, LS_previous!$D$2:$AY$2&amp;LS_previous!$D$3:$AY$3, 0)),SUM(VLOOKUP($A91, LS_previous!$B$4:$AY$137, LS_previous!T$148, FALSE), VLOOKUP('Staging Table'!$A91, LS_previous!$B$4:$AY$137,LS_previous!AR$148, FALSE))/2)</f>
        <v>0</v>
      </c>
      <c r="AC91" s="102">
        <f t="array" ref="AC91">IF($G91=0, INDEX(LS_previous!$D$4:$AY$137, MATCH('Staging Table'!$A91, LS_previous!$B$4:$B$137, 0), MATCH(AC$4&amp;AC$5, LS_previous!$D$2:$AY$2&amp;LS_previous!$D$3:$AY$3, 0)),SUM(VLOOKUP($A91, LS_previous!$B$4:$AY$137, LS_previous!U$148, FALSE), VLOOKUP('Staging Table'!$A91, LS_previous!$B$4:$AY$137,LS_previous!AS$148, FALSE))/2)</f>
        <v>0</v>
      </c>
      <c r="AD91" s="102">
        <f t="array" ref="AD91">IF($G91=0, INDEX(LS_previous!$D$4:$AY$137, MATCH('Staging Table'!$A91, LS_previous!$B$4:$B$137, 0), MATCH(AD$4&amp;AD$5, LS_previous!$D$2:$AY$2&amp;LS_previous!$D$3:$AY$3, 0)),SUM(VLOOKUP($A91, LS_previous!$B$4:$AY$137, LS_previous!V$148, FALSE), VLOOKUP('Staging Table'!$A91, LS_previous!$B$4:$AY$137,LS_previous!AT$148, FALSE))/2)</f>
        <v>0</v>
      </c>
      <c r="AE91" s="102">
        <f t="array" ref="AE91">IF($G91=0, INDEX(LS_previous!$D$4:$AY$137, MATCH('Staging Table'!$A91, LS_previous!$B$4:$B$137, 0), MATCH(AE$4&amp;AE$5, LS_previous!$D$2:$AY$2&amp;LS_previous!$D$3:$AY$3, 0)),SUM(VLOOKUP($A91, LS_previous!$B$4:$AY$137, LS_previous!W$148, FALSE), VLOOKUP('Staging Table'!$A91, LS_previous!$B$4:$AY$137,LS_previous!AU$148, FALSE))/2)</f>
        <v>0</v>
      </c>
      <c r="AF91" s="102">
        <f t="array" ref="AF91">IF($G91=0, INDEX(LS_previous!$D$4:$AY$137, MATCH('Staging Table'!$A91, LS_previous!$B$4:$B$137, 0), MATCH(AF$4&amp;AF$5, LS_previous!$D$2:$AY$2&amp;LS_previous!$D$3:$AY$3, 0)),SUM(VLOOKUP($A91, LS_previous!$B$4:$AY$137, LS_previous!X$148, FALSE), VLOOKUP('Staging Table'!$A91, LS_previous!$B$4:$AY$137,LS_previous!AV$148, FALSE))/2)</f>
        <v>0</v>
      </c>
      <c r="AG91" s="102">
        <f t="array" ref="AG91">IF($G91=0, INDEX(LS_previous!$D$4:$AY$137, MATCH('Staging Table'!$A91, LS_previous!$B$4:$B$137, 0), MATCH(AG$4&amp;AG$5, LS_previous!$D$2:$AY$2&amp;LS_previous!$D$3:$AY$3, 0)),SUM(VLOOKUP($A91, LS_previous!$B$4:$AY$137, LS_previous!Y$148, FALSE), VLOOKUP('Staging Table'!$A91, LS_previous!$B$4:$AY$137,LS_previous!AW$148, FALSE))/2)</f>
        <v>0</v>
      </c>
      <c r="AH91" s="102">
        <f t="array" ref="AH91">IF($G91=0, INDEX(LS_previous!$D$4:$AY$137, MATCH('Staging Table'!$A91, LS_previous!$B$4:$B$137, 0), MATCH(AH$4&amp;AH$5, LS_previous!$D$2:$AY$2&amp;LS_previous!$D$3:$AY$3, 0)),SUM(VLOOKUP($A91, LS_previous!$B$4:$AY$137, LS_previous!Z$148, FALSE), VLOOKUP('Staging Table'!$A91, LS_previous!$B$4:$AY$137,LS_previous!AX$148, FALSE))/2)</f>
        <v>0</v>
      </c>
      <c r="AI91" s="102">
        <f t="array" ref="AI91">IF($G91=0, INDEX(LS_previous!$D$4:$AY$137, MATCH('Staging Table'!$A91, LS_previous!$B$4:$B$137, 0), MATCH(AI$4&amp;AI$5, LS_previous!$D$2:$AY$2&amp;LS_previous!$D$3:$AY$3, 0)),SUM(VLOOKUP($A91, LS_previous!$B$4:$AY$137, LS_previous!AA$148, FALSE), VLOOKUP('Staging Table'!$A91, LS_previous!$B$4:$AY$137,LS_previous!AY$148, FALSE))/2)</f>
        <v>0</v>
      </c>
      <c r="AJ91" s="103">
        <f t="array" ref="AJ91">INDEX(Demand_previous!$D$4:$AY$137, MATCH('Staging Table'!$A91, Demand_previous!$B$4:$B$137, 0), MATCH(AJ$4&amp;AJ$5,Demand_previous!$D$2:$AY$2&amp;Demand_previous!$D$3:$AY$3, 0))/1000</f>
        <v>0</v>
      </c>
      <c r="AK91" s="103">
        <f t="array" ref="AK91">INDEX(Demand_previous!$D$4:$AY$137, MATCH('Staging Table'!$A91, Demand_previous!$B$4:$B$137, 0), MATCH(AK$4&amp;AK$5,Demand_previous!$D$2:$AY$2&amp;Demand_previous!$D$3:$AY$3, 0))/1000</f>
        <v>0</v>
      </c>
      <c r="AL91" s="103">
        <f t="array" ref="AL91">INDEX(Demand_previous!$D$4:$AY$137, MATCH('Staging Table'!$A91, Demand_previous!$B$4:$B$137, 0), MATCH(AL$4&amp;AL$5,Demand_previous!$D$2:$AY$2&amp;Demand_previous!$D$3:$AY$3, 0))/1000</f>
        <v>0</v>
      </c>
      <c r="AM91" s="103">
        <f t="array" ref="AM91">INDEX(Demand_previous!$D$4:$AY$137, MATCH('Staging Table'!$A91, Demand_previous!$B$4:$B$137, 0), MATCH(AM$4&amp;AM$5,Demand_previous!$D$2:$AY$2&amp;Demand_previous!$D$3:$AY$3, 0))/1000</f>
        <v>0</v>
      </c>
      <c r="AN91" s="103">
        <f t="array" ref="AN91">INDEX(Demand_previous!$D$4:$AY$137, MATCH('Staging Table'!$A91, Demand_previous!$B$4:$B$137, 0), MATCH(AN$4&amp;AN$5,Demand_previous!$D$2:$AY$2&amp;Demand_previous!$D$3:$AY$3, 0))/1000</f>
        <v>0</v>
      </c>
      <c r="AO91" s="103">
        <f t="array" ref="AO91">INDEX(Demand_previous!$D$4:$AY$137, MATCH('Staging Table'!$A91, Demand_previous!$B$4:$B$137, 0), MATCH(AO$4&amp;AO$5,Demand_previous!$D$2:$AY$2&amp;Demand_previous!$D$3:$AY$3, 0))/1000</f>
        <v>0</v>
      </c>
      <c r="AP91" s="103">
        <f t="array" ref="AP91">INDEX(Demand_previous!$D$4:$AY$137, MATCH('Staging Table'!$A91, Demand_previous!$B$4:$B$137, 0), MATCH(AP$4&amp;AP$5,Demand_previous!$D$2:$AY$2&amp;Demand_previous!$D$3:$AY$3, 0))/1000</f>
        <v>0</v>
      </c>
      <c r="AQ91" s="103">
        <f t="array" ref="AQ91">INDEX(Demand_previous!$D$4:$AY$137, MATCH('Staging Table'!$A91, Demand_previous!$B$4:$B$137, 0), MATCH(AQ$4&amp;AQ$5,Demand_previous!$D$2:$AY$2&amp;Demand_previous!$D$3:$AY$3, 0))/1000</f>
        <v>0</v>
      </c>
      <c r="AR91" s="103">
        <f t="array" ref="AR91">INDEX(Demand_previous!$D$4:$AY$137, MATCH('Staging Table'!$A91, Demand_previous!$B$4:$B$137, 0), MATCH(AR$4&amp;AR$5,Demand_previous!$D$2:$AY$2&amp;Demand_previous!$D$3:$AY$3, 0))/1000</f>
        <v>0</v>
      </c>
      <c r="AS91" s="103">
        <f t="array" ref="AS91">INDEX(Demand_previous!$D$4:$AY$137, MATCH('Staging Table'!$A91, Demand_previous!$B$4:$B$137, 0), MATCH(AS$4&amp;AS$5,Demand_previous!$D$2:$AY$2&amp;Demand_previous!$D$3:$AY$3, 0))/1000</f>
        <v>0</v>
      </c>
      <c r="AT91" s="103">
        <f t="array" ref="AT91">INDEX(Demand_previous!$D$4:$AY$137, MATCH('Staging Table'!$A91, Demand_previous!$B$4:$B$137, 0), MATCH(AT$4&amp;AT$5,Demand_previous!$D$2:$AY$2&amp;Demand_previous!$D$3:$AY$3, 0))/1000</f>
        <v>0</v>
      </c>
      <c r="AU91" s="103">
        <f t="array" ref="AU91">INDEX(Demand_previous!$D$4:$AY$137, MATCH('Staging Table'!$A91, Demand_previous!$B$4:$B$137, 0), MATCH(AU$4&amp;AU$5,Demand_previous!$D$2:$AY$2&amp;Demand_previous!$D$3:$AY$3, 0))/1000</f>
        <v>0</v>
      </c>
      <c r="AV91" s="102">
        <f>$F91*(VLOOKUP(AV$4, Rates_previous!$G$6:$Q$29, 10, FALSE)+VLOOKUP(AV$4, Rates_previous!$G$6:$Q$29, 11, FALSE))</f>
        <v>21943.264004689951</v>
      </c>
      <c r="AW91" s="102">
        <f>$F91*(VLOOKUP(AW$4, Rates_previous!$G$6:$Q$29, 10, FALSE)+VLOOKUP(AW$4, Rates_previous!$G$6:$Q$29, 11, FALSE))</f>
        <v>27984.897462546702</v>
      </c>
      <c r="AX91" s="102">
        <f>$F91*(VLOOKUP(AX$4, Rates_previous!$G$6:$Q$29, 10, FALSE)+VLOOKUP(AX$4, Rates_previous!$G$6:$Q$29, 11, FALSE))</f>
        <v>30201.241485265502</v>
      </c>
      <c r="AY91" s="102">
        <f>$F91*(VLOOKUP(AY$4, Rates_previous!$G$6:$Q$29, 10, FALSE)+VLOOKUP(AY$4, Rates_previous!$G$6:$Q$29, 11, FALSE))</f>
        <v>31383.758647467199</v>
      </c>
      <c r="AZ91" s="102">
        <f>$F91*(VLOOKUP(AZ$4, Rates_previous!$G$6:$Q$29, 10, FALSE)+VLOOKUP(AZ$4, Rates_previous!$G$6:$Q$29, 11, FALSE))</f>
        <v>26994.215624789398</v>
      </c>
      <c r="BA91" s="102">
        <f>$F91*(VLOOKUP(BA$4, Rates_previous!$G$6:$Q$29, 10, FALSE)+VLOOKUP(BA$4, Rates_previous!$G$6:$Q$29, 11, FALSE))</f>
        <v>29472.338876358299</v>
      </c>
      <c r="BB91" s="102">
        <f>$F91*(VLOOKUP(BB$4, Rates_previous!$G$6:$Q$29, 10, FALSE)+VLOOKUP(BB$4, Rates_previous!$G$6:$Q$29, 11, FALSE))</f>
        <v>23263.444851711021</v>
      </c>
      <c r="BC91" s="102">
        <f>$F91*(VLOOKUP(BC$4, Rates_previous!$G$6:$Q$29, 10, FALSE)+VLOOKUP(BC$4, Rates_previous!$G$6:$Q$29, 11, FALSE))</f>
        <v>28861.42078560845</v>
      </c>
      <c r="BD91" s="102">
        <f>$F91*(VLOOKUP(BD$4, Rates_previous!$G$6:$Q$29, 10, FALSE)+VLOOKUP(BD$4, Rates_previous!$G$6:$Q$29, 11, FALSE))</f>
        <v>29487.641566474646</v>
      </c>
      <c r="BE91" s="102">
        <f>$F91*(VLOOKUP(BE$4, Rates_previous!$G$6:$Q$29, 10, FALSE)+VLOOKUP(BE$4, Rates_previous!$G$6:$Q$29, 11, FALSE))</f>
        <v>25599.521116508949</v>
      </c>
      <c r="BF91" s="102">
        <f>$F91*(VLOOKUP(BF$4, Rates_previous!$G$6:$Q$29, 10, FALSE)+VLOOKUP(BF$4, Rates_previous!$G$6:$Q$29, 11, FALSE))</f>
        <v>24747.932343746757</v>
      </c>
      <c r="BG91" s="102">
        <f>$F91*(VLOOKUP(BG$4, Rates_previous!$G$6:$Q$29, 10, FALSE)+VLOOKUP(BG$4, Rates_previous!$G$6:$Q$29, 11, FALSE))</f>
        <v>22772.890165191402</v>
      </c>
      <c r="BH91" s="103">
        <f>IF($D91=0,IF(C91=0, MAX(BJ91 - (VLOOKUP($A91,TOCA_previous!$A$2:$AJ$136,MATCH("RHWM "&amp;Init!$D$1-2,TOCA_previous!$A$2:$AJ$2,0),FALSE)*$F$2*TOCA_previous!C88),0),0), 0)</f>
        <v>0</v>
      </c>
      <c r="BI91" s="109">
        <f>MIN(VLOOKUP($A91,TOCA_previous!$A$2:$AJ$136,MATCH("TRL - NLSL - Existing Resource "&amp;$F$1,TOCA_previous!$A$2:$AJ$2,0),FALSE)*$F$2,(VLOOKUP($A91,TOCA_previous!$A$2:$AJ$136,MATCH("RHWM "&amp;Init!$D$1-2,TOCA_previous!$A$2:$AJ$2,0),FALSE)*$F$2))</f>
        <v>315591.55199999997</v>
      </c>
      <c r="BJ91" s="261">
        <f>SUM(L91:AI91)+(F91*RT1SC!$C$3*$F$2)</f>
        <v>322712.56840960798</v>
      </c>
      <c r="BK91" s="260">
        <f>VLOOKUP($A91,TOCA_previous!$A$2:$AJ$136,MATCH("Above RHWM Not Served with LS "&amp;$F$1,TOCA_previous!$A$2:$AJ$2,0),FALSE)*$F$2</f>
        <v>31675.103999999999</v>
      </c>
      <c r="BL91" s="261">
        <f t="shared" si="36"/>
        <v>7121.0164096080116</v>
      </c>
      <c r="BM91" s="260">
        <f>(VLOOKUP($A91,TOCA_previous!$A$2:$AJ$136,MATCH("RHWM "&amp;Init!$D$1-2,TOCA_previous!$A$2:$AJ$2,0),FALSE)*$F$2) - $BI91</f>
        <v>0</v>
      </c>
      <c r="BN91" s="261">
        <f t="shared" si="37"/>
        <v>0</v>
      </c>
      <c r="BO91" s="260">
        <f t="shared" si="38"/>
        <v>0</v>
      </c>
      <c r="BP91" s="261">
        <f t="shared" si="39"/>
        <v>0</v>
      </c>
      <c r="BQ91" s="260">
        <f t="shared" si="9"/>
        <v>0</v>
      </c>
      <c r="BR91" s="85">
        <f>VLOOKUP($A91,TOCA_current!$A$2:$ZZ$136,MATCH(BR$4,TOCA_current!$A$2:$ZZ$2,0),FALSE)</f>
        <v>5.0825999999999996E-3</v>
      </c>
      <c r="BS91" s="85">
        <f>VLOOKUP($A91,TOCA_current!$A$2:$ZZ$136,MATCH(BS$4,TOCA_current!$A$2:$ZZ$2,0),FALSE)</f>
        <v>5.0825999999999996E-3</v>
      </c>
      <c r="BT91" s="108">
        <f t="shared" si="40"/>
        <v>0</v>
      </c>
      <c r="BU91" s="85">
        <f>VLOOKUP($A91,TOCA_current!A88:BG222,MATCH(BU$4,TOCA_current!$A$2:$BG$2,0),FALSE)</f>
        <v>8.225958212259582E-2</v>
      </c>
      <c r="BV91" s="85">
        <f t="shared" si="41"/>
        <v>8.225958212259582E-2</v>
      </c>
      <c r="BW91" s="85">
        <f t="shared" si="42"/>
        <v>5.0825999999999996E-3</v>
      </c>
      <c r="BX91" s="101">
        <f>VLOOKUP($A91,IRD!$A$4:$G$138, 7, FALSE)</f>
        <v>0</v>
      </c>
      <c r="BY91" s="102">
        <f t="array" ref="BY91">IF($BT91=0, INDEX(LS_current!$D$4:$BW$137, MATCH('Staging Table'!$A91, LS_current!$B$4:$B$137, 0), MATCH(BY$4&amp;BY$5, LS_current!$D$2:$BW$2&amp;LS_current!$D$3:$BW$3, 0)),SUM(VLOOKUP($A91, LS_current!$B$4:$BW$137, LS_current!D$147, FALSE), VLOOKUP($A91, LS_current!$B$4:$BW$137,LS_current!AZ$147, FALSE))/2)</f>
        <v>0</v>
      </c>
      <c r="BZ91" s="102">
        <f t="array" ref="BZ91">IF($BT91=0, INDEX(LS_current!$D$4:$BW$137, MATCH('Staging Table'!$A91, LS_current!$B$4:$B$137, 0), MATCH(BZ$4&amp;BZ$5, LS_current!$D$2:$BW$2&amp;LS_current!$D$3:$BW$3, 0)),SUM(VLOOKUP($A91, LS_current!$B$4:$BW$137, LS_current!E$147, FALSE), VLOOKUP($A91, LS_current!$B$4:$BW$137,LS_current!BA$147, FALSE))/2)</f>
        <v>0</v>
      </c>
      <c r="CA91" s="102">
        <f t="array" ref="CA91">IF($BT91=0, INDEX(LS_current!$D$4:$BW$137, MATCH('Staging Table'!$A91, LS_current!$B$4:$B$137, 0), MATCH(CA$4&amp;CA$5, LS_current!$D$2:$BW$2&amp;LS_current!$D$3:$BW$3, 0)),SUM(VLOOKUP($A91, LS_current!$B$4:$BW$137, LS_current!F$147, FALSE), VLOOKUP($A91, LS_current!$B$4:$BW$137,LS_current!BB$147, FALSE))/2)</f>
        <v>0</v>
      </c>
      <c r="CB91" s="102">
        <f t="array" ref="CB91">IF($BT91=0, INDEX(LS_current!$D$4:$BW$137, MATCH('Staging Table'!$A91, LS_current!$B$4:$B$137, 0), MATCH(CB$4&amp;CB$5, LS_current!$D$2:$BW$2&amp;LS_current!$D$3:$BW$3, 0)),SUM(VLOOKUP($A91, LS_current!$B$4:$BW$137, LS_current!G$147, FALSE), VLOOKUP($A91, LS_current!$B$4:$BW$137,LS_current!BC$147, FALSE))/2)</f>
        <v>0</v>
      </c>
      <c r="CC91" s="102">
        <f t="array" ref="CC91">IF($BT91=0, INDEX(LS_current!$D$4:$BW$137, MATCH('Staging Table'!$A91, LS_current!$B$4:$B$137, 0), MATCH(CC$4&amp;CC$5, LS_current!$D$2:$BW$2&amp;LS_current!$D$3:$BW$3, 0)),SUM(VLOOKUP($A91, LS_current!$B$4:$BW$137, LS_current!H$147, FALSE), VLOOKUP($A91, LS_current!$B$4:$BW$137,LS_current!BD$147, FALSE))/2)</f>
        <v>0</v>
      </c>
      <c r="CD91" s="102">
        <f t="array" ref="CD91">IF($BT91=0, INDEX(LS_current!$D$4:$BW$137, MATCH('Staging Table'!$A91, LS_current!$B$4:$B$137, 0), MATCH(CD$4&amp;CD$5, LS_current!$D$2:$BW$2&amp;LS_current!$D$3:$BW$3, 0)),SUM(VLOOKUP($A91, LS_current!$B$4:$BW$137, LS_current!I$147, FALSE), VLOOKUP($A91, LS_current!$B$4:$BW$137,LS_current!BE$147, FALSE))/2)</f>
        <v>0</v>
      </c>
      <c r="CE91" s="102">
        <f t="array" ref="CE91">IF($BT91=0, INDEX(LS_current!$D$4:$BW$137, MATCH('Staging Table'!$A91, LS_current!$B$4:$B$137, 0), MATCH(CE$4&amp;CE$5, LS_current!$D$2:$BW$2&amp;LS_current!$D$3:$BW$3, 0)),SUM(VLOOKUP($A91, LS_current!$B$4:$BW$137, LS_current!J$147, FALSE), VLOOKUP($A91, LS_current!$B$4:$BW$137,LS_current!BF$147, FALSE))/2)</f>
        <v>0</v>
      </c>
      <c r="CF91" s="102">
        <f t="array" ref="CF91">IF($BT91=0, INDEX(LS_current!$D$4:$BW$137, MATCH('Staging Table'!$A91, LS_current!$B$4:$B$137, 0), MATCH(CF$4&amp;CF$5, LS_current!$D$2:$BW$2&amp;LS_current!$D$3:$BW$3, 0)),SUM(VLOOKUP($A91, LS_current!$B$4:$BW$137, LS_current!K$147, FALSE), VLOOKUP($A91, LS_current!$B$4:$BW$137,LS_current!BG$147, FALSE))/2)</f>
        <v>0</v>
      </c>
      <c r="CG91" s="102">
        <f t="array" ref="CG91">IF($BT91=0, INDEX(LS_current!$D$4:$BW$137, MATCH('Staging Table'!$A91, LS_current!$B$4:$B$137, 0), MATCH(CG$4&amp;CG$5, LS_current!$D$2:$BW$2&amp;LS_current!$D$3:$BW$3, 0)),SUM(VLOOKUP($A91, LS_current!$B$4:$BW$137, LS_current!L$147, FALSE), VLOOKUP($A91, LS_current!$B$4:$BW$137,LS_current!BH$147, FALSE))/2)</f>
        <v>0</v>
      </c>
      <c r="CH91" s="102">
        <f t="array" ref="CH91">IF($BT91=0, INDEX(LS_current!$D$4:$BW$137, MATCH('Staging Table'!$A91, LS_current!$B$4:$B$137, 0), MATCH(CH$4&amp;CH$5, LS_current!$D$2:$BW$2&amp;LS_current!$D$3:$BW$3, 0)),SUM(VLOOKUP($A91, LS_current!$B$4:$BW$137, LS_current!M$147, FALSE), VLOOKUP($A91, LS_current!$B$4:$BW$137,LS_current!BI$147, FALSE))/2)</f>
        <v>0</v>
      </c>
      <c r="CI91" s="102">
        <f t="array" ref="CI91">IF($BT91=0, INDEX(LS_current!$D$4:$BW$137, MATCH('Staging Table'!$A91, LS_current!$B$4:$B$137, 0), MATCH(CI$4&amp;CI$5, LS_current!$D$2:$BW$2&amp;LS_current!$D$3:$BW$3, 0)),SUM(VLOOKUP($A91, LS_current!$B$4:$BW$137, LS_current!N$147, FALSE), VLOOKUP($A91, LS_current!$B$4:$BW$137,LS_current!BJ$147, FALSE))/2)</f>
        <v>0</v>
      </c>
      <c r="CJ91" s="102">
        <f t="array" ref="CJ91">IF($BT91=0, INDEX(LS_current!$D$4:$BW$137, MATCH('Staging Table'!$A91, LS_current!$B$4:$B$137, 0), MATCH(CJ$4&amp;CJ$5, LS_current!$D$2:$BW$2&amp;LS_current!$D$3:$BW$3, 0)),SUM(VLOOKUP($A91, LS_current!$B$4:$BW$137, LS_current!O$147, FALSE), VLOOKUP($A91, LS_current!$B$4:$BW$137,LS_current!BK$147, FALSE))/2)</f>
        <v>0</v>
      </c>
      <c r="CK91" s="102">
        <f t="array" ref="CK91">IF($BT91=0, INDEX(LS_current!$D$4:$BW$137, MATCH('Staging Table'!$A91, LS_current!$B$4:$B$137, 0), MATCH(CK$4&amp;CK$5, LS_current!$D$2:$BW$2&amp;LS_current!$D$3:$BW$3, 0)),SUM(VLOOKUP($A91, LS_current!$B$4:$BW$137, LS_current!P$147, FALSE), VLOOKUP($A91, LS_current!$B$4:$BW$137,LS_current!BL$147, FALSE))/2)</f>
        <v>0</v>
      </c>
      <c r="CL91" s="102">
        <f t="array" ref="CL91">IF($BT91=0, INDEX(LS_current!$D$4:$BW$137, MATCH('Staging Table'!$A91, LS_current!$B$4:$B$137, 0), MATCH(CL$4&amp;CL$5, LS_current!$D$2:$BW$2&amp;LS_current!$D$3:$BW$3, 0)),SUM(VLOOKUP($A91, LS_current!$B$4:$BW$137, LS_current!Q$147, FALSE), VLOOKUP($A91, LS_current!$B$4:$BW$137,LS_current!BM$147, FALSE))/2)</f>
        <v>0</v>
      </c>
      <c r="CM91" s="102">
        <f t="array" ref="CM91">IF($BT91=0, INDEX(LS_current!$D$4:$BW$137, MATCH('Staging Table'!$A91, LS_current!$B$4:$B$137, 0), MATCH(CM$4&amp;CM$5, LS_current!$D$2:$BW$2&amp;LS_current!$D$3:$BW$3, 0)),SUM(VLOOKUP($A91, LS_current!$B$4:$BW$137, LS_current!R$147, FALSE), VLOOKUP($A91, LS_current!$B$4:$BW$137,LS_current!BN$147, FALSE))/2)</f>
        <v>0</v>
      </c>
      <c r="CN91" s="102">
        <f t="array" ref="CN91">IF($BT91=0, INDEX(LS_current!$D$4:$BW$137, MATCH('Staging Table'!$A91, LS_current!$B$4:$B$137, 0), MATCH(CN$4&amp;CN$5, LS_current!$D$2:$BW$2&amp;LS_current!$D$3:$BW$3, 0)),SUM(VLOOKUP($A91, LS_current!$B$4:$BW$137, LS_current!S$147, FALSE), VLOOKUP($A91, LS_current!$B$4:$BW$137,LS_current!BO$147, FALSE))/2)</f>
        <v>0</v>
      </c>
      <c r="CO91" s="102">
        <f t="array" ref="CO91">IF($BT91=0, INDEX(LS_current!$D$4:$BW$137, MATCH('Staging Table'!$A91, LS_current!$B$4:$B$137, 0), MATCH(CO$4&amp;CO$5, LS_current!$D$2:$BW$2&amp;LS_current!$D$3:$BW$3, 0)),SUM(VLOOKUP($A91, LS_current!$B$4:$BW$137, LS_current!T$147, FALSE), VLOOKUP($A91, LS_current!$B$4:$BW$137,LS_current!BP$147, FALSE))/2)</f>
        <v>0</v>
      </c>
      <c r="CP91" s="102">
        <f t="array" ref="CP91">IF($BT91=0, INDEX(LS_current!$D$4:$BW$137, MATCH('Staging Table'!$A91, LS_current!$B$4:$B$137, 0), MATCH(CP$4&amp;CP$5, LS_current!$D$2:$BW$2&amp;LS_current!$D$3:$BW$3, 0)),SUM(VLOOKUP($A91, LS_current!$B$4:$BW$137, LS_current!U$147, FALSE), VLOOKUP($A91, LS_current!$B$4:$BW$137,LS_current!BQ$147, FALSE))/2)</f>
        <v>0</v>
      </c>
      <c r="CQ91" s="102">
        <f t="array" ref="CQ91">IF($BT91=0, INDEX(LS_current!$D$4:$BW$137, MATCH('Staging Table'!$A91, LS_current!$B$4:$B$137, 0), MATCH(CQ$4&amp;CQ$5, LS_current!$D$2:$BW$2&amp;LS_current!$D$3:$BW$3, 0)),SUM(VLOOKUP($A91, LS_current!$B$4:$BW$137, LS_current!V$147, FALSE), VLOOKUP($A91, LS_current!$B$4:$BW$137,LS_current!BR$147, FALSE))/2)</f>
        <v>0</v>
      </c>
      <c r="CR91" s="102">
        <f t="array" ref="CR91">IF($BT91=0, INDEX(LS_current!$D$4:$BW$137, MATCH('Staging Table'!$A91, LS_current!$B$4:$B$137, 0), MATCH(CR$4&amp;CR$5, LS_current!$D$2:$BW$2&amp;LS_current!$D$3:$BW$3, 0)),SUM(VLOOKUP($A91, LS_current!$B$4:$BW$137, LS_current!W$147, FALSE), VLOOKUP($A91, LS_current!$B$4:$BW$137,LS_current!BS$147, FALSE))/2)</f>
        <v>0</v>
      </c>
      <c r="CS91" s="102">
        <f t="array" ref="CS91">IF($BT91=0, INDEX(LS_current!$D$4:$BW$137, MATCH('Staging Table'!$A91, LS_current!$B$4:$B$137, 0), MATCH(CS$4&amp;CS$5, LS_current!$D$2:$BW$2&amp;LS_current!$D$3:$BW$3, 0)),SUM(VLOOKUP($A91, LS_current!$B$4:$BW$137, LS_current!X$147, FALSE), VLOOKUP($A91, LS_current!$B$4:$BW$137,LS_current!BT$147, FALSE))/2)</f>
        <v>0</v>
      </c>
      <c r="CT91" s="102">
        <f t="array" ref="CT91">IF($BT91=0, INDEX(LS_current!$D$4:$BW$137, MATCH('Staging Table'!$A91, LS_current!$B$4:$B$137, 0), MATCH(CT$4&amp;CT$5, LS_current!$D$2:$BW$2&amp;LS_current!$D$3:$BW$3, 0)),SUM(VLOOKUP($A91, LS_current!$B$4:$BW$137, LS_current!Y$147, FALSE), VLOOKUP($A91, LS_current!$B$4:$BW$137,LS_current!BU$147, FALSE))/2)</f>
        <v>0</v>
      </c>
      <c r="CU91" s="102">
        <f t="array" ref="CU91">IF($BT91=0, INDEX(LS_current!$D$4:$BW$137, MATCH('Staging Table'!$A91, LS_current!$B$4:$B$137, 0), MATCH(CU$4&amp;CU$5, LS_current!$D$2:$BW$2&amp;LS_current!$D$3:$BW$3, 0)),SUM(VLOOKUP($A91, LS_current!$B$4:$BW$137, LS_current!Z$147, FALSE), VLOOKUP($A91, LS_current!$B$4:$BW$137,LS_current!BV$147, FALSE))/2)</f>
        <v>0</v>
      </c>
      <c r="CV91" s="102">
        <f t="array" ref="CV91">IF($BT91=0, INDEX(LS_current!$D$4:$BW$137, MATCH('Staging Table'!$A91, LS_current!$B$4:$B$137, 0), MATCH(CV$4&amp;CV$5, LS_current!$D$2:$BW$2&amp;LS_current!$D$3:$BW$3, 0)),SUM(VLOOKUP($A91, LS_current!$B$4:$BW$137, LS_current!AA$147, FALSE), VLOOKUP($A91, LS_current!$B$4:$BW$137,LS_current!BW$147, FALSE))/2)</f>
        <v>0</v>
      </c>
      <c r="CW91" s="103">
        <f t="array" ref="CW91">INDEX(Demand_current!$D$4:$BW$137, MATCH($A91, Demand_current!$B$4:$B$137, 0), MATCH(CW$4&amp;CW$5,Demand_current!$D$2:$BW$2&amp;Demand_current!$D$3:$BW$3, 0))/1000</f>
        <v>0</v>
      </c>
      <c r="CX91" s="103">
        <f t="array" ref="CX91">INDEX(Demand_current!$D$4:$BW$137, MATCH($A91, Demand_current!$B$4:$B$137, 0), MATCH(CX$4&amp;CX$5,Demand_current!$D$2:$BW$2&amp;Demand_current!$D$3:$BW$3, 0))/1000</f>
        <v>0</v>
      </c>
      <c r="CY91" s="103">
        <f t="array" ref="CY91">INDEX(Demand_current!$D$4:$BW$137, MATCH($A91, Demand_current!$B$4:$B$137, 0), MATCH(CY$4&amp;CY$5,Demand_current!$D$2:$BW$2&amp;Demand_current!$D$3:$BW$3, 0))/1000</f>
        <v>0</v>
      </c>
      <c r="CZ91" s="103">
        <f t="array" ref="CZ91">INDEX(Demand_current!$D$4:$BW$137, MATCH($A91, Demand_current!$B$4:$B$137, 0), MATCH(CZ$4&amp;CZ$5,Demand_current!$D$2:$BW$2&amp;Demand_current!$D$3:$BW$3, 0))/1000</f>
        <v>0</v>
      </c>
      <c r="DA91" s="103">
        <f t="array" ref="DA91">INDEX(Demand_current!$D$4:$BW$137, MATCH($A91, Demand_current!$B$4:$B$137, 0), MATCH(DA$4&amp;DA$5,Demand_current!$D$2:$BW$2&amp;Demand_current!$D$3:$BW$3, 0))/1000</f>
        <v>0</v>
      </c>
      <c r="DB91" s="103">
        <f t="array" ref="DB91">INDEX(Demand_current!$D$4:$BW$137, MATCH($A91, Demand_current!$B$4:$B$137, 0), MATCH(DB$4&amp;DB$5,Demand_current!$D$2:$BW$2&amp;Demand_current!$D$3:$BW$3, 0))/1000</f>
        <v>0</v>
      </c>
      <c r="DC91" s="103">
        <f t="array" ref="DC91">INDEX(Demand_current!$D$4:$BW$137, MATCH($A91, Demand_current!$B$4:$B$137, 0), MATCH(DC$4&amp;DC$5,Demand_current!$D$2:$BW$2&amp;Demand_current!$D$3:$BW$3, 0))/1000</f>
        <v>0</v>
      </c>
      <c r="DD91" s="103">
        <f t="array" ref="DD91">INDEX(Demand_current!$D$4:$BW$137, MATCH($A91, Demand_current!$B$4:$B$137, 0), MATCH(DD$4&amp;DD$5,Demand_current!$D$2:$BW$2&amp;Demand_current!$D$3:$BW$3, 0))/1000</f>
        <v>0</v>
      </c>
      <c r="DE91" s="103">
        <f t="array" ref="DE91">INDEX(Demand_current!$D$4:$BW$137, MATCH($A91, Demand_current!$B$4:$B$137, 0), MATCH(DE$4&amp;DE$5,Demand_current!$D$2:$BW$2&amp;Demand_current!$D$3:$BW$3, 0))/1000</f>
        <v>0</v>
      </c>
      <c r="DF91" s="103">
        <f t="array" ref="DF91">INDEX(Demand_current!$D$4:$BW$137, MATCH($A91, Demand_current!$B$4:$B$137, 0), MATCH(DF$4&amp;DF$5,Demand_current!$D$2:$BW$2&amp;Demand_current!$D$3:$BW$3, 0))/1000</f>
        <v>0</v>
      </c>
      <c r="DG91" s="103">
        <f t="array" ref="DG91">INDEX(Demand_current!$D$4:$BW$137, MATCH($A91, Demand_current!$B$4:$B$137, 0), MATCH(DG$4&amp;DG$5,Demand_current!$D$2:$BW$2&amp;Demand_current!$D$3:$BW$3, 0))/1000</f>
        <v>0</v>
      </c>
      <c r="DH91" s="103">
        <f t="array" ref="DH91">INDEX(Demand_current!$D$4:$BW$137, MATCH($A91, Demand_current!$B$4:$B$137, 0), MATCH(DH$4&amp;DH$5,Demand_current!$D$2:$BW$2&amp;Demand_current!$D$3:$BW$3, 0))/1000</f>
        <v>0</v>
      </c>
      <c r="DI91" s="102">
        <f>$BS91*(VLOOKUP(DI$4, Rates_current!$H$6:$R$41, 10, FALSE)+VLOOKUP(DI$4, Rates_current!$H$6:$R$41, 11, FALSE))</f>
        <v>21094.251799863785</v>
      </c>
      <c r="DJ91" s="102">
        <f>$BS91*(VLOOKUP(DJ$4, Rates_current!$H$6:$R$41, 10, FALSE)+VLOOKUP(DJ$4, Rates_current!$H$6:$R$41, 11, FALSE))</f>
        <v>26968.306670423208</v>
      </c>
      <c r="DK91" s="102">
        <f>$BS91*(VLOOKUP(DK$4, Rates_current!$H$6:$R$41, 10, FALSE)+VLOOKUP(DK$4, Rates_current!$H$6:$R$41, 11, FALSE))</f>
        <v>30660.709137260601</v>
      </c>
      <c r="DL91" s="102">
        <f>$BS91*(VLOOKUP(DL$4, Rates_current!$H$6:$R$41, 10, FALSE)+VLOOKUP(DL$4, Rates_current!$H$6:$R$41, 11, FALSE))</f>
        <v>32349.441480588765</v>
      </c>
      <c r="DM91" s="102">
        <f>$BS91*(VLOOKUP(DM$4, Rates_current!$H$6:$R$41, 10, FALSE)+VLOOKUP(DM$4, Rates_current!$H$6:$R$41, 11, FALSE))</f>
        <v>25779.585211338177</v>
      </c>
      <c r="DN91" s="102">
        <f>$BS91*(VLOOKUP(DN$4, Rates_current!$H$6:$R$41, 10, FALSE)+VLOOKUP(DN$4, Rates_current!$H$6:$R$41, 11, FALSE))</f>
        <v>28182.380621968816</v>
      </c>
      <c r="DO91" s="102">
        <f>$BS91*(VLOOKUP(DO$4, Rates_current!$H$6:$R$41, 10, FALSE)+VLOOKUP(DO$4, Rates_current!$H$6:$R$41, 11, FALSE))</f>
        <v>21841.628470622883</v>
      </c>
      <c r="DP91" s="102">
        <f>$BS91*(VLOOKUP(DP$4, Rates_current!$H$6:$R$41, 10, FALSE)+VLOOKUP(DP$4, Rates_current!$H$6:$R$41, 11, FALSE))</f>
        <v>28266.663516435161</v>
      </c>
      <c r="DQ91" s="102">
        <f>$BS91*(VLOOKUP(DQ$4, Rates_current!$H$6:$R$41, 10, FALSE)+VLOOKUP(DQ$4, Rates_current!$H$6:$R$41, 11, FALSE))</f>
        <v>28870.239066746424</v>
      </c>
      <c r="DR91" s="102">
        <f>$BS91*(VLOOKUP(DR$4, Rates_current!$H$6:$R$41, 10, FALSE)+VLOOKUP(DR$4, Rates_current!$H$6:$R$41, 11, FALSE))</f>
        <v>25697.009604306655</v>
      </c>
      <c r="DS91" s="102">
        <f>$BS91*(VLOOKUP(DS$4, Rates_current!$H$6:$R$41, 10, FALSE)+VLOOKUP(DS$4, Rates_current!$H$6:$R$41, 11, FALSE))</f>
        <v>26360.419176723142</v>
      </c>
      <c r="DT91" s="102">
        <f>$BS91*(VLOOKUP(DT$4, Rates_current!$H$6:$R$41, 10, FALSE)+VLOOKUP(DT$4, Rates_current!$H$6:$R$41, 11, FALSE))</f>
        <v>20472.025356232425</v>
      </c>
      <c r="DU91" s="261">
        <f>IF(D91=0,IF(C91=0,MAX(0,DW91 - (VLOOKUP($A91,TOCA_current!$A$2:$AV$136,MATCH("RHWM "&amp;Init!$D$1,TOCA_current!$A$2:$AV$2,0),FALSE)*$BS$2)), 0),0)</f>
        <v>0</v>
      </c>
      <c r="DV91" s="262">
        <f>MIN(VLOOKUP($A91,TOCA_current!$A$2:$AV$136,MATCH("TRL - NLSL - Existing Resource "&amp;$BS$1,TOCA_current!$A$2:$AV$2,0),FALSE)*$BS$2, VLOOKUP($A91,TOCA_current!$A$2:$AV$136,MATCH("RHWM "&amp;Init!$D$1,TOCA_current!$A$2:$AV$2,0),FALSE)*$BS$2)</f>
        <v>316542.59999999998</v>
      </c>
      <c r="DW91" s="262">
        <f>SUM(BY91:CV91)+(BS91*RT1SC!$C$4*$BS$2)</f>
        <v>316542.67879795202</v>
      </c>
      <c r="DX91" s="262">
        <f>VLOOKUP($A91,TOCA_current!$A$2:$AV$136,MATCH("Above RHWM Not Served with LS "&amp;$BS$1,TOCA_current!$A$2:$AV$2,0),FALSE)*$BS$2</f>
        <v>84052.200000000012</v>
      </c>
      <c r="DY91" s="262">
        <f t="shared" si="43"/>
        <v>7.8797952039167285E-2</v>
      </c>
      <c r="DZ91" s="262">
        <f>(VLOOKUP($A91,TOCA_current!$A$2:$AV$136,MATCH("RHWM "&amp;Init!$D$1,TOCA_current!$A$2:$AV$2,0),FALSE)*$BS$2) - $DV91</f>
        <v>0</v>
      </c>
      <c r="EA91" s="262">
        <f t="shared" si="44"/>
        <v>0</v>
      </c>
      <c r="EB91" s="262">
        <f t="shared" si="45"/>
        <v>0</v>
      </c>
      <c r="EC91" s="262">
        <f t="shared" si="46"/>
        <v>0</v>
      </c>
      <c r="ED91" s="262">
        <f t="shared" si="47"/>
        <v>0</v>
      </c>
    </row>
    <row r="92" spans="1:134">
      <c r="A92" s="2">
        <v>10279</v>
      </c>
      <c r="B92" s="3" t="s">
        <v>94</v>
      </c>
      <c r="C92">
        <f>VLOOKUP(A92, TOCA_current!$A$3:$D$136, 4, FALSE)</f>
        <v>0</v>
      </c>
      <c r="D92">
        <v>0</v>
      </c>
      <c r="E92" s="84">
        <f>VLOOKUP($A92,TOCA_previous!$A$2:$AJ$136,MATCH(E$4,TOCA_previous!$A$2:$AJ$2,0),FALSE)</f>
        <v>9.3761000000000001E-3</v>
      </c>
      <c r="F92" s="85">
        <f>VLOOKUP($A92,TOCA_previous!$A$2:$AJ$136,MATCH(F$4,TOCA_previous!$A$2:$AJ$2,0),FALSE)</f>
        <v>9.3761000000000001E-3</v>
      </c>
      <c r="G92" s="85">
        <f t="shared" si="33"/>
        <v>0</v>
      </c>
      <c r="H92" s="85">
        <f>VLOOKUP($A92,TOCA_previous!$A$2:$AJ$136,MATCH(H$4,TOCA_previous!$A$2:$AJ$2,0),FALSE)</f>
        <v>0</v>
      </c>
      <c r="I92" s="85">
        <f t="shared" si="34"/>
        <v>0</v>
      </c>
      <c r="J92" s="85">
        <f t="shared" si="35"/>
        <v>0</v>
      </c>
      <c r="K92" s="101">
        <f>VLOOKUP(A92, IRD!$A$5:$C$138, 3, FALSE)</f>
        <v>0</v>
      </c>
      <c r="L92" s="102">
        <f t="array" ref="L92">IF($G92=0, INDEX(LS_previous!$D$4:$AY$137, MATCH('Staging Table'!$A92, LS_previous!$B$4:$B$137, 0), MATCH(L$4&amp;L$5, LS_previous!$D$2:$AY$2&amp;LS_previous!$D$3:$AY$3, 0)),SUM(VLOOKUP($A92, LS_previous!$B$4:$AY$137, LS_previous!D$148, FALSE), VLOOKUP('Staging Table'!$A92, LS_previous!$B$4:$AY$137,LS_previous!AB$148, FALSE))/2)</f>
        <v>5812.0394740603915</v>
      </c>
      <c r="M92" s="102">
        <f t="array" ref="M92">IF($G92=0, INDEX(LS_previous!$D$4:$AY$137, MATCH('Staging Table'!$A92, LS_previous!$B$4:$B$137, 0), MATCH(M$4&amp;M$5, LS_previous!$D$2:$AY$2&amp;LS_previous!$D$3:$AY$3, 0)),SUM(VLOOKUP($A92, LS_previous!$B$4:$AY$137, LS_previous!E$148, FALSE), VLOOKUP('Staging Table'!$A92, LS_previous!$B$4:$AY$137,LS_previous!AC$148, FALSE))/2)</f>
        <v>1767.7075777394512</v>
      </c>
      <c r="N92" s="102">
        <f t="array" ref="N92">IF($G92=0, INDEX(LS_previous!$D$4:$AY$137, MATCH('Staging Table'!$A92, LS_previous!$B$4:$B$137, 0), MATCH(N$4&amp;N$5, LS_previous!$D$2:$AY$2&amp;LS_previous!$D$3:$AY$3, 0)),SUM(VLOOKUP($A92, LS_previous!$B$4:$AY$137, LS_previous!F$148, FALSE), VLOOKUP('Staging Table'!$A92, LS_previous!$B$4:$AY$137,LS_previous!AD$148, FALSE))/2)</f>
        <v>-2613.0616360608037</v>
      </c>
      <c r="O92" s="102">
        <f t="array" ref="O92">IF($G92=0, INDEX(LS_previous!$D$4:$AY$137, MATCH('Staging Table'!$A92, LS_previous!$B$4:$B$137, 0), MATCH(O$4&amp;O$5, LS_previous!$D$2:$AY$2&amp;LS_previous!$D$3:$AY$3, 0)),SUM(VLOOKUP($A92, LS_previous!$B$4:$AY$137, LS_previous!G$148, FALSE), VLOOKUP('Staging Table'!$A92, LS_previous!$B$4:$AY$137,LS_previous!AE$148, FALSE))/2)</f>
        <v>2256.8513678808886</v>
      </c>
      <c r="P92" s="102">
        <f t="array" ref="P92">IF($G92=0, INDEX(LS_previous!$D$4:$AY$137, MATCH('Staging Table'!$A92, LS_previous!$B$4:$B$137, 0), MATCH(P$4&amp;P$5, LS_previous!$D$2:$AY$2&amp;LS_previous!$D$3:$AY$3, 0)),SUM(VLOOKUP($A92, LS_previous!$B$4:$AY$137, LS_previous!H$148, FALSE), VLOOKUP('Staging Table'!$A92, LS_previous!$B$4:$AY$137,LS_previous!AF$148, FALSE))/2)</f>
        <v>1297.453662562104</v>
      </c>
      <c r="Q92" s="102">
        <f t="array" ref="Q92">IF($G92=0, INDEX(LS_previous!$D$4:$AY$137, MATCH('Staging Table'!$A92, LS_previous!$B$4:$B$137, 0), MATCH(Q$4&amp;Q$5, LS_previous!$D$2:$AY$2&amp;LS_previous!$D$3:$AY$3, 0)),SUM(VLOOKUP($A92, LS_previous!$B$4:$AY$137, LS_previous!I$148, FALSE), VLOOKUP('Staging Table'!$A92, LS_previous!$B$4:$AY$137,LS_previous!AG$148, FALSE))/2)</f>
        <v>1258.7425069344026</v>
      </c>
      <c r="R92" s="102">
        <f t="array" ref="R92">IF($G92=0, INDEX(LS_previous!$D$4:$AY$137, MATCH('Staging Table'!$A92, LS_previous!$B$4:$B$137, 0), MATCH(R$4&amp;R$5, LS_previous!$D$2:$AY$2&amp;LS_previous!$D$3:$AY$3, 0)),SUM(VLOOKUP($A92, LS_previous!$B$4:$AY$137, LS_previous!J$148, FALSE), VLOOKUP('Staging Table'!$A92, LS_previous!$B$4:$AY$137,LS_previous!AH$148, FALSE))/2)</f>
        <v>340.71991098849685</v>
      </c>
      <c r="S92" s="102">
        <f t="array" ref="S92">IF($G92=0, INDEX(LS_previous!$D$4:$AY$137, MATCH('Staging Table'!$A92, LS_previous!$B$4:$B$137, 0), MATCH(S$4&amp;S$5, LS_previous!$D$2:$AY$2&amp;LS_previous!$D$3:$AY$3, 0)),SUM(VLOOKUP($A92, LS_previous!$B$4:$AY$137, LS_previous!K$148, FALSE), VLOOKUP('Staging Table'!$A92, LS_previous!$B$4:$AY$137,LS_previous!AI$148, FALSE))/2)</f>
        <v>2448.8480262930971</v>
      </c>
      <c r="T92" s="102">
        <f t="array" ref="T92">IF($G92=0, INDEX(LS_previous!$D$4:$AY$137, MATCH('Staging Table'!$A92, LS_previous!$B$4:$B$137, 0), MATCH(T$4&amp;T$5, LS_previous!$D$2:$AY$2&amp;LS_previous!$D$3:$AY$3, 0)),SUM(VLOOKUP($A92, LS_previous!$B$4:$AY$137, LS_previous!L$148, FALSE), VLOOKUP('Staging Table'!$A92, LS_previous!$B$4:$AY$137,LS_previous!AJ$148, FALSE))/2)</f>
        <v>-11907.516361091901</v>
      </c>
      <c r="U92" s="102">
        <f t="array" ref="U92">IF($G92=0, INDEX(LS_previous!$D$4:$AY$137, MATCH('Staging Table'!$A92, LS_previous!$B$4:$B$137, 0), MATCH(U$4&amp;U$5, LS_previous!$D$2:$AY$2&amp;LS_previous!$D$3:$AY$3, 0)),SUM(VLOOKUP($A92, LS_previous!$B$4:$AY$137, LS_previous!M$148, FALSE), VLOOKUP('Staging Table'!$A92, LS_previous!$B$4:$AY$137,LS_previous!AK$148, FALSE))/2)</f>
        <v>13119.8762422201</v>
      </c>
      <c r="V92" s="102">
        <f t="array" ref="V92">IF($G92=0, INDEX(LS_previous!$D$4:$AY$137, MATCH('Staging Table'!$A92, LS_previous!$B$4:$B$137, 0), MATCH(V$4&amp;V$5, LS_previous!$D$2:$AY$2&amp;LS_previous!$D$3:$AY$3, 0)),SUM(VLOOKUP($A92, LS_previous!$B$4:$AY$137, LS_previous!N$148, FALSE), VLOOKUP('Staging Table'!$A92, LS_previous!$B$4:$AY$137,LS_previous!AL$148, FALSE))/2)</f>
        <v>14824.442404600693</v>
      </c>
      <c r="W92" s="102">
        <f t="array" ref="W92">IF($G92=0, INDEX(LS_previous!$D$4:$AY$137, MATCH('Staging Table'!$A92, LS_previous!$B$4:$B$137, 0), MATCH(W$4&amp;W$5, LS_previous!$D$2:$AY$2&amp;LS_previous!$D$3:$AY$3, 0)),SUM(VLOOKUP($A92, LS_previous!$B$4:$AY$137, LS_previous!O$148, FALSE), VLOOKUP('Staging Table'!$A92, LS_previous!$B$4:$AY$137,LS_previous!AM$148, FALSE))/2)</f>
        <v>-17623.860232705792</v>
      </c>
      <c r="X92" s="102">
        <f t="array" ref="X92">IF($G92=0, INDEX(LS_previous!$D$4:$AY$137, MATCH('Staging Table'!$A92, LS_previous!$B$4:$B$137, 0), MATCH(X$4&amp;X$5, LS_previous!$D$2:$AY$2&amp;LS_previous!$D$3:$AY$3, 0)),SUM(VLOOKUP($A92, LS_previous!$B$4:$AY$137, LS_previous!P$148, FALSE), VLOOKUP('Staging Table'!$A92, LS_previous!$B$4:$AY$137,LS_previous!AN$148, FALSE))/2)</f>
        <v>21373.403437382243</v>
      </c>
      <c r="Y92" s="102">
        <f t="array" ref="Y92">IF($G92=0, INDEX(LS_previous!$D$4:$AY$137, MATCH('Staging Table'!$A92, LS_previous!$B$4:$B$137, 0), MATCH(Y$4&amp;Y$5, LS_previous!$D$2:$AY$2&amp;LS_previous!$D$3:$AY$3, 0)),SUM(VLOOKUP($A92, LS_previous!$B$4:$AY$137, LS_previous!Q$148, FALSE), VLOOKUP('Staging Table'!$A92, LS_previous!$B$4:$AY$137,LS_previous!AO$148, FALSE))/2)</f>
        <v>-16390.37243871417</v>
      </c>
      <c r="Z92" s="102">
        <f t="array" ref="Z92">IF($G92=0, INDEX(LS_previous!$D$4:$AY$137, MATCH('Staging Table'!$A92, LS_previous!$B$4:$B$137, 0), MATCH(Z$4&amp;Z$5, LS_previous!$D$2:$AY$2&amp;LS_previous!$D$3:$AY$3, 0)),SUM(VLOOKUP($A92, LS_previous!$B$4:$AY$137, LS_previous!R$148, FALSE), VLOOKUP('Staging Table'!$A92, LS_previous!$B$4:$AY$137,LS_previous!AP$148, FALSE))/2)</f>
        <v>-4405.1859485328059</v>
      </c>
      <c r="AA92" s="102">
        <f t="array" ref="AA92">IF($G92=0, INDEX(LS_previous!$D$4:$AY$137, MATCH('Staging Table'!$A92, LS_previous!$B$4:$B$137, 0), MATCH(AA$4&amp;AA$5, LS_previous!$D$2:$AY$2&amp;LS_previous!$D$3:$AY$3, 0)),SUM(VLOOKUP($A92, LS_previous!$B$4:$AY$137, LS_previous!S$148, FALSE), VLOOKUP('Staging Table'!$A92, LS_previous!$B$4:$AY$137,LS_previous!AQ$148, FALSE))/2)</f>
        <v>-1734.4741370118609</v>
      </c>
      <c r="AB92" s="102">
        <f t="array" ref="AB92">IF($G92=0, INDEX(LS_previous!$D$4:$AY$137, MATCH('Staging Table'!$A92, LS_previous!$B$4:$B$137, 0), MATCH(AB$4&amp;AB$5, LS_previous!$D$2:$AY$2&amp;LS_previous!$D$3:$AY$3, 0)),SUM(VLOOKUP($A92, LS_previous!$B$4:$AY$137, LS_previous!T$148, FALSE), VLOOKUP('Staging Table'!$A92, LS_previous!$B$4:$AY$137,LS_previous!AR$148, FALSE))/2)</f>
        <v>-3177.8923149686016</v>
      </c>
      <c r="AC92" s="102">
        <f t="array" ref="AC92">IF($G92=0, INDEX(LS_previous!$D$4:$AY$137, MATCH('Staging Table'!$A92, LS_previous!$B$4:$B$137, 0), MATCH(AC$4&amp;AC$5, LS_previous!$D$2:$AY$2&amp;LS_previous!$D$3:$AY$3, 0)),SUM(VLOOKUP($A92, LS_previous!$B$4:$AY$137, LS_previous!U$148, FALSE), VLOOKUP('Staging Table'!$A92, LS_previous!$B$4:$AY$137,LS_previous!AS$148, FALSE))/2)</f>
        <v>-3504.3948384974501</v>
      </c>
      <c r="AD92" s="102">
        <f t="array" ref="AD92">IF($G92=0, INDEX(LS_previous!$D$4:$AY$137, MATCH('Staging Table'!$A92, LS_previous!$B$4:$B$137, 0), MATCH(AD$4&amp;AD$5, LS_previous!$D$2:$AY$2&amp;LS_previous!$D$3:$AY$3, 0)),SUM(VLOOKUP($A92, LS_previous!$B$4:$AY$137, LS_previous!V$148, FALSE), VLOOKUP('Staging Table'!$A92, LS_previous!$B$4:$AY$137,LS_previous!AT$148, FALSE))/2)</f>
        <v>3640.8614775596106</v>
      </c>
      <c r="AE92" s="102">
        <f t="array" ref="AE92">IF($G92=0, INDEX(LS_previous!$D$4:$AY$137, MATCH('Staging Table'!$A92, LS_previous!$B$4:$B$137, 0), MATCH(AE$4&amp;AE$5, LS_previous!$D$2:$AY$2&amp;LS_previous!$D$3:$AY$3, 0)),SUM(VLOOKUP($A92, LS_previous!$B$4:$AY$137, LS_previous!W$148, FALSE), VLOOKUP('Staging Table'!$A92, LS_previous!$B$4:$AY$137,LS_previous!AU$148, FALSE))/2)</f>
        <v>1128.4721722972463</v>
      </c>
      <c r="AF92" s="102">
        <f t="array" ref="AF92">IF($G92=0, INDEX(LS_previous!$D$4:$AY$137, MATCH('Staging Table'!$A92, LS_previous!$B$4:$B$137, 0), MATCH(AF$4&amp;AF$5, LS_previous!$D$2:$AY$2&amp;LS_previous!$D$3:$AY$3, 0)),SUM(VLOOKUP($A92, LS_previous!$B$4:$AY$137, LS_previous!X$148, FALSE), VLOOKUP('Staging Table'!$A92, LS_previous!$B$4:$AY$137,LS_previous!AV$148, FALSE))/2)</f>
        <v>3007.5435229988507</v>
      </c>
      <c r="AG92" s="102">
        <f t="array" ref="AG92">IF($G92=0, INDEX(LS_previous!$D$4:$AY$137, MATCH('Staging Table'!$A92, LS_previous!$B$4:$B$137, 0), MATCH(AG$4&amp;AG$5, LS_previous!$D$2:$AY$2&amp;LS_previous!$D$3:$AY$3, 0)),SUM(VLOOKUP($A92, LS_previous!$B$4:$AY$137, LS_previous!Y$148, FALSE), VLOOKUP('Staging Table'!$A92, LS_previous!$B$4:$AY$137,LS_previous!AW$148, FALSE))/2)</f>
        <v>2354.4967895184182</v>
      </c>
      <c r="AH92" s="102">
        <f t="array" ref="AH92">IF($G92=0, INDEX(LS_previous!$D$4:$AY$137, MATCH('Staging Table'!$A92, LS_previous!$B$4:$B$137, 0), MATCH(AH$4&amp;AH$5, LS_previous!$D$2:$AY$2&amp;LS_previous!$D$3:$AY$3, 0)),SUM(VLOOKUP($A92, LS_previous!$B$4:$AY$137, LS_previous!Z$148, FALSE), VLOOKUP('Staging Table'!$A92, LS_previous!$B$4:$AY$137,LS_previous!AX$148, FALSE))/2)</f>
        <v>3179.24924914859</v>
      </c>
      <c r="AI92" s="102">
        <f t="array" ref="AI92">IF($G92=0, INDEX(LS_previous!$D$4:$AY$137, MATCH('Staging Table'!$A92, LS_previous!$B$4:$B$137, 0), MATCH(AI$4&amp;AI$5, LS_previous!$D$2:$AY$2&amp;LS_previous!$D$3:$AY$3, 0)),SUM(VLOOKUP($A92, LS_previous!$B$4:$AY$137, LS_previous!AA$148, FALSE), VLOOKUP('Staging Table'!$A92, LS_previous!$B$4:$AY$137,LS_previous!AY$148, FALSE))/2)</f>
        <v>534.80394398561111</v>
      </c>
      <c r="AJ92" s="103">
        <f t="array" ref="AJ92">INDEX(Demand_previous!$D$4:$AY$137, MATCH('Staging Table'!$A92, Demand_previous!$B$4:$B$137, 0), MATCH(AJ$4&amp;AJ$5,Demand_previous!$D$2:$AY$2&amp;Demand_previous!$D$3:$AY$3, 0))/1000</f>
        <v>5.0275336538461755</v>
      </c>
      <c r="AK92" s="103">
        <f t="array" ref="AK92">INDEX(Demand_previous!$D$4:$AY$137, MATCH('Staging Table'!$A92, Demand_previous!$B$4:$B$137, 0), MATCH(AK$4&amp;AK$5,Demand_previous!$D$2:$AY$2&amp;Demand_previous!$D$3:$AY$3, 0))/1000</f>
        <v>15.330255000000003</v>
      </c>
      <c r="AL92" s="103">
        <f t="array" ref="AL92">INDEX(Demand_previous!$D$4:$AY$137, MATCH('Staging Table'!$A92, Demand_previous!$B$4:$B$137, 0), MATCH(AL$4&amp;AL$5,Demand_previous!$D$2:$AY$2&amp;Demand_previous!$D$3:$AY$3, 0))/1000</f>
        <v>17.313299999999991</v>
      </c>
      <c r="AM92" s="103">
        <f t="array" ref="AM92">INDEX(Demand_previous!$D$4:$AY$137, MATCH('Staging Table'!$A92, Demand_previous!$B$4:$B$137, 0), MATCH(AM$4&amp;AM$5,Demand_previous!$D$2:$AY$2&amp;Demand_previous!$D$3:$AY$3, 0))/1000</f>
        <v>19.361838942307706</v>
      </c>
      <c r="AN92" s="103">
        <f t="array" ref="AN92">INDEX(Demand_previous!$D$4:$AY$137, MATCH('Staging Table'!$A92, Demand_previous!$B$4:$B$137, 0), MATCH(AN$4&amp;AN$5,Demand_previous!$D$2:$AY$2&amp;Demand_previous!$D$3:$AY$3, 0))/1000</f>
        <v>82.134062500000027</v>
      </c>
      <c r="AO92" s="103">
        <f t="array" ref="AO92">INDEX(Demand_previous!$D$4:$AY$137, MATCH('Staging Table'!$A92, Demand_previous!$B$4:$B$137, 0), MATCH(AO$4&amp;AO$5,Demand_previous!$D$2:$AY$2&amp;Demand_previous!$D$3:$AY$3, 0))/1000</f>
        <v>15.37966105769234</v>
      </c>
      <c r="AP92" s="103">
        <f t="array" ref="AP92">INDEX(Demand_previous!$D$4:$AY$137, MATCH('Staging Table'!$A92, Demand_previous!$B$4:$B$137, 0), MATCH(AP$4&amp;AP$5,Demand_previous!$D$2:$AY$2&amp;Demand_previous!$D$3:$AY$3, 0))/1000</f>
        <v>35.114127403846162</v>
      </c>
      <c r="AQ92" s="103">
        <f t="array" ref="AQ92">INDEX(Demand_previous!$D$4:$AY$137, MATCH('Staging Table'!$A92, Demand_previous!$B$4:$B$137, 0), MATCH(AQ$4&amp;AQ$5,Demand_previous!$D$2:$AY$2&amp;Demand_previous!$D$3:$AY$3, 0))/1000</f>
        <v>6.6619375000000112</v>
      </c>
      <c r="AR92" s="103">
        <f t="array" ref="AR92">INDEX(Demand_previous!$D$4:$AY$137, MATCH('Staging Table'!$A92, Demand_previous!$B$4:$B$137, 0), MATCH(AR$4&amp;AR$5,Demand_previous!$D$2:$AY$2&amp;Demand_previous!$D$3:$AY$3, 0))/1000</f>
        <v>4.3512550000000161</v>
      </c>
      <c r="AS92" s="103">
        <f t="array" ref="AS92">INDEX(Demand_previous!$D$4:$AY$137, MATCH('Staging Table'!$A92, Demand_previous!$B$4:$B$137, 0), MATCH(AS$4&amp;AS$5,Demand_previous!$D$2:$AY$2&amp;Demand_previous!$D$3:$AY$3, 0))/1000</f>
        <v>8.1730528846153661</v>
      </c>
      <c r="AT92" s="103">
        <f t="array" ref="AT92">INDEX(Demand_previous!$D$4:$AY$137, MATCH('Staging Table'!$A92, Demand_previous!$B$4:$B$137, 0), MATCH(AT$4&amp;AT$5,Demand_previous!$D$2:$AY$2&amp;Demand_previous!$D$3:$AY$3, 0))/1000</f>
        <v>14.930763888888892</v>
      </c>
      <c r="AU92" s="103">
        <f t="array" ref="AU92">INDEX(Demand_previous!$D$4:$AY$137, MATCH('Staging Table'!$A92, Demand_previous!$B$4:$B$137, 0), MATCH(AU$4&amp;AU$5,Demand_previous!$D$2:$AY$2&amp;Demand_previous!$D$3:$AY$3, 0))/1000</f>
        <v>11.325281250000025</v>
      </c>
      <c r="AV92" s="102">
        <f>$F92*(VLOOKUP(AV$4, Rates_previous!$G$6:$Q$29, 10, FALSE)+VLOOKUP(AV$4, Rates_previous!$G$6:$Q$29, 11, FALSE))</f>
        <v>39555.925948200151</v>
      </c>
      <c r="AW92" s="102">
        <f>$F92*(VLOOKUP(AW$4, Rates_previous!$G$6:$Q$29, 10, FALSE)+VLOOKUP(AW$4, Rates_previous!$G$6:$Q$29, 11, FALSE))</f>
        <v>50446.849268179911</v>
      </c>
      <c r="AX92" s="102">
        <f>$F92*(VLOOKUP(AX$4, Rates_previous!$G$6:$Q$29, 10, FALSE)+VLOOKUP(AX$4, Rates_previous!$G$6:$Q$29, 11, FALSE))</f>
        <v>54442.131830503502</v>
      </c>
      <c r="AY92" s="102">
        <f>$F92*(VLOOKUP(AY$4, Rates_previous!$G$6:$Q$29, 10, FALSE)+VLOOKUP(AY$4, Rates_previous!$G$6:$Q$29, 11, FALSE))</f>
        <v>56573.791062718403</v>
      </c>
      <c r="AZ92" s="102">
        <f>$F92*(VLOOKUP(AZ$4, Rates_previous!$G$6:$Q$29, 10, FALSE)+VLOOKUP(AZ$4, Rates_previous!$G$6:$Q$29, 11, FALSE))</f>
        <v>48661.001118871798</v>
      </c>
      <c r="BA92" s="102">
        <f>$F92*(VLOOKUP(BA$4, Rates_previous!$G$6:$Q$29, 10, FALSE)+VLOOKUP(BA$4, Rates_previous!$G$6:$Q$29, 11, FALSE))</f>
        <v>53128.178828105098</v>
      </c>
      <c r="BB92" s="102">
        <f>$F92*(VLOOKUP(BB$4, Rates_previous!$G$6:$Q$29, 10, FALSE)+VLOOKUP(BB$4, Rates_previous!$G$6:$Q$29, 11, FALSE))</f>
        <v>41935.744001331921</v>
      </c>
      <c r="BC92" s="102">
        <f>$F92*(VLOOKUP(BC$4, Rates_previous!$G$6:$Q$29, 10, FALSE)+VLOOKUP(BC$4, Rates_previous!$G$6:$Q$29, 11, FALSE))</f>
        <v>52026.910085544652</v>
      </c>
      <c r="BD92" s="102">
        <f>$F92*(VLOOKUP(BD$4, Rates_previous!$G$6:$Q$29, 10, FALSE)+VLOOKUP(BD$4, Rates_previous!$G$6:$Q$29, 11, FALSE))</f>
        <v>53155.764153466043</v>
      </c>
      <c r="BE92" s="102">
        <f>$F92*(VLOOKUP(BE$4, Rates_previous!$G$6:$Q$29, 10, FALSE)+VLOOKUP(BE$4, Rates_previous!$G$6:$Q$29, 11, FALSE))</f>
        <v>46146.861350143146</v>
      </c>
      <c r="BF92" s="102">
        <f>$F92*(VLOOKUP(BF$4, Rates_previous!$G$6:$Q$29, 10, FALSE)+VLOOKUP(BF$4, Rates_previous!$G$6:$Q$29, 11, FALSE))</f>
        <v>44611.748687482737</v>
      </c>
      <c r="BG92" s="102">
        <f>$F92*(VLOOKUP(BG$4, Rates_previous!$G$6:$Q$29, 10, FALSE)+VLOOKUP(BG$4, Rates_previous!$G$6:$Q$29, 11, FALSE))</f>
        <v>41051.447806865806</v>
      </c>
      <c r="BH92" s="103">
        <f>IF($D92=0,IF(C92=0, MAX(BJ92 - (VLOOKUP($A92,TOCA_previous!$A$2:$AJ$136,MATCH("RHWM "&amp;Init!$D$1-2,TOCA_previous!$A$2:$AJ$2,0),FALSE)*$F$2*TOCA_previous!C89),0),0), 0)</f>
        <v>29829.350666562794</v>
      </c>
      <c r="BI92" s="109">
        <f>MIN(VLOOKUP($A92,TOCA_previous!$A$2:$AJ$136,MATCH("TRL - NLSL - Existing Resource "&amp;$F$1,TOCA_previous!$A$2:$AJ$2,0),FALSE)*$F$2,(VLOOKUP($A92,TOCA_previous!$A$2:$AJ$136,MATCH("RHWM "&amp;Init!$D$1-2,TOCA_previous!$A$2:$AJ$2,0),FALSE)*$F$2))</f>
        <v>568895.76</v>
      </c>
      <c r="BJ92" s="261">
        <f>SUM(L92:AI92)+(F92*RT1SC!$C$3*$F$2)</f>
        <v>598725.1106665628</v>
      </c>
      <c r="BK92" s="260">
        <f>VLOOKUP($A92,TOCA_previous!$A$2:$AJ$136,MATCH("Above RHWM Not Served with LS "&amp;$F$1,TOCA_previous!$A$2:$AJ$2,0),FALSE)*$F$2</f>
        <v>112979.80799999996</v>
      </c>
      <c r="BL92" s="261">
        <f t="shared" si="36"/>
        <v>29829.350666562794</v>
      </c>
      <c r="BM92" s="260">
        <f>(VLOOKUP($A92,TOCA_previous!$A$2:$AJ$136,MATCH("RHWM "&amp;Init!$D$1-2,TOCA_previous!$A$2:$AJ$2,0),FALSE)*$F$2) - $BI92</f>
        <v>0</v>
      </c>
      <c r="BN92" s="261">
        <f t="shared" si="37"/>
        <v>0</v>
      </c>
      <c r="BO92" s="260">
        <f t="shared" si="38"/>
        <v>0</v>
      </c>
      <c r="BP92" s="261">
        <f t="shared" si="39"/>
        <v>0</v>
      </c>
      <c r="BQ92" s="260">
        <f t="shared" si="9"/>
        <v>0</v>
      </c>
      <c r="BR92" s="85">
        <f>VLOOKUP($A92,TOCA_current!$A$2:$ZZ$136,MATCH(BR$4,TOCA_current!$A$2:$ZZ$2,0),FALSE)</f>
        <v>9.162E-3</v>
      </c>
      <c r="BS92" s="85">
        <f>VLOOKUP($A92,TOCA_current!$A$2:$ZZ$136,MATCH(BS$4,TOCA_current!$A$2:$ZZ$2,0),FALSE)</f>
        <v>9.162E-3</v>
      </c>
      <c r="BT92" s="108">
        <f t="shared" si="40"/>
        <v>0</v>
      </c>
      <c r="BU92" s="85">
        <f>VLOOKUP($A92,TOCA_current!A89:BG223,MATCH(BU$4,TOCA_current!$A$2:$BG$2,0),FALSE)</f>
        <v>0</v>
      </c>
      <c r="BV92" s="85">
        <f t="shared" si="41"/>
        <v>0</v>
      </c>
      <c r="BW92" s="85">
        <f t="shared" si="42"/>
        <v>0</v>
      </c>
      <c r="BX92" s="101">
        <f>VLOOKUP($A92,IRD!$A$4:$G$138, 7, FALSE)</f>
        <v>0</v>
      </c>
      <c r="BY92" s="102">
        <f t="array" ref="BY92">IF($BT92=0, INDEX(LS_current!$D$4:$BW$137, MATCH('Staging Table'!$A92, LS_current!$B$4:$B$137, 0), MATCH(BY$4&amp;BY$5, LS_current!$D$2:$BW$2&amp;LS_current!$D$3:$BW$3, 0)),SUM(VLOOKUP($A92, LS_current!$B$4:$BW$137, LS_current!D$147, FALSE), VLOOKUP($A92, LS_current!$B$4:$BW$137,LS_current!AZ$147, FALSE))/2)</f>
        <v>4442.6224821097894</v>
      </c>
      <c r="BZ92" s="102">
        <f t="array" ref="BZ92">IF($BT92=0, INDEX(LS_current!$D$4:$BW$137, MATCH('Staging Table'!$A92, LS_current!$B$4:$B$137, 0), MATCH(BZ$4&amp;BZ$5, LS_current!$D$2:$BW$2&amp;LS_current!$D$3:$BW$3, 0)),SUM(VLOOKUP($A92, LS_current!$B$4:$BW$137, LS_current!E$147, FALSE), VLOOKUP($A92, LS_current!$B$4:$BW$137,LS_current!BA$147, FALSE))/2)</f>
        <v>2253.0914471878168</v>
      </c>
      <c r="CA92" s="102">
        <f t="array" ref="CA92">IF($BT92=0, INDEX(LS_current!$D$4:$BW$137, MATCH('Staging Table'!$A92, LS_current!$B$4:$B$137, 0), MATCH(CA$4&amp;CA$5, LS_current!$D$2:$BW$2&amp;LS_current!$D$3:$BW$3, 0)),SUM(VLOOKUP($A92, LS_current!$B$4:$BW$137, LS_current!F$147, FALSE), VLOOKUP($A92, LS_current!$B$4:$BW$137,LS_current!BB$147, FALSE))/2)</f>
        <v>-2415.2739160887577</v>
      </c>
      <c r="CB92" s="102">
        <f t="array" ref="CB92">IF($BT92=0, INDEX(LS_current!$D$4:$BW$137, MATCH('Staging Table'!$A92, LS_current!$B$4:$B$137, 0), MATCH(CB$4&amp;CB$5, LS_current!$D$2:$BW$2&amp;LS_current!$D$3:$BW$3, 0)),SUM(VLOOKUP($A92, LS_current!$B$4:$BW$137, LS_current!G$147, FALSE), VLOOKUP($A92, LS_current!$B$4:$BW$137,LS_current!BC$147, FALSE))/2)</f>
        <v>1551.9189079005482</v>
      </c>
      <c r="CC92" s="102">
        <f t="array" ref="CC92">IF($BT92=0, INDEX(LS_current!$D$4:$BW$137, MATCH('Staging Table'!$A92, LS_current!$B$4:$B$137, 0), MATCH(CC$4&amp;CC$5, LS_current!$D$2:$BW$2&amp;LS_current!$D$3:$BW$3, 0)),SUM(VLOOKUP($A92, LS_current!$B$4:$BW$137, LS_current!H$147, FALSE), VLOOKUP($A92, LS_current!$B$4:$BW$137,LS_current!BD$147, FALSE))/2)</f>
        <v>-2678.7723021798447</v>
      </c>
      <c r="CD92" s="102">
        <f t="array" ref="CD92">IF($BT92=0, INDEX(LS_current!$D$4:$BW$137, MATCH('Staging Table'!$A92, LS_current!$B$4:$B$137, 0), MATCH(CD$4&amp;CD$5, LS_current!$D$2:$BW$2&amp;LS_current!$D$3:$BW$3, 0)),SUM(VLOOKUP($A92, LS_current!$B$4:$BW$137, LS_current!I$147, FALSE), VLOOKUP($A92, LS_current!$B$4:$BW$137,LS_current!BE$147, FALSE))/2)</f>
        <v>1992.4471526143425</v>
      </c>
      <c r="CE92" s="102">
        <f t="array" ref="CE92">IF($BT92=0, INDEX(LS_current!$D$4:$BW$137, MATCH('Staging Table'!$A92, LS_current!$B$4:$B$137, 0), MATCH(CE$4&amp;CE$5, LS_current!$D$2:$BW$2&amp;LS_current!$D$3:$BW$3, 0)),SUM(VLOOKUP($A92, LS_current!$B$4:$BW$137, LS_current!J$147, FALSE), VLOOKUP($A92, LS_current!$B$4:$BW$137,LS_current!BF$147, FALSE))/2)</f>
        <v>-2739.043984828626</v>
      </c>
      <c r="CF92" s="102">
        <f t="array" ref="CF92">IF($BT92=0, INDEX(LS_current!$D$4:$BW$137, MATCH('Staging Table'!$A92, LS_current!$B$4:$B$137, 0), MATCH(CF$4&amp;CF$5, LS_current!$D$2:$BW$2&amp;LS_current!$D$3:$BW$3, 0)),SUM(VLOOKUP($A92, LS_current!$B$4:$BW$137, LS_current!K$147, FALSE), VLOOKUP($A92, LS_current!$B$4:$BW$137,LS_current!BG$147, FALSE))/2)</f>
        <v>1373.6059463927377</v>
      </c>
      <c r="CG92" s="102">
        <f t="array" ref="CG92">IF($BT92=0, INDEX(LS_current!$D$4:$BW$137, MATCH('Staging Table'!$A92, LS_current!$B$4:$B$137, 0), MATCH(CG$4&amp;CG$5, LS_current!$D$2:$BW$2&amp;LS_current!$D$3:$BW$3, 0)),SUM(VLOOKUP($A92, LS_current!$B$4:$BW$137, LS_current!L$147, FALSE), VLOOKUP($A92, LS_current!$B$4:$BW$137,LS_current!BH$147, FALSE))/2)</f>
        <v>-11578.742562254734</v>
      </c>
      <c r="CH92" s="102">
        <f t="array" ref="CH92">IF($BT92=0, INDEX(LS_current!$D$4:$BW$137, MATCH('Staging Table'!$A92, LS_current!$B$4:$B$137, 0), MATCH(CH$4&amp;CH$5, LS_current!$D$2:$BW$2&amp;LS_current!$D$3:$BW$3, 0)),SUM(VLOOKUP($A92, LS_current!$B$4:$BW$137, LS_current!M$147, FALSE), VLOOKUP($A92, LS_current!$B$4:$BW$137,LS_current!BI$147, FALSE))/2)</f>
        <v>13108.665469805917</v>
      </c>
      <c r="CI92" s="102">
        <f t="array" ref="CI92">IF($BT92=0, INDEX(LS_current!$D$4:$BW$137, MATCH('Staging Table'!$A92, LS_current!$B$4:$B$137, 0), MATCH(CI$4&amp;CI$5, LS_current!$D$2:$BW$2&amp;LS_current!$D$3:$BW$3, 0)),SUM(VLOOKUP($A92, LS_current!$B$4:$BW$137, LS_current!N$147, FALSE), VLOOKUP($A92, LS_current!$B$4:$BW$137,LS_current!BJ$147, FALSE))/2)</f>
        <v>12780.79429066748</v>
      </c>
      <c r="CJ92" s="102">
        <f t="array" ref="CJ92">IF($BT92=0, INDEX(LS_current!$D$4:$BW$137, MATCH('Staging Table'!$A92, LS_current!$B$4:$B$137, 0), MATCH(CJ$4&amp;CJ$5, LS_current!$D$2:$BW$2&amp;LS_current!$D$3:$BW$3, 0)),SUM(VLOOKUP($A92, LS_current!$B$4:$BW$137, LS_current!O$147, FALSE), VLOOKUP($A92, LS_current!$B$4:$BW$137,LS_current!BK$147, FALSE))/2)</f>
        <v>-15665.954142451676</v>
      </c>
      <c r="CK92" s="102">
        <f t="array" ref="CK92">IF($BT92=0, INDEX(LS_current!$D$4:$BW$137, MATCH('Staging Table'!$A92, LS_current!$B$4:$B$137, 0), MATCH(CK$4&amp;CK$5, LS_current!$D$2:$BW$2&amp;LS_current!$D$3:$BW$3, 0)),SUM(VLOOKUP($A92, LS_current!$B$4:$BW$137, LS_current!P$147, FALSE), VLOOKUP($A92, LS_current!$B$4:$BW$137,LS_current!BL$147, FALSE))/2)</f>
        <v>21306.77048917054</v>
      </c>
      <c r="CL92" s="102">
        <f t="array" ref="CL92">IF($BT92=0, INDEX(LS_current!$D$4:$BW$137, MATCH('Staging Table'!$A92, LS_current!$B$4:$B$137, 0), MATCH(CL$4&amp;CL$5, LS_current!$D$2:$BW$2&amp;LS_current!$D$3:$BW$3, 0)),SUM(VLOOKUP($A92, LS_current!$B$4:$BW$137, LS_current!Q$147, FALSE), VLOOKUP($A92, LS_current!$B$4:$BW$137,LS_current!BM$147, FALSE))/2)</f>
        <v>-16097.287221718225</v>
      </c>
      <c r="CM92" s="102">
        <f t="array" ref="CM92">IF($BT92=0, INDEX(LS_current!$D$4:$BW$137, MATCH('Staging Table'!$A92, LS_current!$B$4:$B$137, 0), MATCH(CM$4&amp;CM$5, LS_current!$D$2:$BW$2&amp;LS_current!$D$3:$BW$3, 0)),SUM(VLOOKUP($A92, LS_current!$B$4:$BW$137, LS_current!R$147, FALSE), VLOOKUP($A92, LS_current!$B$4:$BW$137,LS_current!BN$147, FALSE))/2)</f>
        <v>-4737.449605669306</v>
      </c>
      <c r="CN92" s="102">
        <f t="array" ref="CN92">IF($BT92=0, INDEX(LS_current!$D$4:$BW$137, MATCH('Staging Table'!$A92, LS_current!$B$4:$B$137, 0), MATCH(CN$4&amp;CN$5, LS_current!$D$2:$BW$2&amp;LS_current!$D$3:$BW$3, 0)),SUM(VLOOKUP($A92, LS_current!$B$4:$BW$137, LS_current!S$147, FALSE), VLOOKUP($A92, LS_current!$B$4:$BW$137,LS_current!BO$147, FALSE))/2)</f>
        <v>-2744.3973368363004</v>
      </c>
      <c r="CO92" s="102">
        <f t="array" ref="CO92">IF($BT92=0, INDEX(LS_current!$D$4:$BW$137, MATCH('Staging Table'!$A92, LS_current!$B$4:$B$137, 0), MATCH(CO$4&amp;CO$5, LS_current!$D$2:$BW$2&amp;LS_current!$D$3:$BW$3, 0)),SUM(VLOOKUP($A92, LS_current!$B$4:$BW$137, LS_current!T$147, FALSE), VLOOKUP($A92, LS_current!$B$4:$BW$137,LS_current!BP$147, FALSE))/2)</f>
        <v>-5273.1292375620833</v>
      </c>
      <c r="CP92" s="102">
        <f t="array" ref="CP92">IF($BT92=0, INDEX(LS_current!$D$4:$BW$137, MATCH('Staging Table'!$A92, LS_current!$B$4:$B$137, 0), MATCH(CP$4&amp;CP$5, LS_current!$D$2:$BW$2&amp;LS_current!$D$3:$BW$3, 0)),SUM(VLOOKUP($A92, LS_current!$B$4:$BW$137, LS_current!U$147, FALSE), VLOOKUP($A92, LS_current!$B$4:$BW$137,LS_current!BQ$147, FALSE))/2)</f>
        <v>-2632.6044895324594</v>
      </c>
      <c r="CQ92" s="102">
        <f t="array" ref="CQ92">IF($BT92=0, INDEX(LS_current!$D$4:$BW$137, MATCH('Staging Table'!$A92, LS_current!$B$4:$B$137, 0), MATCH(CQ$4&amp;CQ$5, LS_current!$D$2:$BW$2&amp;LS_current!$D$3:$BW$3, 0)),SUM(VLOOKUP($A92, LS_current!$B$4:$BW$137, LS_current!V$147, FALSE), VLOOKUP($A92, LS_current!$B$4:$BW$137,LS_current!BR$147, FALSE))/2)</f>
        <v>1695.2617610588204</v>
      </c>
      <c r="CR92" s="102">
        <f t="array" ref="CR92">IF($BT92=0, INDEX(LS_current!$D$4:$BW$137, MATCH('Staging Table'!$A92, LS_current!$B$4:$B$137, 0), MATCH(CR$4&amp;CR$5, LS_current!$D$2:$BW$2&amp;LS_current!$D$3:$BW$3, 0)),SUM(VLOOKUP($A92, LS_current!$B$4:$BW$137, LS_current!W$147, FALSE), VLOOKUP($A92, LS_current!$B$4:$BW$137,LS_current!BS$147, FALSE))/2)</f>
        <v>483.94764553278219</v>
      </c>
      <c r="CS92" s="102">
        <f t="array" ref="CS92">IF($BT92=0, INDEX(LS_current!$D$4:$BW$137, MATCH('Staging Table'!$A92, LS_current!$B$4:$B$137, 0), MATCH(CS$4&amp;CS$5, LS_current!$D$2:$BW$2&amp;LS_current!$D$3:$BW$3, 0)),SUM(VLOOKUP($A92, LS_current!$B$4:$BW$137, LS_current!X$147, FALSE), VLOOKUP($A92, LS_current!$B$4:$BW$137,LS_current!BT$147, FALSE))/2)</f>
        <v>-1422.8998173462242</v>
      </c>
      <c r="CT92" s="102">
        <f t="array" ref="CT92">IF($BT92=0, INDEX(LS_current!$D$4:$BW$137, MATCH('Staging Table'!$A92, LS_current!$B$4:$B$137, 0), MATCH(CT$4&amp;CT$5, LS_current!$D$2:$BW$2&amp;LS_current!$D$3:$BW$3, 0)),SUM(VLOOKUP($A92, LS_current!$B$4:$BW$137, LS_current!Y$147, FALSE), VLOOKUP($A92, LS_current!$B$4:$BW$137,LS_current!BU$147, FALSE))/2)</f>
        <v>1463.8273921824457</v>
      </c>
      <c r="CU92" s="102">
        <f t="array" ref="CU92">IF($BT92=0, INDEX(LS_current!$D$4:$BW$137, MATCH('Staging Table'!$A92, LS_current!$B$4:$B$137, 0), MATCH(CU$4&amp;CU$5, LS_current!$D$2:$BW$2&amp;LS_current!$D$3:$BW$3, 0)),SUM(VLOOKUP($A92, LS_current!$B$4:$BW$137, LS_current!Z$147, FALSE), VLOOKUP($A92, LS_current!$B$4:$BW$137,LS_current!BV$147, FALSE))/2)</f>
        <v>3223.4383672204131</v>
      </c>
      <c r="CV92" s="102">
        <f t="array" ref="CV92">IF($BT92=0, INDEX(LS_current!$D$4:$BW$137, MATCH('Staging Table'!$A92, LS_current!$B$4:$B$137, 0), MATCH(CV$4&amp;CV$5, LS_current!$D$2:$BW$2&amp;LS_current!$D$3:$BW$3, 0)),SUM(VLOOKUP($A92, LS_current!$B$4:$BW$137, LS_current!AA$147, FALSE), VLOOKUP($A92, LS_current!$B$4:$BW$137,LS_current!BW$147, FALSE))/2)</f>
        <v>2301.6458331491976</v>
      </c>
      <c r="CW92" s="103">
        <f t="array" ref="CW92">INDEX(Demand_current!$D$4:$BW$137, MATCH($A92, Demand_current!$B$4:$B$137, 0), MATCH(CW$4&amp;CW$5,Demand_current!$D$2:$BW$2&amp;Demand_current!$D$3:$BW$3, 0))/1000</f>
        <v>8.3289583333333308</v>
      </c>
      <c r="CX92" s="103">
        <f t="array" ref="CX92">INDEX(Demand_current!$D$4:$BW$137, MATCH($A92, Demand_current!$B$4:$B$137, 0), MATCH(CX$4&amp;CX$5,Demand_current!$D$2:$BW$2&amp;Demand_current!$D$3:$BW$3, 0))/1000</f>
        <v>11.694223958333305</v>
      </c>
      <c r="CY92" s="103">
        <f t="array" ref="CY92">INDEX(Demand_current!$D$4:$BW$137, MATCH($A92, Demand_current!$B$4:$B$137, 0), MATCH(CY$4&amp;CY$5,Demand_current!$D$2:$BW$2&amp;Demand_current!$D$3:$BW$3, 0))/1000</f>
        <v>21.290673076923049</v>
      </c>
      <c r="CZ92" s="103">
        <f t="array" ref="CZ92">INDEX(Demand_current!$D$4:$BW$137, MATCH($A92, Demand_current!$B$4:$B$137, 0), MATCH(CZ$4&amp;CZ$5,Demand_current!$D$2:$BW$2&amp;Demand_current!$D$3:$BW$3, 0))/1000</f>
        <v>19.361838942307692</v>
      </c>
      <c r="DA92" s="103">
        <f t="array" ref="DA92">INDEX(Demand_current!$D$4:$BW$137, MATCH($A92, Demand_current!$B$4:$B$137, 0), MATCH(DA$4&amp;DA$5,Demand_current!$D$2:$BW$2&amp;Demand_current!$D$3:$BW$3, 0))/1000</f>
        <v>79.43152343749999</v>
      </c>
      <c r="DB92" s="103">
        <f t="array" ref="DB92">INDEX(Demand_current!$D$4:$BW$137, MATCH($A92, Demand_current!$B$4:$B$137, 0), MATCH(DB$4&amp;DB$5,Demand_current!$D$2:$BW$2&amp;Demand_current!$D$3:$BW$3, 0))/1000</f>
        <v>15.379661057692312</v>
      </c>
      <c r="DC92" s="103">
        <f t="array" ref="DC92">INDEX(Demand_current!$D$4:$BW$137, MATCH($A92, Demand_current!$B$4:$B$137, 0), MATCH(DC$4&amp;DC$5,Demand_current!$D$2:$BW$2&amp;Demand_current!$D$3:$BW$3, 0))/1000</f>
        <v>35.114127403846162</v>
      </c>
      <c r="DD92" s="103">
        <f t="array" ref="DD92">INDEX(Demand_current!$D$4:$BW$137, MATCH($A92, Demand_current!$B$4:$B$137, 0), MATCH(DD$4&amp;DD$5,Demand_current!$D$2:$BW$2&amp;Demand_current!$D$3:$BW$3, 0))/1000</f>
        <v>3.3542549999999984</v>
      </c>
      <c r="DE92" s="103">
        <f t="array" ref="DE92">INDEX(Demand_current!$D$4:$BW$137, MATCH($A92, Demand_current!$B$4:$B$137, 0), MATCH(DE$4&amp;DE$5,Demand_current!$D$2:$BW$2&amp;Demand_current!$D$3:$BW$3, 0))/1000</f>
        <v>7.9339374999999919</v>
      </c>
      <c r="DF92" s="103">
        <f t="array" ref="DF92">INDEX(Demand_current!$D$4:$BW$137, MATCH($A92, Demand_current!$B$4:$B$137, 0), MATCH(DF$4&amp;DF$5,Demand_current!$D$2:$BW$2&amp;Demand_current!$D$3:$BW$3, 0))/1000</f>
        <v>8.1730528846153376</v>
      </c>
      <c r="DG92" s="103">
        <f t="array" ref="DG92">INDEX(Demand_current!$D$4:$BW$137, MATCH($A92, Demand_current!$B$4:$B$137, 0), MATCH(DG$4&amp;DG$5,Demand_current!$D$2:$BW$2&amp;Demand_current!$D$3:$BW$3, 0))/1000</f>
        <v>11.478331730769257</v>
      </c>
      <c r="DH92" s="103">
        <f t="array" ref="DH92">INDEX(Demand_current!$D$4:$BW$137, MATCH($A92, Demand_current!$B$4:$B$137, 0), MATCH(DH$4&amp;DH$5,Demand_current!$D$2:$BW$2&amp;Demand_current!$D$3:$BW$3, 0))/1000</f>
        <v>14.916550000000022</v>
      </c>
      <c r="DI92" s="102">
        <f>$BS92*(VLOOKUP(DI$4, Rates_current!$H$6:$R$41, 10, FALSE)+VLOOKUP(DI$4, Rates_current!$H$6:$R$41, 11, FALSE))</f>
        <v>38024.935070702399</v>
      </c>
      <c r="DJ92" s="102">
        <f>$BS92*(VLOOKUP(DJ$4, Rates_current!$H$6:$R$41, 10, FALSE)+VLOOKUP(DJ$4, Rates_current!$H$6:$R$41, 11, FALSE))</f>
        <v>48613.628008188221</v>
      </c>
      <c r="DK92" s="102">
        <f>$BS92*(VLOOKUP(DK$4, Rates_current!$H$6:$R$41, 10, FALSE)+VLOOKUP(DK$4, Rates_current!$H$6:$R$41, 11, FALSE))</f>
        <v>55269.629149565502</v>
      </c>
      <c r="DL92" s="102">
        <f>$BS92*(VLOOKUP(DL$4, Rates_current!$H$6:$R$41, 10, FALSE)+VLOOKUP(DL$4, Rates_current!$H$6:$R$41, 11, FALSE))</f>
        <v>58313.773038435895</v>
      </c>
      <c r="DM92" s="102">
        <f>$BS92*(VLOOKUP(DM$4, Rates_current!$H$6:$R$41, 10, FALSE)+VLOOKUP(DM$4, Rates_current!$H$6:$R$41, 11, FALSE))</f>
        <v>46470.814092448825</v>
      </c>
      <c r="DN92" s="102">
        <f>$BS92*(VLOOKUP(DN$4, Rates_current!$H$6:$R$41, 10, FALSE)+VLOOKUP(DN$4, Rates_current!$H$6:$R$41, 11, FALSE))</f>
        <v>50802.142851784185</v>
      </c>
      <c r="DO92" s="102">
        <f>$BS92*(VLOOKUP(DO$4, Rates_current!$H$6:$R$41, 10, FALSE)+VLOOKUP(DO$4, Rates_current!$H$6:$R$41, 11, FALSE))</f>
        <v>39372.171732547686</v>
      </c>
      <c r="DP92" s="102">
        <f>$BS92*(VLOOKUP(DP$4, Rates_current!$H$6:$R$41, 10, FALSE)+VLOOKUP(DP$4, Rates_current!$H$6:$R$41, 11, FALSE))</f>
        <v>50954.072942505598</v>
      </c>
      <c r="DQ92" s="102">
        <f>$BS92*(VLOOKUP(DQ$4, Rates_current!$H$6:$R$41, 10, FALSE)+VLOOKUP(DQ$4, Rates_current!$H$6:$R$41, 11, FALSE))</f>
        <v>52042.090727094546</v>
      </c>
      <c r="DR92" s="102">
        <f>$BS92*(VLOOKUP(DR$4, Rates_current!$H$6:$R$41, 10, FALSE)+VLOOKUP(DR$4, Rates_current!$H$6:$R$41, 11, FALSE))</f>
        <v>46321.961593408414</v>
      </c>
      <c r="DS92" s="102">
        <f>$BS92*(VLOOKUP(DS$4, Rates_current!$H$6:$R$41, 10, FALSE)+VLOOKUP(DS$4, Rates_current!$H$6:$R$41, 11, FALSE))</f>
        <v>47517.83742516378</v>
      </c>
      <c r="DT92" s="102">
        <f>$BS92*(VLOOKUP(DT$4, Rates_current!$H$6:$R$41, 10, FALSE)+VLOOKUP(DT$4, Rates_current!$H$6:$R$41, 11, FALSE))</f>
        <v>36903.2967996304</v>
      </c>
      <c r="DU92" s="261">
        <f>IF(D92=0,IF(C92=0,MAX(0,DW92 - (VLOOKUP($A92,TOCA_current!$A$2:$AV$136,MATCH("RHWM "&amp;Init!$D$1,TOCA_current!$A$2:$AV$2,0),FALSE)*$BS$2)), 0),0)</f>
        <v>0</v>
      </c>
      <c r="DV92" s="262">
        <f>MIN(VLOOKUP($A92,TOCA_current!$A$2:$AV$136,MATCH("TRL - NLSL - Existing Resource "&amp;$BS$1,TOCA_current!$A$2:$AV$2,0),FALSE)*$BS$2, VLOOKUP($A92,TOCA_current!$A$2:$AV$136,MATCH("RHWM "&amp;Init!$D$1,TOCA_current!$A$2:$AV$2,0),FALSE)*$BS$2)</f>
        <v>570608.88</v>
      </c>
      <c r="DW92" s="262">
        <f>SUM(BY92:CV92)+(BS92*RT1SC!$C$4*$BS$2)</f>
        <v>570598.86968276463</v>
      </c>
      <c r="DX92" s="262">
        <f>VLOOKUP($A92,TOCA_current!$A$2:$AV$136,MATCH("Above RHWM Not Served with LS "&amp;$BS$1,TOCA_current!$A$2:$AV$2,0),FALSE)*$BS$2</f>
        <v>141106.08000000002</v>
      </c>
      <c r="DY92" s="262">
        <f t="shared" si="43"/>
        <v>-10.010317235370167</v>
      </c>
      <c r="DZ92" s="262">
        <f>(VLOOKUP($A92,TOCA_current!$A$2:$AV$136,MATCH("RHWM "&amp;Init!$D$1,TOCA_current!$A$2:$AV$2,0),FALSE)*$BS$2) - $DV92</f>
        <v>0</v>
      </c>
      <c r="EA92" s="262">
        <f t="shared" si="44"/>
        <v>0</v>
      </c>
      <c r="EB92" s="262">
        <f t="shared" si="45"/>
        <v>0</v>
      </c>
      <c r="EC92" s="262">
        <f t="shared" si="46"/>
        <v>0</v>
      </c>
      <c r="ED92" s="262">
        <f t="shared" si="47"/>
        <v>0</v>
      </c>
    </row>
    <row r="93" spans="1:134">
      <c r="A93" s="2">
        <v>10284</v>
      </c>
      <c r="B93" s="3" t="s">
        <v>95</v>
      </c>
      <c r="C93">
        <f>VLOOKUP(A93, TOCA_current!$A$3:$D$136, 4, FALSE)</f>
        <v>0</v>
      </c>
      <c r="D93">
        <v>0</v>
      </c>
      <c r="E93" s="84">
        <f>VLOOKUP($A93,TOCA_previous!$A$2:$AJ$136,MATCH(E$4,TOCA_previous!$A$2:$AJ$2,0),FALSE)</f>
        <v>1.5499000000000001E-3</v>
      </c>
      <c r="F93" s="85">
        <f>VLOOKUP($A93,TOCA_previous!$A$2:$AJ$136,MATCH(F$4,TOCA_previous!$A$2:$AJ$2,0),FALSE)</f>
        <v>1.5499000000000001E-3</v>
      </c>
      <c r="G93" s="85">
        <f t="shared" si="33"/>
        <v>0</v>
      </c>
      <c r="H93" s="85">
        <f>VLOOKUP($A93,TOCA_previous!$A$2:$AJ$136,MATCH(H$4,TOCA_previous!$A$2:$AJ$2,0),FALSE)</f>
        <v>5.3843639080889232E-2</v>
      </c>
      <c r="I93" s="85">
        <f t="shared" si="34"/>
        <v>0</v>
      </c>
      <c r="J93" s="85">
        <f t="shared" si="35"/>
        <v>0</v>
      </c>
      <c r="K93" s="101">
        <f>VLOOKUP(A93, IRD!$A$5:$C$138, 3, FALSE)</f>
        <v>0</v>
      </c>
      <c r="L93" s="102">
        <f t="array" ref="L93">IF($G93=0, INDEX(LS_previous!$D$4:$AY$137, MATCH('Staging Table'!$A93, LS_previous!$B$4:$B$137, 0), MATCH(L$4&amp;L$5, LS_previous!$D$2:$AY$2&amp;LS_previous!$D$3:$AY$3, 0)),SUM(VLOOKUP($A93, LS_previous!$B$4:$AY$137, LS_previous!D$148, FALSE), VLOOKUP('Staging Table'!$A93, LS_previous!$B$4:$AY$137,LS_previous!AB$148, FALSE))/2)</f>
        <v>1308.2629886035993</v>
      </c>
      <c r="M93" s="102">
        <f t="array" ref="M93">IF($G93=0, INDEX(LS_previous!$D$4:$AY$137, MATCH('Staging Table'!$A93, LS_previous!$B$4:$B$137, 0), MATCH(M$4&amp;M$5, LS_previous!$D$2:$AY$2&amp;LS_previous!$D$3:$AY$3, 0)),SUM(VLOOKUP($A93, LS_previous!$B$4:$AY$137, LS_previous!E$148, FALSE), VLOOKUP('Staging Table'!$A93, LS_previous!$B$4:$AY$137,LS_previous!AC$148, FALSE))/2)</f>
        <v>746.98106144755002</v>
      </c>
      <c r="N93" s="102">
        <f t="array" ref="N93">IF($G93=0, INDEX(LS_previous!$D$4:$AY$137, MATCH('Staging Table'!$A93, LS_previous!$B$4:$B$137, 0), MATCH(N$4&amp;N$5, LS_previous!$D$2:$AY$2&amp;LS_previous!$D$3:$AY$3, 0)),SUM(VLOOKUP($A93, LS_previous!$B$4:$AY$137, LS_previous!F$148, FALSE), VLOOKUP('Staging Table'!$A93, LS_previous!$B$4:$AY$137,LS_previous!AD$148, FALSE))/2)</f>
        <v>408.75809033279893</v>
      </c>
      <c r="O93" s="102">
        <f t="array" ref="O93">IF($G93=0, INDEX(LS_previous!$D$4:$AY$137, MATCH('Staging Table'!$A93, LS_previous!$B$4:$B$137, 0), MATCH(O$4&amp;O$5, LS_previous!$D$2:$AY$2&amp;LS_previous!$D$3:$AY$3, 0)),SUM(VLOOKUP($A93, LS_previous!$B$4:$AY$137, LS_previous!G$148, FALSE), VLOOKUP('Staging Table'!$A93, LS_previous!$B$4:$AY$137,LS_previous!AE$148, FALSE))/2)</f>
        <v>1106.2757098131001</v>
      </c>
      <c r="P93" s="102">
        <f t="array" ref="P93">IF($G93=0, INDEX(LS_previous!$D$4:$AY$137, MATCH('Staging Table'!$A93, LS_previous!$B$4:$B$137, 0), MATCH(P$4&amp;P$5, LS_previous!$D$2:$AY$2&amp;LS_previous!$D$3:$AY$3, 0)),SUM(VLOOKUP($A93, LS_previous!$B$4:$AY$137, LS_previous!H$148, FALSE), VLOOKUP('Staging Table'!$A93, LS_previous!$B$4:$AY$137,LS_previous!AF$148, FALSE))/2)</f>
        <v>2082.8471531238993</v>
      </c>
      <c r="Q93" s="102">
        <f t="array" ref="Q93">IF($G93=0, INDEX(LS_previous!$D$4:$AY$137, MATCH('Staging Table'!$A93, LS_previous!$B$4:$B$137, 0), MATCH(Q$4&amp;Q$5, LS_previous!$D$2:$AY$2&amp;LS_previous!$D$3:$AY$3, 0)),SUM(VLOOKUP($A93, LS_previous!$B$4:$AY$137, LS_previous!I$148, FALSE), VLOOKUP('Staging Table'!$A93, LS_previous!$B$4:$AY$137,LS_previous!AG$148, FALSE))/2)</f>
        <v>1637.9653705695996</v>
      </c>
      <c r="R93" s="102">
        <f t="array" ref="R93">IF($G93=0, INDEX(LS_previous!$D$4:$AY$137, MATCH('Staging Table'!$A93, LS_previous!$B$4:$B$137, 0), MATCH(R$4&amp;R$5, LS_previous!$D$2:$AY$2&amp;LS_previous!$D$3:$AY$3, 0)),SUM(VLOOKUP($A93, LS_previous!$B$4:$AY$137, LS_previous!J$148, FALSE), VLOOKUP('Staging Table'!$A93, LS_previous!$B$4:$AY$137,LS_previous!AH$148, FALSE))/2)</f>
        <v>1993.4234109215004</v>
      </c>
      <c r="S93" s="102">
        <f t="array" ref="S93">IF($G93=0, INDEX(LS_previous!$D$4:$AY$137, MATCH('Staging Table'!$A93, LS_previous!$B$4:$B$137, 0), MATCH(S$4&amp;S$5, LS_previous!$D$2:$AY$2&amp;LS_previous!$D$3:$AY$3, 0)),SUM(VLOOKUP($A93, LS_previous!$B$4:$AY$137, LS_previous!K$148, FALSE), VLOOKUP('Staging Table'!$A93, LS_previous!$B$4:$AY$137,LS_previous!AI$148, FALSE))/2)</f>
        <v>1875.0808688528996</v>
      </c>
      <c r="T93" s="102">
        <f t="array" ref="T93">IF($G93=0, INDEX(LS_previous!$D$4:$AY$137, MATCH('Staging Table'!$A93, LS_previous!$B$4:$B$137, 0), MATCH(T$4&amp;T$5, LS_previous!$D$2:$AY$2&amp;LS_previous!$D$3:$AY$3, 0)),SUM(VLOOKUP($A93, LS_previous!$B$4:$AY$137, LS_previous!L$148, FALSE), VLOOKUP('Staging Table'!$A93, LS_previous!$B$4:$AY$137,LS_previous!AJ$148, FALSE))/2)</f>
        <v>1023.9033871378997</v>
      </c>
      <c r="U93" s="102">
        <f t="array" ref="U93">IF($G93=0, INDEX(LS_previous!$D$4:$AY$137, MATCH('Staging Table'!$A93, LS_previous!$B$4:$B$137, 0), MATCH(U$4&amp;U$5, LS_previous!$D$2:$AY$2&amp;LS_previous!$D$3:$AY$3, 0)),SUM(VLOOKUP($A93, LS_previous!$B$4:$AY$137, LS_previous!M$148, FALSE), VLOOKUP('Staging Table'!$A93, LS_previous!$B$4:$AY$137,LS_previous!AK$148, FALSE))/2)</f>
        <v>1281.8049537458996</v>
      </c>
      <c r="V93" s="102">
        <f t="array" ref="V93">IF($G93=0, INDEX(LS_previous!$D$4:$AY$137, MATCH('Staging Table'!$A93, LS_previous!$B$4:$B$137, 0), MATCH(V$4&amp;V$5, LS_previous!$D$2:$AY$2&amp;LS_previous!$D$3:$AY$3, 0)),SUM(VLOOKUP($A93, LS_previous!$B$4:$AY$137, LS_previous!N$148, FALSE), VLOOKUP('Staging Table'!$A93, LS_previous!$B$4:$AY$137,LS_previous!AL$148, FALSE))/2)</f>
        <v>401.13736676129975</v>
      </c>
      <c r="W93" s="102">
        <f t="array" ref="W93">IF($G93=0, INDEX(LS_previous!$D$4:$AY$137, MATCH('Staging Table'!$A93, LS_previous!$B$4:$B$137, 0), MATCH(W$4&amp;W$5, LS_previous!$D$2:$AY$2&amp;LS_previous!$D$3:$AY$3, 0)),SUM(VLOOKUP($A93, LS_previous!$B$4:$AY$137, LS_previous!O$148, FALSE), VLOOKUP('Staging Table'!$A93, LS_previous!$B$4:$AY$137,LS_previous!AM$148, FALSE))/2)</f>
        <v>825.19588627779967</v>
      </c>
      <c r="X93" s="102">
        <f t="array" ref="X93">IF($G93=0, INDEX(LS_previous!$D$4:$AY$137, MATCH('Staging Table'!$A93, LS_previous!$B$4:$B$137, 0), MATCH(X$4&amp;X$5, LS_previous!$D$2:$AY$2&amp;LS_previous!$D$3:$AY$3, 0)),SUM(VLOOKUP($A93, LS_previous!$B$4:$AY$137, LS_previous!P$148, FALSE), VLOOKUP('Staging Table'!$A93, LS_previous!$B$4:$AY$137,LS_previous!AN$148, FALSE))/2)</f>
        <v>898.24118565274966</v>
      </c>
      <c r="Y93" s="102">
        <f t="array" ref="Y93">IF($G93=0, INDEX(LS_previous!$D$4:$AY$137, MATCH('Staging Table'!$A93, LS_previous!$B$4:$B$137, 0), MATCH(Y$4&amp;Y$5, LS_previous!$D$2:$AY$2&amp;LS_previous!$D$3:$AY$3, 0)),SUM(VLOOKUP($A93, LS_previous!$B$4:$AY$137, LS_previous!Q$148, FALSE), VLOOKUP('Staging Table'!$A93, LS_previous!$B$4:$AY$137,LS_previous!AO$148, FALSE))/2)</f>
        <v>715.98715563367523</v>
      </c>
      <c r="Z93" s="102">
        <f t="array" ref="Z93">IF($G93=0, INDEX(LS_previous!$D$4:$AY$137, MATCH('Staging Table'!$A93, LS_previous!$B$4:$B$137, 0), MATCH(Z$4&amp;Z$5, LS_previous!$D$2:$AY$2&amp;LS_previous!$D$3:$AY$3, 0)),SUM(VLOOKUP($A93, LS_previous!$B$4:$AY$137, LS_previous!R$148, FALSE), VLOOKUP('Staging Table'!$A93, LS_previous!$B$4:$AY$137,LS_previous!AP$148, FALSE))/2)</f>
        <v>-1472.7559327152012</v>
      </c>
      <c r="AA93" s="102">
        <f t="array" ref="AA93">IF($G93=0, INDEX(LS_previous!$D$4:$AY$137, MATCH('Staging Table'!$A93, LS_previous!$B$4:$B$137, 0), MATCH(AA$4&amp;AA$5, LS_previous!$D$2:$AY$2&amp;LS_previous!$D$3:$AY$3, 0)),SUM(VLOOKUP($A93, LS_previous!$B$4:$AY$137, LS_previous!S$148, FALSE), VLOOKUP('Staging Table'!$A93, LS_previous!$B$4:$AY$137,LS_previous!AQ$148, FALSE))/2)</f>
        <v>-548.15348875915015</v>
      </c>
      <c r="AB93" s="102">
        <f t="array" ref="AB93">IF($G93=0, INDEX(LS_previous!$D$4:$AY$137, MATCH('Staging Table'!$A93, LS_previous!$B$4:$B$137, 0), MATCH(AB$4&amp;AB$5, LS_previous!$D$2:$AY$2&amp;LS_previous!$D$3:$AY$3, 0)),SUM(VLOOKUP($A93, LS_previous!$B$4:$AY$137, LS_previous!T$148, FALSE), VLOOKUP('Staging Table'!$A93, LS_previous!$B$4:$AY$137,LS_previous!AR$148, FALSE))/2)</f>
        <v>-1681.1352845074002</v>
      </c>
      <c r="AC93" s="102">
        <f t="array" ref="AC93">IF($G93=0, INDEX(LS_previous!$D$4:$AY$137, MATCH('Staging Table'!$A93, LS_previous!$B$4:$B$137, 0), MATCH(AC$4&amp;AC$5, LS_previous!$D$2:$AY$2&amp;LS_previous!$D$3:$AY$3, 0)),SUM(VLOOKUP($A93, LS_previous!$B$4:$AY$137, LS_previous!U$148, FALSE), VLOOKUP('Staging Table'!$A93, LS_previous!$B$4:$AY$137,LS_previous!AS$148, FALSE))/2)</f>
        <v>-912.4884069695504</v>
      </c>
      <c r="AD93" s="102">
        <f t="array" ref="AD93">IF($G93=0, INDEX(LS_previous!$D$4:$AY$137, MATCH('Staging Table'!$A93, LS_previous!$B$4:$B$137, 0), MATCH(AD$4&amp;AD$5, LS_previous!$D$2:$AY$2&amp;LS_previous!$D$3:$AY$3, 0)),SUM(VLOOKUP($A93, LS_previous!$B$4:$AY$137, LS_previous!V$148, FALSE), VLOOKUP('Staging Table'!$A93, LS_previous!$B$4:$AY$137,LS_previous!AT$148, FALSE))/2)</f>
        <v>-649.43053102360045</v>
      </c>
      <c r="AE93" s="102">
        <f t="array" ref="AE93">IF($G93=0, INDEX(LS_previous!$D$4:$AY$137, MATCH('Staging Table'!$A93, LS_previous!$B$4:$B$137, 0), MATCH(AE$4&amp;AE$5, LS_previous!$D$2:$AY$2&amp;LS_previous!$D$3:$AY$3, 0)),SUM(VLOOKUP($A93, LS_previous!$B$4:$AY$137, LS_previous!W$148, FALSE), VLOOKUP('Staging Table'!$A93, LS_previous!$B$4:$AY$137,LS_previous!AU$148, FALSE))/2)</f>
        <v>-260.6416003622503</v>
      </c>
      <c r="AF93" s="102">
        <f t="array" ref="AF93">IF($G93=0, INDEX(LS_previous!$D$4:$AY$137, MATCH('Staging Table'!$A93, LS_previous!$B$4:$B$137, 0), MATCH(AF$4&amp;AF$5, LS_previous!$D$2:$AY$2&amp;LS_previous!$D$3:$AY$3, 0)),SUM(VLOOKUP($A93, LS_previous!$B$4:$AY$137, LS_previous!X$148, FALSE), VLOOKUP('Staging Table'!$A93, LS_previous!$B$4:$AY$137,LS_previous!AV$148, FALSE))/2)</f>
        <v>-501.87993680785075</v>
      </c>
      <c r="AG93" s="102">
        <f t="array" ref="AG93">IF($G93=0, INDEX(LS_previous!$D$4:$AY$137, MATCH('Staging Table'!$A93, LS_previous!$B$4:$B$137, 0), MATCH(AG$4&amp;AG$5, LS_previous!$D$2:$AY$2&amp;LS_previous!$D$3:$AY$3, 0)),SUM(VLOOKUP($A93, LS_previous!$B$4:$AY$137, LS_previous!Y$148, FALSE), VLOOKUP('Staging Table'!$A93, LS_previous!$B$4:$AY$137,LS_previous!AW$148, FALSE))/2)</f>
        <v>-57.444049959514814</v>
      </c>
      <c r="AH93" s="102">
        <f t="array" ref="AH93">IF($G93=0, INDEX(LS_previous!$D$4:$AY$137, MATCH('Staging Table'!$A93, LS_previous!$B$4:$B$137, 0), MATCH(AH$4&amp;AH$5, LS_previous!$D$2:$AY$2&amp;LS_previous!$D$3:$AY$3, 0)),SUM(VLOOKUP($A93, LS_previous!$B$4:$AY$137, LS_previous!Z$148, FALSE), VLOOKUP('Staging Table'!$A93, LS_previous!$B$4:$AY$137,LS_previous!AX$148, FALSE))/2)</f>
        <v>-383.35983087260092</v>
      </c>
      <c r="AI93" s="102">
        <f t="array" ref="AI93">IF($G93=0, INDEX(LS_previous!$D$4:$AY$137, MATCH('Staging Table'!$A93, LS_previous!$B$4:$B$137, 0), MATCH(AI$4&amp;AI$5, LS_previous!$D$2:$AY$2&amp;LS_previous!$D$3:$AY$3, 0)),SUM(VLOOKUP($A93, LS_previous!$B$4:$AY$137, LS_previous!AA$148, FALSE), VLOOKUP('Staging Table'!$A93, LS_previous!$B$4:$AY$137,LS_previous!AY$148, FALSE))/2)</f>
        <v>-280.6407742895999</v>
      </c>
      <c r="AJ93" s="103">
        <f t="array" ref="AJ93">INDEX(Demand_previous!$D$4:$AY$137, MATCH('Staging Table'!$A93, Demand_previous!$B$4:$B$137, 0), MATCH(AJ$4&amp;AJ$5,Demand_previous!$D$2:$AY$2&amp;Demand_previous!$D$3:$AY$3, 0))/1000</f>
        <v>0.6494423076923086</v>
      </c>
      <c r="AK93" s="103">
        <f t="array" ref="AK93">INDEX(Demand_previous!$D$4:$AY$137, MATCH('Staging Table'!$A93, Demand_previous!$B$4:$B$137, 0), MATCH(AK$4&amp;AK$5,Demand_previous!$D$2:$AY$2&amp;Demand_previous!$D$3:$AY$3, 0))/1000</f>
        <v>1.3060324999999988</v>
      </c>
      <c r="AL93" s="103">
        <f t="array" ref="AL93">INDEX(Demand_previous!$D$4:$AY$137, MATCH('Staging Table'!$A93, Demand_previous!$B$4:$B$137, 0), MATCH(AL$4&amp;AL$5,Demand_previous!$D$2:$AY$2&amp;Demand_previous!$D$3:$AY$3, 0))/1000</f>
        <v>1.8858800000000029</v>
      </c>
      <c r="AM93" s="103">
        <f t="array" ref="AM93">INDEX(Demand_previous!$D$4:$AY$137, MATCH('Staging Table'!$A93, Demand_previous!$B$4:$B$137, 0), MATCH(AM$4&amp;AM$5,Demand_previous!$D$2:$AY$2&amp;Demand_previous!$D$3:$AY$3, 0))/1000</f>
        <v>3.3269711538461539</v>
      </c>
      <c r="AN93" s="103">
        <f t="array" ref="AN93">INDEX(Demand_previous!$D$4:$AY$137, MATCH('Staging Table'!$A93, Demand_previous!$B$4:$B$137, 0), MATCH(AN$4&amp;AN$5,Demand_previous!$D$2:$AY$2&amp;Demand_previous!$D$3:$AY$3, 0))/1000</f>
        <v>1.8645825000000018</v>
      </c>
      <c r="AO93" s="103">
        <f t="array" ref="AO93">INDEX(Demand_previous!$D$4:$AY$137, MATCH('Staging Table'!$A93, Demand_previous!$B$4:$B$137, 0), MATCH(AO$4&amp;AO$5,Demand_previous!$D$2:$AY$2&amp;Demand_previous!$D$3:$AY$3, 0))/1000</f>
        <v>1.8482908653846133</v>
      </c>
      <c r="AP93" s="103">
        <f t="array" ref="AP93">INDEX(Demand_previous!$D$4:$AY$137, MATCH('Staging Table'!$A93, Demand_previous!$B$4:$B$137, 0), MATCH(AP$4&amp;AP$5,Demand_previous!$D$2:$AY$2&amp;Demand_previous!$D$3:$AY$3, 0))/1000</f>
        <v>1.708834134615385</v>
      </c>
      <c r="AQ93" s="103">
        <f t="array" ref="AQ93">INDEX(Demand_previous!$D$4:$AY$137, MATCH('Staging Table'!$A93, Demand_previous!$B$4:$B$137, 0), MATCH(AQ$4&amp;AQ$5,Demand_previous!$D$2:$AY$2&amp;Demand_previous!$D$3:$AY$3, 0))/1000</f>
        <v>0</v>
      </c>
      <c r="AR93" s="103">
        <f t="array" ref="AR93">INDEX(Demand_previous!$D$4:$AY$137, MATCH('Staging Table'!$A93, Demand_previous!$B$4:$B$137, 0), MATCH(AR$4&amp;AR$5,Demand_previous!$D$2:$AY$2&amp;Demand_previous!$D$3:$AY$3, 0))/1000</f>
        <v>1.7146974999999984</v>
      </c>
      <c r="AS93" s="103">
        <f t="array" ref="AS93">INDEX(Demand_previous!$D$4:$AY$137, MATCH('Staging Table'!$A93, Demand_previous!$B$4:$B$137, 0), MATCH(AS$4&amp;AS$5,Demand_previous!$D$2:$AY$2&amp;Demand_previous!$D$3:$AY$3, 0))/1000</f>
        <v>1.9302259615384596</v>
      </c>
      <c r="AT93" s="103">
        <f t="array" ref="AT93">INDEX(Demand_previous!$D$4:$AY$137, MATCH('Staging Table'!$A93, Demand_previous!$B$4:$B$137, 0), MATCH(AT$4&amp;AT$5,Demand_previous!$D$2:$AY$2&amp;Demand_previous!$D$3:$AY$3, 0))/1000</f>
        <v>3.1659444444444453</v>
      </c>
      <c r="AU93" s="103">
        <f t="array" ref="AU93">INDEX(Demand_previous!$D$4:$AY$137, MATCH('Staging Table'!$A93, Demand_previous!$B$4:$B$137, 0), MATCH(AU$4&amp;AU$5,Demand_previous!$D$2:$AY$2&amp;Demand_previous!$D$3:$AY$3, 0))/1000</f>
        <v>0.28292447916666719</v>
      </c>
      <c r="AV93" s="102">
        <f>$F93*(VLOOKUP(AV$4, Rates_previous!$G$6:$Q$29, 10, FALSE)+VLOOKUP(AV$4, Rates_previous!$G$6:$Q$29, 11, FALSE))</f>
        <v>6538.7239499488505</v>
      </c>
      <c r="AW93" s="102">
        <f>$F93*(VLOOKUP(AW$4, Rates_previous!$G$6:$Q$29, 10, FALSE)+VLOOKUP(AW$4, Rates_previous!$G$6:$Q$29, 11, FALSE))</f>
        <v>8339.0291998541015</v>
      </c>
      <c r="AX93" s="102">
        <f>$F93*(VLOOKUP(AX$4, Rates_previous!$G$6:$Q$29, 10, FALSE)+VLOOKUP(AX$4, Rates_previous!$G$6:$Q$29, 11, FALSE))</f>
        <v>8999.4624763065021</v>
      </c>
      <c r="AY93" s="102">
        <f>$F93*(VLOOKUP(AY$4, Rates_previous!$G$6:$Q$29, 10, FALSE)+VLOOKUP(AY$4, Rates_previous!$G$6:$Q$29, 11, FALSE))</f>
        <v>9351.8327202256005</v>
      </c>
      <c r="AZ93" s="102">
        <f>$F93*(VLOOKUP(AZ$4, Rates_previous!$G$6:$Q$29, 10, FALSE)+VLOOKUP(AZ$4, Rates_previous!$G$6:$Q$29, 11, FALSE))</f>
        <v>8043.8226591162002</v>
      </c>
      <c r="BA93" s="102">
        <f>$F93*(VLOOKUP(BA$4, Rates_previous!$G$6:$Q$29, 10, FALSE)+VLOOKUP(BA$4, Rates_previous!$G$6:$Q$29, 11, FALSE))</f>
        <v>8782.2617469608995</v>
      </c>
      <c r="BB93" s="102">
        <f>$F93*(VLOOKUP(BB$4, Rates_previous!$G$6:$Q$29, 10, FALSE)+VLOOKUP(BB$4, Rates_previous!$G$6:$Q$29, 11, FALSE))</f>
        <v>6932.1156587135747</v>
      </c>
      <c r="BC93" s="102">
        <f>$F93*(VLOOKUP(BC$4, Rates_previous!$G$6:$Q$29, 10, FALSE)+VLOOKUP(BC$4, Rates_previous!$G$6:$Q$29, 11, FALSE))</f>
        <v>8600.2184214743502</v>
      </c>
      <c r="BD93" s="102">
        <f>$F93*(VLOOKUP(BD$4, Rates_previous!$G$6:$Q$29, 10, FALSE)+VLOOKUP(BD$4, Rates_previous!$G$6:$Q$29, 11, FALSE))</f>
        <v>8786.8216914769491</v>
      </c>
      <c r="BE93" s="102">
        <f>$F93*(VLOOKUP(BE$4, Rates_previous!$G$6:$Q$29, 10, FALSE)+VLOOKUP(BE$4, Rates_previous!$G$6:$Q$29, 11, FALSE))</f>
        <v>7628.22713138585</v>
      </c>
      <c r="BF93" s="102">
        <f>$F93*(VLOOKUP(BF$4, Rates_previous!$G$6:$Q$29, 10, FALSE)+VLOOKUP(BF$4, Rates_previous!$G$6:$Q$29, 11, FALSE))</f>
        <v>7374.4679867673667</v>
      </c>
      <c r="BG93" s="102">
        <f>$F93*(VLOOKUP(BG$4, Rates_previous!$G$6:$Q$29, 10, FALSE)+VLOOKUP(BG$4, Rates_previous!$G$6:$Q$29, 11, FALSE))</f>
        <v>6785.9386051622014</v>
      </c>
      <c r="BH93" s="103">
        <f>IF($D93=0,IF(C93=0, MAX(BJ93 - (VLOOKUP($A93,TOCA_previous!$A$2:$AJ$136,MATCH("RHWM "&amp;Init!$D$1-2,TOCA_previous!$A$2:$AJ$2,0),FALSE)*$F$2*TOCA_previous!C90),0),0), 0)</f>
        <v>11679.353440791543</v>
      </c>
      <c r="BI93" s="109">
        <f>MIN(VLOOKUP($A93,TOCA_previous!$A$2:$AJ$136,MATCH("TRL - NLSL - Existing Resource "&amp;$F$1,TOCA_previous!$A$2:$AJ$2,0),FALSE)*$F$2,(VLOOKUP($A93,TOCA_previous!$A$2:$AJ$136,MATCH("RHWM "&amp;Init!$D$1-2,TOCA_previous!$A$2:$AJ$2,0),FALSE)*$F$2))</f>
        <v>94041.504000000001</v>
      </c>
      <c r="BJ93" s="261">
        <f>SUM(L93:AI93)+(F93*RT1SC!$C$3*$F$2)</f>
        <v>105720.85744079154</v>
      </c>
      <c r="BK93" s="260">
        <f>VLOOKUP($A93,TOCA_previous!$A$2:$AJ$136,MATCH("Above RHWM Not Served with LS "&amp;$F$1,TOCA_previous!$A$2:$AJ$2,0),FALSE)*$F$2</f>
        <v>0</v>
      </c>
      <c r="BL93" s="261">
        <f t="shared" si="36"/>
        <v>11679.353440791543</v>
      </c>
      <c r="BM93" s="260">
        <f>(VLOOKUP($A93,TOCA_previous!$A$2:$AJ$136,MATCH("RHWM "&amp;Init!$D$1-2,TOCA_previous!$A$2:$AJ$2,0),FALSE)*$F$2) - $BI93</f>
        <v>0</v>
      </c>
      <c r="BN93" s="261">
        <f t="shared" si="37"/>
        <v>0</v>
      </c>
      <c r="BO93" s="260">
        <f t="shared" si="38"/>
        <v>0</v>
      </c>
      <c r="BP93" s="261">
        <f t="shared" si="39"/>
        <v>0</v>
      </c>
      <c r="BQ93" s="260">
        <f t="shared" si="9"/>
        <v>0</v>
      </c>
      <c r="BR93" s="85">
        <f>VLOOKUP($A93,TOCA_current!$A$2:$ZZ$136,MATCH(BR$4,TOCA_current!$A$2:$ZZ$2,0),FALSE)</f>
        <v>1.5146000000000001E-3</v>
      </c>
      <c r="BS93" s="85">
        <f>VLOOKUP($A93,TOCA_current!$A$2:$ZZ$136,MATCH(BS$4,TOCA_current!$A$2:$ZZ$2,0),FALSE)</f>
        <v>1.5146000000000001E-3</v>
      </c>
      <c r="BT93" s="108">
        <f t="shared" si="40"/>
        <v>0</v>
      </c>
      <c r="BU93" s="85">
        <f>VLOOKUP($A93,TOCA_current!A90:BG224,MATCH(BU$4,TOCA_current!$A$2:$BG$2,0),FALSE)</f>
        <v>5.6041047548291235E-2</v>
      </c>
      <c r="BV93" s="85">
        <f t="shared" si="41"/>
        <v>0</v>
      </c>
      <c r="BW93" s="85">
        <f t="shared" si="42"/>
        <v>0</v>
      </c>
      <c r="BX93" s="101">
        <f>VLOOKUP($A93,IRD!$A$4:$G$138, 7, FALSE)</f>
        <v>0</v>
      </c>
      <c r="BY93" s="102">
        <f t="array" ref="BY93">IF($BT93=0, INDEX(LS_current!$D$4:$BW$137, MATCH('Staging Table'!$A93, LS_current!$B$4:$B$137, 0), MATCH(BY$4&amp;BY$5, LS_current!$D$2:$BW$2&amp;LS_current!$D$3:$BW$3, 0)),SUM(VLOOKUP($A93, LS_current!$B$4:$BW$137, LS_current!D$147, FALSE), VLOOKUP($A93, LS_current!$B$4:$BW$137,LS_current!AZ$147, FALSE))/2)</f>
        <v>785.44367690498711</v>
      </c>
      <c r="BZ93" s="102">
        <f t="array" ref="BZ93">IF($BT93=0, INDEX(LS_current!$D$4:$BW$137, MATCH('Staging Table'!$A93, LS_current!$B$4:$B$137, 0), MATCH(BZ$4&amp;BZ$5, LS_current!$D$2:$BW$2&amp;LS_current!$D$3:$BW$3, 0)),SUM(VLOOKUP($A93, LS_current!$B$4:$BW$137, LS_current!E$147, FALSE), VLOOKUP($A93, LS_current!$B$4:$BW$137,LS_current!BA$147, FALSE))/2)</f>
        <v>554.55471099221268</v>
      </c>
      <c r="CA93" s="102">
        <f t="array" ref="CA93">IF($BT93=0, INDEX(LS_current!$D$4:$BW$137, MATCH('Staging Table'!$A93, LS_current!$B$4:$B$137, 0), MATCH(CA$4&amp;CA$5, LS_current!$D$2:$BW$2&amp;LS_current!$D$3:$BW$3, 0)),SUM(VLOOKUP($A93, LS_current!$B$4:$BW$137, LS_current!F$147, FALSE), VLOOKUP($A93, LS_current!$B$4:$BW$137,LS_current!BB$147, FALSE))/2)</f>
        <v>113.60244412704196</v>
      </c>
      <c r="CB93" s="102">
        <f t="array" ref="CB93">IF($BT93=0, INDEX(LS_current!$D$4:$BW$137, MATCH('Staging Table'!$A93, LS_current!$B$4:$B$137, 0), MATCH(CB$4&amp;CB$5, LS_current!$D$2:$BW$2&amp;LS_current!$D$3:$BW$3, 0)),SUM(VLOOKUP($A93, LS_current!$B$4:$BW$137, LS_current!G$147, FALSE), VLOOKUP($A93, LS_current!$B$4:$BW$137,LS_current!BC$147, FALSE))/2)</f>
        <v>765.96269697731623</v>
      </c>
      <c r="CC93" s="102">
        <f t="array" ref="CC93">IF($BT93=0, INDEX(LS_current!$D$4:$BW$137, MATCH('Staging Table'!$A93, LS_current!$B$4:$B$137, 0), MATCH(CC$4&amp;CC$5, LS_current!$D$2:$BW$2&amp;LS_current!$D$3:$BW$3, 0)),SUM(VLOOKUP($A93, LS_current!$B$4:$BW$137, LS_current!H$147, FALSE), VLOOKUP($A93, LS_current!$B$4:$BW$137,LS_current!BD$147, FALSE))/2)</f>
        <v>1141.2274913685205</v>
      </c>
      <c r="CD93" s="102">
        <f t="array" ref="CD93">IF($BT93=0, INDEX(LS_current!$D$4:$BW$137, MATCH('Staging Table'!$A93, LS_current!$B$4:$B$137, 0), MATCH(CD$4&amp;CD$5, LS_current!$D$2:$BW$2&amp;LS_current!$D$3:$BW$3, 0)),SUM(VLOOKUP($A93, LS_current!$B$4:$BW$137, LS_current!I$147, FALSE), VLOOKUP($A93, LS_current!$B$4:$BW$137,LS_current!BE$147, FALSE))/2)</f>
        <v>1474.3014665083701</v>
      </c>
      <c r="CE93" s="102">
        <f t="array" ref="CE93">IF($BT93=0, INDEX(LS_current!$D$4:$BW$137, MATCH('Staging Table'!$A93, LS_current!$B$4:$B$137, 0), MATCH(CE$4&amp;CE$5, LS_current!$D$2:$BW$2&amp;LS_current!$D$3:$BW$3, 0)),SUM(VLOOKUP($A93, LS_current!$B$4:$BW$137, LS_current!J$147, FALSE), VLOOKUP($A93, LS_current!$B$4:$BW$137,LS_current!BF$147, FALSE))/2)</f>
        <v>1165.9605270441562</v>
      </c>
      <c r="CF93" s="102">
        <f t="array" ref="CF93">IF($BT93=0, INDEX(LS_current!$D$4:$BW$137, MATCH('Staging Table'!$A93, LS_current!$B$4:$B$137, 0), MATCH(CF$4&amp;CF$5, LS_current!$D$2:$BW$2&amp;LS_current!$D$3:$BW$3, 0)),SUM(VLOOKUP($A93, LS_current!$B$4:$BW$137, LS_current!K$147, FALSE), VLOOKUP($A93, LS_current!$B$4:$BW$137,LS_current!BG$147, FALSE))/2)</f>
        <v>1446.3931099330316</v>
      </c>
      <c r="CG93" s="102">
        <f t="array" ref="CG93">IF($BT93=0, INDEX(LS_current!$D$4:$BW$137, MATCH('Staging Table'!$A93, LS_current!$B$4:$B$137, 0), MATCH(CG$4&amp;CG$5, LS_current!$D$2:$BW$2&amp;LS_current!$D$3:$BW$3, 0)),SUM(VLOOKUP($A93, LS_current!$B$4:$BW$137, LS_current!L$147, FALSE), VLOOKUP($A93, LS_current!$B$4:$BW$137,LS_current!BH$147, FALSE))/2)</f>
        <v>750.39815295884819</v>
      </c>
      <c r="CH93" s="102">
        <f t="array" ref="CH93">IF($BT93=0, INDEX(LS_current!$D$4:$BW$137, MATCH('Staging Table'!$A93, LS_current!$B$4:$B$137, 0), MATCH(CH$4&amp;CH$5, LS_current!$D$2:$BW$2&amp;LS_current!$D$3:$BW$3, 0)),SUM(VLOOKUP($A93, LS_current!$B$4:$BW$137, LS_current!M$147, FALSE), VLOOKUP($A93, LS_current!$B$4:$BW$137,LS_current!BI$147, FALSE))/2)</f>
        <v>1042.6195215201974</v>
      </c>
      <c r="CI93" s="102">
        <f t="array" ref="CI93">IF($BT93=0, INDEX(LS_current!$D$4:$BW$137, MATCH('Staging Table'!$A93, LS_current!$B$4:$B$137, 0), MATCH(CI$4&amp;CI$5, LS_current!$D$2:$BW$2&amp;LS_current!$D$3:$BW$3, 0)),SUM(VLOOKUP($A93, LS_current!$B$4:$BW$137, LS_current!N$147, FALSE), VLOOKUP($A93, LS_current!$B$4:$BW$137,LS_current!BJ$147, FALSE))/2)</f>
        <v>-255.01511058229971</v>
      </c>
      <c r="CJ93" s="102">
        <f t="array" ref="CJ93">IF($BT93=0, INDEX(LS_current!$D$4:$BW$137, MATCH('Staging Table'!$A93, LS_current!$B$4:$B$137, 0), MATCH(CJ$4&amp;CJ$5, LS_current!$D$2:$BW$2&amp;LS_current!$D$3:$BW$3, 0)),SUM(VLOOKUP($A93, LS_current!$B$4:$BW$137, LS_current!O$147, FALSE), VLOOKUP($A93, LS_current!$B$4:$BW$137,LS_current!BK$147, FALSE))/2)</f>
        <v>898.69974938252471</v>
      </c>
      <c r="CK93" s="102">
        <f t="array" ref="CK93">IF($BT93=0, INDEX(LS_current!$D$4:$BW$137, MATCH('Staging Table'!$A93, LS_current!$B$4:$B$137, 0), MATCH(CK$4&amp;CK$5, LS_current!$D$2:$BW$2&amp;LS_current!$D$3:$BW$3, 0)),SUM(VLOOKUP($A93, LS_current!$B$4:$BW$137, LS_current!P$147, FALSE), VLOOKUP($A93, LS_current!$B$4:$BW$137,LS_current!BL$147, FALSE))/2)</f>
        <v>568.98358239442314</v>
      </c>
      <c r="CL93" s="102">
        <f t="array" ref="CL93">IF($BT93=0, INDEX(LS_current!$D$4:$BW$137, MATCH('Staging Table'!$A93, LS_current!$B$4:$B$137, 0), MATCH(CL$4&amp;CL$5, LS_current!$D$2:$BW$2&amp;LS_current!$D$3:$BW$3, 0)),SUM(VLOOKUP($A93, LS_current!$B$4:$BW$137, LS_current!Q$147, FALSE), VLOOKUP($A93, LS_current!$B$4:$BW$137,LS_current!BM$147, FALSE))/2)</f>
        <v>531.89873389932018</v>
      </c>
      <c r="CM93" s="102">
        <f t="array" ref="CM93">IF($BT93=0, INDEX(LS_current!$D$4:$BW$137, MATCH('Staging Table'!$A93, LS_current!$B$4:$B$137, 0), MATCH(CM$4&amp;CM$5, LS_current!$D$2:$BW$2&amp;LS_current!$D$3:$BW$3, 0)),SUM(VLOOKUP($A93, LS_current!$B$4:$BW$137, LS_current!R$147, FALSE), VLOOKUP($A93, LS_current!$B$4:$BW$137,LS_current!BN$147, FALSE))/2)</f>
        <v>-1867.7764284595874</v>
      </c>
      <c r="CN93" s="102">
        <f t="array" ref="CN93">IF($BT93=0, INDEX(LS_current!$D$4:$BW$137, MATCH('Staging Table'!$A93, LS_current!$B$4:$B$137, 0), MATCH(CN$4&amp;CN$5, LS_current!$D$2:$BW$2&amp;LS_current!$D$3:$BW$3, 0)),SUM(VLOOKUP($A93, LS_current!$B$4:$BW$137, LS_current!S$147, FALSE), VLOOKUP($A93, LS_current!$B$4:$BW$137,LS_current!BO$147, FALSE))/2)</f>
        <v>-944.24198986817828</v>
      </c>
      <c r="CO93" s="102">
        <f t="array" ref="CO93">IF($BT93=0, INDEX(LS_current!$D$4:$BW$137, MATCH('Staging Table'!$A93, LS_current!$B$4:$B$137, 0), MATCH(CO$4&amp;CO$5, LS_current!$D$2:$BW$2&amp;LS_current!$D$3:$BW$3, 0)),SUM(VLOOKUP($A93, LS_current!$B$4:$BW$137, LS_current!T$147, FALSE), VLOOKUP($A93, LS_current!$B$4:$BW$137,LS_current!BP$147, FALSE))/2)</f>
        <v>-2311.8062317410531</v>
      </c>
      <c r="CP93" s="102">
        <f t="array" ref="CP93">IF($BT93=0, INDEX(LS_current!$D$4:$BW$137, MATCH('Staging Table'!$A93, LS_current!$B$4:$B$137, 0), MATCH(CP$4&amp;CP$5, LS_current!$D$2:$BW$2&amp;LS_current!$D$3:$BW$3, 0)),SUM(VLOOKUP($A93, LS_current!$B$4:$BW$137, LS_current!U$147, FALSE), VLOOKUP($A93, LS_current!$B$4:$BW$137,LS_current!BQ$147, FALSE))/2)</f>
        <v>-1034.9629430305463</v>
      </c>
      <c r="CQ93" s="102">
        <f t="array" ref="CQ93">IF($BT93=0, INDEX(LS_current!$D$4:$BW$137, MATCH('Staging Table'!$A93, LS_current!$B$4:$B$137, 0), MATCH(CQ$4&amp;CQ$5, LS_current!$D$2:$BW$2&amp;LS_current!$D$3:$BW$3, 0)),SUM(VLOOKUP($A93, LS_current!$B$4:$BW$137, LS_current!V$147, FALSE), VLOOKUP($A93, LS_current!$B$4:$BW$137,LS_current!BR$147, FALSE))/2)</f>
        <v>-1289.3384835080037</v>
      </c>
      <c r="CR93" s="102">
        <f t="array" ref="CR93">IF($BT93=0, INDEX(LS_current!$D$4:$BW$137, MATCH('Staging Table'!$A93, LS_current!$B$4:$B$137, 0), MATCH(CR$4&amp;CR$5, LS_current!$D$2:$BW$2&amp;LS_current!$D$3:$BW$3, 0)),SUM(VLOOKUP($A93, LS_current!$B$4:$BW$137, LS_current!W$147, FALSE), VLOOKUP($A93, LS_current!$B$4:$BW$137,LS_current!BS$147, FALSE))/2)</f>
        <v>-618.08455156909577</v>
      </c>
      <c r="CS93" s="102">
        <f t="array" ref="CS93">IF($BT93=0, INDEX(LS_current!$D$4:$BW$137, MATCH('Staging Table'!$A93, LS_current!$B$4:$B$137, 0), MATCH(CS$4&amp;CS$5, LS_current!$D$2:$BW$2&amp;LS_current!$D$3:$BW$3, 0)),SUM(VLOOKUP($A93, LS_current!$B$4:$BW$137, LS_current!X$147, FALSE), VLOOKUP($A93, LS_current!$B$4:$BW$137,LS_current!BT$147, FALSE))/2)</f>
        <v>-1586.5810492635433</v>
      </c>
      <c r="CT93" s="102">
        <f t="array" ref="CT93">IF($BT93=0, INDEX(LS_current!$D$4:$BW$137, MATCH('Staging Table'!$A93, LS_current!$B$4:$B$137, 0), MATCH(CT$4&amp;CT$5, LS_current!$D$2:$BW$2&amp;LS_current!$D$3:$BW$3, 0)),SUM(VLOOKUP($A93, LS_current!$B$4:$BW$137, LS_current!Y$147, FALSE), VLOOKUP($A93, LS_current!$B$4:$BW$137,LS_current!BU$147, FALSE))/2)</f>
        <v>-421.54710661432864</v>
      </c>
      <c r="CU93" s="102">
        <f t="array" ref="CU93">IF($BT93=0, INDEX(LS_current!$D$4:$BW$137, MATCH('Staging Table'!$A93, LS_current!$B$4:$B$137, 0), MATCH(CU$4&amp;CU$5, LS_current!$D$2:$BW$2&amp;LS_current!$D$3:$BW$3, 0)),SUM(VLOOKUP($A93, LS_current!$B$4:$BW$137, LS_current!Z$147, FALSE), VLOOKUP($A93, LS_current!$B$4:$BW$137,LS_current!BV$147, FALSE))/2)</f>
        <v>-648.03658709975571</v>
      </c>
      <c r="CV93" s="102">
        <f t="array" ref="CV93">IF($BT93=0, INDEX(LS_current!$D$4:$BW$137, MATCH('Staging Table'!$A93, LS_current!$B$4:$B$137, 0), MATCH(CV$4&amp;CV$5, LS_current!$D$2:$BW$2&amp;LS_current!$D$3:$BW$3, 0)),SUM(VLOOKUP($A93, LS_current!$B$4:$BW$137, LS_current!AA$147, FALSE), VLOOKUP($A93, LS_current!$B$4:$BW$137,LS_current!BW$147, FALSE))/2)</f>
        <v>-267.34935665927128</v>
      </c>
      <c r="CW93" s="103">
        <f t="array" ref="CW93">INDEX(Demand_current!$D$4:$BW$137, MATCH($A93, Demand_current!$B$4:$B$137, 0), MATCH(CW$4&amp;CW$5,Demand_current!$D$2:$BW$2&amp;Demand_current!$D$3:$BW$3, 0))/1000</f>
        <v>1.1181296296296308</v>
      </c>
      <c r="CX93" s="103">
        <f t="array" ref="CX93">INDEX(Demand_current!$D$4:$BW$137, MATCH($A93, Demand_current!$B$4:$B$137, 0), MATCH(CX$4&amp;CX$5,Demand_current!$D$2:$BW$2&amp;Demand_current!$D$3:$BW$3, 0))/1000</f>
        <v>0.73640885416666535</v>
      </c>
      <c r="CY93" s="103">
        <f t="array" ref="CY93">INDEX(Demand_current!$D$4:$BW$137, MATCH($A93, Demand_current!$B$4:$B$137, 0), MATCH(CY$4&amp;CY$5,Demand_current!$D$2:$BW$2&amp;Demand_current!$D$3:$BW$3, 0))/1000</f>
        <v>2.6108076923076942</v>
      </c>
      <c r="CZ93" s="103">
        <f t="array" ref="CZ93">INDEX(Demand_current!$D$4:$BW$137, MATCH($A93, Demand_current!$B$4:$B$137, 0), MATCH(CZ$4&amp;CZ$5,Demand_current!$D$2:$BW$2&amp;Demand_current!$D$3:$BW$3, 0))/1000</f>
        <v>3.3269711538461539</v>
      </c>
      <c r="DA93" s="103">
        <f t="array" ref="DA93">INDEX(Demand_current!$D$4:$BW$137, MATCH($A93, Demand_current!$B$4:$B$137, 0), MATCH(DA$4&amp;DA$5,Demand_current!$D$2:$BW$2&amp;Demand_current!$D$3:$BW$3, 0))/1000</f>
        <v>1.2251484375000006</v>
      </c>
      <c r="DB93" s="103">
        <f t="array" ref="DB93">INDEX(Demand_current!$D$4:$BW$137, MATCH($A93, Demand_current!$B$4:$B$137, 0), MATCH(DB$4&amp;DB$5,Demand_current!$D$2:$BW$2&amp;Demand_current!$D$3:$BW$3, 0))/1000</f>
        <v>1.8482908653846133</v>
      </c>
      <c r="DC93" s="103">
        <f t="array" ref="DC93">INDEX(Demand_current!$D$4:$BW$137, MATCH($A93, Demand_current!$B$4:$B$137, 0), MATCH(DC$4&amp;DC$5,Demand_current!$D$2:$BW$2&amp;Demand_current!$D$3:$BW$3, 0))/1000</f>
        <v>1.708834134615385</v>
      </c>
      <c r="DD93" s="103">
        <f t="array" ref="DD93">INDEX(Demand_current!$D$4:$BW$137, MATCH($A93, Demand_current!$B$4:$B$137, 0), MATCH(DD$4&amp;DD$5,Demand_current!$D$2:$BW$2&amp;Demand_current!$D$3:$BW$3, 0))/1000</f>
        <v>0</v>
      </c>
      <c r="DE93" s="103">
        <f t="array" ref="DE93">INDEX(Demand_current!$D$4:$BW$137, MATCH($A93, Demand_current!$B$4:$B$137, 0), MATCH(DE$4&amp;DE$5,Demand_current!$D$2:$BW$2&amp;Demand_current!$D$3:$BW$3, 0))/1000</f>
        <v>2.083593749999999</v>
      </c>
      <c r="DF93" s="103">
        <f t="array" ref="DF93">INDEX(Demand_current!$D$4:$BW$137, MATCH($A93, Demand_current!$B$4:$B$137, 0), MATCH(DF$4&amp;DF$5,Demand_current!$D$2:$BW$2&amp;Demand_current!$D$3:$BW$3, 0))/1000</f>
        <v>1.9302259615384596</v>
      </c>
      <c r="DG93" s="103">
        <f t="array" ref="DG93">INDEX(Demand_current!$D$4:$BW$137, MATCH($A93, Demand_current!$B$4:$B$137, 0), MATCH(DG$4&amp;DG$5,Demand_current!$D$2:$BW$2&amp;Demand_current!$D$3:$BW$3, 0))/1000</f>
        <v>2.7941346153846158</v>
      </c>
      <c r="DH93" s="103">
        <f t="array" ref="DH93">INDEX(Demand_current!$D$4:$BW$137, MATCH($A93, Demand_current!$B$4:$B$137, 0), MATCH(DH$4&amp;DH$5,Demand_current!$D$2:$BW$2&amp;Demand_current!$D$3:$BW$3, 0))/1000</f>
        <v>0.66516750000000124</v>
      </c>
      <c r="DI93" s="102">
        <f>$BS93*(VLOOKUP(DI$4, Rates_current!$H$6:$R$41, 10, FALSE)+VLOOKUP(DI$4, Rates_current!$H$6:$R$41, 11, FALSE))</f>
        <v>6286.0256121028006</v>
      </c>
      <c r="DJ93" s="102">
        <f>$BS93*(VLOOKUP(DJ$4, Rates_current!$H$6:$R$41, 10, FALSE)+VLOOKUP(DJ$4, Rates_current!$H$6:$R$41, 11, FALSE))</f>
        <v>8036.4768588956431</v>
      </c>
      <c r="DK93" s="102">
        <f>$BS93*(VLOOKUP(DK$4, Rates_current!$H$6:$R$41, 10, FALSE)+VLOOKUP(DK$4, Rates_current!$H$6:$R$41, 11, FALSE))</f>
        <v>9136.8020421231085</v>
      </c>
      <c r="DL93" s="102">
        <f>$BS93*(VLOOKUP(DL$4, Rates_current!$H$6:$R$41, 10, FALSE)+VLOOKUP(DL$4, Rates_current!$H$6:$R$41, 11, FALSE))</f>
        <v>9640.0393630228118</v>
      </c>
      <c r="DM93" s="102">
        <f>$BS93*(VLOOKUP(DM$4, Rates_current!$H$6:$R$41, 10, FALSE)+VLOOKUP(DM$4, Rates_current!$H$6:$R$41, 11, FALSE))</f>
        <v>7682.2413255209549</v>
      </c>
      <c r="DN93" s="102">
        <f>$BS93*(VLOOKUP(DN$4, Rates_current!$H$6:$R$41, 10, FALSE)+VLOOKUP(DN$4, Rates_current!$H$6:$R$41, 11, FALSE))</f>
        <v>8398.2673611997743</v>
      </c>
      <c r="DO93" s="102">
        <f>$BS93*(VLOOKUP(DO$4, Rates_current!$H$6:$R$41, 10, FALSE)+VLOOKUP(DO$4, Rates_current!$H$6:$R$41, 11, FALSE))</f>
        <v>6508.7416837062574</v>
      </c>
      <c r="DP93" s="102">
        <f>$BS93*(VLOOKUP(DP$4, Rates_current!$H$6:$R$41, 10, FALSE)+VLOOKUP(DP$4, Rates_current!$H$6:$R$41, 11, FALSE))</f>
        <v>8423.383418327765</v>
      </c>
      <c r="DQ93" s="102">
        <f>$BS93*(VLOOKUP(DQ$4, Rates_current!$H$6:$R$41, 10, FALSE)+VLOOKUP(DQ$4, Rates_current!$H$6:$R$41, 11, FALSE))</f>
        <v>8603.2471747716008</v>
      </c>
      <c r="DR93" s="102">
        <f>$BS93*(VLOOKUP(DR$4, Rates_current!$H$6:$R$41, 10, FALSE)+VLOOKUP(DR$4, Rates_current!$H$6:$R$41, 11, FALSE))</f>
        <v>7657.6340350770997</v>
      </c>
      <c r="DS93" s="102">
        <f>$BS93*(VLOOKUP(DS$4, Rates_current!$H$6:$R$41, 10, FALSE)+VLOOKUP(DS$4, Rates_current!$H$6:$R$41, 11, FALSE))</f>
        <v>7855.3281558778726</v>
      </c>
      <c r="DT93" s="102">
        <f>$BS93*(VLOOKUP(DT$4, Rates_current!$H$6:$R$41, 10, FALSE)+VLOOKUP(DT$4, Rates_current!$H$6:$R$41, 11, FALSE))</f>
        <v>6100.6039437590271</v>
      </c>
      <c r="DU93" s="261">
        <f>IF(D93=0,IF(C93=0,MAX(0,DW93 - (VLOOKUP($A93,TOCA_current!$A$2:$AV$136,MATCH("RHWM "&amp;Init!$D$1,TOCA_current!$A$2:$AV$2,0),FALSE)*$BS$2)), 0),0)</f>
        <v>0</v>
      </c>
      <c r="DV93" s="262">
        <f>MIN(VLOOKUP($A93,TOCA_current!$A$2:$AV$136,MATCH("TRL - NLSL - Existing Resource "&amp;$BS$1,TOCA_current!$A$2:$AV$2,0),FALSE)*$BS$2, VLOOKUP($A93,TOCA_current!$A$2:$AV$136,MATCH("RHWM "&amp;Init!$D$1,TOCA_current!$A$2:$AV$2,0),FALSE)*$BS$2)</f>
        <v>94327.680000000008</v>
      </c>
      <c r="DW93" s="262">
        <f>SUM(BY93:CV93)+(BS93*RT1SC!$C$4*$BS$2)</f>
        <v>94324.10256820728</v>
      </c>
      <c r="DX93" s="262">
        <f>VLOOKUP($A93,TOCA_current!$A$2:$AV$136,MATCH("Above RHWM Not Served with LS "&amp;$BS$1,TOCA_current!$A$2:$AV$2,0),FALSE)*$BS$2</f>
        <v>11396.76</v>
      </c>
      <c r="DY93" s="262">
        <f t="shared" si="43"/>
        <v>-3.5774317927280208</v>
      </c>
      <c r="DZ93" s="262">
        <f>(VLOOKUP($A93,TOCA_current!$A$2:$AV$136,MATCH("RHWM "&amp;Init!$D$1,TOCA_current!$A$2:$AV$2,0),FALSE)*$BS$2) - $DV93</f>
        <v>0</v>
      </c>
      <c r="EA93" s="262">
        <f t="shared" si="44"/>
        <v>0</v>
      </c>
      <c r="EB93" s="262">
        <f t="shared" si="45"/>
        <v>0</v>
      </c>
      <c r="EC93" s="262">
        <f t="shared" si="46"/>
        <v>0</v>
      </c>
      <c r="ED93" s="262">
        <f t="shared" si="47"/>
        <v>0</v>
      </c>
    </row>
    <row r="94" spans="1:134">
      <c r="A94" s="2">
        <v>10285</v>
      </c>
      <c r="B94" s="3" t="s">
        <v>96</v>
      </c>
      <c r="C94">
        <f>VLOOKUP(A94, TOCA_current!$A$3:$D$136, 4, FALSE)</f>
        <v>1</v>
      </c>
      <c r="D94">
        <v>0</v>
      </c>
      <c r="E94" s="84">
        <f>VLOOKUP($A94,TOCA_previous!$A$2:$AJ$136,MATCH(E$4,TOCA_previous!$A$2:$AJ$2,0),FALSE)</f>
        <v>9.4519999999999999E-4</v>
      </c>
      <c r="F94" s="85">
        <f>VLOOKUP($A94,TOCA_previous!$A$2:$AJ$136,MATCH(F$4,TOCA_previous!$A$2:$AJ$2,0),FALSE)</f>
        <v>9.4519999999999999E-4</v>
      </c>
      <c r="G94" s="85">
        <f t="shared" si="33"/>
        <v>0</v>
      </c>
      <c r="H94" s="85">
        <f>VLOOKUP($A94,TOCA_previous!$A$2:$AJ$136,MATCH(H$4,TOCA_previous!$A$2:$AJ$2,0),FALSE)</f>
        <v>7.7484300811762913E-2</v>
      </c>
      <c r="I94" s="85">
        <f t="shared" si="34"/>
        <v>7.7484300811762913E-2</v>
      </c>
      <c r="J94" s="85">
        <f t="shared" si="35"/>
        <v>9.4519999999999999E-4</v>
      </c>
      <c r="K94" s="101">
        <f>VLOOKUP(A94, IRD!$A$5:$C$138, 3, FALSE)</f>
        <v>0</v>
      </c>
      <c r="L94" s="102">
        <f t="array" ref="L94">IF($G94=0, INDEX(LS_previous!$D$4:$AY$137, MATCH('Staging Table'!$A94, LS_previous!$B$4:$B$137, 0), MATCH(L$4&amp;L$5, LS_previous!$D$2:$AY$2&amp;LS_previous!$D$3:$AY$3, 0)),SUM(VLOOKUP($A94, LS_previous!$B$4:$AY$137, LS_previous!D$148, FALSE), VLOOKUP('Staging Table'!$A94, LS_previous!$B$4:$AY$137,LS_previous!AB$148, FALSE))/2)</f>
        <v>0</v>
      </c>
      <c r="M94" s="102">
        <f t="array" ref="M94">IF($G94=0, INDEX(LS_previous!$D$4:$AY$137, MATCH('Staging Table'!$A94, LS_previous!$B$4:$B$137, 0), MATCH(M$4&amp;M$5, LS_previous!$D$2:$AY$2&amp;LS_previous!$D$3:$AY$3, 0)),SUM(VLOOKUP($A94, LS_previous!$B$4:$AY$137, LS_previous!E$148, FALSE), VLOOKUP('Staging Table'!$A94, LS_previous!$B$4:$AY$137,LS_previous!AC$148, FALSE))/2)</f>
        <v>0</v>
      </c>
      <c r="N94" s="102">
        <f t="array" ref="N94">IF($G94=0, INDEX(LS_previous!$D$4:$AY$137, MATCH('Staging Table'!$A94, LS_previous!$B$4:$B$137, 0), MATCH(N$4&amp;N$5, LS_previous!$D$2:$AY$2&amp;LS_previous!$D$3:$AY$3, 0)),SUM(VLOOKUP($A94, LS_previous!$B$4:$AY$137, LS_previous!F$148, FALSE), VLOOKUP('Staging Table'!$A94, LS_previous!$B$4:$AY$137,LS_previous!AD$148, FALSE))/2)</f>
        <v>0</v>
      </c>
      <c r="O94" s="102">
        <f t="array" ref="O94">IF($G94=0, INDEX(LS_previous!$D$4:$AY$137, MATCH('Staging Table'!$A94, LS_previous!$B$4:$B$137, 0), MATCH(O$4&amp;O$5, LS_previous!$D$2:$AY$2&amp;LS_previous!$D$3:$AY$3, 0)),SUM(VLOOKUP($A94, LS_previous!$B$4:$AY$137, LS_previous!G$148, FALSE), VLOOKUP('Staging Table'!$A94, LS_previous!$B$4:$AY$137,LS_previous!AE$148, FALSE))/2)</f>
        <v>0</v>
      </c>
      <c r="P94" s="102">
        <f t="array" ref="P94">IF($G94=0, INDEX(LS_previous!$D$4:$AY$137, MATCH('Staging Table'!$A94, LS_previous!$B$4:$B$137, 0), MATCH(P$4&amp;P$5, LS_previous!$D$2:$AY$2&amp;LS_previous!$D$3:$AY$3, 0)),SUM(VLOOKUP($A94, LS_previous!$B$4:$AY$137, LS_previous!H$148, FALSE), VLOOKUP('Staging Table'!$A94, LS_previous!$B$4:$AY$137,LS_previous!AF$148, FALSE))/2)</f>
        <v>0</v>
      </c>
      <c r="Q94" s="102">
        <f t="array" ref="Q94">IF($G94=0, INDEX(LS_previous!$D$4:$AY$137, MATCH('Staging Table'!$A94, LS_previous!$B$4:$B$137, 0), MATCH(Q$4&amp;Q$5, LS_previous!$D$2:$AY$2&amp;LS_previous!$D$3:$AY$3, 0)),SUM(VLOOKUP($A94, LS_previous!$B$4:$AY$137, LS_previous!I$148, FALSE), VLOOKUP('Staging Table'!$A94, LS_previous!$B$4:$AY$137,LS_previous!AG$148, FALSE))/2)</f>
        <v>0</v>
      </c>
      <c r="R94" s="102">
        <f t="array" ref="R94">IF($G94=0, INDEX(LS_previous!$D$4:$AY$137, MATCH('Staging Table'!$A94, LS_previous!$B$4:$B$137, 0), MATCH(R$4&amp;R$5, LS_previous!$D$2:$AY$2&amp;LS_previous!$D$3:$AY$3, 0)),SUM(VLOOKUP($A94, LS_previous!$B$4:$AY$137, LS_previous!J$148, FALSE), VLOOKUP('Staging Table'!$A94, LS_previous!$B$4:$AY$137,LS_previous!AH$148, FALSE))/2)</f>
        <v>0</v>
      </c>
      <c r="S94" s="102">
        <f t="array" ref="S94">IF($G94=0, INDEX(LS_previous!$D$4:$AY$137, MATCH('Staging Table'!$A94, LS_previous!$B$4:$B$137, 0), MATCH(S$4&amp;S$5, LS_previous!$D$2:$AY$2&amp;LS_previous!$D$3:$AY$3, 0)),SUM(VLOOKUP($A94, LS_previous!$B$4:$AY$137, LS_previous!K$148, FALSE), VLOOKUP('Staging Table'!$A94, LS_previous!$B$4:$AY$137,LS_previous!AI$148, FALSE))/2)</f>
        <v>0</v>
      </c>
      <c r="T94" s="102">
        <f t="array" ref="T94">IF($G94=0, INDEX(LS_previous!$D$4:$AY$137, MATCH('Staging Table'!$A94, LS_previous!$B$4:$B$137, 0), MATCH(T$4&amp;T$5, LS_previous!$D$2:$AY$2&amp;LS_previous!$D$3:$AY$3, 0)),SUM(VLOOKUP($A94, LS_previous!$B$4:$AY$137, LS_previous!L$148, FALSE), VLOOKUP('Staging Table'!$A94, LS_previous!$B$4:$AY$137,LS_previous!AJ$148, FALSE))/2)</f>
        <v>0</v>
      </c>
      <c r="U94" s="102">
        <f t="array" ref="U94">IF($G94=0, INDEX(LS_previous!$D$4:$AY$137, MATCH('Staging Table'!$A94, LS_previous!$B$4:$B$137, 0), MATCH(U$4&amp;U$5, LS_previous!$D$2:$AY$2&amp;LS_previous!$D$3:$AY$3, 0)),SUM(VLOOKUP($A94, LS_previous!$B$4:$AY$137, LS_previous!M$148, FALSE), VLOOKUP('Staging Table'!$A94, LS_previous!$B$4:$AY$137,LS_previous!AK$148, FALSE))/2)</f>
        <v>0</v>
      </c>
      <c r="V94" s="102">
        <f t="array" ref="V94">IF($G94=0, INDEX(LS_previous!$D$4:$AY$137, MATCH('Staging Table'!$A94, LS_previous!$B$4:$B$137, 0), MATCH(V$4&amp;V$5, LS_previous!$D$2:$AY$2&amp;LS_previous!$D$3:$AY$3, 0)),SUM(VLOOKUP($A94, LS_previous!$B$4:$AY$137, LS_previous!N$148, FALSE), VLOOKUP('Staging Table'!$A94, LS_previous!$B$4:$AY$137,LS_previous!AL$148, FALSE))/2)</f>
        <v>0</v>
      </c>
      <c r="W94" s="102">
        <f t="array" ref="W94">IF($G94=0, INDEX(LS_previous!$D$4:$AY$137, MATCH('Staging Table'!$A94, LS_previous!$B$4:$B$137, 0), MATCH(W$4&amp;W$5, LS_previous!$D$2:$AY$2&amp;LS_previous!$D$3:$AY$3, 0)),SUM(VLOOKUP($A94, LS_previous!$B$4:$AY$137, LS_previous!O$148, FALSE), VLOOKUP('Staging Table'!$A94, LS_previous!$B$4:$AY$137,LS_previous!AM$148, FALSE))/2)</f>
        <v>0</v>
      </c>
      <c r="X94" s="102">
        <f t="array" ref="X94">IF($G94=0, INDEX(LS_previous!$D$4:$AY$137, MATCH('Staging Table'!$A94, LS_previous!$B$4:$B$137, 0), MATCH(X$4&amp;X$5, LS_previous!$D$2:$AY$2&amp;LS_previous!$D$3:$AY$3, 0)),SUM(VLOOKUP($A94, LS_previous!$B$4:$AY$137, LS_previous!P$148, FALSE), VLOOKUP('Staging Table'!$A94, LS_previous!$B$4:$AY$137,LS_previous!AN$148, FALSE))/2)</f>
        <v>0</v>
      </c>
      <c r="Y94" s="102">
        <f t="array" ref="Y94">IF($G94=0, INDEX(LS_previous!$D$4:$AY$137, MATCH('Staging Table'!$A94, LS_previous!$B$4:$B$137, 0), MATCH(Y$4&amp;Y$5, LS_previous!$D$2:$AY$2&amp;LS_previous!$D$3:$AY$3, 0)),SUM(VLOOKUP($A94, LS_previous!$B$4:$AY$137, LS_previous!Q$148, FALSE), VLOOKUP('Staging Table'!$A94, LS_previous!$B$4:$AY$137,LS_previous!AO$148, FALSE))/2)</f>
        <v>0</v>
      </c>
      <c r="Z94" s="102">
        <f t="array" ref="Z94">IF($G94=0, INDEX(LS_previous!$D$4:$AY$137, MATCH('Staging Table'!$A94, LS_previous!$B$4:$B$137, 0), MATCH(Z$4&amp;Z$5, LS_previous!$D$2:$AY$2&amp;LS_previous!$D$3:$AY$3, 0)),SUM(VLOOKUP($A94, LS_previous!$B$4:$AY$137, LS_previous!R$148, FALSE), VLOOKUP('Staging Table'!$A94, LS_previous!$B$4:$AY$137,LS_previous!AP$148, FALSE))/2)</f>
        <v>0</v>
      </c>
      <c r="AA94" s="102">
        <f t="array" ref="AA94">IF($G94=0, INDEX(LS_previous!$D$4:$AY$137, MATCH('Staging Table'!$A94, LS_previous!$B$4:$B$137, 0), MATCH(AA$4&amp;AA$5, LS_previous!$D$2:$AY$2&amp;LS_previous!$D$3:$AY$3, 0)),SUM(VLOOKUP($A94, LS_previous!$B$4:$AY$137, LS_previous!S$148, FALSE), VLOOKUP('Staging Table'!$A94, LS_previous!$B$4:$AY$137,LS_previous!AQ$148, FALSE))/2)</f>
        <v>0</v>
      </c>
      <c r="AB94" s="102">
        <f t="array" ref="AB94">IF($G94=0, INDEX(LS_previous!$D$4:$AY$137, MATCH('Staging Table'!$A94, LS_previous!$B$4:$B$137, 0), MATCH(AB$4&amp;AB$5, LS_previous!$D$2:$AY$2&amp;LS_previous!$D$3:$AY$3, 0)),SUM(VLOOKUP($A94, LS_previous!$B$4:$AY$137, LS_previous!T$148, FALSE), VLOOKUP('Staging Table'!$A94, LS_previous!$B$4:$AY$137,LS_previous!AR$148, FALSE))/2)</f>
        <v>0</v>
      </c>
      <c r="AC94" s="102">
        <f t="array" ref="AC94">IF($G94=0, INDEX(LS_previous!$D$4:$AY$137, MATCH('Staging Table'!$A94, LS_previous!$B$4:$B$137, 0), MATCH(AC$4&amp;AC$5, LS_previous!$D$2:$AY$2&amp;LS_previous!$D$3:$AY$3, 0)),SUM(VLOOKUP($A94, LS_previous!$B$4:$AY$137, LS_previous!U$148, FALSE), VLOOKUP('Staging Table'!$A94, LS_previous!$B$4:$AY$137,LS_previous!AS$148, FALSE))/2)</f>
        <v>0</v>
      </c>
      <c r="AD94" s="102">
        <f t="array" ref="AD94">IF($G94=0, INDEX(LS_previous!$D$4:$AY$137, MATCH('Staging Table'!$A94, LS_previous!$B$4:$B$137, 0), MATCH(AD$4&amp;AD$5, LS_previous!$D$2:$AY$2&amp;LS_previous!$D$3:$AY$3, 0)),SUM(VLOOKUP($A94, LS_previous!$B$4:$AY$137, LS_previous!V$148, FALSE), VLOOKUP('Staging Table'!$A94, LS_previous!$B$4:$AY$137,LS_previous!AT$148, FALSE))/2)</f>
        <v>0</v>
      </c>
      <c r="AE94" s="102">
        <f t="array" ref="AE94">IF($G94=0, INDEX(LS_previous!$D$4:$AY$137, MATCH('Staging Table'!$A94, LS_previous!$B$4:$B$137, 0), MATCH(AE$4&amp;AE$5, LS_previous!$D$2:$AY$2&amp;LS_previous!$D$3:$AY$3, 0)),SUM(VLOOKUP($A94, LS_previous!$B$4:$AY$137, LS_previous!W$148, FALSE), VLOOKUP('Staging Table'!$A94, LS_previous!$B$4:$AY$137,LS_previous!AU$148, FALSE))/2)</f>
        <v>0</v>
      </c>
      <c r="AF94" s="102">
        <f t="array" ref="AF94">IF($G94=0, INDEX(LS_previous!$D$4:$AY$137, MATCH('Staging Table'!$A94, LS_previous!$B$4:$B$137, 0), MATCH(AF$4&amp;AF$5, LS_previous!$D$2:$AY$2&amp;LS_previous!$D$3:$AY$3, 0)),SUM(VLOOKUP($A94, LS_previous!$B$4:$AY$137, LS_previous!X$148, FALSE), VLOOKUP('Staging Table'!$A94, LS_previous!$B$4:$AY$137,LS_previous!AV$148, FALSE))/2)</f>
        <v>0</v>
      </c>
      <c r="AG94" s="102">
        <f t="array" ref="AG94">IF($G94=0, INDEX(LS_previous!$D$4:$AY$137, MATCH('Staging Table'!$A94, LS_previous!$B$4:$B$137, 0), MATCH(AG$4&amp;AG$5, LS_previous!$D$2:$AY$2&amp;LS_previous!$D$3:$AY$3, 0)),SUM(VLOOKUP($A94, LS_previous!$B$4:$AY$137, LS_previous!Y$148, FALSE), VLOOKUP('Staging Table'!$A94, LS_previous!$B$4:$AY$137,LS_previous!AW$148, FALSE))/2)</f>
        <v>0</v>
      </c>
      <c r="AH94" s="102">
        <f t="array" ref="AH94">IF($G94=0, INDEX(LS_previous!$D$4:$AY$137, MATCH('Staging Table'!$A94, LS_previous!$B$4:$B$137, 0), MATCH(AH$4&amp;AH$5, LS_previous!$D$2:$AY$2&amp;LS_previous!$D$3:$AY$3, 0)),SUM(VLOOKUP($A94, LS_previous!$B$4:$AY$137, LS_previous!Z$148, FALSE), VLOOKUP('Staging Table'!$A94, LS_previous!$B$4:$AY$137,LS_previous!AX$148, FALSE))/2)</f>
        <v>0</v>
      </c>
      <c r="AI94" s="102">
        <f t="array" ref="AI94">IF($G94=0, INDEX(LS_previous!$D$4:$AY$137, MATCH('Staging Table'!$A94, LS_previous!$B$4:$B$137, 0), MATCH(AI$4&amp;AI$5, LS_previous!$D$2:$AY$2&amp;LS_previous!$D$3:$AY$3, 0)),SUM(VLOOKUP($A94, LS_previous!$B$4:$AY$137, LS_previous!AA$148, FALSE), VLOOKUP('Staging Table'!$A94, LS_previous!$B$4:$AY$137,LS_previous!AY$148, FALSE))/2)</f>
        <v>0</v>
      </c>
      <c r="AJ94" s="103">
        <f t="array" ref="AJ94">INDEX(Demand_previous!$D$4:$AY$137, MATCH('Staging Table'!$A94, Demand_previous!$B$4:$B$137, 0), MATCH(AJ$4&amp;AJ$5,Demand_previous!$D$2:$AY$2&amp;Demand_previous!$D$3:$AY$3, 0))/1000</f>
        <v>0</v>
      </c>
      <c r="AK94" s="103">
        <f t="array" ref="AK94">INDEX(Demand_previous!$D$4:$AY$137, MATCH('Staging Table'!$A94, Demand_previous!$B$4:$B$137, 0), MATCH(AK$4&amp;AK$5,Demand_previous!$D$2:$AY$2&amp;Demand_previous!$D$3:$AY$3, 0))/1000</f>
        <v>0</v>
      </c>
      <c r="AL94" s="103">
        <f t="array" ref="AL94">INDEX(Demand_previous!$D$4:$AY$137, MATCH('Staging Table'!$A94, Demand_previous!$B$4:$B$137, 0), MATCH(AL$4&amp;AL$5,Demand_previous!$D$2:$AY$2&amp;Demand_previous!$D$3:$AY$3, 0))/1000</f>
        <v>0</v>
      </c>
      <c r="AM94" s="103">
        <f t="array" ref="AM94">INDEX(Demand_previous!$D$4:$AY$137, MATCH('Staging Table'!$A94, Demand_previous!$B$4:$B$137, 0), MATCH(AM$4&amp;AM$5,Demand_previous!$D$2:$AY$2&amp;Demand_previous!$D$3:$AY$3, 0))/1000</f>
        <v>0</v>
      </c>
      <c r="AN94" s="103">
        <f t="array" ref="AN94">INDEX(Demand_previous!$D$4:$AY$137, MATCH('Staging Table'!$A94, Demand_previous!$B$4:$B$137, 0), MATCH(AN$4&amp;AN$5,Demand_previous!$D$2:$AY$2&amp;Demand_previous!$D$3:$AY$3, 0))/1000</f>
        <v>0</v>
      </c>
      <c r="AO94" s="103">
        <f t="array" ref="AO94">INDEX(Demand_previous!$D$4:$AY$137, MATCH('Staging Table'!$A94, Demand_previous!$B$4:$B$137, 0), MATCH(AO$4&amp;AO$5,Demand_previous!$D$2:$AY$2&amp;Demand_previous!$D$3:$AY$3, 0))/1000</f>
        <v>0</v>
      </c>
      <c r="AP94" s="103">
        <f t="array" ref="AP94">INDEX(Demand_previous!$D$4:$AY$137, MATCH('Staging Table'!$A94, Demand_previous!$B$4:$B$137, 0), MATCH(AP$4&amp;AP$5,Demand_previous!$D$2:$AY$2&amp;Demand_previous!$D$3:$AY$3, 0))/1000</f>
        <v>0</v>
      </c>
      <c r="AQ94" s="103">
        <f t="array" ref="AQ94">INDEX(Demand_previous!$D$4:$AY$137, MATCH('Staging Table'!$A94, Demand_previous!$B$4:$B$137, 0), MATCH(AQ$4&amp;AQ$5,Demand_previous!$D$2:$AY$2&amp;Demand_previous!$D$3:$AY$3, 0))/1000</f>
        <v>0</v>
      </c>
      <c r="AR94" s="103">
        <f t="array" ref="AR94">INDEX(Demand_previous!$D$4:$AY$137, MATCH('Staging Table'!$A94, Demand_previous!$B$4:$B$137, 0), MATCH(AR$4&amp;AR$5,Demand_previous!$D$2:$AY$2&amp;Demand_previous!$D$3:$AY$3, 0))/1000</f>
        <v>0</v>
      </c>
      <c r="AS94" s="103">
        <f t="array" ref="AS94">INDEX(Demand_previous!$D$4:$AY$137, MATCH('Staging Table'!$A94, Demand_previous!$B$4:$B$137, 0), MATCH(AS$4&amp;AS$5,Demand_previous!$D$2:$AY$2&amp;Demand_previous!$D$3:$AY$3, 0))/1000</f>
        <v>0</v>
      </c>
      <c r="AT94" s="103">
        <f t="array" ref="AT94">INDEX(Demand_previous!$D$4:$AY$137, MATCH('Staging Table'!$A94, Demand_previous!$B$4:$B$137, 0), MATCH(AT$4&amp;AT$5,Demand_previous!$D$2:$AY$2&amp;Demand_previous!$D$3:$AY$3, 0))/1000</f>
        <v>0</v>
      </c>
      <c r="AU94" s="103">
        <f t="array" ref="AU94">INDEX(Demand_previous!$D$4:$AY$137, MATCH('Staging Table'!$A94, Demand_previous!$B$4:$B$137, 0), MATCH(AU$4&amp;AU$5,Demand_previous!$D$2:$AY$2&amp;Demand_previous!$D$3:$AY$3, 0))/1000</f>
        <v>0</v>
      </c>
      <c r="AV94" s="102">
        <f>$F94*(VLOOKUP(AV$4, Rates_previous!$G$6:$Q$29, 10, FALSE)+VLOOKUP(AV$4, Rates_previous!$G$6:$Q$29, 11, FALSE))</f>
        <v>3987.6133153698001</v>
      </c>
      <c r="AW94" s="102">
        <f>$F94*(VLOOKUP(AW$4, Rates_previous!$G$6:$Q$29, 10, FALSE)+VLOOKUP(AW$4, Rates_previous!$G$6:$Q$29, 11, FALSE))</f>
        <v>5085.5219044468004</v>
      </c>
      <c r="AX94" s="102">
        <f>$F94*(VLOOKUP(AX$4, Rates_previous!$G$6:$Q$29, 10, FALSE)+VLOOKUP(AX$4, Rates_previous!$G$6:$Q$29, 11, FALSE))</f>
        <v>5488.2843619620007</v>
      </c>
      <c r="AY94" s="102">
        <f>$F94*(VLOOKUP(AY$4, Rates_previous!$G$6:$Q$29, 10, FALSE)+VLOOKUP(AY$4, Rates_previous!$G$6:$Q$29, 11, FALSE))</f>
        <v>5703.1758740287996</v>
      </c>
      <c r="AZ94" s="102">
        <f>$F94*(VLOOKUP(AZ$4, Rates_previous!$G$6:$Q$29, 10, FALSE)+VLOOKUP(AZ$4, Rates_previous!$G$6:$Q$29, 11, FALSE))</f>
        <v>4905.4914364775996</v>
      </c>
      <c r="BA94" s="102">
        <f>$F94*(VLOOKUP(BA$4, Rates_previous!$G$6:$Q$29, 10, FALSE)+VLOOKUP(BA$4, Rates_previous!$G$6:$Q$29, 11, FALSE))</f>
        <v>5355.8254101732</v>
      </c>
      <c r="BB94" s="102">
        <f>$F94*(VLOOKUP(BB$4, Rates_previous!$G$6:$Q$29, 10, FALSE)+VLOOKUP(BB$4, Rates_previous!$G$6:$Q$29, 11, FALSE))</f>
        <v>4227.5215953390998</v>
      </c>
      <c r="BC94" s="102">
        <f>$F94*(VLOOKUP(BC$4, Rates_previous!$G$6:$Q$29, 10, FALSE)+VLOOKUP(BC$4, Rates_previous!$G$6:$Q$29, 11, FALSE))</f>
        <v>5244.8070533438004</v>
      </c>
      <c r="BD94" s="102">
        <f>$F94*(VLOOKUP(BD$4, Rates_previous!$G$6:$Q$29, 10, FALSE)+VLOOKUP(BD$4, Rates_previous!$G$6:$Q$29, 11, FALSE))</f>
        <v>5358.6062731685997</v>
      </c>
      <c r="BE94" s="102">
        <f>$F94*(VLOOKUP(BE$4, Rates_previous!$G$6:$Q$29, 10, FALSE)+VLOOKUP(BE$4, Rates_previous!$G$6:$Q$29, 11, FALSE))</f>
        <v>4652.0422508457996</v>
      </c>
      <c r="BF94" s="102">
        <f>$F94*(VLOOKUP(BF$4, Rates_previous!$G$6:$Q$29, 10, FALSE)+VLOOKUP(BF$4, Rates_previous!$G$6:$Q$29, 11, FALSE))</f>
        <v>4497.2883031760202</v>
      </c>
      <c r="BG94" s="102">
        <f>$F94*(VLOOKUP(BG$4, Rates_previous!$G$6:$Q$29, 10, FALSE)+VLOOKUP(BG$4, Rates_previous!$G$6:$Q$29, 11, FALSE))</f>
        <v>4138.3761336856005</v>
      </c>
      <c r="BH94" s="103">
        <f>IF($D94=0,IF(C94=0, MAX(BJ94 - (VLOOKUP($A94,TOCA_previous!$A$2:$AJ$136,MATCH("RHWM "&amp;Init!$D$1-2,TOCA_previous!$A$2:$AJ$2,0),FALSE)*$F$2*TOCA_previous!C91),0),0), 0)</f>
        <v>0</v>
      </c>
      <c r="BI94" s="109">
        <f>MIN(VLOOKUP($A94,TOCA_previous!$A$2:$AJ$136,MATCH("TRL - NLSL - Existing Resource "&amp;$F$1,TOCA_previous!$A$2:$AJ$2,0),FALSE)*$F$2,(VLOOKUP($A94,TOCA_previous!$A$2:$AJ$136,MATCH("RHWM "&amp;Init!$D$1-2,TOCA_previous!$A$2:$AJ$2,0),FALSE)*$F$2))</f>
        <v>57350.735999999997</v>
      </c>
      <c r="BJ94" s="261">
        <f>SUM(L94:AI94)+(F94*RT1SC!$C$3*$F$2)</f>
        <v>58644.554180831998</v>
      </c>
      <c r="BK94" s="260">
        <f>VLOOKUP($A94,TOCA_previous!$A$2:$AJ$136,MATCH("Above RHWM Not Served with LS "&amp;$F$1,TOCA_previous!$A$2:$AJ$2,0),FALSE)*$F$2</f>
        <v>11015.136000000004</v>
      </c>
      <c r="BL94" s="261">
        <f t="shared" si="36"/>
        <v>1293.8181808320005</v>
      </c>
      <c r="BM94" s="260">
        <f>(VLOOKUP($A94,TOCA_previous!$A$2:$AJ$136,MATCH("RHWM "&amp;Init!$D$1-2,TOCA_previous!$A$2:$AJ$2,0),FALSE)*$F$2) - $BI94</f>
        <v>0</v>
      </c>
      <c r="BN94" s="261">
        <f t="shared" si="37"/>
        <v>0</v>
      </c>
      <c r="BO94" s="260">
        <f t="shared" si="38"/>
        <v>0</v>
      </c>
      <c r="BP94" s="261">
        <f t="shared" si="39"/>
        <v>0</v>
      </c>
      <c r="BQ94" s="260">
        <f t="shared" si="9"/>
        <v>0</v>
      </c>
      <c r="BR94" s="85">
        <f>VLOOKUP($A94,TOCA_current!$A$2:$ZZ$136,MATCH(BR$4,TOCA_current!$A$2:$ZZ$2,0),FALSE)</f>
        <v>9.2349999999999995E-4</v>
      </c>
      <c r="BS94" s="85">
        <f>VLOOKUP($A94,TOCA_current!$A$2:$ZZ$136,MATCH(BS$4,TOCA_current!$A$2:$ZZ$2,0),FALSE)</f>
        <v>9.2349999999999995E-4</v>
      </c>
      <c r="BT94" s="108">
        <f t="shared" si="40"/>
        <v>0</v>
      </c>
      <c r="BU94" s="85">
        <f>VLOOKUP($A94,TOCA_current!A91:BG225,MATCH(BU$4,TOCA_current!$A$2:$BG$2,0),FALSE)</f>
        <v>8.0571885470606147E-2</v>
      </c>
      <c r="BV94" s="85">
        <f t="shared" si="41"/>
        <v>8.0571885470606147E-2</v>
      </c>
      <c r="BW94" s="85">
        <f t="shared" si="42"/>
        <v>9.2349999999999995E-4</v>
      </c>
      <c r="BX94" s="101">
        <f>VLOOKUP($A94,IRD!$A$4:$G$138, 7, FALSE)</f>
        <v>0</v>
      </c>
      <c r="BY94" s="102">
        <f t="array" ref="BY94">IF($BT94=0, INDEX(LS_current!$D$4:$BW$137, MATCH('Staging Table'!$A94, LS_current!$B$4:$B$137, 0), MATCH(BY$4&amp;BY$5, LS_current!$D$2:$BW$2&amp;LS_current!$D$3:$BW$3, 0)),SUM(VLOOKUP($A94, LS_current!$B$4:$BW$137, LS_current!D$147, FALSE), VLOOKUP($A94, LS_current!$B$4:$BW$137,LS_current!AZ$147, FALSE))/2)</f>
        <v>0</v>
      </c>
      <c r="BZ94" s="102">
        <f t="array" ref="BZ94">IF($BT94=0, INDEX(LS_current!$D$4:$BW$137, MATCH('Staging Table'!$A94, LS_current!$B$4:$B$137, 0), MATCH(BZ$4&amp;BZ$5, LS_current!$D$2:$BW$2&amp;LS_current!$D$3:$BW$3, 0)),SUM(VLOOKUP($A94, LS_current!$B$4:$BW$137, LS_current!E$147, FALSE), VLOOKUP($A94, LS_current!$B$4:$BW$137,LS_current!BA$147, FALSE))/2)</f>
        <v>0</v>
      </c>
      <c r="CA94" s="102">
        <f t="array" ref="CA94">IF($BT94=0, INDEX(LS_current!$D$4:$BW$137, MATCH('Staging Table'!$A94, LS_current!$B$4:$B$137, 0), MATCH(CA$4&amp;CA$5, LS_current!$D$2:$BW$2&amp;LS_current!$D$3:$BW$3, 0)),SUM(VLOOKUP($A94, LS_current!$B$4:$BW$137, LS_current!F$147, FALSE), VLOOKUP($A94, LS_current!$B$4:$BW$137,LS_current!BB$147, FALSE))/2)</f>
        <v>0</v>
      </c>
      <c r="CB94" s="102">
        <f t="array" ref="CB94">IF($BT94=0, INDEX(LS_current!$D$4:$BW$137, MATCH('Staging Table'!$A94, LS_current!$B$4:$B$137, 0), MATCH(CB$4&amp;CB$5, LS_current!$D$2:$BW$2&amp;LS_current!$D$3:$BW$3, 0)),SUM(VLOOKUP($A94, LS_current!$B$4:$BW$137, LS_current!G$147, FALSE), VLOOKUP($A94, LS_current!$B$4:$BW$137,LS_current!BC$147, FALSE))/2)</f>
        <v>0</v>
      </c>
      <c r="CC94" s="102">
        <f t="array" ref="CC94">IF($BT94=0, INDEX(LS_current!$D$4:$BW$137, MATCH('Staging Table'!$A94, LS_current!$B$4:$B$137, 0), MATCH(CC$4&amp;CC$5, LS_current!$D$2:$BW$2&amp;LS_current!$D$3:$BW$3, 0)),SUM(VLOOKUP($A94, LS_current!$B$4:$BW$137, LS_current!H$147, FALSE), VLOOKUP($A94, LS_current!$B$4:$BW$137,LS_current!BD$147, FALSE))/2)</f>
        <v>0</v>
      </c>
      <c r="CD94" s="102">
        <f t="array" ref="CD94">IF($BT94=0, INDEX(LS_current!$D$4:$BW$137, MATCH('Staging Table'!$A94, LS_current!$B$4:$B$137, 0), MATCH(CD$4&amp;CD$5, LS_current!$D$2:$BW$2&amp;LS_current!$D$3:$BW$3, 0)),SUM(VLOOKUP($A94, LS_current!$B$4:$BW$137, LS_current!I$147, FALSE), VLOOKUP($A94, LS_current!$B$4:$BW$137,LS_current!BE$147, FALSE))/2)</f>
        <v>0</v>
      </c>
      <c r="CE94" s="102">
        <f t="array" ref="CE94">IF($BT94=0, INDEX(LS_current!$D$4:$BW$137, MATCH('Staging Table'!$A94, LS_current!$B$4:$B$137, 0), MATCH(CE$4&amp;CE$5, LS_current!$D$2:$BW$2&amp;LS_current!$D$3:$BW$3, 0)),SUM(VLOOKUP($A94, LS_current!$B$4:$BW$137, LS_current!J$147, FALSE), VLOOKUP($A94, LS_current!$B$4:$BW$137,LS_current!BF$147, FALSE))/2)</f>
        <v>0</v>
      </c>
      <c r="CF94" s="102">
        <f t="array" ref="CF94">IF($BT94=0, INDEX(LS_current!$D$4:$BW$137, MATCH('Staging Table'!$A94, LS_current!$B$4:$B$137, 0), MATCH(CF$4&amp;CF$5, LS_current!$D$2:$BW$2&amp;LS_current!$D$3:$BW$3, 0)),SUM(VLOOKUP($A94, LS_current!$B$4:$BW$137, LS_current!K$147, FALSE), VLOOKUP($A94, LS_current!$B$4:$BW$137,LS_current!BG$147, FALSE))/2)</f>
        <v>0</v>
      </c>
      <c r="CG94" s="102">
        <f t="array" ref="CG94">IF($BT94=0, INDEX(LS_current!$D$4:$BW$137, MATCH('Staging Table'!$A94, LS_current!$B$4:$B$137, 0), MATCH(CG$4&amp;CG$5, LS_current!$D$2:$BW$2&amp;LS_current!$D$3:$BW$3, 0)),SUM(VLOOKUP($A94, LS_current!$B$4:$BW$137, LS_current!L$147, FALSE), VLOOKUP($A94, LS_current!$B$4:$BW$137,LS_current!BH$147, FALSE))/2)</f>
        <v>0</v>
      </c>
      <c r="CH94" s="102">
        <f t="array" ref="CH94">IF($BT94=0, INDEX(LS_current!$D$4:$BW$137, MATCH('Staging Table'!$A94, LS_current!$B$4:$B$137, 0), MATCH(CH$4&amp;CH$5, LS_current!$D$2:$BW$2&amp;LS_current!$D$3:$BW$3, 0)),SUM(VLOOKUP($A94, LS_current!$B$4:$BW$137, LS_current!M$147, FALSE), VLOOKUP($A94, LS_current!$B$4:$BW$137,LS_current!BI$147, FALSE))/2)</f>
        <v>0</v>
      </c>
      <c r="CI94" s="102">
        <f t="array" ref="CI94">IF($BT94=0, INDEX(LS_current!$D$4:$BW$137, MATCH('Staging Table'!$A94, LS_current!$B$4:$B$137, 0), MATCH(CI$4&amp;CI$5, LS_current!$D$2:$BW$2&amp;LS_current!$D$3:$BW$3, 0)),SUM(VLOOKUP($A94, LS_current!$B$4:$BW$137, LS_current!N$147, FALSE), VLOOKUP($A94, LS_current!$B$4:$BW$137,LS_current!BJ$147, FALSE))/2)</f>
        <v>0</v>
      </c>
      <c r="CJ94" s="102">
        <f t="array" ref="CJ94">IF($BT94=0, INDEX(LS_current!$D$4:$BW$137, MATCH('Staging Table'!$A94, LS_current!$B$4:$B$137, 0), MATCH(CJ$4&amp;CJ$5, LS_current!$D$2:$BW$2&amp;LS_current!$D$3:$BW$3, 0)),SUM(VLOOKUP($A94, LS_current!$B$4:$BW$137, LS_current!O$147, FALSE), VLOOKUP($A94, LS_current!$B$4:$BW$137,LS_current!BK$147, FALSE))/2)</f>
        <v>0</v>
      </c>
      <c r="CK94" s="102">
        <f t="array" ref="CK94">IF($BT94=0, INDEX(LS_current!$D$4:$BW$137, MATCH('Staging Table'!$A94, LS_current!$B$4:$B$137, 0), MATCH(CK$4&amp;CK$5, LS_current!$D$2:$BW$2&amp;LS_current!$D$3:$BW$3, 0)),SUM(VLOOKUP($A94, LS_current!$B$4:$BW$137, LS_current!P$147, FALSE), VLOOKUP($A94, LS_current!$B$4:$BW$137,LS_current!BL$147, FALSE))/2)</f>
        <v>0</v>
      </c>
      <c r="CL94" s="102">
        <f t="array" ref="CL94">IF($BT94=0, INDEX(LS_current!$D$4:$BW$137, MATCH('Staging Table'!$A94, LS_current!$B$4:$B$137, 0), MATCH(CL$4&amp;CL$5, LS_current!$D$2:$BW$2&amp;LS_current!$D$3:$BW$3, 0)),SUM(VLOOKUP($A94, LS_current!$B$4:$BW$137, LS_current!Q$147, FALSE), VLOOKUP($A94, LS_current!$B$4:$BW$137,LS_current!BM$147, FALSE))/2)</f>
        <v>0</v>
      </c>
      <c r="CM94" s="102">
        <f t="array" ref="CM94">IF($BT94=0, INDEX(LS_current!$D$4:$BW$137, MATCH('Staging Table'!$A94, LS_current!$B$4:$B$137, 0), MATCH(CM$4&amp;CM$5, LS_current!$D$2:$BW$2&amp;LS_current!$D$3:$BW$3, 0)),SUM(VLOOKUP($A94, LS_current!$B$4:$BW$137, LS_current!R$147, FALSE), VLOOKUP($A94, LS_current!$B$4:$BW$137,LS_current!BN$147, FALSE))/2)</f>
        <v>0</v>
      </c>
      <c r="CN94" s="102">
        <f t="array" ref="CN94">IF($BT94=0, INDEX(LS_current!$D$4:$BW$137, MATCH('Staging Table'!$A94, LS_current!$B$4:$B$137, 0), MATCH(CN$4&amp;CN$5, LS_current!$D$2:$BW$2&amp;LS_current!$D$3:$BW$3, 0)),SUM(VLOOKUP($A94, LS_current!$B$4:$BW$137, LS_current!S$147, FALSE), VLOOKUP($A94, LS_current!$B$4:$BW$137,LS_current!BO$147, FALSE))/2)</f>
        <v>0</v>
      </c>
      <c r="CO94" s="102">
        <f t="array" ref="CO94">IF($BT94=0, INDEX(LS_current!$D$4:$BW$137, MATCH('Staging Table'!$A94, LS_current!$B$4:$B$137, 0), MATCH(CO$4&amp;CO$5, LS_current!$D$2:$BW$2&amp;LS_current!$D$3:$BW$3, 0)),SUM(VLOOKUP($A94, LS_current!$B$4:$BW$137, LS_current!T$147, FALSE), VLOOKUP($A94, LS_current!$B$4:$BW$137,LS_current!BP$147, FALSE))/2)</f>
        <v>0</v>
      </c>
      <c r="CP94" s="102">
        <f t="array" ref="CP94">IF($BT94=0, INDEX(LS_current!$D$4:$BW$137, MATCH('Staging Table'!$A94, LS_current!$B$4:$B$137, 0), MATCH(CP$4&amp;CP$5, LS_current!$D$2:$BW$2&amp;LS_current!$D$3:$BW$3, 0)),SUM(VLOOKUP($A94, LS_current!$B$4:$BW$137, LS_current!U$147, FALSE), VLOOKUP($A94, LS_current!$B$4:$BW$137,LS_current!BQ$147, FALSE))/2)</f>
        <v>0</v>
      </c>
      <c r="CQ94" s="102">
        <f t="array" ref="CQ94">IF($BT94=0, INDEX(LS_current!$D$4:$BW$137, MATCH('Staging Table'!$A94, LS_current!$B$4:$B$137, 0), MATCH(CQ$4&amp;CQ$5, LS_current!$D$2:$BW$2&amp;LS_current!$D$3:$BW$3, 0)),SUM(VLOOKUP($A94, LS_current!$B$4:$BW$137, LS_current!V$147, FALSE), VLOOKUP($A94, LS_current!$B$4:$BW$137,LS_current!BR$147, FALSE))/2)</f>
        <v>0</v>
      </c>
      <c r="CR94" s="102">
        <f t="array" ref="CR94">IF($BT94=0, INDEX(LS_current!$D$4:$BW$137, MATCH('Staging Table'!$A94, LS_current!$B$4:$B$137, 0), MATCH(CR$4&amp;CR$5, LS_current!$D$2:$BW$2&amp;LS_current!$D$3:$BW$3, 0)),SUM(VLOOKUP($A94, LS_current!$B$4:$BW$137, LS_current!W$147, FALSE), VLOOKUP($A94, LS_current!$B$4:$BW$137,LS_current!BS$147, FALSE))/2)</f>
        <v>0</v>
      </c>
      <c r="CS94" s="102">
        <f t="array" ref="CS94">IF($BT94=0, INDEX(LS_current!$D$4:$BW$137, MATCH('Staging Table'!$A94, LS_current!$B$4:$B$137, 0), MATCH(CS$4&amp;CS$5, LS_current!$D$2:$BW$2&amp;LS_current!$D$3:$BW$3, 0)),SUM(VLOOKUP($A94, LS_current!$B$4:$BW$137, LS_current!X$147, FALSE), VLOOKUP($A94, LS_current!$B$4:$BW$137,LS_current!BT$147, FALSE))/2)</f>
        <v>0</v>
      </c>
      <c r="CT94" s="102">
        <f t="array" ref="CT94">IF($BT94=0, INDEX(LS_current!$D$4:$BW$137, MATCH('Staging Table'!$A94, LS_current!$B$4:$B$137, 0), MATCH(CT$4&amp;CT$5, LS_current!$D$2:$BW$2&amp;LS_current!$D$3:$BW$3, 0)),SUM(VLOOKUP($A94, LS_current!$B$4:$BW$137, LS_current!Y$147, FALSE), VLOOKUP($A94, LS_current!$B$4:$BW$137,LS_current!BU$147, FALSE))/2)</f>
        <v>0</v>
      </c>
      <c r="CU94" s="102">
        <f t="array" ref="CU94">IF($BT94=0, INDEX(LS_current!$D$4:$BW$137, MATCH('Staging Table'!$A94, LS_current!$B$4:$B$137, 0), MATCH(CU$4&amp;CU$5, LS_current!$D$2:$BW$2&amp;LS_current!$D$3:$BW$3, 0)),SUM(VLOOKUP($A94, LS_current!$B$4:$BW$137, LS_current!Z$147, FALSE), VLOOKUP($A94, LS_current!$B$4:$BW$137,LS_current!BV$147, FALSE))/2)</f>
        <v>0</v>
      </c>
      <c r="CV94" s="102">
        <f t="array" ref="CV94">IF($BT94=0, INDEX(LS_current!$D$4:$BW$137, MATCH('Staging Table'!$A94, LS_current!$B$4:$B$137, 0), MATCH(CV$4&amp;CV$5, LS_current!$D$2:$BW$2&amp;LS_current!$D$3:$BW$3, 0)),SUM(VLOOKUP($A94, LS_current!$B$4:$BW$137, LS_current!AA$147, FALSE), VLOOKUP($A94, LS_current!$B$4:$BW$137,LS_current!BW$147, FALSE))/2)</f>
        <v>0</v>
      </c>
      <c r="CW94" s="103">
        <f t="array" ref="CW94">INDEX(Demand_current!$D$4:$BW$137, MATCH($A94, Demand_current!$B$4:$B$137, 0), MATCH(CW$4&amp;CW$5,Demand_current!$D$2:$BW$2&amp;Demand_current!$D$3:$BW$3, 0))/1000</f>
        <v>0</v>
      </c>
      <c r="CX94" s="103">
        <f t="array" ref="CX94">INDEX(Demand_current!$D$4:$BW$137, MATCH($A94, Demand_current!$B$4:$B$137, 0), MATCH(CX$4&amp;CX$5,Demand_current!$D$2:$BW$2&amp;Demand_current!$D$3:$BW$3, 0))/1000</f>
        <v>0</v>
      </c>
      <c r="CY94" s="103">
        <f t="array" ref="CY94">INDEX(Demand_current!$D$4:$BW$137, MATCH($A94, Demand_current!$B$4:$B$137, 0), MATCH(CY$4&amp;CY$5,Demand_current!$D$2:$BW$2&amp;Demand_current!$D$3:$BW$3, 0))/1000</f>
        <v>0</v>
      </c>
      <c r="CZ94" s="103">
        <f t="array" ref="CZ94">INDEX(Demand_current!$D$4:$BW$137, MATCH($A94, Demand_current!$B$4:$B$137, 0), MATCH(CZ$4&amp;CZ$5,Demand_current!$D$2:$BW$2&amp;Demand_current!$D$3:$BW$3, 0))/1000</f>
        <v>0</v>
      </c>
      <c r="DA94" s="103">
        <f t="array" ref="DA94">INDEX(Demand_current!$D$4:$BW$137, MATCH($A94, Demand_current!$B$4:$B$137, 0), MATCH(DA$4&amp;DA$5,Demand_current!$D$2:$BW$2&amp;Demand_current!$D$3:$BW$3, 0))/1000</f>
        <v>0</v>
      </c>
      <c r="DB94" s="103">
        <f t="array" ref="DB94">INDEX(Demand_current!$D$4:$BW$137, MATCH($A94, Demand_current!$B$4:$B$137, 0), MATCH(DB$4&amp;DB$5,Demand_current!$D$2:$BW$2&amp;Demand_current!$D$3:$BW$3, 0))/1000</f>
        <v>0</v>
      </c>
      <c r="DC94" s="103">
        <f t="array" ref="DC94">INDEX(Demand_current!$D$4:$BW$137, MATCH($A94, Demand_current!$B$4:$B$137, 0), MATCH(DC$4&amp;DC$5,Demand_current!$D$2:$BW$2&amp;Demand_current!$D$3:$BW$3, 0))/1000</f>
        <v>0</v>
      </c>
      <c r="DD94" s="103">
        <f t="array" ref="DD94">INDEX(Demand_current!$D$4:$BW$137, MATCH($A94, Demand_current!$B$4:$B$137, 0), MATCH(DD$4&amp;DD$5,Demand_current!$D$2:$BW$2&amp;Demand_current!$D$3:$BW$3, 0))/1000</f>
        <v>0</v>
      </c>
      <c r="DE94" s="103">
        <f t="array" ref="DE94">INDEX(Demand_current!$D$4:$BW$137, MATCH($A94, Demand_current!$B$4:$B$137, 0), MATCH(DE$4&amp;DE$5,Demand_current!$D$2:$BW$2&amp;Demand_current!$D$3:$BW$3, 0))/1000</f>
        <v>0</v>
      </c>
      <c r="DF94" s="103">
        <f t="array" ref="DF94">INDEX(Demand_current!$D$4:$BW$137, MATCH($A94, Demand_current!$B$4:$B$137, 0), MATCH(DF$4&amp;DF$5,Demand_current!$D$2:$BW$2&amp;Demand_current!$D$3:$BW$3, 0))/1000</f>
        <v>0</v>
      </c>
      <c r="DG94" s="103">
        <f t="array" ref="DG94">INDEX(Demand_current!$D$4:$BW$137, MATCH($A94, Demand_current!$B$4:$B$137, 0), MATCH(DG$4&amp;DG$5,Demand_current!$D$2:$BW$2&amp;Demand_current!$D$3:$BW$3, 0))/1000</f>
        <v>0</v>
      </c>
      <c r="DH94" s="103">
        <f t="array" ref="DH94">INDEX(Demand_current!$D$4:$BW$137, MATCH($A94, Demand_current!$B$4:$B$137, 0), MATCH(DH$4&amp;DH$5,Demand_current!$D$2:$BW$2&amp;Demand_current!$D$3:$BW$3, 0))/1000</f>
        <v>0</v>
      </c>
      <c r="DI94" s="102">
        <f>$BS94*(VLOOKUP(DI$4, Rates_current!$H$6:$R$41, 10, FALSE)+VLOOKUP(DI$4, Rates_current!$H$6:$R$41, 11, FALSE))</f>
        <v>3832.7906066135852</v>
      </c>
      <c r="DJ94" s="102">
        <f>$BS94*(VLOOKUP(DJ$4, Rates_current!$H$6:$R$41, 10, FALSE)+VLOOKUP(DJ$4, Rates_current!$H$6:$R$41, 11, FALSE))</f>
        <v>4900.0966454444242</v>
      </c>
      <c r="DK94" s="102">
        <f>$BS94*(VLOOKUP(DK$4, Rates_current!$H$6:$R$41, 10, FALSE)+VLOOKUP(DK$4, Rates_current!$H$6:$R$41, 11, FALSE))</f>
        <v>5571.0000567150992</v>
      </c>
      <c r="DL94" s="102">
        <f>$BS94*(VLOOKUP(DL$4, Rates_current!$H$6:$R$41, 10, FALSE)+VLOOKUP(DL$4, Rates_current!$H$6:$R$41, 11, FALSE))</f>
        <v>5877.8399258890577</v>
      </c>
      <c r="DM94" s="102">
        <f>$BS94*(VLOOKUP(DM$4, Rates_current!$H$6:$R$41, 10, FALSE)+VLOOKUP(DM$4, Rates_current!$H$6:$R$41, 11, FALSE))</f>
        <v>4684.1079256031962</v>
      </c>
      <c r="DN94" s="102">
        <f>$BS94*(VLOOKUP(DN$4, Rates_current!$H$6:$R$41, 10, FALSE)+VLOOKUP(DN$4, Rates_current!$H$6:$R$41, 11, FALSE))</f>
        <v>5120.6918711659782</v>
      </c>
      <c r="DO94" s="102">
        <f>$BS94*(VLOOKUP(DO$4, Rates_current!$H$6:$R$41, 10, FALSE)+VLOOKUP(DO$4, Rates_current!$H$6:$R$41, 11, FALSE))</f>
        <v>3968.5877095620808</v>
      </c>
      <c r="DP94" s="102">
        <f>$BS94*(VLOOKUP(DP$4, Rates_current!$H$6:$R$41, 10, FALSE)+VLOOKUP(DP$4, Rates_current!$H$6:$R$41, 11, FALSE))</f>
        <v>5136.0059334647367</v>
      </c>
      <c r="DQ94" s="102">
        <f>$BS94*(VLOOKUP(DQ$4, Rates_current!$H$6:$R$41, 10, FALSE)+VLOOKUP(DQ$4, Rates_current!$H$6:$R$41, 11, FALSE))</f>
        <v>5245.6746110534614</v>
      </c>
      <c r="DR94" s="102">
        <f>$BS94*(VLOOKUP(DR$4, Rates_current!$H$6:$R$41, 10, FALSE)+VLOOKUP(DR$4, Rates_current!$H$6:$R$41, 11, FALSE))</f>
        <v>4669.1040746029976</v>
      </c>
      <c r="DS94" s="102">
        <f>$BS94*(VLOOKUP(DS$4, Rates_current!$H$6:$R$41, 10, FALSE)+VLOOKUP(DS$4, Rates_current!$H$6:$R$41, 11, FALSE))</f>
        <v>4789.6444948852595</v>
      </c>
      <c r="DT94" s="102">
        <f>$BS94*(VLOOKUP(DT$4, Rates_current!$H$6:$R$41, 10, FALSE)+VLOOKUP(DT$4, Rates_current!$H$6:$R$41, 11, FALSE))</f>
        <v>3719.7330926062732</v>
      </c>
      <c r="DU94" s="261">
        <f>IF(D94=0,IF(C94=0,MAX(0,DW94 - (VLOOKUP($A94,TOCA_current!$A$2:$AV$136,MATCH("RHWM "&amp;Init!$D$1,TOCA_current!$A$2:$AV$2,0),FALSE)*$BS$2)), 0),0)</f>
        <v>0</v>
      </c>
      <c r="DV94" s="262">
        <f>MIN(VLOOKUP($A94,TOCA_current!$A$2:$AV$136,MATCH("TRL - NLSL - Existing Resource "&amp;$BS$1,TOCA_current!$A$2:$AV$2,0),FALSE)*$BS$2, VLOOKUP($A94,TOCA_current!$A$2:$AV$136,MATCH("RHWM "&amp;Init!$D$1,TOCA_current!$A$2:$AV$2,0),FALSE)*$BS$2)</f>
        <v>57518.159999999996</v>
      </c>
      <c r="DW94" s="262">
        <f>SUM(BY94:CV94)+(BS94*RT1SC!$C$4*$BS$2)</f>
        <v>57515.280342720005</v>
      </c>
      <c r="DX94" s="262">
        <f>VLOOKUP($A94,TOCA_current!$A$2:$AV$136,MATCH("Above RHWM Not Served with LS "&amp;$BS$1,TOCA_current!$A$2:$AV$2,0),FALSE)*$BS$2</f>
        <v>13779.48</v>
      </c>
      <c r="DY94" s="262">
        <f t="shared" si="43"/>
        <v>-2.8796572799910791</v>
      </c>
      <c r="DZ94" s="262">
        <f>(VLOOKUP($A94,TOCA_current!$A$2:$AV$136,MATCH("RHWM "&amp;Init!$D$1,TOCA_current!$A$2:$AV$2,0),FALSE)*$BS$2) - $DV94</f>
        <v>0</v>
      </c>
      <c r="EA94" s="262">
        <f t="shared" si="44"/>
        <v>0</v>
      </c>
      <c r="EB94" s="262">
        <f t="shared" si="45"/>
        <v>0</v>
      </c>
      <c r="EC94" s="262">
        <f t="shared" si="46"/>
        <v>0</v>
      </c>
      <c r="ED94" s="262">
        <f t="shared" si="47"/>
        <v>0</v>
      </c>
    </row>
    <row r="95" spans="1:134">
      <c r="A95" s="2">
        <v>10286</v>
      </c>
      <c r="B95" s="3" t="s">
        <v>97</v>
      </c>
      <c r="C95">
        <f>VLOOKUP(A95, TOCA_current!$A$3:$D$136, 4, FALSE)</f>
        <v>0</v>
      </c>
      <c r="D95">
        <v>1</v>
      </c>
      <c r="E95" s="84">
        <f>VLOOKUP($A95,TOCA_previous!$A$2:$AJ$136,MATCH(E$4,TOCA_previous!$A$2:$AJ$2,0),FALSE)</f>
        <v>6.6465999999999999E-3</v>
      </c>
      <c r="F95" s="85">
        <f>VLOOKUP($A95,TOCA_previous!$A$2:$AJ$136,MATCH(F$4,TOCA_previous!$A$2:$AJ$2,0),FALSE)</f>
        <v>6.6465999999999999E-3</v>
      </c>
      <c r="G95" s="85">
        <f t="shared" si="33"/>
        <v>0</v>
      </c>
      <c r="H95" s="85">
        <f>VLOOKUP($A95,TOCA_previous!$A$2:$AJ$136,MATCH(H$4,TOCA_previous!$A$2:$AJ$2,0),FALSE)</f>
        <v>0</v>
      </c>
      <c r="I95" s="85">
        <f t="shared" si="34"/>
        <v>0</v>
      </c>
      <c r="J95" s="85">
        <f t="shared" si="35"/>
        <v>0</v>
      </c>
      <c r="K95" s="101">
        <f>VLOOKUP(A95, IRD!$A$5:$C$138, 3, FALSE)</f>
        <v>55408.151000000005</v>
      </c>
      <c r="L95" s="102">
        <f t="array" ref="L95">IF($G95=0, INDEX(LS_previous!$D$4:$AY$137, MATCH('Staging Table'!$A95, LS_previous!$B$4:$B$137, 0), MATCH(L$4&amp;L$5, LS_previous!$D$2:$AY$2&amp;LS_previous!$D$3:$AY$3, 0)),SUM(VLOOKUP($A95, LS_previous!$B$4:$AY$137, LS_previous!D$148, FALSE), VLOOKUP('Staging Table'!$A95, LS_previous!$B$4:$AY$137,LS_previous!AB$148, FALSE))/2)</f>
        <v>1666.5642191223815</v>
      </c>
      <c r="M95" s="102">
        <f t="array" ref="M95">IF($G95=0, INDEX(LS_previous!$D$4:$AY$137, MATCH('Staging Table'!$A95, LS_previous!$B$4:$B$137, 0), MATCH(M$4&amp;M$5, LS_previous!$D$2:$AY$2&amp;LS_previous!$D$3:$AY$3, 0)),SUM(VLOOKUP($A95, LS_previous!$B$4:$AY$137, LS_previous!E$148, FALSE), VLOOKUP('Staging Table'!$A95, LS_previous!$B$4:$AY$137,LS_previous!AC$148, FALSE))/2)</f>
        <v>1345.4659476917041</v>
      </c>
      <c r="N95" s="102">
        <f t="array" ref="N95">IF($G95=0, INDEX(LS_previous!$D$4:$AY$137, MATCH('Staging Table'!$A95, LS_previous!$B$4:$B$137, 0), MATCH(N$4&amp;N$5, LS_previous!$D$2:$AY$2&amp;LS_previous!$D$3:$AY$3, 0)),SUM(VLOOKUP($A95, LS_previous!$B$4:$AY$137, LS_previous!F$148, FALSE), VLOOKUP('Staging Table'!$A95, LS_previous!$B$4:$AY$137,LS_previous!AD$148, FALSE))/2)</f>
        <v>-888.37871588480266</v>
      </c>
      <c r="O95" s="102">
        <f t="array" ref="O95">IF($G95=0, INDEX(LS_previous!$D$4:$AY$137, MATCH('Staging Table'!$A95, LS_previous!$B$4:$B$137, 0), MATCH(O$4&amp;O$5, LS_previous!$D$2:$AY$2&amp;LS_previous!$D$3:$AY$3, 0)),SUM(VLOOKUP($A95, LS_previous!$B$4:$AY$137, LS_previous!G$148, FALSE), VLOOKUP('Staging Table'!$A95, LS_previous!$B$4:$AY$137,LS_previous!AE$148, FALSE))/2)</f>
        <v>-190.49040320458698</v>
      </c>
      <c r="P95" s="102">
        <f t="array" ref="P95">IF($G95=0, INDEX(LS_previous!$D$4:$AY$137, MATCH('Staging Table'!$A95, LS_previous!$B$4:$B$137, 0), MATCH(P$4&amp;P$5, LS_previous!$D$2:$AY$2&amp;LS_previous!$D$3:$AY$3, 0)),SUM(VLOOKUP($A95, LS_previous!$B$4:$AY$137, LS_previous!H$148, FALSE), VLOOKUP('Staging Table'!$A95, LS_previous!$B$4:$AY$137,LS_previous!AF$148, FALSE))/2)</f>
        <v>5395.0902807625971</v>
      </c>
      <c r="Q95" s="102">
        <f t="array" ref="Q95">IF($G95=0, INDEX(LS_previous!$D$4:$AY$137, MATCH('Staging Table'!$A95, LS_previous!$B$4:$B$137, 0), MATCH(Q$4&amp;Q$5, LS_previous!$D$2:$AY$2&amp;LS_previous!$D$3:$AY$3, 0)),SUM(VLOOKUP($A95, LS_previous!$B$4:$AY$137, LS_previous!I$148, FALSE), VLOOKUP('Staging Table'!$A95, LS_previous!$B$4:$AY$137,LS_previous!AG$148, FALSE))/2)</f>
        <v>4002.1481625664037</v>
      </c>
      <c r="R95" s="102">
        <f t="array" ref="R95">IF($G95=0, INDEX(LS_previous!$D$4:$AY$137, MATCH('Staging Table'!$A95, LS_previous!$B$4:$B$137, 0), MATCH(R$4&amp;R$5, LS_previous!$D$2:$AY$2&amp;LS_previous!$D$3:$AY$3, 0)),SUM(VLOOKUP($A95, LS_previous!$B$4:$AY$137, LS_previous!J$148, FALSE), VLOOKUP('Staging Table'!$A95, LS_previous!$B$4:$AY$137,LS_previous!AH$148, FALSE))/2)</f>
        <v>6868.3342534810181</v>
      </c>
      <c r="S95" s="102">
        <f t="array" ref="S95">IF($G95=0, INDEX(LS_previous!$D$4:$AY$137, MATCH('Staging Table'!$A95, LS_previous!$B$4:$B$137, 0), MATCH(S$4&amp;S$5, LS_previous!$D$2:$AY$2&amp;LS_previous!$D$3:$AY$3, 0)),SUM(VLOOKUP($A95, LS_previous!$B$4:$AY$137, LS_previous!K$148, FALSE), VLOOKUP('Staging Table'!$A95, LS_previous!$B$4:$AY$137,LS_previous!AI$148, FALSE))/2)</f>
        <v>5857.1843140485944</v>
      </c>
      <c r="T95" s="102">
        <f t="array" ref="T95">IF($G95=0, INDEX(LS_previous!$D$4:$AY$137, MATCH('Staging Table'!$A95, LS_previous!$B$4:$B$137, 0), MATCH(T$4&amp;T$5, LS_previous!$D$2:$AY$2&amp;LS_previous!$D$3:$AY$3, 0)),SUM(VLOOKUP($A95, LS_previous!$B$4:$AY$137, LS_previous!L$148, FALSE), VLOOKUP('Staging Table'!$A95, LS_previous!$B$4:$AY$137,LS_previous!AJ$148, FALSE))/2)</f>
        <v>4198.9355058385991</v>
      </c>
      <c r="U95" s="102">
        <f t="array" ref="U95">IF($G95=0, INDEX(LS_previous!$D$4:$AY$137, MATCH('Staging Table'!$A95, LS_previous!$B$4:$B$137, 0), MATCH(U$4&amp;U$5, LS_previous!$D$2:$AY$2&amp;LS_previous!$D$3:$AY$3, 0)),SUM(VLOOKUP($A95, LS_previous!$B$4:$AY$137, LS_previous!M$148, FALSE), VLOOKUP('Staging Table'!$A95, LS_previous!$B$4:$AY$137,LS_previous!AK$148, FALSE))/2)</f>
        <v>4860.369716110612</v>
      </c>
      <c r="V95" s="102">
        <f t="array" ref="V95">IF($G95=0, INDEX(LS_previous!$D$4:$AY$137, MATCH('Staging Table'!$A95, LS_previous!$B$4:$B$137, 0), MATCH(V$4&amp;V$5, LS_previous!$D$2:$AY$2&amp;LS_previous!$D$3:$AY$3, 0)),SUM(VLOOKUP($A95, LS_previous!$B$4:$AY$137, LS_previous!N$148, FALSE), VLOOKUP('Staging Table'!$A95, LS_previous!$B$4:$AY$137,LS_previous!AL$148, FALSE))/2)</f>
        <v>2960.4864043342168</v>
      </c>
      <c r="W95" s="102">
        <f t="array" ref="W95">IF($G95=0, INDEX(LS_previous!$D$4:$AY$137, MATCH('Staging Table'!$A95, LS_previous!$B$4:$B$137, 0), MATCH(W$4&amp;W$5, LS_previous!$D$2:$AY$2&amp;LS_previous!$D$3:$AY$3, 0)),SUM(VLOOKUP($A95, LS_previous!$B$4:$AY$137, LS_previous!O$148, FALSE), VLOOKUP('Staging Table'!$A95, LS_previous!$B$4:$AY$137,LS_previous!AM$148, FALSE))/2)</f>
        <v>2528.8101975452173</v>
      </c>
      <c r="X95" s="102">
        <f t="array" ref="X95">IF($G95=0, INDEX(LS_previous!$D$4:$AY$137, MATCH('Staging Table'!$A95, LS_previous!$B$4:$B$137, 0), MATCH(X$4&amp;X$5, LS_previous!$D$2:$AY$2&amp;LS_previous!$D$3:$AY$3, 0)),SUM(VLOOKUP($A95, LS_previous!$B$4:$AY$137, LS_previous!P$148, FALSE), VLOOKUP('Staging Table'!$A95, LS_previous!$B$4:$AY$137,LS_previous!AN$148, FALSE))/2)</f>
        <v>-914.93279153151161</v>
      </c>
      <c r="Y95" s="102">
        <f t="array" ref="Y95">IF($G95=0, INDEX(LS_previous!$D$4:$AY$137, MATCH('Staging Table'!$A95, LS_previous!$B$4:$B$137, 0), MATCH(Y$4&amp;Y$5, LS_previous!$D$2:$AY$2&amp;LS_previous!$D$3:$AY$3, 0)),SUM(VLOOKUP($A95, LS_previous!$B$4:$AY$137, LS_previous!Q$148, FALSE), VLOOKUP('Staging Table'!$A95, LS_previous!$B$4:$AY$137,LS_previous!AO$148, FALSE))/2)</f>
        <v>-179.75363326755178</v>
      </c>
      <c r="Z95" s="102">
        <f t="array" ref="Z95">IF($G95=0, INDEX(LS_previous!$D$4:$AY$137, MATCH('Staging Table'!$A95, LS_previous!$B$4:$B$137, 0), MATCH(Z$4&amp;Z$5, LS_previous!$D$2:$AY$2&amp;LS_previous!$D$3:$AY$3, 0)),SUM(VLOOKUP($A95, LS_previous!$B$4:$AY$137, LS_previous!R$148, FALSE), VLOOKUP('Staging Table'!$A95, LS_previous!$B$4:$AY$137,LS_previous!AP$148, FALSE))/2)</f>
        <v>-9102.8044699167876</v>
      </c>
      <c r="AA95" s="102">
        <f t="array" ref="AA95">IF($G95=0, INDEX(LS_previous!$D$4:$AY$137, MATCH('Staging Table'!$A95, LS_previous!$B$4:$B$137, 0), MATCH(AA$4&amp;AA$5, LS_previous!$D$2:$AY$2&amp;LS_previous!$D$3:$AY$3, 0)),SUM(VLOOKUP($A95, LS_previous!$B$4:$AY$137, LS_previous!S$148, FALSE), VLOOKUP('Staging Table'!$A95, LS_previous!$B$4:$AY$137,LS_previous!AQ$148, FALSE))/2)</f>
        <v>-5597.8989408861107</v>
      </c>
      <c r="AB95" s="102">
        <f t="array" ref="AB95">IF($G95=0, INDEX(LS_previous!$D$4:$AY$137, MATCH('Staging Table'!$A95, LS_previous!$B$4:$B$137, 0), MATCH(AB$4&amp;AB$5, LS_previous!$D$2:$AY$2&amp;LS_previous!$D$3:$AY$3, 0)),SUM(VLOOKUP($A95, LS_previous!$B$4:$AY$137, LS_previous!T$148, FALSE), VLOOKUP('Staging Table'!$A95, LS_previous!$B$4:$AY$137,LS_previous!AR$148, FALSE))/2)</f>
        <v>-14467.113973751599</v>
      </c>
      <c r="AC95" s="102">
        <f t="array" ref="AC95">IF($G95=0, INDEX(LS_previous!$D$4:$AY$137, MATCH('Staging Table'!$A95, LS_previous!$B$4:$B$137, 0), MATCH(AC$4&amp;AC$5, LS_previous!$D$2:$AY$2&amp;LS_previous!$D$3:$AY$3, 0)),SUM(VLOOKUP($A95, LS_previous!$B$4:$AY$137, LS_previous!U$148, FALSE), VLOOKUP('Staging Table'!$A95, LS_previous!$B$4:$AY$137,LS_previous!AS$148, FALSE))/2)</f>
        <v>-7889.6177724396994</v>
      </c>
      <c r="AD95" s="102">
        <f t="array" ref="AD95">IF($G95=0, INDEX(LS_previous!$D$4:$AY$137, MATCH('Staging Table'!$A95, LS_previous!$B$4:$B$137, 0), MATCH(AD$4&amp;AD$5, LS_previous!$D$2:$AY$2&amp;LS_previous!$D$3:$AY$3, 0)),SUM(VLOOKUP($A95, LS_previous!$B$4:$AY$137, LS_previous!V$148, FALSE), VLOOKUP('Staging Table'!$A95, LS_previous!$B$4:$AY$137,LS_previous!AT$148, FALSE))/2)</f>
        <v>-1027.7865706024058</v>
      </c>
      <c r="AE95" s="102">
        <f t="array" ref="AE95">IF($G95=0, INDEX(LS_previous!$D$4:$AY$137, MATCH('Staging Table'!$A95, LS_previous!$B$4:$B$137, 0), MATCH(AE$4&amp;AE$5, LS_previous!$D$2:$AY$2&amp;LS_previous!$D$3:$AY$3, 0)),SUM(VLOOKUP($A95, LS_previous!$B$4:$AY$137, LS_previous!W$148, FALSE), VLOOKUP('Staging Table'!$A95, LS_previous!$B$4:$AY$137,LS_previous!AU$148, FALSE))/2)</f>
        <v>577.43175205850275</v>
      </c>
      <c r="AF95" s="102">
        <f t="array" ref="AF95">IF($G95=0, INDEX(LS_previous!$D$4:$AY$137, MATCH('Staging Table'!$A95, LS_previous!$B$4:$B$137, 0), MATCH(AF$4&amp;AF$5, LS_previous!$D$2:$AY$2&amp;LS_previous!$D$3:$AY$3, 0)),SUM(VLOOKUP($A95, LS_previous!$B$4:$AY$137, LS_previous!X$148, FALSE), VLOOKUP('Staging Table'!$A95, LS_previous!$B$4:$AY$137,LS_previous!AV$148, FALSE))/2)</f>
        <v>-5301.2380554919018</v>
      </c>
      <c r="AG95" s="102">
        <f t="array" ref="AG95">IF($G95=0, INDEX(LS_previous!$D$4:$AY$137, MATCH('Staging Table'!$A95, LS_previous!$B$4:$B$137, 0), MATCH(AG$4&amp;AG$5, LS_previous!$D$2:$AY$2&amp;LS_previous!$D$3:$AY$3, 0)),SUM(VLOOKUP($A95, LS_previous!$B$4:$AY$137, LS_previous!Y$148, FALSE), VLOOKUP('Staging Table'!$A95, LS_previous!$B$4:$AY$137,LS_previous!AW$148, FALSE))/2)</f>
        <v>-1723.2568559310184</v>
      </c>
      <c r="AH95" s="102">
        <f t="array" ref="AH95">IF($G95=0, INDEX(LS_previous!$D$4:$AY$137, MATCH('Staging Table'!$A95, LS_previous!$B$4:$B$137, 0), MATCH(AH$4&amp;AH$5, LS_previous!$D$2:$AY$2&amp;LS_previous!$D$3:$AY$3, 0)),SUM(VLOOKUP($A95, LS_previous!$B$4:$AY$137, LS_previous!Z$148, FALSE), VLOOKUP('Staging Table'!$A95, LS_previous!$B$4:$AY$137,LS_previous!AX$148, FALSE))/2)</f>
        <v>-1168.5033271684006</v>
      </c>
      <c r="AI95" s="102">
        <f t="array" ref="AI95">IF($G95=0, INDEX(LS_previous!$D$4:$AY$137, MATCH('Staging Table'!$A95, LS_previous!$B$4:$B$137, 0), MATCH(AI$4&amp;AI$5, LS_previous!$D$2:$AY$2&amp;LS_previous!$D$3:$AY$3, 0)),SUM(VLOOKUP($A95, LS_previous!$B$4:$AY$137, LS_previous!AA$148, FALSE), VLOOKUP('Staging Table'!$A95, LS_previous!$B$4:$AY$137,LS_previous!AY$148, FALSE))/2)</f>
        <v>-912.44548344637951</v>
      </c>
      <c r="AJ95" s="103">
        <f t="array" ref="AJ95">INDEX(Demand_previous!$D$4:$AY$137, MATCH('Staging Table'!$A95, Demand_previous!$B$4:$B$137, 0), MATCH(AJ$4&amp;AJ$5,Demand_previous!$D$2:$AY$2&amp;Demand_previous!$D$3:$AY$3, 0))/1000</f>
        <v>0</v>
      </c>
      <c r="AK95" s="103">
        <f t="array" ref="AK95">INDEX(Demand_previous!$D$4:$AY$137, MATCH('Staging Table'!$A95, Demand_previous!$B$4:$B$137, 0), MATCH(AK$4&amp;AK$5,Demand_previous!$D$2:$AY$2&amp;Demand_previous!$D$3:$AY$3, 0))/1000</f>
        <v>0</v>
      </c>
      <c r="AL95" s="103">
        <f t="array" ref="AL95">INDEX(Demand_previous!$D$4:$AY$137, MATCH('Staging Table'!$A95, Demand_previous!$B$4:$B$137, 0), MATCH(AL$4&amp;AL$5,Demand_previous!$D$2:$AY$2&amp;Demand_previous!$D$3:$AY$3, 0))/1000</f>
        <v>0</v>
      </c>
      <c r="AM95" s="103">
        <f t="array" ref="AM95">INDEX(Demand_previous!$D$4:$AY$137, MATCH('Staging Table'!$A95, Demand_previous!$B$4:$B$137, 0), MATCH(AM$4&amp;AM$5,Demand_previous!$D$2:$AY$2&amp;Demand_previous!$D$3:$AY$3, 0))/1000</f>
        <v>0</v>
      </c>
      <c r="AN95" s="103">
        <f t="array" ref="AN95">INDEX(Demand_previous!$D$4:$AY$137, MATCH('Staging Table'!$A95, Demand_previous!$B$4:$B$137, 0), MATCH(AN$4&amp;AN$5,Demand_previous!$D$2:$AY$2&amp;Demand_previous!$D$3:$AY$3, 0))/1000</f>
        <v>0</v>
      </c>
      <c r="AO95" s="103">
        <f t="array" ref="AO95">INDEX(Demand_previous!$D$4:$AY$137, MATCH('Staging Table'!$A95, Demand_previous!$B$4:$B$137, 0), MATCH(AO$4&amp;AO$5,Demand_previous!$D$2:$AY$2&amp;Demand_previous!$D$3:$AY$3, 0))/1000</f>
        <v>0</v>
      </c>
      <c r="AP95" s="103">
        <f t="array" ref="AP95">INDEX(Demand_previous!$D$4:$AY$137, MATCH('Staging Table'!$A95, Demand_previous!$B$4:$B$137, 0), MATCH(AP$4&amp;AP$5,Demand_previous!$D$2:$AY$2&amp;Demand_previous!$D$3:$AY$3, 0))/1000</f>
        <v>0</v>
      </c>
      <c r="AQ95" s="103">
        <f t="array" ref="AQ95">INDEX(Demand_previous!$D$4:$AY$137, MATCH('Staging Table'!$A95, Demand_previous!$B$4:$B$137, 0), MATCH(AQ$4&amp;AQ$5,Demand_previous!$D$2:$AY$2&amp;Demand_previous!$D$3:$AY$3, 0))/1000</f>
        <v>0</v>
      </c>
      <c r="AR95" s="103">
        <f t="array" ref="AR95">INDEX(Demand_previous!$D$4:$AY$137, MATCH('Staging Table'!$A95, Demand_previous!$B$4:$B$137, 0), MATCH(AR$4&amp;AR$5,Demand_previous!$D$2:$AY$2&amp;Demand_previous!$D$3:$AY$3, 0))/1000</f>
        <v>0</v>
      </c>
      <c r="AS95" s="103">
        <f t="array" ref="AS95">INDEX(Demand_previous!$D$4:$AY$137, MATCH('Staging Table'!$A95, Demand_previous!$B$4:$B$137, 0), MATCH(AS$4&amp;AS$5,Demand_previous!$D$2:$AY$2&amp;Demand_previous!$D$3:$AY$3, 0))/1000</f>
        <v>0</v>
      </c>
      <c r="AT95" s="103">
        <f t="array" ref="AT95">INDEX(Demand_previous!$D$4:$AY$137, MATCH('Staging Table'!$A95, Demand_previous!$B$4:$B$137, 0), MATCH(AT$4&amp;AT$5,Demand_previous!$D$2:$AY$2&amp;Demand_previous!$D$3:$AY$3, 0))/1000</f>
        <v>0</v>
      </c>
      <c r="AU95" s="103">
        <f t="array" ref="AU95">INDEX(Demand_previous!$D$4:$AY$137, MATCH('Staging Table'!$A95, Demand_previous!$B$4:$B$137, 0), MATCH(AU$4&amp;AU$5,Demand_previous!$D$2:$AY$2&amp;Demand_previous!$D$3:$AY$3, 0))/1000</f>
        <v>0</v>
      </c>
      <c r="AV95" s="102">
        <f>$F95*(VLOOKUP(AV$4, Rates_previous!$G$6:$Q$29, 10, FALSE)+VLOOKUP(AV$4, Rates_previous!$G$6:$Q$29, 11, FALSE))</f>
        <v>28040.7010811859</v>
      </c>
      <c r="AW95" s="102">
        <f>$F95*(VLOOKUP(AW$4, Rates_previous!$G$6:$Q$29, 10, FALSE)+VLOOKUP(AW$4, Rates_previous!$G$6:$Q$29, 11, FALSE))</f>
        <v>35761.140383089405</v>
      </c>
      <c r="AX95" s="102">
        <f>$F95*(VLOOKUP(AX$4, Rates_previous!$G$6:$Q$29, 10, FALSE)+VLOOKUP(AX$4, Rates_previous!$G$6:$Q$29, 11, FALSE))</f>
        <v>38593.346212671</v>
      </c>
      <c r="AY95" s="102">
        <f>$F95*(VLOOKUP(AY$4, Rates_previous!$G$6:$Q$29, 10, FALSE)+VLOOKUP(AY$4, Rates_previous!$G$6:$Q$29, 11, FALSE))</f>
        <v>40104.452776470396</v>
      </c>
      <c r="AZ95" s="102">
        <f>$F95*(VLOOKUP(AZ$4, Rates_previous!$G$6:$Q$29, 10, FALSE)+VLOOKUP(AZ$4, Rates_previous!$G$6:$Q$29, 11, FALSE))</f>
        <v>34495.174970050793</v>
      </c>
      <c r="BA95" s="102">
        <f>$F95*(VLOOKUP(BA$4, Rates_previous!$G$6:$Q$29, 10, FALSE)+VLOOKUP(BA$4, Rates_previous!$G$6:$Q$29, 11, FALSE))</f>
        <v>37661.901366120597</v>
      </c>
      <c r="BB95" s="102">
        <f>$F95*(VLOOKUP(BB$4, Rates_previous!$G$6:$Q$29, 10, FALSE)+VLOOKUP(BB$4, Rates_previous!$G$6:$Q$29, 11, FALSE))</f>
        <v>29727.724328799046</v>
      </c>
      <c r="BC95" s="102">
        <f>$F95*(VLOOKUP(BC$4, Rates_previous!$G$6:$Q$29, 10, FALSE)+VLOOKUP(BC$4, Rates_previous!$G$6:$Q$29, 11, FALSE))</f>
        <v>36881.2257308029</v>
      </c>
      <c r="BD95" s="102">
        <f>$F95*(VLOOKUP(BD$4, Rates_previous!$G$6:$Q$29, 10, FALSE)+VLOOKUP(BD$4, Rates_previous!$G$6:$Q$29, 11, FALSE))</f>
        <v>37681.456258191298</v>
      </c>
      <c r="BE95" s="102">
        <f>$F95*(VLOOKUP(BE$4, Rates_previous!$G$6:$Q$29, 10, FALSE)+VLOOKUP(BE$4, Rates_previous!$G$6:$Q$29, 11, FALSE))</f>
        <v>32712.932738543899</v>
      </c>
      <c r="BF95" s="102">
        <f>$F95*(VLOOKUP(BF$4, Rates_previous!$G$6:$Q$29, 10, FALSE)+VLOOKUP(BF$4, Rates_previous!$G$6:$Q$29, 11, FALSE))</f>
        <v>31624.710575422912</v>
      </c>
      <c r="BG95" s="102">
        <f>$F95*(VLOOKUP(BG$4, Rates_previous!$G$6:$Q$29, 10, FALSE)+VLOOKUP(BG$4, Rates_previous!$G$6:$Q$29, 11, FALSE))</f>
        <v>29100.857818614804</v>
      </c>
      <c r="BH95" s="103">
        <f>IF($D95=0,IF(C95=0, MAX(BJ95 - (VLOOKUP($A95,TOCA_previous!$A$2:$AJ$136,MATCH("RHWM "&amp;Init!$D$1-2,TOCA_previous!$A$2:$AJ$2,0),FALSE)*$F$2*TOCA_previous!C92),0),0), 0)</f>
        <v>0</v>
      </c>
      <c r="BI95" s="109">
        <f>MIN(VLOOKUP($A95,TOCA_previous!$A$2:$AJ$136,MATCH("TRL - NLSL - Existing Resource "&amp;$F$1,TOCA_previous!$A$2:$AJ$2,0),FALSE)*$F$2,(VLOOKUP($A95,TOCA_previous!$A$2:$AJ$136,MATCH("RHWM "&amp;Init!$D$1-2,TOCA_previous!$A$2:$AJ$2,0),FALSE)*$F$2))</f>
        <v>403282.22399999999</v>
      </c>
      <c r="BJ95" s="261">
        <f>SUM(L95:AI95)+(F95*RT1SC!$C$3*$F$2)</f>
        <v>403282.22589029308</v>
      </c>
      <c r="BK95" s="260">
        <f>VLOOKUP($A95,TOCA_previous!$A$2:$AJ$136,MATCH("Above RHWM Not Served with LS "&amp;$F$1,TOCA_previous!$A$2:$AJ$2,0),FALSE)*$F$2</f>
        <v>37050.911999999997</v>
      </c>
      <c r="BL95" s="261">
        <f t="shared" si="36"/>
        <v>1.8902930896729231E-3</v>
      </c>
      <c r="BM95" s="260">
        <f>(VLOOKUP($A95,TOCA_previous!$A$2:$AJ$136,MATCH("RHWM "&amp;Init!$D$1-2,TOCA_previous!$A$2:$AJ$2,0),FALSE)*$F$2) - $BI95</f>
        <v>0</v>
      </c>
      <c r="BN95" s="261">
        <f t="shared" si="37"/>
        <v>0</v>
      </c>
      <c r="BO95" s="260">
        <f t="shared" si="38"/>
        <v>0</v>
      </c>
      <c r="BP95" s="261">
        <f t="shared" si="39"/>
        <v>0</v>
      </c>
      <c r="BQ95" s="260">
        <f t="shared" si="9"/>
        <v>0</v>
      </c>
      <c r="BR95" s="85">
        <f>VLOOKUP($A95,TOCA_current!$A$2:$ZZ$136,MATCH(BR$4,TOCA_current!$A$2:$ZZ$2,0),FALSE)</f>
        <v>6.4948999999999996E-3</v>
      </c>
      <c r="BS95" s="85">
        <f>VLOOKUP($A95,TOCA_current!$A$2:$ZZ$136,MATCH(BS$4,TOCA_current!$A$2:$ZZ$2,0),FALSE)</f>
        <v>6.4948999999999996E-3</v>
      </c>
      <c r="BT95" s="108">
        <f t="shared" si="40"/>
        <v>0</v>
      </c>
      <c r="BU95" s="85">
        <f>VLOOKUP($A95,TOCA_current!A92:BG226,MATCH(BU$4,TOCA_current!$A$2:$BG$2,0),FALSE)</f>
        <v>0</v>
      </c>
      <c r="BV95" s="85">
        <f t="shared" si="41"/>
        <v>0</v>
      </c>
      <c r="BW95" s="85">
        <f t="shared" si="42"/>
        <v>0</v>
      </c>
      <c r="BX95" s="101">
        <f>VLOOKUP($A95,IRD!$A$4:$G$138, 7, FALSE)</f>
        <v>55408.151000000005</v>
      </c>
      <c r="BY95" s="102">
        <f t="array" ref="BY95">IF($BT95=0, INDEX(LS_current!$D$4:$BW$137, MATCH('Staging Table'!$A95, LS_current!$B$4:$B$137, 0), MATCH(BY$4&amp;BY$5, LS_current!$D$2:$BW$2&amp;LS_current!$D$3:$BW$3, 0)),SUM(VLOOKUP($A95, LS_current!$B$4:$BW$137, LS_current!D$147, FALSE), VLOOKUP($A95, LS_current!$B$4:$BW$137,LS_current!AZ$147, FALSE))/2)</f>
        <v>1891.8923667538656</v>
      </c>
      <c r="BZ95" s="102">
        <f t="array" ref="BZ95">IF($BT95=0, INDEX(LS_current!$D$4:$BW$137, MATCH('Staging Table'!$A95, LS_current!$B$4:$B$137, 0), MATCH(BZ$4&amp;BZ$5, LS_current!$D$2:$BW$2&amp;LS_current!$D$3:$BW$3, 0)),SUM(VLOOKUP($A95, LS_current!$B$4:$BW$137, LS_current!E$147, FALSE), VLOOKUP($A95, LS_current!$B$4:$BW$137,LS_current!BA$147, FALSE))/2)</f>
        <v>2299.0401636472488</v>
      </c>
      <c r="CA95" s="102">
        <f t="array" ref="CA95">IF($BT95=0, INDEX(LS_current!$D$4:$BW$137, MATCH('Staging Table'!$A95, LS_current!$B$4:$B$137, 0), MATCH(CA$4&amp;CA$5, LS_current!$D$2:$BW$2&amp;LS_current!$D$3:$BW$3, 0)),SUM(VLOOKUP($A95, LS_current!$B$4:$BW$137, LS_current!F$147, FALSE), VLOOKUP($A95, LS_current!$B$4:$BW$137,LS_current!BB$147, FALSE))/2)</f>
        <v>52.244539531446208</v>
      </c>
      <c r="CB95" s="102">
        <f t="array" ref="CB95">IF($BT95=0, INDEX(LS_current!$D$4:$BW$137, MATCH('Staging Table'!$A95, LS_current!$B$4:$B$137, 0), MATCH(CB$4&amp;CB$5, LS_current!$D$2:$BW$2&amp;LS_current!$D$3:$BW$3, 0)),SUM(VLOOKUP($A95, LS_current!$B$4:$BW$137, LS_current!G$147, FALSE), VLOOKUP($A95, LS_current!$B$4:$BW$137,LS_current!BC$147, FALSE))/2)</f>
        <v>272.9277165194635</v>
      </c>
      <c r="CC95" s="102">
        <f t="array" ref="CC95">IF($BT95=0, INDEX(LS_current!$D$4:$BW$137, MATCH('Staging Table'!$A95, LS_current!$B$4:$B$137, 0), MATCH(CC$4&amp;CC$5, LS_current!$D$2:$BW$2&amp;LS_current!$D$3:$BW$3, 0)),SUM(VLOOKUP($A95, LS_current!$B$4:$BW$137, LS_current!H$147, FALSE), VLOOKUP($A95, LS_current!$B$4:$BW$137,LS_current!BD$147, FALSE))/2)</f>
        <v>3766.306422543119</v>
      </c>
      <c r="CD95" s="102">
        <f t="array" ref="CD95">IF($BT95=0, INDEX(LS_current!$D$4:$BW$137, MATCH('Staging Table'!$A95, LS_current!$B$4:$B$137, 0), MATCH(CD$4&amp;CD$5, LS_current!$D$2:$BW$2&amp;LS_current!$D$3:$BW$3, 0)),SUM(VLOOKUP($A95, LS_current!$B$4:$BW$137, LS_current!I$147, FALSE), VLOOKUP($A95, LS_current!$B$4:$BW$137,LS_current!BE$147, FALSE))/2)</f>
        <v>5189.0150712100913</v>
      </c>
      <c r="CE95" s="102">
        <f t="array" ref="CE95">IF($BT95=0, INDEX(LS_current!$D$4:$BW$137, MATCH('Staging Table'!$A95, LS_current!$B$4:$B$137, 0), MATCH(CE$4&amp;CE$5, LS_current!$D$2:$BW$2&amp;LS_current!$D$3:$BW$3, 0)),SUM(VLOOKUP($A95, LS_current!$B$4:$BW$137, LS_current!J$147, FALSE), VLOOKUP($A95, LS_current!$B$4:$BW$137,LS_current!BF$147, FALSE))/2)</f>
        <v>5737.9278795752653</v>
      </c>
      <c r="CF95" s="102">
        <f t="array" ref="CF95">IF($BT95=0, INDEX(LS_current!$D$4:$BW$137, MATCH('Staging Table'!$A95, LS_current!$B$4:$B$137, 0), MATCH(CF$4&amp;CF$5, LS_current!$D$2:$BW$2&amp;LS_current!$D$3:$BW$3, 0)),SUM(VLOOKUP($A95, LS_current!$B$4:$BW$137, LS_current!K$147, FALSE), VLOOKUP($A95, LS_current!$B$4:$BW$137,LS_current!BG$147, FALSE))/2)</f>
        <v>5913.4350197243039</v>
      </c>
      <c r="CG95" s="102">
        <f t="array" ref="CG95">IF($BT95=0, INDEX(LS_current!$D$4:$BW$137, MATCH('Staging Table'!$A95, LS_current!$B$4:$B$137, 0), MATCH(CG$4&amp;CG$5, LS_current!$D$2:$BW$2&amp;LS_current!$D$3:$BW$3, 0)),SUM(VLOOKUP($A95, LS_current!$B$4:$BW$137, LS_current!L$147, FALSE), VLOOKUP($A95, LS_current!$B$4:$BW$137,LS_current!BH$147, FALSE))/2)</f>
        <v>5248.5094243055755</v>
      </c>
      <c r="CH95" s="102">
        <f t="array" ref="CH95">IF($BT95=0, INDEX(LS_current!$D$4:$BW$137, MATCH('Staging Table'!$A95, LS_current!$B$4:$B$137, 0), MATCH(CH$4&amp;CH$5, LS_current!$D$2:$BW$2&amp;LS_current!$D$3:$BW$3, 0)),SUM(VLOOKUP($A95, LS_current!$B$4:$BW$137, LS_current!M$147, FALSE), VLOOKUP($A95, LS_current!$B$4:$BW$137,LS_current!BI$147, FALSE))/2)</f>
        <v>5494.7325604045491</v>
      </c>
      <c r="CI95" s="102">
        <f t="array" ref="CI95">IF($BT95=0, INDEX(LS_current!$D$4:$BW$137, MATCH('Staging Table'!$A95, LS_current!$B$4:$B$137, 0), MATCH(CI$4&amp;CI$5, LS_current!$D$2:$BW$2&amp;LS_current!$D$3:$BW$3, 0)),SUM(VLOOKUP($A95, LS_current!$B$4:$BW$137, LS_current!N$147, FALSE), VLOOKUP($A95, LS_current!$B$4:$BW$137,LS_current!BJ$147, FALSE))/2)</f>
        <v>2547.0377565444505</v>
      </c>
      <c r="CJ95" s="102">
        <f t="array" ref="CJ95">IF($BT95=0, INDEX(LS_current!$D$4:$BW$137, MATCH('Staging Table'!$A95, LS_current!$B$4:$B$137, 0), MATCH(CJ$4&amp;CJ$5, LS_current!$D$2:$BW$2&amp;LS_current!$D$3:$BW$3, 0)),SUM(VLOOKUP($A95, LS_current!$B$4:$BW$137, LS_current!O$147, FALSE), VLOOKUP($A95, LS_current!$B$4:$BW$137,LS_current!BK$147, FALSE))/2)</f>
        <v>4721.2432715920695</v>
      </c>
      <c r="CK95" s="102">
        <f t="array" ref="CK95">IF($BT95=0, INDEX(LS_current!$D$4:$BW$137, MATCH('Staging Table'!$A95, LS_current!$B$4:$B$137, 0), MATCH(CK$4&amp;CK$5, LS_current!$D$2:$BW$2&amp;LS_current!$D$3:$BW$3, 0)),SUM(VLOOKUP($A95, LS_current!$B$4:$BW$137, LS_current!P$147, FALSE), VLOOKUP($A95, LS_current!$B$4:$BW$137,LS_current!BL$147, FALSE))/2)</f>
        <v>46.827823480223742</v>
      </c>
      <c r="CL95" s="102">
        <f t="array" ref="CL95">IF($BT95=0, INDEX(LS_current!$D$4:$BW$137, MATCH('Staging Table'!$A95, LS_current!$B$4:$B$137, 0), MATCH(CL$4&amp;CL$5, LS_current!$D$2:$BW$2&amp;LS_current!$D$3:$BW$3, 0)),SUM(VLOOKUP($A95, LS_current!$B$4:$BW$137, LS_current!Q$147, FALSE), VLOOKUP($A95, LS_current!$B$4:$BW$137,LS_current!BM$147, FALSE))/2)</f>
        <v>762.04422386708575</v>
      </c>
      <c r="CM95" s="102">
        <f t="array" ref="CM95">IF($BT95=0, INDEX(LS_current!$D$4:$BW$137, MATCH('Staging Table'!$A95, LS_current!$B$4:$B$137, 0), MATCH(CM$4&amp;CM$5, LS_current!$D$2:$BW$2&amp;LS_current!$D$3:$BW$3, 0)),SUM(VLOOKUP($A95, LS_current!$B$4:$BW$137, LS_current!R$147, FALSE), VLOOKUP($A95, LS_current!$B$4:$BW$137,LS_current!BN$147, FALSE))/2)</f>
        <v>-8523.806391082906</v>
      </c>
      <c r="CN95" s="102">
        <f t="array" ref="CN95">IF($BT95=0, INDEX(LS_current!$D$4:$BW$137, MATCH('Staging Table'!$A95, LS_current!$B$4:$B$137, 0), MATCH(CN$4&amp;CN$5, LS_current!$D$2:$BW$2&amp;LS_current!$D$3:$BW$3, 0)),SUM(VLOOKUP($A95, LS_current!$B$4:$BW$137, LS_current!S$147, FALSE), VLOOKUP($A95, LS_current!$B$4:$BW$137,LS_current!BO$147, FALSE))/2)</f>
        <v>-5349.7066489388671</v>
      </c>
      <c r="CO95" s="102">
        <f t="array" ref="CO95">IF($BT95=0, INDEX(LS_current!$D$4:$BW$137, MATCH('Staging Table'!$A95, LS_current!$B$4:$B$137, 0), MATCH(CO$4&amp;CO$5, LS_current!$D$2:$BW$2&amp;LS_current!$D$3:$BW$3, 0)),SUM(VLOOKUP($A95, LS_current!$B$4:$BW$137, LS_current!T$147, FALSE), VLOOKUP($A95, LS_current!$B$4:$BW$137,LS_current!BP$147, FALSE))/2)</f>
        <v>-14821.745676195806</v>
      </c>
      <c r="CP95" s="102">
        <f t="array" ref="CP95">IF($BT95=0, INDEX(LS_current!$D$4:$BW$137, MATCH('Staging Table'!$A95, LS_current!$B$4:$B$137, 0), MATCH(CP$4&amp;CP$5, LS_current!$D$2:$BW$2&amp;LS_current!$D$3:$BW$3, 0)),SUM(VLOOKUP($A95, LS_current!$B$4:$BW$137, LS_current!U$147, FALSE), VLOOKUP($A95, LS_current!$B$4:$BW$137,LS_current!BQ$147, FALSE))/2)</f>
        <v>-6699.5881274329167</v>
      </c>
      <c r="CQ95" s="102">
        <f t="array" ref="CQ95">IF($BT95=0, INDEX(LS_current!$D$4:$BW$137, MATCH('Staging Table'!$A95, LS_current!$B$4:$B$137, 0), MATCH(CQ$4&amp;CQ$5, LS_current!$D$2:$BW$2&amp;LS_current!$D$3:$BW$3, 0)),SUM(VLOOKUP($A95, LS_current!$B$4:$BW$137, LS_current!V$147, FALSE), VLOOKUP($A95, LS_current!$B$4:$BW$137,LS_current!BR$147, FALSE))/2)</f>
        <v>-1391.4571098165434</v>
      </c>
      <c r="CR95" s="102">
        <f t="array" ref="CR95">IF($BT95=0, INDEX(LS_current!$D$4:$BW$137, MATCH('Staging Table'!$A95, LS_current!$B$4:$B$137, 0), MATCH(CR$4&amp;CR$5, LS_current!$D$2:$BW$2&amp;LS_current!$D$3:$BW$3, 0)),SUM(VLOOKUP($A95, LS_current!$B$4:$BW$137, LS_current!W$147, FALSE), VLOOKUP($A95, LS_current!$B$4:$BW$137,LS_current!BS$147, FALSE))/2)</f>
        <v>914.17067198327823</v>
      </c>
      <c r="CS95" s="102">
        <f t="array" ref="CS95">IF($BT95=0, INDEX(LS_current!$D$4:$BW$137, MATCH('Staging Table'!$A95, LS_current!$B$4:$B$137, 0), MATCH(CS$4&amp;CS$5, LS_current!$D$2:$BW$2&amp;LS_current!$D$3:$BW$3, 0)),SUM(VLOOKUP($A95, LS_current!$B$4:$BW$137, LS_current!X$147, FALSE), VLOOKUP($A95, LS_current!$B$4:$BW$137,LS_current!BT$147, FALSE))/2)</f>
        <v>-7586.1869914090748</v>
      </c>
      <c r="CT95" s="102">
        <f t="array" ref="CT95">IF($BT95=0, INDEX(LS_current!$D$4:$BW$137, MATCH('Staging Table'!$A95, LS_current!$B$4:$B$137, 0), MATCH(CT$4&amp;CT$5, LS_current!$D$2:$BW$2&amp;LS_current!$D$3:$BW$3, 0)),SUM(VLOOKUP($A95, LS_current!$B$4:$BW$137, LS_current!Y$147, FALSE), VLOOKUP($A95, LS_current!$B$4:$BW$137,LS_current!BU$147, FALSE))/2)</f>
        <v>-1424.3838075841668</v>
      </c>
      <c r="CU95" s="102">
        <f t="array" ref="CU95">IF($BT95=0, INDEX(LS_current!$D$4:$BW$137, MATCH('Staging Table'!$A95, LS_current!$B$4:$B$137, 0), MATCH(CU$4&amp;CU$5, LS_current!$D$2:$BW$2&amp;LS_current!$D$3:$BW$3, 0)),SUM(VLOOKUP($A95, LS_current!$B$4:$BW$137, LS_current!Z$147, FALSE), VLOOKUP($A95, LS_current!$B$4:$BW$137,LS_current!BV$147, FALSE))/2)</f>
        <v>-22.032517017694772</v>
      </c>
      <c r="CV95" s="102">
        <f t="array" ref="CV95">IF($BT95=0, INDEX(LS_current!$D$4:$BW$137, MATCH('Staging Table'!$A95, LS_current!$B$4:$B$137, 0), MATCH(CV$4&amp;CV$5, LS_current!$D$2:$BW$2&amp;LS_current!$D$3:$BW$3, 0)),SUM(VLOOKUP($A95, LS_current!$B$4:$BW$137, LS_current!AA$147, FALSE), VLOOKUP($A95, LS_current!$B$4:$BW$137,LS_current!BW$147, FALSE))/2)</f>
        <v>963.07170050607237</v>
      </c>
      <c r="CW95" s="103">
        <f t="array" ref="CW95">INDEX(Demand_current!$D$4:$BW$137, MATCH($A95, Demand_current!$B$4:$B$137, 0), MATCH(CW$4&amp;CW$5,Demand_current!$D$2:$BW$2&amp;Demand_current!$D$3:$BW$3, 0))/1000</f>
        <v>0</v>
      </c>
      <c r="CX95" s="103">
        <f t="array" ref="CX95">INDEX(Demand_current!$D$4:$BW$137, MATCH($A95, Demand_current!$B$4:$B$137, 0), MATCH(CX$4&amp;CX$5,Demand_current!$D$2:$BW$2&amp;Demand_current!$D$3:$BW$3, 0))/1000</f>
        <v>0</v>
      </c>
      <c r="CY95" s="103">
        <f t="array" ref="CY95">INDEX(Demand_current!$D$4:$BW$137, MATCH($A95, Demand_current!$B$4:$B$137, 0), MATCH(CY$4&amp;CY$5,Demand_current!$D$2:$BW$2&amp;Demand_current!$D$3:$BW$3, 0))/1000</f>
        <v>0</v>
      </c>
      <c r="CZ95" s="103">
        <f t="array" ref="CZ95">INDEX(Demand_current!$D$4:$BW$137, MATCH($A95, Demand_current!$B$4:$B$137, 0), MATCH(CZ$4&amp;CZ$5,Demand_current!$D$2:$BW$2&amp;Demand_current!$D$3:$BW$3, 0))/1000</f>
        <v>0</v>
      </c>
      <c r="DA95" s="103">
        <f t="array" ref="DA95">INDEX(Demand_current!$D$4:$BW$137, MATCH($A95, Demand_current!$B$4:$B$137, 0), MATCH(DA$4&amp;DA$5,Demand_current!$D$2:$BW$2&amp;Demand_current!$D$3:$BW$3, 0))/1000</f>
        <v>0</v>
      </c>
      <c r="DB95" s="103">
        <f t="array" ref="DB95">INDEX(Demand_current!$D$4:$BW$137, MATCH($A95, Demand_current!$B$4:$B$137, 0), MATCH(DB$4&amp;DB$5,Demand_current!$D$2:$BW$2&amp;Demand_current!$D$3:$BW$3, 0))/1000</f>
        <v>0</v>
      </c>
      <c r="DC95" s="103">
        <f t="array" ref="DC95">INDEX(Demand_current!$D$4:$BW$137, MATCH($A95, Demand_current!$B$4:$B$137, 0), MATCH(DC$4&amp;DC$5,Demand_current!$D$2:$BW$2&amp;Demand_current!$D$3:$BW$3, 0))/1000</f>
        <v>0</v>
      </c>
      <c r="DD95" s="103">
        <f t="array" ref="DD95">INDEX(Demand_current!$D$4:$BW$137, MATCH($A95, Demand_current!$B$4:$B$137, 0), MATCH(DD$4&amp;DD$5,Demand_current!$D$2:$BW$2&amp;Demand_current!$D$3:$BW$3, 0))/1000</f>
        <v>0</v>
      </c>
      <c r="DE95" s="103">
        <f t="array" ref="DE95">INDEX(Demand_current!$D$4:$BW$137, MATCH($A95, Demand_current!$B$4:$B$137, 0), MATCH(DE$4&amp;DE$5,Demand_current!$D$2:$BW$2&amp;Demand_current!$D$3:$BW$3, 0))/1000</f>
        <v>0</v>
      </c>
      <c r="DF95" s="103">
        <f t="array" ref="DF95">INDEX(Demand_current!$D$4:$BW$137, MATCH($A95, Demand_current!$B$4:$B$137, 0), MATCH(DF$4&amp;DF$5,Demand_current!$D$2:$BW$2&amp;Demand_current!$D$3:$BW$3, 0))/1000</f>
        <v>0</v>
      </c>
      <c r="DG95" s="103">
        <f t="array" ref="DG95">INDEX(Demand_current!$D$4:$BW$137, MATCH($A95, Demand_current!$B$4:$B$137, 0), MATCH(DG$4&amp;DG$5,Demand_current!$D$2:$BW$2&amp;Demand_current!$D$3:$BW$3, 0))/1000</f>
        <v>0</v>
      </c>
      <c r="DH95" s="103">
        <f t="array" ref="DH95">INDEX(Demand_current!$D$4:$BW$137, MATCH($A95, Demand_current!$B$4:$B$137, 0), MATCH(DH$4&amp;DH$5,Demand_current!$D$2:$BW$2&amp;Demand_current!$D$3:$BW$3, 0))/1000</f>
        <v>0</v>
      </c>
      <c r="DI95" s="102">
        <f>$BS95*(VLOOKUP(DI$4, Rates_current!$H$6:$R$41, 10, FALSE)+VLOOKUP(DI$4, Rates_current!$H$6:$R$41, 11, FALSE))</f>
        <v>26955.702989598889</v>
      </c>
      <c r="DJ95" s="102">
        <f>$BS95*(VLOOKUP(DJ$4, Rates_current!$H$6:$R$41, 10, FALSE)+VLOOKUP(DJ$4, Rates_current!$H$6:$R$41, 11, FALSE))</f>
        <v>34461.979103949103</v>
      </c>
      <c r="DK95" s="102">
        <f>$BS95*(VLOOKUP(DK$4, Rates_current!$H$6:$R$41, 10, FALSE)+VLOOKUP(DK$4, Rates_current!$H$6:$R$41, 11, FALSE))</f>
        <v>39180.387946246774</v>
      </c>
      <c r="DL95" s="102">
        <f>$BS95*(VLOOKUP(DL$4, Rates_current!$H$6:$R$41, 10, FALSE)+VLOOKUP(DL$4, Rates_current!$H$6:$R$41, 11, FALSE))</f>
        <v>41338.367660700424</v>
      </c>
      <c r="DM95" s="102">
        <f>$BS95*(VLOOKUP(DM$4, Rates_current!$H$6:$R$41, 10, FALSE)+VLOOKUP(DM$4, Rates_current!$H$6:$R$41, 11, FALSE))</f>
        <v>32942.948095289874</v>
      </c>
      <c r="DN95" s="102">
        <f>$BS95*(VLOOKUP(DN$4, Rates_current!$H$6:$R$41, 10, FALSE)+VLOOKUP(DN$4, Rates_current!$H$6:$R$41, 11, FALSE))</f>
        <v>36013.40729186347</v>
      </c>
      <c r="DO95" s="102">
        <f>$BS95*(VLOOKUP(DO$4, Rates_current!$H$6:$R$41, 10, FALSE)+VLOOKUP(DO$4, Rates_current!$H$6:$R$41, 11, FALSE))</f>
        <v>27910.75291265269</v>
      </c>
      <c r="DP95" s="102">
        <f>$BS95*(VLOOKUP(DP$4, Rates_current!$H$6:$R$41, 10, FALSE)+VLOOKUP(DP$4, Rates_current!$H$6:$R$41, 11, FALSE))</f>
        <v>36121.109840021782</v>
      </c>
      <c r="DQ95" s="102">
        <f>$BS95*(VLOOKUP(DQ$4, Rates_current!$H$6:$R$41, 10, FALSE)+VLOOKUP(DQ$4, Rates_current!$H$6:$R$41, 11, FALSE))</f>
        <v>36892.400683628723</v>
      </c>
      <c r="DR95" s="102">
        <f>$BS95*(VLOOKUP(DR$4, Rates_current!$H$6:$R$41, 10, FALSE)+VLOOKUP(DR$4, Rates_current!$H$6:$R$41, 11, FALSE))</f>
        <v>32837.427237833253</v>
      </c>
      <c r="DS95" s="102">
        <f>$BS95*(VLOOKUP(DS$4, Rates_current!$H$6:$R$41, 10, FALSE)+VLOOKUP(DS$4, Rates_current!$H$6:$R$41, 11, FALSE))</f>
        <v>33685.178158993258</v>
      </c>
      <c r="DT95" s="102">
        <f>$BS95*(VLOOKUP(DT$4, Rates_current!$H$6:$R$41, 10, FALSE)+VLOOKUP(DT$4, Rates_current!$H$6:$R$41, 11, FALSE))</f>
        <v>26160.578736511623</v>
      </c>
      <c r="DU95" s="261">
        <f>IF(D95=0,IF(C95=0,MAX(0,DW95 - (VLOOKUP($A95,TOCA_current!$A$2:$AV$136,MATCH("RHWM "&amp;Init!$D$1,TOCA_current!$A$2:$AV$2,0),FALSE)*$BS$2)), 0),0)</f>
        <v>0</v>
      </c>
      <c r="DV95" s="262">
        <f>MIN(VLOOKUP($A95,TOCA_current!$A$2:$AV$136,MATCH("TRL - NLSL - Existing Resource "&amp;$BS$1,TOCA_current!$A$2:$AV$2,0),FALSE)*$BS$2, VLOOKUP($A95,TOCA_current!$A$2:$AV$136,MATCH("RHWM "&amp;Init!$D$1,TOCA_current!$A$2:$AV$2,0),FALSE)*$BS$2)</f>
        <v>404501.76000000001</v>
      </c>
      <c r="DW95" s="262">
        <f>SUM(BY95:CV95)+(BS95*RT1SC!$C$4*$BS$2)</f>
        <v>404501.78387755819</v>
      </c>
      <c r="DX95" s="262">
        <f>VLOOKUP($A95,TOCA_current!$A$2:$AV$136,MATCH("Above RHWM Not Served with LS "&amp;$BS$1,TOCA_current!$A$2:$AV$2,0),FALSE)*$BS$2</f>
        <v>53655</v>
      </c>
      <c r="DY95" s="262">
        <f t="shared" si="43"/>
        <v>2.3877558181993663E-2</v>
      </c>
      <c r="DZ95" s="262">
        <f>(VLOOKUP($A95,TOCA_current!$A$2:$AV$136,MATCH("RHWM "&amp;Init!$D$1,TOCA_current!$A$2:$AV$2,0),FALSE)*$BS$2) - $DV95</f>
        <v>0</v>
      </c>
      <c r="EA95" s="262">
        <f t="shared" si="44"/>
        <v>0</v>
      </c>
      <c r="EB95" s="262">
        <f t="shared" si="45"/>
        <v>0</v>
      </c>
      <c r="EC95" s="262">
        <f t="shared" si="46"/>
        <v>0</v>
      </c>
      <c r="ED95" s="262">
        <f t="shared" si="47"/>
        <v>0</v>
      </c>
    </row>
    <row r="96" spans="1:134">
      <c r="A96" s="2">
        <v>10288</v>
      </c>
      <c r="B96" s="3" t="s">
        <v>98</v>
      </c>
      <c r="C96">
        <f>VLOOKUP(A96, TOCA_current!$A$3:$D$136, 4, FALSE)</f>
        <v>1</v>
      </c>
      <c r="D96">
        <v>0</v>
      </c>
      <c r="E96" s="84">
        <f>VLOOKUP($A96,TOCA_previous!$A$2:$AJ$136,MATCH(E$4,TOCA_previous!$A$2:$AJ$2,0),FALSE)</f>
        <v>3.5631E-3</v>
      </c>
      <c r="F96" s="85">
        <f>VLOOKUP($A96,TOCA_previous!$A$2:$AJ$136,MATCH(F$4,TOCA_previous!$A$2:$AJ$2,0),FALSE)</f>
        <v>3.5631E-3</v>
      </c>
      <c r="G96" s="85">
        <f t="shared" si="33"/>
        <v>0</v>
      </c>
      <c r="H96" s="85">
        <f>VLOOKUP($A96,TOCA_previous!$A$2:$AJ$136,MATCH(H$4,TOCA_previous!$A$2:$AJ$2,0),FALSE)</f>
        <v>0.06</v>
      </c>
      <c r="I96" s="85">
        <f t="shared" si="34"/>
        <v>0.06</v>
      </c>
      <c r="J96" s="85">
        <f t="shared" si="35"/>
        <v>3.5631E-3</v>
      </c>
      <c r="K96" s="101">
        <f>VLOOKUP(A96, IRD!$A$5:$C$138, 3, FALSE)</f>
        <v>0</v>
      </c>
      <c r="L96" s="102">
        <f t="array" ref="L96">IF($G96=0, INDEX(LS_previous!$D$4:$AY$137, MATCH('Staging Table'!$A96, LS_previous!$B$4:$B$137, 0), MATCH(L$4&amp;L$5, LS_previous!$D$2:$AY$2&amp;LS_previous!$D$3:$AY$3, 0)),SUM(VLOOKUP($A96, LS_previous!$B$4:$AY$137, LS_previous!D$148, FALSE), VLOOKUP('Staging Table'!$A96, LS_previous!$B$4:$AY$137,LS_previous!AB$148, FALSE))/2)</f>
        <v>0</v>
      </c>
      <c r="M96" s="102">
        <f t="array" ref="M96">IF($G96=0, INDEX(LS_previous!$D$4:$AY$137, MATCH('Staging Table'!$A96, LS_previous!$B$4:$B$137, 0), MATCH(M$4&amp;M$5, LS_previous!$D$2:$AY$2&amp;LS_previous!$D$3:$AY$3, 0)),SUM(VLOOKUP($A96, LS_previous!$B$4:$AY$137, LS_previous!E$148, FALSE), VLOOKUP('Staging Table'!$A96, LS_previous!$B$4:$AY$137,LS_previous!AC$148, FALSE))/2)</f>
        <v>0</v>
      </c>
      <c r="N96" s="102">
        <f t="array" ref="N96">IF($G96=0, INDEX(LS_previous!$D$4:$AY$137, MATCH('Staging Table'!$A96, LS_previous!$B$4:$B$137, 0), MATCH(N$4&amp;N$5, LS_previous!$D$2:$AY$2&amp;LS_previous!$D$3:$AY$3, 0)),SUM(VLOOKUP($A96, LS_previous!$B$4:$AY$137, LS_previous!F$148, FALSE), VLOOKUP('Staging Table'!$A96, LS_previous!$B$4:$AY$137,LS_previous!AD$148, FALSE))/2)</f>
        <v>0</v>
      </c>
      <c r="O96" s="102">
        <f t="array" ref="O96">IF($G96=0, INDEX(LS_previous!$D$4:$AY$137, MATCH('Staging Table'!$A96, LS_previous!$B$4:$B$137, 0), MATCH(O$4&amp;O$5, LS_previous!$D$2:$AY$2&amp;LS_previous!$D$3:$AY$3, 0)),SUM(VLOOKUP($A96, LS_previous!$B$4:$AY$137, LS_previous!G$148, FALSE), VLOOKUP('Staging Table'!$A96, LS_previous!$B$4:$AY$137,LS_previous!AE$148, FALSE))/2)</f>
        <v>0</v>
      </c>
      <c r="P96" s="102">
        <f t="array" ref="P96">IF($G96=0, INDEX(LS_previous!$D$4:$AY$137, MATCH('Staging Table'!$A96, LS_previous!$B$4:$B$137, 0), MATCH(P$4&amp;P$5, LS_previous!$D$2:$AY$2&amp;LS_previous!$D$3:$AY$3, 0)),SUM(VLOOKUP($A96, LS_previous!$B$4:$AY$137, LS_previous!H$148, FALSE), VLOOKUP('Staging Table'!$A96, LS_previous!$B$4:$AY$137,LS_previous!AF$148, FALSE))/2)</f>
        <v>0</v>
      </c>
      <c r="Q96" s="102">
        <f t="array" ref="Q96">IF($G96=0, INDEX(LS_previous!$D$4:$AY$137, MATCH('Staging Table'!$A96, LS_previous!$B$4:$B$137, 0), MATCH(Q$4&amp;Q$5, LS_previous!$D$2:$AY$2&amp;LS_previous!$D$3:$AY$3, 0)),SUM(VLOOKUP($A96, LS_previous!$B$4:$AY$137, LS_previous!I$148, FALSE), VLOOKUP('Staging Table'!$A96, LS_previous!$B$4:$AY$137,LS_previous!AG$148, FALSE))/2)</f>
        <v>0</v>
      </c>
      <c r="R96" s="102">
        <f t="array" ref="R96">IF($G96=0, INDEX(LS_previous!$D$4:$AY$137, MATCH('Staging Table'!$A96, LS_previous!$B$4:$B$137, 0), MATCH(R$4&amp;R$5, LS_previous!$D$2:$AY$2&amp;LS_previous!$D$3:$AY$3, 0)),SUM(VLOOKUP($A96, LS_previous!$B$4:$AY$137, LS_previous!J$148, FALSE), VLOOKUP('Staging Table'!$A96, LS_previous!$B$4:$AY$137,LS_previous!AH$148, FALSE))/2)</f>
        <v>0</v>
      </c>
      <c r="S96" s="102">
        <f t="array" ref="S96">IF($G96=0, INDEX(LS_previous!$D$4:$AY$137, MATCH('Staging Table'!$A96, LS_previous!$B$4:$B$137, 0), MATCH(S$4&amp;S$5, LS_previous!$D$2:$AY$2&amp;LS_previous!$D$3:$AY$3, 0)),SUM(VLOOKUP($A96, LS_previous!$B$4:$AY$137, LS_previous!K$148, FALSE), VLOOKUP('Staging Table'!$A96, LS_previous!$B$4:$AY$137,LS_previous!AI$148, FALSE))/2)</f>
        <v>0</v>
      </c>
      <c r="T96" s="102">
        <f t="array" ref="T96">IF($G96=0, INDEX(LS_previous!$D$4:$AY$137, MATCH('Staging Table'!$A96, LS_previous!$B$4:$B$137, 0), MATCH(T$4&amp;T$5, LS_previous!$D$2:$AY$2&amp;LS_previous!$D$3:$AY$3, 0)),SUM(VLOOKUP($A96, LS_previous!$B$4:$AY$137, LS_previous!L$148, FALSE), VLOOKUP('Staging Table'!$A96, LS_previous!$B$4:$AY$137,LS_previous!AJ$148, FALSE))/2)</f>
        <v>0</v>
      </c>
      <c r="U96" s="102">
        <f t="array" ref="U96">IF($G96=0, INDEX(LS_previous!$D$4:$AY$137, MATCH('Staging Table'!$A96, LS_previous!$B$4:$B$137, 0), MATCH(U$4&amp;U$5, LS_previous!$D$2:$AY$2&amp;LS_previous!$D$3:$AY$3, 0)),SUM(VLOOKUP($A96, LS_previous!$B$4:$AY$137, LS_previous!M$148, FALSE), VLOOKUP('Staging Table'!$A96, LS_previous!$B$4:$AY$137,LS_previous!AK$148, FALSE))/2)</f>
        <v>0</v>
      </c>
      <c r="V96" s="102">
        <f t="array" ref="V96">IF($G96=0, INDEX(LS_previous!$D$4:$AY$137, MATCH('Staging Table'!$A96, LS_previous!$B$4:$B$137, 0), MATCH(V$4&amp;V$5, LS_previous!$D$2:$AY$2&amp;LS_previous!$D$3:$AY$3, 0)),SUM(VLOOKUP($A96, LS_previous!$B$4:$AY$137, LS_previous!N$148, FALSE), VLOOKUP('Staging Table'!$A96, LS_previous!$B$4:$AY$137,LS_previous!AL$148, FALSE))/2)</f>
        <v>0</v>
      </c>
      <c r="W96" s="102">
        <f t="array" ref="W96">IF($G96=0, INDEX(LS_previous!$D$4:$AY$137, MATCH('Staging Table'!$A96, LS_previous!$B$4:$B$137, 0), MATCH(W$4&amp;W$5, LS_previous!$D$2:$AY$2&amp;LS_previous!$D$3:$AY$3, 0)),SUM(VLOOKUP($A96, LS_previous!$B$4:$AY$137, LS_previous!O$148, FALSE), VLOOKUP('Staging Table'!$A96, LS_previous!$B$4:$AY$137,LS_previous!AM$148, FALSE))/2)</f>
        <v>0</v>
      </c>
      <c r="X96" s="102">
        <f t="array" ref="X96">IF($G96=0, INDEX(LS_previous!$D$4:$AY$137, MATCH('Staging Table'!$A96, LS_previous!$B$4:$B$137, 0), MATCH(X$4&amp;X$5, LS_previous!$D$2:$AY$2&amp;LS_previous!$D$3:$AY$3, 0)),SUM(VLOOKUP($A96, LS_previous!$B$4:$AY$137, LS_previous!P$148, FALSE), VLOOKUP('Staging Table'!$A96, LS_previous!$B$4:$AY$137,LS_previous!AN$148, FALSE))/2)</f>
        <v>0</v>
      </c>
      <c r="Y96" s="102">
        <f t="array" ref="Y96">IF($G96=0, INDEX(LS_previous!$D$4:$AY$137, MATCH('Staging Table'!$A96, LS_previous!$B$4:$B$137, 0), MATCH(Y$4&amp;Y$5, LS_previous!$D$2:$AY$2&amp;LS_previous!$D$3:$AY$3, 0)),SUM(VLOOKUP($A96, LS_previous!$B$4:$AY$137, LS_previous!Q$148, FALSE), VLOOKUP('Staging Table'!$A96, LS_previous!$B$4:$AY$137,LS_previous!AO$148, FALSE))/2)</f>
        <v>0</v>
      </c>
      <c r="Z96" s="102">
        <f t="array" ref="Z96">IF($G96=0, INDEX(LS_previous!$D$4:$AY$137, MATCH('Staging Table'!$A96, LS_previous!$B$4:$B$137, 0), MATCH(Z$4&amp;Z$5, LS_previous!$D$2:$AY$2&amp;LS_previous!$D$3:$AY$3, 0)),SUM(VLOOKUP($A96, LS_previous!$B$4:$AY$137, LS_previous!R$148, FALSE), VLOOKUP('Staging Table'!$A96, LS_previous!$B$4:$AY$137,LS_previous!AP$148, FALSE))/2)</f>
        <v>0</v>
      </c>
      <c r="AA96" s="102">
        <f t="array" ref="AA96">IF($G96=0, INDEX(LS_previous!$D$4:$AY$137, MATCH('Staging Table'!$A96, LS_previous!$B$4:$B$137, 0), MATCH(AA$4&amp;AA$5, LS_previous!$D$2:$AY$2&amp;LS_previous!$D$3:$AY$3, 0)),SUM(VLOOKUP($A96, LS_previous!$B$4:$AY$137, LS_previous!S$148, FALSE), VLOOKUP('Staging Table'!$A96, LS_previous!$B$4:$AY$137,LS_previous!AQ$148, FALSE))/2)</f>
        <v>0</v>
      </c>
      <c r="AB96" s="102">
        <f t="array" ref="AB96">IF($G96=0, INDEX(LS_previous!$D$4:$AY$137, MATCH('Staging Table'!$A96, LS_previous!$B$4:$B$137, 0), MATCH(AB$4&amp;AB$5, LS_previous!$D$2:$AY$2&amp;LS_previous!$D$3:$AY$3, 0)),SUM(VLOOKUP($A96, LS_previous!$B$4:$AY$137, LS_previous!T$148, FALSE), VLOOKUP('Staging Table'!$A96, LS_previous!$B$4:$AY$137,LS_previous!AR$148, FALSE))/2)</f>
        <v>0</v>
      </c>
      <c r="AC96" s="102">
        <f t="array" ref="AC96">IF($G96=0, INDEX(LS_previous!$D$4:$AY$137, MATCH('Staging Table'!$A96, LS_previous!$B$4:$B$137, 0), MATCH(AC$4&amp;AC$5, LS_previous!$D$2:$AY$2&amp;LS_previous!$D$3:$AY$3, 0)),SUM(VLOOKUP($A96, LS_previous!$B$4:$AY$137, LS_previous!U$148, FALSE), VLOOKUP('Staging Table'!$A96, LS_previous!$B$4:$AY$137,LS_previous!AS$148, FALSE))/2)</f>
        <v>0</v>
      </c>
      <c r="AD96" s="102">
        <f t="array" ref="AD96">IF($G96=0, INDEX(LS_previous!$D$4:$AY$137, MATCH('Staging Table'!$A96, LS_previous!$B$4:$B$137, 0), MATCH(AD$4&amp;AD$5, LS_previous!$D$2:$AY$2&amp;LS_previous!$D$3:$AY$3, 0)),SUM(VLOOKUP($A96, LS_previous!$B$4:$AY$137, LS_previous!V$148, FALSE), VLOOKUP('Staging Table'!$A96, LS_previous!$B$4:$AY$137,LS_previous!AT$148, FALSE))/2)</f>
        <v>0</v>
      </c>
      <c r="AE96" s="102">
        <f t="array" ref="AE96">IF($G96=0, INDEX(LS_previous!$D$4:$AY$137, MATCH('Staging Table'!$A96, LS_previous!$B$4:$B$137, 0), MATCH(AE$4&amp;AE$5, LS_previous!$D$2:$AY$2&amp;LS_previous!$D$3:$AY$3, 0)),SUM(VLOOKUP($A96, LS_previous!$B$4:$AY$137, LS_previous!W$148, FALSE), VLOOKUP('Staging Table'!$A96, LS_previous!$B$4:$AY$137,LS_previous!AU$148, FALSE))/2)</f>
        <v>0</v>
      </c>
      <c r="AF96" s="102">
        <f t="array" ref="AF96">IF($G96=0, INDEX(LS_previous!$D$4:$AY$137, MATCH('Staging Table'!$A96, LS_previous!$B$4:$B$137, 0), MATCH(AF$4&amp;AF$5, LS_previous!$D$2:$AY$2&amp;LS_previous!$D$3:$AY$3, 0)),SUM(VLOOKUP($A96, LS_previous!$B$4:$AY$137, LS_previous!X$148, FALSE), VLOOKUP('Staging Table'!$A96, LS_previous!$B$4:$AY$137,LS_previous!AV$148, FALSE))/2)</f>
        <v>0</v>
      </c>
      <c r="AG96" s="102">
        <f t="array" ref="AG96">IF($G96=0, INDEX(LS_previous!$D$4:$AY$137, MATCH('Staging Table'!$A96, LS_previous!$B$4:$B$137, 0), MATCH(AG$4&amp;AG$5, LS_previous!$D$2:$AY$2&amp;LS_previous!$D$3:$AY$3, 0)),SUM(VLOOKUP($A96, LS_previous!$B$4:$AY$137, LS_previous!Y$148, FALSE), VLOOKUP('Staging Table'!$A96, LS_previous!$B$4:$AY$137,LS_previous!AW$148, FALSE))/2)</f>
        <v>0</v>
      </c>
      <c r="AH96" s="102">
        <f t="array" ref="AH96">IF($G96=0, INDEX(LS_previous!$D$4:$AY$137, MATCH('Staging Table'!$A96, LS_previous!$B$4:$B$137, 0), MATCH(AH$4&amp;AH$5, LS_previous!$D$2:$AY$2&amp;LS_previous!$D$3:$AY$3, 0)),SUM(VLOOKUP($A96, LS_previous!$B$4:$AY$137, LS_previous!Z$148, FALSE), VLOOKUP('Staging Table'!$A96, LS_previous!$B$4:$AY$137,LS_previous!AX$148, FALSE))/2)</f>
        <v>0</v>
      </c>
      <c r="AI96" s="102">
        <f t="array" ref="AI96">IF($G96=0, INDEX(LS_previous!$D$4:$AY$137, MATCH('Staging Table'!$A96, LS_previous!$B$4:$B$137, 0), MATCH(AI$4&amp;AI$5, LS_previous!$D$2:$AY$2&amp;LS_previous!$D$3:$AY$3, 0)),SUM(VLOOKUP($A96, LS_previous!$B$4:$AY$137, LS_previous!AA$148, FALSE), VLOOKUP('Staging Table'!$A96, LS_previous!$B$4:$AY$137,LS_previous!AY$148, FALSE))/2)</f>
        <v>0</v>
      </c>
      <c r="AJ96" s="103">
        <f t="array" ref="AJ96">INDEX(Demand_previous!$D$4:$AY$137, MATCH('Staging Table'!$A96, Demand_previous!$B$4:$B$137, 0), MATCH(AJ$4&amp;AJ$5,Demand_previous!$D$2:$AY$2&amp;Demand_previous!$D$3:$AY$3, 0))/1000</f>
        <v>0</v>
      </c>
      <c r="AK96" s="103">
        <f t="array" ref="AK96">INDEX(Demand_previous!$D$4:$AY$137, MATCH('Staging Table'!$A96, Demand_previous!$B$4:$B$137, 0), MATCH(AK$4&amp;AK$5,Demand_previous!$D$2:$AY$2&amp;Demand_previous!$D$3:$AY$3, 0))/1000</f>
        <v>0</v>
      </c>
      <c r="AL96" s="103">
        <f t="array" ref="AL96">INDEX(Demand_previous!$D$4:$AY$137, MATCH('Staging Table'!$A96, Demand_previous!$B$4:$B$137, 0), MATCH(AL$4&amp;AL$5,Demand_previous!$D$2:$AY$2&amp;Demand_previous!$D$3:$AY$3, 0))/1000</f>
        <v>0</v>
      </c>
      <c r="AM96" s="103">
        <f t="array" ref="AM96">INDEX(Demand_previous!$D$4:$AY$137, MATCH('Staging Table'!$A96, Demand_previous!$B$4:$B$137, 0), MATCH(AM$4&amp;AM$5,Demand_previous!$D$2:$AY$2&amp;Demand_previous!$D$3:$AY$3, 0))/1000</f>
        <v>0</v>
      </c>
      <c r="AN96" s="103">
        <f t="array" ref="AN96">INDEX(Demand_previous!$D$4:$AY$137, MATCH('Staging Table'!$A96, Demand_previous!$B$4:$B$137, 0), MATCH(AN$4&amp;AN$5,Demand_previous!$D$2:$AY$2&amp;Demand_previous!$D$3:$AY$3, 0))/1000</f>
        <v>0</v>
      </c>
      <c r="AO96" s="103">
        <f t="array" ref="AO96">INDEX(Demand_previous!$D$4:$AY$137, MATCH('Staging Table'!$A96, Demand_previous!$B$4:$B$137, 0), MATCH(AO$4&amp;AO$5,Demand_previous!$D$2:$AY$2&amp;Demand_previous!$D$3:$AY$3, 0))/1000</f>
        <v>0</v>
      </c>
      <c r="AP96" s="103">
        <f t="array" ref="AP96">INDEX(Demand_previous!$D$4:$AY$137, MATCH('Staging Table'!$A96, Demand_previous!$B$4:$B$137, 0), MATCH(AP$4&amp;AP$5,Demand_previous!$D$2:$AY$2&amp;Demand_previous!$D$3:$AY$3, 0))/1000</f>
        <v>0</v>
      </c>
      <c r="AQ96" s="103">
        <f t="array" ref="AQ96">INDEX(Demand_previous!$D$4:$AY$137, MATCH('Staging Table'!$A96, Demand_previous!$B$4:$B$137, 0), MATCH(AQ$4&amp;AQ$5,Demand_previous!$D$2:$AY$2&amp;Demand_previous!$D$3:$AY$3, 0))/1000</f>
        <v>0</v>
      </c>
      <c r="AR96" s="103">
        <f t="array" ref="AR96">INDEX(Demand_previous!$D$4:$AY$137, MATCH('Staging Table'!$A96, Demand_previous!$B$4:$B$137, 0), MATCH(AR$4&amp;AR$5,Demand_previous!$D$2:$AY$2&amp;Demand_previous!$D$3:$AY$3, 0))/1000</f>
        <v>0</v>
      </c>
      <c r="AS96" s="103">
        <f t="array" ref="AS96">INDEX(Demand_previous!$D$4:$AY$137, MATCH('Staging Table'!$A96, Demand_previous!$B$4:$B$137, 0), MATCH(AS$4&amp;AS$5,Demand_previous!$D$2:$AY$2&amp;Demand_previous!$D$3:$AY$3, 0))/1000</f>
        <v>0</v>
      </c>
      <c r="AT96" s="103">
        <f t="array" ref="AT96">INDEX(Demand_previous!$D$4:$AY$137, MATCH('Staging Table'!$A96, Demand_previous!$B$4:$B$137, 0), MATCH(AT$4&amp;AT$5,Demand_previous!$D$2:$AY$2&amp;Demand_previous!$D$3:$AY$3, 0))/1000</f>
        <v>0</v>
      </c>
      <c r="AU96" s="103">
        <f t="array" ref="AU96">INDEX(Demand_previous!$D$4:$AY$137, MATCH('Staging Table'!$A96, Demand_previous!$B$4:$B$137, 0), MATCH(AU$4&amp;AU$5,Demand_previous!$D$2:$AY$2&amp;Demand_previous!$D$3:$AY$3, 0))/1000</f>
        <v>0</v>
      </c>
      <c r="AV96" s="102">
        <f>$F96*(VLOOKUP(AV$4, Rates_previous!$G$6:$Q$29, 10, FALSE)+VLOOKUP(AV$4, Rates_previous!$G$6:$Q$29, 11, FALSE))</f>
        <v>15032.01968260065</v>
      </c>
      <c r="AW96" s="102">
        <f>$F96*(VLOOKUP(AW$4, Rates_previous!$G$6:$Q$29, 10, FALSE)+VLOOKUP(AW$4, Rates_previous!$G$6:$Q$29, 11, FALSE))</f>
        <v>19170.781948512904</v>
      </c>
      <c r="AX96" s="102">
        <f>$F96*(VLOOKUP(AX$4, Rates_previous!$G$6:$Q$29, 10, FALSE)+VLOOKUP(AX$4, Rates_previous!$G$6:$Q$29, 11, FALSE))</f>
        <v>20689.0668748485</v>
      </c>
      <c r="AY96" s="102">
        <f>$F96*(VLOOKUP(AY$4, Rates_previous!$G$6:$Q$29, 10, FALSE)+VLOOKUP(AY$4, Rates_previous!$G$6:$Q$29, 11, FALSE))</f>
        <v>21499.138760846399</v>
      </c>
      <c r="AZ96" s="102">
        <f>$F96*(VLOOKUP(AZ$4, Rates_previous!$G$6:$Q$29, 10, FALSE)+VLOOKUP(AZ$4, Rates_previous!$G$6:$Q$29, 11, FALSE))</f>
        <v>18492.124986577797</v>
      </c>
      <c r="BA96" s="102">
        <f>$F96*(VLOOKUP(BA$4, Rates_previous!$G$6:$Q$29, 10, FALSE)+VLOOKUP(BA$4, Rates_previous!$G$6:$Q$29, 11, FALSE))</f>
        <v>20189.739228722101</v>
      </c>
      <c r="BB96" s="102">
        <f>$F96*(VLOOKUP(BB$4, Rates_previous!$G$6:$Q$29, 10, FALSE)+VLOOKUP(BB$4, Rates_previous!$G$6:$Q$29, 11, FALSE))</f>
        <v>15936.396737571675</v>
      </c>
      <c r="BC96" s="102">
        <f>$F96*(VLOOKUP(BC$4, Rates_previous!$G$6:$Q$29, 10, FALSE)+VLOOKUP(BC$4, Rates_previous!$G$6:$Q$29, 11, FALSE))</f>
        <v>19771.235729760152</v>
      </c>
      <c r="BD96" s="102">
        <f>$F96*(VLOOKUP(BD$4, Rates_previous!$G$6:$Q$29, 10, FALSE)+VLOOKUP(BD$4, Rates_previous!$G$6:$Q$29, 11, FALSE))</f>
        <v>20200.222187819549</v>
      </c>
      <c r="BE96" s="102">
        <f>$F96*(VLOOKUP(BE$4, Rates_previous!$G$6:$Q$29, 10, FALSE)+VLOOKUP(BE$4, Rates_previous!$G$6:$Q$29, 11, FALSE))</f>
        <v>17536.703072353648</v>
      </c>
      <c r="BF96" s="102">
        <f>$F96*(VLOOKUP(BF$4, Rates_previous!$G$6:$Q$29, 10, FALSE)+VLOOKUP(BF$4, Rates_previous!$G$6:$Q$29, 11, FALSE))</f>
        <v>16953.330462385187</v>
      </c>
      <c r="BG96" s="102">
        <f>$F96*(VLOOKUP(BG$4, Rates_previous!$G$6:$Q$29, 10, FALSE)+VLOOKUP(BG$4, Rates_previous!$G$6:$Q$29, 11, FALSE))</f>
        <v>15600.347018551802</v>
      </c>
      <c r="BH96" s="103">
        <f>IF($D96=0,IF(C96=0, MAX(BJ96 - (VLOOKUP($A96,TOCA_previous!$A$2:$AJ$136,MATCH("RHWM "&amp;Init!$D$1-2,TOCA_previous!$A$2:$AJ$2,0),FALSE)*$F$2*TOCA_previous!C93),0),0), 0)</f>
        <v>0</v>
      </c>
      <c r="BI96" s="109">
        <f>MIN(VLOOKUP($A96,TOCA_previous!$A$2:$AJ$136,MATCH("TRL - NLSL - Existing Resource "&amp;$F$1,TOCA_previous!$A$2:$AJ$2,0),FALSE)*$F$2,(VLOOKUP($A96,TOCA_previous!$A$2:$AJ$136,MATCH("RHWM "&amp;Init!$D$1-2,TOCA_previous!$A$2:$AJ$2,0),FALSE)*$F$2))</f>
        <v>216191.80799999999</v>
      </c>
      <c r="BJ96" s="261">
        <f>SUM(L96:AI96)+(F96*RT1SC!$C$3*$F$2)</f>
        <v>221071.10770389601</v>
      </c>
      <c r="BK96" s="260">
        <f>VLOOKUP($A96,TOCA_previous!$A$2:$AJ$136,MATCH("Above RHWM Not Served with LS "&amp;$F$1,TOCA_previous!$A$2:$AJ$2,0),FALSE)*$F$2</f>
        <v>0</v>
      </c>
      <c r="BL96" s="261">
        <f t="shared" si="36"/>
        <v>4879.2997038960166</v>
      </c>
      <c r="BM96" s="260">
        <f>(VLOOKUP($A96,TOCA_previous!$A$2:$AJ$136,MATCH("RHWM "&amp;Init!$D$1-2,TOCA_previous!$A$2:$AJ$2,0),FALSE)*$F$2) - $BI96</f>
        <v>1071.6480000000156</v>
      </c>
      <c r="BN96" s="261">
        <f t="shared" si="37"/>
        <v>-1071.6480000000156</v>
      </c>
      <c r="BO96" s="260">
        <f t="shared" si="38"/>
        <v>0</v>
      </c>
      <c r="BP96" s="261">
        <f t="shared" si="39"/>
        <v>0</v>
      </c>
      <c r="BQ96" s="260">
        <f t="shared" si="9"/>
        <v>-1071.6480000000156</v>
      </c>
      <c r="BR96" s="85">
        <f>VLOOKUP($A96,TOCA_current!$A$2:$ZZ$136,MATCH(BR$4,TOCA_current!$A$2:$ZZ$2,0),FALSE)</f>
        <v>3.4991000000000002E-3</v>
      </c>
      <c r="BS96" s="85">
        <f>VLOOKUP($A96,TOCA_current!$A$2:$ZZ$136,MATCH(BS$4,TOCA_current!$A$2:$ZZ$2,0),FALSE)</f>
        <v>3.4991000000000002E-3</v>
      </c>
      <c r="BT96" s="108">
        <f t="shared" si="40"/>
        <v>0</v>
      </c>
      <c r="BU96" s="85">
        <f>VLOOKUP($A96,TOCA_current!A93:BG227,MATCH(BU$4,TOCA_current!$A$2:$BG$2,0),FALSE)</f>
        <v>6.2419101981750207E-2</v>
      </c>
      <c r="BV96" s="85">
        <f t="shared" si="41"/>
        <v>6.2419101981750207E-2</v>
      </c>
      <c r="BW96" s="85">
        <f t="shared" si="42"/>
        <v>3.4991000000000002E-3</v>
      </c>
      <c r="BX96" s="101">
        <f>VLOOKUP($A96,IRD!$A$4:$G$138, 7, FALSE)</f>
        <v>0</v>
      </c>
      <c r="BY96" s="102">
        <f t="array" ref="BY96">IF($BT96=0, INDEX(LS_current!$D$4:$BW$137, MATCH('Staging Table'!$A96, LS_current!$B$4:$B$137, 0), MATCH(BY$4&amp;BY$5, LS_current!$D$2:$BW$2&amp;LS_current!$D$3:$BW$3, 0)),SUM(VLOOKUP($A96, LS_current!$B$4:$BW$137, LS_current!D$147, FALSE), VLOOKUP($A96, LS_current!$B$4:$BW$137,LS_current!AZ$147, FALSE))/2)</f>
        <v>0</v>
      </c>
      <c r="BZ96" s="102">
        <f t="array" ref="BZ96">IF($BT96=0, INDEX(LS_current!$D$4:$BW$137, MATCH('Staging Table'!$A96, LS_current!$B$4:$B$137, 0), MATCH(BZ$4&amp;BZ$5, LS_current!$D$2:$BW$2&amp;LS_current!$D$3:$BW$3, 0)),SUM(VLOOKUP($A96, LS_current!$B$4:$BW$137, LS_current!E$147, FALSE), VLOOKUP($A96, LS_current!$B$4:$BW$137,LS_current!BA$147, FALSE))/2)</f>
        <v>0</v>
      </c>
      <c r="CA96" s="102">
        <f t="array" ref="CA96">IF($BT96=0, INDEX(LS_current!$D$4:$BW$137, MATCH('Staging Table'!$A96, LS_current!$B$4:$B$137, 0), MATCH(CA$4&amp;CA$5, LS_current!$D$2:$BW$2&amp;LS_current!$D$3:$BW$3, 0)),SUM(VLOOKUP($A96, LS_current!$B$4:$BW$137, LS_current!F$147, FALSE), VLOOKUP($A96, LS_current!$B$4:$BW$137,LS_current!BB$147, FALSE))/2)</f>
        <v>0</v>
      </c>
      <c r="CB96" s="102">
        <f t="array" ref="CB96">IF($BT96=0, INDEX(LS_current!$D$4:$BW$137, MATCH('Staging Table'!$A96, LS_current!$B$4:$B$137, 0), MATCH(CB$4&amp;CB$5, LS_current!$D$2:$BW$2&amp;LS_current!$D$3:$BW$3, 0)),SUM(VLOOKUP($A96, LS_current!$B$4:$BW$137, LS_current!G$147, FALSE), VLOOKUP($A96, LS_current!$B$4:$BW$137,LS_current!BC$147, FALSE))/2)</f>
        <v>0</v>
      </c>
      <c r="CC96" s="102">
        <f t="array" ref="CC96">IF($BT96=0, INDEX(LS_current!$D$4:$BW$137, MATCH('Staging Table'!$A96, LS_current!$B$4:$B$137, 0), MATCH(CC$4&amp;CC$5, LS_current!$D$2:$BW$2&amp;LS_current!$D$3:$BW$3, 0)),SUM(VLOOKUP($A96, LS_current!$B$4:$BW$137, LS_current!H$147, FALSE), VLOOKUP($A96, LS_current!$B$4:$BW$137,LS_current!BD$147, FALSE))/2)</f>
        <v>0</v>
      </c>
      <c r="CD96" s="102">
        <f t="array" ref="CD96">IF($BT96=0, INDEX(LS_current!$D$4:$BW$137, MATCH('Staging Table'!$A96, LS_current!$B$4:$B$137, 0), MATCH(CD$4&amp;CD$5, LS_current!$D$2:$BW$2&amp;LS_current!$D$3:$BW$3, 0)),SUM(VLOOKUP($A96, LS_current!$B$4:$BW$137, LS_current!I$147, FALSE), VLOOKUP($A96, LS_current!$B$4:$BW$137,LS_current!BE$147, FALSE))/2)</f>
        <v>0</v>
      </c>
      <c r="CE96" s="102">
        <f t="array" ref="CE96">IF($BT96=0, INDEX(LS_current!$D$4:$BW$137, MATCH('Staging Table'!$A96, LS_current!$B$4:$B$137, 0), MATCH(CE$4&amp;CE$5, LS_current!$D$2:$BW$2&amp;LS_current!$D$3:$BW$3, 0)),SUM(VLOOKUP($A96, LS_current!$B$4:$BW$137, LS_current!J$147, FALSE), VLOOKUP($A96, LS_current!$B$4:$BW$137,LS_current!BF$147, FALSE))/2)</f>
        <v>0</v>
      </c>
      <c r="CF96" s="102">
        <f t="array" ref="CF96">IF($BT96=0, INDEX(LS_current!$D$4:$BW$137, MATCH('Staging Table'!$A96, LS_current!$B$4:$B$137, 0), MATCH(CF$4&amp;CF$5, LS_current!$D$2:$BW$2&amp;LS_current!$D$3:$BW$3, 0)),SUM(VLOOKUP($A96, LS_current!$B$4:$BW$137, LS_current!K$147, FALSE), VLOOKUP($A96, LS_current!$B$4:$BW$137,LS_current!BG$147, FALSE))/2)</f>
        <v>0</v>
      </c>
      <c r="CG96" s="102">
        <f t="array" ref="CG96">IF($BT96=0, INDEX(LS_current!$D$4:$BW$137, MATCH('Staging Table'!$A96, LS_current!$B$4:$B$137, 0), MATCH(CG$4&amp;CG$5, LS_current!$D$2:$BW$2&amp;LS_current!$D$3:$BW$3, 0)),SUM(VLOOKUP($A96, LS_current!$B$4:$BW$137, LS_current!L$147, FALSE), VLOOKUP($A96, LS_current!$B$4:$BW$137,LS_current!BH$147, FALSE))/2)</f>
        <v>0</v>
      </c>
      <c r="CH96" s="102">
        <f t="array" ref="CH96">IF($BT96=0, INDEX(LS_current!$D$4:$BW$137, MATCH('Staging Table'!$A96, LS_current!$B$4:$B$137, 0), MATCH(CH$4&amp;CH$5, LS_current!$D$2:$BW$2&amp;LS_current!$D$3:$BW$3, 0)),SUM(VLOOKUP($A96, LS_current!$B$4:$BW$137, LS_current!M$147, FALSE), VLOOKUP($A96, LS_current!$B$4:$BW$137,LS_current!BI$147, FALSE))/2)</f>
        <v>0</v>
      </c>
      <c r="CI96" s="102">
        <f t="array" ref="CI96">IF($BT96=0, INDEX(LS_current!$D$4:$BW$137, MATCH('Staging Table'!$A96, LS_current!$B$4:$B$137, 0), MATCH(CI$4&amp;CI$5, LS_current!$D$2:$BW$2&amp;LS_current!$D$3:$BW$3, 0)),SUM(VLOOKUP($A96, LS_current!$B$4:$BW$137, LS_current!N$147, FALSE), VLOOKUP($A96, LS_current!$B$4:$BW$137,LS_current!BJ$147, FALSE))/2)</f>
        <v>0</v>
      </c>
      <c r="CJ96" s="102">
        <f t="array" ref="CJ96">IF($BT96=0, INDEX(LS_current!$D$4:$BW$137, MATCH('Staging Table'!$A96, LS_current!$B$4:$B$137, 0), MATCH(CJ$4&amp;CJ$5, LS_current!$D$2:$BW$2&amp;LS_current!$D$3:$BW$3, 0)),SUM(VLOOKUP($A96, LS_current!$B$4:$BW$137, LS_current!O$147, FALSE), VLOOKUP($A96, LS_current!$B$4:$BW$137,LS_current!BK$147, FALSE))/2)</f>
        <v>0</v>
      </c>
      <c r="CK96" s="102">
        <f t="array" ref="CK96">IF($BT96=0, INDEX(LS_current!$D$4:$BW$137, MATCH('Staging Table'!$A96, LS_current!$B$4:$B$137, 0), MATCH(CK$4&amp;CK$5, LS_current!$D$2:$BW$2&amp;LS_current!$D$3:$BW$3, 0)),SUM(VLOOKUP($A96, LS_current!$B$4:$BW$137, LS_current!P$147, FALSE), VLOOKUP($A96, LS_current!$B$4:$BW$137,LS_current!BL$147, FALSE))/2)</f>
        <v>0</v>
      </c>
      <c r="CL96" s="102">
        <f t="array" ref="CL96">IF($BT96=0, INDEX(LS_current!$D$4:$BW$137, MATCH('Staging Table'!$A96, LS_current!$B$4:$B$137, 0), MATCH(CL$4&amp;CL$5, LS_current!$D$2:$BW$2&amp;LS_current!$D$3:$BW$3, 0)),SUM(VLOOKUP($A96, LS_current!$B$4:$BW$137, LS_current!Q$147, FALSE), VLOOKUP($A96, LS_current!$B$4:$BW$137,LS_current!BM$147, FALSE))/2)</f>
        <v>0</v>
      </c>
      <c r="CM96" s="102">
        <f t="array" ref="CM96">IF($BT96=0, INDEX(LS_current!$D$4:$BW$137, MATCH('Staging Table'!$A96, LS_current!$B$4:$B$137, 0), MATCH(CM$4&amp;CM$5, LS_current!$D$2:$BW$2&amp;LS_current!$D$3:$BW$3, 0)),SUM(VLOOKUP($A96, LS_current!$B$4:$BW$137, LS_current!R$147, FALSE), VLOOKUP($A96, LS_current!$B$4:$BW$137,LS_current!BN$147, FALSE))/2)</f>
        <v>0</v>
      </c>
      <c r="CN96" s="102">
        <f t="array" ref="CN96">IF($BT96=0, INDEX(LS_current!$D$4:$BW$137, MATCH('Staging Table'!$A96, LS_current!$B$4:$B$137, 0), MATCH(CN$4&amp;CN$5, LS_current!$D$2:$BW$2&amp;LS_current!$D$3:$BW$3, 0)),SUM(VLOOKUP($A96, LS_current!$B$4:$BW$137, LS_current!S$147, FALSE), VLOOKUP($A96, LS_current!$B$4:$BW$137,LS_current!BO$147, FALSE))/2)</f>
        <v>0</v>
      </c>
      <c r="CO96" s="102">
        <f t="array" ref="CO96">IF($BT96=0, INDEX(LS_current!$D$4:$BW$137, MATCH('Staging Table'!$A96, LS_current!$B$4:$B$137, 0), MATCH(CO$4&amp;CO$5, LS_current!$D$2:$BW$2&amp;LS_current!$D$3:$BW$3, 0)),SUM(VLOOKUP($A96, LS_current!$B$4:$BW$137, LS_current!T$147, FALSE), VLOOKUP($A96, LS_current!$B$4:$BW$137,LS_current!BP$147, FALSE))/2)</f>
        <v>0</v>
      </c>
      <c r="CP96" s="102">
        <f t="array" ref="CP96">IF($BT96=0, INDEX(LS_current!$D$4:$BW$137, MATCH('Staging Table'!$A96, LS_current!$B$4:$B$137, 0), MATCH(CP$4&amp;CP$5, LS_current!$D$2:$BW$2&amp;LS_current!$D$3:$BW$3, 0)),SUM(VLOOKUP($A96, LS_current!$B$4:$BW$137, LS_current!U$147, FALSE), VLOOKUP($A96, LS_current!$B$4:$BW$137,LS_current!BQ$147, FALSE))/2)</f>
        <v>0</v>
      </c>
      <c r="CQ96" s="102">
        <f t="array" ref="CQ96">IF($BT96=0, INDEX(LS_current!$D$4:$BW$137, MATCH('Staging Table'!$A96, LS_current!$B$4:$B$137, 0), MATCH(CQ$4&amp;CQ$5, LS_current!$D$2:$BW$2&amp;LS_current!$D$3:$BW$3, 0)),SUM(VLOOKUP($A96, LS_current!$B$4:$BW$137, LS_current!V$147, FALSE), VLOOKUP($A96, LS_current!$B$4:$BW$137,LS_current!BR$147, FALSE))/2)</f>
        <v>0</v>
      </c>
      <c r="CR96" s="102">
        <f t="array" ref="CR96">IF($BT96=0, INDEX(LS_current!$D$4:$BW$137, MATCH('Staging Table'!$A96, LS_current!$B$4:$B$137, 0), MATCH(CR$4&amp;CR$5, LS_current!$D$2:$BW$2&amp;LS_current!$D$3:$BW$3, 0)),SUM(VLOOKUP($A96, LS_current!$B$4:$BW$137, LS_current!W$147, FALSE), VLOOKUP($A96, LS_current!$B$4:$BW$137,LS_current!BS$147, FALSE))/2)</f>
        <v>0</v>
      </c>
      <c r="CS96" s="102">
        <f t="array" ref="CS96">IF($BT96=0, INDEX(LS_current!$D$4:$BW$137, MATCH('Staging Table'!$A96, LS_current!$B$4:$B$137, 0), MATCH(CS$4&amp;CS$5, LS_current!$D$2:$BW$2&amp;LS_current!$D$3:$BW$3, 0)),SUM(VLOOKUP($A96, LS_current!$B$4:$BW$137, LS_current!X$147, FALSE), VLOOKUP($A96, LS_current!$B$4:$BW$137,LS_current!BT$147, FALSE))/2)</f>
        <v>0</v>
      </c>
      <c r="CT96" s="102">
        <f t="array" ref="CT96">IF($BT96=0, INDEX(LS_current!$D$4:$BW$137, MATCH('Staging Table'!$A96, LS_current!$B$4:$B$137, 0), MATCH(CT$4&amp;CT$5, LS_current!$D$2:$BW$2&amp;LS_current!$D$3:$BW$3, 0)),SUM(VLOOKUP($A96, LS_current!$B$4:$BW$137, LS_current!Y$147, FALSE), VLOOKUP($A96, LS_current!$B$4:$BW$137,LS_current!BU$147, FALSE))/2)</f>
        <v>0</v>
      </c>
      <c r="CU96" s="102">
        <f t="array" ref="CU96">IF($BT96=0, INDEX(LS_current!$D$4:$BW$137, MATCH('Staging Table'!$A96, LS_current!$B$4:$B$137, 0), MATCH(CU$4&amp;CU$5, LS_current!$D$2:$BW$2&amp;LS_current!$D$3:$BW$3, 0)),SUM(VLOOKUP($A96, LS_current!$B$4:$BW$137, LS_current!Z$147, FALSE), VLOOKUP($A96, LS_current!$B$4:$BW$137,LS_current!BV$147, FALSE))/2)</f>
        <v>0</v>
      </c>
      <c r="CV96" s="102">
        <f t="array" ref="CV96">IF($BT96=0, INDEX(LS_current!$D$4:$BW$137, MATCH('Staging Table'!$A96, LS_current!$B$4:$B$137, 0), MATCH(CV$4&amp;CV$5, LS_current!$D$2:$BW$2&amp;LS_current!$D$3:$BW$3, 0)),SUM(VLOOKUP($A96, LS_current!$B$4:$BW$137, LS_current!AA$147, FALSE), VLOOKUP($A96, LS_current!$B$4:$BW$137,LS_current!BW$147, FALSE))/2)</f>
        <v>0</v>
      </c>
      <c r="CW96" s="103">
        <f t="array" ref="CW96">INDEX(Demand_current!$D$4:$BW$137, MATCH($A96, Demand_current!$B$4:$B$137, 0), MATCH(CW$4&amp;CW$5,Demand_current!$D$2:$BW$2&amp;Demand_current!$D$3:$BW$3, 0))/1000</f>
        <v>0</v>
      </c>
      <c r="CX96" s="103">
        <f t="array" ref="CX96">INDEX(Demand_current!$D$4:$BW$137, MATCH($A96, Demand_current!$B$4:$B$137, 0), MATCH(CX$4&amp;CX$5,Demand_current!$D$2:$BW$2&amp;Demand_current!$D$3:$BW$3, 0))/1000</f>
        <v>0</v>
      </c>
      <c r="CY96" s="103">
        <f t="array" ref="CY96">INDEX(Demand_current!$D$4:$BW$137, MATCH($A96, Demand_current!$B$4:$B$137, 0), MATCH(CY$4&amp;CY$5,Demand_current!$D$2:$BW$2&amp;Demand_current!$D$3:$BW$3, 0))/1000</f>
        <v>0</v>
      </c>
      <c r="CZ96" s="103">
        <f t="array" ref="CZ96">INDEX(Demand_current!$D$4:$BW$137, MATCH($A96, Demand_current!$B$4:$B$137, 0), MATCH(CZ$4&amp;CZ$5,Demand_current!$D$2:$BW$2&amp;Demand_current!$D$3:$BW$3, 0))/1000</f>
        <v>0</v>
      </c>
      <c r="DA96" s="103">
        <f t="array" ref="DA96">INDEX(Demand_current!$D$4:$BW$137, MATCH($A96, Demand_current!$B$4:$B$137, 0), MATCH(DA$4&amp;DA$5,Demand_current!$D$2:$BW$2&amp;Demand_current!$D$3:$BW$3, 0))/1000</f>
        <v>0</v>
      </c>
      <c r="DB96" s="103">
        <f t="array" ref="DB96">INDEX(Demand_current!$D$4:$BW$137, MATCH($A96, Demand_current!$B$4:$B$137, 0), MATCH(DB$4&amp;DB$5,Demand_current!$D$2:$BW$2&amp;Demand_current!$D$3:$BW$3, 0))/1000</f>
        <v>0</v>
      </c>
      <c r="DC96" s="103">
        <f t="array" ref="DC96">INDEX(Demand_current!$D$4:$BW$137, MATCH($A96, Demand_current!$B$4:$B$137, 0), MATCH(DC$4&amp;DC$5,Demand_current!$D$2:$BW$2&amp;Demand_current!$D$3:$BW$3, 0))/1000</f>
        <v>0</v>
      </c>
      <c r="DD96" s="103">
        <f t="array" ref="DD96">INDEX(Demand_current!$D$4:$BW$137, MATCH($A96, Demand_current!$B$4:$B$137, 0), MATCH(DD$4&amp;DD$5,Demand_current!$D$2:$BW$2&amp;Demand_current!$D$3:$BW$3, 0))/1000</f>
        <v>0</v>
      </c>
      <c r="DE96" s="103">
        <f t="array" ref="DE96">INDEX(Demand_current!$D$4:$BW$137, MATCH($A96, Demand_current!$B$4:$B$137, 0), MATCH(DE$4&amp;DE$5,Demand_current!$D$2:$BW$2&amp;Demand_current!$D$3:$BW$3, 0))/1000</f>
        <v>0</v>
      </c>
      <c r="DF96" s="103">
        <f t="array" ref="DF96">INDEX(Demand_current!$D$4:$BW$137, MATCH($A96, Demand_current!$B$4:$B$137, 0), MATCH(DF$4&amp;DF$5,Demand_current!$D$2:$BW$2&amp;Demand_current!$D$3:$BW$3, 0))/1000</f>
        <v>0</v>
      </c>
      <c r="DG96" s="103">
        <f t="array" ref="DG96">INDEX(Demand_current!$D$4:$BW$137, MATCH($A96, Demand_current!$B$4:$B$137, 0), MATCH(DG$4&amp;DG$5,Demand_current!$D$2:$BW$2&amp;Demand_current!$D$3:$BW$3, 0))/1000</f>
        <v>0</v>
      </c>
      <c r="DH96" s="103">
        <f t="array" ref="DH96">INDEX(Demand_current!$D$4:$BW$137, MATCH($A96, Demand_current!$B$4:$B$137, 0), MATCH(DH$4&amp;DH$5,Demand_current!$D$2:$BW$2&amp;Demand_current!$D$3:$BW$3, 0))/1000</f>
        <v>0</v>
      </c>
      <c r="DI96" s="102">
        <f>$BS96*(VLOOKUP(DI$4, Rates_current!$H$6:$R$41, 10, FALSE)+VLOOKUP(DI$4, Rates_current!$H$6:$R$41, 11, FALSE))</f>
        <v>14522.271371523115</v>
      </c>
      <c r="DJ96" s="102">
        <f>$BS96*(VLOOKUP(DJ$4, Rates_current!$H$6:$R$41, 10, FALSE)+VLOOKUP(DJ$4, Rates_current!$H$6:$R$41, 11, FALSE))</f>
        <v>18566.245990335232</v>
      </c>
      <c r="DK96" s="102">
        <f>$BS96*(VLOOKUP(DK$4, Rates_current!$H$6:$R$41, 10, FALSE)+VLOOKUP(DK$4, Rates_current!$H$6:$R$41, 11, FALSE))</f>
        <v>21108.268866758859</v>
      </c>
      <c r="DL96" s="102">
        <f>$BS96*(VLOOKUP(DL$4, Rates_current!$H$6:$R$41, 10, FALSE)+VLOOKUP(DL$4, Rates_current!$H$6:$R$41, 11, FALSE))</f>
        <v>22270.871342369683</v>
      </c>
      <c r="DM96" s="102">
        <f>$BS96*(VLOOKUP(DM$4, Rates_current!$H$6:$R$41, 10, FALSE)+VLOOKUP(DM$4, Rates_current!$H$6:$R$41, 11, FALSE))</f>
        <v>17747.874436901078</v>
      </c>
      <c r="DN96" s="102">
        <f>$BS96*(VLOOKUP(DN$4, Rates_current!$H$6:$R$41, 10, FALSE)+VLOOKUP(DN$4, Rates_current!$H$6:$R$41, 11, FALSE))</f>
        <v>19402.071387543991</v>
      </c>
      <c r="DO96" s="102">
        <f>$BS96*(VLOOKUP(DO$4, Rates_current!$H$6:$R$41, 10, FALSE)+VLOOKUP(DO$4, Rates_current!$H$6:$R$41, 11, FALSE))</f>
        <v>15036.800492180486</v>
      </c>
      <c r="DP96" s="102">
        <f>$BS96*(VLOOKUP(DP$4, Rates_current!$H$6:$R$41, 10, FALSE)+VLOOKUP(DP$4, Rates_current!$H$6:$R$41, 11, FALSE))</f>
        <v>19460.095681414685</v>
      </c>
      <c r="DQ96" s="102">
        <f>$BS96*(VLOOKUP(DQ$4, Rates_current!$H$6:$R$41, 10, FALSE)+VLOOKUP(DQ$4, Rates_current!$H$6:$R$41, 11, FALSE))</f>
        <v>19875.625372536186</v>
      </c>
      <c r="DR96" s="102">
        <f>$BS96*(VLOOKUP(DR$4, Rates_current!$H$6:$R$41, 10, FALSE)+VLOOKUP(DR$4, Rates_current!$H$6:$R$41, 11, FALSE))</f>
        <v>17691.025519700437</v>
      </c>
      <c r="DS96" s="102">
        <f>$BS96*(VLOOKUP(DS$4, Rates_current!$H$6:$R$41, 10, FALSE)+VLOOKUP(DS$4, Rates_current!$H$6:$R$41, 11, FALSE))</f>
        <v>18147.747755336237</v>
      </c>
      <c r="DT96" s="102">
        <f>$BS96*(VLOOKUP(DT$4, Rates_current!$H$6:$R$41, 10, FALSE)+VLOOKUP(DT$4, Rates_current!$H$6:$R$41, 11, FALSE))</f>
        <v>14093.901531498226</v>
      </c>
      <c r="DU96" s="261">
        <f>IF(D96=0,IF(C96=0,MAX(0,DW96 - (VLOOKUP($A96,TOCA_current!$A$2:$AV$136,MATCH("RHWM "&amp;Init!$D$1,TOCA_current!$A$2:$AV$2,0),FALSE)*$BS$2)), 0),0)</f>
        <v>0</v>
      </c>
      <c r="DV96" s="262">
        <f>MIN(VLOOKUP($A96,TOCA_current!$A$2:$AV$136,MATCH("TRL - NLSL - Existing Resource "&amp;$BS$1,TOCA_current!$A$2:$AV$2,0),FALSE)*$BS$2, VLOOKUP($A96,TOCA_current!$A$2:$AV$136,MATCH("RHWM "&amp;Init!$D$1,TOCA_current!$A$2:$AV$2,0),FALSE)*$BS$2)</f>
        <v>217922.52</v>
      </c>
      <c r="DW96" s="262">
        <f>SUM(BY96:CV96)+(BS96*RT1SC!$C$4*$BS$2)</f>
        <v>217922.81261203202</v>
      </c>
      <c r="DX96" s="262">
        <f>VLOOKUP($A96,TOCA_current!$A$2:$AV$136,MATCH("Above RHWM Not Served with LS "&amp;$BS$1,TOCA_current!$A$2:$AV$2,0),FALSE)*$BS$2</f>
        <v>8786.2799999999988</v>
      </c>
      <c r="DY96" s="262">
        <f t="shared" si="43"/>
        <v>0.29261203203350306</v>
      </c>
      <c r="DZ96" s="262">
        <f>(VLOOKUP($A96,TOCA_current!$A$2:$AV$136,MATCH("RHWM "&amp;Init!$D$1,TOCA_current!$A$2:$AV$2,0),FALSE)*$BS$2) - $DV96</f>
        <v>0</v>
      </c>
      <c r="EA96" s="262">
        <f t="shared" si="44"/>
        <v>0</v>
      </c>
      <c r="EB96" s="262">
        <f t="shared" si="45"/>
        <v>0</v>
      </c>
      <c r="EC96" s="262">
        <f t="shared" si="46"/>
        <v>0</v>
      </c>
      <c r="ED96" s="262">
        <f t="shared" si="47"/>
        <v>0</v>
      </c>
    </row>
    <row r="97" spans="1:134">
      <c r="A97" s="2">
        <v>10291</v>
      </c>
      <c r="B97" s="3" t="s">
        <v>99</v>
      </c>
      <c r="C97">
        <f>VLOOKUP(A97, TOCA_current!$A$3:$D$136, 4, FALSE)</f>
        <v>0</v>
      </c>
      <c r="D97">
        <v>0</v>
      </c>
      <c r="E97" s="84">
        <f>VLOOKUP($A97,TOCA_previous!$A$2:$AJ$136,MATCH(E$4,TOCA_previous!$A$2:$AJ$2,0),FALSE)</f>
        <v>1.1318699999999999E-2</v>
      </c>
      <c r="F97" s="85">
        <f>VLOOKUP($A97,TOCA_previous!$A$2:$AJ$136,MATCH(F$4,TOCA_previous!$A$2:$AJ$2,0),FALSE)</f>
        <v>1.1318699999999999E-2</v>
      </c>
      <c r="G97" s="85">
        <f t="shared" si="33"/>
        <v>0</v>
      </c>
      <c r="H97" s="85">
        <f>VLOOKUP($A97,TOCA_previous!$A$2:$AJ$136,MATCH(H$4,TOCA_previous!$A$2:$AJ$2,0),FALSE)</f>
        <v>0.05</v>
      </c>
      <c r="I97" s="85">
        <f t="shared" si="34"/>
        <v>0</v>
      </c>
      <c r="J97" s="85">
        <f t="shared" si="35"/>
        <v>0</v>
      </c>
      <c r="K97" s="101">
        <f>VLOOKUP(A97, IRD!$A$5:$C$138, 3, FALSE)</f>
        <v>36260.600999999995</v>
      </c>
      <c r="L97" s="102">
        <f t="array" ref="L97">IF($G97=0, INDEX(LS_previous!$D$4:$AY$137, MATCH('Staging Table'!$A97, LS_previous!$B$4:$B$137, 0), MATCH(L$4&amp;L$5, LS_previous!$D$2:$AY$2&amp;LS_previous!$D$3:$AY$3, 0)),SUM(VLOOKUP($A97, LS_previous!$B$4:$AY$137, LS_previous!D$148, FALSE), VLOOKUP('Staging Table'!$A97, LS_previous!$B$4:$AY$137,LS_previous!AB$148, FALSE))/2)</f>
        <v>5934.2216897267972</v>
      </c>
      <c r="M97" s="102">
        <f t="array" ref="M97">IF($G97=0, INDEX(LS_previous!$D$4:$AY$137, MATCH('Staging Table'!$A97, LS_previous!$B$4:$B$137, 0), MATCH(M$4&amp;M$5, LS_previous!$D$2:$AY$2&amp;LS_previous!$D$3:$AY$3, 0)),SUM(VLOOKUP($A97, LS_previous!$B$4:$AY$137, LS_previous!E$148, FALSE), VLOOKUP('Staging Table'!$A97, LS_previous!$B$4:$AY$137,LS_previous!AC$148, FALSE))/2)</f>
        <v>1359.0741749831504</v>
      </c>
      <c r="N97" s="102">
        <f t="array" ref="N97">IF($G97=0, INDEX(LS_previous!$D$4:$AY$137, MATCH('Staging Table'!$A97, LS_previous!$B$4:$B$137, 0), MATCH(N$4&amp;N$5, LS_previous!$D$2:$AY$2&amp;LS_previous!$D$3:$AY$3, 0)),SUM(VLOOKUP($A97, LS_previous!$B$4:$AY$137, LS_previous!F$148, FALSE), VLOOKUP('Staging Table'!$A97, LS_previous!$B$4:$AY$137,LS_previous!AD$148, FALSE))/2)</f>
        <v>493.29728056640306</v>
      </c>
      <c r="O97" s="102">
        <f t="array" ref="O97">IF($G97=0, INDEX(LS_previous!$D$4:$AY$137, MATCH('Staging Table'!$A97, LS_previous!$B$4:$B$137, 0), MATCH(O$4&amp;O$5, LS_previous!$D$2:$AY$2&amp;LS_previous!$D$3:$AY$3, 0)),SUM(VLOOKUP($A97, LS_previous!$B$4:$AY$137, LS_previous!G$148, FALSE), VLOOKUP('Staging Table'!$A97, LS_previous!$B$4:$AY$137,LS_previous!AE$148, FALSE))/2)</f>
        <v>3564.504539300302</v>
      </c>
      <c r="P97" s="102">
        <f t="array" ref="P97">IF($G97=0, INDEX(LS_previous!$D$4:$AY$137, MATCH('Staging Table'!$A97, LS_previous!$B$4:$B$137, 0), MATCH(P$4&amp;P$5, LS_previous!$D$2:$AY$2&amp;LS_previous!$D$3:$AY$3, 0)),SUM(VLOOKUP($A97, LS_previous!$B$4:$AY$137, LS_previous!H$148, FALSE), VLOOKUP('Staging Table'!$A97, LS_previous!$B$4:$AY$137,LS_previous!AF$148, FALSE))/2)</f>
        <v>4283.1680659807025</v>
      </c>
      <c r="Q97" s="102">
        <f t="array" ref="Q97">IF($G97=0, INDEX(LS_previous!$D$4:$AY$137, MATCH('Staging Table'!$A97, LS_previous!$B$4:$B$137, 0), MATCH(Q$4&amp;Q$5, LS_previous!$D$2:$AY$2&amp;LS_previous!$D$3:$AY$3, 0)),SUM(VLOOKUP($A97, LS_previous!$B$4:$AY$137, LS_previous!I$148, FALSE), VLOOKUP('Staging Table'!$A97, LS_previous!$B$4:$AY$137,LS_previous!AG$148, FALSE))/2)</f>
        <v>3599.3831530848038</v>
      </c>
      <c r="R97" s="102">
        <f t="array" ref="R97">IF($G97=0, INDEX(LS_previous!$D$4:$AY$137, MATCH('Staging Table'!$A97, LS_previous!$B$4:$B$137, 0), MATCH(R$4&amp;R$5, LS_previous!$D$2:$AY$2&amp;LS_previous!$D$3:$AY$3, 0)),SUM(VLOOKUP($A97, LS_previous!$B$4:$AY$137, LS_previous!J$148, FALSE), VLOOKUP('Staging Table'!$A97, LS_previous!$B$4:$AY$137,LS_previous!AH$148, FALSE))/2)</f>
        <v>-128.99381457049458</v>
      </c>
      <c r="S97" s="102">
        <f t="array" ref="S97">IF($G97=0, INDEX(LS_previous!$D$4:$AY$137, MATCH('Staging Table'!$A97, LS_previous!$B$4:$B$137, 0), MATCH(S$4&amp;S$5, LS_previous!$D$2:$AY$2&amp;LS_previous!$D$3:$AY$3, 0)),SUM(VLOOKUP($A97, LS_previous!$B$4:$AY$137, LS_previous!K$148, FALSE), VLOOKUP('Staging Table'!$A97, LS_previous!$B$4:$AY$137,LS_previous!AI$148, FALSE))/2)</f>
        <v>2243.6850911576985</v>
      </c>
      <c r="T97" s="102">
        <f t="array" ref="T97">IF($G97=0, INDEX(LS_previous!$D$4:$AY$137, MATCH('Staging Table'!$A97, LS_previous!$B$4:$B$137, 0), MATCH(T$4&amp;T$5, LS_previous!$D$2:$AY$2&amp;LS_previous!$D$3:$AY$3, 0)),SUM(VLOOKUP($A97, LS_previous!$B$4:$AY$137, LS_previous!L$148, FALSE), VLOOKUP('Staging Table'!$A97, LS_previous!$B$4:$AY$137,LS_previous!AJ$148, FALSE))/2)</f>
        <v>1682.9866443627106</v>
      </c>
      <c r="U97" s="102">
        <f t="array" ref="U97">IF($G97=0, INDEX(LS_previous!$D$4:$AY$137, MATCH('Staging Table'!$A97, LS_previous!$B$4:$B$137, 0), MATCH(U$4&amp;U$5, LS_previous!$D$2:$AY$2&amp;LS_previous!$D$3:$AY$3, 0)),SUM(VLOOKUP($A97, LS_previous!$B$4:$AY$137, LS_previous!M$148, FALSE), VLOOKUP('Staging Table'!$A97, LS_previous!$B$4:$AY$137,LS_previous!AK$148, FALSE))/2)</f>
        <v>3470.0866966667018</v>
      </c>
      <c r="V97" s="102">
        <f t="array" ref="V97">IF($G97=0, INDEX(LS_previous!$D$4:$AY$137, MATCH('Staging Table'!$A97, LS_previous!$B$4:$B$137, 0), MATCH(V$4&amp;V$5, LS_previous!$D$2:$AY$2&amp;LS_previous!$D$3:$AY$3, 0)),SUM(VLOOKUP($A97, LS_previous!$B$4:$AY$137, LS_previous!N$148, FALSE), VLOOKUP('Staging Table'!$A97, LS_previous!$B$4:$AY$137,LS_previous!AL$148, FALSE))/2)</f>
        <v>288.51053568690259</v>
      </c>
      <c r="W97" s="102">
        <f t="array" ref="W97">IF($G97=0, INDEX(LS_previous!$D$4:$AY$137, MATCH('Staging Table'!$A97, LS_previous!$B$4:$B$137, 0), MATCH(W$4&amp;W$5, LS_previous!$D$2:$AY$2&amp;LS_previous!$D$3:$AY$3, 0)),SUM(VLOOKUP($A97, LS_previous!$B$4:$AY$137, LS_previous!O$148, FALSE), VLOOKUP('Staging Table'!$A97, LS_previous!$B$4:$AY$137,LS_previous!AM$148, FALSE))/2)</f>
        <v>1344.5368213514012</v>
      </c>
      <c r="X97" s="102">
        <f t="array" ref="X97">IF($G97=0, INDEX(LS_previous!$D$4:$AY$137, MATCH('Staging Table'!$A97, LS_previous!$B$4:$B$137, 0), MATCH(X$4&amp;X$5, LS_previous!$D$2:$AY$2&amp;LS_previous!$D$3:$AY$3, 0)),SUM(VLOOKUP($A97, LS_previous!$B$4:$AY$137, LS_previous!P$148, FALSE), VLOOKUP('Staging Table'!$A97, LS_previous!$B$4:$AY$137,LS_previous!AN$148, FALSE))/2)</f>
        <v>4494.6830888107579</v>
      </c>
      <c r="Y97" s="102">
        <f t="array" ref="Y97">IF($G97=0, INDEX(LS_previous!$D$4:$AY$137, MATCH('Staging Table'!$A97, LS_previous!$B$4:$B$137, 0), MATCH(Y$4&amp;Y$5, LS_previous!$D$2:$AY$2&amp;LS_previous!$D$3:$AY$3, 0)),SUM(VLOOKUP($A97, LS_previous!$B$4:$AY$137, LS_previous!Q$148, FALSE), VLOOKUP('Staging Table'!$A97, LS_previous!$B$4:$AY$137,LS_previous!AO$148, FALSE))/2)</f>
        <v>1637.5988904902806</v>
      </c>
      <c r="Z97" s="102">
        <f t="array" ref="Z97">IF($G97=0, INDEX(LS_previous!$D$4:$AY$137, MATCH('Staging Table'!$A97, LS_previous!$B$4:$B$137, 0), MATCH(Z$4&amp;Z$5, LS_previous!$D$2:$AY$2&amp;LS_previous!$D$3:$AY$3, 0)),SUM(VLOOKUP($A97, LS_previous!$B$4:$AY$137, LS_previous!R$148, FALSE), VLOOKUP('Staging Table'!$A97, LS_previous!$B$4:$AY$137,LS_previous!AP$148, FALSE))/2)</f>
        <v>-3994.0733574576007</v>
      </c>
      <c r="AA97" s="102">
        <f t="array" ref="AA97">IF($G97=0, INDEX(LS_previous!$D$4:$AY$137, MATCH('Staging Table'!$A97, LS_previous!$B$4:$B$137, 0), MATCH(AA$4&amp;AA$5, LS_previous!$D$2:$AY$2&amp;LS_previous!$D$3:$AY$3, 0)),SUM(VLOOKUP($A97, LS_previous!$B$4:$AY$137, LS_previous!S$148, FALSE), VLOOKUP('Staging Table'!$A97, LS_previous!$B$4:$AY$137,LS_previous!AQ$148, FALSE))/2)</f>
        <v>-717.83268431394754</v>
      </c>
      <c r="AB97" s="102">
        <f t="array" ref="AB97">IF($G97=0, INDEX(LS_previous!$D$4:$AY$137, MATCH('Staging Table'!$A97, LS_previous!$B$4:$B$137, 0), MATCH(AB$4&amp;AB$5, LS_previous!$D$2:$AY$2&amp;LS_previous!$D$3:$AY$3, 0)),SUM(VLOOKUP($A97, LS_previous!$B$4:$AY$137, LS_previous!T$148, FALSE), VLOOKUP('Staging Table'!$A97, LS_previous!$B$4:$AY$137,LS_previous!AR$148, FALSE))/2)</f>
        <v>-28.431712016194069</v>
      </c>
      <c r="AC97" s="102">
        <f t="array" ref="AC97">IF($G97=0, INDEX(LS_previous!$D$4:$AY$137, MATCH('Staging Table'!$A97, LS_previous!$B$4:$B$137, 0), MATCH(AC$4&amp;AC$5, LS_previous!$D$2:$AY$2&amp;LS_previous!$D$3:$AY$3, 0)),SUM(VLOOKUP($A97, LS_previous!$B$4:$AY$137, LS_previous!U$148, FALSE), VLOOKUP('Staging Table'!$A97, LS_previous!$B$4:$AY$137,LS_previous!AS$148, FALSE))/2)</f>
        <v>-583.83155936915136</v>
      </c>
      <c r="AD97" s="102">
        <f t="array" ref="AD97">IF($G97=0, INDEX(LS_previous!$D$4:$AY$137, MATCH('Staging Table'!$A97, LS_previous!$B$4:$B$137, 0), MATCH(AD$4&amp;AD$5, LS_previous!$D$2:$AY$2&amp;LS_previous!$D$3:$AY$3, 0)),SUM(VLOOKUP($A97, LS_previous!$B$4:$AY$137, LS_previous!V$148, FALSE), VLOOKUP('Staging Table'!$A97, LS_previous!$B$4:$AY$137,LS_previous!AT$148, FALSE))/2)</f>
        <v>10138.497572813198</v>
      </c>
      <c r="AE97" s="102">
        <f t="array" ref="AE97">IF($G97=0, INDEX(LS_previous!$D$4:$AY$137, MATCH('Staging Table'!$A97, LS_previous!$B$4:$B$137, 0), MATCH(AE$4&amp;AE$5, LS_previous!$D$2:$AY$2&amp;LS_previous!$D$3:$AY$3, 0)),SUM(VLOOKUP($A97, LS_previous!$B$4:$AY$137, LS_previous!W$148, FALSE), VLOOKUP('Staging Table'!$A97, LS_previous!$B$4:$AY$137,LS_previous!AU$148, FALSE))/2)</f>
        <v>6460.0509961157513</v>
      </c>
      <c r="AF97" s="102">
        <f t="array" ref="AF97">IF($G97=0, INDEX(LS_previous!$D$4:$AY$137, MATCH('Staging Table'!$A97, LS_previous!$B$4:$B$137, 0), MATCH(AF$4&amp;AF$5, LS_previous!$D$2:$AY$2&amp;LS_previous!$D$3:$AY$3, 0)),SUM(VLOOKUP($A97, LS_previous!$B$4:$AY$137, LS_previous!X$148, FALSE), VLOOKUP('Staging Table'!$A97, LS_previous!$B$4:$AY$137,LS_previous!AV$148, FALSE))/2)</f>
        <v>5840.1990358429466</v>
      </c>
      <c r="AG97" s="102">
        <f t="array" ref="AG97">IF($G97=0, INDEX(LS_previous!$D$4:$AY$137, MATCH('Staging Table'!$A97, LS_previous!$B$4:$B$137, 0), MATCH(AG$4&amp;AG$5, LS_previous!$D$2:$AY$2&amp;LS_previous!$D$3:$AY$3, 0)),SUM(VLOOKUP($A97, LS_previous!$B$4:$AY$137, LS_previous!Y$148, FALSE), VLOOKUP('Staging Table'!$A97, LS_previous!$B$4:$AY$137,LS_previous!AW$148, FALSE))/2)</f>
        <v>4603.1465956018073</v>
      </c>
      <c r="AH97" s="102">
        <f t="array" ref="AH97">IF($G97=0, INDEX(LS_previous!$D$4:$AY$137, MATCH('Staging Table'!$A97, LS_previous!$B$4:$B$137, 0), MATCH(AH$4&amp;AH$5, LS_previous!$D$2:$AY$2&amp;LS_previous!$D$3:$AY$3, 0)),SUM(VLOOKUP($A97, LS_previous!$B$4:$AY$137, LS_previous!Z$148, FALSE), VLOOKUP('Staging Table'!$A97, LS_previous!$B$4:$AY$137,LS_previous!AX$148, FALSE))/2)</f>
        <v>1014.1781580761999</v>
      </c>
      <c r="AI97" s="102">
        <f t="array" ref="AI97">IF($G97=0, INDEX(LS_previous!$D$4:$AY$137, MATCH('Staging Table'!$A97, LS_previous!$B$4:$B$137, 0), MATCH(AI$4&amp;AI$5, LS_previous!$D$2:$AY$2&amp;LS_previous!$D$3:$AY$3, 0)),SUM(VLOOKUP($A97, LS_previous!$B$4:$AY$137, LS_previous!AA$148, FALSE), VLOOKUP('Staging Table'!$A97, LS_previous!$B$4:$AY$137,LS_previous!AY$148, FALSE))/2)</f>
        <v>-750.06587744479839</v>
      </c>
      <c r="AJ97" s="103">
        <f t="array" ref="AJ97">INDEX(Demand_previous!$D$4:$AY$137, MATCH('Staging Table'!$A97, Demand_previous!$B$4:$B$137, 0), MATCH(AJ$4&amp;AJ$5,Demand_previous!$D$2:$AY$2&amp;Demand_previous!$D$3:$AY$3, 0))/1000</f>
        <v>12.317091346153838</v>
      </c>
      <c r="AK97" s="103">
        <f t="array" ref="AK97">INDEX(Demand_previous!$D$4:$AY$137, MATCH('Staging Table'!$A97, Demand_previous!$B$4:$B$137, 0), MATCH(AK$4&amp;AK$5,Demand_previous!$D$2:$AY$2&amp;Demand_previous!$D$3:$AY$3, 0))/1000</f>
        <v>6.8353749999999849</v>
      </c>
      <c r="AL97" s="103">
        <f t="array" ref="AL97">INDEX(Demand_previous!$D$4:$AY$137, MATCH('Staging Table'!$A97, Demand_previous!$B$4:$B$137, 0), MATCH(AL$4&amp;AL$5,Demand_previous!$D$2:$AY$2&amp;Demand_previous!$D$3:$AY$3, 0))/1000</f>
        <v>4.707774999999998</v>
      </c>
      <c r="AM97" s="103">
        <f t="array" ref="AM97">INDEX(Demand_previous!$D$4:$AY$137, MATCH('Staging Table'!$A97, Demand_previous!$B$4:$B$137, 0), MATCH(AM$4&amp;AM$5,Demand_previous!$D$2:$AY$2&amp;Demand_previous!$D$3:$AY$3, 0))/1000</f>
        <v>33.297836538461539</v>
      </c>
      <c r="AN97" s="103">
        <f t="array" ref="AN97">INDEX(Demand_previous!$D$4:$AY$137, MATCH('Staging Table'!$A97, Demand_previous!$B$4:$B$137, 0), MATCH(AN$4&amp;AN$5,Demand_previous!$D$2:$AY$2&amp;Demand_previous!$D$3:$AY$3, 0))/1000</f>
        <v>14.767374999999994</v>
      </c>
      <c r="AO97" s="103">
        <f t="array" ref="AO97">INDEX(Demand_previous!$D$4:$AY$137, MATCH('Staging Table'!$A97, Demand_previous!$B$4:$B$137, 0), MATCH(AO$4&amp;AO$5,Demand_previous!$D$2:$AY$2&amp;Demand_previous!$D$3:$AY$3, 0))/1000</f>
        <v>13.612639423076928</v>
      </c>
      <c r="AP97" s="103">
        <f t="array" ref="AP97">INDEX(Demand_previous!$D$4:$AY$137, MATCH('Staging Table'!$A97, Demand_previous!$B$4:$B$137, 0), MATCH(AP$4&amp;AP$5,Demand_previous!$D$2:$AY$2&amp;Demand_previous!$D$3:$AY$3, 0))/1000</f>
        <v>14.147076923076927</v>
      </c>
      <c r="AQ97" s="103">
        <f t="array" ref="AQ97">INDEX(Demand_previous!$D$4:$AY$137, MATCH('Staging Table'!$A97, Demand_previous!$B$4:$B$137, 0), MATCH(AQ$4&amp;AQ$5,Demand_previous!$D$2:$AY$2&amp;Demand_previous!$D$3:$AY$3, 0))/1000</f>
        <v>12.066350961538459</v>
      </c>
      <c r="AR97" s="103">
        <f t="array" ref="AR97">INDEX(Demand_previous!$D$4:$AY$137, MATCH('Staging Table'!$A97, Demand_previous!$B$4:$B$137, 0), MATCH(AR$4&amp;AR$5,Demand_previous!$D$2:$AY$2&amp;Demand_previous!$D$3:$AY$3, 0))/1000</f>
        <v>9.4794249999999902</v>
      </c>
      <c r="AS97" s="103">
        <f t="array" ref="AS97">INDEX(Demand_previous!$D$4:$AY$137, MATCH('Staging Table'!$A97, Demand_previous!$B$4:$B$137, 0), MATCH(AS$4&amp;AS$5,Demand_previous!$D$2:$AY$2&amp;Demand_previous!$D$3:$AY$3, 0))/1000</f>
        <v>12.48254326923078</v>
      </c>
      <c r="AT97" s="103">
        <f t="array" ref="AT97">INDEX(Demand_previous!$D$4:$AY$137, MATCH('Staging Table'!$A97, Demand_previous!$B$4:$B$137, 0), MATCH(AT$4&amp;AT$5,Demand_previous!$D$2:$AY$2&amp;Demand_previous!$D$3:$AY$3, 0))/1000</f>
        <v>27.607722222222208</v>
      </c>
      <c r="AU97" s="103">
        <f t="array" ref="AU97">INDEX(Demand_previous!$D$4:$AY$137, MATCH('Staging Table'!$A97, Demand_previous!$B$4:$B$137, 0), MATCH(AU$4&amp;AU$5,Demand_previous!$D$2:$AY$2&amp;Demand_previous!$D$3:$AY$3, 0))/1000</f>
        <v>18.486562499999998</v>
      </c>
      <c r="AV97" s="102">
        <f>$F97*(VLOOKUP(AV$4, Rates_previous!$G$6:$Q$29, 10, FALSE)+VLOOKUP(AV$4, Rates_previous!$G$6:$Q$29, 11, FALSE))</f>
        <v>47751.374135290047</v>
      </c>
      <c r="AW97" s="102">
        <f>$F97*(VLOOKUP(AW$4, Rates_previous!$G$6:$Q$29, 10, FALSE)+VLOOKUP(AW$4, Rates_previous!$G$6:$Q$29, 11, FALSE))</f>
        <v>60898.748180133305</v>
      </c>
      <c r="AX97" s="102">
        <f>$F97*(VLOOKUP(AX$4, Rates_previous!$G$6:$Q$29, 10, FALSE)+VLOOKUP(AX$4, Rates_previous!$G$6:$Q$29, 11, FALSE))</f>
        <v>65721.798780934507</v>
      </c>
      <c r="AY97" s="102">
        <f>$F97*(VLOOKUP(AY$4, Rates_previous!$G$6:$Q$29, 10, FALSE)+VLOOKUP(AY$4, Rates_previous!$G$6:$Q$29, 11, FALSE))</f>
        <v>68295.108723412792</v>
      </c>
      <c r="AZ97" s="102">
        <f>$F97*(VLOOKUP(AZ$4, Rates_previous!$G$6:$Q$29, 10, FALSE)+VLOOKUP(AZ$4, Rates_previous!$G$6:$Q$29, 11, FALSE))</f>
        <v>58742.896658970589</v>
      </c>
      <c r="BA97" s="102">
        <f>$F97*(VLOOKUP(BA$4, Rates_previous!$G$6:$Q$29, 10, FALSE)+VLOOKUP(BA$4, Rates_previous!$G$6:$Q$29, 11, FALSE))</f>
        <v>64135.612642961692</v>
      </c>
      <c r="BB97" s="102">
        <f>$F97*(VLOOKUP(BB$4, Rates_previous!$G$6:$Q$29, 10, FALSE)+VLOOKUP(BB$4, Rates_previous!$G$6:$Q$29, 11, FALSE))</f>
        <v>50624.258020698966</v>
      </c>
      <c r="BC97" s="102">
        <f>$F97*(VLOOKUP(BC$4, Rates_previous!$G$6:$Q$29, 10, FALSE)+VLOOKUP(BC$4, Rates_previous!$G$6:$Q$29, 11, FALSE))</f>
        <v>62806.176041771549</v>
      </c>
      <c r="BD97" s="102">
        <f>$F97*(VLOOKUP(BD$4, Rates_previous!$G$6:$Q$29, 10, FALSE)+VLOOKUP(BD$4, Rates_previous!$G$6:$Q$29, 11, FALSE))</f>
        <v>64168.91327138534</v>
      </c>
      <c r="BE97" s="102">
        <f>$F97*(VLOOKUP(BE$4, Rates_previous!$G$6:$Q$29, 10, FALSE)+VLOOKUP(BE$4, Rates_previous!$G$6:$Q$29, 11, FALSE))</f>
        <v>55707.861431071047</v>
      </c>
      <c r="BF97" s="102">
        <f>$F97*(VLOOKUP(BF$4, Rates_previous!$G$6:$Q$29, 10, FALSE)+VLOOKUP(BF$4, Rates_previous!$G$6:$Q$29, 11, FALSE))</f>
        <v>53854.694368555247</v>
      </c>
      <c r="BG97" s="102">
        <f>$F97*(VLOOKUP(BG$4, Rates_previous!$G$6:$Q$29, 10, FALSE)+VLOOKUP(BG$4, Rates_previous!$G$6:$Q$29, 11, FALSE))</f>
        <v>49556.747719368599</v>
      </c>
      <c r="BH97" s="103">
        <f>IF($D97=0,IF(C97=0, MAX(BJ97 - (VLOOKUP($A97,TOCA_previous!$A$2:$AJ$136,MATCH("RHWM "&amp;Init!$D$1-2,TOCA_previous!$A$2:$AJ$2,0),FALSE)*$F$2*TOCA_previous!C94),0),0), 0)</f>
        <v>62978.085219038301</v>
      </c>
      <c r="BI97" s="109">
        <f>MIN(VLOOKUP($A97,TOCA_previous!$A$2:$AJ$136,MATCH("TRL - NLSL - Existing Resource "&amp;$F$1,TOCA_previous!$A$2:$AJ$2,0),FALSE)*$F$2,(VLOOKUP($A97,TOCA_previous!$A$2:$AJ$136,MATCH("RHWM "&amp;Init!$D$1-2,TOCA_previous!$A$2:$AJ$2,0),FALSE)*$F$2))</f>
        <v>686768.25599999994</v>
      </c>
      <c r="BJ97" s="261">
        <f>SUM(L97:AI97)+(F97*RT1SC!$C$3*$F$2)</f>
        <v>758512.77321903827</v>
      </c>
      <c r="BK97" s="260">
        <f>VLOOKUP($A97,TOCA_previous!$A$2:$AJ$136,MATCH("Above RHWM Not Served with LS "&amp;$F$1,TOCA_previous!$A$2:$AJ$2,0),FALSE)*$F$2</f>
        <v>0</v>
      </c>
      <c r="BL97" s="261">
        <f t="shared" si="36"/>
        <v>71744.517219038331</v>
      </c>
      <c r="BM97" s="260">
        <f>(VLOOKUP($A97,TOCA_previous!$A$2:$AJ$136,MATCH("RHWM "&amp;Init!$D$1-2,TOCA_previous!$A$2:$AJ$2,0),FALSE)*$F$2) - $BI97</f>
        <v>8766.4320000000298</v>
      </c>
      <c r="BN97" s="261">
        <f t="shared" si="37"/>
        <v>-8766.4320000000298</v>
      </c>
      <c r="BO97" s="260">
        <f t="shared" si="38"/>
        <v>0</v>
      </c>
      <c r="BP97" s="261">
        <f t="shared" si="39"/>
        <v>0</v>
      </c>
      <c r="BQ97" s="260">
        <f t="shared" si="9"/>
        <v>-8766.4320000000298</v>
      </c>
      <c r="BR97" s="85">
        <f>VLOOKUP($A97,TOCA_current!$A$2:$ZZ$136,MATCH(BR$4,TOCA_current!$A$2:$ZZ$2,0),FALSE)</f>
        <v>1.1201600000000001E-2</v>
      </c>
      <c r="BS97" s="85">
        <f>VLOOKUP($A97,TOCA_current!$A$2:$ZZ$136,MATCH(BS$4,TOCA_current!$A$2:$ZZ$2,0),FALSE)</f>
        <v>1.1201600000000001E-2</v>
      </c>
      <c r="BT97" s="108">
        <f t="shared" si="40"/>
        <v>0</v>
      </c>
      <c r="BU97" s="85">
        <f>VLOOKUP($A97,TOCA_current!A94:BG228,MATCH(BU$4,TOCA_current!$A$2:$BG$2,0),FALSE)</f>
        <v>5.4363494814033499E-2</v>
      </c>
      <c r="BV97" s="85">
        <f t="shared" si="41"/>
        <v>0</v>
      </c>
      <c r="BW97" s="85">
        <f t="shared" si="42"/>
        <v>0</v>
      </c>
      <c r="BX97" s="101">
        <f>VLOOKUP($A97,IRD!$A$4:$G$138, 7, FALSE)</f>
        <v>36260.600999999995</v>
      </c>
      <c r="BY97" s="102">
        <f t="array" ref="BY97">IF($BT97=0, INDEX(LS_current!$D$4:$BW$137, MATCH('Staging Table'!$A97, LS_current!$B$4:$B$137, 0), MATCH(BY$4&amp;BY$5, LS_current!$D$2:$BW$2&amp;LS_current!$D$3:$BW$3, 0)),SUM(VLOOKUP($A97, LS_current!$B$4:$BW$137, LS_current!D$147, FALSE), VLOOKUP($A97, LS_current!$B$4:$BW$137,LS_current!AZ$147, FALSE))/2)</f>
        <v>2854.3537242961174</v>
      </c>
      <c r="BZ97" s="102">
        <f t="array" ref="BZ97">IF($BT97=0, INDEX(LS_current!$D$4:$BW$137, MATCH('Staging Table'!$A97, LS_current!$B$4:$B$137, 0), MATCH(BZ$4&amp;BZ$5, LS_current!$D$2:$BW$2&amp;LS_current!$D$3:$BW$3, 0)),SUM(VLOOKUP($A97, LS_current!$B$4:$BW$137, LS_current!E$147, FALSE), VLOOKUP($A97, LS_current!$B$4:$BW$137,LS_current!BA$147, FALSE))/2)</f>
        <v>529.65459834303692</v>
      </c>
      <c r="CA97" s="102">
        <f t="array" ref="CA97">IF($BT97=0, INDEX(LS_current!$D$4:$BW$137, MATCH('Staging Table'!$A97, LS_current!$B$4:$B$137, 0), MATCH(CA$4&amp;CA$5, LS_current!$D$2:$BW$2&amp;LS_current!$D$3:$BW$3, 0)),SUM(VLOOKUP($A97, LS_current!$B$4:$BW$137, LS_current!F$147, FALSE), VLOOKUP($A97, LS_current!$B$4:$BW$137,LS_current!BB$147, FALSE))/2)</f>
        <v>-1133.5900545797776</v>
      </c>
      <c r="CB97" s="102">
        <f t="array" ref="CB97">IF($BT97=0, INDEX(LS_current!$D$4:$BW$137, MATCH('Staging Table'!$A97, LS_current!$B$4:$B$137, 0), MATCH(CB$4&amp;CB$5, LS_current!$D$2:$BW$2&amp;LS_current!$D$3:$BW$3, 0)),SUM(VLOOKUP($A97, LS_current!$B$4:$BW$137, LS_current!G$147, FALSE), VLOOKUP($A97, LS_current!$B$4:$BW$137,LS_current!BC$147, FALSE))/2)</f>
        <v>1643.4319781203594</v>
      </c>
      <c r="CC97" s="102">
        <f t="array" ref="CC97">IF($BT97=0, INDEX(LS_current!$D$4:$BW$137, MATCH('Staging Table'!$A97, LS_current!$B$4:$B$137, 0), MATCH(CC$4&amp;CC$5, LS_current!$D$2:$BW$2&amp;LS_current!$D$3:$BW$3, 0)),SUM(VLOOKUP($A97, LS_current!$B$4:$BW$137, LS_current!H$147, FALSE), VLOOKUP($A97, LS_current!$B$4:$BW$137,LS_current!BD$147, FALSE))/2)</f>
        <v>-2076.1605373606071</v>
      </c>
      <c r="CD97" s="102">
        <f t="array" ref="CD97">IF($BT97=0, INDEX(LS_current!$D$4:$BW$137, MATCH('Staging Table'!$A97, LS_current!$B$4:$B$137, 0), MATCH(CD$4&amp;CD$5, LS_current!$D$2:$BW$2&amp;LS_current!$D$3:$BW$3, 0)),SUM(VLOOKUP($A97, LS_current!$B$4:$BW$137, LS_current!I$147, FALSE), VLOOKUP($A97, LS_current!$B$4:$BW$137,LS_current!BE$147, FALSE))/2)</f>
        <v>2936.2246301598825</v>
      </c>
      <c r="CE97" s="102">
        <f t="array" ref="CE97">IF($BT97=0, INDEX(LS_current!$D$4:$BW$137, MATCH('Staging Table'!$A97, LS_current!$B$4:$B$137, 0), MATCH(CE$4&amp;CE$5, LS_current!$D$2:$BW$2&amp;LS_current!$D$3:$BW$3, 0)),SUM(VLOOKUP($A97, LS_current!$B$4:$BW$137, LS_current!J$147, FALSE), VLOOKUP($A97, LS_current!$B$4:$BW$137,LS_current!BF$147, FALSE))/2)</f>
        <v>-5675.0308344527803</v>
      </c>
      <c r="CF97" s="102">
        <f t="array" ref="CF97">IF($BT97=0, INDEX(LS_current!$D$4:$BW$137, MATCH('Staging Table'!$A97, LS_current!$B$4:$B$137, 0), MATCH(CF$4&amp;CF$5, LS_current!$D$2:$BW$2&amp;LS_current!$D$3:$BW$3, 0)),SUM(VLOOKUP($A97, LS_current!$B$4:$BW$137, LS_current!K$147, FALSE), VLOOKUP($A97, LS_current!$B$4:$BW$137,LS_current!BG$147, FALSE))/2)</f>
        <v>-381.2715086320859</v>
      </c>
      <c r="CG97" s="102">
        <f t="array" ref="CG97">IF($BT97=0, INDEX(LS_current!$D$4:$BW$137, MATCH('Staging Table'!$A97, LS_current!$B$4:$B$137, 0), MATCH(CG$4&amp;CG$5, LS_current!$D$2:$BW$2&amp;LS_current!$D$3:$BW$3, 0)),SUM(VLOOKUP($A97, LS_current!$B$4:$BW$137, LS_current!L$147, FALSE), VLOOKUP($A97, LS_current!$B$4:$BW$137,LS_current!BH$147, FALSE))/2)</f>
        <v>211.10813903593953</v>
      </c>
      <c r="CH97" s="102">
        <f t="array" ref="CH97">IF($BT97=0, INDEX(LS_current!$D$4:$BW$137, MATCH('Staging Table'!$A97, LS_current!$B$4:$B$137, 0), MATCH(CH$4&amp;CH$5, LS_current!$D$2:$BW$2&amp;LS_current!$D$3:$BW$3, 0)),SUM(VLOOKUP($A97, LS_current!$B$4:$BW$137, LS_current!M$147, FALSE), VLOOKUP($A97, LS_current!$B$4:$BW$137,LS_current!BI$147, FALSE))/2)</f>
        <v>2198.5405405127713</v>
      </c>
      <c r="CI97" s="102">
        <f t="array" ref="CI97">IF($BT97=0, INDEX(LS_current!$D$4:$BW$137, MATCH('Staging Table'!$A97, LS_current!$B$4:$B$137, 0), MATCH(CI$4&amp;CI$5, LS_current!$D$2:$BW$2&amp;LS_current!$D$3:$BW$3, 0)),SUM(VLOOKUP($A97, LS_current!$B$4:$BW$137, LS_current!N$147, FALSE), VLOOKUP($A97, LS_current!$B$4:$BW$137,LS_current!BJ$147, FALSE))/2)</f>
        <v>-3949.4152240186741</v>
      </c>
      <c r="CJ97" s="102">
        <f t="array" ref="CJ97">IF($BT97=0, INDEX(LS_current!$D$4:$BW$137, MATCH('Staging Table'!$A97, LS_current!$B$4:$B$137, 0), MATCH(CJ$4&amp;CJ$5, LS_current!$D$2:$BW$2&amp;LS_current!$D$3:$BW$3, 0)),SUM(VLOOKUP($A97, LS_current!$B$4:$BW$137, LS_current!O$147, FALSE), VLOOKUP($A97, LS_current!$B$4:$BW$137,LS_current!BK$147, FALSE))/2)</f>
        <v>2442.7557448060797</v>
      </c>
      <c r="CK97" s="102">
        <f t="array" ref="CK97">IF($BT97=0, INDEX(LS_current!$D$4:$BW$137, MATCH('Staging Table'!$A97, LS_current!$B$4:$B$137, 0), MATCH(CK$4&amp;CK$5, LS_current!$D$2:$BW$2&amp;LS_current!$D$3:$BW$3, 0)),SUM(VLOOKUP($A97, LS_current!$B$4:$BW$137, LS_current!P$147, FALSE), VLOOKUP($A97, LS_current!$B$4:$BW$137,LS_current!BL$147, FALSE))/2)</f>
        <v>2779.1291961900024</v>
      </c>
      <c r="CL97" s="102">
        <f t="array" ref="CL97">IF($BT97=0, INDEX(LS_current!$D$4:$BW$137, MATCH('Staging Table'!$A97, LS_current!$B$4:$B$137, 0), MATCH(CL$4&amp;CL$5, LS_current!$D$2:$BW$2&amp;LS_current!$D$3:$BW$3, 0)),SUM(VLOOKUP($A97, LS_current!$B$4:$BW$137, LS_current!Q$147, FALSE), VLOOKUP($A97, LS_current!$B$4:$BW$137,LS_current!BM$147, FALSE))/2)</f>
        <v>836.39717367399135</v>
      </c>
      <c r="CM97" s="102">
        <f t="array" ref="CM97">IF($BT97=0, INDEX(LS_current!$D$4:$BW$137, MATCH('Staging Table'!$A97, LS_current!$B$4:$B$137, 0), MATCH(CM$4&amp;CM$5, LS_current!$D$2:$BW$2&amp;LS_current!$D$3:$BW$3, 0)),SUM(VLOOKUP($A97, LS_current!$B$4:$BW$137, LS_current!R$147, FALSE), VLOOKUP($A97, LS_current!$B$4:$BW$137,LS_current!BN$147, FALSE))/2)</f>
        <v>-6332.2382885467523</v>
      </c>
      <c r="CN97" s="102">
        <f t="array" ref="CN97">IF($BT97=0, INDEX(LS_current!$D$4:$BW$137, MATCH('Staging Table'!$A97, LS_current!$B$4:$B$137, 0), MATCH(CN$4&amp;CN$5, LS_current!$D$2:$BW$2&amp;LS_current!$D$3:$BW$3, 0)),SUM(VLOOKUP($A97, LS_current!$B$4:$BW$137, LS_current!S$147, FALSE), VLOOKUP($A97, LS_current!$B$4:$BW$137,LS_current!BO$147, FALSE))/2)</f>
        <v>-3041.5132212514109</v>
      </c>
      <c r="CO97" s="102">
        <f t="array" ref="CO97">IF($BT97=0, INDEX(LS_current!$D$4:$BW$137, MATCH('Staging Table'!$A97, LS_current!$B$4:$B$137, 0), MATCH(CO$4&amp;CO$5, LS_current!$D$2:$BW$2&amp;LS_current!$D$3:$BW$3, 0)),SUM(VLOOKUP($A97, LS_current!$B$4:$BW$137, LS_current!T$147, FALSE), VLOOKUP($A97, LS_current!$B$4:$BW$137,LS_current!BP$147, FALSE))/2)</f>
        <v>-4093.7519711280765</v>
      </c>
      <c r="CP97" s="102">
        <f t="array" ref="CP97">IF($BT97=0, INDEX(LS_current!$D$4:$BW$137, MATCH('Staging Table'!$A97, LS_current!$B$4:$B$137, 0), MATCH(CP$4&amp;CP$5, LS_current!$D$2:$BW$2&amp;LS_current!$D$3:$BW$3, 0)),SUM(VLOOKUP($A97, LS_current!$B$4:$BW$137, LS_current!U$147, FALSE), VLOOKUP($A97, LS_current!$B$4:$BW$137,LS_current!BQ$147, FALSE))/2)</f>
        <v>-981.04656506732863</v>
      </c>
      <c r="CQ97" s="102">
        <f t="array" ref="CQ97">IF($BT97=0, INDEX(LS_current!$D$4:$BW$137, MATCH('Staging Table'!$A97, LS_current!$B$4:$B$137, 0), MATCH(CQ$4&amp;CQ$5, LS_current!$D$2:$BW$2&amp;LS_current!$D$3:$BW$3, 0)),SUM(VLOOKUP($A97, LS_current!$B$4:$BW$137, LS_current!V$147, FALSE), VLOOKUP($A97, LS_current!$B$4:$BW$137,LS_current!BR$147, FALSE))/2)</f>
        <v>6075.8364819336712</v>
      </c>
      <c r="CR97" s="102">
        <f t="array" ref="CR97">IF($BT97=0, INDEX(LS_current!$D$4:$BW$137, MATCH('Staging Table'!$A97, LS_current!$B$4:$B$137, 0), MATCH(CR$4&amp;CR$5, LS_current!$D$2:$BW$2&amp;LS_current!$D$3:$BW$3, 0)),SUM(VLOOKUP($A97, LS_current!$B$4:$BW$137, LS_current!W$147, FALSE), VLOOKUP($A97, LS_current!$B$4:$BW$137,LS_current!BS$147, FALSE))/2)</f>
        <v>4425.8415179873336</v>
      </c>
      <c r="CS97" s="102">
        <f t="array" ref="CS97">IF($BT97=0, INDEX(LS_current!$D$4:$BW$137, MATCH('Staging Table'!$A97, LS_current!$B$4:$B$137, 0), MATCH(CS$4&amp;CS$5, LS_current!$D$2:$BW$2&amp;LS_current!$D$3:$BW$3, 0)),SUM(VLOOKUP($A97, LS_current!$B$4:$BW$137, LS_current!X$147, FALSE), VLOOKUP($A97, LS_current!$B$4:$BW$137,LS_current!BT$147, FALSE))/2)</f>
        <v>-1505.0228790641122</v>
      </c>
      <c r="CT97" s="102">
        <f t="array" ref="CT97">IF($BT97=0, INDEX(LS_current!$D$4:$BW$137, MATCH('Staging Table'!$A97, LS_current!$B$4:$B$137, 0), MATCH(CT$4&amp;CT$5, LS_current!$D$2:$BW$2&amp;LS_current!$D$3:$BW$3, 0)),SUM(VLOOKUP($A97, LS_current!$B$4:$BW$137, LS_current!Y$147, FALSE), VLOOKUP($A97, LS_current!$B$4:$BW$137,LS_current!BU$147, FALSE))/2)</f>
        <v>2536.234970123427</v>
      </c>
      <c r="CU97" s="102">
        <f t="array" ref="CU97">IF($BT97=0, INDEX(LS_current!$D$4:$BW$137, MATCH('Staging Table'!$A97, LS_current!$B$4:$B$137, 0), MATCH(CU$4&amp;CU$5, LS_current!$D$2:$BW$2&amp;LS_current!$D$3:$BW$3, 0)),SUM(VLOOKUP($A97, LS_current!$B$4:$BW$137, LS_current!Z$147, FALSE), VLOOKUP($A97, LS_current!$B$4:$BW$137,LS_current!BV$147, FALSE))/2)</f>
        <v>-251.02957801176308</v>
      </c>
      <c r="CV97" s="102">
        <f t="array" ref="CV97">IF($BT97=0, INDEX(LS_current!$D$4:$BW$137, MATCH('Staging Table'!$A97, LS_current!$B$4:$B$137, 0), MATCH(CV$4&amp;CV$5, LS_current!$D$2:$BW$2&amp;LS_current!$D$3:$BW$3, 0)),SUM(VLOOKUP($A97, LS_current!$B$4:$BW$137, LS_current!AA$147, FALSE), VLOOKUP($A97, LS_current!$B$4:$BW$137,LS_current!BW$147, FALSE))/2)</f>
        <v>-50.640156843059231</v>
      </c>
      <c r="CW97" s="103">
        <f t="array" ref="CW97">INDEX(Demand_current!$D$4:$BW$137, MATCH($A97, Demand_current!$B$4:$B$137, 0), MATCH(CW$4&amp;CW$5,Demand_current!$D$2:$BW$2&amp;Demand_current!$D$3:$BW$3, 0))/1000</f>
        <v>15.417569444444446</v>
      </c>
      <c r="CX97" s="103">
        <f t="array" ref="CX97">INDEX(Demand_current!$D$4:$BW$137, MATCH($A97, Demand_current!$B$4:$B$137, 0), MATCH(CX$4&amp;CX$5,Demand_current!$D$2:$BW$2&amp;Demand_current!$D$3:$BW$3, 0))/1000</f>
        <v>2.9350572916666526</v>
      </c>
      <c r="CY97" s="103">
        <f t="array" ref="CY97">INDEX(Demand_current!$D$4:$BW$137, MATCH($A97, Demand_current!$B$4:$B$137, 0), MATCH(CY$4&amp;CY$5,Demand_current!$D$2:$BW$2&amp;Demand_current!$D$3:$BW$3, 0))/1000</f>
        <v>8.9510913461538451</v>
      </c>
      <c r="CZ97" s="103">
        <f t="array" ref="CZ97">INDEX(Demand_current!$D$4:$BW$137, MATCH($A97, Demand_current!$B$4:$B$137, 0), MATCH(CZ$4&amp;CZ$5,Demand_current!$D$2:$BW$2&amp;Demand_current!$D$3:$BW$3, 0))/1000</f>
        <v>33.297836538461539</v>
      </c>
      <c r="DA97" s="103">
        <f t="array" ref="DA97">INDEX(Demand_current!$D$4:$BW$137, MATCH($A97, Demand_current!$B$4:$B$137, 0), MATCH(DA$4&amp;DA$5,Demand_current!$D$2:$BW$2&amp;Demand_current!$D$3:$BW$3, 0))/1000</f>
        <v>10.701265624999984</v>
      </c>
      <c r="DB97" s="103">
        <f t="array" ref="DB97">INDEX(Demand_current!$D$4:$BW$137, MATCH($A97, Demand_current!$B$4:$B$137, 0), MATCH(DB$4&amp;DB$5,Demand_current!$D$2:$BW$2&amp;Demand_current!$D$3:$BW$3, 0))/1000</f>
        <v>13.612639423076928</v>
      </c>
      <c r="DC97" s="103">
        <f t="array" ref="DC97">INDEX(Demand_current!$D$4:$BW$137, MATCH($A97, Demand_current!$B$4:$B$137, 0), MATCH(DC$4&amp;DC$5,Demand_current!$D$2:$BW$2&amp;Demand_current!$D$3:$BW$3, 0))/1000</f>
        <v>14.147076923076927</v>
      </c>
      <c r="DD97" s="103">
        <f t="array" ref="DD97">INDEX(Demand_current!$D$4:$BW$137, MATCH($A97, Demand_current!$B$4:$B$137, 0), MATCH(DD$4&amp;DD$5,Demand_current!$D$2:$BW$2&amp;Demand_current!$D$3:$BW$3, 0))/1000</f>
        <v>8.7807250000000021</v>
      </c>
      <c r="DE97" s="103">
        <f t="array" ref="DE97">INDEX(Demand_current!$D$4:$BW$137, MATCH($A97, Demand_current!$B$4:$B$137, 0), MATCH(DE$4&amp;DE$5,Demand_current!$D$2:$BW$2&amp;Demand_current!$D$3:$BW$3, 0))/1000</f>
        <v>13.351177884615366</v>
      </c>
      <c r="DF97" s="103">
        <f t="array" ref="DF97">INDEX(Demand_current!$D$4:$BW$137, MATCH($A97, Demand_current!$B$4:$B$137, 0), MATCH(DF$4&amp;DF$5,Demand_current!$D$2:$BW$2&amp;Demand_current!$D$3:$BW$3, 0))/1000</f>
        <v>12.48254326923078</v>
      </c>
      <c r="DG97" s="103">
        <f t="array" ref="DG97">INDEX(Demand_current!$D$4:$BW$137, MATCH($A97, Demand_current!$B$4:$B$137, 0), MATCH(DG$4&amp;DG$5,Demand_current!$D$2:$BW$2&amp;Demand_current!$D$3:$BW$3, 0))/1000</f>
        <v>24.046173076923068</v>
      </c>
      <c r="DH97" s="103">
        <f t="array" ref="DH97">INDEX(Demand_current!$D$4:$BW$137, MATCH($A97, Demand_current!$B$4:$B$137, 0), MATCH(DH$4&amp;DH$5,Demand_current!$D$2:$BW$2&amp;Demand_current!$D$3:$BW$3, 0))/1000</f>
        <v>21.6753</v>
      </c>
      <c r="DI97" s="102">
        <f>$BS97*(VLOOKUP(DI$4, Rates_current!$H$6:$R$41, 10, FALSE)+VLOOKUP(DI$4, Rates_current!$H$6:$R$41, 11, FALSE))</f>
        <v>46489.861677360845</v>
      </c>
      <c r="DJ97" s="102">
        <f>$BS97*(VLOOKUP(DJ$4, Rates_current!$H$6:$R$41, 10, FALSE)+VLOOKUP(DJ$4, Rates_current!$H$6:$R$41, 11, FALSE))</f>
        <v>59435.758076459417</v>
      </c>
      <c r="DK97" s="102">
        <f>$BS97*(VLOOKUP(DK$4, Rates_current!$H$6:$R$41, 10, FALSE)+VLOOKUP(DK$4, Rates_current!$H$6:$R$41, 11, FALSE))</f>
        <v>67573.485907200724</v>
      </c>
      <c r="DL97" s="102">
        <f>$BS97*(VLOOKUP(DL$4, Rates_current!$H$6:$R$41, 10, FALSE)+VLOOKUP(DL$4, Rates_current!$H$6:$R$41, 11, FALSE))</f>
        <v>71295.30234308487</v>
      </c>
      <c r="DM97" s="102">
        <f>$BS97*(VLOOKUP(DM$4, Rates_current!$H$6:$R$41, 10, FALSE)+VLOOKUP(DM$4, Rates_current!$H$6:$R$41, 11, FALSE))</f>
        <v>56815.921320451293</v>
      </c>
      <c r="DN97" s="102">
        <f>$BS97*(VLOOKUP(DN$4, Rates_current!$H$6:$R$41, 10, FALSE)+VLOOKUP(DN$4, Rates_current!$H$6:$R$41, 11, FALSE))</f>
        <v>62111.469479212596</v>
      </c>
      <c r="DO97" s="102">
        <f>$BS97*(VLOOKUP(DO$4, Rates_current!$H$6:$R$41, 10, FALSE)+VLOOKUP(DO$4, Rates_current!$H$6:$R$41, 11, FALSE))</f>
        <v>48137.013630136018</v>
      </c>
      <c r="DP97" s="102">
        <f>$BS97*(VLOOKUP(DP$4, Rates_current!$H$6:$R$41, 10, FALSE)+VLOOKUP(DP$4, Rates_current!$H$6:$R$41, 11, FALSE))</f>
        <v>62297.221509798161</v>
      </c>
      <c r="DQ97" s="102">
        <f>$BS97*(VLOOKUP(DQ$4, Rates_current!$H$6:$R$41, 10, FALSE)+VLOOKUP(DQ$4, Rates_current!$H$6:$R$41, 11, FALSE))</f>
        <v>63627.448536195407</v>
      </c>
      <c r="DR97" s="102">
        <f>$BS97*(VLOOKUP(DR$4, Rates_current!$H$6:$R$41, 10, FALSE)+VLOOKUP(DR$4, Rates_current!$H$6:$R$41, 11, FALSE))</f>
        <v>56633.932000078988</v>
      </c>
      <c r="DS97" s="102">
        <f>$BS97*(VLOOKUP(DS$4, Rates_current!$H$6:$R$41, 10, FALSE)+VLOOKUP(DS$4, Rates_current!$H$6:$R$41, 11, FALSE))</f>
        <v>58096.027908940698</v>
      </c>
      <c r="DT97" s="102">
        <f>$BS97*(VLOOKUP(DT$4, Rates_current!$H$6:$R$41, 10, FALSE)+VLOOKUP(DT$4, Rates_current!$H$6:$R$41, 11, FALSE))</f>
        <v>45118.529734854827</v>
      </c>
      <c r="DU97" s="261">
        <f>IF(D97=0,IF(C97=0,MAX(0,DW97 - (VLOOKUP($A97,TOCA_current!$A$2:$AV$136,MATCH("RHWM "&amp;Init!$D$1,TOCA_current!$A$2:$AV$2,0),FALSE)*$BS$2)), 0),0)</f>
        <v>1.9311810582876205</v>
      </c>
      <c r="DV97" s="262">
        <f>MIN(VLOOKUP($A97,TOCA_current!$A$2:$AV$136,MATCH("TRL - NLSL - Existing Resource "&amp;$BS$1,TOCA_current!$A$2:$AV$2,0),FALSE)*$BS$2, VLOOKUP($A97,TOCA_current!$A$2:$AV$136,MATCH("RHWM "&amp;Init!$D$1,TOCA_current!$A$2:$AV$2,0),FALSE)*$BS$2)</f>
        <v>697628.88</v>
      </c>
      <c r="DW97" s="262">
        <f>SUM(BY97:CV97)+(BS97*RT1SC!$C$4*$BS$2)</f>
        <v>697630.81118105829</v>
      </c>
      <c r="DX97" s="262">
        <f>VLOOKUP($A97,TOCA_current!$A$2:$AV$136,MATCH("Above RHWM Not Served with LS "&amp;$BS$1,TOCA_current!$A$2:$AV$2,0),FALSE)*$BS$2</f>
        <v>60882</v>
      </c>
      <c r="DY97" s="262">
        <f t="shared" si="43"/>
        <v>1.9311810582876205</v>
      </c>
      <c r="DZ97" s="262">
        <f>(VLOOKUP($A97,TOCA_current!$A$2:$AV$136,MATCH("RHWM "&amp;Init!$D$1,TOCA_current!$A$2:$AV$2,0),FALSE)*$BS$2) - $DV97</f>
        <v>0</v>
      </c>
      <c r="EA97" s="262">
        <f t="shared" si="44"/>
        <v>0</v>
      </c>
      <c r="EB97" s="262">
        <f t="shared" si="45"/>
        <v>0</v>
      </c>
      <c r="EC97" s="262">
        <f t="shared" si="46"/>
        <v>0</v>
      </c>
      <c r="ED97" s="262">
        <f t="shared" si="47"/>
        <v>0</v>
      </c>
    </row>
    <row r="98" spans="1:134">
      <c r="A98" s="2">
        <v>10294</v>
      </c>
      <c r="B98" s="3" t="s">
        <v>100</v>
      </c>
      <c r="C98">
        <f>VLOOKUP(A98, TOCA_current!$A$3:$D$136, 4, FALSE)</f>
        <v>0</v>
      </c>
      <c r="D98">
        <v>0</v>
      </c>
      <c r="E98" s="84">
        <f>VLOOKUP($A98,TOCA_previous!$A$2:$AJ$136,MATCH(E$4,TOCA_previous!$A$2:$AJ$2,0),FALSE)</f>
        <v>5.2591000000000001E-3</v>
      </c>
      <c r="F98" s="85">
        <f>VLOOKUP($A98,TOCA_previous!$A$2:$AJ$136,MATCH(F$4,TOCA_previous!$A$2:$AJ$2,0),FALSE)</f>
        <v>5.2591000000000001E-3</v>
      </c>
      <c r="G98" s="85">
        <f t="shared" si="33"/>
        <v>0</v>
      </c>
      <c r="H98" s="85">
        <f>VLOOKUP($A98,TOCA_previous!$A$2:$AJ$136,MATCH(H$4,TOCA_previous!$A$2:$AJ$2,0),FALSE)</f>
        <v>0</v>
      </c>
      <c r="I98" s="85">
        <f t="shared" si="34"/>
        <v>0</v>
      </c>
      <c r="J98" s="85">
        <f t="shared" si="35"/>
        <v>0</v>
      </c>
      <c r="K98" s="101">
        <f>VLOOKUP(A98, IRD!$A$5:$C$138, 3, FALSE)</f>
        <v>0</v>
      </c>
      <c r="L98" s="102">
        <f t="array" ref="L98">IF($G98=0, INDEX(LS_previous!$D$4:$AY$137, MATCH('Staging Table'!$A98, LS_previous!$B$4:$B$137, 0), MATCH(L$4&amp;L$5, LS_previous!$D$2:$AY$2&amp;LS_previous!$D$3:$AY$3, 0)),SUM(VLOOKUP($A98, LS_previous!$B$4:$AY$137, LS_previous!D$148, FALSE), VLOOKUP('Staging Table'!$A98, LS_previous!$B$4:$AY$137,LS_previous!AB$148, FALSE))/2)</f>
        <v>1470.731570272399</v>
      </c>
      <c r="M98" s="102">
        <f t="array" ref="M98">IF($G98=0, INDEX(LS_previous!$D$4:$AY$137, MATCH('Staging Table'!$A98, LS_previous!$B$4:$B$137, 0), MATCH(M$4&amp;M$5, LS_previous!$D$2:$AY$2&amp;LS_previous!$D$3:$AY$3, 0)),SUM(VLOOKUP($A98, LS_previous!$B$4:$AY$137, LS_previous!E$148, FALSE), VLOOKUP('Staging Table'!$A98, LS_previous!$B$4:$AY$137,LS_previous!AC$148, FALSE))/2)</f>
        <v>951.80956762294954</v>
      </c>
      <c r="N98" s="102">
        <f t="array" ref="N98">IF($G98=0, INDEX(LS_previous!$D$4:$AY$137, MATCH('Staging Table'!$A98, LS_previous!$B$4:$B$137, 0), MATCH(N$4&amp;N$5, LS_previous!$D$2:$AY$2&amp;LS_previous!$D$3:$AY$3, 0)),SUM(VLOOKUP($A98, LS_previous!$B$4:$AY$137, LS_previous!F$148, FALSE), VLOOKUP('Staging Table'!$A98, LS_previous!$B$4:$AY$137,LS_previous!AD$148, FALSE))/2)</f>
        <v>1897.4046933151985</v>
      </c>
      <c r="O98" s="102">
        <f t="array" ref="O98">IF($G98=0, INDEX(LS_previous!$D$4:$AY$137, MATCH('Staging Table'!$A98, LS_previous!$B$4:$B$137, 0), MATCH(O$4&amp;O$5, LS_previous!$D$2:$AY$2&amp;LS_previous!$D$3:$AY$3, 0)),SUM(VLOOKUP($A98, LS_previous!$B$4:$AY$137, LS_previous!G$148, FALSE), VLOOKUP('Staging Table'!$A98, LS_previous!$B$4:$AY$137,LS_previous!AE$148, FALSE))/2)</f>
        <v>2087.3426917078996</v>
      </c>
      <c r="P98" s="102">
        <f t="array" ref="P98">IF($G98=0, INDEX(LS_previous!$D$4:$AY$137, MATCH('Staging Table'!$A98, LS_previous!$B$4:$B$137, 0), MATCH(P$4&amp;P$5, LS_previous!$D$2:$AY$2&amp;LS_previous!$D$3:$AY$3, 0)),SUM(VLOOKUP($A98, LS_previous!$B$4:$AY$137, LS_previous!H$148, FALSE), VLOOKUP('Staging Table'!$A98, LS_previous!$B$4:$AY$137,LS_previous!AF$148, FALSE))/2)</f>
        <v>4948.4934500251002</v>
      </c>
      <c r="Q98" s="102">
        <f t="array" ref="Q98">IF($G98=0, INDEX(LS_previous!$D$4:$AY$137, MATCH('Staging Table'!$A98, LS_previous!$B$4:$B$137, 0), MATCH(Q$4&amp;Q$5, LS_previous!$D$2:$AY$2&amp;LS_previous!$D$3:$AY$3, 0)),SUM(VLOOKUP($A98, LS_previous!$B$4:$AY$137, LS_previous!I$148, FALSE), VLOOKUP('Staging Table'!$A98, LS_previous!$B$4:$AY$137,LS_previous!AG$148, FALSE))/2)</f>
        <v>4367.2105533663998</v>
      </c>
      <c r="R98" s="102">
        <f t="array" ref="R98">IF($G98=0, INDEX(LS_previous!$D$4:$AY$137, MATCH('Staging Table'!$A98, LS_previous!$B$4:$B$137, 0), MATCH(R$4&amp;R$5, LS_previous!$D$2:$AY$2&amp;LS_previous!$D$3:$AY$3, 0)),SUM(VLOOKUP($A98, LS_previous!$B$4:$AY$137, LS_previous!J$148, FALSE), VLOOKUP('Staging Table'!$A98, LS_previous!$B$4:$AY$137,LS_previous!AH$148, FALSE))/2)</f>
        <v>2585.6237016435007</v>
      </c>
      <c r="S98" s="102">
        <f t="array" ref="S98">IF($G98=0, INDEX(LS_previous!$D$4:$AY$137, MATCH('Staging Table'!$A98, LS_previous!$B$4:$B$137, 0), MATCH(S$4&amp;S$5, LS_previous!$D$2:$AY$2&amp;LS_previous!$D$3:$AY$3, 0)),SUM(VLOOKUP($A98, LS_previous!$B$4:$AY$137, LS_previous!K$148, FALSE), VLOOKUP('Staging Table'!$A98, LS_previous!$B$4:$AY$137,LS_previous!AI$148, FALSE))/2)</f>
        <v>4424.1822916860983</v>
      </c>
      <c r="T98" s="102">
        <f t="array" ref="T98">IF($G98=0, INDEX(LS_previous!$D$4:$AY$137, MATCH('Staging Table'!$A98, LS_previous!$B$4:$B$137, 0), MATCH(T$4&amp;T$5, LS_previous!$D$2:$AY$2&amp;LS_previous!$D$3:$AY$3, 0)),SUM(VLOOKUP($A98, LS_previous!$B$4:$AY$137, LS_previous!L$148, FALSE), VLOOKUP('Staging Table'!$A98, LS_previous!$B$4:$AY$137,LS_previous!AJ$148, FALSE))/2)</f>
        <v>2853.3716727511019</v>
      </c>
      <c r="U98" s="102">
        <f t="array" ref="U98">IF($G98=0, INDEX(LS_previous!$D$4:$AY$137, MATCH('Staging Table'!$A98, LS_previous!$B$4:$B$137, 0), MATCH(U$4&amp;U$5, LS_previous!$D$2:$AY$2&amp;LS_previous!$D$3:$AY$3, 0)),SUM(VLOOKUP($A98, LS_previous!$B$4:$AY$137, LS_previous!M$148, FALSE), VLOOKUP('Staging Table'!$A98, LS_previous!$B$4:$AY$137,LS_previous!AK$148, FALSE))/2)</f>
        <v>3627.3866074230991</v>
      </c>
      <c r="V98" s="102">
        <f t="array" ref="V98">IF($G98=0, INDEX(LS_previous!$D$4:$AY$137, MATCH('Staging Table'!$A98, LS_previous!$B$4:$B$137, 0), MATCH(V$4&amp;V$5, LS_previous!$D$2:$AY$2&amp;LS_previous!$D$3:$AY$3, 0)),SUM(VLOOKUP($A98, LS_previous!$B$4:$AY$137, LS_previous!N$148, FALSE), VLOOKUP('Staging Table'!$A98, LS_previous!$B$4:$AY$137,LS_previous!AL$148, FALSE))/2)</f>
        <v>2545.6303928216985</v>
      </c>
      <c r="W98" s="102">
        <f t="array" ref="W98">IF($G98=0, INDEX(LS_previous!$D$4:$AY$137, MATCH('Staging Table'!$A98, LS_previous!$B$4:$B$137, 0), MATCH(W$4&amp;W$5, LS_previous!$D$2:$AY$2&amp;LS_previous!$D$3:$AY$3, 0)),SUM(VLOOKUP($A98, LS_previous!$B$4:$AY$137, LS_previous!O$148, FALSE), VLOOKUP('Staging Table'!$A98, LS_previous!$B$4:$AY$137,LS_previous!AM$148, FALSE))/2)</f>
        <v>1958.9362273202005</v>
      </c>
      <c r="X98" s="102">
        <f t="array" ref="X98">IF($G98=0, INDEX(LS_previous!$D$4:$AY$137, MATCH('Staging Table'!$A98, LS_previous!$B$4:$B$137, 0), MATCH(X$4&amp;X$5, LS_previous!$D$2:$AY$2&amp;LS_previous!$D$3:$AY$3, 0)),SUM(VLOOKUP($A98, LS_previous!$B$4:$AY$137, LS_previous!P$148, FALSE), VLOOKUP('Staging Table'!$A98, LS_previous!$B$4:$AY$137,LS_previous!AN$148, FALSE))/2)</f>
        <v>2253.7252573497499</v>
      </c>
      <c r="Y98" s="102">
        <f t="array" ref="Y98">IF($G98=0, INDEX(LS_previous!$D$4:$AY$137, MATCH('Staging Table'!$A98, LS_previous!$B$4:$B$137, 0), MATCH(Y$4&amp;Y$5, LS_previous!$D$2:$AY$2&amp;LS_previous!$D$3:$AY$3, 0)),SUM(VLOOKUP($A98, LS_previous!$B$4:$AY$137, LS_previous!Q$148, FALSE), VLOOKUP('Staging Table'!$A98, LS_previous!$B$4:$AY$137,LS_previous!AO$148, FALSE))/2)</f>
        <v>1958.6023833105755</v>
      </c>
      <c r="Z98" s="102">
        <f t="array" ref="Z98">IF($G98=0, INDEX(LS_previous!$D$4:$AY$137, MATCH('Staging Table'!$A98, LS_previous!$B$4:$B$137, 0), MATCH(Z$4&amp;Z$5, LS_previous!$D$2:$AY$2&amp;LS_previous!$D$3:$AY$3, 0)),SUM(VLOOKUP($A98, LS_previous!$B$4:$AY$137, LS_previous!R$148, FALSE), VLOOKUP('Staging Table'!$A98, LS_previous!$B$4:$AY$137,LS_previous!AP$148, FALSE))/2)</f>
        <v>-4733.3519853168018</v>
      </c>
      <c r="AA98" s="102">
        <f t="array" ref="AA98">IF($G98=0, INDEX(LS_previous!$D$4:$AY$137, MATCH('Staging Table'!$A98, LS_previous!$B$4:$B$137, 0), MATCH(AA$4&amp;AA$5, LS_previous!$D$2:$AY$2&amp;LS_previous!$D$3:$AY$3, 0)),SUM(VLOOKUP($A98, LS_previous!$B$4:$AY$137, LS_previous!S$148, FALSE), VLOOKUP('Staging Table'!$A98, LS_previous!$B$4:$AY$137,LS_previous!AQ$148, FALSE))/2)</f>
        <v>-2371.8204114673499</v>
      </c>
      <c r="AB98" s="102">
        <f t="array" ref="AB98">IF($G98=0, INDEX(LS_previous!$D$4:$AY$137, MATCH('Staging Table'!$A98, LS_previous!$B$4:$B$137, 0), MATCH(AB$4&amp;AB$5, LS_previous!$D$2:$AY$2&amp;LS_previous!$D$3:$AY$3, 0)),SUM(VLOOKUP($A98, LS_previous!$B$4:$AY$137, LS_previous!T$148, FALSE), VLOOKUP('Staging Table'!$A98, LS_previous!$B$4:$AY$137,LS_previous!AR$148, FALSE))/2)</f>
        <v>-6433.3476836265982</v>
      </c>
      <c r="AC98" s="102">
        <f t="array" ref="AC98">IF($G98=0, INDEX(LS_previous!$D$4:$AY$137, MATCH('Staging Table'!$A98, LS_previous!$B$4:$B$137, 0), MATCH(AC$4&amp;AC$5, LS_previous!$D$2:$AY$2&amp;LS_previous!$D$3:$AY$3, 0)),SUM(VLOOKUP($A98, LS_previous!$B$4:$AY$137, LS_previous!U$148, FALSE), VLOOKUP('Staging Table'!$A98, LS_previous!$B$4:$AY$137,LS_previous!AS$148, FALSE))/2)</f>
        <v>-3361.5224391209504</v>
      </c>
      <c r="AD98" s="102">
        <f t="array" ref="AD98">IF($G98=0, INDEX(LS_previous!$D$4:$AY$137, MATCH('Staging Table'!$A98, LS_previous!$B$4:$B$137, 0), MATCH(AD$4&amp;AD$5, LS_previous!$D$2:$AY$2&amp;LS_previous!$D$3:$AY$3, 0)),SUM(VLOOKUP($A98, LS_previous!$B$4:$AY$137, LS_previous!V$148, FALSE), VLOOKUP('Staging Table'!$A98, LS_previous!$B$4:$AY$137,LS_previous!AT$148, FALSE))/2)</f>
        <v>-4749.9867500523997</v>
      </c>
      <c r="AE98" s="102">
        <f t="array" ref="AE98">IF($G98=0, INDEX(LS_previous!$D$4:$AY$137, MATCH('Staging Table'!$A98, LS_previous!$B$4:$B$137, 0), MATCH(AE$4&amp;AE$5, LS_previous!$D$2:$AY$2&amp;LS_previous!$D$3:$AY$3, 0)),SUM(VLOOKUP($A98, LS_previous!$B$4:$AY$137, LS_previous!W$148, FALSE), VLOOKUP('Staging Table'!$A98, LS_previous!$B$4:$AY$137,LS_previous!AU$148, FALSE))/2)</f>
        <v>-2006.7007702852497</v>
      </c>
      <c r="AF98" s="102">
        <f t="array" ref="AF98">IF($G98=0, INDEX(LS_previous!$D$4:$AY$137, MATCH('Staging Table'!$A98, LS_previous!$B$4:$B$137, 0), MATCH(AF$4&amp;AF$5, LS_previous!$D$2:$AY$2&amp;LS_previous!$D$3:$AY$3, 0)),SUM(VLOOKUP($A98, LS_previous!$B$4:$AY$137, LS_previous!X$148, FALSE), VLOOKUP('Staging Table'!$A98, LS_previous!$B$4:$AY$137,LS_previous!AV$148, FALSE))/2)</f>
        <v>-3503.909840935652</v>
      </c>
      <c r="AG98" s="102">
        <f t="array" ref="AG98">IF($G98=0, INDEX(LS_previous!$D$4:$AY$137, MATCH('Staging Table'!$A98, LS_previous!$B$4:$B$137, 0), MATCH(AG$4&amp;AG$5, LS_previous!$D$2:$AY$2&amp;LS_previous!$D$3:$AY$3, 0)),SUM(VLOOKUP($A98, LS_previous!$B$4:$AY$137, LS_previous!Y$148, FALSE), VLOOKUP('Staging Table'!$A98, LS_previous!$B$4:$AY$137,LS_previous!AW$148, FALSE))/2)</f>
        <v>-2156.7525357391351</v>
      </c>
      <c r="AH98" s="102">
        <f t="array" ref="AH98">IF($G98=0, INDEX(LS_previous!$D$4:$AY$137, MATCH('Staging Table'!$A98, LS_previous!$B$4:$B$137, 0), MATCH(AH$4&amp;AH$5, LS_previous!$D$2:$AY$2&amp;LS_previous!$D$3:$AY$3, 0)),SUM(VLOOKUP($A98, LS_previous!$B$4:$AY$137, LS_previous!Z$148, FALSE), VLOOKUP('Staging Table'!$A98, LS_previous!$B$4:$AY$137,LS_previous!AX$148, FALSE))/2)</f>
        <v>-2202.3018767934009</v>
      </c>
      <c r="AI98" s="102">
        <f t="array" ref="AI98">IF($G98=0, INDEX(LS_previous!$D$4:$AY$137, MATCH('Staging Table'!$A98, LS_previous!$B$4:$B$137, 0), MATCH(AI$4&amp;AI$5, LS_previous!$D$2:$AY$2&amp;LS_previous!$D$3:$AY$3, 0)),SUM(VLOOKUP($A98, LS_previous!$B$4:$AY$137, LS_previous!AA$148, FALSE), VLOOKUP('Staging Table'!$A98, LS_previous!$B$4:$AY$137,LS_previous!AY$148, FALSE))/2)</f>
        <v>-1859.191454846401</v>
      </c>
      <c r="AJ98" s="103">
        <f t="array" ref="AJ98">INDEX(Demand_previous!$D$4:$AY$137, MATCH('Staging Table'!$A98, Demand_previous!$B$4:$B$137, 0), MATCH(AJ$4&amp;AJ$5,Demand_previous!$D$2:$AY$2&amp;Demand_previous!$D$3:$AY$3, 0))/1000</f>
        <v>6.5544182692307658</v>
      </c>
      <c r="AK98" s="103">
        <f t="array" ref="AK98">INDEX(Demand_previous!$D$4:$AY$137, MATCH('Staging Table'!$A98, Demand_previous!$B$4:$B$137, 0), MATCH(AK$4&amp;AK$5,Demand_previous!$D$2:$AY$2&amp;Demand_previous!$D$3:$AY$3, 0))/1000</f>
        <v>5.2108250000000105</v>
      </c>
      <c r="AL98" s="103">
        <f t="array" ref="AL98">INDEX(Demand_previous!$D$4:$AY$137, MATCH('Staging Table'!$A98, Demand_previous!$B$4:$B$137, 0), MATCH(AL$4&amp;AL$5,Demand_previous!$D$2:$AY$2&amp;Demand_previous!$D$3:$AY$3, 0))/1000</f>
        <v>5.2393000000000001</v>
      </c>
      <c r="AM98" s="103">
        <f t="array" ref="AM98">INDEX(Demand_previous!$D$4:$AY$137, MATCH('Staging Table'!$A98, Demand_previous!$B$4:$B$137, 0), MATCH(AM$4&amp;AM$5,Demand_previous!$D$2:$AY$2&amp;Demand_previous!$D$3:$AY$3, 0))/1000</f>
        <v>18.411692307692309</v>
      </c>
      <c r="AN98" s="103">
        <f t="array" ref="AN98">INDEX(Demand_previous!$D$4:$AY$137, MATCH('Staging Table'!$A98, Demand_previous!$B$4:$B$137, 0), MATCH(AN$4&amp;AN$5,Demand_previous!$D$2:$AY$2&amp;Demand_previous!$D$3:$AY$3, 0))/1000</f>
        <v>6.781050000000004</v>
      </c>
      <c r="AO98" s="103">
        <f t="array" ref="AO98">INDEX(Demand_previous!$D$4:$AY$137, MATCH('Staging Table'!$A98, Demand_previous!$B$4:$B$137, 0), MATCH(AO$4&amp;AO$5,Demand_previous!$D$2:$AY$2&amp;Demand_previous!$D$3:$AY$3, 0))/1000</f>
        <v>13.726586538461541</v>
      </c>
      <c r="AP98" s="103">
        <f t="array" ref="AP98">INDEX(Demand_previous!$D$4:$AY$137, MATCH('Staging Table'!$A98, Demand_previous!$B$4:$B$137, 0), MATCH(AP$4&amp;AP$5,Demand_previous!$D$2:$AY$2&amp;Demand_previous!$D$3:$AY$3, 0))/1000</f>
        <v>10.159528846153846</v>
      </c>
      <c r="AQ98" s="103">
        <f t="array" ref="AQ98">INDEX(Demand_previous!$D$4:$AY$137, MATCH('Staging Table'!$A98, Demand_previous!$B$4:$B$137, 0), MATCH(AQ$4&amp;AQ$5,Demand_previous!$D$2:$AY$2&amp;Demand_previous!$D$3:$AY$3, 0))/1000</f>
        <v>7.0955144230769189</v>
      </c>
      <c r="AR98" s="103">
        <f t="array" ref="AR98">INDEX(Demand_previous!$D$4:$AY$137, MATCH('Staging Table'!$A98, Demand_previous!$B$4:$B$137, 0), MATCH(AR$4&amp;AR$5,Demand_previous!$D$2:$AY$2&amp;Demand_previous!$D$3:$AY$3, 0))/1000</f>
        <v>2.8802749999999993</v>
      </c>
      <c r="AS98" s="103">
        <f t="array" ref="AS98">INDEX(Demand_previous!$D$4:$AY$137, MATCH('Staging Table'!$A98, Demand_previous!$B$4:$B$137, 0), MATCH(AS$4&amp;AS$5,Demand_previous!$D$2:$AY$2&amp;Demand_previous!$D$3:$AY$3, 0))/1000</f>
        <v>3.4256153846153827</v>
      </c>
      <c r="AT98" s="103">
        <f t="array" ref="AT98">INDEX(Demand_previous!$D$4:$AY$137, MATCH('Staging Table'!$A98, Demand_previous!$B$4:$B$137, 0), MATCH(AT$4&amp;AT$5,Demand_previous!$D$2:$AY$2&amp;Demand_previous!$D$3:$AY$3, 0))/1000</f>
        <v>6.2437129629629631</v>
      </c>
      <c r="AU98" s="103">
        <f t="array" ref="AU98">INDEX(Demand_previous!$D$4:$AY$137, MATCH('Staging Table'!$A98, Demand_previous!$B$4:$B$137, 0), MATCH(AU$4&amp;AU$5,Demand_previous!$D$2:$AY$2&amp;Demand_previous!$D$3:$AY$3, 0))/1000</f>
        <v>4.8820833333333358</v>
      </c>
      <c r="AV98" s="102">
        <f>$F98*(VLOOKUP(AV$4, Rates_previous!$G$6:$Q$29, 10, FALSE)+VLOOKUP(AV$4, Rates_previous!$G$6:$Q$29, 11, FALSE))</f>
        <v>22187.110862104651</v>
      </c>
      <c r="AW98" s="102">
        <f>$F98*(VLOOKUP(AW$4, Rates_previous!$G$6:$Q$29, 10, FALSE)+VLOOKUP(AW$4, Rates_previous!$G$6:$Q$29, 11, FALSE))</f>
        <v>28295.882614976905</v>
      </c>
      <c r="AX98" s="102">
        <f>$F98*(VLOOKUP(AX$4, Rates_previous!$G$6:$Q$29, 10, FALSE)+VLOOKUP(AX$4, Rates_previous!$G$6:$Q$29, 11, FALSE))</f>
        <v>30536.855996608501</v>
      </c>
      <c r="AY98" s="102">
        <f>$F98*(VLOOKUP(AY$4, Rates_previous!$G$6:$Q$29, 10, FALSE)+VLOOKUP(AY$4, Rates_previous!$G$6:$Q$29, 11, FALSE))</f>
        <v>31732.514006670401</v>
      </c>
      <c r="AZ98" s="102">
        <f>$F98*(VLOOKUP(AZ$4, Rates_previous!$G$6:$Q$29, 10, FALSE)+VLOOKUP(AZ$4, Rates_previous!$G$6:$Q$29, 11, FALSE))</f>
        <v>27294.191719825798</v>
      </c>
      <c r="BA98" s="102">
        <f>$F98*(VLOOKUP(BA$4, Rates_previous!$G$6:$Q$29, 10, FALSE)+VLOOKUP(BA$4, Rates_previous!$G$6:$Q$29, 11, FALSE))</f>
        <v>29799.853379858101</v>
      </c>
      <c r="BB98" s="102">
        <f>$F98*(VLOOKUP(BB$4, Rates_previous!$G$6:$Q$29, 10, FALSE)+VLOOKUP(BB$4, Rates_previous!$G$6:$Q$29, 11, FALSE))</f>
        <v>23521.962359339672</v>
      </c>
      <c r="BC98" s="102">
        <f>$F98*(VLOOKUP(BC$4, Rates_previous!$G$6:$Q$29, 10, FALSE)+VLOOKUP(BC$4, Rates_previous!$G$6:$Q$29, 11, FALSE))</f>
        <v>29182.146396784152</v>
      </c>
      <c r="BD98" s="102">
        <f>$F98*(VLOOKUP(BD$4, Rates_previous!$G$6:$Q$29, 10, FALSE)+VLOOKUP(BD$4, Rates_previous!$G$6:$Q$29, 11, FALSE))</f>
        <v>29815.326122747549</v>
      </c>
      <c r="BE98" s="102">
        <f>$F98*(VLOOKUP(BE$4, Rates_previous!$G$6:$Q$29, 10, FALSE)+VLOOKUP(BE$4, Rates_previous!$G$6:$Q$29, 11, FALSE))</f>
        <v>25883.998520337649</v>
      </c>
      <c r="BF98" s="102">
        <f>$F98*(VLOOKUP(BF$4, Rates_previous!$G$6:$Q$29, 10, FALSE)+VLOOKUP(BF$4, Rates_previous!$G$6:$Q$29, 11, FALSE))</f>
        <v>25022.946376674787</v>
      </c>
      <c r="BG98" s="102">
        <f>$F98*(VLOOKUP(BG$4, Rates_previous!$G$6:$Q$29, 10, FALSE)+VLOOKUP(BG$4, Rates_previous!$G$6:$Q$29, 11, FALSE))</f>
        <v>23025.956331639802</v>
      </c>
      <c r="BH98" s="103">
        <f>IF($D98=0,IF(C98=0, MAX(BJ98 - (VLOOKUP($A98,TOCA_previous!$A$2:$AJ$136,MATCH("RHWM "&amp;Init!$D$1-2,TOCA_previous!$A$2:$AJ$2,0),FALSE)*$F$2*TOCA_previous!C95),0),0), 0)</f>
        <v>11753.943495688087</v>
      </c>
      <c r="BI98" s="109">
        <f>MIN(VLOOKUP($A98,TOCA_previous!$A$2:$AJ$136,MATCH("TRL - NLSL - Existing Resource "&amp;$F$1,TOCA_previous!$A$2:$AJ$2,0),FALSE)*$F$2,(VLOOKUP($A98,TOCA_previous!$A$2:$AJ$136,MATCH("RHWM "&amp;Init!$D$1-2,TOCA_previous!$A$2:$AJ$2,0),FALSE)*$F$2))</f>
        <v>319096.36799999996</v>
      </c>
      <c r="BJ98" s="261">
        <f>SUM(L98:AI98)+(F98*RT1SC!$C$3*$F$2)</f>
        <v>330850.31149568805</v>
      </c>
      <c r="BK98" s="260">
        <f>VLOOKUP($A98,TOCA_previous!$A$2:$AJ$136,MATCH("Above RHWM Not Served with LS "&amp;$F$1,TOCA_previous!$A$2:$AJ$2,0),FALSE)*$F$2</f>
        <v>0</v>
      </c>
      <c r="BL98" s="261">
        <f t="shared" si="36"/>
        <v>11753.943495688087</v>
      </c>
      <c r="BM98" s="260">
        <f>(VLOOKUP($A98,TOCA_previous!$A$2:$AJ$136,MATCH("RHWM "&amp;Init!$D$1-2,TOCA_previous!$A$2:$AJ$2,0),FALSE)*$F$2) - $BI98</f>
        <v>0</v>
      </c>
      <c r="BN98" s="261">
        <f t="shared" si="37"/>
        <v>0</v>
      </c>
      <c r="BO98" s="260">
        <f t="shared" si="38"/>
        <v>0</v>
      </c>
      <c r="BP98" s="261">
        <f t="shared" si="39"/>
        <v>0</v>
      </c>
      <c r="BQ98" s="260">
        <f t="shared" si="9"/>
        <v>0</v>
      </c>
      <c r="BR98" s="85">
        <f>VLOOKUP($A98,TOCA_current!$A$2:$ZZ$136,MATCH(BR$4,TOCA_current!$A$2:$ZZ$2,0),FALSE)</f>
        <v>5.1390000000000003E-3</v>
      </c>
      <c r="BS98" s="85">
        <f>VLOOKUP($A98,TOCA_current!$A$2:$ZZ$136,MATCH(BS$4,TOCA_current!$A$2:$ZZ$2,0),FALSE)</f>
        <v>5.1390000000000003E-3</v>
      </c>
      <c r="BT98" s="108">
        <f t="shared" si="40"/>
        <v>0</v>
      </c>
      <c r="BU98" s="85">
        <f>VLOOKUP($A98,TOCA_current!A95:BG229,MATCH(BU$4,TOCA_current!$A$2:$BG$2,0),FALSE)</f>
        <v>0</v>
      </c>
      <c r="BV98" s="85">
        <f t="shared" si="41"/>
        <v>0</v>
      </c>
      <c r="BW98" s="85">
        <f t="shared" si="42"/>
        <v>0</v>
      </c>
      <c r="BX98" s="101">
        <f>VLOOKUP($A98,IRD!$A$4:$G$138, 7, FALSE)</f>
        <v>0</v>
      </c>
      <c r="BY98" s="102">
        <f t="array" ref="BY98">IF($BT98=0, INDEX(LS_current!$D$4:$BW$137, MATCH('Staging Table'!$A98, LS_current!$B$4:$B$137, 0), MATCH(BY$4&amp;BY$5, LS_current!$D$2:$BW$2&amp;LS_current!$D$3:$BW$3, 0)),SUM(VLOOKUP($A98, LS_current!$B$4:$BW$137, LS_current!D$147, FALSE), VLOOKUP($A98, LS_current!$B$4:$BW$137,LS_current!AZ$147, FALSE))/2)</f>
        <v>1072.3923961539222</v>
      </c>
      <c r="BZ98" s="102">
        <f t="array" ref="BZ98">IF($BT98=0, INDEX(LS_current!$D$4:$BW$137, MATCH('Staging Table'!$A98, LS_current!$B$4:$B$137, 0), MATCH(BZ$4&amp;BZ$5, LS_current!$D$2:$BW$2&amp;LS_current!$D$3:$BW$3, 0)),SUM(VLOOKUP($A98, LS_current!$B$4:$BW$137, LS_current!E$147, FALSE), VLOOKUP($A98, LS_current!$B$4:$BW$137,LS_current!BA$147, FALSE))/2)</f>
        <v>1292.323582852885</v>
      </c>
      <c r="CA98" s="102">
        <f t="array" ref="CA98">IF($BT98=0, INDEX(LS_current!$D$4:$BW$137, MATCH('Staging Table'!$A98, LS_current!$B$4:$B$137, 0), MATCH(CA$4&amp;CA$5, LS_current!$D$2:$BW$2&amp;LS_current!$D$3:$BW$3, 0)),SUM(VLOOKUP($A98, LS_current!$B$4:$BW$137, LS_current!F$147, FALSE), VLOOKUP($A98, LS_current!$B$4:$BW$137,LS_current!BB$147, FALSE))/2)</f>
        <v>2119.0076855730003</v>
      </c>
      <c r="CB98" s="102">
        <f t="array" ref="CB98">IF($BT98=0, INDEX(LS_current!$D$4:$BW$137, MATCH('Staging Table'!$A98, LS_current!$B$4:$B$137, 0), MATCH(CB$4&amp;CB$5, LS_current!$D$2:$BW$2&amp;LS_current!$D$3:$BW$3, 0)),SUM(VLOOKUP($A98, LS_current!$B$4:$BW$137, LS_current!G$147, FALSE), VLOOKUP($A98, LS_current!$B$4:$BW$137,LS_current!BC$147, FALSE))/2)</f>
        <v>2005.7848992251584</v>
      </c>
      <c r="CC98" s="102">
        <f t="array" ref="CC98">IF($BT98=0, INDEX(LS_current!$D$4:$BW$137, MATCH('Staging Table'!$A98, LS_current!$B$4:$B$137, 0), MATCH(CC$4&amp;CC$5, LS_current!$D$2:$BW$2&amp;LS_current!$D$3:$BW$3, 0)),SUM(VLOOKUP($A98, LS_current!$B$4:$BW$137, LS_current!H$147, FALSE), VLOOKUP($A98, LS_current!$B$4:$BW$137,LS_current!BD$147, FALSE))/2)</f>
        <v>3078.5764709777068</v>
      </c>
      <c r="CD98" s="102">
        <f t="array" ref="CD98">IF($BT98=0, INDEX(LS_current!$D$4:$BW$137, MATCH('Staging Table'!$A98, LS_current!$B$4:$B$137, 0), MATCH(CD$4&amp;CD$5, LS_current!$D$2:$BW$2&amp;LS_current!$D$3:$BW$3, 0)),SUM(VLOOKUP($A98, LS_current!$B$4:$BW$137, LS_current!I$147, FALSE), VLOOKUP($A98, LS_current!$B$4:$BW$137,LS_current!BE$147, FALSE))/2)</f>
        <v>4856.4342280381043</v>
      </c>
      <c r="CE98" s="102">
        <f t="array" ref="CE98">IF($BT98=0, INDEX(LS_current!$D$4:$BW$137, MATCH('Staging Table'!$A98, LS_current!$B$4:$B$137, 0), MATCH(CE$4&amp;CE$5, LS_current!$D$2:$BW$2&amp;LS_current!$D$3:$BW$3, 0)),SUM(VLOOKUP($A98, LS_current!$B$4:$BW$137, LS_current!J$147, FALSE), VLOOKUP($A98, LS_current!$B$4:$BW$137,LS_current!BF$147, FALSE))/2)</f>
        <v>1103.1084043839437</v>
      </c>
      <c r="CF98" s="102">
        <f t="array" ref="CF98">IF($BT98=0, INDEX(LS_current!$D$4:$BW$137, MATCH('Staging Table'!$A98, LS_current!$B$4:$B$137, 0), MATCH(CF$4&amp;CF$5, LS_current!$D$2:$BW$2&amp;LS_current!$D$3:$BW$3, 0)),SUM(VLOOKUP($A98, LS_current!$B$4:$BW$137, LS_current!K$147, FALSE), VLOOKUP($A98, LS_current!$B$4:$BW$137,LS_current!BG$147, FALSE))/2)</f>
        <v>4014.1906241554534</v>
      </c>
      <c r="CG98" s="102">
        <f t="array" ref="CG98">IF($BT98=0, INDEX(LS_current!$D$4:$BW$137, MATCH('Staging Table'!$A98, LS_current!$B$4:$B$137, 0), MATCH(CG$4&amp;CG$5, LS_current!$D$2:$BW$2&amp;LS_current!$D$3:$BW$3, 0)),SUM(VLOOKUP($A98, LS_current!$B$4:$BW$137, LS_current!L$147, FALSE), VLOOKUP($A98, LS_current!$B$4:$BW$137,LS_current!BH$147, FALSE))/2)</f>
        <v>3148.4456188138938</v>
      </c>
      <c r="CH98" s="102">
        <f t="array" ref="CH98">IF($BT98=0, INDEX(LS_current!$D$4:$BW$137, MATCH('Staging Table'!$A98, LS_current!$B$4:$B$137, 0), MATCH(CH$4&amp;CH$5, LS_current!$D$2:$BW$2&amp;LS_current!$D$3:$BW$3, 0)),SUM(VLOOKUP($A98, LS_current!$B$4:$BW$137, LS_current!M$147, FALSE), VLOOKUP($A98, LS_current!$B$4:$BW$137,LS_current!BI$147, FALSE))/2)</f>
        <v>3732.9472900384881</v>
      </c>
      <c r="CI98" s="102">
        <f t="array" ref="CI98">IF($BT98=0, INDEX(LS_current!$D$4:$BW$137, MATCH('Staging Table'!$A98, LS_current!$B$4:$B$137, 0), MATCH(CI$4&amp;CI$5, LS_current!$D$2:$BW$2&amp;LS_current!$D$3:$BW$3, 0)),SUM(VLOOKUP($A98, LS_current!$B$4:$BW$137, LS_current!N$147, FALSE), VLOOKUP($A98, LS_current!$B$4:$BW$137,LS_current!BJ$147, FALSE))/2)</f>
        <v>1644.2733015433514</v>
      </c>
      <c r="CJ98" s="102">
        <f t="array" ref="CJ98">IF($BT98=0, INDEX(LS_current!$D$4:$BW$137, MATCH('Staging Table'!$A98, LS_current!$B$4:$B$137, 0), MATCH(CJ$4&amp;CJ$5, LS_current!$D$2:$BW$2&amp;LS_current!$D$3:$BW$3, 0)),SUM(VLOOKUP($A98, LS_current!$B$4:$BW$137, LS_current!O$147, FALSE), VLOOKUP($A98, LS_current!$B$4:$BW$137,LS_current!BK$147, FALSE))/2)</f>
        <v>3249.6591381729795</v>
      </c>
      <c r="CK98" s="102">
        <f t="array" ref="CK98">IF($BT98=0, INDEX(LS_current!$D$4:$BW$137, MATCH('Staging Table'!$A98, LS_current!$B$4:$B$137, 0), MATCH(CK$4&amp;CK$5, LS_current!$D$2:$BW$2&amp;LS_current!$D$3:$BW$3, 0)),SUM(VLOOKUP($A98, LS_current!$B$4:$BW$137, LS_current!P$147, FALSE), VLOOKUP($A98, LS_current!$B$4:$BW$137,LS_current!BL$147, FALSE))/2)</f>
        <v>2461.2757056153041</v>
      </c>
      <c r="CL98" s="102">
        <f t="array" ref="CL98">IF($BT98=0, INDEX(LS_current!$D$4:$BW$137, MATCH('Staging Table'!$A98, LS_current!$B$4:$B$137, 0), MATCH(CL$4&amp;CL$5, LS_current!$D$2:$BW$2&amp;LS_current!$D$3:$BW$3, 0)),SUM(VLOOKUP($A98, LS_current!$B$4:$BW$137, LS_current!Q$147, FALSE), VLOOKUP($A98, LS_current!$B$4:$BW$137,LS_current!BM$147, FALSE))/2)</f>
        <v>2301.9762007847639</v>
      </c>
      <c r="CM98" s="102">
        <f t="array" ref="CM98">IF($BT98=0, INDEX(LS_current!$D$4:$BW$137, MATCH('Staging Table'!$A98, LS_current!$B$4:$B$137, 0), MATCH(CM$4&amp;CM$5, LS_current!$D$2:$BW$2&amp;LS_current!$D$3:$BW$3, 0)),SUM(VLOOKUP($A98, LS_current!$B$4:$BW$137, LS_current!R$147, FALSE), VLOOKUP($A98, LS_current!$B$4:$BW$137,LS_current!BN$147, FALSE))/2)</f>
        <v>-4799.636564673061</v>
      </c>
      <c r="CN98" s="102">
        <f t="array" ref="CN98">IF($BT98=0, INDEX(LS_current!$D$4:$BW$137, MATCH('Staging Table'!$A98, LS_current!$B$4:$B$137, 0), MATCH(CN$4&amp;CN$5, LS_current!$D$2:$BW$2&amp;LS_current!$D$3:$BW$3, 0)),SUM(VLOOKUP($A98, LS_current!$B$4:$BW$137, LS_current!S$147, FALSE), VLOOKUP($A98, LS_current!$B$4:$BW$137,LS_current!BO$147, FALSE))/2)</f>
        <v>-2620.3271506223227</v>
      </c>
      <c r="CO98" s="102">
        <f t="array" ref="CO98">IF($BT98=0, INDEX(LS_current!$D$4:$BW$137, MATCH('Staging Table'!$A98, LS_current!$B$4:$B$137, 0), MATCH(CO$4&amp;CO$5, LS_current!$D$2:$BW$2&amp;LS_current!$D$3:$BW$3, 0)),SUM(VLOOKUP($A98, LS_current!$B$4:$BW$137, LS_current!T$147, FALSE), VLOOKUP($A98, LS_current!$B$4:$BW$137,LS_current!BP$147, FALSE))/2)</f>
        <v>-7248.2104721492669</v>
      </c>
      <c r="CP98" s="102">
        <f t="array" ref="CP98">IF($BT98=0, INDEX(LS_current!$D$4:$BW$137, MATCH('Staging Table'!$A98, LS_current!$B$4:$B$137, 0), MATCH(CP$4&amp;CP$5, LS_current!$D$2:$BW$2&amp;LS_current!$D$3:$BW$3, 0)),SUM(VLOOKUP($A98, LS_current!$B$4:$BW$137, LS_current!U$147, FALSE), VLOOKUP($A98, LS_current!$B$4:$BW$137,LS_current!BQ$147, FALSE))/2)</f>
        <v>-2808.9764798851047</v>
      </c>
      <c r="CQ98" s="102">
        <f t="array" ref="CQ98">IF($BT98=0, INDEX(LS_current!$D$4:$BW$137, MATCH('Staging Table'!$A98, LS_current!$B$4:$B$137, 0), MATCH(CQ$4&amp;CQ$5, LS_current!$D$2:$BW$2&amp;LS_current!$D$3:$BW$3, 0)),SUM(VLOOKUP($A98, LS_current!$B$4:$BW$137, LS_current!V$147, FALSE), VLOOKUP($A98, LS_current!$B$4:$BW$137,LS_current!BR$147, FALSE))/2)</f>
        <v>-5596.3521536693752</v>
      </c>
      <c r="CR98" s="102">
        <f t="array" ref="CR98">IF($BT98=0, INDEX(LS_current!$D$4:$BW$137, MATCH('Staging Table'!$A98, LS_current!$B$4:$B$137, 0), MATCH(CR$4&amp;CR$5, LS_current!$D$2:$BW$2&amp;LS_current!$D$3:$BW$3, 0)),SUM(VLOOKUP($A98, LS_current!$B$4:$BW$137, LS_current!W$147, FALSE), VLOOKUP($A98, LS_current!$B$4:$BW$137,LS_current!BS$147, FALSE))/2)</f>
        <v>-2175.106015128471</v>
      </c>
      <c r="CS98" s="102">
        <f t="array" ref="CS98">IF($BT98=0, INDEX(LS_current!$D$4:$BW$137, MATCH('Staging Table'!$A98, LS_current!$B$4:$B$137, 0), MATCH(CS$4&amp;CS$5, LS_current!$D$2:$BW$2&amp;LS_current!$D$3:$BW$3, 0)),SUM(VLOOKUP($A98, LS_current!$B$4:$BW$137, LS_current!X$147, FALSE), VLOOKUP($A98, LS_current!$B$4:$BW$137,LS_current!BT$147, FALSE))/2)</f>
        <v>-5859.4633219103052</v>
      </c>
      <c r="CT98" s="102">
        <f t="array" ref="CT98">IF($BT98=0, INDEX(LS_current!$D$4:$BW$137, MATCH('Staging Table'!$A98, LS_current!$B$4:$B$137, 0), MATCH(CT$4&amp;CT$5, LS_current!$D$2:$BW$2&amp;LS_current!$D$3:$BW$3, 0)),SUM(VLOOKUP($A98, LS_current!$B$4:$BW$137, LS_current!Y$147, FALSE), VLOOKUP($A98, LS_current!$B$4:$BW$137,LS_current!BU$147, FALSE))/2)</f>
        <v>-2347.7930648957044</v>
      </c>
      <c r="CU98" s="102">
        <f t="array" ref="CU98">IF($BT98=0, INDEX(LS_current!$D$4:$BW$137, MATCH('Staging Table'!$A98, LS_current!$B$4:$B$137, 0), MATCH(CU$4&amp;CU$5, LS_current!$D$2:$BW$2&amp;LS_current!$D$3:$BW$3, 0)),SUM(VLOOKUP($A98, LS_current!$B$4:$BW$137, LS_current!Z$147, FALSE), VLOOKUP($A98, LS_current!$B$4:$BW$137,LS_current!BV$147, FALSE))/2)</f>
        <v>-1826.5816427476839</v>
      </c>
      <c r="CV98" s="102">
        <f t="array" ref="CV98">IF($BT98=0, INDEX(LS_current!$D$4:$BW$137, MATCH('Staging Table'!$A98, LS_current!$B$4:$B$137, 0), MATCH(CV$4&amp;CV$5, LS_current!$D$2:$BW$2&amp;LS_current!$D$3:$BW$3, 0)),SUM(VLOOKUP($A98, LS_current!$B$4:$BW$137, LS_current!AA$147, FALSE), VLOOKUP($A98, LS_current!$B$4:$BW$137,LS_current!BW$147, FALSE))/2)</f>
        <v>-795.19228513930921</v>
      </c>
      <c r="CW98" s="103">
        <f t="array" ref="CW98">INDEX(Demand_current!$D$4:$BW$137, MATCH($A98, Demand_current!$B$4:$B$137, 0), MATCH(CW$4&amp;CW$5,Demand_current!$D$2:$BW$2&amp;Demand_current!$D$3:$BW$3, 0))/1000</f>
        <v>7.8804768518518458</v>
      </c>
      <c r="CX98" s="103">
        <f t="array" ref="CX98">INDEX(Demand_current!$D$4:$BW$137, MATCH($A98, Demand_current!$B$4:$B$137, 0), MATCH(CX$4&amp;CX$5,Demand_current!$D$2:$BW$2&amp;Demand_current!$D$3:$BW$3, 0))/1000</f>
        <v>3.2248177083333438</v>
      </c>
      <c r="CY98" s="103">
        <f t="array" ref="CY98">INDEX(Demand_current!$D$4:$BW$137, MATCH($A98, Demand_current!$B$4:$B$137, 0), MATCH(CY$4&amp;CY$5,Demand_current!$D$2:$BW$2&amp;Demand_current!$D$3:$BW$3, 0))/1000</f>
        <v>7.4953653846153827</v>
      </c>
      <c r="CZ98" s="103">
        <f t="array" ref="CZ98">INDEX(Demand_current!$D$4:$BW$137, MATCH($A98, Demand_current!$B$4:$B$137, 0), MATCH(CZ$4&amp;CZ$5,Demand_current!$D$2:$BW$2&amp;Demand_current!$D$3:$BW$3, 0))/1000</f>
        <v>18.411692307692309</v>
      </c>
      <c r="DA98" s="103">
        <f t="array" ref="DA98">INDEX(Demand_current!$D$4:$BW$137, MATCH($A98, Demand_current!$B$4:$B$137, 0), MATCH(DA$4&amp;DA$5,Demand_current!$D$2:$BW$2&amp;Demand_current!$D$3:$BW$3, 0))/1000</f>
        <v>4.6760104166666672</v>
      </c>
      <c r="DB98" s="103">
        <f t="array" ref="DB98">INDEX(Demand_current!$D$4:$BW$137, MATCH($A98, Demand_current!$B$4:$B$137, 0), MATCH(DB$4&amp;DB$5,Demand_current!$D$2:$BW$2&amp;Demand_current!$D$3:$BW$3, 0))/1000</f>
        <v>13.726586538461541</v>
      </c>
      <c r="DC98" s="103">
        <f t="array" ref="DC98">INDEX(Demand_current!$D$4:$BW$137, MATCH($A98, Demand_current!$B$4:$B$137, 0), MATCH(DC$4&amp;DC$5,Demand_current!$D$2:$BW$2&amp;Demand_current!$D$3:$BW$3, 0))/1000</f>
        <v>10.159528846153846</v>
      </c>
      <c r="DD98" s="103">
        <f t="array" ref="DD98">INDEX(Demand_current!$D$4:$BW$137, MATCH($A98, Demand_current!$B$4:$B$137, 0), MATCH(DD$4&amp;DD$5,Demand_current!$D$2:$BW$2&amp;Demand_current!$D$3:$BW$3, 0))/1000</f>
        <v>5.8455749999999949</v>
      </c>
      <c r="DE98" s="103">
        <f t="array" ref="DE98">INDEX(Demand_current!$D$4:$BW$137, MATCH($A98, Demand_current!$B$4:$B$137, 0), MATCH(DE$4&amp;DE$5,Demand_current!$D$2:$BW$2&amp;Demand_current!$D$3:$BW$3, 0))/1000</f>
        <v>4.0619182692307678</v>
      </c>
      <c r="DF98" s="103">
        <f t="array" ref="DF98">INDEX(Demand_current!$D$4:$BW$137, MATCH($A98, Demand_current!$B$4:$B$137, 0), MATCH(DF$4&amp;DF$5,Demand_current!$D$2:$BW$2&amp;Demand_current!$D$3:$BW$3, 0))/1000</f>
        <v>3.4256153846153827</v>
      </c>
      <c r="DG98" s="103">
        <f t="array" ref="DG98">INDEX(Demand_current!$D$4:$BW$137, MATCH($A98, Demand_current!$B$4:$B$137, 0), MATCH(DG$4&amp;DG$5,Demand_current!$D$2:$BW$2&amp;Demand_current!$D$3:$BW$3, 0))/1000</f>
        <v>5.1424326923076897</v>
      </c>
      <c r="DH98" s="103">
        <f t="array" ref="DH98">INDEX(Demand_current!$D$4:$BW$137, MATCH($A98, Demand_current!$B$4:$B$137, 0), MATCH(DH$4&amp;DH$5,Demand_current!$D$2:$BW$2&amp;Demand_current!$D$3:$BW$3, 0))/1000</f>
        <v>6.0852000000000022</v>
      </c>
      <c r="DI98" s="102">
        <f>$BS98*(VLOOKUP(DI$4, Rates_current!$H$6:$R$41, 10, FALSE)+VLOOKUP(DI$4, Rates_current!$H$6:$R$41, 11, FALSE))</f>
        <v>21328.328020993195</v>
      </c>
      <c r="DJ98" s="102">
        <f>$BS98*(VLOOKUP(DJ$4, Rates_current!$H$6:$R$41, 10, FALSE)+VLOOKUP(DJ$4, Rates_current!$H$6:$R$41, 11, FALSE))</f>
        <v>27267.565415201843</v>
      </c>
      <c r="DK98" s="102">
        <f>$BS98*(VLOOKUP(DK$4, Rates_current!$H$6:$R$41, 10, FALSE)+VLOOKUP(DK$4, Rates_current!$H$6:$R$41, 11, FALSE))</f>
        <v>31000.941300984188</v>
      </c>
      <c r="DL98" s="102">
        <f>$BS98*(VLOOKUP(DL$4, Rates_current!$H$6:$R$41, 10, FALSE)+VLOOKUP(DL$4, Rates_current!$H$6:$R$41, 11, FALSE))</f>
        <v>32708.412971460606</v>
      </c>
      <c r="DM98" s="102">
        <f>$BS98*(VLOOKUP(DM$4, Rates_current!$H$6:$R$41, 10, FALSE)+VLOOKUP(DM$4, Rates_current!$H$6:$R$41, 11, FALSE))</f>
        <v>26065.653091147622</v>
      </c>
      <c r="DN98" s="102">
        <f>$BS98*(VLOOKUP(DN$4, Rates_current!$H$6:$R$41, 10, FALSE)+VLOOKUP(DN$4, Rates_current!$H$6:$R$41, 11, FALSE))</f>
        <v>28495.111560283665</v>
      </c>
      <c r="DO98" s="102">
        <f>$BS98*(VLOOKUP(DO$4, Rates_current!$H$6:$R$41, 10, FALSE)+VLOOKUP(DO$4, Rates_current!$H$6:$R$41, 11, FALSE))</f>
        <v>22083.99809359993</v>
      </c>
      <c r="DP98" s="102">
        <f>$BS98*(VLOOKUP(DP$4, Rates_current!$H$6:$R$41, 10, FALSE)+VLOOKUP(DP$4, Rates_current!$H$6:$R$41, 11, FALSE))</f>
        <v>28580.329715295382</v>
      </c>
      <c r="DQ98" s="102">
        <f>$BS98*(VLOOKUP(DQ$4, Rates_current!$H$6:$R$41, 10, FALSE)+VLOOKUP(DQ$4, Rates_current!$H$6:$R$41, 11, FALSE))</f>
        <v>29190.602952034369</v>
      </c>
      <c r="DR98" s="102">
        <f>$BS98*(VLOOKUP(DR$4, Rates_current!$H$6:$R$41, 10, FALSE)+VLOOKUP(DR$4, Rates_current!$H$6:$R$41, 11, FALSE))</f>
        <v>25982.161168797844</v>
      </c>
      <c r="DS98" s="102">
        <f>$BS98*(VLOOKUP(DS$4, Rates_current!$H$6:$R$41, 10, FALSE)+VLOOKUP(DS$4, Rates_current!$H$6:$R$41, 11, FALSE))</f>
        <v>26652.932386806013</v>
      </c>
      <c r="DT98" s="102">
        <f>$BS98*(VLOOKUP(DT$4, Rates_current!$H$6:$R$41, 10, FALSE)+VLOOKUP(DT$4, Rates_current!$H$6:$R$41, 11, FALSE))</f>
        <v>20699.196927886995</v>
      </c>
      <c r="DU98" s="261">
        <f>IF(D98=0,IF(C98=0,MAX(0,DW98 - (VLOOKUP($A98,TOCA_current!$A$2:$AV$136,MATCH("RHWM "&amp;Init!$D$1,TOCA_current!$A$2:$AV$2,0),FALSE)*$BS$2)), 0),0)</f>
        <v>2.6488927883910947</v>
      </c>
      <c r="DV98" s="262">
        <f>MIN(VLOOKUP($A98,TOCA_current!$A$2:$AV$136,MATCH("TRL - NLSL - Existing Resource "&amp;$BS$1,TOCA_current!$A$2:$AV$2,0),FALSE)*$BS$2, VLOOKUP($A98,TOCA_current!$A$2:$AV$136,MATCH("RHWM "&amp;Init!$D$1,TOCA_current!$A$2:$AV$2,0),FALSE)*$BS$2)</f>
        <v>320055.36</v>
      </c>
      <c r="DW98" s="262">
        <f>SUM(BY98:CV98)+(BS98*RT1SC!$C$4*$BS$2)</f>
        <v>320058.00889278838</v>
      </c>
      <c r="DX98" s="262">
        <f>VLOOKUP($A98,TOCA_current!$A$2:$AV$136,MATCH("Above RHWM Not Served with LS "&amp;$BS$1,TOCA_current!$A$2:$AV$2,0),FALSE)*$BS$2</f>
        <v>10792.32</v>
      </c>
      <c r="DY98" s="262">
        <f t="shared" si="43"/>
        <v>2.6488927883910947</v>
      </c>
      <c r="DZ98" s="262">
        <f>(VLOOKUP($A98,TOCA_current!$A$2:$AV$136,MATCH("RHWM "&amp;Init!$D$1,TOCA_current!$A$2:$AV$2,0),FALSE)*$BS$2) - $DV98</f>
        <v>0</v>
      </c>
      <c r="EA98" s="262">
        <f t="shared" si="44"/>
        <v>0</v>
      </c>
      <c r="EB98" s="262">
        <f t="shared" si="45"/>
        <v>0</v>
      </c>
      <c r="EC98" s="262">
        <f t="shared" si="46"/>
        <v>0</v>
      </c>
      <c r="ED98" s="262">
        <f t="shared" si="47"/>
        <v>0</v>
      </c>
    </row>
    <row r="99" spans="1:134">
      <c r="A99" s="2">
        <v>10304</v>
      </c>
      <c r="B99" s="3" t="s">
        <v>101</v>
      </c>
      <c r="C99">
        <f>VLOOKUP(A99, TOCA_current!$A$3:$D$136, 4, FALSE)</f>
        <v>0</v>
      </c>
      <c r="D99">
        <v>0</v>
      </c>
      <c r="E99" s="84">
        <f>VLOOKUP($A99,TOCA_previous!$A$2:$AJ$136,MATCH(E$4,TOCA_previous!$A$2:$AJ$2,0),FALSE)</f>
        <v>1.9419999999999999E-3</v>
      </c>
      <c r="F99" s="85">
        <f>VLOOKUP($A99,TOCA_previous!$A$2:$AJ$136,MATCH(F$4,TOCA_previous!$A$2:$AJ$2,0),FALSE)</f>
        <v>1.9419999999999999E-3</v>
      </c>
      <c r="G99" s="85">
        <f t="shared" si="33"/>
        <v>0</v>
      </c>
      <c r="H99" s="85">
        <f>VLOOKUP($A99,TOCA_previous!$A$2:$AJ$136,MATCH(H$4,TOCA_previous!$A$2:$AJ$2,0),FALSE)</f>
        <v>0</v>
      </c>
      <c r="I99" s="85">
        <f t="shared" si="34"/>
        <v>0</v>
      </c>
      <c r="J99" s="85">
        <f t="shared" si="35"/>
        <v>0</v>
      </c>
      <c r="K99" s="101">
        <f>VLOOKUP(A99, IRD!$A$5:$C$138, 3, FALSE)</f>
        <v>0</v>
      </c>
      <c r="L99" s="102">
        <f t="array" ref="L99">IF($G99=0, INDEX(LS_previous!$D$4:$AY$137, MATCH('Staging Table'!$A99, LS_previous!$B$4:$B$137, 0), MATCH(L$4&amp;L$5, LS_previous!$D$2:$AY$2&amp;LS_previous!$D$3:$AY$3, 0)),SUM(VLOOKUP($A99, LS_previous!$B$4:$AY$137, LS_previous!D$148, FALSE), VLOOKUP('Staging Table'!$A99, LS_previous!$B$4:$AY$137,LS_previous!AB$148, FALSE))/2)</f>
        <v>859.85868208799911</v>
      </c>
      <c r="M99" s="102">
        <f t="array" ref="M99">IF($G99=0, INDEX(LS_previous!$D$4:$AY$137, MATCH('Staging Table'!$A99, LS_previous!$B$4:$B$137, 0), MATCH(M$4&amp;M$5, LS_previous!$D$2:$AY$2&amp;LS_previous!$D$3:$AY$3, 0)),SUM(VLOOKUP($A99, LS_previous!$B$4:$AY$137, LS_previous!E$148, FALSE), VLOOKUP('Staging Table'!$A99, LS_previous!$B$4:$AY$137,LS_previous!AC$148, FALSE))/2)</f>
        <v>345.98641307900016</v>
      </c>
      <c r="N99" s="102">
        <f t="array" ref="N99">IF($G99=0, INDEX(LS_previous!$D$4:$AY$137, MATCH('Staging Table'!$A99, LS_previous!$B$4:$B$137, 0), MATCH(N$4&amp;N$5, LS_previous!$D$2:$AY$2&amp;LS_previous!$D$3:$AY$3, 0)),SUM(VLOOKUP($A99, LS_previous!$B$4:$AY$137, LS_previous!F$148, FALSE), VLOOKUP('Staging Table'!$A99, LS_previous!$B$4:$AY$137,LS_previous!AD$148, FALSE))/2)</f>
        <v>519.61160902400024</v>
      </c>
      <c r="O99" s="102">
        <f t="array" ref="O99">IF($G99=0, INDEX(LS_previous!$D$4:$AY$137, MATCH('Staging Table'!$A99, LS_previous!$B$4:$B$137, 0), MATCH(O$4&amp;O$5, LS_previous!$D$2:$AY$2&amp;LS_previous!$D$3:$AY$3, 0)),SUM(VLOOKUP($A99, LS_previous!$B$4:$AY$137, LS_previous!G$148, FALSE), VLOOKUP('Staging Table'!$A99, LS_previous!$B$4:$AY$137,LS_previous!AE$148, FALSE))/2)</f>
        <v>574.4546985979996</v>
      </c>
      <c r="P99" s="102">
        <f t="array" ref="P99">IF($G99=0, INDEX(LS_previous!$D$4:$AY$137, MATCH('Staging Table'!$A99, LS_previous!$B$4:$B$137, 0), MATCH(P$4&amp;P$5, LS_previous!$D$2:$AY$2&amp;LS_previous!$D$3:$AY$3, 0)),SUM(VLOOKUP($A99, LS_previous!$B$4:$AY$137, LS_previous!H$148, FALSE), VLOOKUP('Staging Table'!$A99, LS_previous!$B$4:$AY$137,LS_previous!AF$148, FALSE))/2)</f>
        <v>930.53269486199952</v>
      </c>
      <c r="Q99" s="102">
        <f t="array" ref="Q99">IF($G99=0, INDEX(LS_previous!$D$4:$AY$137, MATCH('Staging Table'!$A99, LS_previous!$B$4:$B$137, 0), MATCH(Q$4&amp;Q$5, LS_previous!$D$2:$AY$2&amp;LS_previous!$D$3:$AY$3, 0)),SUM(VLOOKUP($A99, LS_previous!$B$4:$AY$137, LS_previous!I$148, FALSE), VLOOKUP('Staging Table'!$A99, LS_previous!$B$4:$AY$137,LS_previous!AG$148, FALSE))/2)</f>
        <v>990.04324236800039</v>
      </c>
      <c r="R99" s="102">
        <f t="array" ref="R99">IF($G99=0, INDEX(LS_previous!$D$4:$AY$137, MATCH('Staging Table'!$A99, LS_previous!$B$4:$B$137, 0), MATCH(R$4&amp;R$5, LS_previous!$D$2:$AY$2&amp;LS_previous!$D$3:$AY$3, 0)),SUM(VLOOKUP($A99, LS_previous!$B$4:$AY$137, LS_previous!J$148, FALSE), VLOOKUP('Staging Table'!$A99, LS_previous!$B$4:$AY$137,LS_previous!AH$148, FALSE))/2)</f>
        <v>782.40768947000106</v>
      </c>
      <c r="S99" s="102">
        <f t="array" ref="S99">IF($G99=0, INDEX(LS_previous!$D$4:$AY$137, MATCH('Staging Table'!$A99, LS_previous!$B$4:$B$137, 0), MATCH(S$4&amp;S$5, LS_previous!$D$2:$AY$2&amp;LS_previous!$D$3:$AY$3, 0)),SUM(VLOOKUP($A99, LS_previous!$B$4:$AY$137, LS_previous!K$148, FALSE), VLOOKUP('Staging Table'!$A99, LS_previous!$B$4:$AY$137,LS_previous!AI$148, FALSE))/2)</f>
        <v>1033.319947682</v>
      </c>
      <c r="T99" s="102">
        <f t="array" ref="T99">IF($G99=0, INDEX(LS_previous!$D$4:$AY$137, MATCH('Staging Table'!$A99, LS_previous!$B$4:$B$137, 0), MATCH(T$4&amp;T$5, LS_previous!$D$2:$AY$2&amp;LS_previous!$D$3:$AY$3, 0)),SUM(VLOOKUP($A99, LS_previous!$B$4:$AY$137, LS_previous!L$148, FALSE), VLOOKUP('Staging Table'!$A99, LS_previous!$B$4:$AY$137,LS_previous!AJ$148, FALSE))/2)</f>
        <v>607.67900298200038</v>
      </c>
      <c r="U99" s="102">
        <f t="array" ref="U99">IF($G99=0, INDEX(LS_previous!$D$4:$AY$137, MATCH('Staging Table'!$A99, LS_previous!$B$4:$B$137, 0), MATCH(U$4&amp;U$5, LS_previous!$D$2:$AY$2&amp;LS_previous!$D$3:$AY$3, 0)),SUM(VLOOKUP($A99, LS_previous!$B$4:$AY$137, LS_previous!M$148, FALSE), VLOOKUP('Staging Table'!$A99, LS_previous!$B$4:$AY$137,LS_previous!AK$148, FALSE))/2)</f>
        <v>943.64939562200016</v>
      </c>
      <c r="V99" s="102">
        <f t="array" ref="V99">IF($G99=0, INDEX(LS_previous!$D$4:$AY$137, MATCH('Staging Table'!$A99, LS_previous!$B$4:$B$137, 0), MATCH(V$4&amp;V$5, LS_previous!$D$2:$AY$2&amp;LS_previous!$D$3:$AY$3, 0)),SUM(VLOOKUP($A99, LS_previous!$B$4:$AY$137, LS_previous!N$148, FALSE), VLOOKUP('Staging Table'!$A99, LS_previous!$B$4:$AY$137,LS_previous!AL$148, FALSE))/2)</f>
        <v>260.53508255400084</v>
      </c>
      <c r="W99" s="102">
        <f t="array" ref="W99">IF($G99=0, INDEX(LS_previous!$D$4:$AY$137, MATCH('Staging Table'!$A99, LS_previous!$B$4:$B$137, 0), MATCH(W$4&amp;W$5, LS_previous!$D$2:$AY$2&amp;LS_previous!$D$3:$AY$3, 0)),SUM(VLOOKUP($A99, LS_previous!$B$4:$AY$137, LS_previous!O$148, FALSE), VLOOKUP('Staging Table'!$A99, LS_previous!$B$4:$AY$137,LS_previous!AM$148, FALSE))/2)</f>
        <v>76.977907124000922</v>
      </c>
      <c r="X99" s="102">
        <f t="array" ref="X99">IF($G99=0, INDEX(LS_previous!$D$4:$AY$137, MATCH('Staging Table'!$A99, LS_previous!$B$4:$B$137, 0), MATCH(X$4&amp;X$5, LS_previous!$D$2:$AY$2&amp;LS_previous!$D$3:$AY$3, 0)),SUM(VLOOKUP($A99, LS_previous!$B$4:$AY$137, LS_previous!P$148, FALSE), VLOOKUP('Staging Table'!$A99, LS_previous!$B$4:$AY$137,LS_previous!AN$148, FALSE))/2)</f>
        <v>472.21909609500108</v>
      </c>
      <c r="Y99" s="102">
        <f t="array" ref="Y99">IF($G99=0, INDEX(LS_previous!$D$4:$AY$137, MATCH('Staging Table'!$A99, LS_previous!$B$4:$B$137, 0), MATCH(Y$4&amp;Y$5, LS_previous!$D$2:$AY$2&amp;LS_previous!$D$3:$AY$3, 0)),SUM(VLOOKUP($A99, LS_previous!$B$4:$AY$137, LS_previous!Q$148, FALSE), VLOOKUP('Staging Table'!$A99, LS_previous!$B$4:$AY$137,LS_previous!AO$148, FALSE))/2)</f>
        <v>281.19545728150069</v>
      </c>
      <c r="Z99" s="102">
        <f t="array" ref="Z99">IF($G99=0, INDEX(LS_previous!$D$4:$AY$137, MATCH('Staging Table'!$A99, LS_previous!$B$4:$B$137, 0), MATCH(Z$4&amp;Z$5, LS_previous!$D$2:$AY$2&amp;LS_previous!$D$3:$AY$3, 0)),SUM(VLOOKUP($A99, LS_previous!$B$4:$AY$137, LS_previous!R$148, FALSE), VLOOKUP('Staging Table'!$A99, LS_previous!$B$4:$AY$137,LS_previous!AP$148, FALSE))/2)</f>
        <v>-1815.3873188160005</v>
      </c>
      <c r="AA99" s="102">
        <f t="array" ref="AA99">IF($G99=0, INDEX(LS_previous!$D$4:$AY$137, MATCH('Staging Table'!$A99, LS_previous!$B$4:$B$137, 0), MATCH(AA$4&amp;AA$5, LS_previous!$D$2:$AY$2&amp;LS_previous!$D$3:$AY$3, 0)),SUM(VLOOKUP($A99, LS_previous!$B$4:$AY$137, LS_previous!S$148, FALSE), VLOOKUP('Staging Table'!$A99, LS_previous!$B$4:$AY$137,LS_previous!AQ$148, FALSE))/2)</f>
        <v>-1063.7893058069999</v>
      </c>
      <c r="AB99" s="102">
        <f t="array" ref="AB99">IF($G99=0, INDEX(LS_previous!$D$4:$AY$137, MATCH('Staging Table'!$A99, LS_previous!$B$4:$B$137, 0), MATCH(AB$4&amp;AB$5, LS_previous!$D$2:$AY$2&amp;LS_previous!$D$3:$AY$3, 0)),SUM(VLOOKUP($A99, LS_previous!$B$4:$AY$137, LS_previous!T$148, FALSE), VLOOKUP('Staging Table'!$A99, LS_previous!$B$4:$AY$137,LS_previous!AR$148, FALSE))/2)</f>
        <v>-2295.7893922919993</v>
      </c>
      <c r="AC99" s="102">
        <f t="array" ref="AC99">IF($G99=0, INDEX(LS_previous!$D$4:$AY$137, MATCH('Staging Table'!$A99, LS_previous!$B$4:$B$137, 0), MATCH(AC$4&amp;AC$5, LS_previous!$D$2:$AY$2&amp;LS_previous!$D$3:$AY$3, 0)),SUM(VLOOKUP($A99, LS_previous!$B$4:$AY$137, LS_previous!U$148, FALSE), VLOOKUP('Staging Table'!$A99, LS_previous!$B$4:$AY$137,LS_previous!AS$148, FALSE))/2)</f>
        <v>-1287.0621558389998</v>
      </c>
      <c r="AD99" s="102">
        <f t="array" ref="AD99">IF($G99=0, INDEX(LS_previous!$D$4:$AY$137, MATCH('Staging Table'!$A99, LS_previous!$B$4:$B$137, 0), MATCH(AD$4&amp;AD$5, LS_previous!$D$2:$AY$2&amp;LS_previous!$D$3:$AY$3, 0)),SUM(VLOOKUP($A99, LS_previous!$B$4:$AY$137, LS_previous!V$148, FALSE), VLOOKUP('Staging Table'!$A99, LS_previous!$B$4:$AY$137,LS_previous!AT$148, FALSE))/2)</f>
        <v>-1150.1046856880002</v>
      </c>
      <c r="AE99" s="102">
        <f t="array" ref="AE99">IF($G99=0, INDEX(LS_previous!$D$4:$AY$137, MATCH('Staging Table'!$A99, LS_previous!$B$4:$B$137, 0), MATCH(AE$4&amp;AE$5, LS_previous!$D$2:$AY$2&amp;LS_previous!$D$3:$AY$3, 0)),SUM(VLOOKUP($A99, LS_previous!$B$4:$AY$137, LS_previous!W$148, FALSE), VLOOKUP('Staging Table'!$A99, LS_previous!$B$4:$AY$137,LS_previous!AU$148, FALSE))/2)</f>
        <v>-354.83534260499982</v>
      </c>
      <c r="AF99" s="102">
        <f t="array" ref="AF99">IF($G99=0, INDEX(LS_previous!$D$4:$AY$137, MATCH('Staging Table'!$A99, LS_previous!$B$4:$B$137, 0), MATCH(AF$4&amp;AF$5, LS_previous!$D$2:$AY$2&amp;LS_previous!$D$3:$AY$3, 0)),SUM(VLOOKUP($A99, LS_previous!$B$4:$AY$137, LS_previous!X$148, FALSE), VLOOKUP('Staging Table'!$A99, LS_previous!$B$4:$AY$137,LS_previous!AV$148, FALSE))/2)</f>
        <v>-831.78451305300041</v>
      </c>
      <c r="AG99" s="102">
        <f t="array" ref="AG99">IF($G99=0, INDEX(LS_previous!$D$4:$AY$137, MATCH('Staging Table'!$A99, LS_previous!$B$4:$B$137, 0), MATCH(AG$4&amp;AG$5, LS_previous!$D$2:$AY$2&amp;LS_previous!$D$3:$AY$3, 0)),SUM(VLOOKUP($A99, LS_previous!$B$4:$AY$137, LS_previous!Y$148, FALSE), VLOOKUP('Staging Table'!$A99, LS_previous!$B$4:$AY$137,LS_previous!AW$148, FALSE))/2)</f>
        <v>-336.21735106869983</v>
      </c>
      <c r="AH99" s="102">
        <f t="array" ref="AH99">IF($G99=0, INDEX(LS_previous!$D$4:$AY$137, MATCH('Staging Table'!$A99, LS_previous!$B$4:$B$137, 0), MATCH(AH$4&amp;AH$5, LS_previous!$D$2:$AY$2&amp;LS_previous!$D$3:$AY$3, 0)),SUM(VLOOKUP($A99, LS_previous!$B$4:$AY$137, LS_previous!Z$148, FALSE), VLOOKUP('Staging Table'!$A99, LS_previous!$B$4:$AY$137,LS_previous!AX$148, FALSE))/2)</f>
        <v>-660.85112810800001</v>
      </c>
      <c r="AI99" s="102">
        <f t="array" ref="AI99">IF($G99=0, INDEX(LS_previous!$D$4:$AY$137, MATCH('Staging Table'!$A99, LS_previous!$B$4:$B$137, 0), MATCH(AI$4&amp;AI$5, LS_previous!$D$2:$AY$2&amp;LS_previous!$D$3:$AY$3, 0)),SUM(VLOOKUP($A99, LS_previous!$B$4:$AY$137, LS_previous!AA$148, FALSE), VLOOKUP('Staging Table'!$A99, LS_previous!$B$4:$AY$137,LS_previous!AY$148, FALSE))/2)</f>
        <v>-550.36279996800022</v>
      </c>
      <c r="AJ99" s="103">
        <f t="array" ref="AJ99">INDEX(Demand_previous!$D$4:$AY$137, MATCH('Staging Table'!$A99, Demand_previous!$B$4:$B$137, 0), MATCH(AJ$4&amp;AJ$5,Demand_previous!$D$2:$AY$2&amp;Demand_previous!$D$3:$AY$3, 0))/1000</f>
        <v>0</v>
      </c>
      <c r="AK99" s="103">
        <f t="array" ref="AK99">INDEX(Demand_previous!$D$4:$AY$137, MATCH('Staging Table'!$A99, Demand_previous!$B$4:$B$137, 0), MATCH(AK$4&amp;AK$5,Demand_previous!$D$2:$AY$2&amp;Demand_previous!$D$3:$AY$3, 0))/1000</f>
        <v>0.47888500000000089</v>
      </c>
      <c r="AL99" s="103">
        <f t="array" ref="AL99">INDEX(Demand_previous!$D$4:$AY$137, MATCH('Staging Table'!$A99, Demand_previous!$B$4:$B$137, 0), MATCH(AL$4&amp;AL$5,Demand_previous!$D$2:$AY$2&amp;Demand_previous!$D$3:$AY$3, 0))/1000</f>
        <v>3.5867100000000001</v>
      </c>
      <c r="AM99" s="103">
        <f t="array" ref="AM99">INDEX(Demand_previous!$D$4:$AY$137, MATCH('Staging Table'!$A99, Demand_previous!$B$4:$B$137, 0), MATCH(AM$4&amp;AM$5,Demand_previous!$D$2:$AY$2&amp;Demand_previous!$D$3:$AY$3, 0))/1000</f>
        <v>3.2909975961538467</v>
      </c>
      <c r="AN99" s="103">
        <f t="array" ref="AN99">INDEX(Demand_previous!$D$4:$AY$137, MATCH('Staging Table'!$A99, Demand_previous!$B$4:$B$137, 0), MATCH(AN$4&amp;AN$5,Demand_previous!$D$2:$AY$2&amp;Demand_previous!$D$3:$AY$3, 0))/1000</f>
        <v>2.8163224999999983</v>
      </c>
      <c r="AO99" s="103">
        <f t="array" ref="AO99">INDEX(Demand_previous!$D$4:$AY$137, MATCH('Staging Table'!$A99, Demand_previous!$B$4:$B$137, 0), MATCH(AO$4&amp;AO$5,Demand_previous!$D$2:$AY$2&amp;Demand_previous!$D$3:$AY$3, 0))/1000</f>
        <v>0</v>
      </c>
      <c r="AP99" s="103">
        <f t="array" ref="AP99">INDEX(Demand_previous!$D$4:$AY$137, MATCH('Staging Table'!$A99, Demand_previous!$B$4:$B$137, 0), MATCH(AP$4&amp;AP$5,Demand_previous!$D$2:$AY$2&amp;Demand_previous!$D$3:$AY$3, 0))/1000</f>
        <v>1.114925480769231</v>
      </c>
      <c r="AQ99" s="103">
        <f t="array" ref="AQ99">INDEX(Demand_previous!$D$4:$AY$137, MATCH('Staging Table'!$A99, Demand_previous!$B$4:$B$137, 0), MATCH(AQ$4&amp;AQ$5,Demand_previous!$D$2:$AY$2&amp;Demand_previous!$D$3:$AY$3, 0))/1000</f>
        <v>2.3123629807692319</v>
      </c>
      <c r="AR99" s="103">
        <f t="array" ref="AR99">INDEX(Demand_previous!$D$4:$AY$137, MATCH('Staging Table'!$A99, Demand_previous!$B$4:$B$137, 0), MATCH(AR$4&amp;AR$5,Demand_previous!$D$2:$AY$2&amp;Demand_previous!$D$3:$AY$3, 0))/1000</f>
        <v>1.9546349999999986</v>
      </c>
      <c r="AS99" s="103">
        <f t="array" ref="AS99">INDEX(Demand_previous!$D$4:$AY$137, MATCH('Staging Table'!$A99, Demand_previous!$B$4:$B$137, 0), MATCH(AS$4&amp;AS$5,Demand_previous!$D$2:$AY$2&amp;Demand_previous!$D$3:$AY$3, 0))/1000</f>
        <v>2.2749447115384624</v>
      </c>
      <c r="AT99" s="103">
        <f t="array" ref="AT99">INDEX(Demand_previous!$D$4:$AY$137, MATCH('Staging Table'!$A99, Demand_previous!$B$4:$B$137, 0), MATCH(AT$4&amp;AT$5,Demand_previous!$D$2:$AY$2&amp;Demand_previous!$D$3:$AY$3, 0))/1000</f>
        <v>2.7120949074074074</v>
      </c>
      <c r="AU99" s="103">
        <f t="array" ref="AU99">INDEX(Demand_previous!$D$4:$AY$137, MATCH('Staging Table'!$A99, Demand_previous!$B$4:$B$137, 0), MATCH(AU$4&amp;AU$5,Demand_previous!$D$2:$AY$2&amp;Demand_previous!$D$3:$AY$3, 0))/1000</f>
        <v>1.4014609374999989</v>
      </c>
      <c r="AV99" s="102">
        <f>$F99*(VLOOKUP(AV$4, Rates_previous!$G$6:$Q$29, 10, FALSE)+VLOOKUP(AV$4, Rates_previous!$G$6:$Q$29, 11, FALSE))</f>
        <v>8192.9169048330004</v>
      </c>
      <c r="AW99" s="102">
        <f>$F99*(VLOOKUP(AW$4, Rates_previous!$G$6:$Q$29, 10, FALSE)+VLOOKUP(AW$4, Rates_previous!$G$6:$Q$29, 11, FALSE))</f>
        <v>10448.670692378</v>
      </c>
      <c r="AX99" s="102">
        <f>$F99*(VLOOKUP(AX$4, Rates_previous!$G$6:$Q$29, 10, FALSE)+VLOOKUP(AX$4, Rates_previous!$G$6:$Q$29, 11, FALSE))</f>
        <v>11276.18306277</v>
      </c>
      <c r="AY99" s="102">
        <f>$F99*(VLOOKUP(AY$4, Rates_previous!$G$6:$Q$29, 10, FALSE)+VLOOKUP(AY$4, Rates_previous!$G$6:$Q$29, 11, FALSE))</f>
        <v>11717.697362847999</v>
      </c>
      <c r="AZ99" s="102">
        <f>$F99*(VLOOKUP(AZ$4, Rates_previous!$G$6:$Q$29, 10, FALSE)+VLOOKUP(AZ$4, Rates_previous!$G$6:$Q$29, 11, FALSE))</f>
        <v>10078.781601395998</v>
      </c>
      <c r="BA99" s="102">
        <f>$F99*(VLOOKUP(BA$4, Rates_previous!$G$6:$Q$29, 10, FALSE)+VLOOKUP(BA$4, Rates_previous!$G$6:$Q$29, 11, FALSE))</f>
        <v>11004.034010321999</v>
      </c>
      <c r="BB99" s="102">
        <f>$F99*(VLOOKUP(BB$4, Rates_previous!$G$6:$Q$29, 10, FALSE)+VLOOKUP(BB$4, Rates_previous!$G$6:$Q$29, 11, FALSE))</f>
        <v>8685.8304466234986</v>
      </c>
      <c r="BC99" s="102">
        <f>$F99*(VLOOKUP(BC$4, Rates_previous!$G$6:$Q$29, 10, FALSE)+VLOOKUP(BC$4, Rates_previous!$G$6:$Q$29, 11, FALSE))</f>
        <v>10775.936624623</v>
      </c>
      <c r="BD99" s="102">
        <f>$F99*(VLOOKUP(BD$4, Rates_previous!$G$6:$Q$29, 10, FALSE)+VLOOKUP(BD$4, Rates_previous!$G$6:$Q$29, 11, FALSE))</f>
        <v>11009.747548130999</v>
      </c>
      <c r="BE99" s="102">
        <f>$F99*(VLOOKUP(BE$4, Rates_previous!$G$6:$Q$29, 10, FALSE)+VLOOKUP(BE$4, Rates_previous!$G$6:$Q$29, 11, FALSE))</f>
        <v>9558.047028293</v>
      </c>
      <c r="BF99" s="102">
        <f>$F99*(VLOOKUP(BF$4, Rates_previous!$G$6:$Q$29, 10, FALSE)+VLOOKUP(BF$4, Rates_previous!$G$6:$Q$29, 11, FALSE))</f>
        <v>9240.0908641217011</v>
      </c>
      <c r="BG99" s="102">
        <f>$F99*(VLOOKUP(BG$4, Rates_previous!$G$6:$Q$29, 10, FALSE)+VLOOKUP(BG$4, Rates_previous!$G$6:$Q$29, 11, FALSE))</f>
        <v>8502.672928076001</v>
      </c>
      <c r="BH99" s="103">
        <f>IF($D99=0,IF(C99=0, MAX(BJ99 - (VLOOKUP($A99,TOCA_previous!$A$2:$AJ$136,MATCH("RHWM "&amp;Init!$D$1-2,TOCA_previous!$A$2:$AJ$2,0),FALSE)*$F$2*TOCA_previous!C96),0),0), 0)</f>
        <v>0</v>
      </c>
      <c r="BI99" s="109">
        <f>MIN(VLOOKUP($A99,TOCA_previous!$A$2:$AJ$136,MATCH("TRL - NLSL - Existing Resource "&amp;$F$1,TOCA_previous!$A$2:$AJ$2,0),FALSE)*$F$2,(VLOOKUP($A99,TOCA_previous!$A$2:$AJ$136,MATCH("RHWM "&amp;Init!$D$1-2,TOCA_previous!$A$2:$AJ$2,0),FALSE)*$F$2))</f>
        <v>117828.576</v>
      </c>
      <c r="BJ99" s="261">
        <f>SUM(L99:AI99)+(F99*RT1SC!$C$3*$F$2)</f>
        <v>118822.8965523048</v>
      </c>
      <c r="BK99" s="260">
        <f>VLOOKUP($A99,TOCA_previous!$A$2:$AJ$136,MATCH("Above RHWM Not Served with LS "&amp;$F$1,TOCA_previous!$A$2:$AJ$2,0),FALSE)*$F$2</f>
        <v>0</v>
      </c>
      <c r="BL99" s="261">
        <f t="shared" si="36"/>
        <v>994.32055230479455</v>
      </c>
      <c r="BM99" s="260">
        <f>(VLOOKUP($A99,TOCA_previous!$A$2:$AJ$136,MATCH("RHWM "&amp;Init!$D$1-2,TOCA_previous!$A$2:$AJ$2,0),FALSE)*$F$2) - $BI99</f>
        <v>5744.7359999999899</v>
      </c>
      <c r="BN99" s="261">
        <f t="shared" si="37"/>
        <v>-994.32055230479455</v>
      </c>
      <c r="BO99" s="260">
        <f t="shared" si="38"/>
        <v>0</v>
      </c>
      <c r="BP99" s="261">
        <f t="shared" si="39"/>
        <v>0</v>
      </c>
      <c r="BQ99" s="260">
        <f t="shared" si="9"/>
        <v>-994.32055230479455</v>
      </c>
      <c r="BR99" s="85">
        <f>VLOOKUP($A99,TOCA_current!$A$2:$ZZ$136,MATCH(BR$4,TOCA_current!$A$2:$ZZ$2,0),FALSE)</f>
        <v>1.9078999999999999E-3</v>
      </c>
      <c r="BS99" s="85">
        <f>VLOOKUP($A99,TOCA_current!$A$2:$ZZ$136,MATCH(BS$4,TOCA_current!$A$2:$ZZ$2,0),FALSE)</f>
        <v>1.9078999999999999E-3</v>
      </c>
      <c r="BT99" s="108">
        <f t="shared" si="40"/>
        <v>0</v>
      </c>
      <c r="BU99" s="85">
        <f>VLOOKUP($A99,TOCA_current!A96:BG230,MATCH(BU$4,TOCA_current!$A$2:$BG$2,0),FALSE)</f>
        <v>0</v>
      </c>
      <c r="BV99" s="85">
        <f t="shared" si="41"/>
        <v>0</v>
      </c>
      <c r="BW99" s="85">
        <f t="shared" si="42"/>
        <v>0</v>
      </c>
      <c r="BX99" s="101">
        <f>VLOOKUP($A99,IRD!$A$4:$G$138, 7, FALSE)</f>
        <v>0</v>
      </c>
      <c r="BY99" s="102">
        <f t="array" ref="BY99">IF($BT99=0, INDEX(LS_current!$D$4:$BW$137, MATCH('Staging Table'!$A99, LS_current!$B$4:$B$137, 0), MATCH(BY$4&amp;BY$5, LS_current!$D$2:$BW$2&amp;LS_current!$D$3:$BW$3, 0)),SUM(VLOOKUP($A99, LS_current!$B$4:$BW$137, LS_current!D$147, FALSE), VLOOKUP($A99, LS_current!$B$4:$BW$137,LS_current!AZ$147, FALSE))/2)</f>
        <v>882.79407009575152</v>
      </c>
      <c r="BZ99" s="102">
        <f t="array" ref="BZ99">IF($BT99=0, INDEX(LS_current!$D$4:$BW$137, MATCH('Staging Table'!$A99, LS_current!$B$4:$B$137, 0), MATCH(BZ$4&amp;BZ$5, LS_current!$D$2:$BW$2&amp;LS_current!$D$3:$BW$3, 0)),SUM(VLOOKUP($A99, LS_current!$B$4:$BW$137, LS_current!E$147, FALSE), VLOOKUP($A99, LS_current!$B$4:$BW$137,LS_current!BA$147, FALSE))/2)</f>
        <v>597.6342013086246</v>
      </c>
      <c r="CA99" s="102">
        <f t="array" ref="CA99">IF($BT99=0, INDEX(LS_current!$D$4:$BW$137, MATCH('Staging Table'!$A99, LS_current!$B$4:$B$137, 0), MATCH(CA$4&amp;CA$5, LS_current!$D$2:$BW$2&amp;LS_current!$D$3:$BW$3, 0)),SUM(VLOOKUP($A99, LS_current!$B$4:$BW$137, LS_current!F$147, FALSE), VLOOKUP($A99, LS_current!$B$4:$BW$137,LS_current!BB$147, FALSE))/2)</f>
        <v>743.28327680574694</v>
      </c>
      <c r="CB99" s="102">
        <f t="array" ref="CB99">IF($BT99=0, INDEX(LS_current!$D$4:$BW$137, MATCH('Staging Table'!$A99, LS_current!$B$4:$B$137, 0), MATCH(CB$4&amp;CB$5, LS_current!$D$2:$BW$2&amp;LS_current!$D$3:$BW$3, 0)),SUM(VLOOKUP($A99, LS_current!$B$4:$BW$137, LS_current!G$147, FALSE), VLOOKUP($A99, LS_current!$B$4:$BW$137,LS_current!BC$147, FALSE))/2)</f>
        <v>676.1246600178406</v>
      </c>
      <c r="CC99" s="102">
        <f t="array" ref="CC99">IF($BT99=0, INDEX(LS_current!$D$4:$BW$137, MATCH('Staging Table'!$A99, LS_current!$B$4:$B$137, 0), MATCH(CC$4&amp;CC$5, LS_current!$D$2:$BW$2&amp;LS_current!$D$3:$BW$3, 0)),SUM(VLOOKUP($A99, LS_current!$B$4:$BW$137, LS_current!H$147, FALSE), VLOOKUP($A99, LS_current!$B$4:$BW$137,LS_current!BD$147, FALSE))/2)</f>
        <v>389.66030079361008</v>
      </c>
      <c r="CD99" s="102">
        <f t="array" ref="CD99">IF($BT99=0, INDEX(LS_current!$D$4:$BW$137, MATCH('Staging Table'!$A99, LS_current!$B$4:$B$137, 0), MATCH(CD$4&amp;CD$5, LS_current!$D$2:$BW$2&amp;LS_current!$D$3:$BW$3, 0)),SUM(VLOOKUP($A99, LS_current!$B$4:$BW$137, LS_current!I$147, FALSE), VLOOKUP($A99, LS_current!$B$4:$BW$137,LS_current!BE$147, FALSE))/2)</f>
        <v>1297.7202387767857</v>
      </c>
      <c r="CE99" s="102">
        <f t="array" ref="CE99">IF($BT99=0, INDEX(LS_current!$D$4:$BW$137, MATCH('Staging Table'!$A99, LS_current!$B$4:$B$137, 0), MATCH(CE$4&amp;CE$5, LS_current!$D$2:$BW$2&amp;LS_current!$D$3:$BW$3, 0)),SUM(VLOOKUP($A99, LS_current!$B$4:$BW$137, LS_current!J$147, FALSE), VLOOKUP($A99, LS_current!$B$4:$BW$137,LS_current!BF$147, FALSE))/2)</f>
        <v>383.10453172292819</v>
      </c>
      <c r="CF99" s="102">
        <f t="array" ref="CF99">IF($BT99=0, INDEX(LS_current!$D$4:$BW$137, MATCH('Staging Table'!$A99, LS_current!$B$4:$B$137, 0), MATCH(CF$4&amp;CF$5, LS_current!$D$2:$BW$2&amp;LS_current!$D$3:$BW$3, 0)),SUM(VLOOKUP($A99, LS_current!$B$4:$BW$137, LS_current!K$147, FALSE), VLOOKUP($A99, LS_current!$B$4:$BW$137,LS_current!BG$147, FALSE))/2)</f>
        <v>1007.0277832703232</v>
      </c>
      <c r="CG99" s="102">
        <f t="array" ref="CG99">IF($BT99=0, INDEX(LS_current!$D$4:$BW$137, MATCH('Staging Table'!$A99, LS_current!$B$4:$B$137, 0), MATCH(CG$4&amp;CG$5, LS_current!$D$2:$BW$2&amp;LS_current!$D$3:$BW$3, 0)),SUM(VLOOKUP($A99, LS_current!$B$4:$BW$137, LS_current!L$147, FALSE), VLOOKUP($A99, LS_current!$B$4:$BW$137,LS_current!BH$147, FALSE))/2)</f>
        <v>858.25500259486762</v>
      </c>
      <c r="CH99" s="102">
        <f t="array" ref="CH99">IF($BT99=0, INDEX(LS_current!$D$4:$BW$137, MATCH('Staging Table'!$A99, LS_current!$B$4:$B$137, 0), MATCH(CH$4&amp;CH$5, LS_current!$D$2:$BW$2&amp;LS_current!$D$3:$BW$3, 0)),SUM(VLOOKUP($A99, LS_current!$B$4:$BW$137, LS_current!M$147, FALSE), VLOOKUP($A99, LS_current!$B$4:$BW$137,LS_current!BI$147, FALSE))/2)</f>
        <v>1094.7467015108841</v>
      </c>
      <c r="CI99" s="102">
        <f t="array" ref="CI99">IF($BT99=0, INDEX(LS_current!$D$4:$BW$137, MATCH('Staging Table'!$A99, LS_current!$B$4:$B$137, 0), MATCH(CI$4&amp;CI$5, LS_current!$D$2:$BW$2&amp;LS_current!$D$3:$BW$3, 0)),SUM(VLOOKUP($A99, LS_current!$B$4:$BW$137, LS_current!N$147, FALSE), VLOOKUP($A99, LS_current!$B$4:$BW$137,LS_current!BJ$147, FALSE))/2)</f>
        <v>79.989380971894207</v>
      </c>
      <c r="CJ99" s="102">
        <f t="array" ref="CJ99">IF($BT99=0, INDEX(LS_current!$D$4:$BW$137, MATCH('Staging Table'!$A99, LS_current!$B$4:$B$137, 0), MATCH(CJ$4&amp;CJ$5, LS_current!$D$2:$BW$2&amp;LS_current!$D$3:$BW$3, 0)),SUM(VLOOKUP($A99, LS_current!$B$4:$BW$137, LS_current!O$147, FALSE), VLOOKUP($A99, LS_current!$B$4:$BW$137,LS_current!BK$147, FALSE))/2)</f>
        <v>682.49100181362746</v>
      </c>
      <c r="CK99" s="102">
        <f t="array" ref="CK99">IF($BT99=0, INDEX(LS_current!$D$4:$BW$137, MATCH('Staging Table'!$A99, LS_current!$B$4:$B$137, 0), MATCH(CK$4&amp;CK$5, LS_current!$D$2:$BW$2&amp;LS_current!$D$3:$BW$3, 0)),SUM(VLOOKUP($A99, LS_current!$B$4:$BW$137, LS_current!P$147, FALSE), VLOOKUP($A99, LS_current!$B$4:$BW$137,LS_current!BL$147, FALSE))/2)</f>
        <v>710.99558718494791</v>
      </c>
      <c r="CL99" s="102">
        <f t="array" ref="CL99">IF($BT99=0, INDEX(LS_current!$D$4:$BW$137, MATCH('Staging Table'!$A99, LS_current!$B$4:$B$137, 0), MATCH(CL$4&amp;CL$5, LS_current!$D$2:$BW$2&amp;LS_current!$D$3:$BW$3, 0)),SUM(VLOOKUP($A99, LS_current!$B$4:$BW$137, LS_current!Q$147, FALSE), VLOOKUP($A99, LS_current!$B$4:$BW$137,LS_current!BM$147, FALSE))/2)</f>
        <v>529.36636888057137</v>
      </c>
      <c r="CM99" s="102">
        <f t="array" ref="CM99">IF($BT99=0, INDEX(LS_current!$D$4:$BW$137, MATCH('Staging Table'!$A99, LS_current!$B$4:$B$137, 0), MATCH(CM$4&amp;CM$5, LS_current!$D$2:$BW$2&amp;LS_current!$D$3:$BW$3, 0)),SUM(VLOOKUP($A99, LS_current!$B$4:$BW$137, LS_current!R$147, FALSE), VLOOKUP($A99, LS_current!$B$4:$BW$137,LS_current!BN$147, FALSE))/2)</f>
        <v>-1692.4039396263342</v>
      </c>
      <c r="CN99" s="102">
        <f t="array" ref="CN99">IF($BT99=0, INDEX(LS_current!$D$4:$BW$137, MATCH('Staging Table'!$A99, LS_current!$B$4:$B$137, 0), MATCH(CN$4&amp;CN$5, LS_current!$D$2:$BW$2&amp;LS_current!$D$3:$BW$3, 0)),SUM(VLOOKUP($A99, LS_current!$B$4:$BW$137, LS_current!S$147, FALSE), VLOOKUP($A99, LS_current!$B$4:$BW$137,LS_current!BO$147, FALSE))/2)</f>
        <v>-1021.5406845830562</v>
      </c>
      <c r="CO99" s="102">
        <f t="array" ref="CO99">IF($BT99=0, INDEX(LS_current!$D$4:$BW$137, MATCH('Staging Table'!$A99, LS_current!$B$4:$B$137, 0), MATCH(CO$4&amp;CO$5, LS_current!$D$2:$BW$2&amp;LS_current!$D$3:$BW$3, 0)),SUM(VLOOKUP($A99, LS_current!$B$4:$BW$137, LS_current!T$147, FALSE), VLOOKUP($A99, LS_current!$B$4:$BW$137,LS_current!BP$147, FALSE))/2)</f>
        <v>-2445.3779396796217</v>
      </c>
      <c r="CP99" s="102">
        <f t="array" ref="CP99">IF($BT99=0, INDEX(LS_current!$D$4:$BW$137, MATCH('Staging Table'!$A99, LS_current!$B$4:$B$137, 0), MATCH(CP$4&amp;CP$5, LS_current!$D$2:$BW$2&amp;LS_current!$D$3:$BW$3, 0)),SUM(VLOOKUP($A99, LS_current!$B$4:$BW$137, LS_current!U$147, FALSE), VLOOKUP($A99, LS_current!$B$4:$BW$137,LS_current!BQ$147, FALSE))/2)</f>
        <v>-965.00011600949392</v>
      </c>
      <c r="CQ99" s="102">
        <f t="array" ref="CQ99">IF($BT99=0, INDEX(LS_current!$D$4:$BW$137, MATCH('Staging Table'!$A99, LS_current!$B$4:$B$137, 0), MATCH(CQ$4&amp;CQ$5, LS_current!$D$2:$BW$2&amp;LS_current!$D$3:$BW$3, 0)),SUM(VLOOKUP($A99, LS_current!$B$4:$BW$137, LS_current!V$147, FALSE), VLOOKUP($A99, LS_current!$B$4:$BW$137,LS_current!BR$147, FALSE))/2)</f>
        <v>-1306.2184269674635</v>
      </c>
      <c r="CR99" s="102">
        <f t="array" ref="CR99">IF($BT99=0, INDEX(LS_current!$D$4:$BW$137, MATCH('Staging Table'!$A99, LS_current!$B$4:$B$137, 0), MATCH(CR$4&amp;CR$5, LS_current!$D$2:$BW$2&amp;LS_current!$D$3:$BW$3, 0)),SUM(VLOOKUP($A99, LS_current!$B$4:$BW$137, LS_current!W$147, FALSE), VLOOKUP($A99, LS_current!$B$4:$BW$137,LS_current!BS$147, FALSE))/2)</f>
        <v>-286.78574134337578</v>
      </c>
      <c r="CS99" s="102">
        <f t="array" ref="CS99">IF($BT99=0, INDEX(LS_current!$D$4:$BW$137, MATCH('Staging Table'!$A99, LS_current!$B$4:$B$137, 0), MATCH(CS$4&amp;CS$5, LS_current!$D$2:$BW$2&amp;LS_current!$D$3:$BW$3, 0)),SUM(VLOOKUP($A99, LS_current!$B$4:$BW$137, LS_current!X$147, FALSE), VLOOKUP($A99, LS_current!$B$4:$BW$137,LS_current!BT$147, FALSE))/2)</f>
        <v>-1547.6866985936313</v>
      </c>
      <c r="CT99" s="102">
        <f t="array" ref="CT99">IF($BT99=0, INDEX(LS_current!$D$4:$BW$137, MATCH('Staging Table'!$A99, LS_current!$B$4:$B$137, 0), MATCH(CT$4&amp;CT$5, LS_current!$D$2:$BW$2&amp;LS_current!$D$3:$BW$3, 0)),SUM(VLOOKUP($A99, LS_current!$B$4:$BW$137, LS_current!Y$147, FALSE), VLOOKUP($A99, LS_current!$B$4:$BW$137,LS_current!BU$147, FALSE))/2)</f>
        <v>-275.36532121317668</v>
      </c>
      <c r="CU99" s="102">
        <f t="array" ref="CU99">IF($BT99=0, INDEX(LS_current!$D$4:$BW$137, MATCH('Staging Table'!$A99, LS_current!$B$4:$B$137, 0), MATCH(CU$4&amp;CU$5, LS_current!$D$2:$BW$2&amp;LS_current!$D$3:$BW$3, 0)),SUM(VLOOKUP($A99, LS_current!$B$4:$BW$137, LS_current!Z$147, FALSE), VLOOKUP($A99, LS_current!$B$4:$BW$137,LS_current!BV$147, FALSE))/2)</f>
        <v>-365.8311856778173</v>
      </c>
      <c r="CV99" s="102">
        <f t="array" ref="CV99">IF($BT99=0, INDEX(LS_current!$D$4:$BW$137, MATCH('Staging Table'!$A99, LS_current!$B$4:$B$137, 0), MATCH(CV$4&amp;CV$5, LS_current!$D$2:$BW$2&amp;LS_current!$D$3:$BW$3, 0)),SUM(VLOOKUP($A99, LS_current!$B$4:$BW$137, LS_current!AA$147, FALSE), VLOOKUP($A99, LS_current!$B$4:$BW$137,LS_current!BW$147, FALSE))/2)</f>
        <v>-27.472962544713937</v>
      </c>
      <c r="CW99" s="103">
        <f t="array" ref="CW99">INDEX(Demand_current!$D$4:$BW$137, MATCH($A99, Demand_current!$B$4:$B$137, 0), MATCH(CW$4&amp;CW$5,Demand_current!$D$2:$BW$2&amp;Demand_current!$D$3:$BW$3, 0))/1000</f>
        <v>0</v>
      </c>
      <c r="CX99" s="103">
        <f t="array" ref="CX99">INDEX(Demand_current!$D$4:$BW$137, MATCH($A99, Demand_current!$B$4:$B$137, 0), MATCH(CX$4&amp;CX$5,Demand_current!$D$2:$BW$2&amp;Demand_current!$D$3:$BW$3, 0))/1000</f>
        <v>0</v>
      </c>
      <c r="CY99" s="103">
        <f t="array" ref="CY99">INDEX(Demand_current!$D$4:$BW$137, MATCH($A99, Demand_current!$B$4:$B$137, 0), MATCH(CY$4&amp;CY$5,Demand_current!$D$2:$BW$2&amp;Demand_current!$D$3:$BW$3, 0))/1000</f>
        <v>4.3335673076923058</v>
      </c>
      <c r="CZ99" s="103">
        <f t="array" ref="CZ99">INDEX(Demand_current!$D$4:$BW$137, MATCH($A99, Demand_current!$B$4:$B$137, 0), MATCH(CZ$4&amp;CZ$5,Demand_current!$D$2:$BW$2&amp;Demand_current!$D$3:$BW$3, 0))/1000</f>
        <v>3.2909975961538467</v>
      </c>
      <c r="DA99" s="103">
        <f t="array" ref="DA99">INDEX(Demand_current!$D$4:$BW$137, MATCH($A99, Demand_current!$B$4:$B$137, 0), MATCH(DA$4&amp;DA$5,Demand_current!$D$2:$BW$2&amp;Demand_current!$D$3:$BW$3, 0))/1000</f>
        <v>2.0854609374999988</v>
      </c>
      <c r="DB99" s="103">
        <f t="array" ref="DB99">INDEX(Demand_current!$D$4:$BW$137, MATCH($A99, Demand_current!$B$4:$B$137, 0), MATCH(DB$4&amp;DB$5,Demand_current!$D$2:$BW$2&amp;Demand_current!$D$3:$BW$3, 0))/1000</f>
        <v>0</v>
      </c>
      <c r="DC99" s="103">
        <f t="array" ref="DC99">INDEX(Demand_current!$D$4:$BW$137, MATCH($A99, Demand_current!$B$4:$B$137, 0), MATCH(DC$4&amp;DC$5,Demand_current!$D$2:$BW$2&amp;Demand_current!$D$3:$BW$3, 0))/1000</f>
        <v>1.114925480769231</v>
      </c>
      <c r="DD99" s="103">
        <f t="array" ref="DD99">INDEX(Demand_current!$D$4:$BW$137, MATCH($A99, Demand_current!$B$4:$B$137, 0), MATCH(DD$4&amp;DD$5,Demand_current!$D$2:$BW$2&amp;Demand_current!$D$3:$BW$3, 0))/1000</f>
        <v>1.8572975000000018</v>
      </c>
      <c r="DE99" s="103">
        <f t="array" ref="DE99">INDEX(Demand_current!$D$4:$BW$137, MATCH($A99, Demand_current!$B$4:$B$137, 0), MATCH(DE$4&amp;DE$5,Demand_current!$D$2:$BW$2&amp;Demand_current!$D$3:$BW$3, 0))/1000</f>
        <v>2.3986490384615378</v>
      </c>
      <c r="DF99" s="103">
        <f t="array" ref="DF99">INDEX(Demand_current!$D$4:$BW$137, MATCH($A99, Demand_current!$B$4:$B$137, 0), MATCH(DF$4&amp;DF$5,Demand_current!$D$2:$BW$2&amp;Demand_current!$D$3:$BW$3, 0))/1000</f>
        <v>2.2749447115384624</v>
      </c>
      <c r="DG99" s="103">
        <f t="array" ref="DG99">INDEX(Demand_current!$D$4:$BW$137, MATCH($A99, Demand_current!$B$4:$B$137, 0), MATCH(DG$4&amp;DG$5,Demand_current!$D$2:$BW$2&amp;Demand_current!$D$3:$BW$3, 0))/1000</f>
        <v>2.2642908653846154</v>
      </c>
      <c r="DH99" s="103">
        <f t="array" ref="DH99">INDEX(Demand_current!$D$4:$BW$137, MATCH($A99, Demand_current!$B$4:$B$137, 0), MATCH(DH$4&amp;DH$5,Demand_current!$D$2:$BW$2&amp;Demand_current!$D$3:$BW$3, 0))/1000</f>
        <v>1.8616024999999994</v>
      </c>
      <c r="DI99" s="102">
        <f>$BS99*(VLOOKUP(DI$4, Rates_current!$H$6:$R$41, 10, FALSE)+VLOOKUP(DI$4, Rates_current!$H$6:$R$41, 11, FALSE))</f>
        <v>7918.3337285956241</v>
      </c>
      <c r="DJ99" s="102">
        <f>$BS99*(VLOOKUP(DJ$4, Rates_current!$H$6:$R$41, 10, FALSE)+VLOOKUP(DJ$4, Rates_current!$H$6:$R$41, 11, FALSE))</f>
        <v>10123.329063176414</v>
      </c>
      <c r="DK99" s="102">
        <f>$BS99*(VLOOKUP(DK$4, Rates_current!$H$6:$R$41, 10, FALSE)+VLOOKUP(DK$4, Rates_current!$H$6:$R$41, 11, FALSE))</f>
        <v>11509.378460429603</v>
      </c>
      <c r="DL99" s="102">
        <f>$BS99*(VLOOKUP(DL$4, Rates_current!$H$6:$R$41, 10, FALSE)+VLOOKUP(DL$4, Rates_current!$H$6:$R$41, 11, FALSE))</f>
        <v>12143.292685006749</v>
      </c>
      <c r="DM99" s="102">
        <f>$BS99*(VLOOKUP(DM$4, Rates_current!$H$6:$R$41, 10, FALSE)+VLOOKUP(DM$4, Rates_current!$H$6:$R$41, 11, FALSE))</f>
        <v>9677.1082958942479</v>
      </c>
      <c r="DN99" s="102">
        <f>$BS99*(VLOOKUP(DN$4, Rates_current!$H$6:$R$41, 10, FALSE)+VLOOKUP(DN$4, Rates_current!$H$6:$R$41, 11, FALSE))</f>
        <v>10579.066617214477</v>
      </c>
      <c r="DO99" s="102">
        <f>$BS99*(VLOOKUP(DO$4, Rates_current!$H$6:$R$41, 10, FALSE)+VLOOKUP(DO$4, Rates_current!$H$6:$R$41, 11, FALSE))</f>
        <v>8198.883043934482</v>
      </c>
      <c r="DP99" s="102">
        <f>$BS99*(VLOOKUP(DP$4, Rates_current!$H$6:$R$41, 10, FALSE)+VLOOKUP(DP$4, Rates_current!$H$6:$R$41, 11, FALSE))</f>
        <v>10610.704624209389</v>
      </c>
      <c r="DQ99" s="102">
        <f>$BS99*(VLOOKUP(DQ$4, Rates_current!$H$6:$R$41, 10, FALSE)+VLOOKUP(DQ$4, Rates_current!$H$6:$R$41, 11, FALSE))</f>
        <v>10837.274055689117</v>
      </c>
      <c r="DR99" s="102">
        <f>$BS99*(VLOOKUP(DR$4, Rates_current!$H$6:$R$41, 10, FALSE)+VLOOKUP(DR$4, Rates_current!$H$6:$R$41, 11, FALSE))</f>
        <v>9646.1111683108393</v>
      </c>
      <c r="DS99" s="102">
        <f>$BS99*(VLOOKUP(DS$4, Rates_current!$H$6:$R$41, 10, FALSE)+VLOOKUP(DS$4, Rates_current!$H$6:$R$41, 11, FALSE))</f>
        <v>9895.1410198068079</v>
      </c>
      <c r="DT99" s="102">
        <f>$BS99*(VLOOKUP(DT$4, Rates_current!$H$6:$R$41, 10, FALSE)+VLOOKUP(DT$4, Rates_current!$H$6:$R$41, 11, FALSE))</f>
        <v>7684.7631482225324</v>
      </c>
      <c r="DU99" s="261">
        <f>IF(D99=0,IF(C99=0,MAX(0,DW99 - (VLOOKUP($A99,TOCA_current!$A$2:$AV$136,MATCH("RHWM "&amp;Init!$D$1,TOCA_current!$A$2:$AV$2,0),FALSE)*$BS$2)), 0),0)</f>
        <v>0</v>
      </c>
      <c r="DV99" s="262">
        <f>MIN(VLOOKUP($A99,TOCA_current!$A$2:$AV$136,MATCH("TRL - NLSL - Existing Resource "&amp;$BS$1,TOCA_current!$A$2:$AV$2,0),FALSE)*$BS$2, VLOOKUP($A99,TOCA_current!$A$2:$AV$136,MATCH("RHWM "&amp;Init!$D$1,TOCA_current!$A$2:$AV$2,0),FALSE)*$BS$2)</f>
        <v>118820.64</v>
      </c>
      <c r="DW99" s="262">
        <f>SUM(BY99:CV99)+(BS99*RT1SC!$C$4*$BS$2)</f>
        <v>118822.90301411771</v>
      </c>
      <c r="DX99" s="262">
        <f>VLOOKUP($A99,TOCA_current!$A$2:$AV$136,MATCH("Above RHWM Not Served with LS "&amp;$BS$1,TOCA_current!$A$2:$AV$2,0),FALSE)*$BS$2</f>
        <v>0</v>
      </c>
      <c r="DY99" s="262">
        <f t="shared" si="43"/>
        <v>2.2630141177069163</v>
      </c>
      <c r="DZ99" s="262">
        <f>(VLOOKUP($A99,TOCA_current!$A$2:$AV$136,MATCH("RHWM "&amp;Init!$D$1,TOCA_current!$A$2:$AV$2,0),FALSE)*$BS$2) - $DV99</f>
        <v>5124.5999999999913</v>
      </c>
      <c r="EA99" s="262">
        <f t="shared" si="44"/>
        <v>-2.2630141177069163</v>
      </c>
      <c r="EB99" s="262">
        <f t="shared" si="45"/>
        <v>0</v>
      </c>
      <c r="EC99" s="262">
        <f t="shared" si="46"/>
        <v>0</v>
      </c>
      <c r="ED99" s="262">
        <f t="shared" si="47"/>
        <v>-2.2630141177069163</v>
      </c>
    </row>
    <row r="100" spans="1:134">
      <c r="A100" s="2">
        <v>10306</v>
      </c>
      <c r="B100" s="3" t="s">
        <v>102</v>
      </c>
      <c r="C100">
        <f>VLOOKUP(A100, TOCA_current!$A$3:$D$136, 4, FALSE)</f>
        <v>0</v>
      </c>
      <c r="D100">
        <v>1</v>
      </c>
      <c r="E100" s="84">
        <f>VLOOKUP($A100,TOCA_previous!$A$2:$AJ$136,MATCH(E$4,TOCA_previous!$A$2:$AJ$2,0),FALSE)</f>
        <v>2.2047E-3</v>
      </c>
      <c r="F100" s="85">
        <f>VLOOKUP($A100,TOCA_previous!$A$2:$AJ$136,MATCH(F$4,TOCA_previous!$A$2:$AJ$2,0),FALSE)</f>
        <v>2.2047E-3</v>
      </c>
      <c r="G100" s="85">
        <f t="shared" si="33"/>
        <v>0</v>
      </c>
      <c r="H100" s="85">
        <f>VLOOKUP($A100,TOCA_previous!$A$2:$AJ$136,MATCH(H$4,TOCA_previous!$A$2:$AJ$2,0),FALSE)</f>
        <v>0</v>
      </c>
      <c r="I100" s="85">
        <f t="shared" si="34"/>
        <v>0</v>
      </c>
      <c r="J100" s="85">
        <f t="shared" si="35"/>
        <v>0</v>
      </c>
      <c r="K100" s="101">
        <f>VLOOKUP(A100, IRD!$A$5:$C$138, 3, FALSE)</f>
        <v>0</v>
      </c>
      <c r="L100" s="102">
        <f t="array" ref="L100">IF($G100=0, INDEX(LS_previous!$D$4:$AY$137, MATCH('Staging Table'!$A100, LS_previous!$B$4:$B$137, 0), MATCH(L$4&amp;L$5, LS_previous!$D$2:$AY$2&amp;LS_previous!$D$3:$AY$3, 0)),SUM(VLOOKUP($A100, LS_previous!$B$4:$AY$137, LS_previous!D$148, FALSE), VLOOKUP('Staging Table'!$A100, LS_previous!$B$4:$AY$137,LS_previous!AB$148, FALSE))/2)</f>
        <v>-3084.2757785562972</v>
      </c>
      <c r="M100" s="102">
        <f t="array" ref="M100">IF($G100=0, INDEX(LS_previous!$D$4:$AY$137, MATCH('Staging Table'!$A100, LS_previous!$B$4:$B$137, 0), MATCH(M$4&amp;M$5, LS_previous!$D$2:$AY$2&amp;LS_previous!$D$3:$AY$3, 0)),SUM(VLOOKUP($A100, LS_previous!$B$4:$AY$137, LS_previous!E$148, FALSE), VLOOKUP('Staging Table'!$A100, LS_previous!$B$4:$AY$137,LS_previous!AC$148, FALSE))/2)</f>
        <v>-1668.688650422753</v>
      </c>
      <c r="N100" s="102">
        <f t="array" ref="N100">IF($G100=0, INDEX(LS_previous!$D$4:$AY$137, MATCH('Staging Table'!$A100, LS_previous!$B$4:$B$137, 0), MATCH(N$4&amp;N$5, LS_previous!$D$2:$AY$2&amp;LS_previous!$D$3:$AY$3, 0)),SUM(VLOOKUP($A100, LS_previous!$B$4:$AY$137, LS_previous!F$148, FALSE), VLOOKUP('Staging Table'!$A100, LS_previous!$B$4:$AY$137,LS_previous!AD$148, FALSE))/2)</f>
        <v>3860.7370009958404</v>
      </c>
      <c r="O100" s="102">
        <f t="array" ref="O100">IF($G100=0, INDEX(LS_previous!$D$4:$AY$137, MATCH('Staging Table'!$A100, LS_previous!$B$4:$B$137, 0), MATCH(O$4&amp;O$5, LS_previous!$D$2:$AY$2&amp;LS_previous!$D$3:$AY$3, 0)),SUM(VLOOKUP($A100, LS_previous!$B$4:$AY$137, LS_previous!G$148, FALSE), VLOOKUP('Staging Table'!$A100, LS_previous!$B$4:$AY$137,LS_previous!AE$148, FALSE))/2)</f>
        <v>4209.1290331968448</v>
      </c>
      <c r="P100" s="102">
        <f t="array" ref="P100">IF($G100=0, INDEX(LS_previous!$D$4:$AY$137, MATCH('Staging Table'!$A100, LS_previous!$B$4:$B$137, 0), MATCH(P$4&amp;P$5, LS_previous!$D$2:$AY$2&amp;LS_previous!$D$3:$AY$3, 0)),SUM(VLOOKUP($A100, LS_previous!$B$4:$AY$137, LS_previous!H$148, FALSE), VLOOKUP('Staging Table'!$A100, LS_previous!$B$4:$AY$137,LS_previous!AF$148, FALSE))/2)</f>
        <v>1947.6094783234594</v>
      </c>
      <c r="Q100" s="102">
        <f t="array" ref="Q100">IF($G100=0, INDEX(LS_previous!$D$4:$AY$137, MATCH('Staging Table'!$A100, LS_previous!$B$4:$B$137, 0), MATCH(Q$4&amp;Q$5, LS_previous!$D$2:$AY$2&amp;LS_previous!$D$3:$AY$3, 0)),SUM(VLOOKUP($A100, LS_previous!$B$4:$AY$137, LS_previous!I$148, FALSE), VLOOKUP('Staging Table'!$A100, LS_previous!$B$4:$AY$137,LS_previous!AG$148, FALSE))/2)</f>
        <v>3310.0026713320121</v>
      </c>
      <c r="R100" s="102">
        <f t="array" ref="R100">IF($G100=0, INDEX(LS_previous!$D$4:$AY$137, MATCH('Staging Table'!$A100, LS_previous!$B$4:$B$137, 0), MATCH(R$4&amp;R$5, LS_previous!$D$2:$AY$2&amp;LS_previous!$D$3:$AY$3, 0)),SUM(VLOOKUP($A100, LS_previous!$B$4:$AY$137, LS_previous!J$148, FALSE), VLOOKUP('Staging Table'!$A100, LS_previous!$B$4:$AY$137,LS_previous!AH$148, FALSE))/2)</f>
        <v>5975.3481714233658</v>
      </c>
      <c r="S100" s="102">
        <f t="array" ref="S100">IF($G100=0, INDEX(LS_previous!$D$4:$AY$137, MATCH('Staging Table'!$A100, LS_previous!$B$4:$B$137, 0), MATCH(S$4&amp;S$5, LS_previous!$D$2:$AY$2&amp;LS_previous!$D$3:$AY$3, 0)),SUM(VLOOKUP($A100, LS_previous!$B$4:$AY$137, LS_previous!K$148, FALSE), VLOOKUP('Staging Table'!$A100, LS_previous!$B$4:$AY$137,LS_previous!AI$148, FALSE))/2)</f>
        <v>6138.4592319798239</v>
      </c>
      <c r="T100" s="102">
        <f t="array" ref="T100">IF($G100=0, INDEX(LS_previous!$D$4:$AY$137, MATCH('Staging Table'!$A100, LS_previous!$B$4:$B$137, 0), MATCH(T$4&amp;T$5, LS_previous!$D$2:$AY$2&amp;LS_previous!$D$3:$AY$3, 0)),SUM(VLOOKUP($A100, LS_previous!$B$4:$AY$137, LS_previous!L$148, FALSE), VLOOKUP('Staging Table'!$A100, LS_previous!$B$4:$AY$137,LS_previous!AJ$148, FALSE))/2)</f>
        <v>5640.3715269480217</v>
      </c>
      <c r="U100" s="102">
        <f t="array" ref="U100">IF($G100=0, INDEX(LS_previous!$D$4:$AY$137, MATCH('Staging Table'!$A100, LS_previous!$B$4:$B$137, 0), MATCH(U$4&amp;U$5, LS_previous!$D$2:$AY$2&amp;LS_previous!$D$3:$AY$3, 0)),SUM(VLOOKUP($A100, LS_previous!$B$4:$AY$137, LS_previous!M$148, FALSE), VLOOKUP('Staging Table'!$A100, LS_previous!$B$4:$AY$137,LS_previous!AK$148, FALSE))/2)</f>
        <v>5391.078757613398</v>
      </c>
      <c r="V100" s="102">
        <f t="array" ref="V100">IF($G100=0, INDEX(LS_previous!$D$4:$AY$137, MATCH('Staging Table'!$A100, LS_previous!$B$4:$B$137, 0), MATCH(V$4&amp;V$5, LS_previous!$D$2:$AY$2&amp;LS_previous!$D$3:$AY$3, 0)),SUM(VLOOKUP($A100, LS_previous!$B$4:$AY$137, LS_previous!N$148, FALSE), VLOOKUP('Staging Table'!$A100, LS_previous!$B$4:$AY$137,LS_previous!AL$148, FALSE))/2)</f>
        <v>4302.6907571193678</v>
      </c>
      <c r="W100" s="102">
        <f t="array" ref="W100">IF($G100=0, INDEX(LS_previous!$D$4:$AY$137, MATCH('Staging Table'!$A100, LS_previous!$B$4:$B$137, 0), MATCH(W$4&amp;W$5, LS_previous!$D$2:$AY$2&amp;LS_previous!$D$3:$AY$3, 0)),SUM(VLOOKUP($A100, LS_previous!$B$4:$AY$137, LS_previous!O$148, FALSE), VLOOKUP('Staging Table'!$A100, LS_previous!$B$4:$AY$137,LS_previous!AM$148, FALSE))/2)</f>
        <v>4474.401704492926</v>
      </c>
      <c r="X100" s="102">
        <f t="array" ref="X100">IF($G100=0, INDEX(LS_previous!$D$4:$AY$137, MATCH('Staging Table'!$A100, LS_previous!$B$4:$B$137, 0), MATCH(X$4&amp;X$5, LS_previous!$D$2:$AY$2&amp;LS_previous!$D$3:$AY$3, 0)),SUM(VLOOKUP($A100, LS_previous!$B$4:$AY$137, LS_previous!P$148, FALSE), VLOOKUP('Staging Table'!$A100, LS_previous!$B$4:$AY$137,LS_previous!AN$148, FALSE))/2)</f>
        <v>-5229.1902190542496</v>
      </c>
      <c r="Y100" s="102">
        <f t="array" ref="Y100">IF($G100=0, INDEX(LS_previous!$D$4:$AY$137, MATCH('Staging Table'!$A100, LS_previous!$B$4:$B$137, 0), MATCH(Y$4&amp;Y$5, LS_previous!$D$2:$AY$2&amp;LS_previous!$D$3:$AY$3, 0)),SUM(VLOOKUP($A100, LS_previous!$B$4:$AY$137, LS_previous!Q$148, FALSE), VLOOKUP('Staging Table'!$A100, LS_previous!$B$4:$AY$137,LS_previous!AO$148, FALSE))/2)</f>
        <v>-3293.8824671202242</v>
      </c>
      <c r="Z100" s="102">
        <f t="array" ref="Z100">IF($G100=0, INDEX(LS_previous!$D$4:$AY$137, MATCH('Staging Table'!$A100, LS_previous!$B$4:$B$137, 0), MATCH(Z$4&amp;Z$5, LS_previous!$D$2:$AY$2&amp;LS_previous!$D$3:$AY$3, 0)),SUM(VLOOKUP($A100, LS_previous!$B$4:$AY$137, LS_previous!R$148, FALSE), VLOOKUP('Staging Table'!$A100, LS_previous!$B$4:$AY$137,LS_previous!AP$148, FALSE))/2)</f>
        <v>-7433.8446047856005</v>
      </c>
      <c r="AA100" s="102">
        <f t="array" ref="AA100">IF($G100=0, INDEX(LS_previous!$D$4:$AY$137, MATCH('Staging Table'!$A100, LS_previous!$B$4:$B$137, 0), MATCH(AA$4&amp;AA$5, LS_previous!$D$2:$AY$2&amp;LS_previous!$D$3:$AY$3, 0)),SUM(VLOOKUP($A100, LS_previous!$B$4:$AY$137, LS_previous!S$148, FALSE), VLOOKUP('Staging Table'!$A100, LS_previous!$B$4:$AY$137,LS_previous!AQ$148, FALSE))/2)</f>
        <v>-4799.7843737449493</v>
      </c>
      <c r="AB100" s="102">
        <f t="array" ref="AB100">IF($G100=0, INDEX(LS_previous!$D$4:$AY$137, MATCH('Staging Table'!$A100, LS_previous!$B$4:$B$137, 0), MATCH(AB$4&amp;AB$5, LS_previous!$D$2:$AY$2&amp;LS_previous!$D$3:$AY$3, 0)),SUM(VLOOKUP($A100, LS_previous!$B$4:$AY$137, LS_previous!T$148, FALSE), VLOOKUP('Staging Table'!$A100, LS_previous!$B$4:$AY$137,LS_previous!AR$148, FALSE))/2)</f>
        <v>-7848.7494744522</v>
      </c>
      <c r="AC100" s="102">
        <f t="array" ref="AC100">IF($G100=0, INDEX(LS_previous!$D$4:$AY$137, MATCH('Staging Table'!$A100, LS_previous!$B$4:$B$137, 0), MATCH(AC$4&amp;AC$5, LS_previous!$D$2:$AY$2&amp;LS_previous!$D$3:$AY$3, 0)),SUM(VLOOKUP($A100, LS_previous!$B$4:$AY$137, LS_previous!U$148, FALSE), VLOOKUP('Staging Table'!$A100, LS_previous!$B$4:$AY$137,LS_previous!AS$148, FALSE))/2)</f>
        <v>-4650.3187126561497</v>
      </c>
      <c r="AD100" s="102">
        <f t="array" ref="AD100">IF($G100=0, INDEX(LS_previous!$D$4:$AY$137, MATCH('Staging Table'!$A100, LS_previous!$B$4:$B$137, 0), MATCH(AD$4&amp;AD$5, LS_previous!$D$2:$AY$2&amp;LS_previous!$D$3:$AY$3, 0)),SUM(VLOOKUP($A100, LS_previous!$B$4:$AY$137, LS_previous!V$148, FALSE), VLOOKUP('Staging Table'!$A100, LS_previous!$B$4:$AY$137,LS_previous!AT$148, FALSE))/2)</f>
        <v>-3919.5993909940262</v>
      </c>
      <c r="AE100" s="102">
        <f t="array" ref="AE100">IF($G100=0, INDEX(LS_previous!$D$4:$AY$137, MATCH('Staging Table'!$A100, LS_previous!$B$4:$B$137, 0), MATCH(AE$4&amp;AE$5, LS_previous!$D$2:$AY$2&amp;LS_previous!$D$3:$AY$3, 0)),SUM(VLOOKUP($A100, LS_previous!$B$4:$AY$137, LS_previous!W$148, FALSE), VLOOKUP('Staging Table'!$A100, LS_previous!$B$4:$AY$137,LS_previous!AU$148, FALSE))/2)</f>
        <v>-1848.0741479460248</v>
      </c>
      <c r="AF100" s="102">
        <f t="array" ref="AF100">IF($G100=0, INDEX(LS_previous!$D$4:$AY$137, MATCH('Staging Table'!$A100, LS_previous!$B$4:$B$137, 0), MATCH(AF$4&amp;AF$5, LS_previous!$D$2:$AY$2&amp;LS_previous!$D$3:$AY$3, 0)),SUM(VLOOKUP($A100, LS_previous!$B$4:$AY$137, LS_previous!X$148, FALSE), VLOOKUP('Staging Table'!$A100, LS_previous!$B$4:$AY$137,LS_previous!AV$148, FALSE))/2)</f>
        <v>-3625.1463323318553</v>
      </c>
      <c r="AG100" s="102">
        <f t="array" ref="AG100">IF($G100=0, INDEX(LS_previous!$D$4:$AY$137, MATCH('Staging Table'!$A100, LS_previous!$B$4:$B$137, 0), MATCH(AG$4&amp;AG$5, LS_previous!$D$2:$AY$2&amp;LS_previous!$D$3:$AY$3, 0)),SUM(VLOOKUP($A100, LS_previous!$B$4:$AY$137, LS_previous!Y$148, FALSE), VLOOKUP('Staging Table'!$A100, LS_previous!$B$4:$AY$137,LS_previous!AW$148, FALSE))/2)</f>
        <v>-1647.7886494194868</v>
      </c>
      <c r="AH100" s="102">
        <f t="array" ref="AH100">IF($G100=0, INDEX(LS_previous!$D$4:$AY$137, MATCH('Staging Table'!$A100, LS_previous!$B$4:$B$137, 0), MATCH(AH$4&amp;AH$5, LS_previous!$D$2:$AY$2&amp;LS_previous!$D$3:$AY$3, 0)),SUM(VLOOKUP($A100, LS_previous!$B$4:$AY$137, LS_previous!Z$148, FALSE), VLOOKUP('Staging Table'!$A100, LS_previous!$B$4:$AY$137,LS_previous!AX$148, FALSE))/2)</f>
        <v>-200.25851508780124</v>
      </c>
      <c r="AI100" s="102">
        <f t="array" ref="AI100">IF($G100=0, INDEX(LS_previous!$D$4:$AY$137, MATCH('Staging Table'!$A100, LS_previous!$B$4:$B$137, 0), MATCH(AI$4&amp;AI$5, LS_previous!$D$2:$AY$2&amp;LS_previous!$D$3:$AY$3, 0)),SUM(VLOOKUP($A100, LS_previous!$B$4:$AY$137, LS_previous!AA$148, FALSE), VLOOKUP('Staging Table'!$A100, LS_previous!$B$4:$AY$137,LS_previous!AY$148, FALSE))/2)</f>
        <v>981.58404681119964</v>
      </c>
      <c r="AJ100" s="103">
        <f t="array" ref="AJ100">INDEX(Demand_previous!$D$4:$AY$137, MATCH('Staging Table'!$A100, Demand_previous!$B$4:$B$137, 0), MATCH(AJ$4&amp;AJ$5,Demand_previous!$D$2:$AY$2&amp;Demand_previous!$D$3:$AY$3, 0))/1000</f>
        <v>0</v>
      </c>
      <c r="AK100" s="103">
        <f t="array" ref="AK100">INDEX(Demand_previous!$D$4:$AY$137, MATCH('Staging Table'!$A100, Demand_previous!$B$4:$B$137, 0), MATCH(AK$4&amp;AK$5,Demand_previous!$D$2:$AY$2&amp;Demand_previous!$D$3:$AY$3, 0))/1000</f>
        <v>0</v>
      </c>
      <c r="AL100" s="103">
        <f t="array" ref="AL100">INDEX(Demand_previous!$D$4:$AY$137, MATCH('Staging Table'!$A100, Demand_previous!$B$4:$B$137, 0), MATCH(AL$4&amp;AL$5,Demand_previous!$D$2:$AY$2&amp;Demand_previous!$D$3:$AY$3, 0))/1000</f>
        <v>0</v>
      </c>
      <c r="AM100" s="103">
        <f t="array" ref="AM100">INDEX(Demand_previous!$D$4:$AY$137, MATCH('Staging Table'!$A100, Demand_previous!$B$4:$B$137, 0), MATCH(AM$4&amp;AM$5,Demand_previous!$D$2:$AY$2&amp;Demand_previous!$D$3:$AY$3, 0))/1000</f>
        <v>0</v>
      </c>
      <c r="AN100" s="103">
        <f t="array" ref="AN100">INDEX(Demand_previous!$D$4:$AY$137, MATCH('Staging Table'!$A100, Demand_previous!$B$4:$B$137, 0), MATCH(AN$4&amp;AN$5,Demand_previous!$D$2:$AY$2&amp;Demand_previous!$D$3:$AY$3, 0))/1000</f>
        <v>0</v>
      </c>
      <c r="AO100" s="103">
        <f t="array" ref="AO100">INDEX(Demand_previous!$D$4:$AY$137, MATCH('Staging Table'!$A100, Demand_previous!$B$4:$B$137, 0), MATCH(AO$4&amp;AO$5,Demand_previous!$D$2:$AY$2&amp;Demand_previous!$D$3:$AY$3, 0))/1000</f>
        <v>0</v>
      </c>
      <c r="AP100" s="103">
        <f t="array" ref="AP100">INDEX(Demand_previous!$D$4:$AY$137, MATCH('Staging Table'!$A100, Demand_previous!$B$4:$B$137, 0), MATCH(AP$4&amp;AP$5,Demand_previous!$D$2:$AY$2&amp;Demand_previous!$D$3:$AY$3, 0))/1000</f>
        <v>0</v>
      </c>
      <c r="AQ100" s="103">
        <f t="array" ref="AQ100">INDEX(Demand_previous!$D$4:$AY$137, MATCH('Staging Table'!$A100, Demand_previous!$B$4:$B$137, 0), MATCH(AQ$4&amp;AQ$5,Demand_previous!$D$2:$AY$2&amp;Demand_previous!$D$3:$AY$3, 0))/1000</f>
        <v>0</v>
      </c>
      <c r="AR100" s="103">
        <f t="array" ref="AR100">INDEX(Demand_previous!$D$4:$AY$137, MATCH('Staging Table'!$A100, Demand_previous!$B$4:$B$137, 0), MATCH(AR$4&amp;AR$5,Demand_previous!$D$2:$AY$2&amp;Demand_previous!$D$3:$AY$3, 0))/1000</f>
        <v>0</v>
      </c>
      <c r="AS100" s="103">
        <f t="array" ref="AS100">INDEX(Demand_previous!$D$4:$AY$137, MATCH('Staging Table'!$A100, Demand_previous!$B$4:$B$137, 0), MATCH(AS$4&amp;AS$5,Demand_previous!$D$2:$AY$2&amp;Demand_previous!$D$3:$AY$3, 0))/1000</f>
        <v>0</v>
      </c>
      <c r="AT100" s="103">
        <f t="array" ref="AT100">INDEX(Demand_previous!$D$4:$AY$137, MATCH('Staging Table'!$A100, Demand_previous!$B$4:$B$137, 0), MATCH(AT$4&amp;AT$5,Demand_previous!$D$2:$AY$2&amp;Demand_previous!$D$3:$AY$3, 0))/1000</f>
        <v>0</v>
      </c>
      <c r="AU100" s="103">
        <f t="array" ref="AU100">INDEX(Demand_previous!$D$4:$AY$137, MATCH('Staging Table'!$A100, Demand_previous!$B$4:$B$137, 0), MATCH(AU$4&amp;AU$5,Demand_previous!$D$2:$AY$2&amp;Demand_previous!$D$3:$AY$3, 0))/1000</f>
        <v>0</v>
      </c>
      <c r="AV100" s="102">
        <f>$F100*(VLOOKUP(AV$4, Rates_previous!$G$6:$Q$29, 10, FALSE)+VLOOKUP(AV$4, Rates_previous!$G$6:$Q$29, 11, FALSE))</f>
        <v>9301.1966529790498</v>
      </c>
      <c r="AW100" s="102">
        <f>$F100*(VLOOKUP(AW$4, Rates_previous!$G$6:$Q$29, 10, FALSE)+VLOOKUP(AW$4, Rates_previous!$G$6:$Q$29, 11, FALSE))</f>
        <v>11862.092829807301</v>
      </c>
      <c r="AX100" s="102">
        <f>$F100*(VLOOKUP(AX$4, Rates_previous!$G$6:$Q$29, 10, FALSE)+VLOOKUP(AX$4, Rates_previous!$G$6:$Q$29, 11, FALSE))</f>
        <v>12801.5452103445</v>
      </c>
      <c r="AY100" s="102">
        <f>$F100*(VLOOKUP(AY$4, Rates_previous!$G$6:$Q$29, 10, FALSE)+VLOOKUP(AY$4, Rates_previous!$G$6:$Q$29, 11, FALSE))</f>
        <v>13302.784436596799</v>
      </c>
      <c r="AZ100" s="102">
        <f>$F100*(VLOOKUP(AZ$4, Rates_previous!$G$6:$Q$29, 10, FALSE)+VLOOKUP(AZ$4, Rates_previous!$G$6:$Q$29, 11, FALSE))</f>
        <v>11442.1677634386</v>
      </c>
      <c r="BA100" s="102">
        <f>$F100*(VLOOKUP(BA$4, Rates_previous!$G$6:$Q$29, 10, FALSE)+VLOOKUP(BA$4, Rates_previous!$G$6:$Q$29, 11, FALSE))</f>
        <v>12492.581762387699</v>
      </c>
      <c r="BB100" s="102">
        <f>$F100*(VLOOKUP(BB$4, Rates_previous!$G$6:$Q$29, 10, FALSE)+VLOOKUP(BB$4, Rates_previous!$G$6:$Q$29, 11, FALSE))</f>
        <v>9860.7880461744735</v>
      </c>
      <c r="BC100" s="102">
        <f>$F100*(VLOOKUP(BC$4, Rates_previous!$G$6:$Q$29, 10, FALSE)+VLOOKUP(BC$4, Rates_previous!$G$6:$Q$29, 11, FALSE))</f>
        <v>12233.628978530551</v>
      </c>
      <c r="BD100" s="102">
        <f>$F100*(VLOOKUP(BD$4, Rates_previous!$G$6:$Q$29, 10, FALSE)+VLOOKUP(BD$4, Rates_previous!$G$6:$Q$29, 11, FALSE))</f>
        <v>12499.068187108349</v>
      </c>
      <c r="BE100" s="102">
        <f>$F100*(VLOOKUP(BE$4, Rates_previous!$G$6:$Q$29, 10, FALSE)+VLOOKUP(BE$4, Rates_previous!$G$6:$Q$29, 11, FALSE))</f>
        <v>10850.991906940049</v>
      </c>
      <c r="BF100" s="102">
        <f>$F100*(VLOOKUP(BF$4, Rates_previous!$G$6:$Q$29, 10, FALSE)+VLOOKUP(BF$4, Rates_previous!$G$6:$Q$29, 11, FALSE))</f>
        <v>10490.024885751345</v>
      </c>
      <c r="BG100" s="102">
        <f>$F100*(VLOOKUP(BG$4, Rates_previous!$G$6:$Q$29, 10, FALSE)+VLOOKUP(BG$4, Rates_previous!$G$6:$Q$29, 11, FALSE))</f>
        <v>9652.854276276601</v>
      </c>
      <c r="BH100" s="103">
        <f>IF($D100=0,IF(C100=0, MAX(BJ100 - (VLOOKUP($A100,TOCA_previous!$A$2:$AJ$136,MATCH("RHWM "&amp;Init!$D$1-2,TOCA_previous!$A$2:$AJ$2,0),FALSE)*$F$2*TOCA_previous!C97),0),0), 0)</f>
        <v>0</v>
      </c>
      <c r="BI100" s="109">
        <f>MIN(VLOOKUP($A100,TOCA_previous!$A$2:$AJ$136,MATCH("TRL - NLSL - Existing Resource "&amp;$F$1,TOCA_previous!$A$2:$AJ$2,0),FALSE)*$F$2,(VLOOKUP($A100,TOCA_previous!$A$2:$AJ$136,MATCH("RHWM "&amp;Init!$D$1-2,TOCA_previous!$A$2:$AJ$2,0),FALSE)*$F$2))</f>
        <v>133771.53599999999</v>
      </c>
      <c r="BJ100" s="261">
        <f>SUM(L100:AI100)+(F100*RT1SC!$C$3*$F$2)</f>
        <v>133771.53662701664</v>
      </c>
      <c r="BK100" s="260">
        <f>VLOOKUP($A100,TOCA_previous!$A$2:$AJ$136,MATCH("Above RHWM Not Served with LS "&amp;$F$1,TOCA_previous!$A$2:$AJ$2,0),FALSE)*$F$2</f>
        <v>0</v>
      </c>
      <c r="BL100" s="261">
        <f t="shared" si="36"/>
        <v>6.2701664865016937E-4</v>
      </c>
      <c r="BM100" s="260">
        <f>(VLOOKUP($A100,TOCA_previous!$A$2:$AJ$136,MATCH("RHWM "&amp;Init!$D$1-2,TOCA_previous!$A$2:$AJ$2,0),FALSE)*$F$2) - $BI100</f>
        <v>92583.359999999986</v>
      </c>
      <c r="BN100" s="261">
        <f t="shared" si="37"/>
        <v>-6.2701664865016937E-4</v>
      </c>
      <c r="BO100" s="260">
        <f t="shared" si="38"/>
        <v>0</v>
      </c>
      <c r="BP100" s="261">
        <f t="shared" si="39"/>
        <v>0</v>
      </c>
      <c r="BQ100" s="260">
        <f t="shared" si="9"/>
        <v>0</v>
      </c>
      <c r="BR100" s="85">
        <f>VLOOKUP($A100,TOCA_current!$A$2:$ZZ$136,MATCH(BR$4,TOCA_current!$A$2:$ZZ$2,0),FALSE)</f>
        <v>2.1480000000000002E-3</v>
      </c>
      <c r="BS100" s="85">
        <f>VLOOKUP($A100,TOCA_current!$A$2:$ZZ$136,MATCH(BS$4,TOCA_current!$A$2:$ZZ$2,0),FALSE)</f>
        <v>2.1480000000000002E-3</v>
      </c>
      <c r="BT100" s="108">
        <f t="shared" si="40"/>
        <v>0</v>
      </c>
      <c r="BU100" s="85">
        <f>VLOOKUP($A100,TOCA_current!A97:BG231,MATCH(BU$4,TOCA_current!$A$2:$BG$2,0),FALSE)</f>
        <v>0</v>
      </c>
      <c r="BV100" s="85">
        <f t="shared" si="41"/>
        <v>0</v>
      </c>
      <c r="BW100" s="85">
        <f t="shared" si="42"/>
        <v>0</v>
      </c>
      <c r="BX100" s="101">
        <f>VLOOKUP($A100,IRD!$A$4:$G$138, 7, FALSE)</f>
        <v>0</v>
      </c>
      <c r="BY100" s="102">
        <f t="array" ref="BY100">IF($BT100=0, INDEX(LS_current!$D$4:$BW$137, MATCH('Staging Table'!$A100, LS_current!$B$4:$B$137, 0), MATCH(BY$4&amp;BY$5, LS_current!$D$2:$BW$2&amp;LS_current!$D$3:$BW$3, 0)),SUM(VLOOKUP($A100, LS_current!$B$4:$BW$137, LS_current!D$147, FALSE), VLOOKUP($A100, LS_current!$B$4:$BW$137,LS_current!AZ$147, FALSE))/2)</f>
        <v>-2913.8629023069793</v>
      </c>
      <c r="BZ100" s="102">
        <f t="array" ref="BZ100">IF($BT100=0, INDEX(LS_current!$D$4:$BW$137, MATCH('Staging Table'!$A100, LS_current!$B$4:$B$137, 0), MATCH(BZ$4&amp;BZ$5, LS_current!$D$2:$BW$2&amp;LS_current!$D$3:$BW$3, 0)),SUM(VLOOKUP($A100, LS_current!$B$4:$BW$137, LS_current!E$147, FALSE), VLOOKUP($A100, LS_current!$B$4:$BW$137,LS_current!BA$147, FALSE))/2)</f>
        <v>-1452.6402411320889</v>
      </c>
      <c r="CA100" s="102">
        <f t="array" ref="CA100">IF($BT100=0, INDEX(LS_current!$D$4:$BW$137, MATCH('Staging Table'!$A100, LS_current!$B$4:$B$137, 0), MATCH(CA$4&amp;CA$5, LS_current!$D$2:$BW$2&amp;LS_current!$D$3:$BW$3, 0)),SUM(VLOOKUP($A100, LS_current!$B$4:$BW$137, LS_current!F$147, FALSE), VLOOKUP($A100, LS_current!$B$4:$BW$137,LS_current!BB$147, FALSE))/2)</f>
        <v>3730.1993922376587</v>
      </c>
      <c r="CB100" s="102">
        <f t="array" ref="CB100">IF($BT100=0, INDEX(LS_current!$D$4:$BW$137, MATCH('Staging Table'!$A100, LS_current!$B$4:$B$137, 0), MATCH(CB$4&amp;CB$5, LS_current!$D$2:$BW$2&amp;LS_current!$D$3:$BW$3, 0)),SUM(VLOOKUP($A100, LS_current!$B$4:$BW$137, LS_current!G$147, FALSE), VLOOKUP($A100, LS_current!$B$4:$BW$137,LS_current!BC$147, FALSE))/2)</f>
        <v>4804.8195168315042</v>
      </c>
      <c r="CC100" s="102">
        <f t="array" ref="CC100">IF($BT100=0, INDEX(LS_current!$D$4:$BW$137, MATCH('Staging Table'!$A100, LS_current!$B$4:$B$137, 0), MATCH(CC$4&amp;CC$5, LS_current!$D$2:$BW$2&amp;LS_current!$D$3:$BW$3, 0)),SUM(VLOOKUP($A100, LS_current!$B$4:$BW$137, LS_current!H$147, FALSE), VLOOKUP($A100, LS_current!$B$4:$BW$137,LS_current!BD$147, FALSE))/2)</f>
        <v>1791.6783000022751</v>
      </c>
      <c r="CD100" s="102">
        <f t="array" ref="CD100">IF($BT100=0, INDEX(LS_current!$D$4:$BW$137, MATCH('Staging Table'!$A100, LS_current!$B$4:$B$137, 0), MATCH(CD$4&amp;CD$5, LS_current!$D$2:$BW$2&amp;LS_current!$D$3:$BW$3, 0)),SUM(VLOOKUP($A100, LS_current!$B$4:$BW$137, LS_current!I$147, FALSE), VLOOKUP($A100, LS_current!$B$4:$BW$137,LS_current!BE$147, FALSE))/2)</f>
        <v>3310.028149673909</v>
      </c>
      <c r="CE100" s="102">
        <f t="array" ref="CE100">IF($BT100=0, INDEX(LS_current!$D$4:$BW$137, MATCH('Staging Table'!$A100, LS_current!$B$4:$B$137, 0), MATCH(CE$4&amp;CE$5, LS_current!$D$2:$BW$2&amp;LS_current!$D$3:$BW$3, 0)),SUM(VLOOKUP($A100, LS_current!$B$4:$BW$137, LS_current!J$147, FALSE), VLOOKUP($A100, LS_current!$B$4:$BW$137,LS_current!BF$147, FALSE))/2)</f>
        <v>5594.44774036319</v>
      </c>
      <c r="CF100" s="102">
        <f t="array" ref="CF100">IF($BT100=0, INDEX(LS_current!$D$4:$BW$137, MATCH('Staging Table'!$A100, LS_current!$B$4:$B$137, 0), MATCH(CF$4&amp;CF$5, LS_current!$D$2:$BW$2&amp;LS_current!$D$3:$BW$3, 0)),SUM(VLOOKUP($A100, LS_current!$B$4:$BW$137, LS_current!K$147, FALSE), VLOOKUP($A100, LS_current!$B$4:$BW$137,LS_current!BG$147, FALSE))/2)</f>
        <v>6151.1372413263807</v>
      </c>
      <c r="CG100" s="102">
        <f t="array" ref="CG100">IF($BT100=0, INDEX(LS_current!$D$4:$BW$137, MATCH('Staging Table'!$A100, LS_current!$B$4:$B$137, 0), MATCH(CG$4&amp;CG$5, LS_current!$D$2:$BW$2&amp;LS_current!$D$3:$BW$3, 0)),SUM(VLOOKUP($A100, LS_current!$B$4:$BW$137, LS_current!L$147, FALSE), VLOOKUP($A100, LS_current!$B$4:$BW$137,LS_current!BH$147, FALSE))/2)</f>
        <v>5909.3275920319584</v>
      </c>
      <c r="CH100" s="102">
        <f t="array" ref="CH100">IF($BT100=0, INDEX(LS_current!$D$4:$BW$137, MATCH('Staging Table'!$A100, LS_current!$B$4:$B$137, 0), MATCH(CH$4&amp;CH$5, LS_current!$D$2:$BW$2&amp;LS_current!$D$3:$BW$3, 0)),SUM(VLOOKUP($A100, LS_current!$B$4:$BW$137, LS_current!M$147, FALSE), VLOOKUP($A100, LS_current!$B$4:$BW$137,LS_current!BI$147, FALSE))/2)</f>
        <v>5669.7720526722451</v>
      </c>
      <c r="CI100" s="102">
        <f t="array" ref="CI100">IF($BT100=0, INDEX(LS_current!$D$4:$BW$137, MATCH('Staging Table'!$A100, LS_current!$B$4:$B$137, 0), MATCH(CI$4&amp;CI$5, LS_current!$D$2:$BW$2&amp;LS_current!$D$3:$BW$3, 0)),SUM(VLOOKUP($A100, LS_current!$B$4:$BW$137, LS_current!N$147, FALSE), VLOOKUP($A100, LS_current!$B$4:$BW$137,LS_current!BJ$147, FALSE))/2)</f>
        <v>4162.8035065071681</v>
      </c>
      <c r="CJ100" s="102">
        <f t="array" ref="CJ100">IF($BT100=0, INDEX(LS_current!$D$4:$BW$137, MATCH('Staging Table'!$A100, LS_current!$B$4:$B$137, 0), MATCH(CJ$4&amp;CJ$5, LS_current!$D$2:$BW$2&amp;LS_current!$D$3:$BW$3, 0)),SUM(VLOOKUP($A100, LS_current!$B$4:$BW$137, LS_current!O$147, FALSE), VLOOKUP($A100, LS_current!$B$4:$BW$137,LS_current!BK$147, FALSE))/2)</f>
        <v>5196.8650785231157</v>
      </c>
      <c r="CK100" s="102">
        <f t="array" ref="CK100">IF($BT100=0, INDEX(LS_current!$D$4:$BW$137, MATCH('Staging Table'!$A100, LS_current!$B$4:$B$137, 0), MATCH(CK$4&amp;CK$5, LS_current!$D$2:$BW$2&amp;LS_current!$D$3:$BW$3, 0)),SUM(VLOOKUP($A100, LS_current!$B$4:$BW$137, LS_current!P$147, FALSE), VLOOKUP($A100, LS_current!$B$4:$BW$137,LS_current!BL$147, FALSE))/2)</f>
        <v>-4910.5071624865377</v>
      </c>
      <c r="CL100" s="102">
        <f t="array" ref="CL100">IF($BT100=0, INDEX(LS_current!$D$4:$BW$137, MATCH('Staging Table'!$A100, LS_current!$B$4:$B$137, 0), MATCH(CL$4&amp;CL$5, LS_current!$D$2:$BW$2&amp;LS_current!$D$3:$BW$3, 0)),SUM(VLOOKUP($A100, LS_current!$B$4:$BW$137, LS_current!Q$147, FALSE), VLOOKUP($A100, LS_current!$B$4:$BW$137,LS_current!BM$147, FALSE))/2)</f>
        <v>-2982.4261125966768</v>
      </c>
      <c r="CM100" s="102">
        <f t="array" ref="CM100">IF($BT100=0, INDEX(LS_current!$D$4:$BW$137, MATCH('Staging Table'!$A100, LS_current!$B$4:$B$137, 0), MATCH(CM$4&amp;CM$5, LS_current!$D$2:$BW$2&amp;LS_current!$D$3:$BW$3, 0)),SUM(VLOOKUP($A100, LS_current!$B$4:$BW$137, LS_current!R$147, FALSE), VLOOKUP($A100, LS_current!$B$4:$BW$137,LS_current!BN$147, FALSE))/2)</f>
        <v>-7233.6508466467676</v>
      </c>
      <c r="CN100" s="102">
        <f t="array" ref="CN100">IF($BT100=0, INDEX(LS_current!$D$4:$BW$137, MATCH('Staging Table'!$A100, LS_current!$B$4:$B$137, 0), MATCH(CN$4&amp;CN$5, LS_current!$D$2:$BW$2&amp;LS_current!$D$3:$BW$3, 0)),SUM(VLOOKUP($A100, LS_current!$B$4:$BW$137, LS_current!S$147, FALSE), VLOOKUP($A100, LS_current!$B$4:$BW$137,LS_current!BO$147, FALSE))/2)</f>
        <v>-4712.3597056891904</v>
      </c>
      <c r="CO100" s="102">
        <f t="array" ref="CO100">IF($BT100=0, INDEX(LS_current!$D$4:$BW$137, MATCH('Staging Table'!$A100, LS_current!$B$4:$B$137, 0), MATCH(CO$4&amp;CO$5, LS_current!$D$2:$BW$2&amp;LS_current!$D$3:$BW$3, 0)),SUM(VLOOKUP($A100, LS_current!$B$4:$BW$137, LS_current!T$147, FALSE), VLOOKUP($A100, LS_current!$B$4:$BW$137,LS_current!BP$147, FALSE))/2)</f>
        <v>-7951.9839731808952</v>
      </c>
      <c r="CP100" s="102">
        <f t="array" ref="CP100">IF($BT100=0, INDEX(LS_current!$D$4:$BW$137, MATCH('Staging Table'!$A100, LS_current!$B$4:$B$137, 0), MATCH(CP$4&amp;CP$5, LS_current!$D$2:$BW$2&amp;LS_current!$D$3:$BW$3, 0)),SUM(VLOOKUP($A100, LS_current!$B$4:$BW$137, LS_current!U$147, FALSE), VLOOKUP($A100, LS_current!$B$4:$BW$137,LS_current!BQ$147, FALSE))/2)</f>
        <v>-4249.1086792748019</v>
      </c>
      <c r="CQ100" s="102">
        <f t="array" ref="CQ100">IF($BT100=0, INDEX(LS_current!$D$4:$BW$137, MATCH('Staging Table'!$A100, LS_current!$B$4:$B$137, 0), MATCH(CQ$4&amp;CQ$5, LS_current!$D$2:$BW$2&amp;LS_current!$D$3:$BW$3, 0)),SUM(VLOOKUP($A100, LS_current!$B$4:$BW$137, LS_current!V$147, FALSE), VLOOKUP($A100, LS_current!$B$4:$BW$137,LS_current!BR$147, FALSE))/2)</f>
        <v>-4039.1544869157178</v>
      </c>
      <c r="CR100" s="102">
        <f t="array" ref="CR100">IF($BT100=0, INDEX(LS_current!$D$4:$BW$137, MATCH('Staging Table'!$A100, LS_current!$B$4:$B$137, 0), MATCH(CR$4&amp;CR$5, LS_current!$D$2:$BW$2&amp;LS_current!$D$3:$BW$3, 0)),SUM(VLOOKUP($A100, LS_current!$B$4:$BW$137, LS_current!W$147, FALSE), VLOOKUP($A100, LS_current!$B$4:$BW$137,LS_current!BS$147, FALSE))/2)</f>
        <v>-1737.4627020038697</v>
      </c>
      <c r="CS100" s="102">
        <f t="array" ref="CS100">IF($BT100=0, INDEX(LS_current!$D$4:$BW$137, MATCH('Staging Table'!$A100, LS_current!$B$4:$B$137, 0), MATCH(CS$4&amp;CS$5, LS_current!$D$2:$BW$2&amp;LS_current!$D$3:$BW$3, 0)),SUM(VLOOKUP($A100, LS_current!$B$4:$BW$137, LS_current!X$147, FALSE), VLOOKUP($A100, LS_current!$B$4:$BW$137,LS_current!BT$147, FALSE))/2)</f>
        <v>-4488.0230651496386</v>
      </c>
      <c r="CT100" s="102">
        <f t="array" ref="CT100">IF($BT100=0, INDEX(LS_current!$D$4:$BW$137, MATCH('Staging Table'!$A100, LS_current!$B$4:$B$137, 0), MATCH(CT$4&amp;CT$5, LS_current!$D$2:$BW$2&amp;LS_current!$D$3:$BW$3, 0)),SUM(VLOOKUP($A100, LS_current!$B$4:$BW$137, LS_current!Y$147, FALSE), VLOOKUP($A100, LS_current!$B$4:$BW$137,LS_current!BU$147, FALSE))/2)</f>
        <v>-1435.1892192829969</v>
      </c>
      <c r="CU100" s="102">
        <f t="array" ref="CU100">IF($BT100=0, INDEX(LS_current!$D$4:$BW$137, MATCH('Staging Table'!$A100, LS_current!$B$4:$B$137, 0), MATCH(CU$4&amp;CU$5, LS_current!$D$2:$BW$2&amp;LS_current!$D$3:$BW$3, 0)),SUM(VLOOKUP($A100, LS_current!$B$4:$BW$137, LS_current!Z$147, FALSE), VLOOKUP($A100, LS_current!$B$4:$BW$137,LS_current!BV$147, FALSE))/2)</f>
        <v>411.74003186962</v>
      </c>
      <c r="CV100" s="102">
        <f t="array" ref="CV100">IF($BT100=0, INDEX(LS_current!$D$4:$BW$137, MATCH('Staging Table'!$A100, LS_current!$B$4:$B$137, 0), MATCH(CV$4&amp;CV$5, LS_current!$D$2:$BW$2&amp;LS_current!$D$3:$BW$3, 0)),SUM(VLOOKUP($A100, LS_current!$B$4:$BW$137, LS_current!AA$147, FALSE), VLOOKUP($A100, LS_current!$B$4:$BW$137,LS_current!BW$147, FALSE))/2)</f>
        <v>1370.7753744776733</v>
      </c>
      <c r="CW100" s="103">
        <f t="array" ref="CW100">INDEX(Demand_current!$D$4:$BW$137, MATCH($A100, Demand_current!$B$4:$B$137, 0), MATCH(CW$4&amp;CW$5,Demand_current!$D$2:$BW$2&amp;Demand_current!$D$3:$BW$3, 0))/1000</f>
        <v>0</v>
      </c>
      <c r="CX100" s="103">
        <f t="array" ref="CX100">INDEX(Demand_current!$D$4:$BW$137, MATCH($A100, Demand_current!$B$4:$B$137, 0), MATCH(CX$4&amp;CX$5,Demand_current!$D$2:$BW$2&amp;Demand_current!$D$3:$BW$3, 0))/1000</f>
        <v>0</v>
      </c>
      <c r="CY100" s="103">
        <f t="array" ref="CY100">INDEX(Demand_current!$D$4:$BW$137, MATCH($A100, Demand_current!$B$4:$B$137, 0), MATCH(CY$4&amp;CY$5,Demand_current!$D$2:$BW$2&amp;Demand_current!$D$3:$BW$3, 0))/1000</f>
        <v>0</v>
      </c>
      <c r="CZ100" s="103">
        <f t="array" ref="CZ100">INDEX(Demand_current!$D$4:$BW$137, MATCH($A100, Demand_current!$B$4:$B$137, 0), MATCH(CZ$4&amp;CZ$5,Demand_current!$D$2:$BW$2&amp;Demand_current!$D$3:$BW$3, 0))/1000</f>
        <v>0</v>
      </c>
      <c r="DA100" s="103">
        <f t="array" ref="DA100">INDEX(Demand_current!$D$4:$BW$137, MATCH($A100, Demand_current!$B$4:$B$137, 0), MATCH(DA$4&amp;DA$5,Demand_current!$D$2:$BW$2&amp;Demand_current!$D$3:$BW$3, 0))/1000</f>
        <v>0</v>
      </c>
      <c r="DB100" s="103">
        <f t="array" ref="DB100">INDEX(Demand_current!$D$4:$BW$137, MATCH($A100, Demand_current!$B$4:$B$137, 0), MATCH(DB$4&amp;DB$5,Demand_current!$D$2:$BW$2&amp;Demand_current!$D$3:$BW$3, 0))/1000</f>
        <v>0</v>
      </c>
      <c r="DC100" s="103">
        <f t="array" ref="DC100">INDEX(Demand_current!$D$4:$BW$137, MATCH($A100, Demand_current!$B$4:$B$137, 0), MATCH(DC$4&amp;DC$5,Demand_current!$D$2:$BW$2&amp;Demand_current!$D$3:$BW$3, 0))/1000</f>
        <v>0</v>
      </c>
      <c r="DD100" s="103">
        <f t="array" ref="DD100">INDEX(Demand_current!$D$4:$BW$137, MATCH($A100, Demand_current!$B$4:$B$137, 0), MATCH(DD$4&amp;DD$5,Demand_current!$D$2:$BW$2&amp;Demand_current!$D$3:$BW$3, 0))/1000</f>
        <v>0</v>
      </c>
      <c r="DE100" s="103">
        <f t="array" ref="DE100">INDEX(Demand_current!$D$4:$BW$137, MATCH($A100, Demand_current!$B$4:$B$137, 0), MATCH(DE$4&amp;DE$5,Demand_current!$D$2:$BW$2&amp;Demand_current!$D$3:$BW$3, 0))/1000</f>
        <v>0</v>
      </c>
      <c r="DF100" s="103">
        <f t="array" ref="DF100">INDEX(Demand_current!$D$4:$BW$137, MATCH($A100, Demand_current!$B$4:$B$137, 0), MATCH(DF$4&amp;DF$5,Demand_current!$D$2:$BW$2&amp;Demand_current!$D$3:$BW$3, 0))/1000</f>
        <v>0</v>
      </c>
      <c r="DG100" s="103">
        <f t="array" ref="DG100">INDEX(Demand_current!$D$4:$BW$137, MATCH($A100, Demand_current!$B$4:$B$137, 0), MATCH(DG$4&amp;DG$5,Demand_current!$D$2:$BW$2&amp;Demand_current!$D$3:$BW$3, 0))/1000</f>
        <v>0</v>
      </c>
      <c r="DH100" s="103">
        <f t="array" ref="DH100">INDEX(Demand_current!$D$4:$BW$137, MATCH($A100, Demand_current!$B$4:$B$137, 0), MATCH(DH$4&amp;DH$5,Demand_current!$D$2:$BW$2&amp;Demand_current!$D$3:$BW$3, 0))/1000</f>
        <v>0</v>
      </c>
      <c r="DI100" s="102">
        <f>$BS100*(VLOOKUP(DI$4, Rates_current!$H$6:$R$41, 10, FALSE)+VLOOKUP(DI$4, Rates_current!$H$6:$R$41, 11, FALSE))</f>
        <v>8914.8177834390699</v>
      </c>
      <c r="DJ100" s="102">
        <f>$BS100*(VLOOKUP(DJ$4, Rates_current!$H$6:$R$41, 10, FALSE)+VLOOKUP(DJ$4, Rates_current!$H$6:$R$41, 11, FALSE))</f>
        <v>11397.301130930835</v>
      </c>
      <c r="DK100" s="102">
        <f>$BS100*(VLOOKUP(DK$4, Rates_current!$H$6:$R$41, 10, FALSE)+VLOOKUP(DK$4, Rates_current!$H$6:$R$41, 11, FALSE))</f>
        <v>12957.778150323806</v>
      </c>
      <c r="DL100" s="102">
        <f>$BS100*(VLOOKUP(DL$4, Rates_current!$H$6:$R$41, 10, FALSE)+VLOOKUP(DL$4, Rates_current!$H$6:$R$41, 11, FALSE))</f>
        <v>13671.467418310447</v>
      </c>
      <c r="DM100" s="102">
        <f>$BS100*(VLOOKUP(DM$4, Rates_current!$H$6:$R$41, 10, FALSE)+VLOOKUP(DM$4, Rates_current!$H$6:$R$41, 11, FALSE))</f>
        <v>10894.925635295796</v>
      </c>
      <c r="DN100" s="102">
        <f>$BS100*(VLOOKUP(DN$4, Rates_current!$H$6:$R$41, 10, FALSE)+VLOOKUP(DN$4, Rates_current!$H$6:$R$41, 11, FALSE))</f>
        <v>11910.391054969705</v>
      </c>
      <c r="DO100" s="102">
        <f>$BS100*(VLOOKUP(DO$4, Rates_current!$H$6:$R$41, 10, FALSE)+VLOOKUP(DO$4, Rates_current!$H$6:$R$41, 11, FALSE))</f>
        <v>9230.6728750832171</v>
      </c>
      <c r="DP100" s="102">
        <f>$BS100*(VLOOKUP(DP$4, Rates_current!$H$6:$R$41, 10, FALSE)+VLOOKUP(DP$4, Rates_current!$H$6:$R$41, 11, FALSE))</f>
        <v>11946.010552335956</v>
      </c>
      <c r="DQ100" s="102">
        <f>$BS100*(VLOOKUP(DQ$4, Rates_current!$H$6:$R$41, 10, FALSE)+VLOOKUP(DQ$4, Rates_current!$H$6:$R$41, 11, FALSE))</f>
        <v>12201.092652455698</v>
      </c>
      <c r="DR100" s="102">
        <f>$BS100*(VLOOKUP(DR$4, Rates_current!$H$6:$R$41, 10, FALSE)+VLOOKUP(DR$4, Rates_current!$H$6:$R$41, 11, FALSE))</f>
        <v>10860.027668919589</v>
      </c>
      <c r="DS100" s="102">
        <f>$BS100*(VLOOKUP(DS$4, Rates_current!$H$6:$R$41, 10, FALSE)+VLOOKUP(DS$4, Rates_current!$H$6:$R$41, 11, FALSE))</f>
        <v>11140.396724432636</v>
      </c>
      <c r="DT100" s="102">
        <f>$BS100*(VLOOKUP(DT$4, Rates_current!$H$6:$R$41, 10, FALSE)+VLOOKUP(DT$4, Rates_current!$H$6:$R$41, 11, FALSE))</f>
        <v>8651.8534736527072</v>
      </c>
      <c r="DU100" s="261">
        <f>IF(D100=0,IF(C100=0,MAX(0,DW100 - (VLOOKUP($A100,TOCA_current!$A$2:$AV$136,MATCH("RHWM "&amp;Init!$D$1,TOCA_current!$A$2:$AV$2,0),FALSE)*$BS$2)), 0),0)</f>
        <v>0</v>
      </c>
      <c r="DV100" s="262">
        <f>MIN(VLOOKUP($A100,TOCA_current!$A$2:$AV$136,MATCH("TRL - NLSL - Existing Resource "&amp;$BS$1,TOCA_current!$A$2:$AV$2,0),FALSE)*$BS$2, VLOOKUP($A100,TOCA_current!$A$2:$AV$136,MATCH("RHWM "&amp;Init!$D$1,TOCA_current!$A$2:$AV$2,0),FALSE)*$BS$2)</f>
        <v>133773.96000000002</v>
      </c>
      <c r="DW100" s="262">
        <f>SUM(BY100:CV100)+(BS100*RT1SC!$C$4*$BS$2)</f>
        <v>133773.96789681053</v>
      </c>
      <c r="DX100" s="262">
        <f>VLOOKUP($A100,TOCA_current!$A$2:$AV$136,MATCH("Above RHWM Not Served with LS "&amp;$BS$1,TOCA_current!$A$2:$AV$2,0),FALSE)*$BS$2</f>
        <v>0</v>
      </c>
      <c r="DY100" s="262">
        <f t="shared" si="43"/>
        <v>7.8968105081003159E-3</v>
      </c>
      <c r="DZ100" s="262">
        <f>(VLOOKUP($A100,TOCA_current!$A$2:$AV$136,MATCH("RHWM "&amp;Init!$D$1,TOCA_current!$A$2:$AV$2,0),FALSE)*$BS$2) - $DV100</f>
        <v>93258.959999999992</v>
      </c>
      <c r="EA100" s="262">
        <f t="shared" si="44"/>
        <v>-7.8968105081003159E-3</v>
      </c>
      <c r="EB100" s="262">
        <f t="shared" si="45"/>
        <v>0</v>
      </c>
      <c r="EC100" s="262">
        <f t="shared" si="46"/>
        <v>0</v>
      </c>
      <c r="ED100" s="262">
        <f t="shared" si="47"/>
        <v>0</v>
      </c>
    </row>
    <row r="101" spans="1:134">
      <c r="A101" s="2">
        <v>10307</v>
      </c>
      <c r="B101" s="3" t="s">
        <v>103</v>
      </c>
      <c r="C101">
        <f>VLOOKUP(A101, TOCA_current!$A$3:$D$136, 4, FALSE)</f>
        <v>0</v>
      </c>
      <c r="D101">
        <v>0</v>
      </c>
      <c r="E101" s="84">
        <f>VLOOKUP($A101,TOCA_previous!$A$2:$AJ$136,MATCH(E$4,TOCA_previous!$A$2:$AJ$2,0),FALSE)</f>
        <v>9.9407000000000002E-3</v>
      </c>
      <c r="F101" s="85">
        <f>VLOOKUP($A101,TOCA_previous!$A$2:$AJ$136,MATCH(F$4,TOCA_previous!$A$2:$AJ$2,0),FALSE)</f>
        <v>9.9407000000000002E-3</v>
      </c>
      <c r="G101" s="85">
        <f t="shared" si="33"/>
        <v>0</v>
      </c>
      <c r="H101" s="85">
        <f>VLOOKUP($A101,TOCA_previous!$A$2:$AJ$136,MATCH(H$4,TOCA_previous!$A$2:$AJ$2,0),FALSE)</f>
        <v>0</v>
      </c>
      <c r="I101" s="85">
        <f t="shared" si="34"/>
        <v>0</v>
      </c>
      <c r="J101" s="85">
        <f t="shared" si="35"/>
        <v>0</v>
      </c>
      <c r="K101" s="101">
        <f>VLOOKUP(A101, IRD!$A$5:$C$138, 3, FALSE)</f>
        <v>0</v>
      </c>
      <c r="L101" s="102">
        <f t="array" ref="L101">IF($G101=0, INDEX(LS_previous!$D$4:$AY$137, MATCH('Staging Table'!$A101, LS_previous!$B$4:$B$137, 0), MATCH(L$4&amp;L$5, LS_previous!$D$2:$AY$2&amp;LS_previous!$D$3:$AY$3, 0)),SUM(VLOOKUP($A101, LS_previous!$B$4:$AY$137, LS_previous!D$148, FALSE), VLOOKUP('Staging Table'!$A101, LS_previous!$B$4:$AY$137,LS_previous!AB$148, FALSE))/2)</f>
        <v>5519.3315713347984</v>
      </c>
      <c r="M101" s="102">
        <f t="array" ref="M101">IF($G101=0, INDEX(LS_previous!$D$4:$AY$137, MATCH('Staging Table'!$A101, LS_previous!$B$4:$B$137, 0), MATCH(M$4&amp;M$5, LS_previous!$D$2:$AY$2&amp;LS_previous!$D$3:$AY$3, 0)),SUM(VLOOKUP($A101, LS_previous!$B$4:$AY$137, LS_previous!E$148, FALSE), VLOOKUP('Staging Table'!$A101, LS_previous!$B$4:$AY$137,LS_previous!AC$148, FALSE))/2)</f>
        <v>559.36987672214673</v>
      </c>
      <c r="N101" s="102">
        <f t="array" ref="N101">IF($G101=0, INDEX(LS_previous!$D$4:$AY$137, MATCH('Staging Table'!$A101, LS_previous!$B$4:$B$137, 0), MATCH(N$4&amp;N$5, LS_previous!$D$2:$AY$2&amp;LS_previous!$D$3:$AY$3, 0)),SUM(VLOOKUP($A101, LS_previous!$B$4:$AY$137, LS_previous!F$148, FALSE), VLOOKUP('Staging Table'!$A101, LS_previous!$B$4:$AY$137,LS_previous!AD$148, FALSE))/2)</f>
        <v>2050.8868185503961</v>
      </c>
      <c r="O101" s="102">
        <f t="array" ref="O101">IF($G101=0, INDEX(LS_previous!$D$4:$AY$137, MATCH('Staging Table'!$A101, LS_previous!$B$4:$B$137, 0), MATCH(O$4&amp;O$5, LS_previous!$D$2:$AY$2&amp;LS_previous!$D$3:$AY$3, 0)),SUM(VLOOKUP($A101, LS_previous!$B$4:$AY$137, LS_previous!G$148, FALSE), VLOOKUP('Staging Table'!$A101, LS_previous!$B$4:$AY$137,LS_previous!AE$148, FALSE))/2)</f>
        <v>3259.6212928183013</v>
      </c>
      <c r="P101" s="102">
        <f t="array" ref="P101">IF($G101=0, INDEX(LS_previous!$D$4:$AY$137, MATCH('Staging Table'!$A101, LS_previous!$B$4:$B$137, 0), MATCH(P$4&amp;P$5, LS_previous!$D$2:$AY$2&amp;LS_previous!$D$3:$AY$3, 0)),SUM(VLOOKUP($A101, LS_previous!$B$4:$AY$137, LS_previous!H$148, FALSE), VLOOKUP('Staging Table'!$A101, LS_previous!$B$4:$AY$137,LS_previous!AF$148, FALSE))/2)</f>
        <v>7169.3724143226937</v>
      </c>
      <c r="Q101" s="102">
        <f t="array" ref="Q101">IF($G101=0, INDEX(LS_previous!$D$4:$AY$137, MATCH('Staging Table'!$A101, LS_previous!$B$4:$B$137, 0), MATCH(Q$4&amp;Q$5, LS_previous!$D$2:$AY$2&amp;LS_previous!$D$3:$AY$3, 0)),SUM(VLOOKUP($A101, LS_previous!$B$4:$AY$137, LS_previous!I$148, FALSE), VLOOKUP('Staging Table'!$A101, LS_previous!$B$4:$AY$137,LS_previous!AG$148, FALSE))/2)</f>
        <v>3708.229466172801</v>
      </c>
      <c r="R101" s="102">
        <f t="array" ref="R101">IF($G101=0, INDEX(LS_previous!$D$4:$AY$137, MATCH('Staging Table'!$A101, LS_previous!$B$4:$B$137, 0), MATCH(R$4&amp;R$5, LS_previous!$D$2:$AY$2&amp;LS_previous!$D$3:$AY$3, 0)),SUM(VLOOKUP($A101, LS_previous!$B$4:$AY$137, LS_previous!J$148, FALSE), VLOOKUP('Staging Table'!$A101, LS_previous!$B$4:$AY$137,LS_previous!AH$148, FALSE))/2)</f>
        <v>5163.2653686995036</v>
      </c>
      <c r="S101" s="102">
        <f t="array" ref="S101">IF($G101=0, INDEX(LS_previous!$D$4:$AY$137, MATCH('Staging Table'!$A101, LS_previous!$B$4:$B$137, 0), MATCH(S$4&amp;S$5, LS_previous!$D$2:$AY$2&amp;LS_previous!$D$3:$AY$3, 0)),SUM(VLOOKUP($A101, LS_previous!$B$4:$AY$137, LS_previous!K$148, FALSE), VLOOKUP('Staging Table'!$A101, LS_previous!$B$4:$AY$137,LS_previous!AI$148, FALSE))/2)</f>
        <v>3924.9132951196989</v>
      </c>
      <c r="T101" s="102">
        <f t="array" ref="T101">IF($G101=0, INDEX(LS_previous!$D$4:$AY$137, MATCH('Staging Table'!$A101, LS_previous!$B$4:$B$137, 0), MATCH(T$4&amp;T$5, LS_previous!$D$2:$AY$2&amp;LS_previous!$D$3:$AY$3, 0)),SUM(VLOOKUP($A101, LS_previous!$B$4:$AY$137, LS_previous!L$148, FALSE), VLOOKUP('Staging Table'!$A101, LS_previous!$B$4:$AY$137,LS_previous!AJ$148, FALSE))/2)</f>
        <v>4833.6139656247033</v>
      </c>
      <c r="U101" s="102">
        <f t="array" ref="U101">IF($G101=0, INDEX(LS_previous!$D$4:$AY$137, MATCH('Staging Table'!$A101, LS_previous!$B$4:$B$137, 0), MATCH(U$4&amp;U$5, LS_previous!$D$2:$AY$2&amp;LS_previous!$D$3:$AY$3, 0)),SUM(VLOOKUP($A101, LS_previous!$B$4:$AY$137, LS_previous!M$148, FALSE), VLOOKUP('Staging Table'!$A101, LS_previous!$B$4:$AY$137,LS_previous!AK$148, FALSE))/2)</f>
        <v>3961.9895961686962</v>
      </c>
      <c r="V101" s="102">
        <f t="array" ref="V101">IF($G101=0, INDEX(LS_previous!$D$4:$AY$137, MATCH('Staging Table'!$A101, LS_previous!$B$4:$B$137, 0), MATCH(V$4&amp;V$5, LS_previous!$D$2:$AY$2&amp;LS_previous!$D$3:$AY$3, 0)),SUM(VLOOKUP($A101, LS_previous!$B$4:$AY$137, LS_previous!N$148, FALSE), VLOOKUP('Staging Table'!$A101, LS_previous!$B$4:$AY$137,LS_previous!AL$148, FALSE))/2)</f>
        <v>594.8810734009021</v>
      </c>
      <c r="W101" s="102">
        <f t="array" ref="W101">IF($G101=0, INDEX(LS_previous!$D$4:$AY$137, MATCH('Staging Table'!$A101, LS_previous!$B$4:$B$137, 0), MATCH(W$4&amp;W$5, LS_previous!$D$2:$AY$2&amp;LS_previous!$D$3:$AY$3, 0)),SUM(VLOOKUP($A101, LS_previous!$B$4:$AY$137, LS_previous!O$148, FALSE), VLOOKUP('Staging Table'!$A101, LS_previous!$B$4:$AY$137,LS_previous!AM$148, FALSE))/2)</f>
        <v>502.14803143540121</v>
      </c>
      <c r="X101" s="102">
        <f t="array" ref="X101">IF($G101=0, INDEX(LS_previous!$D$4:$AY$137, MATCH('Staging Table'!$A101, LS_previous!$B$4:$B$137, 0), MATCH(X$4&amp;X$5, LS_previous!$D$2:$AY$2&amp;LS_previous!$D$3:$AY$3, 0)),SUM(VLOOKUP($A101, LS_previous!$B$4:$AY$137, LS_previous!P$148, FALSE), VLOOKUP('Staging Table'!$A101, LS_previous!$B$4:$AY$137,LS_previous!AN$148, FALSE))/2)</f>
        <v>2430.7590062057534</v>
      </c>
      <c r="Y101" s="102">
        <f t="array" ref="Y101">IF($G101=0, INDEX(LS_previous!$D$4:$AY$137, MATCH('Staging Table'!$A101, LS_previous!$B$4:$B$137, 0), MATCH(Y$4&amp;Y$5, LS_previous!$D$2:$AY$2&amp;LS_previous!$D$3:$AY$3, 0)),SUM(VLOOKUP($A101, LS_previous!$B$4:$AY$137, LS_previous!Q$148, FALSE), VLOOKUP('Staging Table'!$A101, LS_previous!$B$4:$AY$137,LS_previous!AO$148, FALSE))/2)</f>
        <v>71.587040781778342</v>
      </c>
      <c r="Z101" s="102">
        <f t="array" ref="Z101">IF($G101=0, INDEX(LS_previous!$D$4:$AY$137, MATCH('Staging Table'!$A101, LS_previous!$B$4:$B$137, 0), MATCH(Z$4&amp;Z$5, LS_previous!$D$2:$AY$2&amp;LS_previous!$D$3:$AY$3, 0)),SUM(VLOOKUP($A101, LS_previous!$B$4:$AY$137, LS_previous!R$148, FALSE), VLOOKUP('Staging Table'!$A101, LS_previous!$B$4:$AY$137,LS_previous!AP$148, FALSE))/2)</f>
        <v>-10428.295740913607</v>
      </c>
      <c r="AA101" s="102">
        <f t="array" ref="AA101">IF($G101=0, INDEX(LS_previous!$D$4:$AY$137, MATCH('Staging Table'!$A101, LS_previous!$B$4:$B$137, 0), MATCH(AA$4&amp;AA$5, LS_previous!$D$2:$AY$2&amp;LS_previous!$D$3:$AY$3, 0)),SUM(VLOOKUP($A101, LS_previous!$B$4:$AY$137, LS_previous!S$148, FALSE), VLOOKUP('Staging Table'!$A101, LS_previous!$B$4:$AY$137,LS_previous!AQ$148, FALSE))/2)</f>
        <v>-5627.7533839009484</v>
      </c>
      <c r="AB101" s="102">
        <f t="array" ref="AB101">IF($G101=0, INDEX(LS_previous!$D$4:$AY$137, MATCH('Staging Table'!$A101, LS_previous!$B$4:$B$137, 0), MATCH(AB$4&amp;AB$5, LS_previous!$D$2:$AY$2&amp;LS_previous!$D$3:$AY$3, 0)),SUM(VLOOKUP($A101, LS_previous!$B$4:$AY$137, LS_previous!T$148, FALSE), VLOOKUP('Staging Table'!$A101, LS_previous!$B$4:$AY$137,LS_previous!AR$148, FALSE))/2)</f>
        <v>-11445.437789988198</v>
      </c>
      <c r="AC101" s="102">
        <f t="array" ref="AC101">IF($G101=0, INDEX(LS_previous!$D$4:$AY$137, MATCH('Staging Table'!$A101, LS_previous!$B$4:$B$137, 0), MATCH(AC$4&amp;AC$5, LS_previous!$D$2:$AY$2&amp;LS_previous!$D$3:$AY$3, 0)),SUM(VLOOKUP($A101, LS_previous!$B$4:$AY$137, LS_previous!U$148, FALSE), VLOOKUP('Staging Table'!$A101, LS_previous!$B$4:$AY$137,LS_previous!AS$148, FALSE))/2)</f>
        <v>-7164.8455342681518</v>
      </c>
      <c r="AD101" s="102">
        <f t="array" ref="AD101">IF($G101=0, INDEX(LS_previous!$D$4:$AY$137, MATCH('Staging Table'!$A101, LS_previous!$B$4:$B$137, 0), MATCH(AD$4&amp;AD$5, LS_previous!$D$2:$AY$2&amp;LS_previous!$D$3:$AY$3, 0)),SUM(VLOOKUP($A101, LS_previous!$B$4:$AY$137, LS_previous!V$148, FALSE), VLOOKUP('Staging Table'!$A101, LS_previous!$B$4:$AY$137,LS_previous!AT$148, FALSE))/2)</f>
        <v>-4343.4626563948004</v>
      </c>
      <c r="AE101" s="102">
        <f t="array" ref="AE101">IF($G101=0, INDEX(LS_previous!$D$4:$AY$137, MATCH('Staging Table'!$A101, LS_previous!$B$4:$B$137, 0), MATCH(AE$4&amp;AE$5, LS_previous!$D$2:$AY$2&amp;LS_previous!$D$3:$AY$3, 0)),SUM(VLOOKUP($A101, LS_previous!$B$4:$AY$137, LS_previous!W$148, FALSE), VLOOKUP('Staging Table'!$A101, LS_previous!$B$4:$AY$137,LS_previous!AU$148, FALSE))/2)</f>
        <v>-1999.6512231892484</v>
      </c>
      <c r="AF101" s="102">
        <f t="array" ref="AF101">IF($G101=0, INDEX(LS_previous!$D$4:$AY$137, MATCH('Staging Table'!$A101, LS_previous!$B$4:$B$137, 0), MATCH(AF$4&amp;AF$5, LS_previous!$D$2:$AY$2&amp;LS_previous!$D$3:$AY$3, 0)),SUM(VLOOKUP($A101, LS_previous!$B$4:$AY$137, LS_previous!X$148, FALSE), VLOOKUP('Staging Table'!$A101, LS_previous!$B$4:$AY$137,LS_previous!AV$148, FALSE))/2)</f>
        <v>-3285.7981078300545</v>
      </c>
      <c r="AG101" s="102">
        <f t="array" ref="AG101">IF($G101=0, INDEX(LS_previous!$D$4:$AY$137, MATCH('Staging Table'!$A101, LS_previous!$B$4:$B$137, 0), MATCH(AG$4&amp;AG$5, LS_previous!$D$2:$AY$2&amp;LS_previous!$D$3:$AY$3, 0)),SUM(VLOOKUP($A101, LS_previous!$B$4:$AY$137, LS_previous!Y$148, FALSE), VLOOKUP('Staging Table'!$A101, LS_previous!$B$4:$AY$137,LS_previous!AW$148, FALSE))/2)</f>
        <v>-679.89833036489654</v>
      </c>
      <c r="AH101" s="102">
        <f t="array" ref="AH101">IF($G101=0, INDEX(LS_previous!$D$4:$AY$137, MATCH('Staging Table'!$A101, LS_previous!$B$4:$B$137, 0), MATCH(AH$4&amp;AH$5, LS_previous!$D$2:$AY$2&amp;LS_previous!$D$3:$AY$3, 0)),SUM(VLOOKUP($A101, LS_previous!$B$4:$AY$137, LS_previous!Z$148, FALSE), VLOOKUP('Staging Table'!$A101, LS_previous!$B$4:$AY$137,LS_previous!AX$148, FALSE))/2)</f>
        <v>-2391.8109003518002</v>
      </c>
      <c r="AI101" s="102">
        <f t="array" ref="AI101">IF($G101=0, INDEX(LS_previous!$D$4:$AY$137, MATCH('Staging Table'!$A101, LS_previous!$B$4:$B$137, 0), MATCH(AI$4&amp;AI$5, LS_previous!$D$2:$AY$2&amp;LS_previous!$D$3:$AY$3, 0)),SUM(VLOOKUP($A101, LS_previous!$B$4:$AY$137, LS_previous!AA$148, FALSE), VLOOKUP('Staging Table'!$A101, LS_previous!$B$4:$AY$137,LS_previous!AY$148, FALSE))/2)</f>
        <v>-2949.4692521328016</v>
      </c>
      <c r="AJ101" s="103">
        <f t="array" ref="AJ101">INDEX(Demand_previous!$D$4:$AY$137, MATCH('Staging Table'!$A101, Demand_previous!$B$4:$B$137, 0), MATCH(AJ$4&amp;AJ$5,Demand_previous!$D$2:$AY$2&amp;Demand_previous!$D$3:$AY$3, 0))/1000</f>
        <v>0.36939423076923456</v>
      </c>
      <c r="AK101" s="103">
        <f t="array" ref="AK101">INDEX(Demand_previous!$D$4:$AY$137, MATCH('Staging Table'!$A101, Demand_previous!$B$4:$B$137, 0), MATCH(AK$4&amp;AK$5,Demand_previous!$D$2:$AY$2&amp;Demand_previous!$D$3:$AY$3, 0))/1000</f>
        <v>10.123560000000005</v>
      </c>
      <c r="AL101" s="103">
        <f t="array" ref="AL101">INDEX(Demand_previous!$D$4:$AY$137, MATCH('Staging Table'!$A101, Demand_previous!$B$4:$B$137, 0), MATCH(AL$4&amp;AL$5,Demand_previous!$D$2:$AY$2&amp;Demand_previous!$D$3:$AY$3, 0))/1000</f>
        <v>20.701337500000005</v>
      </c>
      <c r="AM101" s="103">
        <f t="array" ref="AM101">INDEX(Demand_previous!$D$4:$AY$137, MATCH('Staging Table'!$A101, Demand_previous!$B$4:$B$137, 0), MATCH(AM$4&amp;AM$5,Demand_previous!$D$2:$AY$2&amp;Demand_previous!$D$3:$AY$3, 0))/1000</f>
        <v>20.900538461538453</v>
      </c>
      <c r="AN101" s="103">
        <f t="array" ref="AN101">INDEX(Demand_previous!$D$4:$AY$137, MATCH('Staging Table'!$A101, Demand_previous!$B$4:$B$137, 0), MATCH(AN$4&amp;AN$5,Demand_previous!$D$2:$AY$2&amp;Demand_previous!$D$3:$AY$3, 0))/1000</f>
        <v>16.228292500000013</v>
      </c>
      <c r="AO101" s="103">
        <f t="array" ref="AO101">INDEX(Demand_previous!$D$4:$AY$137, MATCH('Staging Table'!$A101, Demand_previous!$B$4:$B$137, 0), MATCH(AO$4&amp;AO$5,Demand_previous!$D$2:$AY$2&amp;Demand_previous!$D$3:$AY$3, 0))/1000</f>
        <v>11.984028846153851</v>
      </c>
      <c r="AP101" s="103">
        <f t="array" ref="AP101">INDEX(Demand_previous!$D$4:$AY$137, MATCH('Staging Table'!$A101, Demand_previous!$B$4:$B$137, 0), MATCH(AP$4&amp;AP$5,Demand_previous!$D$2:$AY$2&amp;Demand_previous!$D$3:$AY$3, 0))/1000</f>
        <v>13.759408653846151</v>
      </c>
      <c r="AQ101" s="103">
        <f t="array" ref="AQ101">INDEX(Demand_previous!$D$4:$AY$137, MATCH('Staging Table'!$A101, Demand_previous!$B$4:$B$137, 0), MATCH(AQ$4&amp;AQ$5,Demand_previous!$D$2:$AY$2&amp;Demand_previous!$D$3:$AY$3, 0))/1000</f>
        <v>20.743374999999997</v>
      </c>
      <c r="AR101" s="103">
        <f t="array" ref="AR101">INDEX(Demand_previous!$D$4:$AY$137, MATCH('Staging Table'!$A101, Demand_previous!$B$4:$B$137, 0), MATCH(AR$4&amp;AR$5,Demand_previous!$D$2:$AY$2&amp;Demand_previous!$D$3:$AY$3, 0))/1000</f>
        <v>18.429167499999998</v>
      </c>
      <c r="AS101" s="103">
        <f t="array" ref="AS101">INDEX(Demand_previous!$D$4:$AY$137, MATCH('Staging Table'!$A101, Demand_previous!$B$4:$B$137, 0), MATCH(AS$4&amp;AS$5,Demand_previous!$D$2:$AY$2&amp;Demand_previous!$D$3:$AY$3, 0))/1000</f>
        <v>20.868490384615388</v>
      </c>
      <c r="AT101" s="103">
        <f t="array" ref="AT101">INDEX(Demand_previous!$D$4:$AY$137, MATCH('Staging Table'!$A101, Demand_previous!$B$4:$B$137, 0), MATCH(AT$4&amp;AT$5,Demand_previous!$D$2:$AY$2&amp;Demand_previous!$D$3:$AY$3, 0))/1000</f>
        <v>25.543502314814823</v>
      </c>
      <c r="AU101" s="103">
        <f t="array" ref="AU101">INDEX(Demand_previous!$D$4:$AY$137, MATCH('Staging Table'!$A101, Demand_previous!$B$4:$B$137, 0), MATCH(AU$4&amp;AU$5,Demand_previous!$D$2:$AY$2&amp;Demand_previous!$D$3:$AY$3, 0))/1000</f>
        <v>11.707140625000005</v>
      </c>
      <c r="AV101" s="102">
        <f>$F101*(VLOOKUP(AV$4, Rates_previous!$G$6:$Q$29, 10, FALSE)+VLOOKUP(AV$4, Rates_previous!$G$6:$Q$29, 11, FALSE))</f>
        <v>41937.86255194305</v>
      </c>
      <c r="AW101" s="102">
        <f>$F101*(VLOOKUP(AW$4, Rates_previous!$G$6:$Q$29, 10, FALSE)+VLOOKUP(AW$4, Rates_previous!$G$6:$Q$29, 11, FALSE))</f>
        <v>53484.603888631311</v>
      </c>
      <c r="AX101" s="102">
        <f>$F101*(VLOOKUP(AX$4, Rates_previous!$G$6:$Q$29, 10, FALSE)+VLOOKUP(AX$4, Rates_previous!$G$6:$Q$29, 11, FALSE))</f>
        <v>57720.470119504505</v>
      </c>
      <c r="AY101" s="102">
        <f>$F101*(VLOOKUP(AY$4, Rates_previous!$G$6:$Q$29, 10, FALSE)+VLOOKUP(AY$4, Rates_previous!$G$6:$Q$29, 11, FALSE))</f>
        <v>59980.491336180799</v>
      </c>
      <c r="AZ101" s="102">
        <f>$F101*(VLOOKUP(AZ$4, Rates_previous!$G$6:$Q$29, 10, FALSE)+VLOOKUP(AZ$4, Rates_previous!$G$6:$Q$29, 11, FALSE))</f>
        <v>51591.217438206593</v>
      </c>
      <c r="BA101" s="102">
        <f>$F101*(VLOOKUP(BA$4, Rates_previous!$G$6:$Q$29, 10, FALSE)+VLOOKUP(BA$4, Rates_previous!$G$6:$Q$29, 11, FALSE))</f>
        <v>56327.394895163699</v>
      </c>
      <c r="BB101" s="102">
        <f>$F101*(VLOOKUP(BB$4, Rates_previous!$G$6:$Q$29, 10, FALSE)+VLOOKUP(BB$4, Rates_previous!$G$6:$Q$29, 11, FALSE))</f>
        <v>44460.985953012474</v>
      </c>
      <c r="BC101" s="102">
        <f>$F101*(VLOOKUP(BC$4, Rates_previous!$G$6:$Q$29, 10, FALSE)+VLOOKUP(BC$4, Rates_previous!$G$6:$Q$29, 11, FALSE))</f>
        <v>55159.811124814551</v>
      </c>
      <c r="BD101" s="102">
        <f>$F101*(VLOOKUP(BD$4, Rates_previous!$G$6:$Q$29, 10, FALSE)+VLOOKUP(BD$4, Rates_previous!$G$6:$Q$29, 11, FALSE))</f>
        <v>56356.64132425635</v>
      </c>
      <c r="BE101" s="102">
        <f>$F101*(VLOOKUP(BE$4, Rates_previous!$G$6:$Q$29, 10, FALSE)+VLOOKUP(BE$4, Rates_previous!$G$6:$Q$29, 11, FALSE))</f>
        <v>48925.683879584052</v>
      </c>
      <c r="BF101" s="102">
        <f>$F101*(VLOOKUP(BF$4, Rates_previous!$G$6:$Q$29, 10, FALSE)+VLOOKUP(BF$4, Rates_previous!$G$6:$Q$29, 11, FALSE))</f>
        <v>47298.131438194949</v>
      </c>
      <c r="BG101" s="102">
        <f>$F101*(VLOOKUP(BG$4, Rates_previous!$G$6:$Q$29, 10, FALSE)+VLOOKUP(BG$4, Rates_previous!$G$6:$Q$29, 11, FALSE))</f>
        <v>43523.440152484603</v>
      </c>
      <c r="BH101" s="103">
        <f>IF($D101=0,IF(C101=0, MAX(BJ101 - (VLOOKUP($A101,TOCA_previous!$A$2:$AJ$136,MATCH("RHWM "&amp;Init!$D$1-2,TOCA_previous!$A$2:$AJ$2,0),FALSE)*$F$2*TOCA_previous!C98),0),0), 0)</f>
        <v>0</v>
      </c>
      <c r="BI101" s="109">
        <f>MIN(VLOOKUP($A101,TOCA_previous!$A$2:$AJ$136,MATCH("TRL - NLSL - Existing Resource "&amp;$F$1,TOCA_previous!$A$2:$AJ$2,0),FALSE)*$F$2,(VLOOKUP($A101,TOCA_previous!$A$2:$AJ$136,MATCH("RHWM "&amp;Init!$D$1-2,TOCA_previous!$A$2:$AJ$2,0),FALSE)*$F$2))</f>
        <v>603153.3600000001</v>
      </c>
      <c r="BJ101" s="261">
        <f>SUM(L101:AI101)+(F101*RT1SC!$C$3*$F$2)</f>
        <v>610200.28282713506</v>
      </c>
      <c r="BK101" s="260">
        <f>VLOOKUP($A101,TOCA_previous!$A$2:$AJ$136,MATCH("Above RHWM Not Served with LS "&amp;$F$1,TOCA_previous!$A$2:$AJ$2,0),FALSE)*$F$2</f>
        <v>0</v>
      </c>
      <c r="BL101" s="261">
        <f t="shared" si="36"/>
        <v>7046.9228271349566</v>
      </c>
      <c r="BM101" s="260">
        <f>(VLOOKUP($A101,TOCA_previous!$A$2:$AJ$136,MATCH("RHWM "&amp;Init!$D$1-2,TOCA_previous!$A$2:$AJ$2,0),FALSE)*$F$2) - $BI101</f>
        <v>29162.879999999888</v>
      </c>
      <c r="BN101" s="261">
        <f t="shared" si="37"/>
        <v>-7046.9228271349566</v>
      </c>
      <c r="BO101" s="260">
        <f t="shared" si="38"/>
        <v>0</v>
      </c>
      <c r="BP101" s="261">
        <f t="shared" si="39"/>
        <v>0</v>
      </c>
      <c r="BQ101" s="260">
        <f t="shared" si="9"/>
        <v>-7046.9228271349566</v>
      </c>
      <c r="BR101" s="85">
        <f>VLOOKUP($A101,TOCA_current!$A$2:$ZZ$136,MATCH(BR$4,TOCA_current!$A$2:$ZZ$2,0),FALSE)</f>
        <v>9.7978000000000006E-3</v>
      </c>
      <c r="BS101" s="85">
        <f>VLOOKUP($A101,TOCA_current!$A$2:$ZZ$136,MATCH(BS$4,TOCA_current!$A$2:$ZZ$2,0),FALSE)</f>
        <v>9.7978000000000006E-3</v>
      </c>
      <c r="BT101" s="108">
        <f t="shared" si="40"/>
        <v>0</v>
      </c>
      <c r="BU101" s="85">
        <f>VLOOKUP($A101,TOCA_current!A98:BG232,MATCH(BU$4,TOCA_current!$A$2:$BG$2,0),FALSE)</f>
        <v>0</v>
      </c>
      <c r="BV101" s="85">
        <f t="shared" si="41"/>
        <v>0</v>
      </c>
      <c r="BW101" s="85">
        <f t="shared" si="42"/>
        <v>0</v>
      </c>
      <c r="BX101" s="101">
        <f>VLOOKUP($A101,IRD!$A$4:$G$138, 7, FALSE)</f>
        <v>0</v>
      </c>
      <c r="BY101" s="102">
        <f t="array" ref="BY101">IF($BT101=0, INDEX(LS_current!$D$4:$BW$137, MATCH('Staging Table'!$A101, LS_current!$B$4:$B$137, 0), MATCH(BY$4&amp;BY$5, LS_current!$D$2:$BW$2&amp;LS_current!$D$3:$BW$3, 0)),SUM(VLOOKUP($A101, LS_current!$B$4:$BW$137, LS_current!D$147, FALSE), VLOOKUP($A101, LS_current!$B$4:$BW$137,LS_current!AZ$147, FALSE))/2)</f>
        <v>5554.8825125971744</v>
      </c>
      <c r="BZ101" s="102">
        <f t="array" ref="BZ101">IF($BT101=0, INDEX(LS_current!$D$4:$BW$137, MATCH('Staging Table'!$A101, LS_current!$B$4:$B$137, 0), MATCH(BZ$4&amp;BZ$5, LS_current!$D$2:$BW$2&amp;LS_current!$D$3:$BW$3, 0)),SUM(VLOOKUP($A101, LS_current!$B$4:$BW$137, LS_current!E$147, FALSE), VLOOKUP($A101, LS_current!$B$4:$BW$137,LS_current!BA$147, FALSE))/2)</f>
        <v>1797.9935551033268</v>
      </c>
      <c r="CA101" s="102">
        <f t="array" ref="CA101">IF($BT101=0, INDEX(LS_current!$D$4:$BW$137, MATCH('Staging Table'!$A101, LS_current!$B$4:$B$137, 0), MATCH(CA$4&amp;CA$5, LS_current!$D$2:$BW$2&amp;LS_current!$D$3:$BW$3, 0)),SUM(VLOOKUP($A101, LS_current!$B$4:$BW$137, LS_current!F$147, FALSE), VLOOKUP($A101, LS_current!$B$4:$BW$137,LS_current!BB$147, FALSE))/2)</f>
        <v>3094.3561093806493</v>
      </c>
      <c r="CB101" s="102">
        <f t="array" ref="CB101">IF($BT101=0, INDEX(LS_current!$D$4:$BW$137, MATCH('Staging Table'!$A101, LS_current!$B$4:$B$137, 0), MATCH(CB$4&amp;CB$5, LS_current!$D$2:$BW$2&amp;LS_current!$D$3:$BW$3, 0)),SUM(VLOOKUP($A101, LS_current!$B$4:$BW$137, LS_current!G$147, FALSE), VLOOKUP($A101, LS_current!$B$4:$BW$137,LS_current!BC$147, FALSE))/2)</f>
        <v>3713.5691957245108</v>
      </c>
      <c r="CC101" s="102">
        <f t="array" ref="CC101">IF($BT101=0, INDEX(LS_current!$D$4:$BW$137, MATCH('Staging Table'!$A101, LS_current!$B$4:$B$137, 0), MATCH(CC$4&amp;CC$5, LS_current!$D$2:$BW$2&amp;LS_current!$D$3:$BW$3, 0)),SUM(VLOOKUP($A101, LS_current!$B$4:$BW$137, LS_current!H$147, FALSE), VLOOKUP($A101, LS_current!$B$4:$BW$137,LS_current!BD$147, FALSE))/2)</f>
        <v>4278.3666145058014</v>
      </c>
      <c r="CD101" s="102">
        <f t="array" ref="CD101">IF($BT101=0, INDEX(LS_current!$D$4:$BW$137, MATCH('Staging Table'!$A101, LS_current!$B$4:$B$137, 0), MATCH(CD$4&amp;CD$5, LS_current!$D$2:$BW$2&amp;LS_current!$D$3:$BW$3, 0)),SUM(VLOOKUP($A101, LS_current!$B$4:$BW$137, LS_current!I$147, FALSE), VLOOKUP($A101, LS_current!$B$4:$BW$137,LS_current!BE$147, FALSE))/2)</f>
        <v>5214.6221633142122</v>
      </c>
      <c r="CE101" s="102">
        <f t="array" ref="CE101">IF($BT101=0, INDEX(LS_current!$D$4:$BW$137, MATCH('Staging Table'!$A101, LS_current!$B$4:$B$137, 0), MATCH(CE$4&amp;CE$5, LS_current!$D$2:$BW$2&amp;LS_current!$D$3:$BW$3, 0)),SUM(VLOOKUP($A101, LS_current!$B$4:$BW$137, LS_current!J$147, FALSE), VLOOKUP($A101, LS_current!$B$4:$BW$137,LS_current!BF$147, FALSE))/2)</f>
        <v>2992.3388172938285</v>
      </c>
      <c r="CF101" s="102">
        <f t="array" ref="CF101">IF($BT101=0, INDEX(LS_current!$D$4:$BW$137, MATCH('Staging Table'!$A101, LS_current!$B$4:$B$137, 0), MATCH(CF$4&amp;CF$5, LS_current!$D$2:$BW$2&amp;LS_current!$D$3:$BW$3, 0)),SUM(VLOOKUP($A101, LS_current!$B$4:$BW$137, LS_current!K$147, FALSE), VLOOKUP($A101, LS_current!$B$4:$BW$137,LS_current!BG$147, FALSE))/2)</f>
        <v>3715.8547063923506</v>
      </c>
      <c r="CG101" s="102">
        <f t="array" ref="CG101">IF($BT101=0, INDEX(LS_current!$D$4:$BW$137, MATCH('Staging Table'!$A101, LS_current!$B$4:$B$137, 0), MATCH(CG$4&amp;CG$5, LS_current!$D$2:$BW$2&amp;LS_current!$D$3:$BW$3, 0)),SUM(VLOOKUP($A101, LS_current!$B$4:$BW$137, LS_current!L$147, FALSE), VLOOKUP($A101, LS_current!$B$4:$BW$137,LS_current!BH$147, FALSE))/2)</f>
        <v>6014.1033787535998</v>
      </c>
      <c r="CH101" s="102">
        <f t="array" ref="CH101">IF($BT101=0, INDEX(LS_current!$D$4:$BW$137, MATCH('Staging Table'!$A101, LS_current!$B$4:$B$137, 0), MATCH(CH$4&amp;CH$5, LS_current!$D$2:$BW$2&amp;LS_current!$D$3:$BW$3, 0)),SUM(VLOOKUP($A101, LS_current!$B$4:$BW$137, LS_current!M$147, FALSE), VLOOKUP($A101, LS_current!$B$4:$BW$137,LS_current!BI$147, FALSE))/2)</f>
        <v>4677.0461177542493</v>
      </c>
      <c r="CI101" s="102">
        <f t="array" ref="CI101">IF($BT101=0, INDEX(LS_current!$D$4:$BW$137, MATCH('Staging Table'!$A101, LS_current!$B$4:$B$137, 0), MATCH(CI$4&amp;CI$5, LS_current!$D$2:$BW$2&amp;LS_current!$D$3:$BW$3, 0)),SUM(VLOOKUP($A101, LS_current!$B$4:$BW$137, LS_current!N$147, FALSE), VLOOKUP($A101, LS_current!$B$4:$BW$137,LS_current!BJ$147, FALSE))/2)</f>
        <v>-443.43521395963035</v>
      </c>
      <c r="CJ101" s="102">
        <f t="array" ref="CJ101">IF($BT101=0, INDEX(LS_current!$D$4:$BW$137, MATCH('Staging Table'!$A101, LS_current!$B$4:$B$137, 0), MATCH(CJ$4&amp;CJ$5, LS_current!$D$2:$BW$2&amp;LS_current!$D$3:$BW$3, 0)),SUM(VLOOKUP($A101, LS_current!$B$4:$BW$137, LS_current!O$147, FALSE), VLOOKUP($A101, LS_current!$B$4:$BW$137,LS_current!BK$147, FALSE))/2)</f>
        <v>3540.2849689027498</v>
      </c>
      <c r="CK101" s="102">
        <f t="array" ref="CK101">IF($BT101=0, INDEX(LS_current!$D$4:$BW$137, MATCH('Staging Table'!$A101, LS_current!$B$4:$B$137, 0), MATCH(CK$4&amp;CK$5, LS_current!$D$2:$BW$2&amp;LS_current!$D$3:$BW$3, 0)),SUM(VLOOKUP($A101, LS_current!$B$4:$BW$137, LS_current!P$147, FALSE), VLOOKUP($A101, LS_current!$B$4:$BW$137,LS_current!BL$147, FALSE))/2)</f>
        <v>3569.2613372402484</v>
      </c>
      <c r="CL101" s="102">
        <f t="array" ref="CL101">IF($BT101=0, INDEX(LS_current!$D$4:$BW$137, MATCH('Staging Table'!$A101, LS_current!$B$4:$B$137, 0), MATCH(CL$4&amp;CL$5, LS_current!$D$2:$BW$2&amp;LS_current!$D$3:$BW$3, 0)),SUM(VLOOKUP($A101, LS_current!$B$4:$BW$137, LS_current!Q$147, FALSE), VLOOKUP($A101, LS_current!$B$4:$BW$137,LS_current!BM$147, FALSE))/2)</f>
        <v>1289.6541378573602</v>
      </c>
      <c r="CM101" s="102">
        <f t="array" ref="CM101">IF($BT101=0, INDEX(LS_current!$D$4:$BW$137, MATCH('Staging Table'!$A101, LS_current!$B$4:$B$137, 0), MATCH(CM$4&amp;CM$5, LS_current!$D$2:$BW$2&amp;LS_current!$D$3:$BW$3, 0)),SUM(VLOOKUP($A101, LS_current!$B$4:$BW$137, LS_current!R$147, FALSE), VLOOKUP($A101, LS_current!$B$4:$BW$137,LS_current!BN$147, FALSE))/2)</f>
        <v>-9905.3573153052566</v>
      </c>
      <c r="CN101" s="102">
        <f t="array" ref="CN101">IF($BT101=0, INDEX(LS_current!$D$4:$BW$137, MATCH('Staging Table'!$A101, LS_current!$B$4:$B$137, 0), MATCH(CN$4&amp;CN$5, LS_current!$D$2:$BW$2&amp;LS_current!$D$3:$BW$3, 0)),SUM(VLOOKUP($A101, LS_current!$B$4:$BW$137, LS_current!S$147, FALSE), VLOOKUP($A101, LS_current!$B$4:$BW$137,LS_current!BO$147, FALSE))/2)</f>
        <v>-5480.9282590323783</v>
      </c>
      <c r="CO101" s="102">
        <f t="array" ref="CO101">IF($BT101=0, INDEX(LS_current!$D$4:$BW$137, MATCH('Staging Table'!$A101, LS_current!$B$4:$B$137, 0), MATCH(CO$4&amp;CO$5, LS_current!$D$2:$BW$2&amp;LS_current!$D$3:$BW$3, 0)),SUM(VLOOKUP($A101, LS_current!$B$4:$BW$137, LS_current!T$147, FALSE), VLOOKUP($A101, LS_current!$B$4:$BW$137,LS_current!BP$147, FALSE))/2)</f>
        <v>-12328.323877295985</v>
      </c>
      <c r="CP101" s="102">
        <f t="array" ref="CP101">IF($BT101=0, INDEX(LS_current!$D$4:$BW$137, MATCH('Staging Table'!$A101, LS_current!$B$4:$B$137, 0), MATCH(CP$4&amp;CP$5, LS_current!$D$2:$BW$2&amp;LS_current!$D$3:$BW$3, 0)),SUM(VLOOKUP($A101, LS_current!$B$4:$BW$137, LS_current!U$147, FALSE), VLOOKUP($A101, LS_current!$B$4:$BW$137,LS_current!BQ$147, FALSE))/2)</f>
        <v>-5578.8868332395941</v>
      </c>
      <c r="CQ101" s="102">
        <f t="array" ref="CQ101">IF($BT101=0, INDEX(LS_current!$D$4:$BW$137, MATCH('Staging Table'!$A101, LS_current!$B$4:$B$137, 0), MATCH(CQ$4&amp;CQ$5, LS_current!$D$2:$BW$2&amp;LS_current!$D$3:$BW$3, 0)),SUM(VLOOKUP($A101, LS_current!$B$4:$BW$137, LS_current!V$147, FALSE), VLOOKUP($A101, LS_current!$B$4:$BW$137,LS_current!BR$147, FALSE))/2)</f>
        <v>-5243.9761022809507</v>
      </c>
      <c r="CR101" s="102">
        <f t="array" ref="CR101">IF($BT101=0, INDEX(LS_current!$D$4:$BW$137, MATCH('Staging Table'!$A101, LS_current!$B$4:$B$137, 0), MATCH(CR$4&amp;CR$5, LS_current!$D$2:$BW$2&amp;LS_current!$D$3:$BW$3, 0)),SUM(VLOOKUP($A101, LS_current!$B$4:$BW$137, LS_current!W$147, FALSE), VLOOKUP($A101, LS_current!$B$4:$BW$137,LS_current!BS$147, FALSE))/2)</f>
        <v>-1709.9432340972453</v>
      </c>
      <c r="CS101" s="102">
        <f t="array" ref="CS101">IF($BT101=0, INDEX(LS_current!$D$4:$BW$137, MATCH('Staging Table'!$A101, LS_current!$B$4:$B$137, 0), MATCH(CS$4&amp;CS$5, LS_current!$D$2:$BW$2&amp;LS_current!$D$3:$BW$3, 0)),SUM(VLOOKUP($A101, LS_current!$B$4:$BW$137, LS_current!X$147, FALSE), VLOOKUP($A101, LS_current!$B$4:$BW$137,LS_current!BT$147, FALSE))/2)</f>
        <v>-7059.470139095698</v>
      </c>
      <c r="CT101" s="102">
        <f t="array" ref="CT101">IF($BT101=0, INDEX(LS_current!$D$4:$BW$137, MATCH('Staging Table'!$A101, LS_current!$B$4:$B$137, 0), MATCH(CT$4&amp;CT$5, LS_current!$D$2:$BW$2&amp;LS_current!$D$3:$BW$3, 0)),SUM(VLOOKUP($A101, LS_current!$B$4:$BW$137, LS_current!Y$147, FALSE), VLOOKUP($A101, LS_current!$B$4:$BW$137,LS_current!BU$147, FALSE))/2)</f>
        <v>-423.44822526467033</v>
      </c>
      <c r="CU101" s="102">
        <f t="array" ref="CU101">IF($BT101=0, INDEX(LS_current!$D$4:$BW$137, MATCH('Staging Table'!$A101, LS_current!$B$4:$B$137, 0), MATCH(CU$4&amp;CU$5, LS_current!$D$2:$BW$2&amp;LS_current!$D$3:$BW$3, 0)),SUM(VLOOKUP($A101, LS_current!$B$4:$BW$137, LS_current!Z$147, FALSE), VLOOKUP($A101, LS_current!$B$4:$BW$137,LS_current!BV$147, FALSE))/2)</f>
        <v>-961.0145205902445</v>
      </c>
      <c r="CV101" s="102">
        <f t="array" ref="CV101">IF($BT101=0, INDEX(LS_current!$D$4:$BW$137, MATCH('Staging Table'!$A101, LS_current!$B$4:$B$137, 0), MATCH(CV$4&amp;CV$5, LS_current!$D$2:$BW$2&amp;LS_current!$D$3:$BW$3, 0)),SUM(VLOOKUP($A101, LS_current!$B$4:$BW$137, LS_current!AA$147, FALSE), VLOOKUP($A101, LS_current!$B$4:$BW$137,LS_current!BW$147, FALSE))/2)</f>
        <v>-321.03868432339368</v>
      </c>
      <c r="CW101" s="103">
        <f t="array" ref="CW101">INDEX(Demand_current!$D$4:$BW$137, MATCH($A101, Demand_current!$B$4:$B$137, 0), MATCH(CW$4&amp;CW$5,Demand_current!$D$2:$BW$2&amp;Demand_current!$D$3:$BW$3, 0))/1000</f>
        <v>3.1197870370370318</v>
      </c>
      <c r="CX101" s="103">
        <f t="array" ref="CX101">INDEX(Demand_current!$D$4:$BW$137, MATCH($A101, Demand_current!$B$4:$B$137, 0), MATCH(CX$4&amp;CX$5,Demand_current!$D$2:$BW$2&amp;Demand_current!$D$3:$BW$3, 0))/1000</f>
        <v>6.5295833333333277</v>
      </c>
      <c r="CY101" s="103">
        <f t="array" ref="CY101">INDEX(Demand_current!$D$4:$BW$137, MATCH($A101, Demand_current!$B$4:$B$137, 0), MATCH(CY$4&amp;CY$5,Demand_current!$D$2:$BW$2&amp;Demand_current!$D$3:$BW$3, 0))/1000</f>
        <v>24.755709134615383</v>
      </c>
      <c r="CZ101" s="103">
        <f t="array" ref="CZ101">INDEX(Demand_current!$D$4:$BW$137, MATCH($A101, Demand_current!$B$4:$B$137, 0), MATCH(CZ$4&amp;CZ$5,Demand_current!$D$2:$BW$2&amp;Demand_current!$D$3:$BW$3, 0))/1000</f>
        <v>20.900538461538453</v>
      </c>
      <c r="DA101" s="103">
        <f t="array" ref="DA101">INDEX(Demand_current!$D$4:$BW$137, MATCH($A101, Demand_current!$B$4:$B$137, 0), MATCH(DA$4&amp;DA$5,Demand_current!$D$2:$BW$2&amp;Demand_current!$D$3:$BW$3, 0))/1000</f>
        <v>12.307679687500002</v>
      </c>
      <c r="DB101" s="103">
        <f t="array" ref="DB101">INDEX(Demand_current!$D$4:$BW$137, MATCH($A101, Demand_current!$B$4:$B$137, 0), MATCH(DB$4&amp;DB$5,Demand_current!$D$2:$BW$2&amp;Demand_current!$D$3:$BW$3, 0))/1000</f>
        <v>11.984028846153851</v>
      </c>
      <c r="DC101" s="103">
        <f t="array" ref="DC101">INDEX(Demand_current!$D$4:$BW$137, MATCH($A101, Demand_current!$B$4:$B$137, 0), MATCH(DC$4&amp;DC$5,Demand_current!$D$2:$BW$2&amp;Demand_current!$D$3:$BW$3, 0))/1000</f>
        <v>13.759408653846151</v>
      </c>
      <c r="DD101" s="103">
        <f t="array" ref="DD101">INDEX(Demand_current!$D$4:$BW$137, MATCH($A101, Demand_current!$B$4:$B$137, 0), MATCH(DD$4&amp;DD$5,Demand_current!$D$2:$BW$2&amp;Demand_current!$D$3:$BW$3, 0))/1000</f>
        <v>18.523189999999996</v>
      </c>
      <c r="DE101" s="103">
        <f t="array" ref="DE101">INDEX(Demand_current!$D$4:$BW$137, MATCH($A101, Demand_current!$B$4:$B$137, 0), MATCH(DE$4&amp;DE$5,Demand_current!$D$2:$BW$2&amp;Demand_current!$D$3:$BW$3, 0))/1000</f>
        <v>20.731430288461539</v>
      </c>
      <c r="DF101" s="103">
        <f t="array" ref="DF101">INDEX(Demand_current!$D$4:$BW$137, MATCH($A101, Demand_current!$B$4:$B$137, 0), MATCH(DF$4&amp;DF$5,Demand_current!$D$2:$BW$2&amp;Demand_current!$D$3:$BW$3, 0))/1000</f>
        <v>20.868490384615388</v>
      </c>
      <c r="DG101" s="103">
        <f t="array" ref="DG101">INDEX(Demand_current!$D$4:$BW$137, MATCH($A101, Demand_current!$B$4:$B$137, 0), MATCH(DG$4&amp;DG$5,Demand_current!$D$2:$BW$2&amp;Demand_current!$D$3:$BW$3, 0))/1000</f>
        <v>23.164752403846165</v>
      </c>
      <c r="DH101" s="103">
        <f t="array" ref="DH101">INDEX(Demand_current!$D$4:$BW$137, MATCH($A101, Demand_current!$B$4:$B$137, 0), MATCH(DH$4&amp;DH$5,Demand_current!$D$2:$BW$2&amp;Demand_current!$D$3:$BW$3, 0))/1000</f>
        <v>14.165735</v>
      </c>
      <c r="DI101" s="102">
        <f>$BS101*(VLOOKUP(DI$4, Rates_current!$H$6:$R$41, 10, FALSE)+VLOOKUP(DI$4, Rates_current!$H$6:$R$41, 11, FALSE))</f>
        <v>40663.687932299501</v>
      </c>
      <c r="DJ101" s="102">
        <f>$BS101*(VLOOKUP(DJ$4, Rates_current!$H$6:$R$41, 10, FALSE)+VLOOKUP(DJ$4, Rates_current!$H$6:$R$41, 11, FALSE))</f>
        <v>51987.186694894845</v>
      </c>
      <c r="DK101" s="102">
        <f>$BS101*(VLOOKUP(DK$4, Rates_current!$H$6:$R$41, 10, FALSE)+VLOOKUP(DK$4, Rates_current!$H$6:$R$41, 11, FALSE))</f>
        <v>59105.083222179972</v>
      </c>
      <c r="DL101" s="102">
        <f>$BS101*(VLOOKUP(DL$4, Rates_current!$H$6:$R$41, 10, FALSE)+VLOOKUP(DL$4, Rates_current!$H$6:$R$41, 11, FALSE))</f>
        <v>62360.476476313823</v>
      </c>
      <c r="DM101" s="102">
        <f>$BS101*(VLOOKUP(DM$4, Rates_current!$H$6:$R$41, 10, FALSE)+VLOOKUP(DM$4, Rates_current!$H$6:$R$41, 11, FALSE))</f>
        <v>49695.671503492151</v>
      </c>
      <c r="DN101" s="102">
        <f>$BS101*(VLOOKUP(DN$4, Rates_current!$H$6:$R$41, 10, FALSE)+VLOOKUP(DN$4, Rates_current!$H$6:$R$41, 11, FALSE))</f>
        <v>54327.57424505688</v>
      </c>
      <c r="DO101" s="102">
        <f>$BS101*(VLOOKUP(DO$4, Rates_current!$H$6:$R$41, 10, FALSE)+VLOOKUP(DO$4, Rates_current!$H$6:$R$41, 11, FALSE))</f>
        <v>42104.416524902394</v>
      </c>
      <c r="DP101" s="102">
        <f>$BS101*(VLOOKUP(DP$4, Rates_current!$H$6:$R$41, 10, FALSE)+VLOOKUP(DP$4, Rates_current!$H$6:$R$41, 11, FALSE))</f>
        <v>54490.04757433763</v>
      </c>
      <c r="DQ101" s="102">
        <f>$BS101*(VLOOKUP(DQ$4, Rates_current!$H$6:$R$41, 10, FALSE)+VLOOKUP(DQ$4, Rates_current!$H$6:$R$41, 11, FALSE))</f>
        <v>55653.568710535583</v>
      </c>
      <c r="DR101" s="102">
        <f>$BS101*(VLOOKUP(DR$4, Rates_current!$H$6:$R$41, 10, FALSE)+VLOOKUP(DR$4, Rates_current!$H$6:$R$41, 11, FALSE))</f>
        <v>49536.489336378188</v>
      </c>
      <c r="DS101" s="102">
        <f>$BS101*(VLOOKUP(DS$4, Rates_current!$H$6:$R$41, 10, FALSE)+VLOOKUP(DS$4, Rates_current!$H$6:$R$41, 11, FALSE))</f>
        <v>50815.353364360373</v>
      </c>
      <c r="DT101" s="102">
        <f>$BS101*(VLOOKUP(DT$4, Rates_current!$H$6:$R$41, 10, FALSE)+VLOOKUP(DT$4, Rates_current!$H$6:$R$41, 11, FALSE))</f>
        <v>39464.213204913642</v>
      </c>
      <c r="DU101" s="261">
        <f>IF(D101=0,IF(C101=0,MAX(0,DW101 - (VLOOKUP($A101,TOCA_current!$A$2:$AV$136,MATCH("RHWM "&amp;Init!$D$1,TOCA_current!$A$2:$AV$2,0),FALSE)*$BS$2)), 0),0)</f>
        <v>0</v>
      </c>
      <c r="DV101" s="262">
        <f>MIN(VLOOKUP($A101,TOCA_current!$A$2:$AV$136,MATCH("TRL - NLSL - Existing Resource "&amp;$BS$1,TOCA_current!$A$2:$AV$2,0),FALSE)*$BS$2, VLOOKUP($A101,TOCA_current!$A$2:$AV$136,MATCH("RHWM "&amp;Init!$D$1,TOCA_current!$A$2:$AV$2,0),FALSE)*$BS$2)</f>
        <v>610204.07999999996</v>
      </c>
      <c r="DW101" s="262">
        <f>SUM(BY101:CV101)+(BS101*RT1SC!$C$4*$BS$2)</f>
        <v>610200.31602019107</v>
      </c>
      <c r="DX101" s="262">
        <f>VLOOKUP($A101,TOCA_current!$A$2:$AV$136,MATCH("Above RHWM Not Served with LS "&amp;$BS$1,TOCA_current!$A$2:$AV$2,0),FALSE)*$BS$2</f>
        <v>0</v>
      </c>
      <c r="DY101" s="262">
        <f t="shared" si="43"/>
        <v>-3.7639798088930547</v>
      </c>
      <c r="DZ101" s="262">
        <f>(VLOOKUP($A101,TOCA_current!$A$2:$AV$136,MATCH("RHWM "&amp;Init!$D$1,TOCA_current!$A$2:$AV$2,0),FALSE)*$BS$2) - $DV101</f>
        <v>24019.920000000042</v>
      </c>
      <c r="EA101" s="262">
        <f t="shared" si="44"/>
        <v>0</v>
      </c>
      <c r="EB101" s="262">
        <f t="shared" si="45"/>
        <v>3.7639798088930547</v>
      </c>
      <c r="EC101" s="262">
        <f t="shared" si="46"/>
        <v>0</v>
      </c>
      <c r="ED101" s="262">
        <f t="shared" si="47"/>
        <v>3.7639798088930547</v>
      </c>
    </row>
    <row r="102" spans="1:134">
      <c r="A102" s="2">
        <v>10326</v>
      </c>
      <c r="B102" s="3" t="s">
        <v>104</v>
      </c>
      <c r="C102">
        <f>VLOOKUP(A102, TOCA_current!$A$3:$D$136, 4, FALSE)</f>
        <v>0</v>
      </c>
      <c r="D102">
        <v>0</v>
      </c>
      <c r="E102" s="84">
        <f>VLOOKUP($A102,TOCA_previous!$A$2:$AJ$136,MATCH(E$4,TOCA_previous!$A$2:$AJ$2,0),FALSE)</f>
        <v>4.4096999999999999E-3</v>
      </c>
      <c r="F102" s="85">
        <f>VLOOKUP($A102,TOCA_previous!$A$2:$AJ$136,MATCH(F$4,TOCA_previous!$A$2:$AJ$2,0),FALSE)</f>
        <v>4.4096999999999999E-3</v>
      </c>
      <c r="G102" s="85">
        <f t="shared" si="33"/>
        <v>0</v>
      </c>
      <c r="H102" s="85">
        <f>VLOOKUP($A102,TOCA_previous!$A$2:$AJ$136,MATCH(H$4,TOCA_previous!$A$2:$AJ$2,0),FALSE)</f>
        <v>0</v>
      </c>
      <c r="I102" s="85">
        <f t="shared" si="34"/>
        <v>0</v>
      </c>
      <c r="J102" s="85">
        <f t="shared" si="35"/>
        <v>0</v>
      </c>
      <c r="K102" s="101">
        <f>VLOOKUP(A102, IRD!$A$5:$C$138, 3, FALSE)</f>
        <v>0</v>
      </c>
      <c r="L102" s="102">
        <f t="array" ref="L102">IF($G102=0, INDEX(LS_previous!$D$4:$AY$137, MATCH('Staging Table'!$A102, LS_previous!$B$4:$B$137, 0), MATCH(L$4&amp;L$5, LS_previous!$D$2:$AY$2&amp;LS_previous!$D$3:$AY$3, 0)),SUM(VLOOKUP($A102, LS_previous!$B$4:$AY$137, LS_previous!D$148, FALSE), VLOOKUP('Staging Table'!$A102, LS_previous!$B$4:$AY$137,LS_previous!AB$148, FALSE))/2)</f>
        <v>838.59453445079816</v>
      </c>
      <c r="M102" s="102">
        <f t="array" ref="M102">IF($G102=0, INDEX(LS_previous!$D$4:$AY$137, MATCH('Staging Table'!$A102, LS_previous!$B$4:$B$137, 0), MATCH(M$4&amp;M$5, LS_previous!$D$2:$AY$2&amp;LS_previous!$D$3:$AY$3, 0)),SUM(VLOOKUP($A102, LS_previous!$B$4:$AY$137, LS_previous!E$148, FALSE), VLOOKUP('Staging Table'!$A102, LS_previous!$B$4:$AY$137,LS_previous!AC$148, FALSE))/2)</f>
        <v>423.34351846265145</v>
      </c>
      <c r="N102" s="102">
        <f t="array" ref="N102">IF($G102=0, INDEX(LS_previous!$D$4:$AY$137, MATCH('Staging Table'!$A102, LS_previous!$B$4:$B$137, 0), MATCH(N$4&amp;N$5, LS_previous!$D$2:$AY$2&amp;LS_previous!$D$3:$AY$3, 0)),SUM(VLOOKUP($A102, LS_previous!$B$4:$AY$137, LS_previous!F$148, FALSE), VLOOKUP('Staging Table'!$A102, LS_previous!$B$4:$AY$137,LS_previous!AD$148, FALSE))/2)</f>
        <v>-4536.4877702815993</v>
      </c>
      <c r="O102" s="102">
        <f t="array" ref="O102">IF($G102=0, INDEX(LS_previous!$D$4:$AY$137, MATCH('Staging Table'!$A102, LS_previous!$B$4:$B$137, 0), MATCH(O$4&amp;O$5, LS_previous!$D$2:$AY$2&amp;LS_previous!$D$3:$AY$3, 0)),SUM(VLOOKUP($A102, LS_previous!$B$4:$AY$137, LS_previous!G$148, FALSE), VLOOKUP('Staging Table'!$A102, LS_previous!$B$4:$AY$137,LS_previous!AE$148, FALSE))/2)</f>
        <v>-1397.9739991207007</v>
      </c>
      <c r="P102" s="102">
        <f t="array" ref="P102">IF($G102=0, INDEX(LS_previous!$D$4:$AY$137, MATCH('Staging Table'!$A102, LS_previous!$B$4:$B$137, 0), MATCH(P$4&amp;P$5, LS_previous!$D$2:$AY$2&amp;LS_previous!$D$3:$AY$3, 0)),SUM(VLOOKUP($A102, LS_previous!$B$4:$AY$137, LS_previous!H$148, FALSE), VLOOKUP('Staging Table'!$A102, LS_previous!$B$4:$AY$137,LS_previous!AF$148, FALSE))/2)</f>
        <v>-6446.912963268298</v>
      </c>
      <c r="Q102" s="102">
        <f t="array" ref="Q102">IF($G102=0, INDEX(LS_previous!$D$4:$AY$137, MATCH('Staging Table'!$A102, LS_previous!$B$4:$B$137, 0), MATCH(Q$4&amp;Q$5, LS_previous!$D$2:$AY$2&amp;LS_previous!$D$3:$AY$3, 0)),SUM(VLOOKUP($A102, LS_previous!$B$4:$AY$137, LS_previous!I$148, FALSE), VLOOKUP('Staging Table'!$A102, LS_previous!$B$4:$AY$137,LS_previous!AG$148, FALSE))/2)</f>
        <v>-3739.7194012512</v>
      </c>
      <c r="R102" s="102">
        <f t="array" ref="R102">IF($G102=0, INDEX(LS_previous!$D$4:$AY$137, MATCH('Staging Table'!$A102, LS_previous!$B$4:$B$137, 0), MATCH(R$4&amp;R$5, LS_previous!$D$2:$AY$2&amp;LS_previous!$D$3:$AY$3, 0)),SUM(VLOOKUP($A102, LS_previous!$B$4:$AY$137, LS_previous!J$148, FALSE), VLOOKUP('Staging Table'!$A102, LS_previous!$B$4:$AY$137,LS_previous!AH$148, FALSE))/2)</f>
        <v>-5020.4597556354984</v>
      </c>
      <c r="S102" s="102">
        <f t="array" ref="S102">IF($G102=0, INDEX(LS_previous!$D$4:$AY$137, MATCH('Staging Table'!$A102, LS_previous!$B$4:$B$137, 0), MATCH(S$4&amp;S$5, LS_previous!$D$2:$AY$2&amp;LS_previous!$D$3:$AY$3, 0)),SUM(VLOOKUP($A102, LS_previous!$B$4:$AY$137, LS_previous!K$148, FALSE), VLOOKUP('Staging Table'!$A102, LS_previous!$B$4:$AY$137,LS_previous!AI$148, FALSE))/2)</f>
        <v>-2103.062266481299</v>
      </c>
      <c r="T102" s="102">
        <f t="array" ref="T102">IF($G102=0, INDEX(LS_previous!$D$4:$AY$137, MATCH('Staging Table'!$A102, LS_previous!$B$4:$B$137, 0), MATCH(T$4&amp;T$5, LS_previous!$D$2:$AY$2&amp;LS_previous!$D$3:$AY$3, 0)),SUM(VLOOKUP($A102, LS_previous!$B$4:$AY$137, LS_previous!L$148, FALSE), VLOOKUP('Staging Table'!$A102, LS_previous!$B$4:$AY$137,LS_previous!AJ$148, FALSE))/2)</f>
        <v>-2735.4738276262979</v>
      </c>
      <c r="U102" s="102">
        <f t="array" ref="U102">IF($G102=0, INDEX(LS_previous!$D$4:$AY$137, MATCH('Staging Table'!$A102, LS_previous!$B$4:$B$137, 0), MATCH(U$4&amp;U$5, LS_previous!$D$2:$AY$2&amp;LS_previous!$D$3:$AY$3, 0)),SUM(VLOOKUP($A102, LS_previous!$B$4:$AY$137, LS_previous!M$148, FALSE), VLOOKUP('Staging Table'!$A102, LS_previous!$B$4:$AY$137,LS_previous!AK$148, FALSE))/2)</f>
        <v>-269.78766860230007</v>
      </c>
      <c r="V102" s="102">
        <f t="array" ref="V102">IF($G102=0, INDEX(LS_previous!$D$4:$AY$137, MATCH('Staging Table'!$A102, LS_previous!$B$4:$B$137, 0), MATCH(V$4&amp;V$5, LS_previous!$D$2:$AY$2&amp;LS_previous!$D$3:$AY$3, 0)),SUM(VLOOKUP($A102, LS_previous!$B$4:$AY$137, LS_previous!N$148, FALSE), VLOOKUP('Staging Table'!$A102, LS_previous!$B$4:$AY$137,LS_previous!AL$148, FALSE))/2)</f>
        <v>-2320.0533125960992</v>
      </c>
      <c r="W102" s="102">
        <f t="array" ref="W102">IF($G102=0, INDEX(LS_previous!$D$4:$AY$137, MATCH('Staging Table'!$A102, LS_previous!$B$4:$B$137, 0), MATCH(W$4&amp;W$5, LS_previous!$D$2:$AY$2&amp;LS_previous!$D$3:$AY$3, 0)),SUM(VLOOKUP($A102, LS_previous!$B$4:$AY$137, LS_previous!O$148, FALSE), VLOOKUP('Staging Table'!$A102, LS_previous!$B$4:$AY$137,LS_previous!AM$148, FALSE))/2)</f>
        <v>-397.17111444660077</v>
      </c>
      <c r="X102" s="102">
        <f t="array" ref="X102">IF($G102=0, INDEX(LS_previous!$D$4:$AY$137, MATCH('Staging Table'!$A102, LS_previous!$B$4:$B$137, 0), MATCH(X$4&amp;X$5, LS_previous!$D$2:$AY$2&amp;LS_previous!$D$3:$AY$3, 0)),SUM(VLOOKUP($A102, LS_previous!$B$4:$AY$137, LS_previous!P$148, FALSE), VLOOKUP('Staging Table'!$A102, LS_previous!$B$4:$AY$137,LS_previous!AN$148, FALSE))/2)</f>
        <v>-968.31557644174791</v>
      </c>
      <c r="Y102" s="102">
        <f t="array" ref="Y102">IF($G102=0, INDEX(LS_previous!$D$4:$AY$137, MATCH('Staging Table'!$A102, LS_previous!$B$4:$B$137, 0), MATCH(Y$4&amp;Y$5, LS_previous!$D$2:$AY$2&amp;LS_previous!$D$3:$AY$3, 0)),SUM(VLOOKUP($A102, LS_previous!$B$4:$AY$137, LS_previous!Q$148, FALSE), VLOOKUP('Staging Table'!$A102, LS_previous!$B$4:$AY$137,LS_previous!AO$148, FALSE))/2)</f>
        <v>-336.15230227897428</v>
      </c>
      <c r="Z102" s="102">
        <f t="array" ref="Z102">IF($G102=0, INDEX(LS_previous!$D$4:$AY$137, MATCH('Staging Table'!$A102, LS_previous!$B$4:$B$137, 0), MATCH(Z$4&amp;Z$5, LS_previous!$D$2:$AY$2&amp;LS_previous!$D$3:$AY$3, 0)),SUM(VLOOKUP($A102, LS_previous!$B$4:$AY$137, LS_previous!R$148, FALSE), VLOOKUP('Staging Table'!$A102, LS_previous!$B$4:$AY$137,LS_previous!AP$148, FALSE))/2)</f>
        <v>-4198.9607546255993</v>
      </c>
      <c r="AA102" s="102">
        <f t="array" ref="AA102">IF($G102=0, INDEX(LS_previous!$D$4:$AY$137, MATCH('Staging Table'!$A102, LS_previous!$B$4:$B$137, 0), MATCH(AA$4&amp;AA$5, LS_previous!$D$2:$AY$2&amp;LS_previous!$D$3:$AY$3, 0)),SUM(VLOOKUP($A102, LS_previous!$B$4:$AY$137, LS_previous!S$148, FALSE), VLOOKUP('Staging Table'!$A102, LS_previous!$B$4:$AY$137,LS_previous!AQ$148, FALSE))/2)</f>
        <v>-1347.5958682374494</v>
      </c>
      <c r="AB102" s="102">
        <f t="array" ref="AB102">IF($G102=0, INDEX(LS_previous!$D$4:$AY$137, MATCH('Staging Table'!$A102, LS_previous!$B$4:$B$137, 0), MATCH(AB$4&amp;AB$5, LS_previous!$D$2:$AY$2&amp;LS_previous!$D$3:$AY$3, 0)),SUM(VLOOKUP($A102, LS_previous!$B$4:$AY$137, LS_previous!T$148, FALSE), VLOOKUP('Staging Table'!$A102, LS_previous!$B$4:$AY$137,LS_previous!AR$148, FALSE))/2)</f>
        <v>-4302.2459512821988</v>
      </c>
      <c r="AC102" s="102">
        <f t="array" ref="AC102">IF($G102=0, INDEX(LS_previous!$D$4:$AY$137, MATCH('Staging Table'!$A102, LS_previous!$B$4:$B$137, 0), MATCH(AC$4&amp;AC$5, LS_previous!$D$2:$AY$2&amp;LS_previous!$D$3:$AY$3, 0)),SUM(VLOOKUP($A102, LS_previous!$B$4:$AY$137, LS_previous!U$148, FALSE), VLOOKUP('Staging Table'!$A102, LS_previous!$B$4:$AY$137,LS_previous!AS$148, FALSE))/2)</f>
        <v>-2062.7902078286497</v>
      </c>
      <c r="AD102" s="102">
        <f t="array" ref="AD102">IF($G102=0, INDEX(LS_previous!$D$4:$AY$137, MATCH('Staging Table'!$A102, LS_previous!$B$4:$B$137, 0), MATCH(AD$4&amp;AD$5, LS_previous!$D$2:$AY$2&amp;LS_previous!$D$3:$AY$3, 0)),SUM(VLOOKUP($A102, LS_previous!$B$4:$AY$137, LS_previous!V$148, FALSE), VLOOKUP('Staging Table'!$A102, LS_previous!$B$4:$AY$137,LS_previous!AT$148, FALSE))/2)</f>
        <v>-2376.4319697107985</v>
      </c>
      <c r="AE102" s="102">
        <f t="array" ref="AE102">IF($G102=0, INDEX(LS_previous!$D$4:$AY$137, MATCH('Staging Table'!$A102, LS_previous!$B$4:$B$137, 0), MATCH(AE$4&amp;AE$5, LS_previous!$D$2:$AY$2&amp;LS_previous!$D$3:$AY$3, 0)),SUM(VLOOKUP($A102, LS_previous!$B$4:$AY$137, LS_previous!W$148, FALSE), VLOOKUP('Staging Table'!$A102, LS_previous!$B$4:$AY$137,LS_previous!AU$148, FALSE))/2)</f>
        <v>-454.39437048674881</v>
      </c>
      <c r="AF102" s="102">
        <f t="array" ref="AF102">IF($G102=0, INDEX(LS_previous!$D$4:$AY$137, MATCH('Staging Table'!$A102, LS_previous!$B$4:$B$137, 0), MATCH(AF$4&amp;AF$5, LS_previous!$D$2:$AY$2&amp;LS_previous!$D$3:$AY$3, 0)),SUM(VLOOKUP($A102, LS_previous!$B$4:$AY$137, LS_previous!X$148, FALSE), VLOOKUP('Staging Table'!$A102, LS_previous!$B$4:$AY$137,LS_previous!AV$148, FALSE))/2)</f>
        <v>-2719.2511692635508</v>
      </c>
      <c r="AG102" s="102">
        <f t="array" ref="AG102">IF($G102=0, INDEX(LS_previous!$D$4:$AY$137, MATCH('Staging Table'!$A102, LS_previous!$B$4:$B$137, 0), MATCH(AG$4&amp;AG$5, LS_previous!$D$2:$AY$2&amp;LS_previous!$D$3:$AY$3, 0)),SUM(VLOOKUP($A102, LS_previous!$B$4:$AY$137, LS_previous!Y$148, FALSE), VLOOKUP('Staging Table'!$A102, LS_previous!$B$4:$AY$137,LS_previous!AW$148, FALSE))/2)</f>
        <v>-189.01801071454338</v>
      </c>
      <c r="AH102" s="102">
        <f t="array" ref="AH102">IF($G102=0, INDEX(LS_previous!$D$4:$AY$137, MATCH('Staging Table'!$A102, LS_previous!$B$4:$B$137, 0), MATCH(AH$4&amp;AH$5, LS_previous!$D$2:$AY$2&amp;LS_previous!$D$3:$AY$3, 0)),SUM(VLOOKUP($A102, LS_previous!$B$4:$AY$137, LS_previous!Z$148, FALSE), VLOOKUP('Staging Table'!$A102, LS_previous!$B$4:$AY$137,LS_previous!AX$148, FALSE))/2)</f>
        <v>-4011.2703068578012</v>
      </c>
      <c r="AI102" s="102">
        <f t="array" ref="AI102">IF($G102=0, INDEX(LS_previous!$D$4:$AY$137, MATCH('Staging Table'!$A102, LS_previous!$B$4:$B$137, 0), MATCH(AI$4&amp;AI$5, LS_previous!$D$2:$AY$2&amp;LS_previous!$D$3:$AY$3, 0)),SUM(VLOOKUP($A102, LS_previous!$B$4:$AY$137, LS_previous!AA$148, FALSE), VLOOKUP('Staging Table'!$A102, LS_previous!$B$4:$AY$137,LS_previous!AY$148, FALSE))/2)</f>
        <v>-2626.3757379088001</v>
      </c>
      <c r="AJ102" s="103">
        <f t="array" ref="AJ102">INDEX(Demand_previous!$D$4:$AY$137, MATCH('Staging Table'!$A102, Demand_previous!$B$4:$B$137, 0), MATCH(AJ$4&amp;AJ$5,Demand_previous!$D$2:$AY$2&amp;Demand_previous!$D$3:$AY$3, 0))/1000</f>
        <v>1.0146274038461573</v>
      </c>
      <c r="AK102" s="103">
        <f t="array" ref="AK102">INDEX(Demand_previous!$D$4:$AY$137, MATCH('Staging Table'!$A102, Demand_previous!$B$4:$B$137, 0), MATCH(AK$4&amp;AK$5,Demand_previous!$D$2:$AY$2&amp;Demand_previous!$D$3:$AY$3, 0))/1000</f>
        <v>0</v>
      </c>
      <c r="AL102" s="103">
        <f t="array" ref="AL102">INDEX(Demand_previous!$D$4:$AY$137, MATCH('Staging Table'!$A102, Demand_previous!$B$4:$B$137, 0), MATCH(AL$4&amp;AL$5,Demand_previous!$D$2:$AY$2&amp;Demand_previous!$D$3:$AY$3, 0))/1000</f>
        <v>0</v>
      </c>
      <c r="AM102" s="103">
        <f t="array" ref="AM102">INDEX(Demand_previous!$D$4:$AY$137, MATCH('Staging Table'!$A102, Demand_previous!$B$4:$B$137, 0), MATCH(AM$4&amp;AM$5,Demand_previous!$D$2:$AY$2&amp;Demand_previous!$D$3:$AY$3, 0))/1000</f>
        <v>0</v>
      </c>
      <c r="AN102" s="103">
        <f t="array" ref="AN102">INDEX(Demand_previous!$D$4:$AY$137, MATCH('Staging Table'!$A102, Demand_previous!$B$4:$B$137, 0), MATCH(AN$4&amp;AN$5,Demand_previous!$D$2:$AY$2&amp;Demand_previous!$D$3:$AY$3, 0))/1000</f>
        <v>5.5147050000000002</v>
      </c>
      <c r="AO102" s="103">
        <f t="array" ref="AO102">INDEX(Demand_previous!$D$4:$AY$137, MATCH('Staging Table'!$A102, Demand_previous!$B$4:$B$137, 0), MATCH(AO$4&amp;AO$5,Demand_previous!$D$2:$AY$2&amp;Demand_previous!$D$3:$AY$3, 0))/1000</f>
        <v>4.4230793269230722</v>
      </c>
      <c r="AP102" s="103">
        <f t="array" ref="AP102">INDEX(Demand_previous!$D$4:$AY$137, MATCH('Staging Table'!$A102, Demand_previous!$B$4:$B$137, 0), MATCH(AP$4&amp;AP$5,Demand_previous!$D$2:$AY$2&amp;Demand_previous!$D$3:$AY$3, 0))/1000</f>
        <v>0</v>
      </c>
      <c r="AQ102" s="103">
        <f t="array" ref="AQ102">INDEX(Demand_previous!$D$4:$AY$137, MATCH('Staging Table'!$A102, Demand_previous!$B$4:$B$137, 0), MATCH(AQ$4&amp;AQ$5,Demand_previous!$D$2:$AY$2&amp;Demand_previous!$D$3:$AY$3, 0))/1000</f>
        <v>2.7035865384615345</v>
      </c>
      <c r="AR102" s="103">
        <f t="array" ref="AR102">INDEX(Demand_previous!$D$4:$AY$137, MATCH('Staging Table'!$A102, Demand_previous!$B$4:$B$137, 0), MATCH(AR$4&amp;AR$5,Demand_previous!$D$2:$AY$2&amp;Demand_previous!$D$3:$AY$3, 0))/1000</f>
        <v>0.25319750000000774</v>
      </c>
      <c r="AS102" s="103">
        <f t="array" ref="AS102">INDEX(Demand_previous!$D$4:$AY$137, MATCH('Staging Table'!$A102, Demand_previous!$B$4:$B$137, 0), MATCH(AS$4&amp;AS$5,Demand_previous!$D$2:$AY$2&amp;Demand_previous!$D$3:$AY$3, 0))/1000</f>
        <v>3.3803028846153858</v>
      </c>
      <c r="AT102" s="103">
        <f t="array" ref="AT102">INDEX(Demand_previous!$D$4:$AY$137, MATCH('Staging Table'!$A102, Demand_previous!$B$4:$B$137, 0), MATCH(AT$4&amp;AT$5,Demand_previous!$D$2:$AY$2&amp;Demand_previous!$D$3:$AY$3, 0))/1000</f>
        <v>3.4669467592592582</v>
      </c>
      <c r="AU102" s="103">
        <f t="array" ref="AU102">INDEX(Demand_previous!$D$4:$AY$137, MATCH('Staging Table'!$A102, Demand_previous!$B$4:$B$137, 0), MATCH(AU$4&amp;AU$5,Demand_previous!$D$2:$AY$2&amp;Demand_previous!$D$3:$AY$3, 0))/1000</f>
        <v>0.74112760416667012</v>
      </c>
      <c r="AV102" s="102">
        <f>$F102*(VLOOKUP(AV$4, Rates_previous!$G$6:$Q$29, 10, FALSE)+VLOOKUP(AV$4, Rates_previous!$G$6:$Q$29, 11, FALSE))</f>
        <v>18603.658947086551</v>
      </c>
      <c r="AW102" s="102">
        <f>$F102*(VLOOKUP(AW$4, Rates_previous!$G$6:$Q$29, 10, FALSE)+VLOOKUP(AW$4, Rates_previous!$G$6:$Q$29, 11, FALSE))</f>
        <v>23725.799769402303</v>
      </c>
      <c r="AX102" s="102">
        <f>$F102*(VLOOKUP(AX$4, Rates_previous!$G$6:$Q$29, 10, FALSE)+VLOOKUP(AX$4, Rates_previous!$G$6:$Q$29, 11, FALSE))</f>
        <v>25604.832364519501</v>
      </c>
      <c r="AY102" s="102">
        <f>$F102*(VLOOKUP(AY$4, Rates_previous!$G$6:$Q$29, 10, FALSE)+VLOOKUP(AY$4, Rates_previous!$G$6:$Q$29, 11, FALSE))</f>
        <v>26607.379022116798</v>
      </c>
      <c r="AZ102" s="102">
        <f>$F102*(VLOOKUP(AZ$4, Rates_previous!$G$6:$Q$29, 10, FALSE)+VLOOKUP(AZ$4, Rates_previous!$G$6:$Q$29, 11, FALSE))</f>
        <v>22885.892496228596</v>
      </c>
      <c r="BA102" s="102">
        <f>$F102*(VLOOKUP(BA$4, Rates_previous!$G$6:$Q$29, 10, FALSE)+VLOOKUP(BA$4, Rates_previous!$G$6:$Q$29, 11, FALSE))</f>
        <v>24986.863427042699</v>
      </c>
      <c r="BB102" s="102">
        <f>$F102*(VLOOKUP(BB$4, Rates_previous!$G$6:$Q$29, 10, FALSE)+VLOOKUP(BB$4, Rates_previous!$G$6:$Q$29, 11, FALSE))</f>
        <v>19722.917878720724</v>
      </c>
      <c r="BC102" s="102">
        <f>$F102*(VLOOKUP(BC$4, Rates_previous!$G$6:$Q$29, 10, FALSE)+VLOOKUP(BC$4, Rates_previous!$G$6:$Q$29, 11, FALSE))</f>
        <v>24468.92262286305</v>
      </c>
      <c r="BD102" s="102">
        <f>$F102*(VLOOKUP(BD$4, Rates_previous!$G$6:$Q$29, 10, FALSE)+VLOOKUP(BD$4, Rates_previous!$G$6:$Q$29, 11, FALSE))</f>
        <v>24999.837159110848</v>
      </c>
      <c r="BE102" s="102">
        <f>$F102*(VLOOKUP(BE$4, Rates_previous!$G$6:$Q$29, 10, FALSE)+VLOOKUP(BE$4, Rates_previous!$G$6:$Q$29, 11, FALSE))</f>
        <v>21703.460340197547</v>
      </c>
      <c r="BF102" s="102">
        <f>$F102*(VLOOKUP(BF$4, Rates_previous!$G$6:$Q$29, 10, FALSE)+VLOOKUP(BF$4, Rates_previous!$G$6:$Q$29, 11, FALSE))</f>
        <v>20981.477179978097</v>
      </c>
      <c r="BG102" s="102">
        <f>$F102*(VLOOKUP(BG$4, Rates_previous!$G$6:$Q$29, 10, FALSE)+VLOOKUP(BG$4, Rates_previous!$G$6:$Q$29, 11, FALSE))</f>
        <v>19307.022044766603</v>
      </c>
      <c r="BH102" s="103">
        <f>IF($D102=0,IF(C102=0, MAX(BJ102 - (VLOOKUP($A102,TOCA_previous!$A$2:$AJ$136,MATCH("RHWM "&amp;Init!$D$1-2,TOCA_previous!$A$2:$AJ$2,0),FALSE)*$F$2*TOCA_previous!C99),0),0), 0)</f>
        <v>0</v>
      </c>
      <c r="BI102" s="109">
        <f>MIN(VLOOKUP($A102,TOCA_previous!$A$2:$AJ$136,MATCH("TRL - NLSL - Existing Resource "&amp;$F$1,TOCA_previous!$A$2:$AJ$2,0),FALSE)*$F$2,(VLOOKUP($A102,TOCA_previous!$A$2:$AJ$136,MATCH("RHWM "&amp;Init!$D$1-2,TOCA_previous!$A$2:$AJ$2,0),FALSE)*$F$2))</f>
        <v>267560.64</v>
      </c>
      <c r="BJ102" s="261">
        <f>SUM(L102:AI102)+(F102*RT1SC!$C$3*$F$2)</f>
        <v>220300.0982541187</v>
      </c>
      <c r="BK102" s="260">
        <f>VLOOKUP($A102,TOCA_previous!$A$2:$AJ$136,MATCH("Above RHWM Not Served with LS "&amp;$F$1,TOCA_previous!$A$2:$AJ$2,0),FALSE)*$F$2</f>
        <v>33660.288</v>
      </c>
      <c r="BL102" s="261">
        <f t="shared" si="36"/>
        <v>-47260.541745881317</v>
      </c>
      <c r="BM102" s="260">
        <f>(VLOOKUP($A102,TOCA_previous!$A$2:$AJ$136,MATCH("RHWM "&amp;Init!$D$1-2,TOCA_previous!$A$2:$AJ$2,0),FALSE)*$F$2) - $BI102</f>
        <v>0</v>
      </c>
      <c r="BN102" s="261">
        <f t="shared" si="37"/>
        <v>0</v>
      </c>
      <c r="BO102" s="260">
        <f t="shared" si="38"/>
        <v>13600.253745881317</v>
      </c>
      <c r="BP102" s="261">
        <f t="shared" si="39"/>
        <v>0</v>
      </c>
      <c r="BQ102" s="260">
        <f t="shared" si="9"/>
        <v>13600.253745881317</v>
      </c>
      <c r="BR102" s="85">
        <f>VLOOKUP($A102,TOCA_current!$A$2:$ZZ$136,MATCH(BR$4,TOCA_current!$A$2:$ZZ$2,0),FALSE)</f>
        <v>4.0778000000000003E-3</v>
      </c>
      <c r="BS102" s="85">
        <f>VLOOKUP($A102,TOCA_current!$A$2:$ZZ$136,MATCH(BS$4,TOCA_current!$A$2:$ZZ$2,0),FALSE)</f>
        <v>4.0778000000000003E-3</v>
      </c>
      <c r="BT102" s="108">
        <f t="shared" si="40"/>
        <v>0</v>
      </c>
      <c r="BU102" s="85">
        <f>VLOOKUP($A102,TOCA_current!A99:BG233,MATCH(BU$4,TOCA_current!$A$2:$BG$2,0),FALSE)</f>
        <v>0</v>
      </c>
      <c r="BV102" s="85">
        <f t="shared" si="41"/>
        <v>0</v>
      </c>
      <c r="BW102" s="85">
        <f t="shared" si="42"/>
        <v>0</v>
      </c>
      <c r="BX102" s="101">
        <f>VLOOKUP($A102,IRD!$A$4:$G$138, 7, FALSE)</f>
        <v>0</v>
      </c>
      <c r="BY102" s="102">
        <f t="array" ref="BY102">IF($BT102=0, INDEX(LS_current!$D$4:$BW$137, MATCH('Staging Table'!$A102, LS_current!$B$4:$B$137, 0), MATCH(BY$4&amp;BY$5, LS_current!$D$2:$BW$2&amp;LS_current!$D$3:$BW$3, 0)),SUM(VLOOKUP($A102, LS_current!$B$4:$BW$137, LS_current!D$147, FALSE), VLOOKUP($A102, LS_current!$B$4:$BW$137,LS_current!AZ$147, FALSE))/2)</f>
        <v>3142.8539441985704</v>
      </c>
      <c r="BZ102" s="102">
        <f t="array" ref="BZ102">IF($BT102=0, INDEX(LS_current!$D$4:$BW$137, MATCH('Staging Table'!$A102, LS_current!$B$4:$B$137, 0), MATCH(BZ$4&amp;BZ$5, LS_current!$D$2:$BW$2&amp;LS_current!$D$3:$BW$3, 0)),SUM(VLOOKUP($A102, LS_current!$B$4:$BW$137, LS_current!E$147, FALSE), VLOOKUP($A102, LS_current!$B$4:$BW$137,LS_current!BA$147, FALSE))/2)</f>
        <v>2649.7082451366996</v>
      </c>
      <c r="CA102" s="102">
        <f t="array" ref="CA102">IF($BT102=0, INDEX(LS_current!$D$4:$BW$137, MATCH('Staging Table'!$A102, LS_current!$B$4:$B$137, 0), MATCH(CA$4&amp;CA$5, LS_current!$D$2:$BW$2&amp;LS_current!$D$3:$BW$3, 0)),SUM(VLOOKUP($A102, LS_current!$B$4:$BW$137, LS_current!F$147, FALSE), VLOOKUP($A102, LS_current!$B$4:$BW$137,LS_current!BB$147, FALSE))/2)</f>
        <v>-1680.070438095041</v>
      </c>
      <c r="CB102" s="102">
        <f t="array" ref="CB102">IF($BT102=0, INDEX(LS_current!$D$4:$BW$137, MATCH('Staging Table'!$A102, LS_current!$B$4:$B$137, 0), MATCH(CB$4&amp;CB$5, LS_current!$D$2:$BW$2&amp;LS_current!$D$3:$BW$3, 0)),SUM(VLOOKUP($A102, LS_current!$B$4:$BW$137, LS_current!G$147, FALSE), VLOOKUP($A102, LS_current!$B$4:$BW$137,LS_current!BC$147, FALSE))/2)</f>
        <v>597.44871011098439</v>
      </c>
      <c r="CC102" s="102">
        <f t="array" ref="CC102">IF($BT102=0, INDEX(LS_current!$D$4:$BW$137, MATCH('Staging Table'!$A102, LS_current!$B$4:$B$137, 0), MATCH(CC$4&amp;CC$5, LS_current!$D$2:$BW$2&amp;LS_current!$D$3:$BW$3, 0)),SUM(VLOOKUP($A102, LS_current!$B$4:$BW$137, LS_current!H$147, FALSE), VLOOKUP($A102, LS_current!$B$4:$BW$137,LS_current!BD$147, FALSE))/2)</f>
        <v>-5158.2658124240352</v>
      </c>
      <c r="CD102" s="102">
        <f t="array" ref="CD102">IF($BT102=0, INDEX(LS_current!$D$4:$BW$137, MATCH('Staging Table'!$A102, LS_current!$B$4:$B$137, 0), MATCH(CD$4&amp;CD$5, LS_current!$D$2:$BW$2&amp;LS_current!$D$3:$BW$3, 0)),SUM(VLOOKUP($A102, LS_current!$B$4:$BW$137, LS_current!I$147, FALSE), VLOOKUP($A102, LS_current!$B$4:$BW$137,LS_current!BE$147, FALSE))/2)</f>
        <v>-1171.7942236050239</v>
      </c>
      <c r="CE102" s="102">
        <f t="array" ref="CE102">IF($BT102=0, INDEX(LS_current!$D$4:$BW$137, MATCH('Staging Table'!$A102, LS_current!$B$4:$B$137, 0), MATCH(CE$4&amp;CE$5, LS_current!$D$2:$BW$2&amp;LS_current!$D$3:$BW$3, 0)),SUM(VLOOKUP($A102, LS_current!$B$4:$BW$137, LS_current!J$147, FALSE), VLOOKUP($A102, LS_current!$B$4:$BW$137,LS_current!BF$147, FALSE))/2)</f>
        <v>-3312.1792502438529</v>
      </c>
      <c r="CF102" s="102">
        <f t="array" ref="CF102">IF($BT102=0, INDEX(LS_current!$D$4:$BW$137, MATCH('Staging Table'!$A102, LS_current!$B$4:$B$137, 0), MATCH(CF$4&amp;CF$5, LS_current!$D$2:$BW$2&amp;LS_current!$D$3:$BW$3, 0)),SUM(VLOOKUP($A102, LS_current!$B$4:$BW$137, LS_current!K$147, FALSE), VLOOKUP($A102, LS_current!$B$4:$BW$137,LS_current!BG$147, FALSE))/2)</f>
        <v>-307.10371920974831</v>
      </c>
      <c r="CG102" s="102">
        <f t="array" ref="CG102">IF($BT102=0, INDEX(LS_current!$D$4:$BW$137, MATCH('Staging Table'!$A102, LS_current!$B$4:$B$137, 0), MATCH(CG$4&amp;CG$5, LS_current!$D$2:$BW$2&amp;LS_current!$D$3:$BW$3, 0)),SUM(VLOOKUP($A102, LS_current!$B$4:$BW$137, LS_current!L$147, FALSE), VLOOKUP($A102, LS_current!$B$4:$BW$137,LS_current!BH$147, FALSE))/2)</f>
        <v>187.6440997858117</v>
      </c>
      <c r="CH102" s="102">
        <f t="array" ref="CH102">IF($BT102=0, INDEX(LS_current!$D$4:$BW$137, MATCH('Staging Table'!$A102, LS_current!$B$4:$B$137, 0), MATCH(CH$4&amp;CH$5, LS_current!$D$2:$BW$2&amp;LS_current!$D$3:$BW$3, 0)),SUM(VLOOKUP($A102, LS_current!$B$4:$BW$137, LS_current!M$147, FALSE), VLOOKUP($A102, LS_current!$B$4:$BW$137,LS_current!BI$147, FALSE))/2)</f>
        <v>1676.945419949202</v>
      </c>
      <c r="CI102" s="102">
        <f t="array" ref="CI102">IF($BT102=0, INDEX(LS_current!$D$4:$BW$137, MATCH('Staging Table'!$A102, LS_current!$B$4:$B$137, 0), MATCH(CI$4&amp;CI$5, LS_current!$D$2:$BW$2&amp;LS_current!$D$3:$BW$3, 0)),SUM(VLOOKUP($A102, LS_current!$B$4:$BW$137, LS_current!N$147, FALSE), VLOOKUP($A102, LS_current!$B$4:$BW$137,LS_current!BJ$147, FALSE))/2)</f>
        <v>-218.23733496137902</v>
      </c>
      <c r="CJ102" s="102">
        <f t="array" ref="CJ102">IF($BT102=0, INDEX(LS_current!$D$4:$BW$137, MATCH('Staging Table'!$A102, LS_current!$B$4:$B$137, 0), MATCH(CJ$4&amp;CJ$5, LS_current!$D$2:$BW$2&amp;LS_current!$D$3:$BW$3, 0)),SUM(VLOOKUP($A102, LS_current!$B$4:$BW$137, LS_current!O$147, FALSE), VLOOKUP($A102, LS_current!$B$4:$BW$137,LS_current!BK$147, FALSE))/2)</f>
        <v>2724.1619048145112</v>
      </c>
      <c r="CK102" s="102">
        <f t="array" ref="CK102">IF($BT102=0, INDEX(LS_current!$D$4:$BW$137, MATCH('Staging Table'!$A102, LS_current!$B$4:$B$137, 0), MATCH(CK$4&amp;CK$5, LS_current!$D$2:$BW$2&amp;LS_current!$D$3:$BW$3, 0)),SUM(VLOOKUP($A102, LS_current!$B$4:$BW$137, LS_current!P$147, FALSE), VLOOKUP($A102, LS_current!$B$4:$BW$137,LS_current!BL$147, FALSE))/2)</f>
        <v>1841.2896937065761</v>
      </c>
      <c r="CL102" s="102">
        <f t="array" ref="CL102">IF($BT102=0, INDEX(LS_current!$D$4:$BW$137, MATCH('Staging Table'!$A102, LS_current!$B$4:$B$137, 0), MATCH(CL$4&amp;CL$5, LS_current!$D$2:$BW$2&amp;LS_current!$D$3:$BW$3, 0)),SUM(VLOOKUP($A102, LS_current!$B$4:$BW$137, LS_current!Q$147, FALSE), VLOOKUP($A102, LS_current!$B$4:$BW$137,LS_current!BM$147, FALSE))/2)</f>
        <v>1812.5327783537869</v>
      </c>
      <c r="CM102" s="102">
        <f t="array" ref="CM102">IF($BT102=0, INDEX(LS_current!$D$4:$BW$137, MATCH('Staging Table'!$A102, LS_current!$B$4:$B$137, 0), MATCH(CM$4&amp;CM$5, LS_current!$D$2:$BW$2&amp;LS_current!$D$3:$BW$3, 0)),SUM(VLOOKUP($A102, LS_current!$B$4:$BW$137, LS_current!R$147, FALSE), VLOOKUP($A102, LS_current!$B$4:$BW$137,LS_current!BN$147, FALSE))/2)</f>
        <v>-1468.6346957431033</v>
      </c>
      <c r="CN102" s="102">
        <f t="array" ref="CN102">IF($BT102=0, INDEX(LS_current!$D$4:$BW$137, MATCH('Staging Table'!$A102, LS_current!$B$4:$B$137, 0), MATCH(CN$4&amp;CN$5, LS_current!$D$2:$BW$2&amp;LS_current!$D$3:$BW$3, 0)),SUM(VLOOKUP($A102, LS_current!$B$4:$BW$137, LS_current!S$147, FALSE), VLOOKUP($A102, LS_current!$B$4:$BW$137,LS_current!BO$147, FALSE))/2)</f>
        <v>563.49760155522381</v>
      </c>
      <c r="CO102" s="102">
        <f t="array" ref="CO102">IF($BT102=0, INDEX(LS_current!$D$4:$BW$137, MATCH('Staging Table'!$A102, LS_current!$B$4:$B$137, 0), MATCH(CO$4&amp;CO$5, LS_current!$D$2:$BW$2&amp;LS_current!$D$3:$BW$3, 0)),SUM(VLOOKUP($A102, LS_current!$B$4:$BW$137, LS_current!T$147, FALSE), VLOOKUP($A102, LS_current!$B$4:$BW$137,LS_current!BP$147, FALSE))/2)</f>
        <v>-2167.0616097937873</v>
      </c>
      <c r="CP102" s="102">
        <f t="array" ref="CP102">IF($BT102=0, INDEX(LS_current!$D$4:$BW$137, MATCH('Staging Table'!$A102, LS_current!$B$4:$B$137, 0), MATCH(CP$4&amp;CP$5, LS_current!$D$2:$BW$2&amp;LS_current!$D$3:$BW$3, 0)),SUM(VLOOKUP($A102, LS_current!$B$4:$BW$137, LS_current!U$147, FALSE), VLOOKUP($A102, LS_current!$B$4:$BW$137,LS_current!BQ$147, FALSE))/2)</f>
        <v>398.13928661695172</v>
      </c>
      <c r="CQ102" s="102">
        <f t="array" ref="CQ102">IF($BT102=0, INDEX(LS_current!$D$4:$BW$137, MATCH('Staging Table'!$A102, LS_current!$B$4:$B$137, 0), MATCH(CQ$4&amp;CQ$5, LS_current!$D$2:$BW$2&amp;LS_current!$D$3:$BW$3, 0)),SUM(VLOOKUP($A102, LS_current!$B$4:$BW$137, LS_current!V$147, FALSE), VLOOKUP($A102, LS_current!$B$4:$BW$137,LS_current!BR$147, FALSE))/2)</f>
        <v>-321.57141479528582</v>
      </c>
      <c r="CR102" s="102">
        <f t="array" ref="CR102">IF($BT102=0, INDEX(LS_current!$D$4:$BW$137, MATCH('Staging Table'!$A102, LS_current!$B$4:$B$137, 0), MATCH(CR$4&amp;CR$5, LS_current!$D$2:$BW$2&amp;LS_current!$D$3:$BW$3, 0)),SUM(VLOOKUP($A102, LS_current!$B$4:$BW$137, LS_current!W$147, FALSE), VLOOKUP($A102, LS_current!$B$4:$BW$137,LS_current!BS$147, FALSE))/2)</f>
        <v>1428.3508317783853</v>
      </c>
      <c r="CS102" s="102">
        <f t="array" ref="CS102">IF($BT102=0, INDEX(LS_current!$D$4:$BW$137, MATCH('Staging Table'!$A102, LS_current!$B$4:$B$137, 0), MATCH(CS$4&amp;CS$5, LS_current!$D$2:$BW$2&amp;LS_current!$D$3:$BW$3, 0)),SUM(VLOOKUP($A102, LS_current!$B$4:$BW$137, LS_current!X$147, FALSE), VLOOKUP($A102, LS_current!$B$4:$BW$137,LS_current!BT$147, FALSE))/2)</f>
        <v>-1812.1526700692448</v>
      </c>
      <c r="CT102" s="102">
        <f t="array" ref="CT102">IF($BT102=0, INDEX(LS_current!$D$4:$BW$137, MATCH('Staging Table'!$A102, LS_current!$B$4:$B$137, 0), MATCH(CT$4&amp;CT$5, LS_current!$D$2:$BW$2&amp;LS_current!$D$3:$BW$3, 0)),SUM(VLOOKUP($A102, LS_current!$B$4:$BW$137, LS_current!Y$147, FALSE), VLOOKUP($A102, LS_current!$B$4:$BW$137,LS_current!BU$147, FALSE))/2)</f>
        <v>1587.2486687231558</v>
      </c>
      <c r="CU102" s="102">
        <f t="array" ref="CU102">IF($BT102=0, INDEX(LS_current!$D$4:$BW$137, MATCH('Staging Table'!$A102, LS_current!$B$4:$B$137, 0), MATCH(CU$4&amp;CU$5, LS_current!$D$2:$BW$2&amp;LS_current!$D$3:$BW$3, 0)),SUM(VLOOKUP($A102, LS_current!$B$4:$BW$137, LS_current!Z$147, FALSE), VLOOKUP($A102, LS_current!$B$4:$BW$137,LS_current!BV$147, FALSE))/2)</f>
        <v>-1231.9150281760085</v>
      </c>
      <c r="CV102" s="102">
        <f t="array" ref="CV102">IF($BT102=0, INDEX(LS_current!$D$4:$BW$137, MATCH('Staging Table'!$A102, LS_current!$B$4:$B$137, 0), MATCH(CV$4&amp;CV$5, LS_current!$D$2:$BW$2&amp;LS_current!$D$3:$BW$3, 0)),SUM(VLOOKUP($A102, LS_current!$B$4:$BW$137, LS_current!AA$147, FALSE), VLOOKUP($A102, LS_current!$B$4:$BW$137,LS_current!BW$147, FALSE))/2)</f>
        <v>235.50416837106877</v>
      </c>
      <c r="CW102" s="103">
        <f t="array" ref="CW102">INDEX(Demand_current!$D$4:$BW$137, MATCH($A102, Demand_current!$B$4:$B$137, 0), MATCH(CW$4&amp;CW$5,Demand_current!$D$2:$BW$2&amp;Demand_current!$D$3:$BW$3, 0))/1000</f>
        <v>2.2333078703703695</v>
      </c>
      <c r="CX102" s="103">
        <f t="array" ref="CX102">INDEX(Demand_current!$D$4:$BW$137, MATCH($A102, Demand_current!$B$4:$B$137, 0), MATCH(CX$4&amp;CX$5,Demand_current!$D$2:$BW$2&amp;Demand_current!$D$3:$BW$3, 0))/1000</f>
        <v>0</v>
      </c>
      <c r="CY102" s="103">
        <f t="array" ref="CY102">INDEX(Demand_current!$D$4:$BW$137, MATCH($A102, Demand_current!$B$4:$B$137, 0), MATCH(CY$4&amp;CY$5,Demand_current!$D$2:$BW$2&amp;Demand_current!$D$3:$BW$3, 0))/1000</f>
        <v>0.40477644230768922</v>
      </c>
      <c r="CZ102" s="103">
        <f t="array" ref="CZ102">INDEX(Demand_current!$D$4:$BW$137, MATCH($A102, Demand_current!$B$4:$B$137, 0), MATCH(CZ$4&amp;CZ$5,Demand_current!$D$2:$BW$2&amp;Demand_current!$D$3:$BW$3, 0))/1000</f>
        <v>0</v>
      </c>
      <c r="DA102" s="103">
        <f t="array" ref="DA102">INDEX(Demand_current!$D$4:$BW$137, MATCH($A102, Demand_current!$B$4:$B$137, 0), MATCH(DA$4&amp;DA$5,Demand_current!$D$2:$BW$2&amp;Demand_current!$D$3:$BW$3, 0))/1000</f>
        <v>4.1241510416666651</v>
      </c>
      <c r="DB102" s="103">
        <f t="array" ref="DB102">INDEX(Demand_current!$D$4:$BW$137, MATCH($A102, Demand_current!$B$4:$B$137, 0), MATCH(DB$4&amp;DB$5,Demand_current!$D$2:$BW$2&amp;Demand_current!$D$3:$BW$3, 0))/1000</f>
        <v>4.4230793269230722</v>
      </c>
      <c r="DC102" s="103">
        <f t="array" ref="DC102">INDEX(Demand_current!$D$4:$BW$137, MATCH($A102, Demand_current!$B$4:$B$137, 0), MATCH(DC$4&amp;DC$5,Demand_current!$D$2:$BW$2&amp;Demand_current!$D$3:$BW$3, 0))/1000</f>
        <v>0</v>
      </c>
      <c r="DD102" s="103">
        <f t="array" ref="DD102">INDEX(Demand_current!$D$4:$BW$137, MATCH($A102, Demand_current!$B$4:$B$137, 0), MATCH(DD$4&amp;DD$5,Demand_current!$D$2:$BW$2&amp;Demand_current!$D$3:$BW$3, 0))/1000</f>
        <v>1.5243699999999958</v>
      </c>
      <c r="DE102" s="103">
        <f t="array" ref="DE102">INDEX(Demand_current!$D$4:$BW$137, MATCH($A102, Demand_current!$B$4:$B$137, 0), MATCH(DE$4&amp;DE$5,Demand_current!$D$2:$BW$2&amp;Demand_current!$D$3:$BW$3, 0))/1000</f>
        <v>1.4963822115384655</v>
      </c>
      <c r="DF102" s="103">
        <f t="array" ref="DF102">INDEX(Demand_current!$D$4:$BW$137, MATCH($A102, Demand_current!$B$4:$B$137, 0), MATCH(DF$4&amp;DF$5,Demand_current!$D$2:$BW$2&amp;Demand_current!$D$3:$BW$3, 0))/1000</f>
        <v>3.3803028846153858</v>
      </c>
      <c r="DG102" s="103">
        <f t="array" ref="DG102">INDEX(Demand_current!$D$4:$BW$137, MATCH($A102, Demand_current!$B$4:$B$137, 0), MATCH(DG$4&amp;DG$5,Demand_current!$D$2:$BW$2&amp;Demand_current!$D$3:$BW$3, 0))/1000</f>
        <v>2.3766754807692294</v>
      </c>
      <c r="DH102" s="103">
        <f t="array" ref="DH102">INDEX(Demand_current!$D$4:$BW$137, MATCH($A102, Demand_current!$B$4:$B$137, 0), MATCH(DH$4&amp;DH$5,Demand_current!$D$2:$BW$2&amp;Demand_current!$D$3:$BW$3, 0))/1000</f>
        <v>1.6777225000000007</v>
      </c>
      <c r="DI102" s="102">
        <f>$BS102*(VLOOKUP(DI$4, Rates_current!$H$6:$R$41, 10, FALSE)+VLOOKUP(DI$4, Rates_current!$H$6:$R$41, 11, FALSE))</f>
        <v>16924.04281066473</v>
      </c>
      <c r="DJ102" s="102">
        <f>$BS102*(VLOOKUP(DJ$4, Rates_current!$H$6:$R$41, 10, FALSE)+VLOOKUP(DJ$4, Rates_current!$H$6:$R$41, 11, FALSE))</f>
        <v>21636.831727984059</v>
      </c>
      <c r="DK102" s="102">
        <f>$BS102*(VLOOKUP(DK$4, Rates_current!$H$6:$R$41, 10, FALSE)+VLOOKUP(DK$4, Rates_current!$H$6:$R$41, 11, FALSE))</f>
        <v>24599.268036029058</v>
      </c>
      <c r="DL102" s="102">
        <f>$BS102*(VLOOKUP(DL$4, Rates_current!$H$6:$R$41, 10, FALSE)+VLOOKUP(DL$4, Rates_current!$H$6:$R$41, 11, FALSE))</f>
        <v>25954.147969453603</v>
      </c>
      <c r="DM102" s="102">
        <f>$BS102*(VLOOKUP(DM$4, Rates_current!$H$6:$R$41, 10, FALSE)+VLOOKUP(DM$4, Rates_current!$H$6:$R$41, 11, FALSE))</f>
        <v>20683.11348026499</v>
      </c>
      <c r="DN102" s="102">
        <f>$BS102*(VLOOKUP(DN$4, Rates_current!$H$6:$R$41, 10, FALSE)+VLOOKUP(DN$4, Rates_current!$H$6:$R$41, 11, FALSE))</f>
        <v>22610.890430146865</v>
      </c>
      <c r="DO102" s="102">
        <f>$BS102*(VLOOKUP(DO$4, Rates_current!$H$6:$R$41, 10, FALSE)+VLOOKUP(DO$4, Rates_current!$H$6:$R$41, 11, FALSE))</f>
        <v>17523.667527939637</v>
      </c>
      <c r="DP102" s="102">
        <f>$BS102*(VLOOKUP(DP$4, Rates_current!$H$6:$R$41, 10, FALSE)+VLOOKUP(DP$4, Rates_current!$H$6:$R$41, 11, FALSE))</f>
        <v>22678.511094187877</v>
      </c>
      <c r="DQ102" s="102">
        <f>$BS102*(VLOOKUP(DQ$4, Rates_current!$H$6:$R$41, 10, FALSE)+VLOOKUP(DQ$4, Rates_current!$H$6:$R$41, 11, FALSE))</f>
        <v>23162.763323176834</v>
      </c>
      <c r="DR102" s="102">
        <f>$BS102*(VLOOKUP(DR$4, Rates_current!$H$6:$R$41, 10, FALSE)+VLOOKUP(DR$4, Rates_current!$H$6:$R$41, 11, FALSE))</f>
        <v>20616.8625830169</v>
      </c>
      <c r="DS102" s="102">
        <f>$BS102*(VLOOKUP(DS$4, Rates_current!$H$6:$R$41, 10, FALSE)+VLOOKUP(DS$4, Rates_current!$H$6:$R$41, 11, FALSE))</f>
        <v>21149.120001346091</v>
      </c>
      <c r="DT102" s="102">
        <f>$BS102*(VLOOKUP(DT$4, Rates_current!$H$6:$R$41, 10, FALSE)+VLOOKUP(DT$4, Rates_current!$H$6:$R$41, 11, FALSE))</f>
        <v>16424.82685980494</v>
      </c>
      <c r="DU102" s="261">
        <f>IF(D102=0,IF(C102=0,MAX(0,DW102 - (VLOOKUP($A102,TOCA_current!$A$2:$AV$136,MATCH("RHWM "&amp;Init!$D$1,TOCA_current!$A$2:$AV$2,0),FALSE)*$BS$2)), 0),0)</f>
        <v>0</v>
      </c>
      <c r="DV102" s="262">
        <f>MIN(VLOOKUP($A102,TOCA_current!$A$2:$AV$136,MATCH("TRL - NLSL - Existing Resource "&amp;$BS$1,TOCA_current!$A$2:$AV$2,0),FALSE)*$BS$2, VLOOKUP($A102,TOCA_current!$A$2:$AV$136,MATCH("RHWM "&amp;Init!$D$1,TOCA_current!$A$2:$AV$2,0),FALSE)*$BS$2)</f>
        <v>253961.16</v>
      </c>
      <c r="DW102" s="262">
        <f>SUM(BY102:CV102)+(BS102*RT1SC!$C$4*$BS$2)</f>
        <v>253960.39999144047</v>
      </c>
      <c r="DX102" s="262">
        <f>VLOOKUP($A102,TOCA_current!$A$2:$AV$136,MATCH("Above RHWM Not Served with LS "&amp;$BS$1,TOCA_current!$A$2:$AV$2,0),FALSE)*$BS$2</f>
        <v>0</v>
      </c>
      <c r="DY102" s="262">
        <f t="shared" si="43"/>
        <v>-0.76000855953316204</v>
      </c>
      <c r="DZ102" s="262">
        <f>(VLOOKUP($A102,TOCA_current!$A$2:$AV$136,MATCH("RHWM "&amp;Init!$D$1,TOCA_current!$A$2:$AV$2,0),FALSE)*$BS$2) - $DV102</f>
        <v>14401.440000000031</v>
      </c>
      <c r="EA102" s="262">
        <f t="shared" si="44"/>
        <v>0</v>
      </c>
      <c r="EB102" s="262">
        <f t="shared" si="45"/>
        <v>0.76000855953316204</v>
      </c>
      <c r="EC102" s="262">
        <f t="shared" si="46"/>
        <v>0</v>
      </c>
      <c r="ED102" s="262">
        <f t="shared" si="47"/>
        <v>0.76000855953316204</v>
      </c>
    </row>
    <row r="103" spans="1:134">
      <c r="A103" s="2">
        <v>10331</v>
      </c>
      <c r="B103" s="3" t="s">
        <v>105</v>
      </c>
      <c r="C103">
        <f>VLOOKUP(A103, TOCA_current!$A$3:$D$136, 4, FALSE)</f>
        <v>1</v>
      </c>
      <c r="D103">
        <v>0</v>
      </c>
      <c r="E103" s="84">
        <f>VLOOKUP($A103,TOCA_previous!$A$2:$AJ$136,MATCH(E$4,TOCA_previous!$A$2:$AJ$2,0),FALSE)</f>
        <v>5.1190999999999997E-3</v>
      </c>
      <c r="F103" s="85">
        <f>VLOOKUP($A103,TOCA_previous!$A$2:$AJ$136,MATCH(F$4,TOCA_previous!$A$2:$AJ$2,0),FALSE)</f>
        <v>5.1190999999999997E-3</v>
      </c>
      <c r="G103" s="85">
        <f t="shared" si="33"/>
        <v>0</v>
      </c>
      <c r="H103" s="85">
        <f>VLOOKUP($A103,TOCA_previous!$A$2:$AJ$136,MATCH(H$4,TOCA_previous!$A$2:$AJ$2,0),FALSE)</f>
        <v>7.0000000000000007E-2</v>
      </c>
      <c r="I103" s="85">
        <f t="shared" si="34"/>
        <v>7.0000000000000007E-2</v>
      </c>
      <c r="J103" s="85">
        <f t="shared" si="35"/>
        <v>5.1190999999999997E-3</v>
      </c>
      <c r="K103" s="101">
        <f>VLOOKUP(A103, IRD!$A$5:$C$138, 3, FALSE)</f>
        <v>133086.85800000001</v>
      </c>
      <c r="L103" s="102">
        <f t="array" ref="L103">IF($G103=0, INDEX(LS_previous!$D$4:$AY$137, MATCH('Staging Table'!$A103, LS_previous!$B$4:$B$137, 0), MATCH(L$4&amp;L$5, LS_previous!$D$2:$AY$2&amp;LS_previous!$D$3:$AY$3, 0)),SUM(VLOOKUP($A103, LS_previous!$B$4:$AY$137, LS_previous!D$148, FALSE), VLOOKUP('Staging Table'!$A103, LS_previous!$B$4:$AY$137,LS_previous!AB$148, FALSE))/2)</f>
        <v>0</v>
      </c>
      <c r="M103" s="102">
        <f t="array" ref="M103">IF($G103=0, INDEX(LS_previous!$D$4:$AY$137, MATCH('Staging Table'!$A103, LS_previous!$B$4:$B$137, 0), MATCH(M$4&amp;M$5, LS_previous!$D$2:$AY$2&amp;LS_previous!$D$3:$AY$3, 0)),SUM(VLOOKUP($A103, LS_previous!$B$4:$AY$137, LS_previous!E$148, FALSE), VLOOKUP('Staging Table'!$A103, LS_previous!$B$4:$AY$137,LS_previous!AC$148, FALSE))/2)</f>
        <v>0</v>
      </c>
      <c r="N103" s="102">
        <f t="array" ref="N103">IF($G103=0, INDEX(LS_previous!$D$4:$AY$137, MATCH('Staging Table'!$A103, LS_previous!$B$4:$B$137, 0), MATCH(N$4&amp;N$5, LS_previous!$D$2:$AY$2&amp;LS_previous!$D$3:$AY$3, 0)),SUM(VLOOKUP($A103, LS_previous!$B$4:$AY$137, LS_previous!F$148, FALSE), VLOOKUP('Staging Table'!$A103, LS_previous!$B$4:$AY$137,LS_previous!AD$148, FALSE))/2)</f>
        <v>0</v>
      </c>
      <c r="O103" s="102">
        <f t="array" ref="O103">IF($G103=0, INDEX(LS_previous!$D$4:$AY$137, MATCH('Staging Table'!$A103, LS_previous!$B$4:$B$137, 0), MATCH(O$4&amp;O$5, LS_previous!$D$2:$AY$2&amp;LS_previous!$D$3:$AY$3, 0)),SUM(VLOOKUP($A103, LS_previous!$B$4:$AY$137, LS_previous!G$148, FALSE), VLOOKUP('Staging Table'!$A103, LS_previous!$B$4:$AY$137,LS_previous!AE$148, FALSE))/2)</f>
        <v>0</v>
      </c>
      <c r="P103" s="102">
        <f t="array" ref="P103">IF($G103=0, INDEX(LS_previous!$D$4:$AY$137, MATCH('Staging Table'!$A103, LS_previous!$B$4:$B$137, 0), MATCH(P$4&amp;P$5, LS_previous!$D$2:$AY$2&amp;LS_previous!$D$3:$AY$3, 0)),SUM(VLOOKUP($A103, LS_previous!$B$4:$AY$137, LS_previous!H$148, FALSE), VLOOKUP('Staging Table'!$A103, LS_previous!$B$4:$AY$137,LS_previous!AF$148, FALSE))/2)</f>
        <v>0</v>
      </c>
      <c r="Q103" s="102">
        <f t="array" ref="Q103">IF($G103=0, INDEX(LS_previous!$D$4:$AY$137, MATCH('Staging Table'!$A103, LS_previous!$B$4:$B$137, 0), MATCH(Q$4&amp;Q$5, LS_previous!$D$2:$AY$2&amp;LS_previous!$D$3:$AY$3, 0)),SUM(VLOOKUP($A103, LS_previous!$B$4:$AY$137, LS_previous!I$148, FALSE), VLOOKUP('Staging Table'!$A103, LS_previous!$B$4:$AY$137,LS_previous!AG$148, FALSE))/2)</f>
        <v>0</v>
      </c>
      <c r="R103" s="102">
        <f t="array" ref="R103">IF($G103=0, INDEX(LS_previous!$D$4:$AY$137, MATCH('Staging Table'!$A103, LS_previous!$B$4:$B$137, 0), MATCH(R$4&amp;R$5, LS_previous!$D$2:$AY$2&amp;LS_previous!$D$3:$AY$3, 0)),SUM(VLOOKUP($A103, LS_previous!$B$4:$AY$137, LS_previous!J$148, FALSE), VLOOKUP('Staging Table'!$A103, LS_previous!$B$4:$AY$137,LS_previous!AH$148, FALSE))/2)</f>
        <v>0</v>
      </c>
      <c r="S103" s="102">
        <f t="array" ref="S103">IF($G103=0, INDEX(LS_previous!$D$4:$AY$137, MATCH('Staging Table'!$A103, LS_previous!$B$4:$B$137, 0), MATCH(S$4&amp;S$5, LS_previous!$D$2:$AY$2&amp;LS_previous!$D$3:$AY$3, 0)),SUM(VLOOKUP($A103, LS_previous!$B$4:$AY$137, LS_previous!K$148, FALSE), VLOOKUP('Staging Table'!$A103, LS_previous!$B$4:$AY$137,LS_previous!AI$148, FALSE))/2)</f>
        <v>0</v>
      </c>
      <c r="T103" s="102">
        <f t="array" ref="T103">IF($G103=0, INDEX(LS_previous!$D$4:$AY$137, MATCH('Staging Table'!$A103, LS_previous!$B$4:$B$137, 0), MATCH(T$4&amp;T$5, LS_previous!$D$2:$AY$2&amp;LS_previous!$D$3:$AY$3, 0)),SUM(VLOOKUP($A103, LS_previous!$B$4:$AY$137, LS_previous!L$148, FALSE), VLOOKUP('Staging Table'!$A103, LS_previous!$B$4:$AY$137,LS_previous!AJ$148, FALSE))/2)</f>
        <v>0</v>
      </c>
      <c r="U103" s="102">
        <f t="array" ref="U103">IF($G103=0, INDEX(LS_previous!$D$4:$AY$137, MATCH('Staging Table'!$A103, LS_previous!$B$4:$B$137, 0), MATCH(U$4&amp;U$5, LS_previous!$D$2:$AY$2&amp;LS_previous!$D$3:$AY$3, 0)),SUM(VLOOKUP($A103, LS_previous!$B$4:$AY$137, LS_previous!M$148, FALSE), VLOOKUP('Staging Table'!$A103, LS_previous!$B$4:$AY$137,LS_previous!AK$148, FALSE))/2)</f>
        <v>0</v>
      </c>
      <c r="V103" s="102">
        <f t="array" ref="V103">IF($G103=0, INDEX(LS_previous!$D$4:$AY$137, MATCH('Staging Table'!$A103, LS_previous!$B$4:$B$137, 0), MATCH(V$4&amp;V$5, LS_previous!$D$2:$AY$2&amp;LS_previous!$D$3:$AY$3, 0)),SUM(VLOOKUP($A103, LS_previous!$B$4:$AY$137, LS_previous!N$148, FALSE), VLOOKUP('Staging Table'!$A103, LS_previous!$B$4:$AY$137,LS_previous!AL$148, FALSE))/2)</f>
        <v>0</v>
      </c>
      <c r="W103" s="102">
        <f t="array" ref="W103">IF($G103=0, INDEX(LS_previous!$D$4:$AY$137, MATCH('Staging Table'!$A103, LS_previous!$B$4:$B$137, 0), MATCH(W$4&amp;W$5, LS_previous!$D$2:$AY$2&amp;LS_previous!$D$3:$AY$3, 0)),SUM(VLOOKUP($A103, LS_previous!$B$4:$AY$137, LS_previous!O$148, FALSE), VLOOKUP('Staging Table'!$A103, LS_previous!$B$4:$AY$137,LS_previous!AM$148, FALSE))/2)</f>
        <v>0</v>
      </c>
      <c r="X103" s="102">
        <f t="array" ref="X103">IF($G103=0, INDEX(LS_previous!$D$4:$AY$137, MATCH('Staging Table'!$A103, LS_previous!$B$4:$B$137, 0), MATCH(X$4&amp;X$5, LS_previous!$D$2:$AY$2&amp;LS_previous!$D$3:$AY$3, 0)),SUM(VLOOKUP($A103, LS_previous!$B$4:$AY$137, LS_previous!P$148, FALSE), VLOOKUP('Staging Table'!$A103, LS_previous!$B$4:$AY$137,LS_previous!AN$148, FALSE))/2)</f>
        <v>0</v>
      </c>
      <c r="Y103" s="102">
        <f t="array" ref="Y103">IF($G103=0, INDEX(LS_previous!$D$4:$AY$137, MATCH('Staging Table'!$A103, LS_previous!$B$4:$B$137, 0), MATCH(Y$4&amp;Y$5, LS_previous!$D$2:$AY$2&amp;LS_previous!$D$3:$AY$3, 0)),SUM(VLOOKUP($A103, LS_previous!$B$4:$AY$137, LS_previous!Q$148, FALSE), VLOOKUP('Staging Table'!$A103, LS_previous!$B$4:$AY$137,LS_previous!AO$148, FALSE))/2)</f>
        <v>0</v>
      </c>
      <c r="Z103" s="102">
        <f t="array" ref="Z103">IF($G103=0, INDEX(LS_previous!$D$4:$AY$137, MATCH('Staging Table'!$A103, LS_previous!$B$4:$B$137, 0), MATCH(Z$4&amp;Z$5, LS_previous!$D$2:$AY$2&amp;LS_previous!$D$3:$AY$3, 0)),SUM(VLOOKUP($A103, LS_previous!$B$4:$AY$137, LS_previous!R$148, FALSE), VLOOKUP('Staging Table'!$A103, LS_previous!$B$4:$AY$137,LS_previous!AP$148, FALSE))/2)</f>
        <v>0</v>
      </c>
      <c r="AA103" s="102">
        <f t="array" ref="AA103">IF($G103=0, INDEX(LS_previous!$D$4:$AY$137, MATCH('Staging Table'!$A103, LS_previous!$B$4:$B$137, 0), MATCH(AA$4&amp;AA$5, LS_previous!$D$2:$AY$2&amp;LS_previous!$D$3:$AY$3, 0)),SUM(VLOOKUP($A103, LS_previous!$B$4:$AY$137, LS_previous!S$148, FALSE), VLOOKUP('Staging Table'!$A103, LS_previous!$B$4:$AY$137,LS_previous!AQ$148, FALSE))/2)</f>
        <v>0</v>
      </c>
      <c r="AB103" s="102">
        <f t="array" ref="AB103">IF($G103=0, INDEX(LS_previous!$D$4:$AY$137, MATCH('Staging Table'!$A103, LS_previous!$B$4:$B$137, 0), MATCH(AB$4&amp;AB$5, LS_previous!$D$2:$AY$2&amp;LS_previous!$D$3:$AY$3, 0)),SUM(VLOOKUP($A103, LS_previous!$B$4:$AY$137, LS_previous!T$148, FALSE), VLOOKUP('Staging Table'!$A103, LS_previous!$B$4:$AY$137,LS_previous!AR$148, FALSE))/2)</f>
        <v>0</v>
      </c>
      <c r="AC103" s="102">
        <f t="array" ref="AC103">IF($G103=0, INDEX(LS_previous!$D$4:$AY$137, MATCH('Staging Table'!$A103, LS_previous!$B$4:$B$137, 0), MATCH(AC$4&amp;AC$5, LS_previous!$D$2:$AY$2&amp;LS_previous!$D$3:$AY$3, 0)),SUM(VLOOKUP($A103, LS_previous!$B$4:$AY$137, LS_previous!U$148, FALSE), VLOOKUP('Staging Table'!$A103, LS_previous!$B$4:$AY$137,LS_previous!AS$148, FALSE))/2)</f>
        <v>0</v>
      </c>
      <c r="AD103" s="102">
        <f t="array" ref="AD103">IF($G103=0, INDEX(LS_previous!$D$4:$AY$137, MATCH('Staging Table'!$A103, LS_previous!$B$4:$B$137, 0), MATCH(AD$4&amp;AD$5, LS_previous!$D$2:$AY$2&amp;LS_previous!$D$3:$AY$3, 0)),SUM(VLOOKUP($A103, LS_previous!$B$4:$AY$137, LS_previous!V$148, FALSE), VLOOKUP('Staging Table'!$A103, LS_previous!$B$4:$AY$137,LS_previous!AT$148, FALSE))/2)</f>
        <v>0</v>
      </c>
      <c r="AE103" s="102">
        <f t="array" ref="AE103">IF($G103=0, INDEX(LS_previous!$D$4:$AY$137, MATCH('Staging Table'!$A103, LS_previous!$B$4:$B$137, 0), MATCH(AE$4&amp;AE$5, LS_previous!$D$2:$AY$2&amp;LS_previous!$D$3:$AY$3, 0)),SUM(VLOOKUP($A103, LS_previous!$B$4:$AY$137, LS_previous!W$148, FALSE), VLOOKUP('Staging Table'!$A103, LS_previous!$B$4:$AY$137,LS_previous!AU$148, FALSE))/2)</f>
        <v>0</v>
      </c>
      <c r="AF103" s="102">
        <f t="array" ref="AF103">IF($G103=0, INDEX(LS_previous!$D$4:$AY$137, MATCH('Staging Table'!$A103, LS_previous!$B$4:$B$137, 0), MATCH(AF$4&amp;AF$5, LS_previous!$D$2:$AY$2&amp;LS_previous!$D$3:$AY$3, 0)),SUM(VLOOKUP($A103, LS_previous!$B$4:$AY$137, LS_previous!X$148, FALSE), VLOOKUP('Staging Table'!$A103, LS_previous!$B$4:$AY$137,LS_previous!AV$148, FALSE))/2)</f>
        <v>0</v>
      </c>
      <c r="AG103" s="102">
        <f t="array" ref="AG103">IF($G103=0, INDEX(LS_previous!$D$4:$AY$137, MATCH('Staging Table'!$A103, LS_previous!$B$4:$B$137, 0), MATCH(AG$4&amp;AG$5, LS_previous!$D$2:$AY$2&amp;LS_previous!$D$3:$AY$3, 0)),SUM(VLOOKUP($A103, LS_previous!$B$4:$AY$137, LS_previous!Y$148, FALSE), VLOOKUP('Staging Table'!$A103, LS_previous!$B$4:$AY$137,LS_previous!AW$148, FALSE))/2)</f>
        <v>0</v>
      </c>
      <c r="AH103" s="102">
        <f t="array" ref="AH103">IF($G103=0, INDEX(LS_previous!$D$4:$AY$137, MATCH('Staging Table'!$A103, LS_previous!$B$4:$B$137, 0), MATCH(AH$4&amp;AH$5, LS_previous!$D$2:$AY$2&amp;LS_previous!$D$3:$AY$3, 0)),SUM(VLOOKUP($A103, LS_previous!$B$4:$AY$137, LS_previous!Z$148, FALSE), VLOOKUP('Staging Table'!$A103, LS_previous!$B$4:$AY$137,LS_previous!AX$148, FALSE))/2)</f>
        <v>0</v>
      </c>
      <c r="AI103" s="102">
        <f t="array" ref="AI103">IF($G103=0, INDEX(LS_previous!$D$4:$AY$137, MATCH('Staging Table'!$A103, LS_previous!$B$4:$B$137, 0), MATCH(AI$4&amp;AI$5, LS_previous!$D$2:$AY$2&amp;LS_previous!$D$3:$AY$3, 0)),SUM(VLOOKUP($A103, LS_previous!$B$4:$AY$137, LS_previous!AA$148, FALSE), VLOOKUP('Staging Table'!$A103, LS_previous!$B$4:$AY$137,LS_previous!AY$148, FALSE))/2)</f>
        <v>0</v>
      </c>
      <c r="AJ103" s="103">
        <f t="array" ref="AJ103">INDEX(Demand_previous!$D$4:$AY$137, MATCH('Staging Table'!$A103, Demand_previous!$B$4:$B$137, 0), MATCH(AJ$4&amp;AJ$5,Demand_previous!$D$2:$AY$2&amp;Demand_previous!$D$3:$AY$3, 0))/1000</f>
        <v>0</v>
      </c>
      <c r="AK103" s="103">
        <f t="array" ref="AK103">INDEX(Demand_previous!$D$4:$AY$137, MATCH('Staging Table'!$A103, Demand_previous!$B$4:$B$137, 0), MATCH(AK$4&amp;AK$5,Demand_previous!$D$2:$AY$2&amp;Demand_previous!$D$3:$AY$3, 0))/1000</f>
        <v>0</v>
      </c>
      <c r="AL103" s="103">
        <f t="array" ref="AL103">INDEX(Demand_previous!$D$4:$AY$137, MATCH('Staging Table'!$A103, Demand_previous!$B$4:$B$137, 0), MATCH(AL$4&amp;AL$5,Demand_previous!$D$2:$AY$2&amp;Demand_previous!$D$3:$AY$3, 0))/1000</f>
        <v>0</v>
      </c>
      <c r="AM103" s="103">
        <f t="array" ref="AM103">INDEX(Demand_previous!$D$4:$AY$137, MATCH('Staging Table'!$A103, Demand_previous!$B$4:$B$137, 0), MATCH(AM$4&amp;AM$5,Demand_previous!$D$2:$AY$2&amp;Demand_previous!$D$3:$AY$3, 0))/1000</f>
        <v>0</v>
      </c>
      <c r="AN103" s="103">
        <f t="array" ref="AN103">INDEX(Demand_previous!$D$4:$AY$137, MATCH('Staging Table'!$A103, Demand_previous!$B$4:$B$137, 0), MATCH(AN$4&amp;AN$5,Demand_previous!$D$2:$AY$2&amp;Demand_previous!$D$3:$AY$3, 0))/1000</f>
        <v>0</v>
      </c>
      <c r="AO103" s="103">
        <f t="array" ref="AO103">INDEX(Demand_previous!$D$4:$AY$137, MATCH('Staging Table'!$A103, Demand_previous!$B$4:$B$137, 0), MATCH(AO$4&amp;AO$5,Demand_previous!$D$2:$AY$2&amp;Demand_previous!$D$3:$AY$3, 0))/1000</f>
        <v>0</v>
      </c>
      <c r="AP103" s="103">
        <f t="array" ref="AP103">INDEX(Demand_previous!$D$4:$AY$137, MATCH('Staging Table'!$A103, Demand_previous!$B$4:$B$137, 0), MATCH(AP$4&amp;AP$5,Demand_previous!$D$2:$AY$2&amp;Demand_previous!$D$3:$AY$3, 0))/1000</f>
        <v>0</v>
      </c>
      <c r="AQ103" s="103">
        <f t="array" ref="AQ103">INDEX(Demand_previous!$D$4:$AY$137, MATCH('Staging Table'!$A103, Demand_previous!$B$4:$B$137, 0), MATCH(AQ$4&amp;AQ$5,Demand_previous!$D$2:$AY$2&amp;Demand_previous!$D$3:$AY$3, 0))/1000</f>
        <v>0</v>
      </c>
      <c r="AR103" s="103">
        <f t="array" ref="AR103">INDEX(Demand_previous!$D$4:$AY$137, MATCH('Staging Table'!$A103, Demand_previous!$B$4:$B$137, 0), MATCH(AR$4&amp;AR$5,Demand_previous!$D$2:$AY$2&amp;Demand_previous!$D$3:$AY$3, 0))/1000</f>
        <v>0</v>
      </c>
      <c r="AS103" s="103">
        <f t="array" ref="AS103">INDEX(Demand_previous!$D$4:$AY$137, MATCH('Staging Table'!$A103, Demand_previous!$B$4:$B$137, 0), MATCH(AS$4&amp;AS$5,Demand_previous!$D$2:$AY$2&amp;Demand_previous!$D$3:$AY$3, 0))/1000</f>
        <v>0</v>
      </c>
      <c r="AT103" s="103">
        <f t="array" ref="AT103">INDEX(Demand_previous!$D$4:$AY$137, MATCH('Staging Table'!$A103, Demand_previous!$B$4:$B$137, 0), MATCH(AT$4&amp;AT$5,Demand_previous!$D$2:$AY$2&amp;Demand_previous!$D$3:$AY$3, 0))/1000</f>
        <v>0</v>
      </c>
      <c r="AU103" s="103">
        <f t="array" ref="AU103">INDEX(Demand_previous!$D$4:$AY$137, MATCH('Staging Table'!$A103, Demand_previous!$B$4:$B$137, 0), MATCH(AU$4&amp;AU$5,Demand_previous!$D$2:$AY$2&amp;Demand_previous!$D$3:$AY$3, 0))/1000</f>
        <v>0</v>
      </c>
      <c r="AV103" s="102">
        <f>$F103*(VLOOKUP(AV$4, Rates_previous!$G$6:$Q$29, 10, FALSE)+VLOOKUP(AV$4, Rates_previous!$G$6:$Q$29, 11, FALSE))</f>
        <v>21596.478335494648</v>
      </c>
      <c r="AW103" s="102">
        <f>$F103*(VLOOKUP(AW$4, Rates_previous!$G$6:$Q$29, 10, FALSE)+VLOOKUP(AW$4, Rates_previous!$G$6:$Q$29, 11, FALSE))</f>
        <v>27542.631380716903</v>
      </c>
      <c r="AX103" s="102">
        <f>$F103*(VLOOKUP(AX$4, Rates_previous!$G$6:$Q$29, 10, FALSE)+VLOOKUP(AX$4, Rates_previous!$G$6:$Q$29, 11, FALSE))</f>
        <v>29723.948875708502</v>
      </c>
      <c r="AY103" s="102">
        <f>$F103*(VLOOKUP(AY$4, Rates_previous!$G$6:$Q$29, 10, FALSE)+VLOOKUP(AY$4, Rates_previous!$G$6:$Q$29, 11, FALSE))</f>
        <v>30887.777842510397</v>
      </c>
      <c r="AZ103" s="102">
        <f>$F103*(VLOOKUP(AZ$4, Rates_previous!$G$6:$Q$29, 10, FALSE)+VLOOKUP(AZ$4, Rates_previous!$G$6:$Q$29, 11, FALSE))</f>
        <v>26567.606022505795</v>
      </c>
      <c r="BA103" s="102">
        <f>$F103*(VLOOKUP(BA$4, Rates_previous!$G$6:$Q$29, 10, FALSE)+VLOOKUP(BA$4, Rates_previous!$G$6:$Q$29, 11, FALSE))</f>
        <v>29006.565655118098</v>
      </c>
      <c r="BB103" s="102">
        <f>$F103*(VLOOKUP(BB$4, Rates_previous!$G$6:$Q$29, 10, FALSE)+VLOOKUP(BB$4, Rates_previous!$G$6:$Q$29, 11, FALSE))</f>
        <v>22895.795385844671</v>
      </c>
      <c r="BC103" s="102">
        <f>$F103*(VLOOKUP(BC$4, Rates_previous!$G$6:$Q$29, 10, FALSE)+VLOOKUP(BC$4, Rates_previous!$G$6:$Q$29, 11, FALSE))</f>
        <v>28405.302355874148</v>
      </c>
      <c r="BD103" s="102">
        <f>$F103*(VLOOKUP(BD$4, Rates_previous!$G$6:$Q$29, 10, FALSE)+VLOOKUP(BD$4, Rates_previous!$G$6:$Q$29, 11, FALSE))</f>
        <v>29021.626505477547</v>
      </c>
      <c r="BE103" s="102">
        <f>$F103*(VLOOKUP(BE$4, Rates_previous!$G$6:$Q$29, 10, FALSE)+VLOOKUP(BE$4, Rates_previous!$G$6:$Q$29, 11, FALSE))</f>
        <v>25194.952905527647</v>
      </c>
      <c r="BF103" s="102">
        <f>$F103*(VLOOKUP(BF$4, Rates_previous!$G$6:$Q$29, 10, FALSE)+VLOOKUP(BF$4, Rates_previous!$G$6:$Q$29, 11, FALSE))</f>
        <v>24356.822421485787</v>
      </c>
      <c r="BG103" s="102">
        <f>$F103*(VLOOKUP(BG$4, Rates_previous!$G$6:$Q$29, 10, FALSE)+VLOOKUP(BG$4, Rates_previous!$G$6:$Q$29, 11, FALSE))</f>
        <v>22412.993298719801</v>
      </c>
      <c r="BH103" s="103">
        <f>IF($D103=0,IF(C103=0, MAX(BJ103 - (VLOOKUP($A103,TOCA_previous!$A$2:$AJ$136,MATCH("RHWM "&amp;Init!$D$1-2,TOCA_previous!$A$2:$AJ$2,0),FALSE)*$F$2*TOCA_previous!C100),0),0), 0)</f>
        <v>0</v>
      </c>
      <c r="BI103" s="109">
        <f>MIN(VLOOKUP($A103,TOCA_previous!$A$2:$AJ$136,MATCH("TRL - NLSL - Existing Resource "&amp;$F$1,TOCA_previous!$A$2:$AJ$2,0),FALSE)*$F$2,(VLOOKUP($A103,TOCA_previous!$A$2:$AJ$136,MATCH("RHWM "&amp;Init!$D$1-2,TOCA_previous!$A$2:$AJ$2,0),FALSE)*$F$2))</f>
        <v>310602.23999999999</v>
      </c>
      <c r="BJ103" s="261">
        <f>SUM(L103:AI103)+(F103*RT1SC!$C$3*$F$2)</f>
        <v>317612.50244085595</v>
      </c>
      <c r="BK103" s="260">
        <f>VLOOKUP($A103,TOCA_previous!$A$2:$AJ$136,MATCH("Above RHWM Not Served with LS "&amp;$F$1,TOCA_previous!$A$2:$AJ$2,0),FALSE)*$F$2</f>
        <v>0</v>
      </c>
      <c r="BL103" s="261">
        <f t="shared" si="36"/>
        <v>7010.2624408559641</v>
      </c>
      <c r="BM103" s="260">
        <f>(VLOOKUP($A103,TOCA_previous!$A$2:$AJ$136,MATCH("RHWM "&amp;Init!$D$1-2,TOCA_previous!$A$2:$AJ$2,0),FALSE)*$F$2) - $BI103</f>
        <v>10909.728000000003</v>
      </c>
      <c r="BN103" s="261">
        <f t="shared" si="37"/>
        <v>-7010.2624408559641</v>
      </c>
      <c r="BO103" s="260">
        <f t="shared" si="38"/>
        <v>0</v>
      </c>
      <c r="BP103" s="261">
        <f t="shared" si="39"/>
        <v>0</v>
      </c>
      <c r="BQ103" s="260">
        <f t="shared" si="9"/>
        <v>-7010.2624408559641</v>
      </c>
      <c r="BR103" s="85">
        <f>VLOOKUP($A103,TOCA_current!$A$2:$ZZ$136,MATCH(BR$4,TOCA_current!$A$2:$ZZ$2,0),FALSE)</f>
        <v>5.1780000000000003E-3</v>
      </c>
      <c r="BS103" s="85">
        <f>VLOOKUP($A103,TOCA_current!$A$2:$ZZ$136,MATCH(BS$4,TOCA_current!$A$2:$ZZ$2,0),FALSE)</f>
        <v>5.1780000000000003E-3</v>
      </c>
      <c r="BT103" s="108">
        <f t="shared" si="40"/>
        <v>0</v>
      </c>
      <c r="BU103" s="85">
        <f>VLOOKUP($A103,TOCA_current!A100:BG234,MATCH(BU$4,TOCA_current!$A$2:$BG$2,0),FALSE)</f>
        <v>7.4059707168663239E-2</v>
      </c>
      <c r="BV103" s="85">
        <f t="shared" si="41"/>
        <v>7.4059707168663239E-2</v>
      </c>
      <c r="BW103" s="85">
        <f t="shared" si="42"/>
        <v>5.1780000000000003E-3</v>
      </c>
      <c r="BX103" s="101">
        <f>VLOOKUP($A103,IRD!$A$4:$G$138, 7, FALSE)</f>
        <v>133086.85800000001</v>
      </c>
      <c r="BY103" s="102">
        <f t="array" ref="BY103">IF($BT103=0, INDEX(LS_current!$D$4:$BW$137, MATCH('Staging Table'!$A103, LS_current!$B$4:$B$137, 0), MATCH(BY$4&amp;BY$5, LS_current!$D$2:$BW$2&amp;LS_current!$D$3:$BW$3, 0)),SUM(VLOOKUP($A103, LS_current!$B$4:$BW$137, LS_current!D$147, FALSE), VLOOKUP($A103, LS_current!$B$4:$BW$137,LS_current!AZ$147, FALSE))/2)</f>
        <v>0</v>
      </c>
      <c r="BZ103" s="102">
        <f t="array" ref="BZ103">IF($BT103=0, INDEX(LS_current!$D$4:$BW$137, MATCH('Staging Table'!$A103, LS_current!$B$4:$B$137, 0), MATCH(BZ$4&amp;BZ$5, LS_current!$D$2:$BW$2&amp;LS_current!$D$3:$BW$3, 0)),SUM(VLOOKUP($A103, LS_current!$B$4:$BW$137, LS_current!E$147, FALSE), VLOOKUP($A103, LS_current!$B$4:$BW$137,LS_current!BA$147, FALSE))/2)</f>
        <v>0</v>
      </c>
      <c r="CA103" s="102">
        <f t="array" ref="CA103">IF($BT103=0, INDEX(LS_current!$D$4:$BW$137, MATCH('Staging Table'!$A103, LS_current!$B$4:$B$137, 0), MATCH(CA$4&amp;CA$5, LS_current!$D$2:$BW$2&amp;LS_current!$D$3:$BW$3, 0)),SUM(VLOOKUP($A103, LS_current!$B$4:$BW$137, LS_current!F$147, FALSE), VLOOKUP($A103, LS_current!$B$4:$BW$137,LS_current!BB$147, FALSE))/2)</f>
        <v>0</v>
      </c>
      <c r="CB103" s="102">
        <f t="array" ref="CB103">IF($BT103=0, INDEX(LS_current!$D$4:$BW$137, MATCH('Staging Table'!$A103, LS_current!$B$4:$B$137, 0), MATCH(CB$4&amp;CB$5, LS_current!$D$2:$BW$2&amp;LS_current!$D$3:$BW$3, 0)),SUM(VLOOKUP($A103, LS_current!$B$4:$BW$137, LS_current!G$147, FALSE), VLOOKUP($A103, LS_current!$B$4:$BW$137,LS_current!BC$147, FALSE))/2)</f>
        <v>0</v>
      </c>
      <c r="CC103" s="102">
        <f t="array" ref="CC103">IF($BT103=0, INDEX(LS_current!$D$4:$BW$137, MATCH('Staging Table'!$A103, LS_current!$B$4:$B$137, 0), MATCH(CC$4&amp;CC$5, LS_current!$D$2:$BW$2&amp;LS_current!$D$3:$BW$3, 0)),SUM(VLOOKUP($A103, LS_current!$B$4:$BW$137, LS_current!H$147, FALSE), VLOOKUP($A103, LS_current!$B$4:$BW$137,LS_current!BD$147, FALSE))/2)</f>
        <v>0</v>
      </c>
      <c r="CD103" s="102">
        <f t="array" ref="CD103">IF($BT103=0, INDEX(LS_current!$D$4:$BW$137, MATCH('Staging Table'!$A103, LS_current!$B$4:$B$137, 0), MATCH(CD$4&amp;CD$5, LS_current!$D$2:$BW$2&amp;LS_current!$D$3:$BW$3, 0)),SUM(VLOOKUP($A103, LS_current!$B$4:$BW$137, LS_current!I$147, FALSE), VLOOKUP($A103, LS_current!$B$4:$BW$137,LS_current!BE$147, FALSE))/2)</f>
        <v>0</v>
      </c>
      <c r="CE103" s="102">
        <f t="array" ref="CE103">IF($BT103=0, INDEX(LS_current!$D$4:$BW$137, MATCH('Staging Table'!$A103, LS_current!$B$4:$B$137, 0), MATCH(CE$4&amp;CE$5, LS_current!$D$2:$BW$2&amp;LS_current!$D$3:$BW$3, 0)),SUM(VLOOKUP($A103, LS_current!$B$4:$BW$137, LS_current!J$147, FALSE), VLOOKUP($A103, LS_current!$B$4:$BW$137,LS_current!BF$147, FALSE))/2)</f>
        <v>0</v>
      </c>
      <c r="CF103" s="102">
        <f t="array" ref="CF103">IF($BT103=0, INDEX(LS_current!$D$4:$BW$137, MATCH('Staging Table'!$A103, LS_current!$B$4:$B$137, 0), MATCH(CF$4&amp;CF$5, LS_current!$D$2:$BW$2&amp;LS_current!$D$3:$BW$3, 0)),SUM(VLOOKUP($A103, LS_current!$B$4:$BW$137, LS_current!K$147, FALSE), VLOOKUP($A103, LS_current!$B$4:$BW$137,LS_current!BG$147, FALSE))/2)</f>
        <v>0</v>
      </c>
      <c r="CG103" s="102">
        <f t="array" ref="CG103">IF($BT103=0, INDEX(LS_current!$D$4:$BW$137, MATCH('Staging Table'!$A103, LS_current!$B$4:$B$137, 0), MATCH(CG$4&amp;CG$5, LS_current!$D$2:$BW$2&amp;LS_current!$D$3:$BW$3, 0)),SUM(VLOOKUP($A103, LS_current!$B$4:$BW$137, LS_current!L$147, FALSE), VLOOKUP($A103, LS_current!$B$4:$BW$137,LS_current!BH$147, FALSE))/2)</f>
        <v>0</v>
      </c>
      <c r="CH103" s="102">
        <f t="array" ref="CH103">IF($BT103=0, INDEX(LS_current!$D$4:$BW$137, MATCH('Staging Table'!$A103, LS_current!$B$4:$B$137, 0), MATCH(CH$4&amp;CH$5, LS_current!$D$2:$BW$2&amp;LS_current!$D$3:$BW$3, 0)),SUM(VLOOKUP($A103, LS_current!$B$4:$BW$137, LS_current!M$147, FALSE), VLOOKUP($A103, LS_current!$B$4:$BW$137,LS_current!BI$147, FALSE))/2)</f>
        <v>0</v>
      </c>
      <c r="CI103" s="102">
        <f t="array" ref="CI103">IF($BT103=0, INDEX(LS_current!$D$4:$BW$137, MATCH('Staging Table'!$A103, LS_current!$B$4:$B$137, 0), MATCH(CI$4&amp;CI$5, LS_current!$D$2:$BW$2&amp;LS_current!$D$3:$BW$3, 0)),SUM(VLOOKUP($A103, LS_current!$B$4:$BW$137, LS_current!N$147, FALSE), VLOOKUP($A103, LS_current!$B$4:$BW$137,LS_current!BJ$147, FALSE))/2)</f>
        <v>0</v>
      </c>
      <c r="CJ103" s="102">
        <f t="array" ref="CJ103">IF($BT103=0, INDEX(LS_current!$D$4:$BW$137, MATCH('Staging Table'!$A103, LS_current!$B$4:$B$137, 0), MATCH(CJ$4&amp;CJ$5, LS_current!$D$2:$BW$2&amp;LS_current!$D$3:$BW$3, 0)),SUM(VLOOKUP($A103, LS_current!$B$4:$BW$137, LS_current!O$147, FALSE), VLOOKUP($A103, LS_current!$B$4:$BW$137,LS_current!BK$147, FALSE))/2)</f>
        <v>0</v>
      </c>
      <c r="CK103" s="102">
        <f t="array" ref="CK103">IF($BT103=0, INDEX(LS_current!$D$4:$BW$137, MATCH('Staging Table'!$A103, LS_current!$B$4:$B$137, 0), MATCH(CK$4&amp;CK$5, LS_current!$D$2:$BW$2&amp;LS_current!$D$3:$BW$3, 0)),SUM(VLOOKUP($A103, LS_current!$B$4:$BW$137, LS_current!P$147, FALSE), VLOOKUP($A103, LS_current!$B$4:$BW$137,LS_current!BL$147, FALSE))/2)</f>
        <v>0</v>
      </c>
      <c r="CL103" s="102">
        <f t="array" ref="CL103">IF($BT103=0, INDEX(LS_current!$D$4:$BW$137, MATCH('Staging Table'!$A103, LS_current!$B$4:$B$137, 0), MATCH(CL$4&amp;CL$5, LS_current!$D$2:$BW$2&amp;LS_current!$D$3:$BW$3, 0)),SUM(VLOOKUP($A103, LS_current!$B$4:$BW$137, LS_current!Q$147, FALSE), VLOOKUP($A103, LS_current!$B$4:$BW$137,LS_current!BM$147, FALSE))/2)</f>
        <v>0</v>
      </c>
      <c r="CM103" s="102">
        <f t="array" ref="CM103">IF($BT103=0, INDEX(LS_current!$D$4:$BW$137, MATCH('Staging Table'!$A103, LS_current!$B$4:$B$137, 0), MATCH(CM$4&amp;CM$5, LS_current!$D$2:$BW$2&amp;LS_current!$D$3:$BW$3, 0)),SUM(VLOOKUP($A103, LS_current!$B$4:$BW$137, LS_current!R$147, FALSE), VLOOKUP($A103, LS_current!$B$4:$BW$137,LS_current!BN$147, FALSE))/2)</f>
        <v>0</v>
      </c>
      <c r="CN103" s="102">
        <f t="array" ref="CN103">IF($BT103=0, INDEX(LS_current!$D$4:$BW$137, MATCH('Staging Table'!$A103, LS_current!$B$4:$B$137, 0), MATCH(CN$4&amp;CN$5, LS_current!$D$2:$BW$2&amp;LS_current!$D$3:$BW$3, 0)),SUM(VLOOKUP($A103, LS_current!$B$4:$BW$137, LS_current!S$147, FALSE), VLOOKUP($A103, LS_current!$B$4:$BW$137,LS_current!BO$147, FALSE))/2)</f>
        <v>0</v>
      </c>
      <c r="CO103" s="102">
        <f t="array" ref="CO103">IF($BT103=0, INDEX(LS_current!$D$4:$BW$137, MATCH('Staging Table'!$A103, LS_current!$B$4:$B$137, 0), MATCH(CO$4&amp;CO$5, LS_current!$D$2:$BW$2&amp;LS_current!$D$3:$BW$3, 0)),SUM(VLOOKUP($A103, LS_current!$B$4:$BW$137, LS_current!T$147, FALSE), VLOOKUP($A103, LS_current!$B$4:$BW$137,LS_current!BP$147, FALSE))/2)</f>
        <v>0</v>
      </c>
      <c r="CP103" s="102">
        <f t="array" ref="CP103">IF($BT103=0, INDEX(LS_current!$D$4:$BW$137, MATCH('Staging Table'!$A103, LS_current!$B$4:$B$137, 0), MATCH(CP$4&amp;CP$5, LS_current!$D$2:$BW$2&amp;LS_current!$D$3:$BW$3, 0)),SUM(VLOOKUP($A103, LS_current!$B$4:$BW$137, LS_current!U$147, FALSE), VLOOKUP($A103, LS_current!$B$4:$BW$137,LS_current!BQ$147, FALSE))/2)</f>
        <v>0</v>
      </c>
      <c r="CQ103" s="102">
        <f t="array" ref="CQ103">IF($BT103=0, INDEX(LS_current!$D$4:$BW$137, MATCH('Staging Table'!$A103, LS_current!$B$4:$B$137, 0), MATCH(CQ$4&amp;CQ$5, LS_current!$D$2:$BW$2&amp;LS_current!$D$3:$BW$3, 0)),SUM(VLOOKUP($A103, LS_current!$B$4:$BW$137, LS_current!V$147, FALSE), VLOOKUP($A103, LS_current!$B$4:$BW$137,LS_current!BR$147, FALSE))/2)</f>
        <v>0</v>
      </c>
      <c r="CR103" s="102">
        <f t="array" ref="CR103">IF($BT103=0, INDEX(LS_current!$D$4:$BW$137, MATCH('Staging Table'!$A103, LS_current!$B$4:$B$137, 0), MATCH(CR$4&amp;CR$5, LS_current!$D$2:$BW$2&amp;LS_current!$D$3:$BW$3, 0)),SUM(VLOOKUP($A103, LS_current!$B$4:$BW$137, LS_current!W$147, FALSE), VLOOKUP($A103, LS_current!$B$4:$BW$137,LS_current!BS$147, FALSE))/2)</f>
        <v>0</v>
      </c>
      <c r="CS103" s="102">
        <f t="array" ref="CS103">IF($BT103=0, INDEX(LS_current!$D$4:$BW$137, MATCH('Staging Table'!$A103, LS_current!$B$4:$B$137, 0), MATCH(CS$4&amp;CS$5, LS_current!$D$2:$BW$2&amp;LS_current!$D$3:$BW$3, 0)),SUM(VLOOKUP($A103, LS_current!$B$4:$BW$137, LS_current!X$147, FALSE), VLOOKUP($A103, LS_current!$B$4:$BW$137,LS_current!BT$147, FALSE))/2)</f>
        <v>0</v>
      </c>
      <c r="CT103" s="102">
        <f t="array" ref="CT103">IF($BT103=0, INDEX(LS_current!$D$4:$BW$137, MATCH('Staging Table'!$A103, LS_current!$B$4:$B$137, 0), MATCH(CT$4&amp;CT$5, LS_current!$D$2:$BW$2&amp;LS_current!$D$3:$BW$3, 0)),SUM(VLOOKUP($A103, LS_current!$B$4:$BW$137, LS_current!Y$147, FALSE), VLOOKUP($A103, LS_current!$B$4:$BW$137,LS_current!BU$147, FALSE))/2)</f>
        <v>0</v>
      </c>
      <c r="CU103" s="102">
        <f t="array" ref="CU103">IF($BT103=0, INDEX(LS_current!$D$4:$BW$137, MATCH('Staging Table'!$A103, LS_current!$B$4:$B$137, 0), MATCH(CU$4&amp;CU$5, LS_current!$D$2:$BW$2&amp;LS_current!$D$3:$BW$3, 0)),SUM(VLOOKUP($A103, LS_current!$B$4:$BW$137, LS_current!Z$147, FALSE), VLOOKUP($A103, LS_current!$B$4:$BW$137,LS_current!BV$147, FALSE))/2)</f>
        <v>0</v>
      </c>
      <c r="CV103" s="102">
        <f t="array" ref="CV103">IF($BT103=0, INDEX(LS_current!$D$4:$BW$137, MATCH('Staging Table'!$A103, LS_current!$B$4:$B$137, 0), MATCH(CV$4&amp;CV$5, LS_current!$D$2:$BW$2&amp;LS_current!$D$3:$BW$3, 0)),SUM(VLOOKUP($A103, LS_current!$B$4:$BW$137, LS_current!AA$147, FALSE), VLOOKUP($A103, LS_current!$B$4:$BW$137,LS_current!BW$147, FALSE))/2)</f>
        <v>0</v>
      </c>
      <c r="CW103" s="103">
        <f t="array" ref="CW103">INDEX(Demand_current!$D$4:$BW$137, MATCH($A103, Demand_current!$B$4:$B$137, 0), MATCH(CW$4&amp;CW$5,Demand_current!$D$2:$BW$2&amp;Demand_current!$D$3:$BW$3, 0))/1000</f>
        <v>0</v>
      </c>
      <c r="CX103" s="103">
        <f t="array" ref="CX103">INDEX(Demand_current!$D$4:$BW$137, MATCH($A103, Demand_current!$B$4:$B$137, 0), MATCH(CX$4&amp;CX$5,Demand_current!$D$2:$BW$2&amp;Demand_current!$D$3:$BW$3, 0))/1000</f>
        <v>0</v>
      </c>
      <c r="CY103" s="103">
        <f t="array" ref="CY103">INDEX(Demand_current!$D$4:$BW$137, MATCH($A103, Demand_current!$B$4:$B$137, 0), MATCH(CY$4&amp;CY$5,Demand_current!$D$2:$BW$2&amp;Demand_current!$D$3:$BW$3, 0))/1000</f>
        <v>0</v>
      </c>
      <c r="CZ103" s="103">
        <f t="array" ref="CZ103">INDEX(Demand_current!$D$4:$BW$137, MATCH($A103, Demand_current!$B$4:$B$137, 0), MATCH(CZ$4&amp;CZ$5,Demand_current!$D$2:$BW$2&amp;Demand_current!$D$3:$BW$3, 0))/1000</f>
        <v>0</v>
      </c>
      <c r="DA103" s="103">
        <f t="array" ref="DA103">INDEX(Demand_current!$D$4:$BW$137, MATCH($A103, Demand_current!$B$4:$B$137, 0), MATCH(DA$4&amp;DA$5,Demand_current!$D$2:$BW$2&amp;Demand_current!$D$3:$BW$3, 0))/1000</f>
        <v>0</v>
      </c>
      <c r="DB103" s="103">
        <f t="array" ref="DB103">INDEX(Demand_current!$D$4:$BW$137, MATCH($A103, Demand_current!$B$4:$B$137, 0), MATCH(DB$4&amp;DB$5,Demand_current!$D$2:$BW$2&amp;Demand_current!$D$3:$BW$3, 0))/1000</f>
        <v>0</v>
      </c>
      <c r="DC103" s="103">
        <f t="array" ref="DC103">INDEX(Demand_current!$D$4:$BW$137, MATCH($A103, Demand_current!$B$4:$B$137, 0), MATCH(DC$4&amp;DC$5,Demand_current!$D$2:$BW$2&amp;Demand_current!$D$3:$BW$3, 0))/1000</f>
        <v>0</v>
      </c>
      <c r="DD103" s="103">
        <f t="array" ref="DD103">INDEX(Demand_current!$D$4:$BW$137, MATCH($A103, Demand_current!$B$4:$B$137, 0), MATCH(DD$4&amp;DD$5,Demand_current!$D$2:$BW$2&amp;Demand_current!$D$3:$BW$3, 0))/1000</f>
        <v>0</v>
      </c>
      <c r="DE103" s="103">
        <f t="array" ref="DE103">INDEX(Demand_current!$D$4:$BW$137, MATCH($A103, Demand_current!$B$4:$B$137, 0), MATCH(DE$4&amp;DE$5,Demand_current!$D$2:$BW$2&amp;Demand_current!$D$3:$BW$3, 0))/1000</f>
        <v>0</v>
      </c>
      <c r="DF103" s="103">
        <f t="array" ref="DF103">INDEX(Demand_current!$D$4:$BW$137, MATCH($A103, Demand_current!$B$4:$B$137, 0), MATCH(DF$4&amp;DF$5,Demand_current!$D$2:$BW$2&amp;Demand_current!$D$3:$BW$3, 0))/1000</f>
        <v>0</v>
      </c>
      <c r="DG103" s="103">
        <f t="array" ref="DG103">INDEX(Demand_current!$D$4:$BW$137, MATCH($A103, Demand_current!$B$4:$B$137, 0), MATCH(DG$4&amp;DG$5,Demand_current!$D$2:$BW$2&amp;Demand_current!$D$3:$BW$3, 0))/1000</f>
        <v>0</v>
      </c>
      <c r="DH103" s="103">
        <f t="array" ref="DH103">INDEX(Demand_current!$D$4:$BW$137, MATCH($A103, Demand_current!$B$4:$B$137, 0), MATCH(DH$4&amp;DH$5,Demand_current!$D$2:$BW$2&amp;Demand_current!$D$3:$BW$3, 0))/1000</f>
        <v>0</v>
      </c>
      <c r="DI103" s="102">
        <f>$BS103*(VLOOKUP(DI$4, Rates_current!$H$6:$R$41, 10, FALSE)+VLOOKUP(DI$4, Rates_current!$H$6:$R$41, 11, FALSE))</f>
        <v>21490.189237731614</v>
      </c>
      <c r="DJ103" s="102">
        <f>$BS103*(VLOOKUP(DJ$4, Rates_current!$H$6:$R$41, 10, FALSE)+VLOOKUP(DJ$4, Rates_current!$H$6:$R$41, 11, FALSE))</f>
        <v>27474.499653612598</v>
      </c>
      <c r="DK103" s="102">
        <f>$BS103*(VLOOKUP(DK$4, Rates_current!$H$6:$R$41, 10, FALSE)+VLOOKUP(DK$4, Rates_current!$H$6:$R$41, 11, FALSE))</f>
        <v>31236.208222707945</v>
      </c>
      <c r="DL103" s="102">
        <f>$BS103*(VLOOKUP(DL$4, Rates_current!$H$6:$R$41, 10, FALSE)+VLOOKUP(DL$4, Rates_current!$H$6:$R$41, 11, FALSE))</f>
        <v>32956.637938552834</v>
      </c>
      <c r="DM103" s="102">
        <f>$BS103*(VLOOKUP(DM$4, Rates_current!$H$6:$R$41, 10, FALSE)+VLOOKUP(DM$4, Rates_current!$H$6:$R$41, 11, FALSE))</f>
        <v>26263.465986760533</v>
      </c>
      <c r="DN103" s="102">
        <f>$BS103*(VLOOKUP(DN$4, Rates_current!$H$6:$R$41, 10, FALSE)+VLOOKUP(DN$4, Rates_current!$H$6:$R$41, 11, FALSE))</f>
        <v>28711.361677203506</v>
      </c>
      <c r="DO103" s="102">
        <f>$BS103*(VLOOKUP(DO$4, Rates_current!$H$6:$R$41, 10, FALSE)+VLOOKUP(DO$4, Rates_current!$H$6:$R$41, 11, FALSE))</f>
        <v>22251.594109488313</v>
      </c>
      <c r="DP103" s="102">
        <f>$BS103*(VLOOKUP(DP$4, Rates_current!$H$6:$R$41, 10, FALSE)+VLOOKUP(DP$4, Rates_current!$H$6:$R$41, 11, FALSE))</f>
        <v>28797.226554932768</v>
      </c>
      <c r="DQ103" s="102">
        <f>$BS103*(VLOOKUP(DQ$4, Rates_current!$H$6:$R$41, 10, FALSE)+VLOOKUP(DQ$4, Rates_current!$H$6:$R$41, 11, FALSE))</f>
        <v>29412.131170584544</v>
      </c>
      <c r="DR103" s="102">
        <f>$BS103*(VLOOKUP(DR$4, Rates_current!$H$6:$R$41, 10, FALSE)+VLOOKUP(DR$4, Rates_current!$H$6:$R$41, 11, FALSE))</f>
        <v>26179.340442116216</v>
      </c>
      <c r="DS103" s="102">
        <f>$BS103*(VLOOKUP(DS$4, Rates_current!$H$6:$R$41, 10, FALSE)+VLOOKUP(DS$4, Rates_current!$H$6:$R$41, 11, FALSE))</f>
        <v>26855.202159735654</v>
      </c>
      <c r="DT103" s="102">
        <f>$BS103*(VLOOKUP(DT$4, Rates_current!$H$6:$R$41, 10, FALSE)+VLOOKUP(DT$4, Rates_current!$H$6:$R$41, 11, FALSE))</f>
        <v>20856.283652967282</v>
      </c>
      <c r="DU103" s="261">
        <f>IF(D103=0,IF(C103=0,MAX(0,DW103 - (VLOOKUP($A103,TOCA_current!$A$2:$AV$136,MATCH("RHWM "&amp;Init!$D$1,TOCA_current!$A$2:$AV$2,0),FALSE)*$BS$2)), 0),0)</f>
        <v>0</v>
      </c>
      <c r="DV103" s="262">
        <f>MIN(VLOOKUP($A103,TOCA_current!$A$2:$AV$136,MATCH("TRL - NLSL - Existing Resource "&amp;$BS$1,TOCA_current!$A$2:$AV$2,0),FALSE)*$BS$2, VLOOKUP($A103,TOCA_current!$A$2:$AV$136,MATCH("RHWM "&amp;Init!$D$1,TOCA_current!$A$2:$AV$2,0),FALSE)*$BS$2)</f>
        <v>322481.88</v>
      </c>
      <c r="DW103" s="262">
        <f>SUM(BY103:CV103)+(BS103*RT1SC!$C$4*$BS$2)</f>
        <v>322484.15984256007</v>
      </c>
      <c r="DX103" s="262">
        <f>VLOOKUP($A103,TOCA_current!$A$2:$AV$136,MATCH("Above RHWM Not Served with LS "&amp;$BS$1,TOCA_current!$A$2:$AV$2,0),FALSE)*$BS$2</f>
        <v>18702.599999999999</v>
      </c>
      <c r="DY103" s="262">
        <f t="shared" si="43"/>
        <v>2.2798425600631163</v>
      </c>
      <c r="DZ103" s="262">
        <f>(VLOOKUP($A103,TOCA_current!$A$2:$AV$136,MATCH("RHWM "&amp;Init!$D$1,TOCA_current!$A$2:$AV$2,0),FALSE)*$BS$2) - $DV103</f>
        <v>0</v>
      </c>
      <c r="EA103" s="262">
        <f t="shared" si="44"/>
        <v>0</v>
      </c>
      <c r="EB103" s="262">
        <f t="shared" si="45"/>
        <v>0</v>
      </c>
      <c r="EC103" s="262">
        <f t="shared" si="46"/>
        <v>0</v>
      </c>
      <c r="ED103" s="262">
        <f t="shared" si="47"/>
        <v>0</v>
      </c>
    </row>
    <row r="104" spans="1:134">
      <c r="A104" s="2">
        <v>10333</v>
      </c>
      <c r="B104" s="3" t="s">
        <v>106</v>
      </c>
      <c r="C104">
        <f>VLOOKUP(A104, TOCA_current!$A$3:$D$136, 4, FALSE)</f>
        <v>1</v>
      </c>
      <c r="D104">
        <v>0</v>
      </c>
      <c r="E104" s="84">
        <f>VLOOKUP($A104,TOCA_previous!$A$2:$AJ$136,MATCH(E$4,TOCA_previous!$A$2:$AJ$2,0),FALSE)</f>
        <v>2.6803999999999999E-3</v>
      </c>
      <c r="F104" s="85">
        <f>VLOOKUP($A104,TOCA_previous!$A$2:$AJ$136,MATCH(F$4,TOCA_previous!$A$2:$AJ$2,0),FALSE)</f>
        <v>2.6803999999999999E-3</v>
      </c>
      <c r="G104" s="85">
        <f t="shared" si="33"/>
        <v>0</v>
      </c>
      <c r="H104" s="85">
        <f>VLOOKUP($A104,TOCA_previous!$A$2:$AJ$136,MATCH(H$4,TOCA_previous!$A$2:$AJ$2,0),FALSE)</f>
        <v>7.064542263029977E-2</v>
      </c>
      <c r="I104" s="85">
        <f t="shared" si="34"/>
        <v>7.064542263029977E-2</v>
      </c>
      <c r="J104" s="85">
        <f t="shared" si="35"/>
        <v>2.6803999999999999E-3</v>
      </c>
      <c r="K104" s="101">
        <f>VLOOKUP(A104, IRD!$A$5:$C$138, 3, FALSE)</f>
        <v>0</v>
      </c>
      <c r="L104" s="102">
        <f t="array" ref="L104">IF($G104=0, INDEX(LS_previous!$D$4:$AY$137, MATCH('Staging Table'!$A104, LS_previous!$B$4:$B$137, 0), MATCH(L$4&amp;L$5, LS_previous!$D$2:$AY$2&amp;LS_previous!$D$3:$AY$3, 0)),SUM(VLOOKUP($A104, LS_previous!$B$4:$AY$137, LS_previous!D$148, FALSE), VLOOKUP('Staging Table'!$A104, LS_previous!$B$4:$AY$137,LS_previous!AB$148, FALSE))/2)</f>
        <v>0</v>
      </c>
      <c r="M104" s="102">
        <f t="array" ref="M104">IF($G104=0, INDEX(LS_previous!$D$4:$AY$137, MATCH('Staging Table'!$A104, LS_previous!$B$4:$B$137, 0), MATCH(M$4&amp;M$5, LS_previous!$D$2:$AY$2&amp;LS_previous!$D$3:$AY$3, 0)),SUM(VLOOKUP($A104, LS_previous!$B$4:$AY$137, LS_previous!E$148, FALSE), VLOOKUP('Staging Table'!$A104, LS_previous!$B$4:$AY$137,LS_previous!AC$148, FALSE))/2)</f>
        <v>0</v>
      </c>
      <c r="N104" s="102">
        <f t="array" ref="N104">IF($G104=0, INDEX(LS_previous!$D$4:$AY$137, MATCH('Staging Table'!$A104, LS_previous!$B$4:$B$137, 0), MATCH(N$4&amp;N$5, LS_previous!$D$2:$AY$2&amp;LS_previous!$D$3:$AY$3, 0)),SUM(VLOOKUP($A104, LS_previous!$B$4:$AY$137, LS_previous!F$148, FALSE), VLOOKUP('Staging Table'!$A104, LS_previous!$B$4:$AY$137,LS_previous!AD$148, FALSE))/2)</f>
        <v>0</v>
      </c>
      <c r="O104" s="102">
        <f t="array" ref="O104">IF($G104=0, INDEX(LS_previous!$D$4:$AY$137, MATCH('Staging Table'!$A104, LS_previous!$B$4:$B$137, 0), MATCH(O$4&amp;O$5, LS_previous!$D$2:$AY$2&amp;LS_previous!$D$3:$AY$3, 0)),SUM(VLOOKUP($A104, LS_previous!$B$4:$AY$137, LS_previous!G$148, FALSE), VLOOKUP('Staging Table'!$A104, LS_previous!$B$4:$AY$137,LS_previous!AE$148, FALSE))/2)</f>
        <v>0</v>
      </c>
      <c r="P104" s="102">
        <f t="array" ref="P104">IF($G104=0, INDEX(LS_previous!$D$4:$AY$137, MATCH('Staging Table'!$A104, LS_previous!$B$4:$B$137, 0), MATCH(P$4&amp;P$5, LS_previous!$D$2:$AY$2&amp;LS_previous!$D$3:$AY$3, 0)),SUM(VLOOKUP($A104, LS_previous!$B$4:$AY$137, LS_previous!H$148, FALSE), VLOOKUP('Staging Table'!$A104, LS_previous!$B$4:$AY$137,LS_previous!AF$148, FALSE))/2)</f>
        <v>0</v>
      </c>
      <c r="Q104" s="102">
        <f t="array" ref="Q104">IF($G104=0, INDEX(LS_previous!$D$4:$AY$137, MATCH('Staging Table'!$A104, LS_previous!$B$4:$B$137, 0), MATCH(Q$4&amp;Q$5, LS_previous!$D$2:$AY$2&amp;LS_previous!$D$3:$AY$3, 0)),SUM(VLOOKUP($A104, LS_previous!$B$4:$AY$137, LS_previous!I$148, FALSE), VLOOKUP('Staging Table'!$A104, LS_previous!$B$4:$AY$137,LS_previous!AG$148, FALSE))/2)</f>
        <v>0</v>
      </c>
      <c r="R104" s="102">
        <f t="array" ref="R104">IF($G104=0, INDEX(LS_previous!$D$4:$AY$137, MATCH('Staging Table'!$A104, LS_previous!$B$4:$B$137, 0), MATCH(R$4&amp;R$5, LS_previous!$D$2:$AY$2&amp;LS_previous!$D$3:$AY$3, 0)),SUM(VLOOKUP($A104, LS_previous!$B$4:$AY$137, LS_previous!J$148, FALSE), VLOOKUP('Staging Table'!$A104, LS_previous!$B$4:$AY$137,LS_previous!AH$148, FALSE))/2)</f>
        <v>0</v>
      </c>
      <c r="S104" s="102">
        <f t="array" ref="S104">IF($G104=0, INDEX(LS_previous!$D$4:$AY$137, MATCH('Staging Table'!$A104, LS_previous!$B$4:$B$137, 0), MATCH(S$4&amp;S$5, LS_previous!$D$2:$AY$2&amp;LS_previous!$D$3:$AY$3, 0)),SUM(VLOOKUP($A104, LS_previous!$B$4:$AY$137, LS_previous!K$148, FALSE), VLOOKUP('Staging Table'!$A104, LS_previous!$B$4:$AY$137,LS_previous!AI$148, FALSE))/2)</f>
        <v>0</v>
      </c>
      <c r="T104" s="102">
        <f t="array" ref="T104">IF($G104=0, INDEX(LS_previous!$D$4:$AY$137, MATCH('Staging Table'!$A104, LS_previous!$B$4:$B$137, 0), MATCH(T$4&amp;T$5, LS_previous!$D$2:$AY$2&amp;LS_previous!$D$3:$AY$3, 0)),SUM(VLOOKUP($A104, LS_previous!$B$4:$AY$137, LS_previous!L$148, FALSE), VLOOKUP('Staging Table'!$A104, LS_previous!$B$4:$AY$137,LS_previous!AJ$148, FALSE))/2)</f>
        <v>0</v>
      </c>
      <c r="U104" s="102">
        <f t="array" ref="U104">IF($G104=0, INDEX(LS_previous!$D$4:$AY$137, MATCH('Staging Table'!$A104, LS_previous!$B$4:$B$137, 0), MATCH(U$4&amp;U$5, LS_previous!$D$2:$AY$2&amp;LS_previous!$D$3:$AY$3, 0)),SUM(VLOOKUP($A104, LS_previous!$B$4:$AY$137, LS_previous!M$148, FALSE), VLOOKUP('Staging Table'!$A104, LS_previous!$B$4:$AY$137,LS_previous!AK$148, FALSE))/2)</f>
        <v>0</v>
      </c>
      <c r="V104" s="102">
        <f t="array" ref="V104">IF($G104=0, INDEX(LS_previous!$D$4:$AY$137, MATCH('Staging Table'!$A104, LS_previous!$B$4:$B$137, 0), MATCH(V$4&amp;V$5, LS_previous!$D$2:$AY$2&amp;LS_previous!$D$3:$AY$3, 0)),SUM(VLOOKUP($A104, LS_previous!$B$4:$AY$137, LS_previous!N$148, FALSE), VLOOKUP('Staging Table'!$A104, LS_previous!$B$4:$AY$137,LS_previous!AL$148, FALSE))/2)</f>
        <v>0</v>
      </c>
      <c r="W104" s="102">
        <f t="array" ref="W104">IF($G104=0, INDEX(LS_previous!$D$4:$AY$137, MATCH('Staging Table'!$A104, LS_previous!$B$4:$B$137, 0), MATCH(W$4&amp;W$5, LS_previous!$D$2:$AY$2&amp;LS_previous!$D$3:$AY$3, 0)),SUM(VLOOKUP($A104, LS_previous!$B$4:$AY$137, LS_previous!O$148, FALSE), VLOOKUP('Staging Table'!$A104, LS_previous!$B$4:$AY$137,LS_previous!AM$148, FALSE))/2)</f>
        <v>0</v>
      </c>
      <c r="X104" s="102">
        <f t="array" ref="X104">IF($G104=0, INDEX(LS_previous!$D$4:$AY$137, MATCH('Staging Table'!$A104, LS_previous!$B$4:$B$137, 0), MATCH(X$4&amp;X$5, LS_previous!$D$2:$AY$2&amp;LS_previous!$D$3:$AY$3, 0)),SUM(VLOOKUP($A104, LS_previous!$B$4:$AY$137, LS_previous!P$148, FALSE), VLOOKUP('Staging Table'!$A104, LS_previous!$B$4:$AY$137,LS_previous!AN$148, FALSE))/2)</f>
        <v>0</v>
      </c>
      <c r="Y104" s="102">
        <f t="array" ref="Y104">IF($G104=0, INDEX(LS_previous!$D$4:$AY$137, MATCH('Staging Table'!$A104, LS_previous!$B$4:$B$137, 0), MATCH(Y$4&amp;Y$5, LS_previous!$D$2:$AY$2&amp;LS_previous!$D$3:$AY$3, 0)),SUM(VLOOKUP($A104, LS_previous!$B$4:$AY$137, LS_previous!Q$148, FALSE), VLOOKUP('Staging Table'!$A104, LS_previous!$B$4:$AY$137,LS_previous!AO$148, FALSE))/2)</f>
        <v>0</v>
      </c>
      <c r="Z104" s="102">
        <f t="array" ref="Z104">IF($G104=0, INDEX(LS_previous!$D$4:$AY$137, MATCH('Staging Table'!$A104, LS_previous!$B$4:$B$137, 0), MATCH(Z$4&amp;Z$5, LS_previous!$D$2:$AY$2&amp;LS_previous!$D$3:$AY$3, 0)),SUM(VLOOKUP($A104, LS_previous!$B$4:$AY$137, LS_previous!R$148, FALSE), VLOOKUP('Staging Table'!$A104, LS_previous!$B$4:$AY$137,LS_previous!AP$148, FALSE))/2)</f>
        <v>0</v>
      </c>
      <c r="AA104" s="102">
        <f t="array" ref="AA104">IF($G104=0, INDEX(LS_previous!$D$4:$AY$137, MATCH('Staging Table'!$A104, LS_previous!$B$4:$B$137, 0), MATCH(AA$4&amp;AA$5, LS_previous!$D$2:$AY$2&amp;LS_previous!$D$3:$AY$3, 0)),SUM(VLOOKUP($A104, LS_previous!$B$4:$AY$137, LS_previous!S$148, FALSE), VLOOKUP('Staging Table'!$A104, LS_previous!$B$4:$AY$137,LS_previous!AQ$148, FALSE))/2)</f>
        <v>0</v>
      </c>
      <c r="AB104" s="102">
        <f t="array" ref="AB104">IF($G104=0, INDEX(LS_previous!$D$4:$AY$137, MATCH('Staging Table'!$A104, LS_previous!$B$4:$B$137, 0), MATCH(AB$4&amp;AB$5, LS_previous!$D$2:$AY$2&amp;LS_previous!$D$3:$AY$3, 0)),SUM(VLOOKUP($A104, LS_previous!$B$4:$AY$137, LS_previous!T$148, FALSE), VLOOKUP('Staging Table'!$A104, LS_previous!$B$4:$AY$137,LS_previous!AR$148, FALSE))/2)</f>
        <v>0</v>
      </c>
      <c r="AC104" s="102">
        <f t="array" ref="AC104">IF($G104=0, INDEX(LS_previous!$D$4:$AY$137, MATCH('Staging Table'!$A104, LS_previous!$B$4:$B$137, 0), MATCH(AC$4&amp;AC$5, LS_previous!$D$2:$AY$2&amp;LS_previous!$D$3:$AY$3, 0)),SUM(VLOOKUP($A104, LS_previous!$B$4:$AY$137, LS_previous!U$148, FALSE), VLOOKUP('Staging Table'!$A104, LS_previous!$B$4:$AY$137,LS_previous!AS$148, FALSE))/2)</f>
        <v>0</v>
      </c>
      <c r="AD104" s="102">
        <f t="array" ref="AD104">IF($G104=0, INDEX(LS_previous!$D$4:$AY$137, MATCH('Staging Table'!$A104, LS_previous!$B$4:$B$137, 0), MATCH(AD$4&amp;AD$5, LS_previous!$D$2:$AY$2&amp;LS_previous!$D$3:$AY$3, 0)),SUM(VLOOKUP($A104, LS_previous!$B$4:$AY$137, LS_previous!V$148, FALSE), VLOOKUP('Staging Table'!$A104, LS_previous!$B$4:$AY$137,LS_previous!AT$148, FALSE))/2)</f>
        <v>0</v>
      </c>
      <c r="AE104" s="102">
        <f t="array" ref="AE104">IF($G104=0, INDEX(LS_previous!$D$4:$AY$137, MATCH('Staging Table'!$A104, LS_previous!$B$4:$B$137, 0), MATCH(AE$4&amp;AE$5, LS_previous!$D$2:$AY$2&amp;LS_previous!$D$3:$AY$3, 0)),SUM(VLOOKUP($A104, LS_previous!$B$4:$AY$137, LS_previous!W$148, FALSE), VLOOKUP('Staging Table'!$A104, LS_previous!$B$4:$AY$137,LS_previous!AU$148, FALSE))/2)</f>
        <v>0</v>
      </c>
      <c r="AF104" s="102">
        <f t="array" ref="AF104">IF($G104=0, INDEX(LS_previous!$D$4:$AY$137, MATCH('Staging Table'!$A104, LS_previous!$B$4:$B$137, 0), MATCH(AF$4&amp;AF$5, LS_previous!$D$2:$AY$2&amp;LS_previous!$D$3:$AY$3, 0)),SUM(VLOOKUP($A104, LS_previous!$B$4:$AY$137, LS_previous!X$148, FALSE), VLOOKUP('Staging Table'!$A104, LS_previous!$B$4:$AY$137,LS_previous!AV$148, FALSE))/2)</f>
        <v>0</v>
      </c>
      <c r="AG104" s="102">
        <f t="array" ref="AG104">IF($G104=0, INDEX(LS_previous!$D$4:$AY$137, MATCH('Staging Table'!$A104, LS_previous!$B$4:$B$137, 0), MATCH(AG$4&amp;AG$5, LS_previous!$D$2:$AY$2&amp;LS_previous!$D$3:$AY$3, 0)),SUM(VLOOKUP($A104, LS_previous!$B$4:$AY$137, LS_previous!Y$148, FALSE), VLOOKUP('Staging Table'!$A104, LS_previous!$B$4:$AY$137,LS_previous!AW$148, FALSE))/2)</f>
        <v>0</v>
      </c>
      <c r="AH104" s="102">
        <f t="array" ref="AH104">IF($G104=0, INDEX(LS_previous!$D$4:$AY$137, MATCH('Staging Table'!$A104, LS_previous!$B$4:$B$137, 0), MATCH(AH$4&amp;AH$5, LS_previous!$D$2:$AY$2&amp;LS_previous!$D$3:$AY$3, 0)),SUM(VLOOKUP($A104, LS_previous!$B$4:$AY$137, LS_previous!Z$148, FALSE), VLOOKUP('Staging Table'!$A104, LS_previous!$B$4:$AY$137,LS_previous!AX$148, FALSE))/2)</f>
        <v>0</v>
      </c>
      <c r="AI104" s="102">
        <f t="array" ref="AI104">IF($G104=0, INDEX(LS_previous!$D$4:$AY$137, MATCH('Staging Table'!$A104, LS_previous!$B$4:$B$137, 0), MATCH(AI$4&amp;AI$5, LS_previous!$D$2:$AY$2&amp;LS_previous!$D$3:$AY$3, 0)),SUM(VLOOKUP($A104, LS_previous!$B$4:$AY$137, LS_previous!AA$148, FALSE), VLOOKUP('Staging Table'!$A104, LS_previous!$B$4:$AY$137,LS_previous!AY$148, FALSE))/2)</f>
        <v>0</v>
      </c>
      <c r="AJ104" s="103">
        <f t="array" ref="AJ104">INDEX(Demand_previous!$D$4:$AY$137, MATCH('Staging Table'!$A104, Demand_previous!$B$4:$B$137, 0), MATCH(AJ$4&amp;AJ$5,Demand_previous!$D$2:$AY$2&amp;Demand_previous!$D$3:$AY$3, 0))/1000</f>
        <v>0</v>
      </c>
      <c r="AK104" s="103">
        <f t="array" ref="AK104">INDEX(Demand_previous!$D$4:$AY$137, MATCH('Staging Table'!$A104, Demand_previous!$B$4:$B$137, 0), MATCH(AK$4&amp;AK$5,Demand_previous!$D$2:$AY$2&amp;Demand_previous!$D$3:$AY$3, 0))/1000</f>
        <v>0</v>
      </c>
      <c r="AL104" s="103">
        <f t="array" ref="AL104">INDEX(Demand_previous!$D$4:$AY$137, MATCH('Staging Table'!$A104, Demand_previous!$B$4:$B$137, 0), MATCH(AL$4&amp;AL$5,Demand_previous!$D$2:$AY$2&amp;Demand_previous!$D$3:$AY$3, 0))/1000</f>
        <v>0</v>
      </c>
      <c r="AM104" s="103">
        <f t="array" ref="AM104">INDEX(Demand_previous!$D$4:$AY$137, MATCH('Staging Table'!$A104, Demand_previous!$B$4:$B$137, 0), MATCH(AM$4&amp;AM$5,Demand_previous!$D$2:$AY$2&amp;Demand_previous!$D$3:$AY$3, 0))/1000</f>
        <v>0</v>
      </c>
      <c r="AN104" s="103">
        <f t="array" ref="AN104">INDEX(Demand_previous!$D$4:$AY$137, MATCH('Staging Table'!$A104, Demand_previous!$B$4:$B$137, 0), MATCH(AN$4&amp;AN$5,Demand_previous!$D$2:$AY$2&amp;Demand_previous!$D$3:$AY$3, 0))/1000</f>
        <v>0</v>
      </c>
      <c r="AO104" s="103">
        <f t="array" ref="AO104">INDEX(Demand_previous!$D$4:$AY$137, MATCH('Staging Table'!$A104, Demand_previous!$B$4:$B$137, 0), MATCH(AO$4&amp;AO$5,Demand_previous!$D$2:$AY$2&amp;Demand_previous!$D$3:$AY$3, 0))/1000</f>
        <v>0</v>
      </c>
      <c r="AP104" s="103">
        <f t="array" ref="AP104">INDEX(Demand_previous!$D$4:$AY$137, MATCH('Staging Table'!$A104, Demand_previous!$B$4:$B$137, 0), MATCH(AP$4&amp;AP$5,Demand_previous!$D$2:$AY$2&amp;Demand_previous!$D$3:$AY$3, 0))/1000</f>
        <v>0</v>
      </c>
      <c r="AQ104" s="103">
        <f t="array" ref="AQ104">INDEX(Demand_previous!$D$4:$AY$137, MATCH('Staging Table'!$A104, Demand_previous!$B$4:$B$137, 0), MATCH(AQ$4&amp;AQ$5,Demand_previous!$D$2:$AY$2&amp;Demand_previous!$D$3:$AY$3, 0))/1000</f>
        <v>0</v>
      </c>
      <c r="AR104" s="103">
        <f t="array" ref="AR104">INDEX(Demand_previous!$D$4:$AY$137, MATCH('Staging Table'!$A104, Demand_previous!$B$4:$B$137, 0), MATCH(AR$4&amp;AR$5,Demand_previous!$D$2:$AY$2&amp;Demand_previous!$D$3:$AY$3, 0))/1000</f>
        <v>0</v>
      </c>
      <c r="AS104" s="103">
        <f t="array" ref="AS104">INDEX(Demand_previous!$D$4:$AY$137, MATCH('Staging Table'!$A104, Demand_previous!$B$4:$B$137, 0), MATCH(AS$4&amp;AS$5,Demand_previous!$D$2:$AY$2&amp;Demand_previous!$D$3:$AY$3, 0))/1000</f>
        <v>0</v>
      </c>
      <c r="AT104" s="103">
        <f t="array" ref="AT104">INDEX(Demand_previous!$D$4:$AY$137, MATCH('Staging Table'!$A104, Demand_previous!$B$4:$B$137, 0), MATCH(AT$4&amp;AT$5,Demand_previous!$D$2:$AY$2&amp;Demand_previous!$D$3:$AY$3, 0))/1000</f>
        <v>0</v>
      </c>
      <c r="AU104" s="103">
        <f t="array" ref="AU104">INDEX(Demand_previous!$D$4:$AY$137, MATCH('Staging Table'!$A104, Demand_previous!$B$4:$B$137, 0), MATCH(AU$4&amp;AU$5,Demand_previous!$D$2:$AY$2&amp;Demand_previous!$D$3:$AY$3, 0))/1000</f>
        <v>0</v>
      </c>
      <c r="AV104" s="102">
        <f>$F104*(VLOOKUP(AV$4, Rates_previous!$G$6:$Q$29, 10, FALSE)+VLOOKUP(AV$4, Rates_previous!$G$6:$Q$29, 11, FALSE))</f>
        <v>11308.081602324599</v>
      </c>
      <c r="AW104" s="102">
        <f>$F104*(VLOOKUP(AW$4, Rates_previous!$G$6:$Q$29, 10, FALSE)+VLOOKUP(AW$4, Rates_previous!$G$6:$Q$29, 11, FALSE))</f>
        <v>14421.532916503602</v>
      </c>
      <c r="AX104" s="102">
        <f>$F104*(VLOOKUP(AX$4, Rates_previous!$G$6:$Q$29, 10, FALSE)+VLOOKUP(AX$4, Rates_previous!$G$6:$Q$29, 11, FALSE))</f>
        <v>15563.687477574002</v>
      </c>
      <c r="AY104" s="102">
        <f>$F104*(VLOOKUP(AY$4, Rates_previous!$G$6:$Q$29, 10, FALSE)+VLOOKUP(AY$4, Rates_previous!$G$6:$Q$29, 11, FALSE))</f>
        <v>16173.0772458176</v>
      </c>
      <c r="AZ104" s="102">
        <f>$F104*(VLOOKUP(AZ$4, Rates_previous!$G$6:$Q$29, 10, FALSE)+VLOOKUP(AZ$4, Rates_previous!$G$6:$Q$29, 11, FALSE))</f>
        <v>13911.002164975198</v>
      </c>
      <c r="BA104" s="102">
        <f>$F104*(VLOOKUP(BA$4, Rates_previous!$G$6:$Q$29, 10, FALSE)+VLOOKUP(BA$4, Rates_previous!$G$6:$Q$29, 11, FALSE))</f>
        <v>15188.060124236399</v>
      </c>
      <c r="BB104" s="102">
        <f>$F104*(VLOOKUP(BB$4, Rates_previous!$G$6:$Q$29, 10, FALSE)+VLOOKUP(BB$4, Rates_previous!$G$6:$Q$29, 11, FALSE))</f>
        <v>11988.413969685698</v>
      </c>
      <c r="BC104" s="102">
        <f>$F104*(VLOOKUP(BC$4, Rates_previous!$G$6:$Q$29, 10, FALSE)+VLOOKUP(BC$4, Rates_previous!$G$6:$Q$29, 11, FALSE))</f>
        <v>14873.234051822599</v>
      </c>
      <c r="BD104" s="102">
        <f>$F104*(VLOOKUP(BD$4, Rates_previous!$G$6:$Q$29, 10, FALSE)+VLOOKUP(BD$4, Rates_previous!$G$6:$Q$29, 11, FALSE))</f>
        <v>15195.946100932199</v>
      </c>
      <c r="BE104" s="102">
        <f>$F104*(VLOOKUP(BE$4, Rates_previous!$G$6:$Q$29, 10, FALSE)+VLOOKUP(BE$4, Rates_previous!$G$6:$Q$29, 11, FALSE))</f>
        <v>13192.270470976599</v>
      </c>
      <c r="BF104" s="102">
        <f>$F104*(VLOOKUP(BF$4, Rates_previous!$G$6:$Q$29, 10, FALSE)+VLOOKUP(BF$4, Rates_previous!$G$6:$Q$29, 11, FALSE))</f>
        <v>12753.41892491854</v>
      </c>
      <c r="BG104" s="102">
        <f>$F104*(VLOOKUP(BG$4, Rates_previous!$G$6:$Q$29, 10, FALSE)+VLOOKUP(BG$4, Rates_previous!$G$6:$Q$29, 11, FALSE))</f>
        <v>11735.615095991201</v>
      </c>
      <c r="BH104" s="103">
        <f>IF($D104=0,IF(C104=0, MAX(BJ104 - (VLOOKUP($A104,TOCA_previous!$A$2:$AJ$136,MATCH("RHWM "&amp;Init!$D$1-2,TOCA_previous!$A$2:$AJ$2,0),FALSE)*$F$2*TOCA_previous!C101),0),0), 0)</f>
        <v>0</v>
      </c>
      <c r="BI104" s="109">
        <f>MIN(VLOOKUP($A104,TOCA_previous!$A$2:$AJ$136,MATCH("TRL - NLSL - Existing Resource "&amp;$F$1,TOCA_previous!$A$2:$AJ$2,0),FALSE)*$F$2,(VLOOKUP($A104,TOCA_previous!$A$2:$AJ$136,MATCH("RHWM "&amp;Init!$D$1-2,TOCA_previous!$A$2:$AJ$2,0),FALSE)*$F$2))</f>
        <v>162635.76</v>
      </c>
      <c r="BJ104" s="261">
        <f>SUM(L104:AI104)+(F104*RT1SC!$C$3*$F$2)</f>
        <v>166304.34090806398</v>
      </c>
      <c r="BK104" s="260">
        <f>VLOOKUP($A104,TOCA_previous!$A$2:$AJ$136,MATCH("Above RHWM Not Served with LS "&amp;$F$1,TOCA_previous!$A$2:$AJ$2,0),FALSE)*$F$2</f>
        <v>28855.440000000002</v>
      </c>
      <c r="BL104" s="261">
        <f t="shared" si="36"/>
        <v>3668.5809080639738</v>
      </c>
      <c r="BM104" s="260">
        <f>(VLOOKUP($A104,TOCA_previous!$A$2:$AJ$136,MATCH("RHWM "&amp;Init!$D$1-2,TOCA_previous!$A$2:$AJ$2,0),FALSE)*$F$2) - $BI104</f>
        <v>0</v>
      </c>
      <c r="BN104" s="261">
        <f t="shared" si="37"/>
        <v>0</v>
      </c>
      <c r="BO104" s="260">
        <f t="shared" si="38"/>
        <v>0</v>
      </c>
      <c r="BP104" s="261">
        <f t="shared" si="39"/>
        <v>0</v>
      </c>
      <c r="BQ104" s="260">
        <f t="shared" si="9"/>
        <v>0</v>
      </c>
      <c r="BR104" s="85">
        <f>VLOOKUP($A104,TOCA_current!$A$2:$ZZ$136,MATCH(BR$4,TOCA_current!$A$2:$ZZ$2,0),FALSE)</f>
        <v>2.6193000000000002E-3</v>
      </c>
      <c r="BS104" s="85">
        <f>VLOOKUP($A104,TOCA_current!$A$2:$ZZ$136,MATCH(BS$4,TOCA_current!$A$2:$ZZ$2,0),FALSE)</f>
        <v>2.6193000000000002E-3</v>
      </c>
      <c r="BT104" s="108">
        <f t="shared" si="40"/>
        <v>0</v>
      </c>
      <c r="BU104" s="85">
        <f>VLOOKUP($A104,TOCA_current!A101:BG235,MATCH(BU$4,TOCA_current!$A$2:$BG$2,0),FALSE)</f>
        <v>7.5668564064010319E-2</v>
      </c>
      <c r="BV104" s="85">
        <f t="shared" si="41"/>
        <v>7.5668564064010319E-2</v>
      </c>
      <c r="BW104" s="85">
        <f t="shared" si="42"/>
        <v>2.6193000000000002E-3</v>
      </c>
      <c r="BX104" s="101">
        <f>VLOOKUP($A104,IRD!$A$4:$G$138, 7, FALSE)</f>
        <v>0</v>
      </c>
      <c r="BY104" s="102">
        <f t="array" ref="BY104">IF($BT104=0, INDEX(LS_current!$D$4:$BW$137, MATCH('Staging Table'!$A104, LS_current!$B$4:$B$137, 0), MATCH(BY$4&amp;BY$5, LS_current!$D$2:$BW$2&amp;LS_current!$D$3:$BW$3, 0)),SUM(VLOOKUP($A104, LS_current!$B$4:$BW$137, LS_current!D$147, FALSE), VLOOKUP($A104, LS_current!$B$4:$BW$137,LS_current!AZ$147, FALSE))/2)</f>
        <v>0</v>
      </c>
      <c r="BZ104" s="102">
        <f t="array" ref="BZ104">IF($BT104=0, INDEX(LS_current!$D$4:$BW$137, MATCH('Staging Table'!$A104, LS_current!$B$4:$B$137, 0), MATCH(BZ$4&amp;BZ$5, LS_current!$D$2:$BW$2&amp;LS_current!$D$3:$BW$3, 0)),SUM(VLOOKUP($A104, LS_current!$B$4:$BW$137, LS_current!E$147, FALSE), VLOOKUP($A104, LS_current!$B$4:$BW$137,LS_current!BA$147, FALSE))/2)</f>
        <v>0</v>
      </c>
      <c r="CA104" s="102">
        <f t="array" ref="CA104">IF($BT104=0, INDEX(LS_current!$D$4:$BW$137, MATCH('Staging Table'!$A104, LS_current!$B$4:$B$137, 0), MATCH(CA$4&amp;CA$5, LS_current!$D$2:$BW$2&amp;LS_current!$D$3:$BW$3, 0)),SUM(VLOOKUP($A104, LS_current!$B$4:$BW$137, LS_current!F$147, FALSE), VLOOKUP($A104, LS_current!$B$4:$BW$137,LS_current!BB$147, FALSE))/2)</f>
        <v>0</v>
      </c>
      <c r="CB104" s="102">
        <f t="array" ref="CB104">IF($BT104=0, INDEX(LS_current!$D$4:$BW$137, MATCH('Staging Table'!$A104, LS_current!$B$4:$B$137, 0), MATCH(CB$4&amp;CB$5, LS_current!$D$2:$BW$2&amp;LS_current!$D$3:$BW$3, 0)),SUM(VLOOKUP($A104, LS_current!$B$4:$BW$137, LS_current!G$147, FALSE), VLOOKUP($A104, LS_current!$B$4:$BW$137,LS_current!BC$147, FALSE))/2)</f>
        <v>0</v>
      </c>
      <c r="CC104" s="102">
        <f t="array" ref="CC104">IF($BT104=0, INDEX(LS_current!$D$4:$BW$137, MATCH('Staging Table'!$A104, LS_current!$B$4:$B$137, 0), MATCH(CC$4&amp;CC$5, LS_current!$D$2:$BW$2&amp;LS_current!$D$3:$BW$3, 0)),SUM(VLOOKUP($A104, LS_current!$B$4:$BW$137, LS_current!H$147, FALSE), VLOOKUP($A104, LS_current!$B$4:$BW$137,LS_current!BD$147, FALSE))/2)</f>
        <v>0</v>
      </c>
      <c r="CD104" s="102">
        <f t="array" ref="CD104">IF($BT104=0, INDEX(LS_current!$D$4:$BW$137, MATCH('Staging Table'!$A104, LS_current!$B$4:$B$137, 0), MATCH(CD$4&amp;CD$5, LS_current!$D$2:$BW$2&amp;LS_current!$D$3:$BW$3, 0)),SUM(VLOOKUP($A104, LS_current!$B$4:$BW$137, LS_current!I$147, FALSE), VLOOKUP($A104, LS_current!$B$4:$BW$137,LS_current!BE$147, FALSE))/2)</f>
        <v>0</v>
      </c>
      <c r="CE104" s="102">
        <f t="array" ref="CE104">IF($BT104=0, INDEX(LS_current!$D$4:$BW$137, MATCH('Staging Table'!$A104, LS_current!$B$4:$B$137, 0), MATCH(CE$4&amp;CE$5, LS_current!$D$2:$BW$2&amp;LS_current!$D$3:$BW$3, 0)),SUM(VLOOKUP($A104, LS_current!$B$4:$BW$137, LS_current!J$147, FALSE), VLOOKUP($A104, LS_current!$B$4:$BW$137,LS_current!BF$147, FALSE))/2)</f>
        <v>0</v>
      </c>
      <c r="CF104" s="102">
        <f t="array" ref="CF104">IF($BT104=0, INDEX(LS_current!$D$4:$BW$137, MATCH('Staging Table'!$A104, LS_current!$B$4:$B$137, 0), MATCH(CF$4&amp;CF$5, LS_current!$D$2:$BW$2&amp;LS_current!$D$3:$BW$3, 0)),SUM(VLOOKUP($A104, LS_current!$B$4:$BW$137, LS_current!K$147, FALSE), VLOOKUP($A104, LS_current!$B$4:$BW$137,LS_current!BG$147, FALSE))/2)</f>
        <v>0</v>
      </c>
      <c r="CG104" s="102">
        <f t="array" ref="CG104">IF($BT104=0, INDEX(LS_current!$D$4:$BW$137, MATCH('Staging Table'!$A104, LS_current!$B$4:$B$137, 0), MATCH(CG$4&amp;CG$5, LS_current!$D$2:$BW$2&amp;LS_current!$D$3:$BW$3, 0)),SUM(VLOOKUP($A104, LS_current!$B$4:$BW$137, LS_current!L$147, FALSE), VLOOKUP($A104, LS_current!$B$4:$BW$137,LS_current!BH$147, FALSE))/2)</f>
        <v>0</v>
      </c>
      <c r="CH104" s="102">
        <f t="array" ref="CH104">IF($BT104=0, INDEX(LS_current!$D$4:$BW$137, MATCH('Staging Table'!$A104, LS_current!$B$4:$B$137, 0), MATCH(CH$4&amp;CH$5, LS_current!$D$2:$BW$2&amp;LS_current!$D$3:$BW$3, 0)),SUM(VLOOKUP($A104, LS_current!$B$4:$BW$137, LS_current!M$147, FALSE), VLOOKUP($A104, LS_current!$B$4:$BW$137,LS_current!BI$147, FALSE))/2)</f>
        <v>0</v>
      </c>
      <c r="CI104" s="102">
        <f t="array" ref="CI104">IF($BT104=0, INDEX(LS_current!$D$4:$BW$137, MATCH('Staging Table'!$A104, LS_current!$B$4:$B$137, 0), MATCH(CI$4&amp;CI$5, LS_current!$D$2:$BW$2&amp;LS_current!$D$3:$BW$3, 0)),SUM(VLOOKUP($A104, LS_current!$B$4:$BW$137, LS_current!N$147, FALSE), VLOOKUP($A104, LS_current!$B$4:$BW$137,LS_current!BJ$147, FALSE))/2)</f>
        <v>0</v>
      </c>
      <c r="CJ104" s="102">
        <f t="array" ref="CJ104">IF($BT104=0, INDEX(LS_current!$D$4:$BW$137, MATCH('Staging Table'!$A104, LS_current!$B$4:$B$137, 0), MATCH(CJ$4&amp;CJ$5, LS_current!$D$2:$BW$2&amp;LS_current!$D$3:$BW$3, 0)),SUM(VLOOKUP($A104, LS_current!$B$4:$BW$137, LS_current!O$147, FALSE), VLOOKUP($A104, LS_current!$B$4:$BW$137,LS_current!BK$147, FALSE))/2)</f>
        <v>0</v>
      </c>
      <c r="CK104" s="102">
        <f t="array" ref="CK104">IF($BT104=0, INDEX(LS_current!$D$4:$BW$137, MATCH('Staging Table'!$A104, LS_current!$B$4:$B$137, 0), MATCH(CK$4&amp;CK$5, LS_current!$D$2:$BW$2&amp;LS_current!$D$3:$BW$3, 0)),SUM(VLOOKUP($A104, LS_current!$B$4:$BW$137, LS_current!P$147, FALSE), VLOOKUP($A104, LS_current!$B$4:$BW$137,LS_current!BL$147, FALSE))/2)</f>
        <v>0</v>
      </c>
      <c r="CL104" s="102">
        <f t="array" ref="CL104">IF($BT104=0, INDEX(LS_current!$D$4:$BW$137, MATCH('Staging Table'!$A104, LS_current!$B$4:$B$137, 0), MATCH(CL$4&amp;CL$5, LS_current!$D$2:$BW$2&amp;LS_current!$D$3:$BW$3, 0)),SUM(VLOOKUP($A104, LS_current!$B$4:$BW$137, LS_current!Q$147, FALSE), VLOOKUP($A104, LS_current!$B$4:$BW$137,LS_current!BM$147, FALSE))/2)</f>
        <v>0</v>
      </c>
      <c r="CM104" s="102">
        <f t="array" ref="CM104">IF($BT104=0, INDEX(LS_current!$D$4:$BW$137, MATCH('Staging Table'!$A104, LS_current!$B$4:$B$137, 0), MATCH(CM$4&amp;CM$5, LS_current!$D$2:$BW$2&amp;LS_current!$D$3:$BW$3, 0)),SUM(VLOOKUP($A104, LS_current!$B$4:$BW$137, LS_current!R$147, FALSE), VLOOKUP($A104, LS_current!$B$4:$BW$137,LS_current!BN$147, FALSE))/2)</f>
        <v>0</v>
      </c>
      <c r="CN104" s="102">
        <f t="array" ref="CN104">IF($BT104=0, INDEX(LS_current!$D$4:$BW$137, MATCH('Staging Table'!$A104, LS_current!$B$4:$B$137, 0), MATCH(CN$4&amp;CN$5, LS_current!$D$2:$BW$2&amp;LS_current!$D$3:$BW$3, 0)),SUM(VLOOKUP($A104, LS_current!$B$4:$BW$137, LS_current!S$147, FALSE), VLOOKUP($A104, LS_current!$B$4:$BW$137,LS_current!BO$147, FALSE))/2)</f>
        <v>0</v>
      </c>
      <c r="CO104" s="102">
        <f t="array" ref="CO104">IF($BT104=0, INDEX(LS_current!$D$4:$BW$137, MATCH('Staging Table'!$A104, LS_current!$B$4:$B$137, 0), MATCH(CO$4&amp;CO$5, LS_current!$D$2:$BW$2&amp;LS_current!$D$3:$BW$3, 0)),SUM(VLOOKUP($A104, LS_current!$B$4:$BW$137, LS_current!T$147, FALSE), VLOOKUP($A104, LS_current!$B$4:$BW$137,LS_current!BP$147, FALSE))/2)</f>
        <v>0</v>
      </c>
      <c r="CP104" s="102">
        <f t="array" ref="CP104">IF($BT104=0, INDEX(LS_current!$D$4:$BW$137, MATCH('Staging Table'!$A104, LS_current!$B$4:$B$137, 0), MATCH(CP$4&amp;CP$5, LS_current!$D$2:$BW$2&amp;LS_current!$D$3:$BW$3, 0)),SUM(VLOOKUP($A104, LS_current!$B$4:$BW$137, LS_current!U$147, FALSE), VLOOKUP($A104, LS_current!$B$4:$BW$137,LS_current!BQ$147, FALSE))/2)</f>
        <v>0</v>
      </c>
      <c r="CQ104" s="102">
        <f t="array" ref="CQ104">IF($BT104=0, INDEX(LS_current!$D$4:$BW$137, MATCH('Staging Table'!$A104, LS_current!$B$4:$B$137, 0), MATCH(CQ$4&amp;CQ$5, LS_current!$D$2:$BW$2&amp;LS_current!$D$3:$BW$3, 0)),SUM(VLOOKUP($A104, LS_current!$B$4:$BW$137, LS_current!V$147, FALSE), VLOOKUP($A104, LS_current!$B$4:$BW$137,LS_current!BR$147, FALSE))/2)</f>
        <v>0</v>
      </c>
      <c r="CR104" s="102">
        <f t="array" ref="CR104">IF($BT104=0, INDEX(LS_current!$D$4:$BW$137, MATCH('Staging Table'!$A104, LS_current!$B$4:$B$137, 0), MATCH(CR$4&amp;CR$5, LS_current!$D$2:$BW$2&amp;LS_current!$D$3:$BW$3, 0)),SUM(VLOOKUP($A104, LS_current!$B$4:$BW$137, LS_current!W$147, FALSE), VLOOKUP($A104, LS_current!$B$4:$BW$137,LS_current!BS$147, FALSE))/2)</f>
        <v>0</v>
      </c>
      <c r="CS104" s="102">
        <f t="array" ref="CS104">IF($BT104=0, INDEX(LS_current!$D$4:$BW$137, MATCH('Staging Table'!$A104, LS_current!$B$4:$B$137, 0), MATCH(CS$4&amp;CS$5, LS_current!$D$2:$BW$2&amp;LS_current!$D$3:$BW$3, 0)),SUM(VLOOKUP($A104, LS_current!$B$4:$BW$137, LS_current!X$147, FALSE), VLOOKUP($A104, LS_current!$B$4:$BW$137,LS_current!BT$147, FALSE))/2)</f>
        <v>0</v>
      </c>
      <c r="CT104" s="102">
        <f t="array" ref="CT104">IF($BT104=0, INDEX(LS_current!$D$4:$BW$137, MATCH('Staging Table'!$A104, LS_current!$B$4:$B$137, 0), MATCH(CT$4&amp;CT$5, LS_current!$D$2:$BW$2&amp;LS_current!$D$3:$BW$3, 0)),SUM(VLOOKUP($A104, LS_current!$B$4:$BW$137, LS_current!Y$147, FALSE), VLOOKUP($A104, LS_current!$B$4:$BW$137,LS_current!BU$147, FALSE))/2)</f>
        <v>0</v>
      </c>
      <c r="CU104" s="102">
        <f t="array" ref="CU104">IF($BT104=0, INDEX(LS_current!$D$4:$BW$137, MATCH('Staging Table'!$A104, LS_current!$B$4:$B$137, 0), MATCH(CU$4&amp;CU$5, LS_current!$D$2:$BW$2&amp;LS_current!$D$3:$BW$3, 0)),SUM(VLOOKUP($A104, LS_current!$B$4:$BW$137, LS_current!Z$147, FALSE), VLOOKUP($A104, LS_current!$B$4:$BW$137,LS_current!BV$147, FALSE))/2)</f>
        <v>0</v>
      </c>
      <c r="CV104" s="102">
        <f t="array" ref="CV104">IF($BT104=0, INDEX(LS_current!$D$4:$BW$137, MATCH('Staging Table'!$A104, LS_current!$B$4:$B$137, 0), MATCH(CV$4&amp;CV$5, LS_current!$D$2:$BW$2&amp;LS_current!$D$3:$BW$3, 0)),SUM(VLOOKUP($A104, LS_current!$B$4:$BW$137, LS_current!AA$147, FALSE), VLOOKUP($A104, LS_current!$B$4:$BW$137,LS_current!BW$147, FALSE))/2)</f>
        <v>0</v>
      </c>
      <c r="CW104" s="103">
        <f t="array" ref="CW104">INDEX(Demand_current!$D$4:$BW$137, MATCH($A104, Demand_current!$B$4:$B$137, 0), MATCH(CW$4&amp;CW$5,Demand_current!$D$2:$BW$2&amp;Demand_current!$D$3:$BW$3, 0))/1000</f>
        <v>0</v>
      </c>
      <c r="CX104" s="103">
        <f t="array" ref="CX104">INDEX(Demand_current!$D$4:$BW$137, MATCH($A104, Demand_current!$B$4:$B$137, 0), MATCH(CX$4&amp;CX$5,Demand_current!$D$2:$BW$2&amp;Demand_current!$D$3:$BW$3, 0))/1000</f>
        <v>0</v>
      </c>
      <c r="CY104" s="103">
        <f t="array" ref="CY104">INDEX(Demand_current!$D$4:$BW$137, MATCH($A104, Demand_current!$B$4:$B$137, 0), MATCH(CY$4&amp;CY$5,Demand_current!$D$2:$BW$2&amp;Demand_current!$D$3:$BW$3, 0))/1000</f>
        <v>0</v>
      </c>
      <c r="CZ104" s="103">
        <f t="array" ref="CZ104">INDEX(Demand_current!$D$4:$BW$137, MATCH($A104, Demand_current!$B$4:$B$137, 0), MATCH(CZ$4&amp;CZ$5,Demand_current!$D$2:$BW$2&amp;Demand_current!$D$3:$BW$3, 0))/1000</f>
        <v>0</v>
      </c>
      <c r="DA104" s="103">
        <f t="array" ref="DA104">INDEX(Demand_current!$D$4:$BW$137, MATCH($A104, Demand_current!$B$4:$B$137, 0), MATCH(DA$4&amp;DA$5,Demand_current!$D$2:$BW$2&amp;Demand_current!$D$3:$BW$3, 0))/1000</f>
        <v>0</v>
      </c>
      <c r="DB104" s="103">
        <f t="array" ref="DB104">INDEX(Demand_current!$D$4:$BW$137, MATCH($A104, Demand_current!$B$4:$B$137, 0), MATCH(DB$4&amp;DB$5,Demand_current!$D$2:$BW$2&amp;Demand_current!$D$3:$BW$3, 0))/1000</f>
        <v>0</v>
      </c>
      <c r="DC104" s="103">
        <f t="array" ref="DC104">INDEX(Demand_current!$D$4:$BW$137, MATCH($A104, Demand_current!$B$4:$B$137, 0), MATCH(DC$4&amp;DC$5,Demand_current!$D$2:$BW$2&amp;Demand_current!$D$3:$BW$3, 0))/1000</f>
        <v>0</v>
      </c>
      <c r="DD104" s="103">
        <f t="array" ref="DD104">INDEX(Demand_current!$D$4:$BW$137, MATCH($A104, Demand_current!$B$4:$B$137, 0), MATCH(DD$4&amp;DD$5,Demand_current!$D$2:$BW$2&amp;Demand_current!$D$3:$BW$3, 0))/1000</f>
        <v>0</v>
      </c>
      <c r="DE104" s="103">
        <f t="array" ref="DE104">INDEX(Demand_current!$D$4:$BW$137, MATCH($A104, Demand_current!$B$4:$B$137, 0), MATCH(DE$4&amp;DE$5,Demand_current!$D$2:$BW$2&amp;Demand_current!$D$3:$BW$3, 0))/1000</f>
        <v>0</v>
      </c>
      <c r="DF104" s="103">
        <f t="array" ref="DF104">INDEX(Demand_current!$D$4:$BW$137, MATCH($A104, Demand_current!$B$4:$B$137, 0), MATCH(DF$4&amp;DF$5,Demand_current!$D$2:$BW$2&amp;Demand_current!$D$3:$BW$3, 0))/1000</f>
        <v>0</v>
      </c>
      <c r="DG104" s="103">
        <f t="array" ref="DG104">INDEX(Demand_current!$D$4:$BW$137, MATCH($A104, Demand_current!$B$4:$B$137, 0), MATCH(DG$4&amp;DG$5,Demand_current!$D$2:$BW$2&amp;Demand_current!$D$3:$BW$3, 0))/1000</f>
        <v>0</v>
      </c>
      <c r="DH104" s="103">
        <f t="array" ref="DH104">INDEX(Demand_current!$D$4:$BW$137, MATCH($A104, Demand_current!$B$4:$B$137, 0), MATCH(DH$4&amp;DH$5,Demand_current!$D$2:$BW$2&amp;Demand_current!$D$3:$BW$3, 0))/1000</f>
        <v>0</v>
      </c>
      <c r="DI104" s="102">
        <f>$BS104*(VLOOKUP(DI$4, Rates_current!$H$6:$R$41, 10, FALSE)+VLOOKUP(DI$4, Rates_current!$H$6:$R$41, 11, FALSE))</f>
        <v>10870.848333408732</v>
      </c>
      <c r="DJ104" s="102">
        <f>$BS104*(VLOOKUP(DJ$4, Rates_current!$H$6:$R$41, 10, FALSE)+VLOOKUP(DJ$4, Rates_current!$H$6:$R$41, 11, FALSE))</f>
        <v>13898.021812033117</v>
      </c>
      <c r="DK104" s="102">
        <f>$BS104*(VLOOKUP(DK$4, Rates_current!$H$6:$R$41, 10, FALSE)+VLOOKUP(DK$4, Rates_current!$H$6:$R$41, 11, FALSE))</f>
        <v>15800.888412077815</v>
      </c>
      <c r="DL104" s="102">
        <f>$BS104*(VLOOKUP(DL$4, Rates_current!$H$6:$R$41, 10, FALSE)+VLOOKUP(DL$4, Rates_current!$H$6:$R$41, 11, FALSE))</f>
        <v>16671.170674478843</v>
      </c>
      <c r="DM104" s="102">
        <f>$BS104*(VLOOKUP(DM$4, Rates_current!$H$6:$R$41, 10, FALSE)+VLOOKUP(DM$4, Rates_current!$H$6:$R$41, 11, FALSE))</f>
        <v>13285.418396894915</v>
      </c>
      <c r="DN104" s="102">
        <f>$BS104*(VLOOKUP(DN$4, Rates_current!$H$6:$R$41, 10, FALSE)+VLOOKUP(DN$4, Rates_current!$H$6:$R$41, 11, FALSE))</f>
        <v>14523.690544824092</v>
      </c>
      <c r="DO104" s="102">
        <f>$BS104*(VLOOKUP(DO$4, Rates_current!$H$6:$R$41, 10, FALSE)+VLOOKUP(DO$4, Rates_current!$H$6:$R$41, 11, FALSE))</f>
        <v>11256.006267088207</v>
      </c>
      <c r="DP104" s="102">
        <f>$BS104*(VLOOKUP(DP$4, Rates_current!$H$6:$R$41, 10, FALSE)+VLOOKUP(DP$4, Rates_current!$H$6:$R$41, 11, FALSE))</f>
        <v>14567.125437492352</v>
      </c>
      <c r="DQ104" s="102">
        <f>$BS104*(VLOOKUP(DQ$4, Rates_current!$H$6:$R$41, 10, FALSE)+VLOOKUP(DQ$4, Rates_current!$H$6:$R$41, 11, FALSE))</f>
        <v>14878.175970473561</v>
      </c>
      <c r="DR104" s="102">
        <f>$BS104*(VLOOKUP(DR$4, Rates_current!$H$6:$R$41, 10, FALSE)+VLOOKUP(DR$4, Rates_current!$H$6:$R$41, 11, FALSE))</f>
        <v>13242.863348790075</v>
      </c>
      <c r="DS104" s="102">
        <f>$BS104*(VLOOKUP(DS$4, Rates_current!$H$6:$R$41, 10, FALSE)+VLOOKUP(DS$4, Rates_current!$H$6:$R$41, 11, FALSE))</f>
        <v>13584.749134220858</v>
      </c>
      <c r="DT104" s="102">
        <f>$BS104*(VLOOKUP(DT$4, Rates_current!$H$6:$R$41, 10, FALSE)+VLOOKUP(DT$4, Rates_current!$H$6:$R$41, 11, FALSE))</f>
        <v>10550.186128276786</v>
      </c>
      <c r="DU104" s="261">
        <f>IF(D104=0,IF(C104=0,MAX(0,DW104 - (VLOOKUP($A104,TOCA_current!$A$2:$AV$136,MATCH("RHWM "&amp;Init!$D$1,TOCA_current!$A$2:$AV$2,0),FALSE)*$BS$2)), 0),0)</f>
        <v>0</v>
      </c>
      <c r="DV104" s="262">
        <f>MIN(VLOOKUP($A104,TOCA_current!$A$2:$AV$136,MATCH("TRL - NLSL - Existing Resource "&amp;$BS$1,TOCA_current!$A$2:$AV$2,0),FALSE)*$BS$2, VLOOKUP($A104,TOCA_current!$A$2:$AV$136,MATCH("RHWM "&amp;Init!$D$1,TOCA_current!$A$2:$AV$2,0),FALSE)*$BS$2)</f>
        <v>163128.72</v>
      </c>
      <c r="DW104" s="262">
        <f>SUM(BY104:CV104)+(BS104*RT1SC!$C$4*$BS$2)</f>
        <v>163129.15408953602</v>
      </c>
      <c r="DX104" s="262">
        <f>VLOOKUP($A104,TOCA_current!$A$2:$AV$136,MATCH("Above RHWM Not Served with LS "&amp;$BS$1,TOCA_current!$A$2:$AV$2,0),FALSE)*$BS$2</f>
        <v>42599.880000000005</v>
      </c>
      <c r="DY104" s="262">
        <f t="shared" si="43"/>
        <v>0.43408953602192923</v>
      </c>
      <c r="DZ104" s="262">
        <f>(VLOOKUP($A104,TOCA_current!$A$2:$AV$136,MATCH("RHWM "&amp;Init!$D$1,TOCA_current!$A$2:$AV$2,0),FALSE)*$BS$2) - $DV104</f>
        <v>0</v>
      </c>
      <c r="EA104" s="262">
        <f t="shared" si="44"/>
        <v>0</v>
      </c>
      <c r="EB104" s="262">
        <f t="shared" si="45"/>
        <v>0</v>
      </c>
      <c r="EC104" s="262">
        <f t="shared" si="46"/>
        <v>0</v>
      </c>
      <c r="ED104" s="262">
        <f t="shared" si="47"/>
        <v>0</v>
      </c>
    </row>
    <row r="105" spans="1:134">
      <c r="A105" s="2">
        <v>10338</v>
      </c>
      <c r="B105" s="3" t="s">
        <v>107</v>
      </c>
      <c r="C105">
        <f>VLOOKUP(A105, TOCA_current!$A$3:$D$136, 4, FALSE)</f>
        <v>0</v>
      </c>
      <c r="D105">
        <v>0</v>
      </c>
      <c r="E105" s="84">
        <f>VLOOKUP($A105,TOCA_previous!$A$2:$AJ$136,MATCH(E$4,TOCA_previous!$A$2:$AJ$2,0),FALSE)</f>
        <v>3.435E-4</v>
      </c>
      <c r="F105" s="85">
        <f>VLOOKUP($A105,TOCA_previous!$A$2:$AJ$136,MATCH(F$4,TOCA_previous!$A$2:$AJ$2,0),FALSE)</f>
        <v>3.435E-4</v>
      </c>
      <c r="G105" s="85">
        <f t="shared" si="33"/>
        <v>0</v>
      </c>
      <c r="H105" s="85">
        <f>VLOOKUP($A105,TOCA_previous!$A$2:$AJ$136,MATCH(H$4,TOCA_previous!$A$2:$AJ$2,0),FALSE)</f>
        <v>3.4829329962073323E-2</v>
      </c>
      <c r="I105" s="85">
        <f t="shared" si="34"/>
        <v>0</v>
      </c>
      <c r="J105" s="85">
        <f t="shared" si="35"/>
        <v>0</v>
      </c>
      <c r="K105" s="101">
        <f>VLOOKUP(A105, IRD!$A$5:$C$138, 3, FALSE)</f>
        <v>4155.21</v>
      </c>
      <c r="L105" s="102">
        <f t="array" ref="L105">IF($G105=0, INDEX(LS_previous!$D$4:$AY$137, MATCH('Staging Table'!$A105, LS_previous!$B$4:$B$137, 0), MATCH(L$4&amp;L$5, LS_previous!$D$2:$AY$2&amp;LS_previous!$D$3:$AY$3, 0)),SUM(VLOOKUP($A105, LS_previous!$B$4:$AY$137, LS_previous!D$148, FALSE), VLOOKUP('Staging Table'!$A105, LS_previous!$B$4:$AY$137,LS_previous!AB$148, FALSE))/2)</f>
        <v>6.7194736339998826</v>
      </c>
      <c r="M105" s="102">
        <f t="array" ref="M105">IF($G105=0, INDEX(LS_previous!$D$4:$AY$137, MATCH('Staging Table'!$A105, LS_previous!$B$4:$B$137, 0), MATCH(M$4&amp;M$5, LS_previous!$D$2:$AY$2&amp;LS_previous!$D$3:$AY$3, 0)),SUM(VLOOKUP($A105, LS_previous!$B$4:$AY$137, LS_previous!E$148, FALSE), VLOOKUP('Staging Table'!$A105, LS_previous!$B$4:$AY$137,LS_previous!AC$148, FALSE))/2)</f>
        <v>10.032434290750075</v>
      </c>
      <c r="N105" s="102">
        <f t="array" ref="N105">IF($G105=0, INDEX(LS_previous!$D$4:$AY$137, MATCH('Staging Table'!$A105, LS_previous!$B$4:$B$137, 0), MATCH(N$4&amp;N$5, LS_previous!$D$2:$AY$2&amp;LS_previous!$D$3:$AY$3, 0)),SUM(VLOOKUP($A105, LS_previous!$B$4:$AY$137, LS_previous!F$148, FALSE), VLOOKUP('Staging Table'!$A105, LS_previous!$B$4:$AY$137,LS_previous!AD$148, FALSE))/2)</f>
        <v>-282.70639716800019</v>
      </c>
      <c r="O105" s="102">
        <f t="array" ref="O105">IF($G105=0, INDEX(LS_previous!$D$4:$AY$137, MATCH('Staging Table'!$A105, LS_previous!$B$4:$B$137, 0), MATCH(O$4&amp;O$5, LS_previous!$D$2:$AY$2&amp;LS_previous!$D$3:$AY$3, 0)),SUM(VLOOKUP($A105, LS_previous!$B$4:$AY$137, LS_previous!G$148, FALSE), VLOOKUP('Staging Table'!$A105, LS_previous!$B$4:$AY$137,LS_previous!AE$148, FALSE))/2)</f>
        <v>-16.352309748500033</v>
      </c>
      <c r="P105" s="102">
        <f t="array" ref="P105">IF($G105=0, INDEX(LS_previous!$D$4:$AY$137, MATCH('Staging Table'!$A105, LS_previous!$B$4:$B$137, 0), MATCH(P$4&amp;P$5, LS_previous!$D$2:$AY$2&amp;LS_previous!$D$3:$AY$3, 0)),SUM(VLOOKUP($A105, LS_previous!$B$4:$AY$137, LS_previous!H$148, FALSE), VLOOKUP('Staging Table'!$A105, LS_previous!$B$4:$AY$137,LS_previous!AF$148, FALSE))/2)</f>
        <v>124.27614865350006</v>
      </c>
      <c r="Q105" s="102">
        <f t="array" ref="Q105">IF($G105=0, INDEX(LS_previous!$D$4:$AY$137, MATCH('Staging Table'!$A105, LS_previous!$B$4:$B$137, 0), MATCH(Q$4&amp;Q$5, LS_previous!$D$2:$AY$2&amp;LS_previous!$D$3:$AY$3, 0)),SUM(VLOOKUP($A105, LS_previous!$B$4:$AY$137, LS_previous!I$148, FALSE), VLOOKUP('Staging Table'!$A105, LS_previous!$B$4:$AY$137,LS_previous!AG$148, FALSE))/2)</f>
        <v>231.57916542399994</v>
      </c>
      <c r="R105" s="102">
        <f t="array" ref="R105">IF($G105=0, INDEX(LS_previous!$D$4:$AY$137, MATCH('Staging Table'!$A105, LS_previous!$B$4:$B$137, 0), MATCH(R$4&amp;R$5, LS_previous!$D$2:$AY$2&amp;LS_previous!$D$3:$AY$3, 0)),SUM(VLOOKUP($A105, LS_previous!$B$4:$AY$137, LS_previous!J$148, FALSE), VLOOKUP('Staging Table'!$A105, LS_previous!$B$4:$AY$137,LS_previous!AH$148, FALSE))/2)</f>
        <v>45.570895897499895</v>
      </c>
      <c r="S105" s="102">
        <f t="array" ref="S105">IF($G105=0, INDEX(LS_previous!$D$4:$AY$137, MATCH('Staging Table'!$A105, LS_previous!$B$4:$B$137, 0), MATCH(S$4&amp;S$5, LS_previous!$D$2:$AY$2&amp;LS_previous!$D$3:$AY$3, 0)),SUM(VLOOKUP($A105, LS_previous!$B$4:$AY$137, LS_previous!K$148, FALSE), VLOOKUP('Staging Table'!$A105, LS_previous!$B$4:$AY$137,LS_previous!AI$148, FALSE))/2)</f>
        <v>250.88258703849988</v>
      </c>
      <c r="T105" s="102">
        <f t="array" ref="T105">IF($G105=0, INDEX(LS_previous!$D$4:$AY$137, MATCH('Staging Table'!$A105, LS_previous!$B$4:$B$137, 0), MATCH(T$4&amp;T$5, LS_previous!$D$2:$AY$2&amp;LS_previous!$D$3:$AY$3, 0)),SUM(VLOOKUP($A105, LS_previous!$B$4:$AY$137, LS_previous!L$148, FALSE), VLOOKUP('Staging Table'!$A105, LS_previous!$B$4:$AY$137,LS_previous!AJ$148, FALSE))/2)</f>
        <v>-80.36558443649983</v>
      </c>
      <c r="U105" s="102">
        <f t="array" ref="U105">IF($G105=0, INDEX(LS_previous!$D$4:$AY$137, MATCH('Staging Table'!$A105, LS_previous!$B$4:$B$137, 0), MATCH(U$4&amp;U$5, LS_previous!$D$2:$AY$2&amp;LS_previous!$D$3:$AY$3, 0)),SUM(VLOOKUP($A105, LS_previous!$B$4:$AY$137, LS_previous!M$148, FALSE), VLOOKUP('Staging Table'!$A105, LS_previous!$B$4:$AY$137,LS_previous!AK$148, FALSE))/2)</f>
        <v>124.9486770835</v>
      </c>
      <c r="V105" s="102">
        <f t="array" ref="V105">IF($G105=0, INDEX(LS_previous!$D$4:$AY$137, MATCH('Staging Table'!$A105, LS_previous!$B$4:$B$137, 0), MATCH(V$4&amp;V$5, LS_previous!$D$2:$AY$2&amp;LS_previous!$D$3:$AY$3, 0)),SUM(VLOOKUP($A105, LS_previous!$B$4:$AY$137, LS_previous!N$148, FALSE), VLOOKUP('Staging Table'!$A105, LS_previous!$B$4:$AY$137,LS_previous!AL$148, FALSE))/2)</f>
        <v>-253.19721531549988</v>
      </c>
      <c r="W105" s="102">
        <f t="array" ref="W105">IF($G105=0, INDEX(LS_previous!$D$4:$AY$137, MATCH('Staging Table'!$A105, LS_previous!$B$4:$B$137, 0), MATCH(W$4&amp;W$5, LS_previous!$D$2:$AY$2&amp;LS_previous!$D$3:$AY$3, 0)),SUM(VLOOKUP($A105, LS_previous!$B$4:$AY$137, LS_previous!O$148, FALSE), VLOOKUP('Staging Table'!$A105, LS_previous!$B$4:$AY$137,LS_previous!AM$148, FALSE))/2)</f>
        <v>-37.03788074299996</v>
      </c>
      <c r="X105" s="102">
        <f t="array" ref="X105">IF($G105=0, INDEX(LS_previous!$D$4:$AY$137, MATCH('Staging Table'!$A105, LS_previous!$B$4:$B$137, 0), MATCH(X$4&amp;X$5, LS_previous!$D$2:$AY$2&amp;LS_previous!$D$3:$AY$3, 0)),SUM(VLOOKUP($A105, LS_previous!$B$4:$AY$137, LS_previous!P$148, FALSE), VLOOKUP('Staging Table'!$A105, LS_previous!$B$4:$AY$137,LS_previous!AN$148, FALSE))/2)</f>
        <v>122.8599284287501</v>
      </c>
      <c r="Y105" s="102">
        <f t="array" ref="Y105">IF($G105=0, INDEX(LS_previous!$D$4:$AY$137, MATCH('Staging Table'!$A105, LS_previous!$B$4:$B$137, 0), MATCH(Y$4&amp;Y$5, LS_previous!$D$2:$AY$2&amp;LS_previous!$D$3:$AY$3, 0)),SUM(VLOOKUP($A105, LS_previous!$B$4:$AY$137, LS_previous!Q$148, FALSE), VLOOKUP('Staging Table'!$A105, LS_previous!$B$4:$AY$137,LS_previous!AO$148, FALSE))/2)</f>
        <v>116.77767588887502</v>
      </c>
      <c r="Z105" s="102">
        <f t="array" ref="Z105">IF($G105=0, INDEX(LS_previous!$D$4:$AY$137, MATCH('Staging Table'!$A105, LS_previous!$B$4:$B$137, 0), MATCH(Z$4&amp;Z$5, LS_previous!$D$2:$AY$2&amp;LS_previous!$D$3:$AY$3, 0)),SUM(VLOOKUP($A105, LS_previous!$B$4:$AY$137, LS_previous!R$148, FALSE), VLOOKUP('Staging Table'!$A105, LS_previous!$B$4:$AY$137,LS_previous!AP$148, FALSE))/2)</f>
        <v>135.80891271199994</v>
      </c>
      <c r="AA105" s="102">
        <f t="array" ref="AA105">IF($G105=0, INDEX(LS_previous!$D$4:$AY$137, MATCH('Staging Table'!$A105, LS_previous!$B$4:$B$137, 0), MATCH(AA$4&amp;AA$5, LS_previous!$D$2:$AY$2&amp;LS_previous!$D$3:$AY$3, 0)),SUM(VLOOKUP($A105, LS_previous!$B$4:$AY$137, LS_previous!S$148, FALSE), VLOOKUP('Staging Table'!$A105, LS_previous!$B$4:$AY$137,LS_previous!AQ$148, FALSE))/2)</f>
        <v>215.01574405525014</v>
      </c>
      <c r="AB105" s="102">
        <f t="array" ref="AB105">IF($G105=0, INDEX(LS_previous!$D$4:$AY$137, MATCH('Staging Table'!$A105, LS_previous!$B$4:$B$137, 0), MATCH(AB$4&amp;AB$5, LS_previous!$D$2:$AY$2&amp;LS_previous!$D$3:$AY$3, 0)),SUM(VLOOKUP($A105, LS_previous!$B$4:$AY$137, LS_previous!T$148, FALSE), VLOOKUP('Staging Table'!$A105, LS_previous!$B$4:$AY$137,LS_previous!AR$148, FALSE))/2)</f>
        <v>448.19227741899999</v>
      </c>
      <c r="AC105" s="102">
        <f t="array" ref="AC105">IF($G105=0, INDEX(LS_previous!$D$4:$AY$137, MATCH('Staging Table'!$A105, LS_previous!$B$4:$B$137, 0), MATCH(AC$4&amp;AC$5, LS_previous!$D$2:$AY$2&amp;LS_previous!$D$3:$AY$3, 0)),SUM(VLOOKUP($A105, LS_previous!$B$4:$AY$137, LS_previous!U$148, FALSE), VLOOKUP('Staging Table'!$A105, LS_previous!$B$4:$AY$137,LS_previous!AS$148, FALSE))/2)</f>
        <v>294.30301877925001</v>
      </c>
      <c r="AD105" s="102">
        <f t="array" ref="AD105">IF($G105=0, INDEX(LS_previous!$D$4:$AY$137, MATCH('Staging Table'!$A105, LS_previous!$B$4:$B$137, 0), MATCH(AD$4&amp;AD$5, LS_previous!$D$2:$AY$2&amp;LS_previous!$D$3:$AY$3, 0)),SUM(VLOOKUP($A105, LS_previous!$B$4:$AY$137, LS_previous!V$148, FALSE), VLOOKUP('Staging Table'!$A105, LS_previous!$B$4:$AY$137,LS_previous!AT$148, FALSE))/2)</f>
        <v>623.8445890659998</v>
      </c>
      <c r="AE105" s="102">
        <f t="array" ref="AE105">IF($G105=0, INDEX(LS_previous!$D$4:$AY$137, MATCH('Staging Table'!$A105, LS_previous!$B$4:$B$137, 0), MATCH(AE$4&amp;AE$5, LS_previous!$D$2:$AY$2&amp;LS_previous!$D$3:$AY$3, 0)),SUM(VLOOKUP($A105, LS_previous!$B$4:$AY$137, LS_previous!W$148, FALSE), VLOOKUP('Staging Table'!$A105, LS_previous!$B$4:$AY$137,LS_previous!AU$148, FALSE))/2)</f>
        <v>474.87077745375007</v>
      </c>
      <c r="AF105" s="102">
        <f t="array" ref="AF105">IF($G105=0, INDEX(LS_previous!$D$4:$AY$137, MATCH('Staging Table'!$A105, LS_previous!$B$4:$B$137, 0), MATCH(AF$4&amp;AF$5, LS_previous!$D$2:$AY$2&amp;LS_previous!$D$3:$AY$3, 0)),SUM(VLOOKUP($A105, LS_previous!$B$4:$AY$137, LS_previous!X$148, FALSE), VLOOKUP('Staging Table'!$A105, LS_previous!$B$4:$AY$137,LS_previous!AV$148, FALSE))/2)</f>
        <v>503.63232608974999</v>
      </c>
      <c r="AG105" s="102">
        <f t="array" ref="AG105">IF($G105=0, INDEX(LS_previous!$D$4:$AY$137, MATCH('Staging Table'!$A105, LS_previous!$B$4:$B$137, 0), MATCH(AG$4&amp;AG$5, LS_previous!$D$2:$AY$2&amp;LS_previous!$D$3:$AY$3, 0)),SUM(VLOOKUP($A105, LS_previous!$B$4:$AY$137, LS_previous!Y$148, FALSE), VLOOKUP('Staging Table'!$A105, LS_previous!$B$4:$AY$137,LS_previous!AW$148, FALSE))/2)</f>
        <v>401.19496957152501</v>
      </c>
      <c r="AH105" s="102">
        <f t="array" ref="AH105">IF($G105=0, INDEX(LS_previous!$D$4:$AY$137, MATCH('Staging Table'!$A105, LS_previous!$B$4:$B$137, 0), MATCH(AH$4&amp;AH$5, LS_previous!$D$2:$AY$2&amp;LS_previous!$D$3:$AY$3, 0)),SUM(VLOOKUP($A105, LS_previous!$B$4:$AY$137, LS_previous!Z$148, FALSE), VLOOKUP('Staging Table'!$A105, LS_previous!$B$4:$AY$137,LS_previous!AX$148, FALSE))/2)</f>
        <v>103.29670288099999</v>
      </c>
      <c r="AI105" s="102">
        <f t="array" ref="AI105">IF($G105=0, INDEX(LS_previous!$D$4:$AY$137, MATCH('Staging Table'!$A105, LS_previous!$B$4:$B$137, 0), MATCH(AI$4&amp;AI$5, LS_previous!$D$2:$AY$2&amp;LS_previous!$D$3:$AY$3, 0)),SUM(VLOOKUP($A105, LS_previous!$B$4:$AY$137, LS_previous!AA$148, FALSE), VLOOKUP('Staging Table'!$A105, LS_previous!$B$4:$AY$137,LS_previous!AY$148, FALSE))/2)</f>
        <v>82.573712775999979</v>
      </c>
      <c r="AJ105" s="103">
        <f t="array" ref="AJ105">INDEX(Demand_previous!$D$4:$AY$137, MATCH('Staging Table'!$A105, Demand_previous!$B$4:$B$137, 0), MATCH(AJ$4&amp;AJ$5,Demand_previous!$D$2:$AY$2&amp;Demand_previous!$D$3:$AY$3, 0))/1000</f>
        <v>4.6240384615384711E-2</v>
      </c>
      <c r="AK105" s="103">
        <f t="array" ref="AK105">INDEX(Demand_previous!$D$4:$AY$137, MATCH('Staging Table'!$A105, Demand_previous!$B$4:$B$137, 0), MATCH(AK$4&amp;AK$5,Demand_previous!$D$2:$AY$2&amp;Demand_previous!$D$3:$AY$3, 0))/1000</f>
        <v>0.18638750000000015</v>
      </c>
      <c r="AL105" s="103">
        <f t="array" ref="AL105">INDEX(Demand_previous!$D$4:$AY$137, MATCH('Staging Table'!$A105, Demand_previous!$B$4:$B$137, 0), MATCH(AL$4&amp;AL$5,Demand_previous!$D$2:$AY$2&amp;Demand_previous!$D$3:$AY$3, 0))/1000</f>
        <v>0.41309249999999986</v>
      </c>
      <c r="AM105" s="103">
        <f t="array" ref="AM105">INDEX(Demand_previous!$D$4:$AY$137, MATCH('Staging Table'!$A105, Demand_previous!$B$4:$B$137, 0), MATCH(AM$4&amp;AM$5,Demand_previous!$D$2:$AY$2&amp;Demand_previous!$D$3:$AY$3, 0))/1000</f>
        <v>0.55781490384615395</v>
      </c>
      <c r="AN105" s="103">
        <f t="array" ref="AN105">INDEX(Demand_previous!$D$4:$AY$137, MATCH('Staging Table'!$A105, Demand_previous!$B$4:$B$137, 0), MATCH(AN$4&amp;AN$5,Demand_previous!$D$2:$AY$2&amp;Demand_previous!$D$3:$AY$3, 0))/1000</f>
        <v>0.36904249999999972</v>
      </c>
      <c r="AO105" s="103">
        <f t="array" ref="AO105">INDEX(Demand_previous!$D$4:$AY$137, MATCH('Staging Table'!$A105, Demand_previous!$B$4:$B$137, 0), MATCH(AO$4&amp;AO$5,Demand_previous!$D$2:$AY$2&amp;Demand_previous!$D$3:$AY$3, 0))/1000</f>
        <v>0.3809759615384618</v>
      </c>
      <c r="AP105" s="103">
        <f t="array" ref="AP105">INDEX(Demand_previous!$D$4:$AY$137, MATCH('Staging Table'!$A105, Demand_previous!$B$4:$B$137, 0), MATCH(AP$4&amp;AP$5,Demand_previous!$D$2:$AY$2&amp;Demand_previous!$D$3:$AY$3, 0))/1000</f>
        <v>0.3247139423076924</v>
      </c>
      <c r="AQ105" s="103">
        <f t="array" ref="AQ105">INDEX(Demand_previous!$D$4:$AY$137, MATCH('Staging Table'!$A105, Demand_previous!$B$4:$B$137, 0), MATCH(AQ$4&amp;AQ$5,Demand_previous!$D$2:$AY$2&amp;Demand_previous!$D$3:$AY$3, 0))/1000</f>
        <v>1.0003557692307687</v>
      </c>
      <c r="AR105" s="103">
        <f t="array" ref="AR105">INDEX(Demand_previous!$D$4:$AY$137, MATCH('Staging Table'!$A105, Demand_previous!$B$4:$B$137, 0), MATCH(AR$4&amp;AR$5,Demand_previous!$D$2:$AY$2&amp;Demand_previous!$D$3:$AY$3, 0))/1000</f>
        <v>0.35936249999999981</v>
      </c>
      <c r="AS105" s="103">
        <f t="array" ref="AS105">INDEX(Demand_previous!$D$4:$AY$137, MATCH('Staging Table'!$A105, Demand_previous!$B$4:$B$137, 0), MATCH(AS$4&amp;AS$5,Demand_previous!$D$2:$AY$2&amp;Demand_previous!$D$3:$AY$3, 0))/1000</f>
        <v>0.69386057692307757</v>
      </c>
      <c r="AT105" s="103">
        <f t="array" ref="AT105">INDEX(Demand_previous!$D$4:$AY$137, MATCH('Staging Table'!$A105, Demand_previous!$B$4:$B$137, 0), MATCH(AT$4&amp;AT$5,Demand_previous!$D$2:$AY$2&amp;Demand_previous!$D$3:$AY$3, 0))/1000</f>
        <v>0.73622453703703694</v>
      </c>
      <c r="AU105" s="103">
        <f t="array" ref="AU105">INDEX(Demand_previous!$D$4:$AY$137, MATCH('Staging Table'!$A105, Demand_previous!$B$4:$B$137, 0), MATCH(AU$4&amp;AU$5,Demand_previous!$D$2:$AY$2&amp;Demand_previous!$D$3:$AY$3, 0))/1000</f>
        <v>0.31285416666666621</v>
      </c>
      <c r="AV105" s="102">
        <f>$F105*(VLOOKUP(AV$4, Rates_previous!$G$6:$Q$29, 10, FALSE)+VLOOKUP(AV$4, Rates_previous!$G$6:$Q$29, 11, FALSE))</f>
        <v>1449.1590920752501</v>
      </c>
      <c r="AW105" s="102">
        <f>$F105*(VLOOKUP(AW$4, Rates_previous!$G$6:$Q$29, 10, FALSE)+VLOOKUP(AW$4, Rates_previous!$G$6:$Q$29, 11, FALSE))</f>
        <v>1848.1557069165003</v>
      </c>
      <c r="AX105" s="102">
        <f>$F105*(VLOOKUP(AX$4, Rates_previous!$G$6:$Q$29, 10, FALSE)+VLOOKUP(AX$4, Rates_previous!$G$6:$Q$29, 11, FALSE))</f>
        <v>1994.5256859225001</v>
      </c>
      <c r="AY105" s="102">
        <f>$F105*(VLOOKUP(AY$4, Rates_previous!$G$6:$Q$29, 10, FALSE)+VLOOKUP(AY$4, Rates_previous!$G$6:$Q$29, 11, FALSE))</f>
        <v>2072.6205170640001</v>
      </c>
      <c r="AZ105" s="102">
        <f>$F105*(VLOOKUP(AZ$4, Rates_previous!$G$6:$Q$29, 10, FALSE)+VLOOKUP(AZ$4, Rates_previous!$G$6:$Q$29, 11, FALSE))</f>
        <v>1782.7299073529998</v>
      </c>
      <c r="BA105" s="102">
        <f>$F105*(VLOOKUP(BA$4, Rates_previous!$G$6:$Q$29, 10, FALSE)+VLOOKUP(BA$4, Rates_previous!$G$6:$Q$29, 11, FALSE))</f>
        <v>1946.3880960585</v>
      </c>
      <c r="BB105" s="102">
        <f>$F105*(VLOOKUP(BB$4, Rates_previous!$G$6:$Q$29, 10, FALSE)+VLOOKUP(BB$4, Rates_previous!$G$6:$Q$29, 11, FALSE))</f>
        <v>1536.3453956823748</v>
      </c>
      <c r="BC105" s="102">
        <f>$F105*(VLOOKUP(BC$4, Rates_previous!$G$6:$Q$29, 10, FALSE)+VLOOKUP(BC$4, Rates_previous!$G$6:$Q$29, 11, FALSE))</f>
        <v>1906.04234323275</v>
      </c>
      <c r="BD105" s="102">
        <f>$F105*(VLOOKUP(BD$4, Rates_previous!$G$6:$Q$29, 10, FALSE)+VLOOKUP(BD$4, Rates_previous!$G$6:$Q$29, 11, FALSE))</f>
        <v>1947.3987038017499</v>
      </c>
      <c r="BE105" s="102">
        <f>$F105*(VLOOKUP(BE$4, Rates_previous!$G$6:$Q$29, 10, FALSE)+VLOOKUP(BE$4, Rates_previous!$G$6:$Q$29, 11, FALSE))</f>
        <v>1690.62263348025</v>
      </c>
      <c r="BF105" s="102">
        <f>$F105*(VLOOKUP(BF$4, Rates_previous!$G$6:$Q$29, 10, FALSE)+VLOOKUP(BF$4, Rates_previous!$G$6:$Q$29, 11, FALSE))</f>
        <v>1634.3827043387253</v>
      </c>
      <c r="BG105" s="102">
        <f>$F105*(VLOOKUP(BG$4, Rates_previous!$G$6:$Q$29, 10, FALSE)+VLOOKUP(BG$4, Rates_previous!$G$6:$Q$29, 11, FALSE))</f>
        <v>1503.9485843430002</v>
      </c>
      <c r="BH105" s="103">
        <f>IF($D105=0,IF(C105=0, MAX(BJ105 - (VLOOKUP($A105,TOCA_previous!$A$2:$AJ$136,MATCH("RHWM "&amp;Init!$D$1-2,TOCA_previous!$A$2:$AJ$2,0),FALSE)*$F$2*TOCA_previous!C102),0),0), 0)</f>
        <v>4114.6080976914018</v>
      </c>
      <c r="BI105" s="109">
        <f>MIN(VLOOKUP($A105,TOCA_previous!$A$2:$AJ$136,MATCH("TRL - NLSL - Existing Resource "&amp;$F$1,TOCA_previous!$A$2:$AJ$2,0),FALSE)*$F$2,(VLOOKUP($A105,TOCA_previous!$A$2:$AJ$136,MATCH("RHWM "&amp;Init!$D$1-2,TOCA_previous!$A$2:$AJ$2,0),FALSE)*$F$2))</f>
        <v>20844.432000000001</v>
      </c>
      <c r="BJ105" s="261">
        <f>SUM(L105:AI105)+(F105*RT1SC!$C$3*$F$2)</f>
        <v>24959.040097691402</v>
      </c>
      <c r="BK105" s="260">
        <f>VLOOKUP($A105,TOCA_previous!$A$2:$AJ$136,MATCH("Above RHWM Not Served with LS "&amp;$F$1,TOCA_previous!$A$2:$AJ$2,0),FALSE)*$F$2</f>
        <v>0</v>
      </c>
      <c r="BL105" s="261">
        <f t="shared" si="36"/>
        <v>4114.6080976914018</v>
      </c>
      <c r="BM105" s="260">
        <f>(VLOOKUP($A105,TOCA_previous!$A$2:$AJ$136,MATCH("RHWM "&amp;Init!$D$1-2,TOCA_previous!$A$2:$AJ$2,0),FALSE)*$F$2) - $BI105</f>
        <v>0</v>
      </c>
      <c r="BN105" s="261">
        <f t="shared" si="37"/>
        <v>0</v>
      </c>
      <c r="BO105" s="260">
        <f t="shared" si="38"/>
        <v>0</v>
      </c>
      <c r="BP105" s="261">
        <f t="shared" si="39"/>
        <v>0</v>
      </c>
      <c r="BQ105" s="260">
        <f t="shared" si="9"/>
        <v>0</v>
      </c>
      <c r="BR105" s="85">
        <f>VLOOKUP($A105,TOCA_current!$A$2:$ZZ$136,MATCH(BR$4,TOCA_current!$A$2:$ZZ$2,0),FALSE)</f>
        <v>3.3560000000000003E-4</v>
      </c>
      <c r="BS105" s="85">
        <f>VLOOKUP($A105,TOCA_current!$A$2:$ZZ$136,MATCH(BS$4,TOCA_current!$A$2:$ZZ$2,0),FALSE)</f>
        <v>3.3560000000000003E-4</v>
      </c>
      <c r="BT105" s="108">
        <f t="shared" si="40"/>
        <v>0</v>
      </c>
      <c r="BU105" s="85">
        <f>VLOOKUP($A105,TOCA_current!A102:BG236,MATCH(BU$4,TOCA_current!$A$2:$BG$2,0),FALSE)</f>
        <v>3.5821458507963123E-2</v>
      </c>
      <c r="BV105" s="85">
        <f t="shared" si="41"/>
        <v>0</v>
      </c>
      <c r="BW105" s="85">
        <f t="shared" si="42"/>
        <v>0</v>
      </c>
      <c r="BX105" s="101">
        <f>VLOOKUP($A105,IRD!$A$4:$G$138, 7, FALSE)</f>
        <v>4155.21</v>
      </c>
      <c r="BY105" s="102">
        <f t="array" ref="BY105">IF($BT105=0, INDEX(LS_current!$D$4:$BW$137, MATCH('Staging Table'!$A105, LS_current!$B$4:$B$137, 0), MATCH(BY$4&amp;BY$5, LS_current!$D$2:$BW$2&amp;LS_current!$D$3:$BW$3, 0)),SUM(VLOOKUP($A105, LS_current!$B$4:$BW$137, LS_current!D$147, FALSE), VLOOKUP($A105, LS_current!$B$4:$BW$137,LS_current!AZ$147, FALSE))/2)</f>
        <v>15.608058873176901</v>
      </c>
      <c r="BZ105" s="102">
        <f t="array" ref="BZ105">IF($BT105=0, INDEX(LS_current!$D$4:$BW$137, MATCH('Staging Table'!$A105, LS_current!$B$4:$B$137, 0), MATCH(BZ$4&amp;BZ$5, LS_current!$D$2:$BW$2&amp;LS_current!$D$3:$BW$3, 0)),SUM(VLOOKUP($A105, LS_current!$B$4:$BW$137, LS_current!E$147, FALSE), VLOOKUP($A105, LS_current!$B$4:$BW$137,LS_current!BA$147, FALSE))/2)</f>
        <v>57.46641965468541</v>
      </c>
      <c r="CA105" s="102">
        <f t="array" ref="CA105">IF($BT105=0, INDEX(LS_current!$D$4:$BW$137, MATCH('Staging Table'!$A105, LS_current!$B$4:$B$137, 0), MATCH(CA$4&amp;CA$5, LS_current!$D$2:$BW$2&amp;LS_current!$D$3:$BW$3, 0)),SUM(VLOOKUP($A105, LS_current!$B$4:$BW$137, LS_current!F$147, FALSE), VLOOKUP($A105, LS_current!$B$4:$BW$137,LS_current!BB$147, FALSE))/2)</f>
        <v>-237.15409319355922</v>
      </c>
      <c r="CB105" s="102">
        <f t="array" ref="CB105">IF($BT105=0, INDEX(LS_current!$D$4:$BW$137, MATCH('Staging Table'!$A105, LS_current!$B$4:$B$137, 0), MATCH(CB$4&amp;CB$5, LS_current!$D$2:$BW$2&amp;LS_current!$D$3:$BW$3, 0)),SUM(VLOOKUP($A105, LS_current!$B$4:$BW$137, LS_current!G$147, FALSE), VLOOKUP($A105, LS_current!$B$4:$BW$137,LS_current!BC$147, FALSE))/2)</f>
        <v>5.5554416384438809</v>
      </c>
      <c r="CC105" s="102">
        <f t="array" ref="CC105">IF($BT105=0, INDEX(LS_current!$D$4:$BW$137, MATCH('Staging Table'!$A105, LS_current!$B$4:$B$137, 0), MATCH(CC$4&amp;CC$5, LS_current!$D$2:$BW$2&amp;LS_current!$D$3:$BW$3, 0)),SUM(VLOOKUP($A105, LS_current!$B$4:$BW$137, LS_current!H$147, FALSE), VLOOKUP($A105, LS_current!$B$4:$BW$137,LS_current!BD$147, FALSE))/2)</f>
        <v>35.831854419170668</v>
      </c>
      <c r="CD105" s="102">
        <f t="array" ref="CD105">IF($BT105=0, INDEX(LS_current!$D$4:$BW$137, MATCH('Staging Table'!$A105, LS_current!$B$4:$B$137, 0), MATCH(CD$4&amp;CD$5, LS_current!$D$2:$BW$2&amp;LS_current!$D$3:$BW$3, 0)),SUM(VLOOKUP($A105, LS_current!$B$4:$BW$137, LS_current!I$147, FALSE), VLOOKUP($A105, LS_current!$B$4:$BW$137,LS_current!BE$147, FALSE))/2)</f>
        <v>290.04712172204472</v>
      </c>
      <c r="CE105" s="102">
        <f t="array" ref="CE105">IF($BT105=0, INDEX(LS_current!$D$4:$BW$137, MATCH('Staging Table'!$A105, LS_current!$B$4:$B$137, 0), MATCH(CE$4&amp;CE$5, LS_current!$D$2:$BW$2&amp;LS_current!$D$3:$BW$3, 0)),SUM(VLOOKUP($A105, LS_current!$B$4:$BW$137, LS_current!J$147, FALSE), VLOOKUP($A105, LS_current!$B$4:$BW$137,LS_current!BF$147, FALSE))/2)</f>
        <v>-17.562061352159844</v>
      </c>
      <c r="CF105" s="102">
        <f t="array" ref="CF105">IF($BT105=0, INDEX(LS_current!$D$4:$BW$137, MATCH('Staging Table'!$A105, LS_current!$B$4:$B$137, 0), MATCH(CF$4&amp;CF$5, LS_current!$D$2:$BW$2&amp;LS_current!$D$3:$BW$3, 0)),SUM(VLOOKUP($A105, LS_current!$B$4:$BW$137, LS_current!K$147, FALSE), VLOOKUP($A105, LS_current!$B$4:$BW$137,LS_current!BG$147, FALSE))/2)</f>
        <v>250.62839580980142</v>
      </c>
      <c r="CG105" s="102">
        <f t="array" ref="CG105">IF($BT105=0, INDEX(LS_current!$D$4:$BW$137, MATCH('Staging Table'!$A105, LS_current!$B$4:$B$137, 0), MATCH(CG$4&amp;CG$5, LS_current!$D$2:$BW$2&amp;LS_current!$D$3:$BW$3, 0)),SUM(VLOOKUP($A105, LS_current!$B$4:$BW$137, LS_current!L$147, FALSE), VLOOKUP($A105, LS_current!$B$4:$BW$137,LS_current!BH$147, FALSE))/2)</f>
        <v>-30.013272723498403</v>
      </c>
      <c r="CH105" s="102">
        <f t="array" ref="CH105">IF($BT105=0, INDEX(LS_current!$D$4:$BW$137, MATCH('Staging Table'!$A105, LS_current!$B$4:$B$137, 0), MATCH(CH$4&amp;CH$5, LS_current!$D$2:$BW$2&amp;LS_current!$D$3:$BW$3, 0)),SUM(VLOOKUP($A105, LS_current!$B$4:$BW$137, LS_current!M$147, FALSE), VLOOKUP($A105, LS_current!$B$4:$BW$137,LS_current!BI$147, FALSE))/2)</f>
        <v>155.12094534674384</v>
      </c>
      <c r="CI105" s="102">
        <f t="array" ref="CI105">IF($BT105=0, INDEX(LS_current!$D$4:$BW$137, MATCH('Staging Table'!$A105, LS_current!$B$4:$B$137, 0), MATCH(CI$4&amp;CI$5, LS_current!$D$2:$BW$2&amp;LS_current!$D$3:$BW$3, 0)),SUM(VLOOKUP($A105, LS_current!$B$4:$BW$137, LS_current!N$147, FALSE), VLOOKUP($A105, LS_current!$B$4:$BW$137,LS_current!BJ$147, FALSE))/2)</f>
        <v>-278.39417450905842</v>
      </c>
      <c r="CJ105" s="102">
        <f t="array" ref="CJ105">IF($BT105=0, INDEX(LS_current!$D$4:$BW$137, MATCH('Staging Table'!$A105, LS_current!$B$4:$B$137, 0), MATCH(CJ$4&amp;CJ$5, LS_current!$D$2:$BW$2&amp;LS_current!$D$3:$BW$3, 0)),SUM(VLOOKUP($A105, LS_current!$B$4:$BW$137, LS_current!O$147, FALSE), VLOOKUP($A105, LS_current!$B$4:$BW$137,LS_current!BK$147, FALSE))/2)</f>
        <v>73.68719403986222</v>
      </c>
      <c r="CK105" s="102">
        <f t="array" ref="CK105">IF($BT105=0, INDEX(LS_current!$D$4:$BW$137, MATCH('Staging Table'!$A105, LS_current!$B$4:$B$137, 0), MATCH(CK$4&amp;CK$5, LS_current!$D$2:$BW$2&amp;LS_current!$D$3:$BW$3, 0)),SUM(VLOOKUP($A105, LS_current!$B$4:$BW$137, LS_current!P$147, FALSE), VLOOKUP($A105, LS_current!$B$4:$BW$137,LS_current!BL$147, FALSE))/2)</f>
        <v>170.03824537935338</v>
      </c>
      <c r="CL105" s="102">
        <f t="array" ref="CL105">IF($BT105=0, INDEX(LS_current!$D$4:$BW$137, MATCH('Staging Table'!$A105, LS_current!$B$4:$B$137, 0), MATCH(CL$4&amp;CL$5, LS_current!$D$2:$BW$2&amp;LS_current!$D$3:$BW$3, 0)),SUM(VLOOKUP($A105, LS_current!$B$4:$BW$137, LS_current!Q$147, FALSE), VLOOKUP($A105, LS_current!$B$4:$BW$137,LS_current!BM$147, FALSE))/2)</f>
        <v>163.75955123241238</v>
      </c>
      <c r="CM105" s="102">
        <f t="array" ref="CM105">IF($BT105=0, INDEX(LS_current!$D$4:$BW$137, MATCH('Staging Table'!$A105, LS_current!$B$4:$B$137, 0), MATCH(CM$4&amp;CM$5, LS_current!$D$2:$BW$2&amp;LS_current!$D$3:$BW$3, 0)),SUM(VLOOKUP($A105, LS_current!$B$4:$BW$137, LS_current!R$147, FALSE), VLOOKUP($A105, LS_current!$B$4:$BW$137,LS_current!BN$147, FALSE))/2)</f>
        <v>163.85424574736726</v>
      </c>
      <c r="CN105" s="102">
        <f t="array" ref="CN105">IF($BT105=0, INDEX(LS_current!$D$4:$BW$137, MATCH('Staging Table'!$A105, LS_current!$B$4:$B$137, 0), MATCH(CN$4&amp;CN$5, LS_current!$D$2:$BW$2&amp;LS_current!$D$3:$BW$3, 0)),SUM(VLOOKUP($A105, LS_current!$B$4:$BW$137, LS_current!S$147, FALSE), VLOOKUP($A105, LS_current!$B$4:$BW$137,LS_current!BO$147, FALSE))/2)</f>
        <v>226.58764188580437</v>
      </c>
      <c r="CO105" s="102">
        <f t="array" ref="CO105">IF($BT105=0, INDEX(LS_current!$D$4:$BW$137, MATCH('Staging Table'!$A105, LS_current!$B$4:$B$137, 0), MATCH(CO$4&amp;CO$5, LS_current!$D$2:$BW$2&amp;LS_current!$D$3:$BW$3, 0)),SUM(VLOOKUP($A105, LS_current!$B$4:$BW$137, LS_current!T$147, FALSE), VLOOKUP($A105, LS_current!$B$4:$BW$137,LS_current!BP$147, FALSE))/2)</f>
        <v>428.65005521438161</v>
      </c>
      <c r="CP105" s="102">
        <f t="array" ref="CP105">IF($BT105=0, INDEX(LS_current!$D$4:$BW$137, MATCH('Staging Table'!$A105, LS_current!$B$4:$B$137, 0), MATCH(CP$4&amp;CP$5, LS_current!$D$2:$BW$2&amp;LS_current!$D$3:$BW$3, 0)),SUM(VLOOKUP($A105, LS_current!$B$4:$BW$137, LS_current!U$147, FALSE), VLOOKUP($A105, LS_current!$B$4:$BW$137,LS_current!BQ$147, FALSE))/2)</f>
        <v>354.96522310771729</v>
      </c>
      <c r="CQ105" s="102">
        <f t="array" ref="CQ105">IF($BT105=0, INDEX(LS_current!$D$4:$BW$137, MATCH('Staging Table'!$A105, LS_current!$B$4:$B$137, 0), MATCH(CQ$4&amp;CQ$5, LS_current!$D$2:$BW$2&amp;LS_current!$D$3:$BW$3, 0)),SUM(VLOOKUP($A105, LS_current!$B$4:$BW$137, LS_current!V$147, FALSE), VLOOKUP($A105, LS_current!$B$4:$BW$137,LS_current!BR$147, FALSE))/2)</f>
        <v>602.21704036360325</v>
      </c>
      <c r="CR105" s="102">
        <f t="array" ref="CR105">IF($BT105=0, INDEX(LS_current!$D$4:$BW$137, MATCH('Staging Table'!$A105, LS_current!$B$4:$B$137, 0), MATCH(CR$4&amp;CR$5, LS_current!$D$2:$BW$2&amp;LS_current!$D$3:$BW$3, 0)),SUM(VLOOKUP($A105, LS_current!$B$4:$BW$137, LS_current!W$147, FALSE), VLOOKUP($A105, LS_current!$B$4:$BW$137,LS_current!BS$147, FALSE))/2)</f>
        <v>490.36803333778664</v>
      </c>
      <c r="CS105" s="102">
        <f t="array" ref="CS105">IF($BT105=0, INDEX(LS_current!$D$4:$BW$137, MATCH('Staging Table'!$A105, LS_current!$B$4:$B$137, 0), MATCH(CS$4&amp;CS$5, LS_current!$D$2:$BW$2&amp;LS_current!$D$3:$BW$3, 0)),SUM(VLOOKUP($A105, LS_current!$B$4:$BW$137, LS_current!X$147, FALSE), VLOOKUP($A105, LS_current!$B$4:$BW$137,LS_current!BT$147, FALSE))/2)</f>
        <v>383.44517870537084</v>
      </c>
      <c r="CT105" s="102">
        <f t="array" ref="CT105">IF($BT105=0, INDEX(LS_current!$D$4:$BW$137, MATCH('Staging Table'!$A105, LS_current!$B$4:$B$137, 0), MATCH(CT$4&amp;CT$5, LS_current!$D$2:$BW$2&amp;LS_current!$D$3:$BW$3, 0)),SUM(VLOOKUP($A105, LS_current!$B$4:$BW$137, LS_current!Y$147, FALSE), VLOOKUP($A105, LS_current!$B$4:$BW$137,LS_current!BU$147, FALSE))/2)</f>
        <v>415.20749321288213</v>
      </c>
      <c r="CU105" s="102">
        <f t="array" ref="CU105">IF($BT105=0, INDEX(LS_current!$D$4:$BW$137, MATCH('Staging Table'!$A105, LS_current!$B$4:$B$137, 0), MATCH(CU$4&amp;CU$5, LS_current!$D$2:$BW$2&amp;LS_current!$D$3:$BW$3, 0)),SUM(VLOOKUP($A105, LS_current!$B$4:$BW$137, LS_current!Z$147, FALSE), VLOOKUP($A105, LS_current!$B$4:$BW$137,LS_current!BV$147, FALSE))/2)</f>
        <v>160.16386859192005</v>
      </c>
      <c r="CV105" s="102">
        <f t="array" ref="CV105">IF($BT105=0, INDEX(LS_current!$D$4:$BW$137, MATCH('Staging Table'!$A105, LS_current!$B$4:$B$137, 0), MATCH(CV$4&amp;CV$5, LS_current!$D$2:$BW$2&amp;LS_current!$D$3:$BW$3, 0)),SUM(VLOOKUP($A105, LS_current!$B$4:$BW$137, LS_current!AA$147, FALSE), VLOOKUP($A105, LS_current!$B$4:$BW$137,LS_current!BW$147, FALSE))/2)</f>
        <v>177.90372276848575</v>
      </c>
      <c r="CW105" s="103">
        <f t="array" ref="CW105">INDEX(Demand_current!$D$4:$BW$137, MATCH($A105, Demand_current!$B$4:$B$137, 0), MATCH(CW$4&amp;CW$5,Demand_current!$D$2:$BW$2&amp;Demand_current!$D$3:$BW$3, 0))/1000</f>
        <v>0.12489814814814815</v>
      </c>
      <c r="CX105" s="103">
        <f t="array" ref="CX105">INDEX(Demand_current!$D$4:$BW$137, MATCH($A105, Demand_current!$B$4:$B$137, 0), MATCH(CX$4&amp;CX$5,Demand_current!$D$2:$BW$2&amp;Demand_current!$D$3:$BW$3, 0))/1000</f>
        <v>9.9028645833333373E-2</v>
      </c>
      <c r="CY105" s="103">
        <f t="array" ref="CY105">INDEX(Demand_current!$D$4:$BW$137, MATCH($A105, Demand_current!$B$4:$B$137, 0), MATCH(CY$4&amp;CY$5,Demand_current!$D$2:$BW$2&amp;Demand_current!$D$3:$BW$3, 0))/1000</f>
        <v>0.54131971153846159</v>
      </c>
      <c r="CZ105" s="103">
        <f t="array" ref="CZ105">INDEX(Demand_current!$D$4:$BW$137, MATCH($A105, Demand_current!$B$4:$B$137, 0), MATCH(CZ$4&amp;CZ$5,Demand_current!$D$2:$BW$2&amp;Demand_current!$D$3:$BW$3, 0))/1000</f>
        <v>0.55781490384615395</v>
      </c>
      <c r="DA105" s="103">
        <f t="array" ref="DA105">INDEX(Demand_current!$D$4:$BW$137, MATCH($A105, Demand_current!$B$4:$B$137, 0), MATCH(DA$4&amp;DA$5,Demand_current!$D$2:$BW$2&amp;Demand_current!$D$3:$BW$3, 0))/1000</f>
        <v>0.25933593749999972</v>
      </c>
      <c r="DB105" s="103">
        <f t="array" ref="DB105">INDEX(Demand_current!$D$4:$BW$137, MATCH($A105, Demand_current!$B$4:$B$137, 0), MATCH(DB$4&amp;DB$5,Demand_current!$D$2:$BW$2&amp;Demand_current!$D$3:$BW$3, 0))/1000</f>
        <v>0.3809759615384618</v>
      </c>
      <c r="DC105" s="103">
        <f t="array" ref="DC105">INDEX(Demand_current!$D$4:$BW$137, MATCH($A105, Demand_current!$B$4:$B$137, 0), MATCH(DC$4&amp;DC$5,Demand_current!$D$2:$BW$2&amp;Demand_current!$D$3:$BW$3, 0))/1000</f>
        <v>0.3247139423076924</v>
      </c>
      <c r="DD105" s="103">
        <f t="array" ref="DD105">INDEX(Demand_current!$D$4:$BW$137, MATCH($A105, Demand_current!$B$4:$B$137, 0), MATCH(DD$4&amp;DD$5,Demand_current!$D$2:$BW$2&amp;Demand_current!$D$3:$BW$3, 0))/1000</f>
        <v>0.87592999999999999</v>
      </c>
      <c r="DE105" s="103">
        <f t="array" ref="DE105">INDEX(Demand_current!$D$4:$BW$137, MATCH($A105, Demand_current!$B$4:$B$137, 0), MATCH(DE$4&amp;DE$5,Demand_current!$D$2:$BW$2&amp;Demand_current!$D$3:$BW$3, 0))/1000</f>
        <v>0.52004086538461558</v>
      </c>
      <c r="DF105" s="103">
        <f t="array" ref="DF105">INDEX(Demand_current!$D$4:$BW$137, MATCH($A105, Demand_current!$B$4:$B$137, 0), MATCH(DF$4&amp;DF$5,Demand_current!$D$2:$BW$2&amp;Demand_current!$D$3:$BW$3, 0))/1000</f>
        <v>0.69386057692307757</v>
      </c>
      <c r="DG105" s="103">
        <f t="array" ref="DG105">INDEX(Demand_current!$D$4:$BW$137, MATCH($A105, Demand_current!$B$4:$B$137, 0), MATCH(DG$4&amp;DG$5,Demand_current!$D$2:$BW$2&amp;Demand_current!$D$3:$BW$3, 0))/1000</f>
        <v>0.59907932692307708</v>
      </c>
      <c r="DH105" s="103">
        <f t="array" ref="DH105">INDEX(Demand_current!$D$4:$BW$137, MATCH($A105, Demand_current!$B$4:$B$137, 0), MATCH(DH$4&amp;DH$5,Demand_current!$D$2:$BW$2&amp;Demand_current!$D$3:$BW$3, 0))/1000</f>
        <v>0.41717999999999944</v>
      </c>
      <c r="DI105" s="102">
        <f>$BS105*(VLOOKUP(DI$4, Rates_current!$H$6:$R$41, 10, FALSE)+VLOOKUP(DI$4, Rates_current!$H$6:$R$41, 11, FALSE))</f>
        <v>1392.8365214721377</v>
      </c>
      <c r="DJ105" s="102">
        <f>$BS105*(VLOOKUP(DJ$4, Rates_current!$H$6:$R$41, 10, FALSE)+VLOOKUP(DJ$4, Rates_current!$H$6:$R$41, 11, FALSE))</f>
        <v>1780.6956515551155</v>
      </c>
      <c r="DK105" s="102">
        <f>$BS105*(VLOOKUP(DK$4, Rates_current!$H$6:$R$41, 10, FALSE)+VLOOKUP(DK$4, Rates_current!$H$6:$R$41, 11, FALSE))</f>
        <v>2024.5020238587847</v>
      </c>
      <c r="DL105" s="102">
        <f>$BS105*(VLOOKUP(DL$4, Rates_current!$H$6:$R$41, 10, FALSE)+VLOOKUP(DL$4, Rates_current!$H$6:$R$41, 11, FALSE))</f>
        <v>2136.0076655423582</v>
      </c>
      <c r="DM105" s="102">
        <f>$BS105*(VLOOKUP(DM$4, Rates_current!$H$6:$R$41, 10, FALSE)+VLOOKUP(DM$4, Rates_current!$H$6:$R$41, 11, FALSE))</f>
        <v>1702.2053273767547</v>
      </c>
      <c r="DN105" s="102">
        <f>$BS105*(VLOOKUP(DN$4, Rates_current!$H$6:$R$41, 10, FALSE)+VLOOKUP(DN$4, Rates_current!$H$6:$R$41, 11, FALSE))</f>
        <v>1860.859980469196</v>
      </c>
      <c r="DO105" s="102">
        <f>$BS105*(VLOOKUP(DO$4, Rates_current!$H$6:$R$41, 10, FALSE)+VLOOKUP(DO$4, Rates_current!$H$6:$R$41, 11, FALSE))</f>
        <v>1442.1852033882344</v>
      </c>
      <c r="DP105" s="102">
        <f>$BS105*(VLOOKUP(DP$4, Rates_current!$H$6:$R$41, 10, FALSE)+VLOOKUP(DP$4, Rates_current!$H$6:$R$41, 11, FALSE))</f>
        <v>1866.4251123668282</v>
      </c>
      <c r="DQ105" s="102">
        <f>$BS105*(VLOOKUP(DQ$4, Rates_current!$H$6:$R$41, 10, FALSE)+VLOOKUP(DQ$4, Rates_current!$H$6:$R$41, 11, FALSE))</f>
        <v>1906.2787216779013</v>
      </c>
      <c r="DR105" s="102">
        <f>$BS105*(VLOOKUP(DR$4, Rates_current!$H$6:$R$41, 10, FALSE)+VLOOKUP(DR$4, Rates_current!$H$6:$R$41, 11, FALSE))</f>
        <v>1696.75292629861</v>
      </c>
      <c r="DS105" s="102">
        <f>$BS105*(VLOOKUP(DS$4, Rates_current!$H$6:$R$41, 10, FALSE)+VLOOKUP(DS$4, Rates_current!$H$6:$R$41, 11, FALSE))</f>
        <v>1740.5573280817471</v>
      </c>
      <c r="DT105" s="102">
        <f>$BS105*(VLOOKUP(DT$4, Rates_current!$H$6:$R$41, 10, FALSE)+VLOOKUP(DT$4, Rates_current!$H$6:$R$41, 11, FALSE))</f>
        <v>1351.7514086395943</v>
      </c>
      <c r="DU105" s="261">
        <f>IF(D105=0,IF(C105=0,MAX(0,DW105 - (VLOOKUP($A105,TOCA_current!$A$2:$AV$136,MATCH("RHWM "&amp;Init!$D$1,TOCA_current!$A$2:$AV$2,0),FALSE)*$BS$2)), 0),0)</f>
        <v>4057.6812337847405</v>
      </c>
      <c r="DV105" s="262">
        <f>MIN(VLOOKUP($A105,TOCA_current!$A$2:$AV$136,MATCH("TRL - NLSL - Existing Resource "&amp;$BS$1,TOCA_current!$A$2:$AV$2,0),FALSE)*$BS$2, VLOOKUP($A105,TOCA_current!$A$2:$AV$136,MATCH("RHWM "&amp;Init!$D$1,TOCA_current!$A$2:$AV$2,0),FALSE)*$BS$2)</f>
        <v>20901.36</v>
      </c>
      <c r="DW105" s="262">
        <f>SUM(BY105:CV105)+(BS105*RT1SC!$C$4*$BS$2)</f>
        <v>24959.041233784741</v>
      </c>
      <c r="DX105" s="262">
        <f>VLOOKUP($A105,TOCA_current!$A$2:$AV$136,MATCH("Above RHWM Not Served with LS "&amp;$BS$1,TOCA_current!$A$2:$AV$2,0),FALSE)*$BS$2</f>
        <v>0</v>
      </c>
      <c r="DY105" s="262">
        <f t="shared" si="43"/>
        <v>4057.6812337847405</v>
      </c>
      <c r="DZ105" s="262">
        <f>(VLOOKUP($A105,TOCA_current!$A$2:$AV$136,MATCH("RHWM "&amp;Init!$D$1,TOCA_current!$A$2:$AV$2,0),FALSE)*$BS$2) - $DV105</f>
        <v>0</v>
      </c>
      <c r="EA105" s="262">
        <f t="shared" si="44"/>
        <v>0</v>
      </c>
      <c r="EB105" s="262">
        <f t="shared" si="45"/>
        <v>0</v>
      </c>
      <c r="EC105" s="262">
        <f t="shared" si="46"/>
        <v>0</v>
      </c>
      <c r="ED105" s="262">
        <f t="shared" si="47"/>
        <v>0</v>
      </c>
    </row>
    <row r="106" spans="1:134">
      <c r="A106" s="2">
        <v>10342</v>
      </c>
      <c r="B106" s="3" t="s">
        <v>108</v>
      </c>
      <c r="C106">
        <f>VLOOKUP(A106, TOCA_current!$A$3:$D$136, 4, FALSE)</f>
        <v>0</v>
      </c>
      <c r="D106">
        <v>0</v>
      </c>
      <c r="E106" s="84">
        <f>VLOOKUP($A106,TOCA_previous!$A$2:$AJ$136,MATCH(E$4,TOCA_previous!$A$2:$AJ$2,0),FALSE)</f>
        <v>5.5326999999999998E-3</v>
      </c>
      <c r="F106" s="85">
        <f>VLOOKUP($A106,TOCA_previous!$A$2:$AJ$136,MATCH(F$4,TOCA_previous!$A$2:$AJ$2,0),FALSE)</f>
        <v>5.5326999999999998E-3</v>
      </c>
      <c r="G106" s="85">
        <f t="shared" si="33"/>
        <v>0</v>
      </c>
      <c r="H106" s="85">
        <f>VLOOKUP($A106,TOCA_previous!$A$2:$AJ$136,MATCH(H$4,TOCA_previous!$A$2:$AJ$2,0),FALSE)</f>
        <v>0</v>
      </c>
      <c r="I106" s="85">
        <f t="shared" si="34"/>
        <v>0</v>
      </c>
      <c r="J106" s="85">
        <f t="shared" si="35"/>
        <v>0</v>
      </c>
      <c r="K106" s="101">
        <f>VLOOKUP(A106, IRD!$A$5:$C$138, 3, FALSE)</f>
        <v>0</v>
      </c>
      <c r="L106" s="102">
        <f t="array" ref="L106">IF($G106=0, INDEX(LS_previous!$D$4:$AY$137, MATCH('Staging Table'!$A106, LS_previous!$B$4:$B$137, 0), MATCH(L$4&amp;L$5, LS_previous!$D$2:$AY$2&amp;LS_previous!$D$3:$AY$3, 0)),SUM(VLOOKUP($A106, LS_previous!$B$4:$AY$137, LS_previous!D$148, FALSE), VLOOKUP('Staging Table'!$A106, LS_previous!$B$4:$AY$137,LS_previous!AB$148, FALSE))/2)</f>
        <v>3655.0848820227966</v>
      </c>
      <c r="M106" s="102">
        <f t="array" ref="M106">IF($G106=0, INDEX(LS_previous!$D$4:$AY$137, MATCH('Staging Table'!$A106, LS_previous!$B$4:$B$137, 0), MATCH(M$4&amp;M$5, LS_previous!$D$2:$AY$2&amp;LS_previous!$D$3:$AY$3, 0)),SUM(VLOOKUP($A106, LS_previous!$B$4:$AY$137, LS_previous!E$148, FALSE), VLOOKUP('Staging Table'!$A106, LS_previous!$B$4:$AY$137,LS_previous!AC$148, FALSE))/2)</f>
        <v>146.4505467261497</v>
      </c>
      <c r="N106" s="102">
        <f t="array" ref="N106">IF($G106=0, INDEX(LS_previous!$D$4:$AY$137, MATCH('Staging Table'!$A106, LS_previous!$B$4:$B$137, 0), MATCH(N$4&amp;N$5, LS_previous!$D$2:$AY$2&amp;LS_previous!$D$3:$AY$3, 0)),SUM(VLOOKUP($A106, LS_previous!$B$4:$AY$137, LS_previous!F$148, FALSE), VLOOKUP('Staging Table'!$A106, LS_previous!$B$4:$AY$137,LS_previous!AD$148, FALSE))/2)</f>
        <v>70.502960374400573</v>
      </c>
      <c r="O106" s="102">
        <f t="array" ref="O106">IF($G106=0, INDEX(LS_previous!$D$4:$AY$137, MATCH('Staging Table'!$A106, LS_previous!$B$4:$B$137, 0), MATCH(O$4&amp;O$5, LS_previous!$D$2:$AY$2&amp;LS_previous!$D$3:$AY$3, 0)),SUM(VLOOKUP($A106, LS_previous!$B$4:$AY$137, LS_previous!G$148, FALSE), VLOOKUP('Staging Table'!$A106, LS_previous!$B$4:$AY$137,LS_previous!AE$148, FALSE))/2)</f>
        <v>627.86029826629965</v>
      </c>
      <c r="P106" s="102">
        <f t="array" ref="P106">IF($G106=0, INDEX(LS_previous!$D$4:$AY$137, MATCH('Staging Table'!$A106, LS_previous!$B$4:$B$137, 0), MATCH(P$4&amp;P$5, LS_previous!$D$2:$AY$2&amp;LS_previous!$D$3:$AY$3, 0)),SUM(VLOOKUP($A106, LS_previous!$B$4:$AY$137, LS_previous!H$148, FALSE), VLOOKUP('Staging Table'!$A106, LS_previous!$B$4:$AY$137,LS_previous!AF$148, FALSE))/2)</f>
        <v>2055.9545518347004</v>
      </c>
      <c r="Q106" s="102">
        <f t="array" ref="Q106">IF($G106=0, INDEX(LS_previous!$D$4:$AY$137, MATCH('Staging Table'!$A106, LS_previous!$B$4:$B$137, 0), MATCH(Q$4&amp;Q$5, LS_previous!$D$2:$AY$2&amp;LS_previous!$D$3:$AY$3, 0)),SUM(VLOOKUP($A106, LS_previous!$B$4:$AY$137, LS_previous!I$148, FALSE), VLOOKUP('Staging Table'!$A106, LS_previous!$B$4:$AY$137,LS_previous!AG$148, FALSE))/2)</f>
        <v>539.36967814079981</v>
      </c>
      <c r="R106" s="102">
        <f t="array" ref="R106">IF($G106=0, INDEX(LS_previous!$D$4:$AY$137, MATCH('Staging Table'!$A106, LS_previous!$B$4:$B$137, 0), MATCH(R$4&amp;R$5, LS_previous!$D$2:$AY$2&amp;LS_previous!$D$3:$AY$3, 0)),SUM(VLOOKUP($A106, LS_previous!$B$4:$AY$137, LS_previous!J$148, FALSE), VLOOKUP('Staging Table'!$A106, LS_previous!$B$4:$AY$137,LS_previous!AH$148, FALSE))/2)</f>
        <v>-277.60455158049808</v>
      </c>
      <c r="S106" s="102">
        <f t="array" ref="S106">IF($G106=0, INDEX(LS_previous!$D$4:$AY$137, MATCH('Staging Table'!$A106, LS_previous!$B$4:$B$137, 0), MATCH(S$4&amp;S$5, LS_previous!$D$2:$AY$2&amp;LS_previous!$D$3:$AY$3, 0)),SUM(VLOOKUP($A106, LS_previous!$B$4:$AY$137, LS_previous!K$148, FALSE), VLOOKUP('Staging Table'!$A106, LS_previous!$B$4:$AY$137,LS_previous!AI$148, FALSE))/2)</f>
        <v>-186.46227304830063</v>
      </c>
      <c r="T106" s="102">
        <f t="array" ref="T106">IF($G106=0, INDEX(LS_previous!$D$4:$AY$137, MATCH('Staging Table'!$A106, LS_previous!$B$4:$B$137, 0), MATCH(T$4&amp;T$5, LS_previous!$D$2:$AY$2&amp;LS_previous!$D$3:$AY$3, 0)),SUM(VLOOKUP($A106, LS_previous!$B$4:$AY$137, LS_previous!L$148, FALSE), VLOOKUP('Staging Table'!$A106, LS_previous!$B$4:$AY$137,LS_previous!AJ$148, FALSE))/2)</f>
        <v>968.01080025670308</v>
      </c>
      <c r="U106" s="102">
        <f t="array" ref="U106">IF($G106=0, INDEX(LS_previous!$D$4:$AY$137, MATCH('Staging Table'!$A106, LS_previous!$B$4:$B$137, 0), MATCH(U$4&amp;U$5, LS_previous!$D$2:$AY$2&amp;LS_previous!$D$3:$AY$3, 0)),SUM(VLOOKUP($A106, LS_previous!$B$4:$AY$137, LS_previous!M$148, FALSE), VLOOKUP('Staging Table'!$A106, LS_previous!$B$4:$AY$137,LS_previous!AK$148, FALSE))/2)</f>
        <v>738.38243144070111</v>
      </c>
      <c r="V106" s="102">
        <f t="array" ref="V106">IF($G106=0, INDEX(LS_previous!$D$4:$AY$137, MATCH('Staging Table'!$A106, LS_previous!$B$4:$B$137, 0), MATCH(V$4&amp;V$5, LS_previous!$D$2:$AY$2&amp;LS_previous!$D$3:$AY$3, 0)),SUM(VLOOKUP($A106, LS_previous!$B$4:$AY$137, LS_previous!N$148, FALSE), VLOOKUP('Staging Table'!$A106, LS_previous!$B$4:$AY$137,LS_previous!AL$148, FALSE))/2)</f>
        <v>-504.92847649510077</v>
      </c>
      <c r="W106" s="102">
        <f t="array" ref="W106">IF($G106=0, INDEX(LS_previous!$D$4:$AY$137, MATCH('Staging Table'!$A106, LS_previous!$B$4:$B$137, 0), MATCH(W$4&amp;W$5, LS_previous!$D$2:$AY$2&amp;LS_previous!$D$3:$AY$3, 0)),SUM(VLOOKUP($A106, LS_previous!$B$4:$AY$137, LS_previous!O$148, FALSE), VLOOKUP('Staging Table'!$A106, LS_previous!$B$4:$AY$137,LS_previous!AM$148, FALSE))/2)</f>
        <v>-745.18077114059997</v>
      </c>
      <c r="X106" s="102">
        <f t="array" ref="X106">IF($G106=0, INDEX(LS_previous!$D$4:$AY$137, MATCH('Staging Table'!$A106, LS_previous!$B$4:$B$137, 0), MATCH(X$4&amp;X$5, LS_previous!$D$2:$AY$2&amp;LS_previous!$D$3:$AY$3, 0)),SUM(VLOOKUP($A106, LS_previous!$B$4:$AY$137, LS_previous!P$148, FALSE), VLOOKUP('Staging Table'!$A106, LS_previous!$B$4:$AY$137,LS_previous!AN$148, FALSE))/2)</f>
        <v>1939.0864894257502</v>
      </c>
      <c r="Y106" s="102">
        <f t="array" ref="Y106">IF($G106=0, INDEX(LS_previous!$D$4:$AY$137, MATCH('Staging Table'!$A106, LS_previous!$B$4:$B$137, 0), MATCH(Y$4&amp;Y$5, LS_previous!$D$2:$AY$2&amp;LS_previous!$D$3:$AY$3, 0)),SUM(VLOOKUP($A106, LS_previous!$B$4:$AY$137, LS_previous!Q$148, FALSE), VLOOKUP('Staging Table'!$A106, LS_previous!$B$4:$AY$137,LS_previous!AO$148, FALSE))/2)</f>
        <v>-283.56501982422378</v>
      </c>
      <c r="Z106" s="102">
        <f t="array" ref="Z106">IF($G106=0, INDEX(LS_previous!$D$4:$AY$137, MATCH('Staging Table'!$A106, LS_previous!$B$4:$B$137, 0), MATCH(Z$4&amp;Z$5, LS_previous!$D$2:$AY$2&amp;LS_previous!$D$3:$AY$3, 0)),SUM(VLOOKUP($A106, LS_previous!$B$4:$AY$137, LS_previous!R$148, FALSE), VLOOKUP('Staging Table'!$A106, LS_previous!$B$4:$AY$137,LS_previous!AP$148, FALSE))/2)</f>
        <v>-3131.8120749296013</v>
      </c>
      <c r="AA106" s="102">
        <f t="array" ref="AA106">IF($G106=0, INDEX(LS_previous!$D$4:$AY$137, MATCH('Staging Table'!$A106, LS_previous!$B$4:$B$137, 0), MATCH(AA$4&amp;AA$5, LS_previous!$D$2:$AY$2&amp;LS_previous!$D$3:$AY$3, 0)),SUM(VLOOKUP($A106, LS_previous!$B$4:$AY$137, LS_previous!S$148, FALSE), VLOOKUP('Staging Table'!$A106, LS_previous!$B$4:$AY$137,LS_previous!AQ$148, FALSE))/2)</f>
        <v>-2060.9295332329493</v>
      </c>
      <c r="AB106" s="102">
        <f t="array" ref="AB106">IF($G106=0, INDEX(LS_previous!$D$4:$AY$137, MATCH('Staging Table'!$A106, LS_previous!$B$4:$B$137, 0), MATCH(AB$4&amp;AB$5, LS_previous!$D$2:$AY$2&amp;LS_previous!$D$3:$AY$3, 0)),SUM(VLOOKUP($A106, LS_previous!$B$4:$AY$137, LS_previous!T$148, FALSE), VLOOKUP('Staging Table'!$A106, LS_previous!$B$4:$AY$137,LS_previous!AR$148, FALSE))/2)</f>
        <v>-2844.1138521801986</v>
      </c>
      <c r="AC106" s="102">
        <f t="array" ref="AC106">IF($G106=0, INDEX(LS_previous!$D$4:$AY$137, MATCH('Staging Table'!$A106, LS_previous!$B$4:$B$137, 0), MATCH(AC$4&amp;AC$5, LS_previous!$D$2:$AY$2&amp;LS_previous!$D$3:$AY$3, 0)),SUM(VLOOKUP($A106, LS_previous!$B$4:$AY$137, LS_previous!U$148, FALSE), VLOOKUP('Staging Table'!$A106, LS_previous!$B$4:$AY$137,LS_previous!AS$148, FALSE))/2)</f>
        <v>-2683.0210940321504</v>
      </c>
      <c r="AD106" s="102">
        <f t="array" ref="AD106">IF($G106=0, INDEX(LS_previous!$D$4:$AY$137, MATCH('Staging Table'!$A106, LS_previous!$B$4:$B$137, 0), MATCH(AD$4&amp;AD$5, LS_previous!$D$2:$AY$2&amp;LS_previous!$D$3:$AY$3, 0)),SUM(VLOOKUP($A106, LS_previous!$B$4:$AY$137, LS_previous!V$148, FALSE), VLOOKUP('Staging Table'!$A106, LS_previous!$B$4:$AY$137,LS_previous!AT$148, FALSE))/2)</f>
        <v>2689.7603593171989</v>
      </c>
      <c r="AE106" s="102">
        <f t="array" ref="AE106">IF($G106=0, INDEX(LS_previous!$D$4:$AY$137, MATCH('Staging Table'!$A106, LS_previous!$B$4:$B$137, 0), MATCH(AE$4&amp;AE$5, LS_previous!$D$2:$AY$2&amp;LS_previous!$D$3:$AY$3, 0)),SUM(VLOOKUP($A106, LS_previous!$B$4:$AY$137, LS_previous!W$148, FALSE), VLOOKUP('Staging Table'!$A106, LS_previous!$B$4:$AY$137,LS_previous!AU$148, FALSE))/2)</f>
        <v>747.98011883075014</v>
      </c>
      <c r="AF106" s="102">
        <f t="array" ref="AF106">IF($G106=0, INDEX(LS_previous!$D$4:$AY$137, MATCH('Staging Table'!$A106, LS_previous!$B$4:$B$137, 0), MATCH(AF$4&amp;AF$5, LS_previous!$D$2:$AY$2&amp;LS_previous!$D$3:$AY$3, 0)),SUM(VLOOKUP($A106, LS_previous!$B$4:$AY$137, LS_previous!X$148, FALSE), VLOOKUP('Staging Table'!$A106, LS_previous!$B$4:$AY$137,LS_previous!AV$148, FALSE))/2)</f>
        <v>3382.1959681419503</v>
      </c>
      <c r="AG106" s="102">
        <f t="array" ref="AG106">IF($G106=0, INDEX(LS_previous!$D$4:$AY$137, MATCH('Staging Table'!$A106, LS_previous!$B$4:$B$137, 0), MATCH(AG$4&amp;AG$5, LS_previous!$D$2:$AY$2&amp;LS_previous!$D$3:$AY$3, 0)),SUM(VLOOKUP($A106, LS_previous!$B$4:$AY$137, LS_previous!Y$148, FALSE), VLOOKUP('Staging Table'!$A106, LS_previous!$B$4:$AY$137,LS_previous!AW$148, FALSE))/2)</f>
        <v>1632.8941256139078</v>
      </c>
      <c r="AH106" s="102">
        <f t="array" ref="AH106">IF($G106=0, INDEX(LS_previous!$D$4:$AY$137, MATCH('Staging Table'!$A106, LS_previous!$B$4:$B$137, 0), MATCH(AH$4&amp;AH$5, LS_previous!$D$2:$AY$2&amp;LS_previous!$D$3:$AY$3, 0)),SUM(VLOOKUP($A106, LS_previous!$B$4:$AY$137, LS_previous!Z$148, FALSE), VLOOKUP('Staging Table'!$A106, LS_previous!$B$4:$AY$137,LS_previous!AX$148, FALSE))/2)</f>
        <v>1730.008011440199</v>
      </c>
      <c r="AI106" s="102">
        <f t="array" ref="AI106">IF($G106=0, INDEX(LS_previous!$D$4:$AY$137, MATCH('Staging Table'!$A106, LS_previous!$B$4:$B$137, 0), MATCH(AI$4&amp;AI$5, LS_previous!$D$2:$AY$2&amp;LS_previous!$D$3:$AY$3, 0)),SUM(VLOOKUP($A106, LS_previous!$B$4:$AY$137, LS_previous!AA$148, FALSE), VLOOKUP('Staging Table'!$A106, LS_previous!$B$4:$AY$137,LS_previous!AY$148, FALSE))/2)</f>
        <v>-318.0252417007996</v>
      </c>
      <c r="AJ106" s="103">
        <f t="array" ref="AJ106">INDEX(Demand_previous!$D$4:$AY$137, MATCH('Staging Table'!$A106, Demand_previous!$B$4:$B$137, 0), MATCH(AJ$4&amp;AJ$5,Demand_previous!$D$2:$AY$2&amp;Demand_previous!$D$3:$AY$3, 0))/1000</f>
        <v>0</v>
      </c>
      <c r="AK106" s="103">
        <f t="array" ref="AK106">INDEX(Demand_previous!$D$4:$AY$137, MATCH('Staging Table'!$A106, Demand_previous!$B$4:$B$137, 0), MATCH(AK$4&amp;AK$5,Demand_previous!$D$2:$AY$2&amp;Demand_previous!$D$3:$AY$3, 0))/1000</f>
        <v>0.16117000000000023</v>
      </c>
      <c r="AL106" s="103">
        <f t="array" ref="AL106">INDEX(Demand_previous!$D$4:$AY$137, MATCH('Staging Table'!$A106, Demand_previous!$B$4:$B$137, 0), MATCH(AL$4&amp;AL$5,Demand_previous!$D$2:$AY$2&amp;Demand_previous!$D$3:$AY$3, 0))/1000</f>
        <v>7.5146350000000037</v>
      </c>
      <c r="AM106" s="103">
        <f t="array" ref="AM106">INDEX(Demand_previous!$D$4:$AY$137, MATCH('Staging Table'!$A106, Demand_previous!$B$4:$B$137, 0), MATCH(AM$4&amp;AM$5,Demand_previous!$D$2:$AY$2&amp;Demand_previous!$D$3:$AY$3, 0))/1000</f>
        <v>4.4955168269230814</v>
      </c>
      <c r="AN106" s="103">
        <f t="array" ref="AN106">INDEX(Demand_previous!$D$4:$AY$137, MATCH('Staging Table'!$A106, Demand_previous!$B$4:$B$137, 0), MATCH(AN$4&amp;AN$5,Demand_previous!$D$2:$AY$2&amp;Demand_previous!$D$3:$AY$3, 0))/1000</f>
        <v>6.326254999999998</v>
      </c>
      <c r="AO106" s="103">
        <f t="array" ref="AO106">INDEX(Demand_previous!$D$4:$AY$137, MATCH('Staging Table'!$A106, Demand_previous!$B$4:$B$137, 0), MATCH(AO$4&amp;AO$5,Demand_previous!$D$2:$AY$2&amp;Demand_previous!$D$3:$AY$3, 0))/1000</f>
        <v>4.5626754807692365</v>
      </c>
      <c r="AP106" s="103">
        <f t="array" ref="AP106">INDEX(Demand_previous!$D$4:$AY$137, MATCH('Staging Table'!$A106, Demand_previous!$B$4:$B$137, 0), MATCH(AP$4&amp;AP$5,Demand_previous!$D$2:$AY$2&amp;Demand_previous!$D$3:$AY$3, 0))/1000</f>
        <v>3.3363653846153838</v>
      </c>
      <c r="AQ106" s="103">
        <f t="array" ref="AQ106">INDEX(Demand_previous!$D$4:$AY$137, MATCH('Staging Table'!$A106, Demand_previous!$B$4:$B$137, 0), MATCH(AQ$4&amp;AQ$5,Demand_previous!$D$2:$AY$2&amp;Demand_previous!$D$3:$AY$3, 0))/1000</f>
        <v>9.0480408653846141</v>
      </c>
      <c r="AR106" s="103">
        <f t="array" ref="AR106">INDEX(Demand_previous!$D$4:$AY$137, MATCH('Staging Table'!$A106, Demand_previous!$B$4:$B$137, 0), MATCH(AR$4&amp;AR$5,Demand_previous!$D$2:$AY$2&amp;Demand_previous!$D$3:$AY$3, 0))/1000</f>
        <v>15.127144999999995</v>
      </c>
      <c r="AS106" s="103">
        <f t="array" ref="AS106">INDEX(Demand_previous!$D$4:$AY$137, MATCH('Staging Table'!$A106, Demand_previous!$B$4:$B$137, 0), MATCH(AS$4&amp;AS$5,Demand_previous!$D$2:$AY$2&amp;Demand_previous!$D$3:$AY$3, 0))/1000</f>
        <v>10.78644471153847</v>
      </c>
      <c r="AT106" s="103">
        <f t="array" ref="AT106">INDEX(Demand_previous!$D$4:$AY$137, MATCH('Staging Table'!$A106, Demand_previous!$B$4:$B$137, 0), MATCH(AT$4&amp;AT$5,Demand_previous!$D$2:$AY$2&amp;Demand_previous!$D$3:$AY$3, 0))/1000</f>
        <v>20.587069444444449</v>
      </c>
      <c r="AU106" s="103">
        <f t="array" ref="AU106">INDEX(Demand_previous!$D$4:$AY$137, MATCH('Staging Table'!$A106, Demand_previous!$B$4:$B$137, 0), MATCH(AU$4&amp;AU$5,Demand_previous!$D$2:$AY$2&amp;Demand_previous!$D$3:$AY$3, 0))/1000</f>
        <v>11.67354947916667</v>
      </c>
      <c r="AV106" s="102">
        <f>$F106*(VLOOKUP(AV$4, Rates_previous!$G$6:$Q$29, 10, FALSE)+VLOOKUP(AV$4, Rates_previous!$G$6:$Q$29, 11, FALSE))</f>
        <v>23341.37557125105</v>
      </c>
      <c r="AW106" s="102">
        <f>$F106*(VLOOKUP(AW$4, Rates_previous!$G$6:$Q$29, 10, FALSE)+VLOOKUP(AW$4, Rates_previous!$G$6:$Q$29, 11, FALSE))</f>
        <v>29767.950741359302</v>
      </c>
      <c r="AX106" s="102">
        <f>$F106*(VLOOKUP(AX$4, Rates_previous!$G$6:$Q$29, 10, FALSE)+VLOOKUP(AX$4, Rates_previous!$G$6:$Q$29, 11, FALSE))</f>
        <v>32125.508770024502</v>
      </c>
      <c r="AY106" s="102">
        <f>$F106*(VLOOKUP(AY$4, Rates_previous!$G$6:$Q$29, 10, FALSE)+VLOOKUP(AY$4, Rates_previous!$G$6:$Q$29, 11, FALSE))</f>
        <v>33383.369824628797</v>
      </c>
      <c r="AZ106" s="102">
        <f>$F106*(VLOOKUP(AZ$4, Rates_previous!$G$6:$Q$29, 10, FALSE)+VLOOKUP(AZ$4, Rates_previous!$G$6:$Q$29, 11, FALSE))</f>
        <v>28714.147768302595</v>
      </c>
      <c r="BA106" s="102">
        <f>$F106*(VLOOKUP(BA$4, Rates_previous!$G$6:$Q$29, 10, FALSE)+VLOOKUP(BA$4, Rates_previous!$G$6:$Q$29, 11, FALSE))</f>
        <v>31350.164247635697</v>
      </c>
      <c r="BB106" s="102">
        <f>$F106*(VLOOKUP(BB$4, Rates_previous!$G$6:$Q$29, 10, FALSE)+VLOOKUP(BB$4, Rates_previous!$G$6:$Q$29, 11, FALSE))</f>
        <v>24745.671530398471</v>
      </c>
      <c r="BC106" s="102">
        <f>$F106*(VLOOKUP(BC$4, Rates_previous!$G$6:$Q$29, 10, FALSE)+VLOOKUP(BC$4, Rates_previous!$G$6:$Q$29, 11, FALSE))</f>
        <v>30700.321608162551</v>
      </c>
      <c r="BD106" s="102">
        <f>$F106*(VLOOKUP(BD$4, Rates_previous!$G$6:$Q$29, 10, FALSE)+VLOOKUP(BD$4, Rates_previous!$G$6:$Q$29, 11, FALSE))</f>
        <v>31366.441946212348</v>
      </c>
      <c r="BE106" s="102">
        <f>$F106*(VLOOKUP(BE$4, Rates_previous!$G$6:$Q$29, 10, FALSE)+VLOOKUP(BE$4, Rates_previous!$G$6:$Q$29, 11, FALSE))</f>
        <v>27230.590521852049</v>
      </c>
      <c r="BF106" s="102">
        <f>$F106*(VLOOKUP(BF$4, Rates_previous!$G$6:$Q$29, 10, FALSE)+VLOOKUP(BF$4, Rates_previous!$G$6:$Q$29, 11, FALSE))</f>
        <v>26324.742906244148</v>
      </c>
      <c r="BG106" s="102">
        <f>$F106*(VLOOKUP(BG$4, Rates_previous!$G$6:$Q$29, 10, FALSE)+VLOOKUP(BG$4, Rates_previous!$G$6:$Q$29, 11, FALSE))</f>
        <v>24223.861230260602</v>
      </c>
      <c r="BH106" s="103">
        <f>IF($D106=0,IF(C106=0, MAX(BJ106 - (VLOOKUP($A106,TOCA_previous!$A$2:$AJ$136,MATCH("RHWM "&amp;Init!$D$1-2,TOCA_previous!$A$2:$AJ$2,0),FALSE)*$F$2*TOCA_previous!C103),0),0), 0)</f>
        <v>11300.302573499852</v>
      </c>
      <c r="BI106" s="109">
        <f>MIN(VLOOKUP($A106,TOCA_previous!$A$2:$AJ$136,MATCH("TRL - NLSL - Existing Resource "&amp;$F$1,TOCA_previous!$A$2:$AJ$2,0),FALSE)*$F$2,(VLOOKUP($A106,TOCA_previous!$A$2:$AJ$136,MATCH("RHWM "&amp;Init!$D$1-2,TOCA_previous!$A$2:$AJ$2,0),FALSE)*$F$2))</f>
        <v>335698.12799999997</v>
      </c>
      <c r="BJ106" s="261">
        <f>SUM(L106:AI106)+(F106*RT1SC!$C$3*$F$2)</f>
        <v>351162.04657349986</v>
      </c>
      <c r="BK106" s="260">
        <f>VLOOKUP($A106,TOCA_previous!$A$2:$AJ$136,MATCH("Above RHWM Not Served with LS "&amp;$F$1,TOCA_previous!$A$2:$AJ$2,0),FALSE)*$F$2</f>
        <v>0</v>
      </c>
      <c r="BL106" s="261">
        <f t="shared" si="36"/>
        <v>15463.91857349989</v>
      </c>
      <c r="BM106" s="260">
        <f>(VLOOKUP($A106,TOCA_previous!$A$2:$AJ$136,MATCH("RHWM "&amp;Init!$D$1-2,TOCA_previous!$A$2:$AJ$2,0),FALSE)*$F$2) - $BI106</f>
        <v>4163.6160000000382</v>
      </c>
      <c r="BN106" s="261">
        <f t="shared" si="37"/>
        <v>-4163.6160000000382</v>
      </c>
      <c r="BO106" s="260">
        <f t="shared" si="38"/>
        <v>0</v>
      </c>
      <c r="BP106" s="261">
        <f t="shared" si="39"/>
        <v>0</v>
      </c>
      <c r="BQ106" s="260">
        <f t="shared" si="9"/>
        <v>-4163.6160000000382</v>
      </c>
      <c r="BR106" s="85">
        <f>VLOOKUP($A106,TOCA_current!$A$2:$ZZ$136,MATCH(BR$4,TOCA_current!$A$2:$ZZ$2,0),FALSE)</f>
        <v>5.4735000000000001E-3</v>
      </c>
      <c r="BS106" s="85">
        <f>VLOOKUP($A106,TOCA_current!$A$2:$ZZ$136,MATCH(BS$4,TOCA_current!$A$2:$ZZ$2,0),FALSE)</f>
        <v>5.4735000000000001E-3</v>
      </c>
      <c r="BT106" s="108">
        <f t="shared" si="40"/>
        <v>0</v>
      </c>
      <c r="BU106" s="85">
        <f>VLOOKUP($A106,TOCA_current!A103:BG237,MATCH(BU$4,TOCA_current!$A$2:$BG$2,0),FALSE)</f>
        <v>0</v>
      </c>
      <c r="BV106" s="85">
        <f t="shared" si="41"/>
        <v>0</v>
      </c>
      <c r="BW106" s="85">
        <f t="shared" si="42"/>
        <v>0</v>
      </c>
      <c r="BX106" s="101">
        <f>VLOOKUP($A106,IRD!$A$4:$G$138, 7, FALSE)</f>
        <v>0</v>
      </c>
      <c r="BY106" s="102">
        <f t="array" ref="BY106">IF($BT106=0, INDEX(LS_current!$D$4:$BW$137, MATCH('Staging Table'!$A106, LS_current!$B$4:$B$137, 0), MATCH(BY$4&amp;BY$5, LS_current!$D$2:$BW$2&amp;LS_current!$D$3:$BW$3, 0)),SUM(VLOOKUP($A106, LS_current!$B$4:$BW$137, LS_current!D$147, FALSE), VLOOKUP($A106, LS_current!$B$4:$BW$137,LS_current!AZ$147, FALSE))/2)</f>
        <v>3115.5511020331724</v>
      </c>
      <c r="BZ106" s="102">
        <f t="array" ref="BZ106">IF($BT106=0, INDEX(LS_current!$D$4:$BW$137, MATCH('Staging Table'!$A106, LS_current!$B$4:$B$137, 0), MATCH(BZ$4&amp;BZ$5, LS_current!$D$2:$BW$2&amp;LS_current!$D$3:$BW$3, 0)),SUM(VLOOKUP($A106, LS_current!$B$4:$BW$137, LS_current!E$147, FALSE), VLOOKUP($A106, LS_current!$B$4:$BW$137,LS_current!BA$147, FALSE))/2)</f>
        <v>438.0486718710381</v>
      </c>
      <c r="CA106" s="102">
        <f t="array" ref="CA106">IF($BT106=0, INDEX(LS_current!$D$4:$BW$137, MATCH('Staging Table'!$A106, LS_current!$B$4:$B$137, 0), MATCH(CA$4&amp;CA$5, LS_current!$D$2:$BW$2&amp;LS_current!$D$3:$BW$3, 0)),SUM(VLOOKUP($A106, LS_current!$B$4:$BW$137, LS_current!F$147, FALSE), VLOOKUP($A106, LS_current!$B$4:$BW$137,LS_current!BB$147, FALSE))/2)</f>
        <v>135.65275150492744</v>
      </c>
      <c r="CB106" s="102">
        <f t="array" ref="CB106">IF($BT106=0, INDEX(LS_current!$D$4:$BW$137, MATCH('Staging Table'!$A106, LS_current!$B$4:$B$137, 0), MATCH(CB$4&amp;CB$5, LS_current!$D$2:$BW$2&amp;LS_current!$D$3:$BW$3, 0)),SUM(VLOOKUP($A106, LS_current!$B$4:$BW$137, LS_current!G$147, FALSE), VLOOKUP($A106, LS_current!$B$4:$BW$137,LS_current!BC$147, FALSE))/2)</f>
        <v>442.50378846252352</v>
      </c>
      <c r="CC106" s="102">
        <f t="array" ref="CC106">IF($BT106=0, INDEX(LS_current!$D$4:$BW$137, MATCH('Staging Table'!$A106, LS_current!$B$4:$B$137, 0), MATCH(CC$4&amp;CC$5, LS_current!$D$2:$BW$2&amp;LS_current!$D$3:$BW$3, 0)),SUM(VLOOKUP($A106, LS_current!$B$4:$BW$137, LS_current!H$147, FALSE), VLOOKUP($A106, LS_current!$B$4:$BW$137,LS_current!BD$147, FALSE))/2)</f>
        <v>-119.69108622369095</v>
      </c>
      <c r="CD106" s="102">
        <f t="array" ref="CD106">IF($BT106=0, INDEX(LS_current!$D$4:$BW$137, MATCH('Staging Table'!$A106, LS_current!$B$4:$B$137, 0), MATCH(CD$4&amp;CD$5, LS_current!$D$2:$BW$2&amp;LS_current!$D$3:$BW$3, 0)),SUM(VLOOKUP($A106, LS_current!$B$4:$BW$137, LS_current!I$147, FALSE), VLOOKUP($A106, LS_current!$B$4:$BW$137,LS_current!BE$147, FALSE))/2)</f>
        <v>949.00449507035592</v>
      </c>
      <c r="CE106" s="102">
        <f t="array" ref="CE106">IF($BT106=0, INDEX(LS_current!$D$4:$BW$137, MATCH('Staging Table'!$A106, LS_current!$B$4:$B$137, 0), MATCH(CE$4&amp;CE$5, LS_current!$D$2:$BW$2&amp;LS_current!$D$3:$BW$3, 0)),SUM(VLOOKUP($A106, LS_current!$B$4:$BW$137, LS_current!J$147, FALSE), VLOOKUP($A106, LS_current!$B$4:$BW$137,LS_current!BF$147, FALSE))/2)</f>
        <v>-2055.4207327504373</v>
      </c>
      <c r="CF106" s="102">
        <f t="array" ref="CF106">IF($BT106=0, INDEX(LS_current!$D$4:$BW$137, MATCH('Staging Table'!$A106, LS_current!$B$4:$B$137, 0), MATCH(CF$4&amp;CF$5, LS_current!$D$2:$BW$2&amp;LS_current!$D$3:$BW$3, 0)),SUM(VLOOKUP($A106, LS_current!$B$4:$BW$137, LS_current!K$147, FALSE), VLOOKUP($A106, LS_current!$B$4:$BW$137,LS_current!BG$147, FALSE))/2)</f>
        <v>-735.40768723197652</v>
      </c>
      <c r="CG106" s="102">
        <f t="array" ref="CG106">IF($BT106=0, INDEX(LS_current!$D$4:$BW$137, MATCH('Staging Table'!$A106, LS_current!$B$4:$B$137, 0), MATCH(CG$4&amp;CG$5, LS_current!$D$2:$BW$2&amp;LS_current!$D$3:$BW$3, 0)),SUM(VLOOKUP($A106, LS_current!$B$4:$BW$137, LS_current!L$147, FALSE), VLOOKUP($A106, LS_current!$B$4:$BW$137,LS_current!BH$147, FALSE))/2)</f>
        <v>1108.9737510367486</v>
      </c>
      <c r="CH106" s="102">
        <f t="array" ref="CH106">IF($BT106=0, INDEX(LS_current!$D$4:$BW$137, MATCH('Staging Table'!$A106, LS_current!$B$4:$B$137, 0), MATCH(CH$4&amp;CH$5, LS_current!$D$2:$BW$2&amp;LS_current!$D$3:$BW$3, 0)),SUM(VLOOKUP($A106, LS_current!$B$4:$BW$137, LS_current!M$147, FALSE), VLOOKUP($A106, LS_current!$B$4:$BW$137,LS_current!BI$147, FALSE))/2)</f>
        <v>761.0321685202689</v>
      </c>
      <c r="CI106" s="102">
        <f t="array" ref="CI106">IF($BT106=0, INDEX(LS_current!$D$4:$BW$137, MATCH('Staging Table'!$A106, LS_current!$B$4:$B$137, 0), MATCH(CI$4&amp;CI$5, LS_current!$D$2:$BW$2&amp;LS_current!$D$3:$BW$3, 0)),SUM(VLOOKUP($A106, LS_current!$B$4:$BW$137, LS_current!N$147, FALSE), VLOOKUP($A106, LS_current!$B$4:$BW$137,LS_current!BJ$147, FALSE))/2)</f>
        <v>-1644.1210416428221</v>
      </c>
      <c r="CJ106" s="102">
        <f t="array" ref="CJ106">IF($BT106=0, INDEX(LS_current!$D$4:$BW$137, MATCH('Staging Table'!$A106, LS_current!$B$4:$B$137, 0), MATCH(CJ$4&amp;CJ$5, LS_current!$D$2:$BW$2&amp;LS_current!$D$3:$BW$3, 0)),SUM(VLOOKUP($A106, LS_current!$B$4:$BW$137, LS_current!O$147, FALSE), VLOOKUP($A106, LS_current!$B$4:$BW$137,LS_current!BK$147, FALSE))/2)</f>
        <v>522.76486316205592</v>
      </c>
      <c r="CK106" s="102">
        <f t="array" ref="CK106">IF($BT106=0, INDEX(LS_current!$D$4:$BW$137, MATCH('Staging Table'!$A106, LS_current!$B$4:$B$137, 0), MATCH(CK$4&amp;CK$5, LS_current!$D$2:$BW$2&amp;LS_current!$D$3:$BW$3, 0)),SUM(VLOOKUP($A106, LS_current!$B$4:$BW$137, LS_current!P$147, FALSE), VLOOKUP($A106, LS_current!$B$4:$BW$137,LS_current!BL$147, FALSE))/2)</f>
        <v>2030.973456447824</v>
      </c>
      <c r="CL106" s="102">
        <f t="array" ref="CL106">IF($BT106=0, INDEX(LS_current!$D$4:$BW$137, MATCH('Staging Table'!$A106, LS_current!$B$4:$B$137, 0), MATCH(CL$4&amp;CL$5, LS_current!$D$2:$BW$2&amp;LS_current!$D$3:$BW$3, 0)),SUM(VLOOKUP($A106, LS_current!$B$4:$BW$137, LS_current!Q$147, FALSE), VLOOKUP($A106, LS_current!$B$4:$BW$137,LS_current!BM$147, FALSE))/2)</f>
        <v>4.2033136788122647</v>
      </c>
      <c r="CM106" s="102">
        <f t="array" ref="CM106">IF($BT106=0, INDEX(LS_current!$D$4:$BW$137, MATCH('Staging Table'!$A106, LS_current!$B$4:$B$137, 0), MATCH(CM$4&amp;CM$5, LS_current!$D$2:$BW$2&amp;LS_current!$D$3:$BW$3, 0)),SUM(VLOOKUP($A106, LS_current!$B$4:$BW$137, LS_current!R$147, FALSE), VLOOKUP($A106, LS_current!$B$4:$BW$137,LS_current!BN$147, FALSE))/2)</f>
        <v>-3378.4369353450074</v>
      </c>
      <c r="CN106" s="102">
        <f t="array" ref="CN106">IF($BT106=0, INDEX(LS_current!$D$4:$BW$137, MATCH('Staging Table'!$A106, LS_current!$B$4:$B$137, 0), MATCH(CN$4&amp;CN$5, LS_current!$D$2:$BW$2&amp;LS_current!$D$3:$BW$3, 0)),SUM(VLOOKUP($A106, LS_current!$B$4:$BW$137, LS_current!S$147, FALSE), VLOOKUP($A106, LS_current!$B$4:$BW$137,LS_current!BO$147, FALSE))/2)</f>
        <v>-2427.3322891479438</v>
      </c>
      <c r="CO106" s="102">
        <f t="array" ref="CO106">IF($BT106=0, INDEX(LS_current!$D$4:$BW$137, MATCH('Staging Table'!$A106, LS_current!$B$4:$B$137, 0), MATCH(CO$4&amp;CO$5, LS_current!$D$2:$BW$2&amp;LS_current!$D$3:$BW$3, 0)),SUM(VLOOKUP($A106, LS_current!$B$4:$BW$137, LS_current!T$147, FALSE), VLOOKUP($A106, LS_current!$B$4:$BW$137,LS_current!BP$147, FALSE))/2)</f>
        <v>-3898.7471718834386</v>
      </c>
      <c r="CP106" s="102">
        <f t="array" ref="CP106">IF($BT106=0, INDEX(LS_current!$D$4:$BW$137, MATCH('Staging Table'!$A106, LS_current!$B$4:$B$137, 0), MATCH(CP$4&amp;CP$5, LS_current!$D$2:$BW$2&amp;LS_current!$D$3:$BW$3, 0)),SUM(VLOOKUP($A106, LS_current!$B$4:$BW$137, LS_current!U$147, FALSE), VLOOKUP($A106, LS_current!$B$4:$BW$137,LS_current!BQ$147, FALSE))/2)</f>
        <v>-2197.1392700235683</v>
      </c>
      <c r="CQ106" s="102">
        <f t="array" ref="CQ106">IF($BT106=0, INDEX(LS_current!$D$4:$BW$137, MATCH('Staging Table'!$A106, LS_current!$B$4:$B$137, 0), MATCH(CQ$4&amp;CQ$5, LS_current!$D$2:$BW$2&amp;LS_current!$D$3:$BW$3, 0)),SUM(VLOOKUP($A106, LS_current!$B$4:$BW$137, LS_current!V$147, FALSE), VLOOKUP($A106, LS_current!$B$4:$BW$137,LS_current!BR$147, FALSE))/2)</f>
        <v>1635.449927980284</v>
      </c>
      <c r="CR106" s="102">
        <f t="array" ref="CR106">IF($BT106=0, INDEX(LS_current!$D$4:$BW$137, MATCH('Staging Table'!$A106, LS_current!$B$4:$B$137, 0), MATCH(CR$4&amp;CR$5, LS_current!$D$2:$BW$2&amp;LS_current!$D$3:$BW$3, 0)),SUM(VLOOKUP($A106, LS_current!$B$4:$BW$137, LS_current!W$147, FALSE), VLOOKUP($A106, LS_current!$B$4:$BW$137,LS_current!BS$147, FALSE))/2)</f>
        <v>486.81644360659811</v>
      </c>
      <c r="CS106" s="102">
        <f t="array" ref="CS106">IF($BT106=0, INDEX(LS_current!$D$4:$BW$137, MATCH('Staging Table'!$A106, LS_current!$B$4:$B$137, 0), MATCH(CS$4&amp;CS$5, LS_current!$D$2:$BW$2&amp;LS_current!$D$3:$BW$3, 0)),SUM(VLOOKUP($A106, LS_current!$B$4:$BW$137, LS_current!X$147, FALSE), VLOOKUP($A106, LS_current!$B$4:$BW$137,LS_current!BT$147, FALSE))/2)</f>
        <v>723.8130701544942</v>
      </c>
      <c r="CT106" s="102">
        <f t="array" ref="CT106">IF($BT106=0, INDEX(LS_current!$D$4:$BW$137, MATCH('Staging Table'!$A106, LS_current!$B$4:$B$137, 0), MATCH(CT$4&amp;CT$5, LS_current!$D$2:$BW$2&amp;LS_current!$D$3:$BW$3, 0)),SUM(VLOOKUP($A106, LS_current!$B$4:$BW$137, LS_current!Y$147, FALSE), VLOOKUP($A106, LS_current!$B$4:$BW$137,LS_current!BU$147, FALSE))/2)</f>
        <v>1355.5232598352522</v>
      </c>
      <c r="CU106" s="102">
        <f t="array" ref="CU106">IF($BT106=0, INDEX(LS_current!$D$4:$BW$137, MATCH('Staging Table'!$A106, LS_current!$B$4:$B$137, 0), MATCH(CU$4&amp;CU$5, LS_current!$D$2:$BW$2&amp;LS_current!$D$3:$BW$3, 0)),SUM(VLOOKUP($A106, LS_current!$B$4:$BW$137, LS_current!Z$147, FALSE), VLOOKUP($A106, LS_current!$B$4:$BW$137,LS_current!BV$147, FALSE))/2)</f>
        <v>2006.1689747850833</v>
      </c>
      <c r="CV106" s="102">
        <f t="array" ref="CV106">IF($BT106=0, INDEX(LS_current!$D$4:$BW$137, MATCH('Staging Table'!$A106, LS_current!$B$4:$B$137, 0), MATCH(CV$4&amp;CV$5, LS_current!$D$2:$BW$2&amp;LS_current!$D$3:$BW$3, 0)),SUM(VLOOKUP($A106, LS_current!$B$4:$BW$137, LS_current!AA$147, FALSE), VLOOKUP($A106, LS_current!$B$4:$BW$137,LS_current!BW$147, FALSE))/2)</f>
        <v>738.59733990854147</v>
      </c>
      <c r="CW106" s="103">
        <f t="array" ref="CW106">INDEX(Demand_current!$D$4:$BW$137, MATCH($A106, Demand_current!$B$4:$B$137, 0), MATCH(CW$4&amp;CW$5,Demand_current!$D$2:$BW$2&amp;Demand_current!$D$3:$BW$3, 0))/1000</f>
        <v>0.79655555555556123</v>
      </c>
      <c r="CX106" s="103">
        <f t="array" ref="CX106">INDEX(Demand_current!$D$4:$BW$137, MATCH($A106, Demand_current!$B$4:$B$137, 0), MATCH(CX$4&amp;CX$5,Demand_current!$D$2:$BW$2&amp;Demand_current!$D$3:$BW$3, 0))/1000</f>
        <v>0</v>
      </c>
      <c r="CY106" s="103">
        <f t="array" ref="CY106">INDEX(Demand_current!$D$4:$BW$137, MATCH($A106, Demand_current!$B$4:$B$137, 0), MATCH(CY$4&amp;CY$5,Demand_current!$D$2:$BW$2&amp;Demand_current!$D$3:$BW$3, 0))/1000</f>
        <v>9.5851875000000017</v>
      </c>
      <c r="CZ106" s="103">
        <f t="array" ref="CZ106">INDEX(Demand_current!$D$4:$BW$137, MATCH($A106, Demand_current!$B$4:$B$137, 0), MATCH(CZ$4&amp;CZ$5,Demand_current!$D$2:$BW$2&amp;Demand_current!$D$3:$BW$3, 0))/1000</f>
        <v>4.4955168269230814</v>
      </c>
      <c r="DA106" s="103">
        <f t="array" ref="DA106">INDEX(Demand_current!$D$4:$BW$137, MATCH($A106, Demand_current!$B$4:$B$137, 0), MATCH(DA$4&amp;DA$5,Demand_current!$D$2:$BW$2&amp;Demand_current!$D$3:$BW$3, 0))/1000</f>
        <v>4.3235572916666616</v>
      </c>
      <c r="DB106" s="103">
        <f t="array" ref="DB106">INDEX(Demand_current!$D$4:$BW$137, MATCH($A106, Demand_current!$B$4:$B$137, 0), MATCH(DB$4&amp;DB$5,Demand_current!$D$2:$BW$2&amp;Demand_current!$D$3:$BW$3, 0))/1000</f>
        <v>4.5626754807692365</v>
      </c>
      <c r="DC106" s="103">
        <f t="array" ref="DC106">INDEX(Demand_current!$D$4:$BW$137, MATCH($A106, Demand_current!$B$4:$B$137, 0), MATCH(DC$4&amp;DC$5,Demand_current!$D$2:$BW$2&amp;Demand_current!$D$3:$BW$3, 0))/1000</f>
        <v>3.3363653846153838</v>
      </c>
      <c r="DD106" s="103">
        <f t="array" ref="DD106">INDEX(Demand_current!$D$4:$BW$137, MATCH($A106, Demand_current!$B$4:$B$137, 0), MATCH(DD$4&amp;DD$5,Demand_current!$D$2:$BW$2&amp;Demand_current!$D$3:$BW$3, 0))/1000</f>
        <v>7.5554024999999996</v>
      </c>
      <c r="DE106" s="103">
        <f t="array" ref="DE106">INDEX(Demand_current!$D$4:$BW$137, MATCH($A106, Demand_current!$B$4:$B$137, 0), MATCH(DE$4&amp;DE$5,Demand_current!$D$2:$BW$2&amp;Demand_current!$D$3:$BW$3, 0))/1000</f>
        <v>16.747562499999997</v>
      </c>
      <c r="DF106" s="103">
        <f t="array" ref="DF106">INDEX(Demand_current!$D$4:$BW$137, MATCH($A106, Demand_current!$B$4:$B$137, 0), MATCH(DF$4&amp;DF$5,Demand_current!$D$2:$BW$2&amp;Demand_current!$D$3:$BW$3, 0))/1000</f>
        <v>10.78644471153847</v>
      </c>
      <c r="DG106" s="103">
        <f t="array" ref="DG106">INDEX(Demand_current!$D$4:$BW$137, MATCH($A106, Demand_current!$B$4:$B$137, 0), MATCH(DG$4&amp;DG$5,Demand_current!$D$2:$BW$2&amp;Demand_current!$D$3:$BW$3, 0))/1000</f>
        <v>18.799187500000006</v>
      </c>
      <c r="DH106" s="103">
        <f t="array" ref="DH106">INDEX(Demand_current!$D$4:$BW$137, MATCH($A106, Demand_current!$B$4:$B$137, 0), MATCH(DH$4&amp;DH$5,Demand_current!$D$2:$BW$2&amp;Demand_current!$D$3:$BW$3, 0))/1000</f>
        <v>13.360807500000004</v>
      </c>
      <c r="DI106" s="102">
        <f>$BS106*(VLOOKUP(DI$4, Rates_current!$H$6:$R$41, 10, FALSE)+VLOOKUP(DI$4, Rates_current!$H$6:$R$41, 11, FALSE))</f>
        <v>22716.599226095786</v>
      </c>
      <c r="DJ106" s="102">
        <f>$BS106*(VLOOKUP(DJ$4, Rates_current!$H$6:$R$41, 10, FALSE)+VLOOKUP(DJ$4, Rates_current!$H$6:$R$41, 11, FALSE))</f>
        <v>29042.424460032551</v>
      </c>
      <c r="DK106" s="102">
        <f>$BS106*(VLOOKUP(DK$4, Rates_current!$H$6:$R$41, 10, FALSE)+VLOOKUP(DK$4, Rates_current!$H$6:$R$41, 11, FALSE))</f>
        <v>33018.807591153331</v>
      </c>
      <c r="DL106" s="102">
        <f>$BS106*(VLOOKUP(DL$4, Rates_current!$H$6:$R$41, 10, FALSE)+VLOOKUP(DL$4, Rates_current!$H$6:$R$41, 11, FALSE))</f>
        <v>34837.419419982412</v>
      </c>
      <c r="DM106" s="102">
        <f>$BS106*(VLOOKUP(DM$4, Rates_current!$H$6:$R$41, 10, FALSE)+VLOOKUP(DM$4, Rates_current!$H$6:$R$41, 11, FALSE))</f>
        <v>27762.279080442986</v>
      </c>
      <c r="DN106" s="102">
        <f>$BS106*(VLOOKUP(DN$4, Rates_current!$H$6:$R$41, 10, FALSE)+VLOOKUP(DN$4, Rates_current!$H$6:$R$41, 11, FALSE))</f>
        <v>30349.872178480764</v>
      </c>
      <c r="DO106" s="102">
        <f>$BS106*(VLOOKUP(DO$4, Rates_current!$H$6:$R$41, 10, FALSE)+VLOOKUP(DO$4, Rates_current!$H$6:$R$41, 11, FALSE))</f>
        <v>23521.456229873362</v>
      </c>
      <c r="DP106" s="102">
        <f>$BS106*(VLOOKUP(DP$4, Rates_current!$H$6:$R$41, 10, FALSE)+VLOOKUP(DP$4, Rates_current!$H$6:$R$41, 11, FALSE))</f>
        <v>30440.637224492948</v>
      </c>
      <c r="DQ106" s="102">
        <f>$BS106*(VLOOKUP(DQ$4, Rates_current!$H$6:$R$41, 10, FALSE)+VLOOKUP(DQ$4, Rates_current!$H$6:$R$41, 11, FALSE))</f>
        <v>31090.633441907008</v>
      </c>
      <c r="DR106" s="102">
        <f>$BS106*(VLOOKUP(DR$4, Rates_current!$H$6:$R$41, 10, FALSE)+VLOOKUP(DR$4, Rates_current!$H$6:$R$41, 11, FALSE))</f>
        <v>27673.352628413115</v>
      </c>
      <c r="DS106" s="102">
        <f>$BS106*(VLOOKUP(DS$4, Rates_current!$H$6:$R$41, 10, FALSE)+VLOOKUP(DS$4, Rates_current!$H$6:$R$41, 11, FALSE))</f>
        <v>28387.784670010256</v>
      </c>
      <c r="DT106" s="102">
        <f>$BS106*(VLOOKUP(DT$4, Rates_current!$H$6:$R$41, 10, FALSE)+VLOOKUP(DT$4, Rates_current!$H$6:$R$41, 11, FALSE))</f>
        <v>22046.517685306375</v>
      </c>
      <c r="DU106" s="261">
        <f>IF(D106=0,IF(C106=0,MAX(0,DW106 - (VLOOKUP($A106,TOCA_current!$A$2:$AV$136,MATCH("RHWM "&amp;Init!$D$1,TOCA_current!$A$2:$AV$2,0),FALSE)*$BS$2)), 0),0)</f>
        <v>0</v>
      </c>
      <c r="DV106" s="262">
        <f>MIN(VLOOKUP($A106,TOCA_current!$A$2:$AV$136,MATCH("TRL - NLSL - Existing Resource "&amp;$BS$1,TOCA_current!$A$2:$AV$2,0),FALSE)*$BS$2, VLOOKUP($A106,TOCA_current!$A$2:$AV$136,MATCH("RHWM "&amp;Init!$D$1,TOCA_current!$A$2:$AV$2,0),FALSE)*$BS$2)</f>
        <v>340886.64</v>
      </c>
      <c r="DW106" s="262">
        <f>SUM(BY106:CV106)+(BS106*RT1SC!$C$4*$BS$2)</f>
        <v>340886.58512252913</v>
      </c>
      <c r="DX106" s="262">
        <f>VLOOKUP($A106,TOCA_current!$A$2:$AV$136,MATCH("Above RHWM Not Served with LS "&amp;$BS$1,TOCA_current!$A$2:$AV$2,0),FALSE)*$BS$2</f>
        <v>10275.48</v>
      </c>
      <c r="DY106" s="262">
        <f t="shared" si="43"/>
        <v>-5.4877470887731761E-2</v>
      </c>
      <c r="DZ106" s="262">
        <f>(VLOOKUP($A106,TOCA_current!$A$2:$AV$136,MATCH("RHWM "&amp;Init!$D$1,TOCA_current!$A$2:$AV$2,0),FALSE)*$BS$2) - $DV106</f>
        <v>0</v>
      </c>
      <c r="EA106" s="262">
        <f t="shared" si="44"/>
        <v>0</v>
      </c>
      <c r="EB106" s="262">
        <f t="shared" si="45"/>
        <v>0</v>
      </c>
      <c r="EC106" s="262">
        <f t="shared" si="46"/>
        <v>0</v>
      </c>
      <c r="ED106" s="262">
        <f t="shared" si="47"/>
        <v>0</v>
      </c>
    </row>
    <row r="107" spans="1:134">
      <c r="A107" s="2">
        <v>10343</v>
      </c>
      <c r="B107" s="3" t="s">
        <v>109</v>
      </c>
      <c r="C107">
        <f>VLOOKUP(A107, TOCA_current!$A$3:$D$136, 4, FALSE)</f>
        <v>0</v>
      </c>
      <c r="D107">
        <v>0</v>
      </c>
      <c r="E107" s="84">
        <f>VLOOKUP($A107,TOCA_previous!$A$2:$AJ$136,MATCH(E$4,TOCA_previous!$A$2:$AJ$2,0),FALSE)</f>
        <v>1.7313000000000001E-3</v>
      </c>
      <c r="F107" s="85">
        <f>VLOOKUP($A107,TOCA_previous!$A$2:$AJ$136,MATCH(F$4,TOCA_previous!$A$2:$AJ$2,0),FALSE)</f>
        <v>1.7313000000000001E-3</v>
      </c>
      <c r="G107" s="85">
        <f t="shared" si="33"/>
        <v>0</v>
      </c>
      <c r="H107" s="85">
        <f>VLOOKUP($A107,TOCA_previous!$A$2:$AJ$136,MATCH(H$4,TOCA_previous!$A$2:$AJ$2,0),FALSE)</f>
        <v>7.0000000000000007E-2</v>
      </c>
      <c r="I107" s="85">
        <f t="shared" si="34"/>
        <v>0</v>
      </c>
      <c r="J107" s="85">
        <f t="shared" si="35"/>
        <v>0</v>
      </c>
      <c r="K107" s="101">
        <f>VLOOKUP(A107, IRD!$A$5:$C$138, 3, FALSE)</f>
        <v>10505.661</v>
      </c>
      <c r="L107" s="102">
        <f t="array" ref="L107">IF($G107=0, INDEX(LS_previous!$D$4:$AY$137, MATCH('Staging Table'!$A107, LS_previous!$B$4:$B$137, 0), MATCH(L$4&amp;L$5, LS_previous!$D$2:$AY$2&amp;LS_previous!$D$3:$AY$3, 0)),SUM(VLOOKUP($A107, LS_previous!$B$4:$AY$137, LS_previous!D$148, FALSE), VLOOKUP('Staging Table'!$A107, LS_previous!$B$4:$AY$137,LS_previous!AB$148, FALSE))/2)</f>
        <v>-288.07135952680073</v>
      </c>
      <c r="M107" s="102">
        <f t="array" ref="M107">IF($G107=0, INDEX(LS_previous!$D$4:$AY$137, MATCH('Staging Table'!$A107, LS_previous!$B$4:$B$137, 0), MATCH(M$4&amp;M$5, LS_previous!$D$2:$AY$2&amp;LS_previous!$D$3:$AY$3, 0)),SUM(VLOOKUP($A107, LS_previous!$B$4:$AY$137, LS_previous!E$148, FALSE), VLOOKUP('Staging Table'!$A107, LS_previous!$B$4:$AY$137,LS_previous!AC$148, FALSE))/2)</f>
        <v>54.220407241849898</v>
      </c>
      <c r="N107" s="102">
        <f t="array" ref="N107">IF($G107=0, INDEX(LS_previous!$D$4:$AY$137, MATCH('Staging Table'!$A107, LS_previous!$B$4:$B$137, 0), MATCH(N$4&amp;N$5, LS_previous!$D$2:$AY$2&amp;LS_previous!$D$3:$AY$3, 0)),SUM(VLOOKUP($A107, LS_previous!$B$4:$AY$137, LS_previous!F$148, FALSE), VLOOKUP('Staging Table'!$A107, LS_previous!$B$4:$AY$137,LS_previous!AD$148, FALSE))/2)</f>
        <v>-1272.4599109664005</v>
      </c>
      <c r="O107" s="102">
        <f t="array" ref="O107">IF($G107=0, INDEX(LS_previous!$D$4:$AY$137, MATCH('Staging Table'!$A107, LS_previous!$B$4:$B$137, 0), MATCH(O$4&amp;O$5, LS_previous!$D$2:$AY$2&amp;LS_previous!$D$3:$AY$3, 0)),SUM(VLOOKUP($A107, LS_previous!$B$4:$AY$137, LS_previous!G$148, FALSE), VLOOKUP('Staging Table'!$A107, LS_previous!$B$4:$AY$137,LS_previous!AE$148, FALSE))/2)</f>
        <v>-259.11267385029987</v>
      </c>
      <c r="P107" s="102">
        <f t="array" ref="P107">IF($G107=0, INDEX(LS_previous!$D$4:$AY$137, MATCH('Staging Table'!$A107, LS_previous!$B$4:$B$137, 0), MATCH(P$4&amp;P$5, LS_previous!$D$2:$AY$2&amp;LS_previous!$D$3:$AY$3, 0)),SUM(VLOOKUP($A107, LS_previous!$B$4:$AY$137, LS_previous!H$148, FALSE), VLOOKUP('Staging Table'!$A107, LS_previous!$B$4:$AY$137,LS_previous!AF$148, FALSE))/2)</f>
        <v>-7.5859599307004828</v>
      </c>
      <c r="Q107" s="102">
        <f t="array" ref="Q107">IF($G107=0, INDEX(LS_previous!$D$4:$AY$137, MATCH('Staging Table'!$A107, LS_previous!$B$4:$B$137, 0), MATCH(Q$4&amp;Q$5, LS_previous!$D$2:$AY$2&amp;LS_previous!$D$3:$AY$3, 0)),SUM(VLOOKUP($A107, LS_previous!$B$4:$AY$137, LS_previous!I$148, FALSE), VLOOKUP('Staging Table'!$A107, LS_previous!$B$4:$AY$137,LS_previous!AG$148, FALSE))/2)</f>
        <v>710.59711411519947</v>
      </c>
      <c r="R107" s="102">
        <f t="array" ref="R107">IF($G107=0, INDEX(LS_previous!$D$4:$AY$137, MATCH('Staging Table'!$A107, LS_previous!$B$4:$B$137, 0), MATCH(R$4&amp;R$5, LS_previous!$D$2:$AY$2&amp;LS_previous!$D$3:$AY$3, 0)),SUM(VLOOKUP($A107, LS_previous!$B$4:$AY$137, LS_previous!J$148, FALSE), VLOOKUP('Staging Table'!$A107, LS_previous!$B$4:$AY$137,LS_previous!AH$148, FALSE))/2)</f>
        <v>-514.60206617950007</v>
      </c>
      <c r="S107" s="102">
        <f t="array" ref="S107">IF($G107=0, INDEX(LS_previous!$D$4:$AY$137, MATCH('Staging Table'!$A107, LS_previous!$B$4:$B$137, 0), MATCH(S$4&amp;S$5, LS_previous!$D$2:$AY$2&amp;LS_previous!$D$3:$AY$3, 0)),SUM(VLOOKUP($A107, LS_previous!$B$4:$AY$137, LS_previous!K$148, FALSE), VLOOKUP('Staging Table'!$A107, LS_previous!$B$4:$AY$137,LS_previous!AI$148, FALSE))/2)</f>
        <v>846.52563039230017</v>
      </c>
      <c r="T107" s="102">
        <f t="array" ref="T107">IF($G107=0, INDEX(LS_previous!$D$4:$AY$137, MATCH('Staging Table'!$A107, LS_previous!$B$4:$B$137, 0), MATCH(T$4&amp;T$5, LS_previous!$D$2:$AY$2&amp;LS_previous!$D$3:$AY$3, 0)),SUM(VLOOKUP($A107, LS_previous!$B$4:$AY$137, LS_previous!L$148, FALSE), VLOOKUP('Staging Table'!$A107, LS_previous!$B$4:$AY$137,LS_previous!AJ$148, FALSE))/2)</f>
        <v>-812.62186531269981</v>
      </c>
      <c r="U107" s="102">
        <f t="array" ref="U107">IF($G107=0, INDEX(LS_previous!$D$4:$AY$137, MATCH('Staging Table'!$A107, LS_previous!$B$4:$B$137, 0), MATCH(U$4&amp;U$5, LS_previous!$D$2:$AY$2&amp;LS_previous!$D$3:$AY$3, 0)),SUM(VLOOKUP($A107, LS_previous!$B$4:$AY$137, LS_previous!M$148, FALSE), VLOOKUP('Staging Table'!$A107, LS_previous!$B$4:$AY$137,LS_previous!AK$148, FALSE))/2)</f>
        <v>446.32173838329982</v>
      </c>
      <c r="V107" s="102">
        <f t="array" ref="V107">IF($G107=0, INDEX(LS_previous!$D$4:$AY$137, MATCH('Staging Table'!$A107, LS_previous!$B$4:$B$137, 0), MATCH(V$4&amp;V$5, LS_previous!$D$2:$AY$2&amp;LS_previous!$D$3:$AY$3, 0)),SUM(VLOOKUP($A107, LS_previous!$B$4:$AY$137, LS_previous!N$148, FALSE), VLOOKUP('Staging Table'!$A107, LS_previous!$B$4:$AY$137,LS_previous!AL$148, FALSE))/2)</f>
        <v>-1189.7109603368999</v>
      </c>
      <c r="W107" s="102">
        <f t="array" ref="W107">IF($G107=0, INDEX(LS_previous!$D$4:$AY$137, MATCH('Staging Table'!$A107, LS_previous!$B$4:$B$137, 0), MATCH(W$4&amp;W$5, LS_previous!$D$2:$AY$2&amp;LS_previous!$D$3:$AY$3, 0)),SUM(VLOOKUP($A107, LS_previous!$B$4:$AY$137, LS_previous!O$148, FALSE), VLOOKUP('Staging Table'!$A107, LS_previous!$B$4:$AY$137,LS_previous!AM$148, FALSE))/2)</f>
        <v>-284.36202425139982</v>
      </c>
      <c r="X107" s="102">
        <f t="array" ref="X107">IF($G107=0, INDEX(LS_previous!$D$4:$AY$137, MATCH('Staging Table'!$A107, LS_previous!$B$4:$B$137, 0), MATCH(X$4&amp;X$5, LS_previous!$D$2:$AY$2&amp;LS_previous!$D$3:$AY$3, 0)),SUM(VLOOKUP($A107, LS_previous!$B$4:$AY$137, LS_previous!P$148, FALSE), VLOOKUP('Staging Table'!$A107, LS_previous!$B$4:$AY$137,LS_previous!AN$148, FALSE))/2)</f>
        <v>-440.83158518574965</v>
      </c>
      <c r="Y107" s="102">
        <f t="array" ref="Y107">IF($G107=0, INDEX(LS_previous!$D$4:$AY$137, MATCH('Staging Table'!$A107, LS_previous!$B$4:$B$137, 0), MATCH(Y$4&amp;Y$5, LS_previous!$D$2:$AY$2&amp;LS_previous!$D$3:$AY$3, 0)),SUM(VLOOKUP($A107, LS_previous!$B$4:$AY$137, LS_previous!Q$148, FALSE), VLOOKUP('Staging Table'!$A107, LS_previous!$B$4:$AY$137,LS_previous!AO$148, FALSE))/2)</f>
        <v>129.0444336722253</v>
      </c>
      <c r="Z107" s="102">
        <f t="array" ref="Z107">IF($G107=0, INDEX(LS_previous!$D$4:$AY$137, MATCH('Staging Table'!$A107, LS_previous!$B$4:$B$137, 0), MATCH(Z$4&amp;Z$5, LS_previous!$D$2:$AY$2&amp;LS_previous!$D$3:$AY$3, 0)),SUM(VLOOKUP($A107, LS_previous!$B$4:$AY$137, LS_previous!R$148, FALSE), VLOOKUP('Staging Table'!$A107, LS_previous!$B$4:$AY$137,LS_previous!AP$148, FALSE))/2)</f>
        <v>-963.84250894240085</v>
      </c>
      <c r="AA107" s="102">
        <f t="array" ref="AA107">IF($G107=0, INDEX(LS_previous!$D$4:$AY$137, MATCH('Staging Table'!$A107, LS_previous!$B$4:$B$137, 0), MATCH(AA$4&amp;AA$5, LS_previous!$D$2:$AY$2&amp;LS_previous!$D$3:$AY$3, 0)),SUM(VLOOKUP($A107, LS_previous!$B$4:$AY$137, LS_previous!S$148, FALSE), VLOOKUP('Staging Table'!$A107, LS_previous!$B$4:$AY$137,LS_previous!AQ$148, FALSE))/2)</f>
        <v>82.727165888950367</v>
      </c>
      <c r="AB107" s="102">
        <f t="array" ref="AB107">IF($G107=0, INDEX(LS_previous!$D$4:$AY$137, MATCH('Staging Table'!$A107, LS_previous!$B$4:$B$137, 0), MATCH(AB$4&amp;AB$5, LS_previous!$D$2:$AY$2&amp;LS_previous!$D$3:$AY$3, 0)),SUM(VLOOKUP($A107, LS_previous!$B$4:$AY$137, LS_previous!T$148, FALSE), VLOOKUP('Staging Table'!$A107, LS_previous!$B$4:$AY$137,LS_previous!AR$148, FALSE))/2)</f>
        <v>-1161.0157222837997</v>
      </c>
      <c r="AC107" s="102">
        <f t="array" ref="AC107">IF($G107=0, INDEX(LS_previous!$D$4:$AY$137, MATCH('Staging Table'!$A107, LS_previous!$B$4:$B$137, 0), MATCH(AC$4&amp;AC$5, LS_previous!$D$2:$AY$2&amp;LS_previous!$D$3:$AY$3, 0)),SUM(VLOOKUP($A107, LS_previous!$B$4:$AY$137, LS_previous!U$148, FALSE), VLOOKUP('Staging Table'!$A107, LS_previous!$B$4:$AY$137,LS_previous!AS$148, FALSE))/2)</f>
        <v>-80.24290185585005</v>
      </c>
      <c r="AD107" s="102">
        <f t="array" ref="AD107">IF($G107=0, INDEX(LS_previous!$D$4:$AY$137, MATCH('Staging Table'!$A107, LS_previous!$B$4:$B$137, 0), MATCH(AD$4&amp;AD$5, LS_previous!$D$2:$AY$2&amp;LS_previous!$D$3:$AY$3, 0)),SUM(VLOOKUP($A107, LS_previous!$B$4:$AY$137, LS_previous!V$148, FALSE), VLOOKUP('Staging Table'!$A107, LS_previous!$B$4:$AY$137,LS_previous!AT$148, FALSE))/2)</f>
        <v>-49.167093013200429</v>
      </c>
      <c r="AE107" s="102">
        <f t="array" ref="AE107">IF($G107=0, INDEX(LS_previous!$D$4:$AY$137, MATCH('Staging Table'!$A107, LS_previous!$B$4:$B$137, 0), MATCH(AE$4&amp;AE$5, LS_previous!$D$2:$AY$2&amp;LS_previous!$D$3:$AY$3, 0)),SUM(VLOOKUP($A107, LS_previous!$B$4:$AY$137, LS_previous!W$148, FALSE), VLOOKUP('Staging Table'!$A107, LS_previous!$B$4:$AY$137,LS_previous!AU$148, FALSE))/2)</f>
        <v>801.55471500924978</v>
      </c>
      <c r="AF107" s="102">
        <f t="array" ref="AF107">IF($G107=0, INDEX(LS_previous!$D$4:$AY$137, MATCH('Staging Table'!$A107, LS_previous!$B$4:$B$137, 0), MATCH(AF$4&amp;AF$5, LS_previous!$D$2:$AY$2&amp;LS_previous!$D$3:$AY$3, 0)),SUM(VLOOKUP($A107, LS_previous!$B$4:$AY$137, LS_previous!X$148, FALSE), VLOOKUP('Staging Table'!$A107, LS_previous!$B$4:$AY$137,LS_previous!AV$148, FALSE))/2)</f>
        <v>-250.38777391795065</v>
      </c>
      <c r="AG107" s="102">
        <f t="array" ref="AG107">IF($G107=0, INDEX(LS_previous!$D$4:$AY$137, MATCH('Staging Table'!$A107, LS_previous!$B$4:$B$137, 0), MATCH(AG$4&amp;AG$5, LS_previous!$D$2:$AY$2&amp;LS_previous!$D$3:$AY$3, 0)),SUM(VLOOKUP($A107, LS_previous!$B$4:$AY$137, LS_previous!Y$148, FALSE), VLOOKUP('Staging Table'!$A107, LS_previous!$B$4:$AY$137,LS_previous!AW$148, FALSE))/2)</f>
        <v>465.09446235569521</v>
      </c>
      <c r="AH107" s="102">
        <f t="array" ref="AH107">IF($G107=0, INDEX(LS_previous!$D$4:$AY$137, MATCH('Staging Table'!$A107, LS_previous!$B$4:$B$137, 0), MATCH(AH$4&amp;AH$5, LS_previous!$D$2:$AY$2&amp;LS_previous!$D$3:$AY$3, 0)),SUM(VLOOKUP($A107, LS_previous!$B$4:$AY$137, LS_previous!Z$148, FALSE), VLOOKUP('Staging Table'!$A107, LS_previous!$B$4:$AY$137,LS_previous!AX$148, FALSE))/2)</f>
        <v>-441.14463377620086</v>
      </c>
      <c r="AI107" s="102">
        <f t="array" ref="AI107">IF($G107=0, INDEX(LS_previous!$D$4:$AY$137, MATCH('Staging Table'!$A107, LS_previous!$B$4:$B$137, 0), MATCH(AI$4&amp;AI$5, LS_previous!$D$2:$AY$2&amp;LS_previous!$D$3:$AY$3, 0)),SUM(VLOOKUP($A107, LS_previous!$B$4:$AY$137, LS_previous!AA$148, FALSE), VLOOKUP('Staging Table'!$A107, LS_previous!$B$4:$AY$137,LS_previous!AY$148, FALSE))/2)</f>
        <v>97.100070244800008</v>
      </c>
      <c r="AJ107" s="103">
        <f t="array" ref="AJ107">INDEX(Demand_previous!$D$4:$AY$137, MATCH('Staging Table'!$A107, Demand_previous!$B$4:$B$137, 0), MATCH(AJ$4&amp;AJ$5,Demand_previous!$D$2:$AY$2&amp;Demand_previous!$D$3:$AY$3, 0))/1000</f>
        <v>0</v>
      </c>
      <c r="AK107" s="103">
        <f t="array" ref="AK107">INDEX(Demand_previous!$D$4:$AY$137, MATCH('Staging Table'!$A107, Demand_previous!$B$4:$B$137, 0), MATCH(AK$4&amp;AK$5,Demand_previous!$D$2:$AY$2&amp;Demand_previous!$D$3:$AY$3, 0))/1000</f>
        <v>0</v>
      </c>
      <c r="AL107" s="103">
        <f t="array" ref="AL107">INDEX(Demand_previous!$D$4:$AY$137, MATCH('Staging Table'!$A107, Demand_previous!$B$4:$B$137, 0), MATCH(AL$4&amp;AL$5,Demand_previous!$D$2:$AY$2&amp;Demand_previous!$D$3:$AY$3, 0))/1000</f>
        <v>0</v>
      </c>
      <c r="AM107" s="103">
        <f t="array" ref="AM107">INDEX(Demand_previous!$D$4:$AY$137, MATCH('Staging Table'!$A107, Demand_previous!$B$4:$B$137, 0), MATCH(AM$4&amp;AM$5,Demand_previous!$D$2:$AY$2&amp;Demand_previous!$D$3:$AY$3, 0))/1000</f>
        <v>0</v>
      </c>
      <c r="AN107" s="103">
        <f t="array" ref="AN107">INDEX(Demand_previous!$D$4:$AY$137, MATCH('Staging Table'!$A107, Demand_previous!$B$4:$B$137, 0), MATCH(AN$4&amp;AN$5,Demand_previous!$D$2:$AY$2&amp;Demand_previous!$D$3:$AY$3, 0))/1000</f>
        <v>0</v>
      </c>
      <c r="AO107" s="103">
        <f t="array" ref="AO107">INDEX(Demand_previous!$D$4:$AY$137, MATCH('Staging Table'!$A107, Demand_previous!$B$4:$B$137, 0), MATCH(AO$4&amp;AO$5,Demand_previous!$D$2:$AY$2&amp;Demand_previous!$D$3:$AY$3, 0))/1000</f>
        <v>0</v>
      </c>
      <c r="AP107" s="103">
        <f t="array" ref="AP107">INDEX(Demand_previous!$D$4:$AY$137, MATCH('Staging Table'!$A107, Demand_previous!$B$4:$B$137, 0), MATCH(AP$4&amp;AP$5,Demand_previous!$D$2:$AY$2&amp;Demand_previous!$D$3:$AY$3, 0))/1000</f>
        <v>0</v>
      </c>
      <c r="AQ107" s="103">
        <f t="array" ref="AQ107">INDEX(Demand_previous!$D$4:$AY$137, MATCH('Staging Table'!$A107, Demand_previous!$B$4:$B$137, 0), MATCH(AQ$4&amp;AQ$5,Demand_previous!$D$2:$AY$2&amp;Demand_previous!$D$3:$AY$3, 0))/1000</f>
        <v>0</v>
      </c>
      <c r="AR107" s="103">
        <f t="array" ref="AR107">INDEX(Demand_previous!$D$4:$AY$137, MATCH('Staging Table'!$A107, Demand_previous!$B$4:$B$137, 0), MATCH(AR$4&amp;AR$5,Demand_previous!$D$2:$AY$2&amp;Demand_previous!$D$3:$AY$3, 0))/1000</f>
        <v>0</v>
      </c>
      <c r="AS107" s="103">
        <f t="array" ref="AS107">INDEX(Demand_previous!$D$4:$AY$137, MATCH('Staging Table'!$A107, Demand_previous!$B$4:$B$137, 0), MATCH(AS$4&amp;AS$5,Demand_previous!$D$2:$AY$2&amp;Demand_previous!$D$3:$AY$3, 0))/1000</f>
        <v>0</v>
      </c>
      <c r="AT107" s="103">
        <f t="array" ref="AT107">INDEX(Demand_previous!$D$4:$AY$137, MATCH('Staging Table'!$A107, Demand_previous!$B$4:$B$137, 0), MATCH(AT$4&amp;AT$5,Demand_previous!$D$2:$AY$2&amp;Demand_previous!$D$3:$AY$3, 0))/1000</f>
        <v>0</v>
      </c>
      <c r="AU107" s="103">
        <f t="array" ref="AU107">INDEX(Demand_previous!$D$4:$AY$137, MATCH('Staging Table'!$A107, Demand_previous!$B$4:$B$137, 0), MATCH(AU$4&amp;AU$5,Demand_previous!$D$2:$AY$2&amp;Demand_previous!$D$3:$AY$3, 0))/1000</f>
        <v>0</v>
      </c>
      <c r="AV107" s="102">
        <f>$F107*(VLOOKUP(AV$4, Rates_previous!$G$6:$Q$29, 10, FALSE)+VLOOKUP(AV$4, Rates_previous!$G$6:$Q$29, 11, FALSE))</f>
        <v>7304.0149522849506</v>
      </c>
      <c r="AW107" s="102">
        <f>$F107*(VLOOKUP(AW$4, Rates_previous!$G$6:$Q$29, 10, FALSE)+VLOOKUP(AW$4, Rates_previous!$G$6:$Q$29, 11, FALSE))</f>
        <v>9315.0275848167021</v>
      </c>
      <c r="AX107" s="102">
        <f>$F107*(VLOOKUP(AX$4, Rates_previous!$G$6:$Q$29, 10, FALSE)+VLOOKUP(AX$4, Rates_previous!$G$6:$Q$29, 11, FALSE))</f>
        <v>10052.757845815502</v>
      </c>
      <c r="AY107" s="102">
        <f>$F107*(VLOOKUP(AY$4, Rates_previous!$G$6:$Q$29, 10, FALSE)+VLOOKUP(AY$4, Rates_previous!$G$6:$Q$29, 11, FALSE))</f>
        <v>10446.369435787201</v>
      </c>
      <c r="AZ107" s="102">
        <f>$F107*(VLOOKUP(AZ$4, Rates_previous!$G$6:$Q$29, 10, FALSE)+VLOOKUP(AZ$4, Rates_previous!$G$6:$Q$29, 11, FALSE))</f>
        <v>8985.2701269293993</v>
      </c>
      <c r="BA107" s="102">
        <f>$F107*(VLOOKUP(BA$4, Rates_previous!$G$6:$Q$29, 10, FALSE)+VLOOKUP(BA$4, Rates_previous!$G$6:$Q$29, 11, FALSE))</f>
        <v>9810.1359845882998</v>
      </c>
      <c r="BB107" s="102">
        <f>$F107*(VLOOKUP(BB$4, Rates_previous!$G$6:$Q$29, 10, FALSE)+VLOOKUP(BB$4, Rates_previous!$G$6:$Q$29, 11, FALSE))</f>
        <v>7743.4491515135251</v>
      </c>
      <c r="BC107" s="102">
        <f>$F107*(VLOOKUP(BC$4, Rates_previous!$G$6:$Q$29, 10, FALSE)+VLOOKUP(BC$4, Rates_previous!$G$6:$Q$29, 11, FALSE))</f>
        <v>9606.7863430534508</v>
      </c>
      <c r="BD107" s="102">
        <f>$F107*(VLOOKUP(BD$4, Rates_previous!$G$6:$Q$29, 10, FALSE)+VLOOKUP(BD$4, Rates_previous!$G$6:$Q$29, 11, FALSE))</f>
        <v>9815.2296241396489</v>
      </c>
      <c r="BE107" s="102">
        <f>$F107*(VLOOKUP(BE$4, Rates_previous!$G$6:$Q$29, 10, FALSE)+VLOOKUP(BE$4, Rates_previous!$G$6:$Q$29, 11, FALSE))</f>
        <v>8521.0333780039509</v>
      </c>
      <c r="BF107" s="102">
        <f>$F107*(VLOOKUP(BF$4, Rates_previous!$G$6:$Q$29, 10, FALSE)+VLOOKUP(BF$4, Rates_previous!$G$6:$Q$29, 11, FALSE))</f>
        <v>8237.5743115622554</v>
      </c>
      <c r="BG107" s="102">
        <f>$F107*(VLOOKUP(BG$4, Rates_previous!$G$6:$Q$29, 10, FALSE)+VLOOKUP(BG$4, Rates_previous!$G$6:$Q$29, 11, FALSE))</f>
        <v>7580.1635635314015</v>
      </c>
      <c r="BH107" s="103">
        <f>IF($D107=0,IF(C107=0, MAX(BJ107 - (VLOOKUP($A107,TOCA_previous!$A$2:$AJ$136,MATCH("RHWM "&amp;Init!$D$1-2,TOCA_previous!$A$2:$AJ$2,0),FALSE)*$F$2*TOCA_previous!C104),0),0), 0)</f>
        <v>0</v>
      </c>
      <c r="BI107" s="109">
        <f>MIN(VLOOKUP($A107,TOCA_previous!$A$2:$AJ$136,MATCH("TRL - NLSL - Existing Resource "&amp;$F$1,TOCA_previous!$A$2:$AJ$2,0),FALSE)*$F$2,(VLOOKUP($A107,TOCA_previous!$A$2:$AJ$136,MATCH("RHWM "&amp;Init!$D$1-2,TOCA_previous!$A$2:$AJ$2,0),FALSE)*$F$2))</f>
        <v>105047.856</v>
      </c>
      <c r="BJ107" s="261">
        <f>SUM(L107:AI107)+(F107*RT1SC!$C$3*$F$2)</f>
        <v>103035.83949238172</v>
      </c>
      <c r="BK107" s="260">
        <f>VLOOKUP($A107,TOCA_previous!$A$2:$AJ$136,MATCH("Above RHWM Not Served with LS "&amp;$F$1,TOCA_previous!$A$2:$AJ$2,0),FALSE)*$F$2</f>
        <v>0</v>
      </c>
      <c r="BL107" s="261">
        <f t="shared" si="36"/>
        <v>-2012.0165076182748</v>
      </c>
      <c r="BM107" s="260">
        <f>(VLOOKUP($A107,TOCA_previous!$A$2:$AJ$136,MATCH("RHWM "&amp;Init!$D$1-2,TOCA_previous!$A$2:$AJ$2,0),FALSE)*$F$2) - $BI107</f>
        <v>170673.11999999997</v>
      </c>
      <c r="BN107" s="261">
        <f t="shared" si="37"/>
        <v>0</v>
      </c>
      <c r="BO107" s="260">
        <f t="shared" si="38"/>
        <v>2012.0165076182748</v>
      </c>
      <c r="BP107" s="261">
        <f t="shared" si="39"/>
        <v>0</v>
      </c>
      <c r="BQ107" s="260">
        <f t="shared" si="9"/>
        <v>2012.0165076182748</v>
      </c>
      <c r="BR107" s="85">
        <f>VLOOKUP($A107,TOCA_current!$A$2:$ZZ$136,MATCH(BR$4,TOCA_current!$A$2:$ZZ$2,0),FALSE)</f>
        <v>1.6544000000000001E-3</v>
      </c>
      <c r="BS107" s="85">
        <f>VLOOKUP($A107,TOCA_current!$A$2:$ZZ$136,MATCH(BS$4,TOCA_current!$A$2:$ZZ$2,0),FALSE)</f>
        <v>1.6544000000000001E-3</v>
      </c>
      <c r="BT107" s="108">
        <f t="shared" si="40"/>
        <v>0</v>
      </c>
      <c r="BU107" s="85">
        <f>VLOOKUP($A107,TOCA_current!A104:BG238,MATCH(BU$4,TOCA_current!$A$2:$BG$2,0),FALSE)</f>
        <v>7.0000000000000007E-2</v>
      </c>
      <c r="BV107" s="85">
        <f t="shared" si="41"/>
        <v>0</v>
      </c>
      <c r="BW107" s="85">
        <f t="shared" si="42"/>
        <v>0</v>
      </c>
      <c r="BX107" s="101">
        <f>VLOOKUP($A107,IRD!$A$4:$G$138, 7, FALSE)</f>
        <v>10505.661</v>
      </c>
      <c r="BY107" s="102">
        <f t="array" ref="BY107">IF($BT107=0, INDEX(LS_current!$D$4:$BW$137, MATCH('Staging Table'!$A107, LS_current!$B$4:$B$137, 0), MATCH(BY$4&amp;BY$5, LS_current!$D$2:$BW$2&amp;LS_current!$D$3:$BW$3, 0)),SUM(VLOOKUP($A107, LS_current!$B$4:$BW$137, LS_current!D$147, FALSE), VLOOKUP($A107, LS_current!$B$4:$BW$137,LS_current!AZ$147, FALSE))/2)</f>
        <v>-147.37409714009573</v>
      </c>
      <c r="BZ107" s="102">
        <f t="array" ref="BZ107">IF($BT107=0, INDEX(LS_current!$D$4:$BW$137, MATCH('Staging Table'!$A107, LS_current!$B$4:$B$137, 0), MATCH(BZ$4&amp;BZ$5, LS_current!$D$2:$BW$2&amp;LS_current!$D$3:$BW$3, 0)),SUM(VLOOKUP($A107, LS_current!$B$4:$BW$137, LS_current!E$147, FALSE), VLOOKUP($A107, LS_current!$B$4:$BW$137,LS_current!BA$147, FALSE))/2)</f>
        <v>351.30227734419395</v>
      </c>
      <c r="CA107" s="102">
        <f t="array" ref="CA107">IF($BT107=0, INDEX(LS_current!$D$4:$BW$137, MATCH('Staging Table'!$A107, LS_current!$B$4:$B$137, 0), MATCH(CA$4&amp;CA$5, LS_current!$D$2:$BW$2&amp;LS_current!$D$3:$BW$3, 0)),SUM(VLOOKUP($A107, LS_current!$B$4:$BW$137, LS_current!F$147, FALSE), VLOOKUP($A107, LS_current!$B$4:$BW$137,LS_current!BB$147, FALSE))/2)</f>
        <v>-922.99632473010843</v>
      </c>
      <c r="CB107" s="102">
        <f t="array" ref="CB107">IF($BT107=0, INDEX(LS_current!$D$4:$BW$137, MATCH('Staging Table'!$A107, LS_current!$B$4:$B$137, 0), MATCH(CB$4&amp;CB$5, LS_current!$D$2:$BW$2&amp;LS_current!$D$3:$BW$3, 0)),SUM(VLOOKUP($A107, LS_current!$B$4:$BW$137, LS_current!G$147, FALSE), VLOOKUP($A107, LS_current!$B$4:$BW$137,LS_current!BC$147, FALSE))/2)</f>
        <v>-71.805188776395426</v>
      </c>
      <c r="CC107" s="102">
        <f t="array" ref="CC107">IF($BT107=0, INDEX(LS_current!$D$4:$BW$137, MATCH('Staging Table'!$A107, LS_current!$B$4:$B$137, 0), MATCH(CC$4&amp;CC$5, LS_current!$D$2:$BW$2&amp;LS_current!$D$3:$BW$3, 0)),SUM(VLOOKUP($A107, LS_current!$B$4:$BW$137, LS_current!H$147, FALSE), VLOOKUP($A107, LS_current!$B$4:$BW$137,LS_current!BD$147, FALSE))/2)</f>
        <v>-310.96592267259985</v>
      </c>
      <c r="CD107" s="102">
        <f t="array" ref="CD107">IF($BT107=0, INDEX(LS_current!$D$4:$BW$137, MATCH('Staging Table'!$A107, LS_current!$B$4:$B$137, 0), MATCH(CD$4&amp;CD$5, LS_current!$D$2:$BW$2&amp;LS_current!$D$3:$BW$3, 0)),SUM(VLOOKUP($A107, LS_current!$B$4:$BW$137, LS_current!I$147, FALSE), VLOOKUP($A107, LS_current!$B$4:$BW$137,LS_current!BE$147, FALSE))/2)</f>
        <v>1086.59145344741</v>
      </c>
      <c r="CE107" s="102">
        <f t="array" ref="CE107">IF($BT107=0, INDEX(LS_current!$D$4:$BW$137, MATCH('Staging Table'!$A107, LS_current!$B$4:$B$137, 0), MATCH(CE$4&amp;CE$5, LS_current!$D$2:$BW$2&amp;LS_current!$D$3:$BW$3, 0)),SUM(VLOOKUP($A107, LS_current!$B$4:$BW$137, LS_current!J$147, FALSE), VLOOKUP($A107, LS_current!$B$4:$BW$137,LS_current!BF$147, FALSE))/2)</f>
        <v>-684.03702354294728</v>
      </c>
      <c r="CF107" s="102">
        <f t="array" ref="CF107">IF($BT107=0, INDEX(LS_current!$D$4:$BW$137, MATCH('Staging Table'!$A107, LS_current!$B$4:$B$137, 0), MATCH(CF$4&amp;CF$5, LS_current!$D$2:$BW$2&amp;LS_current!$D$3:$BW$3, 0)),SUM(VLOOKUP($A107, LS_current!$B$4:$BW$137, LS_current!K$147, FALSE), VLOOKUP($A107, LS_current!$B$4:$BW$137,LS_current!BG$147, FALSE))/2)</f>
        <v>932.49962463568454</v>
      </c>
      <c r="CG107" s="102">
        <f t="array" ref="CG107">IF($BT107=0, INDEX(LS_current!$D$4:$BW$137, MATCH('Staging Table'!$A107, LS_current!$B$4:$B$137, 0), MATCH(CG$4&amp;CG$5, LS_current!$D$2:$BW$2&amp;LS_current!$D$3:$BW$3, 0)),SUM(VLOOKUP($A107, LS_current!$B$4:$BW$137, LS_current!L$147, FALSE), VLOOKUP($A107, LS_current!$B$4:$BW$137,LS_current!BH$147, FALSE))/2)</f>
        <v>-439.1480393139318</v>
      </c>
      <c r="CH107" s="102">
        <f t="array" ref="CH107">IF($BT107=0, INDEX(LS_current!$D$4:$BW$137, MATCH('Staging Table'!$A107, LS_current!$B$4:$B$137, 0), MATCH(CH$4&amp;CH$5, LS_current!$D$2:$BW$2&amp;LS_current!$D$3:$BW$3, 0)),SUM(VLOOKUP($A107, LS_current!$B$4:$BW$137, LS_current!M$147, FALSE), VLOOKUP($A107, LS_current!$B$4:$BW$137,LS_current!BI$147, FALSE))/2)</f>
        <v>666.79356490361488</v>
      </c>
      <c r="CI107" s="102">
        <f t="array" ref="CI107">IF($BT107=0, INDEX(LS_current!$D$4:$BW$137, MATCH('Staging Table'!$A107, LS_current!$B$4:$B$137, 0), MATCH(CI$4&amp;CI$5, LS_current!$D$2:$BW$2&amp;LS_current!$D$3:$BW$3, 0)),SUM(VLOOKUP($A107, LS_current!$B$4:$BW$137, LS_current!N$147, FALSE), VLOOKUP($A107, LS_current!$B$4:$BW$137,LS_current!BJ$147, FALSE))/2)</f>
        <v>-1182.9803096179567</v>
      </c>
      <c r="CJ107" s="102">
        <f t="array" ref="CJ107">IF($BT107=0, INDEX(LS_current!$D$4:$BW$137, MATCH('Staging Table'!$A107, LS_current!$B$4:$B$137, 0), MATCH(CJ$4&amp;CJ$5, LS_current!$D$2:$BW$2&amp;LS_current!$D$3:$BW$3, 0)),SUM(VLOOKUP($A107, LS_current!$B$4:$BW$137, LS_current!O$147, FALSE), VLOOKUP($A107, LS_current!$B$4:$BW$137,LS_current!BK$147, FALSE))/2)</f>
        <v>345.60245238244397</v>
      </c>
      <c r="CK107" s="102">
        <f t="array" ref="CK107">IF($BT107=0, INDEX(LS_current!$D$4:$BW$137, MATCH('Staging Table'!$A107, LS_current!$B$4:$B$137, 0), MATCH(CK$4&amp;CK$5, LS_current!$D$2:$BW$2&amp;LS_current!$D$3:$BW$3, 0)),SUM(VLOOKUP($A107, LS_current!$B$4:$BW$137, LS_current!P$147, FALSE), VLOOKUP($A107, LS_current!$B$4:$BW$137,LS_current!BL$147, FALSE))/2)</f>
        <v>-104.92720156256837</v>
      </c>
      <c r="CL107" s="102">
        <f t="array" ref="CL107">IF($BT107=0, INDEX(LS_current!$D$4:$BW$137, MATCH('Staging Table'!$A107, LS_current!$B$4:$B$137, 0), MATCH(CL$4&amp;CL$5, LS_current!$D$2:$BW$2&amp;LS_current!$D$3:$BW$3, 0)),SUM(VLOOKUP($A107, LS_current!$B$4:$BW$137, LS_current!Q$147, FALSE), VLOOKUP($A107, LS_current!$B$4:$BW$137,LS_current!BM$147, FALSE))/2)</f>
        <v>427.08026090257135</v>
      </c>
      <c r="CM107" s="102">
        <f t="array" ref="CM107">IF($BT107=0, INDEX(LS_current!$D$4:$BW$137, MATCH('Staging Table'!$A107, LS_current!$B$4:$B$137, 0), MATCH(CM$4&amp;CM$5, LS_current!$D$2:$BW$2&amp;LS_current!$D$3:$BW$3, 0)),SUM(VLOOKUP($A107, LS_current!$B$4:$BW$137, LS_current!R$147, FALSE), VLOOKUP($A107, LS_current!$B$4:$BW$137,LS_current!BN$147, FALSE))/2)</f>
        <v>-695.60890535028557</v>
      </c>
      <c r="CN107" s="102">
        <f t="array" ref="CN107">IF($BT107=0, INDEX(LS_current!$D$4:$BW$137, MATCH('Staging Table'!$A107, LS_current!$B$4:$B$137, 0), MATCH(CN$4&amp;CN$5, LS_current!$D$2:$BW$2&amp;LS_current!$D$3:$BW$3, 0)),SUM(VLOOKUP($A107, LS_current!$B$4:$BW$137, LS_current!S$147, FALSE), VLOOKUP($A107, LS_current!$B$4:$BW$137,LS_current!BO$147, FALSE))/2)</f>
        <v>220.40473878389412</v>
      </c>
      <c r="CO107" s="102">
        <f t="array" ref="CO107">IF($BT107=0, INDEX(LS_current!$D$4:$BW$137, MATCH('Staging Table'!$A107, LS_current!$B$4:$B$137, 0), MATCH(CO$4&amp;CO$5, LS_current!$D$2:$BW$2&amp;LS_current!$D$3:$BW$3, 0)),SUM(VLOOKUP($A107, LS_current!$B$4:$BW$137, LS_current!T$147, FALSE), VLOOKUP($A107, LS_current!$B$4:$BW$137,LS_current!BP$147, FALSE))/2)</f>
        <v>-1125.2305573698659</v>
      </c>
      <c r="CP107" s="102">
        <f t="array" ref="CP107">IF($BT107=0, INDEX(LS_current!$D$4:$BW$137, MATCH('Staging Table'!$A107, LS_current!$B$4:$B$137, 0), MATCH(CP$4&amp;CP$5, LS_current!$D$2:$BW$2&amp;LS_current!$D$3:$BW$3, 0)),SUM(VLOOKUP($A107, LS_current!$B$4:$BW$137, LS_current!U$147, FALSE), VLOOKUP($A107, LS_current!$B$4:$BW$137,LS_current!BQ$147, FALSE))/2)</f>
        <v>301.86092225687571</v>
      </c>
      <c r="CQ107" s="102">
        <f t="array" ref="CQ107">IF($BT107=0, INDEX(LS_current!$D$4:$BW$137, MATCH('Staging Table'!$A107, LS_current!$B$4:$B$137, 0), MATCH(CQ$4&amp;CQ$5, LS_current!$D$2:$BW$2&amp;LS_current!$D$3:$BW$3, 0)),SUM(VLOOKUP($A107, LS_current!$B$4:$BW$137, LS_current!V$147, FALSE), VLOOKUP($A107, LS_current!$B$4:$BW$137,LS_current!BR$147, FALSE))/2)</f>
        <v>-39.373094226622925</v>
      </c>
      <c r="CR107" s="102">
        <f t="array" ref="CR107">IF($BT107=0, INDEX(LS_current!$D$4:$BW$137, MATCH('Staging Table'!$A107, LS_current!$B$4:$B$137, 0), MATCH(CR$4&amp;CR$5, LS_current!$D$2:$BW$2&amp;LS_current!$D$3:$BW$3, 0)),SUM(VLOOKUP($A107, LS_current!$B$4:$BW$137, LS_current!W$147, FALSE), VLOOKUP($A107, LS_current!$B$4:$BW$137,LS_current!BS$147, FALSE))/2)</f>
        <v>948.34820248520282</v>
      </c>
      <c r="CS107" s="102">
        <f t="array" ref="CS107">IF($BT107=0, INDEX(LS_current!$D$4:$BW$137, MATCH('Staging Table'!$A107, LS_current!$B$4:$B$137, 0), MATCH(CS$4&amp;CS$5, LS_current!$D$2:$BW$2&amp;LS_current!$D$3:$BW$3, 0)),SUM(VLOOKUP($A107, LS_current!$B$4:$BW$137, LS_current!X$147, FALSE), VLOOKUP($A107, LS_current!$B$4:$BW$137,LS_current!BT$147, FALSE))/2)</f>
        <v>-728.31089257995973</v>
      </c>
      <c r="CT107" s="102">
        <f t="array" ref="CT107">IF($BT107=0, INDEX(LS_current!$D$4:$BW$137, MATCH('Staging Table'!$A107, LS_current!$B$4:$B$137, 0), MATCH(CT$4&amp;CT$5, LS_current!$D$2:$BW$2&amp;LS_current!$D$3:$BW$3, 0)),SUM(VLOOKUP($A107, LS_current!$B$4:$BW$137, LS_current!Y$147, FALSE), VLOOKUP($A107, LS_current!$B$4:$BW$137,LS_current!BU$147, FALSE))/2)</f>
        <v>600.20439681582911</v>
      </c>
      <c r="CU107" s="102">
        <f t="array" ref="CU107">IF($BT107=0, INDEX(LS_current!$D$4:$BW$137, MATCH('Staging Table'!$A107, LS_current!$B$4:$B$137, 0), MATCH(CU$4&amp;CU$5, LS_current!$D$2:$BW$2&amp;LS_current!$D$3:$BW$3, 0)),SUM(VLOOKUP($A107, LS_current!$B$4:$BW$137, LS_current!Z$147, FALSE), VLOOKUP($A107, LS_current!$B$4:$BW$137,LS_current!BV$147, FALSE))/2)</f>
        <v>-61.556407036732708</v>
      </c>
      <c r="CV107" s="102">
        <f t="array" ref="CV107">IF($BT107=0, INDEX(LS_current!$D$4:$BW$137, MATCH('Staging Table'!$A107, LS_current!$B$4:$B$137, 0), MATCH(CV$4&amp;CV$5, LS_current!$D$2:$BW$2&amp;LS_current!$D$3:$BW$3, 0)),SUM(VLOOKUP($A107, LS_current!$B$4:$BW$137, LS_current!AA$147, FALSE), VLOOKUP($A107, LS_current!$B$4:$BW$137,LS_current!BW$147, FALSE))/2)</f>
        <v>633.97597183606331</v>
      </c>
      <c r="CW107" s="103">
        <f t="array" ref="CW107">INDEX(Demand_current!$D$4:$BW$137, MATCH($A107, Demand_current!$B$4:$B$137, 0), MATCH(CW$4&amp;CW$5,Demand_current!$D$2:$BW$2&amp;Demand_current!$D$3:$BW$3, 0))/1000</f>
        <v>0</v>
      </c>
      <c r="CX107" s="103">
        <f t="array" ref="CX107">INDEX(Demand_current!$D$4:$BW$137, MATCH($A107, Demand_current!$B$4:$B$137, 0), MATCH(CX$4&amp;CX$5,Demand_current!$D$2:$BW$2&amp;Demand_current!$D$3:$BW$3, 0))/1000</f>
        <v>0</v>
      </c>
      <c r="CY107" s="103">
        <f t="array" ref="CY107">INDEX(Demand_current!$D$4:$BW$137, MATCH($A107, Demand_current!$B$4:$B$137, 0), MATCH(CY$4&amp;CY$5,Demand_current!$D$2:$BW$2&amp;Demand_current!$D$3:$BW$3, 0))/1000</f>
        <v>0</v>
      </c>
      <c r="CZ107" s="103">
        <f t="array" ref="CZ107">INDEX(Demand_current!$D$4:$BW$137, MATCH($A107, Demand_current!$B$4:$B$137, 0), MATCH(CZ$4&amp;CZ$5,Demand_current!$D$2:$BW$2&amp;Demand_current!$D$3:$BW$3, 0))/1000</f>
        <v>0</v>
      </c>
      <c r="DA107" s="103">
        <f t="array" ref="DA107">INDEX(Demand_current!$D$4:$BW$137, MATCH($A107, Demand_current!$B$4:$B$137, 0), MATCH(DA$4&amp;DA$5,Demand_current!$D$2:$BW$2&amp;Demand_current!$D$3:$BW$3, 0))/1000</f>
        <v>0</v>
      </c>
      <c r="DB107" s="103">
        <f t="array" ref="DB107">INDEX(Demand_current!$D$4:$BW$137, MATCH($A107, Demand_current!$B$4:$B$137, 0), MATCH(DB$4&amp;DB$5,Demand_current!$D$2:$BW$2&amp;Demand_current!$D$3:$BW$3, 0))/1000</f>
        <v>0</v>
      </c>
      <c r="DC107" s="103">
        <f t="array" ref="DC107">INDEX(Demand_current!$D$4:$BW$137, MATCH($A107, Demand_current!$B$4:$B$137, 0), MATCH(DC$4&amp;DC$5,Demand_current!$D$2:$BW$2&amp;Demand_current!$D$3:$BW$3, 0))/1000</f>
        <v>0</v>
      </c>
      <c r="DD107" s="103">
        <f t="array" ref="DD107">INDEX(Demand_current!$D$4:$BW$137, MATCH($A107, Demand_current!$B$4:$B$137, 0), MATCH(DD$4&amp;DD$5,Demand_current!$D$2:$BW$2&amp;Demand_current!$D$3:$BW$3, 0))/1000</f>
        <v>0</v>
      </c>
      <c r="DE107" s="103">
        <f t="array" ref="DE107">INDEX(Demand_current!$D$4:$BW$137, MATCH($A107, Demand_current!$B$4:$B$137, 0), MATCH(DE$4&amp;DE$5,Demand_current!$D$2:$BW$2&amp;Demand_current!$D$3:$BW$3, 0))/1000</f>
        <v>0</v>
      </c>
      <c r="DF107" s="103">
        <f t="array" ref="DF107">INDEX(Demand_current!$D$4:$BW$137, MATCH($A107, Demand_current!$B$4:$B$137, 0), MATCH(DF$4&amp;DF$5,Demand_current!$D$2:$BW$2&amp;Demand_current!$D$3:$BW$3, 0))/1000</f>
        <v>0</v>
      </c>
      <c r="DG107" s="103">
        <f t="array" ref="DG107">INDEX(Demand_current!$D$4:$BW$137, MATCH($A107, Demand_current!$B$4:$B$137, 0), MATCH(DG$4&amp;DG$5,Demand_current!$D$2:$BW$2&amp;Demand_current!$D$3:$BW$3, 0))/1000</f>
        <v>0</v>
      </c>
      <c r="DH107" s="103">
        <f t="array" ref="DH107">INDEX(Demand_current!$D$4:$BW$137, MATCH($A107, Demand_current!$B$4:$B$137, 0), MATCH(DH$4&amp;DH$5,Demand_current!$D$2:$BW$2&amp;Demand_current!$D$3:$BW$3, 0))/1000</f>
        <v>0</v>
      </c>
      <c r="DI107" s="102">
        <f>$BS107*(VLOOKUP(DI$4, Rates_current!$H$6:$R$41, 10, FALSE)+VLOOKUP(DI$4, Rates_current!$H$6:$R$41, 11, FALSE))</f>
        <v>6866.235819795902</v>
      </c>
      <c r="DJ107" s="102">
        <f>$BS107*(VLOOKUP(DJ$4, Rates_current!$H$6:$R$41, 10, FALSE)+VLOOKUP(DJ$4, Rates_current!$H$6:$R$41, 11, FALSE))</f>
        <v>8778.2565135065051</v>
      </c>
      <c r="DK107" s="102">
        <f>$BS107*(VLOOKUP(DK$4, Rates_current!$H$6:$R$41, 10, FALSE)+VLOOKUP(DK$4, Rates_current!$H$6:$R$41, 11, FALSE))</f>
        <v>9980.1434692251878</v>
      </c>
      <c r="DL107" s="102">
        <f>$BS107*(VLOOKUP(DL$4, Rates_current!$H$6:$R$41, 10, FALSE)+VLOOKUP(DL$4, Rates_current!$H$6:$R$41, 11, FALSE))</f>
        <v>10529.830398907263</v>
      </c>
      <c r="DM107" s="102">
        <f>$BS107*(VLOOKUP(DM$4, Rates_current!$H$6:$R$41, 10, FALSE)+VLOOKUP(DM$4, Rates_current!$H$6:$R$41, 11, FALSE))</f>
        <v>8391.3244744103176</v>
      </c>
      <c r="DN107" s="102">
        <f>$BS107*(VLOOKUP(DN$4, Rates_current!$H$6:$R$41, 10, FALSE)+VLOOKUP(DN$4, Rates_current!$H$6:$R$41, 11, FALSE))</f>
        <v>9173.4408572355114</v>
      </c>
      <c r="DO107" s="102">
        <f>$BS107*(VLOOKUP(DO$4, Rates_current!$H$6:$R$41, 10, FALSE)+VLOOKUP(DO$4, Rates_current!$H$6:$R$41, 11, FALSE))</f>
        <v>7109.5089406599973</v>
      </c>
      <c r="DP107" s="102">
        <f>$BS107*(VLOOKUP(DP$4, Rates_current!$H$6:$R$41, 10, FALSE)+VLOOKUP(DP$4, Rates_current!$H$6:$R$41, 11, FALSE))</f>
        <v>9200.8751665663895</v>
      </c>
      <c r="DQ107" s="102">
        <f>$BS107*(VLOOKUP(DQ$4, Rates_current!$H$6:$R$41, 10, FALSE)+VLOOKUP(DQ$4, Rates_current!$H$6:$R$41, 11, FALSE))</f>
        <v>9397.3406351129906</v>
      </c>
      <c r="DR107" s="102">
        <f>$BS107*(VLOOKUP(DR$4, Rates_current!$H$6:$R$41, 10, FALSE)+VLOOKUP(DR$4, Rates_current!$H$6:$R$41, 11, FALSE))</f>
        <v>8364.4458917414195</v>
      </c>
      <c r="DS107" s="102">
        <f>$BS107*(VLOOKUP(DS$4, Rates_current!$H$6:$R$41, 10, FALSE)+VLOOKUP(DS$4, Rates_current!$H$6:$R$41, 11, FALSE))</f>
        <v>8580.387495764131</v>
      </c>
      <c r="DT107" s="102">
        <f>$BS107*(VLOOKUP(DT$4, Rates_current!$H$6:$R$41, 10, FALSE)+VLOOKUP(DT$4, Rates_current!$H$6:$R$41, 11, FALSE))</f>
        <v>6663.6994352006705</v>
      </c>
      <c r="DU107" s="261">
        <f>IF(D107=0,IF(C107=0,MAX(0,DW107 - (VLOOKUP($A107,TOCA_current!$A$2:$AV$136,MATCH("RHWM "&amp;Init!$D$1,TOCA_current!$A$2:$AV$2,0),FALSE)*$BS$2)), 0),0)</f>
        <v>0</v>
      </c>
      <c r="DV107" s="262">
        <f>MIN(VLOOKUP($A107,TOCA_current!$A$2:$AV$136,MATCH("TRL - NLSL - Existing Resource "&amp;$BS$1,TOCA_current!$A$2:$AV$2,0),FALSE)*$BS$2, VLOOKUP($A107,TOCA_current!$A$2:$AV$136,MATCH("RHWM "&amp;Init!$D$1,TOCA_current!$A$2:$AV$2,0),FALSE)*$BS$2)</f>
        <v>103035.12000000001</v>
      </c>
      <c r="DW107" s="262">
        <f>SUM(BY107:CV107)+(BS107*RT1SC!$C$4*$BS$2)</f>
        <v>103035.84508216174</v>
      </c>
      <c r="DX107" s="262">
        <f>VLOOKUP($A107,TOCA_current!$A$2:$AV$136,MATCH("Above RHWM Not Served with LS "&amp;$BS$1,TOCA_current!$A$2:$AV$2,0),FALSE)*$BS$2</f>
        <v>0</v>
      </c>
      <c r="DY107" s="262">
        <f t="shared" si="43"/>
        <v>0.72508216173446272</v>
      </c>
      <c r="DZ107" s="262">
        <f>(VLOOKUP($A107,TOCA_current!$A$2:$AV$136,MATCH("RHWM "&amp;Init!$D$1,TOCA_current!$A$2:$AV$2,0),FALSE)*$BS$2) - $DV107</f>
        <v>173518.08000000002</v>
      </c>
      <c r="EA107" s="262">
        <f t="shared" si="44"/>
        <v>-0.72508216173446272</v>
      </c>
      <c r="EB107" s="262">
        <f t="shared" si="45"/>
        <v>0</v>
      </c>
      <c r="EC107" s="262">
        <f t="shared" si="46"/>
        <v>0</v>
      </c>
      <c r="ED107" s="262">
        <f t="shared" si="47"/>
        <v>-0.72508216173446272</v>
      </c>
    </row>
    <row r="108" spans="1:134">
      <c r="A108" s="2">
        <v>10349</v>
      </c>
      <c r="B108" s="3" t="s">
        <v>110</v>
      </c>
      <c r="C108">
        <f>VLOOKUP(A108, TOCA_current!$A$3:$D$136, 4, FALSE)</f>
        <v>0</v>
      </c>
      <c r="D108">
        <v>1</v>
      </c>
      <c r="E108" s="84">
        <f>VLOOKUP($A108,TOCA_previous!$A$2:$AJ$136,MATCH(E$4,TOCA_previous!$A$2:$AJ$2,0),FALSE)</f>
        <v>7.2190599999999994E-2</v>
      </c>
      <c r="F108" s="85">
        <f>VLOOKUP($A108,TOCA_previous!$A$2:$AJ$136,MATCH(F$4,TOCA_previous!$A$2:$AJ$2,0),FALSE)</f>
        <v>7.2190599999999994E-2</v>
      </c>
      <c r="G108" s="85">
        <f t="shared" si="33"/>
        <v>0</v>
      </c>
      <c r="H108" s="85">
        <f>VLOOKUP($A108,TOCA_previous!$A$2:$AJ$136,MATCH(H$4,TOCA_previous!$A$2:$AJ$2,0),FALSE)</f>
        <v>0</v>
      </c>
      <c r="I108" s="85">
        <f t="shared" si="34"/>
        <v>0</v>
      </c>
      <c r="J108" s="85">
        <f t="shared" si="35"/>
        <v>0</v>
      </c>
      <c r="K108" s="101">
        <f>VLOOKUP(A108, IRD!$A$5:$C$138, 3, FALSE)</f>
        <v>0</v>
      </c>
      <c r="L108" s="102">
        <f t="array" ref="L108">IF($G108=0, INDEX(LS_previous!$D$4:$AY$137, MATCH('Staging Table'!$A108, LS_previous!$B$4:$B$137, 0), MATCH(L$4&amp;L$5, LS_previous!$D$2:$AY$2&amp;LS_previous!$D$3:$AY$3, 0)),SUM(VLOOKUP($A108, LS_previous!$B$4:$AY$137, LS_previous!D$148, FALSE), VLOOKUP('Staging Table'!$A108, LS_previous!$B$4:$AY$137,LS_previous!AB$148, FALSE))/2)</f>
        <v>25986.438534738583</v>
      </c>
      <c r="M108" s="102">
        <f t="array" ref="M108">IF($G108=0, INDEX(LS_previous!$D$4:$AY$137, MATCH('Staging Table'!$A108, LS_previous!$B$4:$B$137, 0), MATCH(M$4&amp;M$5, LS_previous!$D$2:$AY$2&amp;LS_previous!$D$3:$AY$3, 0)),SUM(VLOOKUP($A108, LS_previous!$B$4:$AY$137, LS_previous!E$148, FALSE), VLOOKUP('Staging Table'!$A108, LS_previous!$B$4:$AY$137,LS_previous!AC$148, FALSE))/2)</f>
        <v>19870.428240319772</v>
      </c>
      <c r="N108" s="102">
        <f t="array" ref="N108">IF($G108=0, INDEX(LS_previous!$D$4:$AY$137, MATCH('Staging Table'!$A108, LS_previous!$B$4:$B$137, 0), MATCH(N$4&amp;N$5, LS_previous!$D$2:$AY$2&amp;LS_previous!$D$3:$AY$3, 0)),SUM(VLOOKUP($A108, LS_previous!$B$4:$AY$137, LS_previous!F$148, FALSE), VLOOKUP('Staging Table'!$A108, LS_previous!$B$4:$AY$137,LS_previous!AD$148, FALSE))/2)</f>
        <v>98104.837723283184</v>
      </c>
      <c r="O108" s="102">
        <f t="array" ref="O108">IF($G108=0, INDEX(LS_previous!$D$4:$AY$137, MATCH('Staging Table'!$A108, LS_previous!$B$4:$B$137, 0), MATCH(O$4&amp;O$5, LS_previous!$D$2:$AY$2&amp;LS_previous!$D$3:$AY$3, 0)),SUM(VLOOKUP($A108, LS_previous!$B$4:$AY$137, LS_previous!G$148, FALSE), VLOOKUP('Staging Table'!$A108, LS_previous!$B$4:$AY$137,LS_previous!AE$148, FALSE))/2)</f>
        <v>69766.876516931457</v>
      </c>
      <c r="P108" s="102">
        <f t="array" ref="P108">IF($G108=0, INDEX(LS_previous!$D$4:$AY$137, MATCH('Staging Table'!$A108, LS_previous!$B$4:$B$137, 0), MATCH(P$4&amp;P$5, LS_previous!$D$2:$AY$2&amp;LS_previous!$D$3:$AY$3, 0)),SUM(VLOOKUP($A108, LS_previous!$B$4:$AY$137, LS_previous!H$148, FALSE), VLOOKUP('Staging Table'!$A108, LS_previous!$B$4:$AY$137,LS_previous!AF$148, FALSE))/2)</f>
        <v>84880.381458146643</v>
      </c>
      <c r="Q108" s="102">
        <f t="array" ref="Q108">IF($G108=0, INDEX(LS_previous!$D$4:$AY$137, MATCH('Staging Table'!$A108, LS_previous!$B$4:$B$137, 0), MATCH(Q$4&amp;Q$5, LS_previous!$D$2:$AY$2&amp;LS_previous!$D$3:$AY$3, 0)),SUM(VLOOKUP($A108, LS_previous!$B$4:$AY$137, LS_previous!I$148, FALSE), VLOOKUP('Staging Table'!$A108, LS_previous!$B$4:$AY$137,LS_previous!AG$148, FALSE))/2)</f>
        <v>60990.316321542428</v>
      </c>
      <c r="R108" s="102">
        <f t="array" ref="R108">IF($G108=0, INDEX(LS_previous!$D$4:$AY$137, MATCH('Staging Table'!$A108, LS_previous!$B$4:$B$137, 0), MATCH(R$4&amp;R$5, LS_previous!$D$2:$AY$2&amp;LS_previous!$D$3:$AY$3, 0)),SUM(VLOOKUP($A108, LS_previous!$B$4:$AY$137, LS_previous!J$148, FALSE), VLOOKUP('Staging Table'!$A108, LS_previous!$B$4:$AY$137,LS_previous!AH$148, FALSE))/2)</f>
        <v>98253.757359121111</v>
      </c>
      <c r="S108" s="102">
        <f t="array" ref="S108">IF($G108=0, INDEX(LS_previous!$D$4:$AY$137, MATCH('Staging Table'!$A108, LS_previous!$B$4:$B$137, 0), MATCH(S$4&amp;S$5, LS_previous!$D$2:$AY$2&amp;LS_previous!$D$3:$AY$3, 0)),SUM(VLOOKUP($A108, LS_previous!$B$4:$AY$137, LS_previous!K$148, FALSE), VLOOKUP('Staging Table'!$A108, LS_previous!$B$4:$AY$137,LS_previous!AI$148, FALSE))/2)</f>
        <v>79386.425923672621</v>
      </c>
      <c r="T108" s="102">
        <f t="array" ref="T108">IF($G108=0, INDEX(LS_previous!$D$4:$AY$137, MATCH('Staging Table'!$A108, LS_previous!$B$4:$B$137, 0), MATCH(T$4&amp;T$5, LS_previous!$D$2:$AY$2&amp;LS_previous!$D$3:$AY$3, 0)),SUM(VLOOKUP($A108, LS_previous!$B$4:$AY$137, LS_previous!L$148, FALSE), VLOOKUP('Staging Table'!$A108, LS_previous!$B$4:$AY$137,LS_previous!AJ$148, FALSE))/2)</f>
        <v>74516.563625462673</v>
      </c>
      <c r="U108" s="102">
        <f t="array" ref="U108">IF($G108=0, INDEX(LS_previous!$D$4:$AY$137, MATCH('Staging Table'!$A108, LS_previous!$B$4:$B$137, 0), MATCH(U$4&amp;U$5, LS_previous!$D$2:$AY$2&amp;LS_previous!$D$3:$AY$3, 0)),SUM(VLOOKUP($A108, LS_previous!$B$4:$AY$137, LS_previous!M$148, FALSE), VLOOKUP('Staging Table'!$A108, LS_previous!$B$4:$AY$137,LS_previous!AK$148, FALSE))/2)</f>
        <v>72063.674390614615</v>
      </c>
      <c r="V108" s="102">
        <f t="array" ref="V108">IF($G108=0, INDEX(LS_previous!$D$4:$AY$137, MATCH('Staging Table'!$A108, LS_previous!$B$4:$B$137, 0), MATCH(V$4&amp;V$5, LS_previous!$D$2:$AY$2&amp;LS_previous!$D$3:$AY$3, 0)),SUM(VLOOKUP($A108, LS_previous!$B$4:$AY$137, LS_previous!N$148, FALSE), VLOOKUP('Staging Table'!$A108, LS_previous!$B$4:$AY$137,LS_previous!AL$148, FALSE))/2)</f>
        <v>82090.29459306231</v>
      </c>
      <c r="W108" s="102">
        <f t="array" ref="W108">IF($G108=0, INDEX(LS_previous!$D$4:$AY$137, MATCH('Staging Table'!$A108, LS_previous!$B$4:$B$137, 0), MATCH(W$4&amp;W$5, LS_previous!$D$2:$AY$2&amp;LS_previous!$D$3:$AY$3, 0)),SUM(VLOOKUP($A108, LS_previous!$B$4:$AY$137, LS_previous!O$148, FALSE), VLOOKUP('Staging Table'!$A108, LS_previous!$B$4:$AY$137,LS_previous!AM$148, FALSE))/2)</f>
        <v>60756.532201113121</v>
      </c>
      <c r="X108" s="102">
        <f t="array" ref="X108">IF($G108=0, INDEX(LS_previous!$D$4:$AY$137, MATCH('Staging Table'!$A108, LS_previous!$B$4:$B$137, 0), MATCH(X$4&amp;X$5, LS_previous!$D$2:$AY$2&amp;LS_previous!$D$3:$AY$3, 0)),SUM(VLOOKUP($A108, LS_previous!$B$4:$AY$137, LS_previous!P$148, FALSE), VLOOKUP('Staging Table'!$A108, LS_previous!$B$4:$AY$137,LS_previous!AN$148, FALSE))/2)</f>
        <v>-36217.460870391456</v>
      </c>
      <c r="Y108" s="102">
        <f t="array" ref="Y108">IF($G108=0, INDEX(LS_previous!$D$4:$AY$137, MATCH('Staging Table'!$A108, LS_previous!$B$4:$B$137, 0), MATCH(Y$4&amp;Y$5, LS_previous!$D$2:$AY$2&amp;LS_previous!$D$3:$AY$3, 0)),SUM(VLOOKUP($A108, LS_previous!$B$4:$AY$137, LS_previous!Q$148, FALSE), VLOOKUP('Staging Table'!$A108, LS_previous!$B$4:$AY$137,LS_previous!AO$148, FALSE))/2)</f>
        <v>-19472.43324380953</v>
      </c>
      <c r="Z108" s="102">
        <f t="array" ref="Z108">IF($G108=0, INDEX(LS_previous!$D$4:$AY$137, MATCH('Staging Table'!$A108, LS_previous!$B$4:$B$137, 0), MATCH(Z$4&amp;Z$5, LS_previous!$D$2:$AY$2&amp;LS_previous!$D$3:$AY$3, 0)),SUM(VLOOKUP($A108, LS_previous!$B$4:$AY$137, LS_previous!R$148, FALSE), VLOOKUP('Staging Table'!$A108, LS_previous!$B$4:$AY$137,LS_previous!AP$148, FALSE))/2)</f>
        <v>-190851.25510722896</v>
      </c>
      <c r="AA108" s="102">
        <f t="array" ref="AA108">IF($G108=0, INDEX(LS_previous!$D$4:$AY$137, MATCH('Staging Table'!$A108, LS_previous!$B$4:$B$137, 0), MATCH(AA$4&amp;AA$5, LS_previous!$D$2:$AY$2&amp;LS_previous!$D$3:$AY$3, 0)),SUM(VLOOKUP($A108, LS_previous!$B$4:$AY$137, LS_previous!S$148, FALSE), VLOOKUP('Staging Table'!$A108, LS_previous!$B$4:$AY$137,LS_previous!AQ$148, FALSE))/2)</f>
        <v>-122122.44463360998</v>
      </c>
      <c r="AB108" s="102">
        <f t="array" ref="AB108">IF($G108=0, INDEX(LS_previous!$D$4:$AY$137, MATCH('Staging Table'!$A108, LS_previous!$B$4:$B$137, 0), MATCH(AB$4&amp;AB$5, LS_previous!$D$2:$AY$2&amp;LS_previous!$D$3:$AY$3, 0)),SUM(VLOOKUP($A108, LS_previous!$B$4:$AY$137, LS_previous!T$148, FALSE), VLOOKUP('Staging Table'!$A108, LS_previous!$B$4:$AY$137,LS_previous!AR$148, FALSE))/2)</f>
        <v>-256999.10818269558</v>
      </c>
      <c r="AC108" s="102">
        <f t="array" ref="AC108">IF($G108=0, INDEX(LS_previous!$D$4:$AY$137, MATCH('Staging Table'!$A108, LS_previous!$B$4:$B$137, 0), MATCH(AC$4&amp;AC$5, LS_previous!$D$2:$AY$2&amp;LS_previous!$D$3:$AY$3, 0)),SUM(VLOOKUP($A108, LS_previous!$B$4:$AY$137, LS_previous!U$148, FALSE), VLOOKUP('Staging Table'!$A108, LS_previous!$B$4:$AY$137,LS_previous!AS$148, FALSE))/2)</f>
        <v>-152269.8317493877</v>
      </c>
      <c r="AD108" s="102">
        <f t="array" ref="AD108">IF($G108=0, INDEX(LS_previous!$D$4:$AY$137, MATCH('Staging Table'!$A108, LS_previous!$B$4:$B$137, 0), MATCH(AD$4&amp;AD$5, LS_previous!$D$2:$AY$2&amp;LS_previous!$D$3:$AY$3, 0)),SUM(VLOOKUP($A108, LS_previous!$B$4:$AY$137, LS_previous!V$148, FALSE), VLOOKUP('Staging Table'!$A108, LS_previous!$B$4:$AY$137,LS_previous!AT$148, FALSE))/2)</f>
        <v>-95261.520286218321</v>
      </c>
      <c r="AE108" s="102">
        <f t="array" ref="AE108">IF($G108=0, INDEX(LS_previous!$D$4:$AY$137, MATCH('Staging Table'!$A108, LS_previous!$B$4:$B$137, 0), MATCH(AE$4&amp;AE$5, LS_previous!$D$2:$AY$2&amp;LS_previous!$D$3:$AY$3, 0)),SUM(VLOOKUP($A108, LS_previous!$B$4:$AY$137, LS_previous!W$148, FALSE), VLOOKUP('Staging Table'!$A108, LS_previous!$B$4:$AY$137,LS_previous!AU$148, FALSE))/2)</f>
        <v>-49793.977328801542</v>
      </c>
      <c r="AF108" s="102">
        <f t="array" ref="AF108">IF($G108=0, INDEX(LS_previous!$D$4:$AY$137, MATCH('Staging Table'!$A108, LS_previous!$B$4:$B$137, 0), MATCH(AF$4&amp;AF$5, LS_previous!$D$2:$AY$2&amp;LS_previous!$D$3:$AY$3, 0)),SUM(VLOOKUP($A108, LS_previous!$B$4:$AY$137, LS_previous!X$148, FALSE), VLOOKUP('Staging Table'!$A108, LS_previous!$B$4:$AY$137,LS_previous!AV$148, FALSE))/2)</f>
        <v>-68089.83367068792</v>
      </c>
      <c r="AG108" s="102">
        <f t="array" ref="AG108">IF($G108=0, INDEX(LS_previous!$D$4:$AY$137, MATCH('Staging Table'!$A108, LS_previous!$B$4:$B$137, 0), MATCH(AG$4&amp;AG$5, LS_previous!$D$2:$AY$2&amp;LS_previous!$D$3:$AY$3, 0)),SUM(VLOOKUP($A108, LS_previous!$B$4:$AY$137, LS_previous!Y$148, FALSE), VLOOKUP('Staging Table'!$A108, LS_previous!$B$4:$AY$137,LS_previous!AW$148, FALSE))/2)</f>
        <v>-25724.505971219492</v>
      </c>
      <c r="AH108" s="102">
        <f t="array" ref="AH108">IF($G108=0, INDEX(LS_previous!$D$4:$AY$137, MATCH('Staging Table'!$A108, LS_previous!$B$4:$B$137, 0), MATCH(AH$4&amp;AH$5, LS_previous!$D$2:$AY$2&amp;LS_previous!$D$3:$AY$3, 0)),SUM(VLOOKUP($A108, LS_previous!$B$4:$AY$137, LS_previous!Z$148, FALSE), VLOOKUP('Staging Table'!$A108, LS_previous!$B$4:$AY$137,LS_previous!AX$148, FALSE))/2)</f>
        <v>55640.389052975632</v>
      </c>
      <c r="AI108" s="102">
        <f t="array" ref="AI108">IF($G108=0, INDEX(LS_previous!$D$4:$AY$137, MATCH('Staging Table'!$A108, LS_previous!$B$4:$B$137, 0), MATCH(AI$4&amp;AI$5, LS_previous!$D$2:$AY$2&amp;LS_previous!$D$3:$AY$3, 0)),SUM(VLOOKUP($A108, LS_previous!$B$4:$AY$137, LS_previous!AA$148, FALSE), VLOOKUP('Staging Table'!$A108, LS_previous!$B$4:$AY$137,LS_previous!AY$148, FALSE))/2)</f>
        <v>35644.227704777557</v>
      </c>
      <c r="AJ108" s="103">
        <f t="array" ref="AJ108">INDEX(Demand_previous!$D$4:$AY$137, MATCH('Staging Table'!$A108, Demand_previous!$B$4:$B$137, 0), MATCH(AJ$4&amp;AJ$5,Demand_previous!$D$2:$AY$2&amp;Demand_previous!$D$3:$AY$3, 0))/1000</f>
        <v>0</v>
      </c>
      <c r="AK108" s="103">
        <f t="array" ref="AK108">INDEX(Demand_previous!$D$4:$AY$137, MATCH('Staging Table'!$A108, Demand_previous!$B$4:$B$137, 0), MATCH(AK$4&amp;AK$5,Demand_previous!$D$2:$AY$2&amp;Demand_previous!$D$3:$AY$3, 0))/1000</f>
        <v>0</v>
      </c>
      <c r="AL108" s="103">
        <f t="array" ref="AL108">INDEX(Demand_previous!$D$4:$AY$137, MATCH('Staging Table'!$A108, Demand_previous!$B$4:$B$137, 0), MATCH(AL$4&amp;AL$5,Demand_previous!$D$2:$AY$2&amp;Demand_previous!$D$3:$AY$3, 0))/1000</f>
        <v>0</v>
      </c>
      <c r="AM108" s="103">
        <f t="array" ref="AM108">INDEX(Demand_previous!$D$4:$AY$137, MATCH('Staging Table'!$A108, Demand_previous!$B$4:$B$137, 0), MATCH(AM$4&amp;AM$5,Demand_previous!$D$2:$AY$2&amp;Demand_previous!$D$3:$AY$3, 0))/1000</f>
        <v>0</v>
      </c>
      <c r="AN108" s="103">
        <f t="array" ref="AN108">INDEX(Demand_previous!$D$4:$AY$137, MATCH('Staging Table'!$A108, Demand_previous!$B$4:$B$137, 0), MATCH(AN$4&amp;AN$5,Demand_previous!$D$2:$AY$2&amp;Demand_previous!$D$3:$AY$3, 0))/1000</f>
        <v>0</v>
      </c>
      <c r="AO108" s="103">
        <f t="array" ref="AO108">INDEX(Demand_previous!$D$4:$AY$137, MATCH('Staging Table'!$A108, Demand_previous!$B$4:$B$137, 0), MATCH(AO$4&amp;AO$5,Demand_previous!$D$2:$AY$2&amp;Demand_previous!$D$3:$AY$3, 0))/1000</f>
        <v>0</v>
      </c>
      <c r="AP108" s="103">
        <f t="array" ref="AP108">INDEX(Demand_previous!$D$4:$AY$137, MATCH('Staging Table'!$A108, Demand_previous!$B$4:$B$137, 0), MATCH(AP$4&amp;AP$5,Demand_previous!$D$2:$AY$2&amp;Demand_previous!$D$3:$AY$3, 0))/1000</f>
        <v>0</v>
      </c>
      <c r="AQ108" s="103">
        <f t="array" ref="AQ108">INDEX(Demand_previous!$D$4:$AY$137, MATCH('Staging Table'!$A108, Demand_previous!$B$4:$B$137, 0), MATCH(AQ$4&amp;AQ$5,Demand_previous!$D$2:$AY$2&amp;Demand_previous!$D$3:$AY$3, 0))/1000</f>
        <v>0</v>
      </c>
      <c r="AR108" s="103">
        <f t="array" ref="AR108">INDEX(Demand_previous!$D$4:$AY$137, MATCH('Staging Table'!$A108, Demand_previous!$B$4:$B$137, 0), MATCH(AR$4&amp;AR$5,Demand_previous!$D$2:$AY$2&amp;Demand_previous!$D$3:$AY$3, 0))/1000</f>
        <v>0</v>
      </c>
      <c r="AS108" s="103">
        <f t="array" ref="AS108">INDEX(Demand_previous!$D$4:$AY$137, MATCH('Staging Table'!$A108, Demand_previous!$B$4:$B$137, 0), MATCH(AS$4&amp;AS$5,Demand_previous!$D$2:$AY$2&amp;Demand_previous!$D$3:$AY$3, 0))/1000</f>
        <v>0</v>
      </c>
      <c r="AT108" s="103">
        <f t="array" ref="AT108">INDEX(Demand_previous!$D$4:$AY$137, MATCH('Staging Table'!$A108, Demand_previous!$B$4:$B$137, 0), MATCH(AT$4&amp;AT$5,Demand_previous!$D$2:$AY$2&amp;Demand_previous!$D$3:$AY$3, 0))/1000</f>
        <v>0</v>
      </c>
      <c r="AU108" s="103">
        <f t="array" ref="AU108">INDEX(Demand_previous!$D$4:$AY$137, MATCH('Staging Table'!$A108, Demand_previous!$B$4:$B$137, 0), MATCH(AU$4&amp;AU$5,Demand_previous!$D$2:$AY$2&amp;Demand_previous!$D$3:$AY$3, 0))/1000</f>
        <v>0</v>
      </c>
      <c r="AV108" s="102">
        <f>$F108*(VLOOKUP(AV$4, Rates_previous!$G$6:$Q$29, 10, FALSE)+VLOOKUP(AV$4, Rates_previous!$G$6:$Q$29, 11, FALSE))</f>
        <v>304557.97482494189</v>
      </c>
      <c r="AW108" s="102">
        <f>$F108*(VLOOKUP(AW$4, Rates_previous!$G$6:$Q$29, 10, FALSE)+VLOOKUP(AW$4, Rates_previous!$G$6:$Q$29, 11, FALSE))</f>
        <v>388411.84679978545</v>
      </c>
      <c r="AX108" s="102">
        <f>$F108*(VLOOKUP(AX$4, Rates_previous!$G$6:$Q$29, 10, FALSE)+VLOOKUP(AX$4, Rates_previous!$G$6:$Q$29, 11, FALSE))</f>
        <v>419173.23430031101</v>
      </c>
      <c r="AY108" s="102">
        <f>$F108*(VLOOKUP(AY$4, Rates_previous!$G$6:$Q$29, 10, FALSE)+VLOOKUP(AY$4, Rates_previous!$G$6:$Q$29, 11, FALSE))</f>
        <v>435585.78951720637</v>
      </c>
      <c r="AZ108" s="102">
        <f>$F108*(VLOOKUP(AZ$4, Rates_previous!$G$6:$Q$29, 10, FALSE)+VLOOKUP(AZ$4, Rates_previous!$G$6:$Q$29, 11, FALSE))</f>
        <v>374661.83886392275</v>
      </c>
      <c r="BA108" s="102">
        <f>$F108*(VLOOKUP(BA$4, Rates_previous!$G$6:$Q$29, 10, FALSE)+VLOOKUP(BA$4, Rates_previous!$G$6:$Q$29, 11, FALSE))</f>
        <v>409056.54872582457</v>
      </c>
      <c r="BB108" s="102">
        <f>$F108*(VLOOKUP(BB$4, Rates_previous!$G$6:$Q$29, 10, FALSE)+VLOOKUP(BB$4, Rates_previous!$G$6:$Q$29, 11, FALSE))</f>
        <v>322881.21083420102</v>
      </c>
      <c r="BC108" s="102">
        <f>$F108*(VLOOKUP(BC$4, Rates_previous!$G$6:$Q$29, 10, FALSE)+VLOOKUP(BC$4, Rates_previous!$G$6:$Q$29, 11, FALSE))</f>
        <v>400577.41014083888</v>
      </c>
      <c r="BD108" s="102">
        <f>$F108*(VLOOKUP(BD$4, Rates_previous!$G$6:$Q$29, 10, FALSE)+VLOOKUP(BD$4, Rates_previous!$G$6:$Q$29, 11, FALSE))</f>
        <v>409268.93993208325</v>
      </c>
      <c r="BE108" s="102">
        <f>$F108*(VLOOKUP(BE$4, Rates_previous!$G$6:$Q$29, 10, FALSE)+VLOOKUP(BE$4, Rates_previous!$G$6:$Q$29, 11, FALSE))</f>
        <v>355304.40257501986</v>
      </c>
      <c r="BF108" s="102">
        <f>$F108*(VLOOKUP(BF$4, Rates_previous!$G$6:$Q$29, 10, FALSE)+VLOOKUP(BF$4, Rates_previous!$G$6:$Q$29, 11, FALSE))</f>
        <v>343484.91428190732</v>
      </c>
      <c r="BG108" s="102">
        <f>$F108*(VLOOKUP(BG$4, Rates_previous!$G$6:$Q$29, 10, FALSE)+VLOOKUP(BG$4, Rates_previous!$G$6:$Q$29, 11, FALSE))</f>
        <v>316072.63660224678</v>
      </c>
      <c r="BH108" s="103">
        <f>IF($D108=0,IF(C108=0, MAX(BJ108 - (VLOOKUP($A108,TOCA_previous!$A$2:$AJ$136,MATCH("RHWM "&amp;Init!$D$1-2,TOCA_previous!$A$2:$AJ$2,0),FALSE)*$F$2*TOCA_previous!C105),0),0), 0)</f>
        <v>0</v>
      </c>
      <c r="BI108" s="109">
        <f>MIN(VLOOKUP($A108,TOCA_previous!$A$2:$AJ$136,MATCH("TRL - NLSL - Existing Resource "&amp;$F$1,TOCA_previous!$A$2:$AJ$2,0),FALSE)*$F$2,(VLOOKUP($A108,TOCA_previous!$A$2:$AJ$136,MATCH("RHWM "&amp;Init!$D$1-2,TOCA_previous!$A$2:$AJ$2,0),FALSE)*$F$2))</f>
        <v>4380185.5199999996</v>
      </c>
      <c r="BJ108" s="261">
        <f>SUM(L108:AI108)+(F108*RT1SC!$C$3*$F$2)</f>
        <v>4380185.5405310066</v>
      </c>
      <c r="BK108" s="260">
        <f>VLOOKUP($A108,TOCA_previous!$A$2:$AJ$136,MATCH("Above RHWM Not Served with LS "&amp;$F$1,TOCA_previous!$A$2:$AJ$2,0),FALSE)*$F$2</f>
        <v>0</v>
      </c>
      <c r="BL108" s="261">
        <f t="shared" si="36"/>
        <v>2.0531007088720798E-2</v>
      </c>
      <c r="BM108" s="260">
        <f>(VLOOKUP($A108,TOCA_previous!$A$2:$AJ$136,MATCH("RHWM "&amp;Init!$D$1-2,TOCA_previous!$A$2:$AJ$2,0),FALSE)*$F$2) - $BI108</f>
        <v>221848.70399999991</v>
      </c>
      <c r="BN108" s="261">
        <f t="shared" si="37"/>
        <v>-2.0531007088720798E-2</v>
      </c>
      <c r="BO108" s="260">
        <f t="shared" si="38"/>
        <v>0</v>
      </c>
      <c r="BP108" s="261">
        <f t="shared" si="39"/>
        <v>0</v>
      </c>
      <c r="BQ108" s="260">
        <f t="shared" si="9"/>
        <v>0</v>
      </c>
      <c r="BR108" s="85">
        <f>VLOOKUP($A108,TOCA_current!$A$2:$ZZ$136,MATCH(BR$4,TOCA_current!$A$2:$ZZ$2,0),FALSE)</f>
        <v>7.0330900000000002E-2</v>
      </c>
      <c r="BS108" s="85">
        <f>VLOOKUP($A108,TOCA_current!$A$2:$ZZ$136,MATCH(BS$4,TOCA_current!$A$2:$ZZ$2,0),FALSE)</f>
        <v>7.0330900000000002E-2</v>
      </c>
      <c r="BT108" s="108">
        <f t="shared" si="40"/>
        <v>0</v>
      </c>
      <c r="BU108" s="85">
        <f>VLOOKUP($A108,TOCA_current!A105:BG239,MATCH(BU$4,TOCA_current!$A$2:$BG$2,0),FALSE)</f>
        <v>0</v>
      </c>
      <c r="BV108" s="85">
        <f t="shared" si="41"/>
        <v>0</v>
      </c>
      <c r="BW108" s="85">
        <f t="shared" si="42"/>
        <v>0</v>
      </c>
      <c r="BX108" s="101">
        <f>VLOOKUP($A108,IRD!$A$4:$G$138, 7, FALSE)</f>
        <v>0</v>
      </c>
      <c r="BY108" s="102">
        <f t="array" ref="BY108">IF($BT108=0, INDEX(LS_current!$D$4:$BW$137, MATCH('Staging Table'!$A108, LS_current!$B$4:$B$137, 0), MATCH(BY$4&amp;BY$5, LS_current!$D$2:$BW$2&amp;LS_current!$D$3:$BW$3, 0)),SUM(VLOOKUP($A108, LS_current!$B$4:$BW$137, LS_current!D$147, FALSE), VLOOKUP($A108, LS_current!$B$4:$BW$137,LS_current!AZ$147, FALSE))/2)</f>
        <v>28370.11724389618</v>
      </c>
      <c r="BZ108" s="102">
        <f t="array" ref="BZ108">IF($BT108=0, INDEX(LS_current!$D$4:$BW$137, MATCH('Staging Table'!$A108, LS_current!$B$4:$B$137, 0), MATCH(BZ$4&amp;BZ$5, LS_current!$D$2:$BW$2&amp;LS_current!$D$3:$BW$3, 0)),SUM(VLOOKUP($A108, LS_current!$B$4:$BW$137, LS_current!E$147, FALSE), VLOOKUP($A108, LS_current!$B$4:$BW$137,LS_current!BA$147, FALSE))/2)</f>
        <v>30151.136778974134</v>
      </c>
      <c r="CA108" s="102">
        <f t="array" ref="CA108">IF($BT108=0, INDEX(LS_current!$D$4:$BW$137, MATCH('Staging Table'!$A108, LS_current!$B$4:$B$137, 0), MATCH(CA$4&amp;CA$5, LS_current!$D$2:$BW$2&amp;LS_current!$D$3:$BW$3, 0)),SUM(VLOOKUP($A108, LS_current!$B$4:$BW$137, LS_current!F$147, FALSE), VLOOKUP($A108, LS_current!$B$4:$BW$137,LS_current!BB$147, FALSE))/2)</f>
        <v>108317.34062599618</v>
      </c>
      <c r="CB108" s="102">
        <f t="array" ref="CB108">IF($BT108=0, INDEX(LS_current!$D$4:$BW$137, MATCH('Staging Table'!$A108, LS_current!$B$4:$B$137, 0), MATCH(CB$4&amp;CB$5, LS_current!$D$2:$BW$2&amp;LS_current!$D$3:$BW$3, 0)),SUM(VLOOKUP($A108, LS_current!$B$4:$BW$137, LS_current!G$147, FALSE), VLOOKUP($A108, LS_current!$B$4:$BW$137,LS_current!BC$147, FALSE))/2)</f>
        <v>74789.836954439903</v>
      </c>
      <c r="CC108" s="102">
        <f t="array" ref="CC108">IF($BT108=0, INDEX(LS_current!$D$4:$BW$137, MATCH('Staging Table'!$A108, LS_current!$B$4:$B$137, 0), MATCH(CC$4&amp;CC$5, LS_current!$D$2:$BW$2&amp;LS_current!$D$3:$BW$3, 0)),SUM(VLOOKUP($A108, LS_current!$B$4:$BW$137, LS_current!H$147, FALSE), VLOOKUP($A108, LS_current!$B$4:$BW$137,LS_current!BD$147, FALSE))/2)</f>
        <v>67063.784908258647</v>
      </c>
      <c r="CD108" s="102">
        <f t="array" ref="CD108">IF($BT108=0, INDEX(LS_current!$D$4:$BW$137, MATCH('Staging Table'!$A108, LS_current!$B$4:$B$137, 0), MATCH(CD$4&amp;CD$5, LS_current!$D$2:$BW$2&amp;LS_current!$D$3:$BW$3, 0)),SUM(VLOOKUP($A108, LS_current!$B$4:$BW$137, LS_current!I$147, FALSE), VLOOKUP($A108, LS_current!$B$4:$BW$137,LS_current!BE$147, FALSE))/2)</f>
        <v>73709.834519912169</v>
      </c>
      <c r="CE108" s="102">
        <f t="array" ref="CE108">IF($BT108=0, INDEX(LS_current!$D$4:$BW$137, MATCH('Staging Table'!$A108, LS_current!$B$4:$B$137, 0), MATCH(CE$4&amp;CE$5, LS_current!$D$2:$BW$2&amp;LS_current!$D$3:$BW$3, 0)),SUM(VLOOKUP($A108, LS_current!$B$4:$BW$137, LS_current!J$147, FALSE), VLOOKUP($A108, LS_current!$B$4:$BW$137,LS_current!BF$147, FALSE))/2)</f>
        <v>85785.514577864844</v>
      </c>
      <c r="CF108" s="102">
        <f t="array" ref="CF108">IF($BT108=0, INDEX(LS_current!$D$4:$BW$137, MATCH('Staging Table'!$A108, LS_current!$B$4:$B$137, 0), MATCH(CF$4&amp;CF$5, LS_current!$D$2:$BW$2&amp;LS_current!$D$3:$BW$3, 0)),SUM(VLOOKUP($A108, LS_current!$B$4:$BW$137, LS_current!K$147, FALSE), VLOOKUP($A108, LS_current!$B$4:$BW$137,LS_current!BG$147, FALSE))/2)</f>
        <v>79802.15423067825</v>
      </c>
      <c r="CG108" s="102">
        <f t="array" ref="CG108">IF($BT108=0, INDEX(LS_current!$D$4:$BW$137, MATCH('Staging Table'!$A108, LS_current!$B$4:$B$137, 0), MATCH(CG$4&amp;CG$5, LS_current!$D$2:$BW$2&amp;LS_current!$D$3:$BW$3, 0)),SUM(VLOOKUP($A108, LS_current!$B$4:$BW$137, LS_current!L$147, FALSE), VLOOKUP($A108, LS_current!$B$4:$BW$137,LS_current!BH$147, FALSE))/2)</f>
        <v>85742.248160897812</v>
      </c>
      <c r="CH108" s="102">
        <f t="array" ref="CH108">IF($BT108=0, INDEX(LS_current!$D$4:$BW$137, MATCH('Staging Table'!$A108, LS_current!$B$4:$B$137, 0), MATCH(CH$4&amp;CH$5, LS_current!$D$2:$BW$2&amp;LS_current!$D$3:$BW$3, 0)),SUM(VLOOKUP($A108, LS_current!$B$4:$BW$137, LS_current!M$147, FALSE), VLOOKUP($A108, LS_current!$B$4:$BW$137,LS_current!BI$147, FALSE))/2)</f>
        <v>78772.48974417444</v>
      </c>
      <c r="CI108" s="102">
        <f t="array" ref="CI108">IF($BT108=0, INDEX(LS_current!$D$4:$BW$137, MATCH('Staging Table'!$A108, LS_current!$B$4:$B$137, 0), MATCH(CI$4&amp;CI$5, LS_current!$D$2:$BW$2&amp;LS_current!$D$3:$BW$3, 0)),SUM(VLOOKUP($A108, LS_current!$B$4:$BW$137, LS_current!N$147, FALSE), VLOOKUP($A108, LS_current!$B$4:$BW$137,LS_current!BJ$147, FALSE))/2)</f>
        <v>77513.891842689132</v>
      </c>
      <c r="CJ108" s="102">
        <f t="array" ref="CJ108">IF($BT108=0, INDEX(LS_current!$D$4:$BW$137, MATCH('Staging Table'!$A108, LS_current!$B$4:$B$137, 0), MATCH(CJ$4&amp;CJ$5, LS_current!$D$2:$BW$2&amp;LS_current!$D$3:$BW$3, 0)),SUM(VLOOKUP($A108, LS_current!$B$4:$BW$137, LS_current!O$147, FALSE), VLOOKUP($A108, LS_current!$B$4:$BW$137,LS_current!BK$147, FALSE))/2)</f>
        <v>84413.252551217243</v>
      </c>
      <c r="CK108" s="102">
        <f t="array" ref="CK108">IF($BT108=0, INDEX(LS_current!$D$4:$BW$137, MATCH('Staging Table'!$A108, LS_current!$B$4:$B$137, 0), MATCH(CK$4&amp;CK$5, LS_current!$D$2:$BW$2&amp;LS_current!$D$3:$BW$3, 0)),SUM(VLOOKUP($A108, LS_current!$B$4:$BW$137, LS_current!P$147, FALSE), VLOOKUP($A108, LS_current!$B$4:$BW$137,LS_current!BL$147, FALSE))/2)</f>
        <v>-25774.783405922644</v>
      </c>
      <c r="CL108" s="102">
        <f t="array" ref="CL108">IF($BT108=0, INDEX(LS_current!$D$4:$BW$137, MATCH('Staging Table'!$A108, LS_current!$B$4:$B$137, 0), MATCH(CL$4&amp;CL$5, LS_current!$D$2:$BW$2&amp;LS_current!$D$3:$BW$3, 0)),SUM(VLOOKUP($A108, LS_current!$B$4:$BW$137, LS_current!Q$147, FALSE), VLOOKUP($A108, LS_current!$B$4:$BW$137,LS_current!BM$147, FALSE))/2)</f>
        <v>-9269.3446198268648</v>
      </c>
      <c r="CM108" s="102">
        <f t="array" ref="CM108">IF($BT108=0, INDEX(LS_current!$D$4:$BW$137, MATCH('Staging Table'!$A108, LS_current!$B$4:$B$137, 0), MATCH(CM$4&amp;CM$5, LS_current!$D$2:$BW$2&amp;LS_current!$D$3:$BW$3, 0)),SUM(VLOOKUP($A108, LS_current!$B$4:$BW$137, LS_current!R$147, FALSE), VLOOKUP($A108, LS_current!$B$4:$BW$137,LS_current!BN$147, FALSE))/2)</f>
        <v>-184285.63900254614</v>
      </c>
      <c r="CN108" s="102">
        <f t="array" ref="CN108">IF($BT108=0, INDEX(LS_current!$D$4:$BW$137, MATCH('Staging Table'!$A108, LS_current!$B$4:$B$137, 0), MATCH(CN$4&amp;CN$5, LS_current!$D$2:$BW$2&amp;LS_current!$D$3:$BW$3, 0)),SUM(VLOOKUP($A108, LS_current!$B$4:$BW$137, LS_current!S$147, FALSE), VLOOKUP($A108, LS_current!$B$4:$BW$137,LS_current!BO$147, FALSE))/2)</f>
        <v>-119252.98792188818</v>
      </c>
      <c r="CO108" s="102">
        <f t="array" ref="CO108">IF($BT108=0, INDEX(LS_current!$D$4:$BW$137, MATCH('Staging Table'!$A108, LS_current!$B$4:$B$137, 0), MATCH(CO$4&amp;CO$5, LS_current!$D$2:$BW$2&amp;LS_current!$D$3:$BW$3, 0)),SUM(VLOOKUP($A108, LS_current!$B$4:$BW$137, LS_current!T$147, FALSE), VLOOKUP($A108, LS_current!$B$4:$BW$137,LS_current!BP$147, FALSE))/2)</f>
        <v>-260367.872262285</v>
      </c>
      <c r="CP108" s="102">
        <f t="array" ref="CP108">IF($BT108=0, INDEX(LS_current!$D$4:$BW$137, MATCH('Staging Table'!$A108, LS_current!$B$4:$B$137, 0), MATCH(CP$4&amp;CP$5, LS_current!$D$2:$BW$2&amp;LS_current!$D$3:$BW$3, 0)),SUM(VLOOKUP($A108, LS_current!$B$4:$BW$137, LS_current!U$147, FALSE), VLOOKUP($A108, LS_current!$B$4:$BW$137,LS_current!BQ$147, FALSE))/2)</f>
        <v>-139126.46071285295</v>
      </c>
      <c r="CQ108" s="102">
        <f t="array" ref="CQ108">IF($BT108=0, INDEX(LS_current!$D$4:$BW$137, MATCH('Staging Table'!$A108, LS_current!$B$4:$B$137, 0), MATCH(CQ$4&amp;CQ$5, LS_current!$D$2:$BW$2&amp;LS_current!$D$3:$BW$3, 0)),SUM(VLOOKUP($A108, LS_current!$B$4:$BW$137, LS_current!V$147, FALSE), VLOOKUP($A108, LS_current!$B$4:$BW$137,LS_current!BR$147, FALSE))/2)</f>
        <v>-99167.970393273616</v>
      </c>
      <c r="CR108" s="102">
        <f t="array" ref="CR108">IF($BT108=0, INDEX(LS_current!$D$4:$BW$137, MATCH('Staging Table'!$A108, LS_current!$B$4:$B$137, 0), MATCH(CR$4&amp;CR$5, LS_current!$D$2:$BW$2&amp;LS_current!$D$3:$BW$3, 0)),SUM(VLOOKUP($A108, LS_current!$B$4:$BW$137, LS_current!W$147, FALSE), VLOOKUP($A108, LS_current!$B$4:$BW$137,LS_current!BS$147, FALSE))/2)</f>
        <v>-46167.70603511401</v>
      </c>
      <c r="CS108" s="102">
        <f t="array" ref="CS108">IF($BT108=0, INDEX(LS_current!$D$4:$BW$137, MATCH('Staging Table'!$A108, LS_current!$B$4:$B$137, 0), MATCH(CS$4&amp;CS$5, LS_current!$D$2:$BW$2&amp;LS_current!$D$3:$BW$3, 0)),SUM(VLOOKUP($A108, LS_current!$B$4:$BW$137, LS_current!X$147, FALSE), VLOOKUP($A108, LS_current!$B$4:$BW$137,LS_current!BT$147, FALSE))/2)</f>
        <v>-92661.143623096548</v>
      </c>
      <c r="CT108" s="102">
        <f t="array" ref="CT108">IF($BT108=0, INDEX(LS_current!$D$4:$BW$137, MATCH('Staging Table'!$A108, LS_current!$B$4:$B$137, 0), MATCH(CT$4&amp;CT$5, LS_current!$D$2:$BW$2&amp;LS_current!$D$3:$BW$3, 0)),SUM(VLOOKUP($A108, LS_current!$B$4:$BW$137, LS_current!Y$147, FALSE), VLOOKUP($A108, LS_current!$B$4:$BW$137,LS_current!BU$147, FALSE))/2)</f>
        <v>-22432.862270683268</v>
      </c>
      <c r="CU108" s="102">
        <f t="array" ref="CU108">IF($BT108=0, INDEX(LS_current!$D$4:$BW$137, MATCH('Staging Table'!$A108, LS_current!$B$4:$B$137, 0), MATCH(CU$4&amp;CU$5, LS_current!$D$2:$BW$2&amp;LS_current!$D$3:$BW$3, 0)),SUM(VLOOKUP($A108, LS_current!$B$4:$BW$137, LS_current!Z$147, FALSE), VLOOKUP($A108, LS_current!$B$4:$BW$137,LS_current!BV$147, FALSE))/2)</f>
        <v>68091.569528046093</v>
      </c>
      <c r="CV108" s="102">
        <f t="array" ref="CV108">IF($BT108=0, INDEX(LS_current!$D$4:$BW$137, MATCH('Staging Table'!$A108, LS_current!$B$4:$B$137, 0), MATCH(CV$4&amp;CV$5, LS_current!$D$2:$BW$2&amp;LS_current!$D$3:$BW$3, 0)),SUM(VLOOKUP($A108, LS_current!$B$4:$BW$137, LS_current!AA$147, FALSE), VLOOKUP($A108, LS_current!$B$4:$BW$137,LS_current!BW$147, FALSE))/2)</f>
        <v>55982.18611223271</v>
      </c>
      <c r="CW108" s="103">
        <f t="array" ref="CW108">INDEX(Demand_current!$D$4:$BW$137, MATCH($A108, Demand_current!$B$4:$B$137, 0), MATCH(CW$4&amp;CW$5,Demand_current!$D$2:$BW$2&amp;Demand_current!$D$3:$BW$3, 0))/1000</f>
        <v>0</v>
      </c>
      <c r="CX108" s="103">
        <f t="array" ref="CX108">INDEX(Demand_current!$D$4:$BW$137, MATCH($A108, Demand_current!$B$4:$B$137, 0), MATCH(CX$4&amp;CX$5,Demand_current!$D$2:$BW$2&amp;Demand_current!$D$3:$BW$3, 0))/1000</f>
        <v>0</v>
      </c>
      <c r="CY108" s="103">
        <f t="array" ref="CY108">INDEX(Demand_current!$D$4:$BW$137, MATCH($A108, Demand_current!$B$4:$B$137, 0), MATCH(CY$4&amp;CY$5,Demand_current!$D$2:$BW$2&amp;Demand_current!$D$3:$BW$3, 0))/1000</f>
        <v>0</v>
      </c>
      <c r="CZ108" s="103">
        <f t="array" ref="CZ108">INDEX(Demand_current!$D$4:$BW$137, MATCH($A108, Demand_current!$B$4:$B$137, 0), MATCH(CZ$4&amp;CZ$5,Demand_current!$D$2:$BW$2&amp;Demand_current!$D$3:$BW$3, 0))/1000</f>
        <v>0</v>
      </c>
      <c r="DA108" s="103">
        <f t="array" ref="DA108">INDEX(Demand_current!$D$4:$BW$137, MATCH($A108, Demand_current!$B$4:$B$137, 0), MATCH(DA$4&amp;DA$5,Demand_current!$D$2:$BW$2&amp;Demand_current!$D$3:$BW$3, 0))/1000</f>
        <v>0</v>
      </c>
      <c r="DB108" s="103">
        <f t="array" ref="DB108">INDEX(Demand_current!$D$4:$BW$137, MATCH($A108, Demand_current!$B$4:$B$137, 0), MATCH(DB$4&amp;DB$5,Demand_current!$D$2:$BW$2&amp;Demand_current!$D$3:$BW$3, 0))/1000</f>
        <v>0</v>
      </c>
      <c r="DC108" s="103">
        <f t="array" ref="DC108">INDEX(Demand_current!$D$4:$BW$137, MATCH($A108, Demand_current!$B$4:$B$137, 0), MATCH(DC$4&amp;DC$5,Demand_current!$D$2:$BW$2&amp;Demand_current!$D$3:$BW$3, 0))/1000</f>
        <v>0</v>
      </c>
      <c r="DD108" s="103">
        <f t="array" ref="DD108">INDEX(Demand_current!$D$4:$BW$137, MATCH($A108, Demand_current!$B$4:$B$137, 0), MATCH(DD$4&amp;DD$5,Demand_current!$D$2:$BW$2&amp;Demand_current!$D$3:$BW$3, 0))/1000</f>
        <v>0</v>
      </c>
      <c r="DE108" s="103">
        <f t="array" ref="DE108">INDEX(Demand_current!$D$4:$BW$137, MATCH($A108, Demand_current!$B$4:$B$137, 0), MATCH(DE$4&amp;DE$5,Demand_current!$D$2:$BW$2&amp;Demand_current!$D$3:$BW$3, 0))/1000</f>
        <v>0</v>
      </c>
      <c r="DF108" s="103">
        <f t="array" ref="DF108">INDEX(Demand_current!$D$4:$BW$137, MATCH($A108, Demand_current!$B$4:$B$137, 0), MATCH(DF$4&amp;DF$5,Demand_current!$D$2:$BW$2&amp;Demand_current!$D$3:$BW$3, 0))/1000</f>
        <v>0</v>
      </c>
      <c r="DG108" s="103">
        <f t="array" ref="DG108">INDEX(Demand_current!$D$4:$BW$137, MATCH($A108, Demand_current!$B$4:$B$137, 0), MATCH(DG$4&amp;DG$5,Demand_current!$D$2:$BW$2&amp;Demand_current!$D$3:$BW$3, 0))/1000</f>
        <v>0</v>
      </c>
      <c r="DH108" s="103">
        <f t="array" ref="DH108">INDEX(Demand_current!$D$4:$BW$137, MATCH($A108, Demand_current!$B$4:$B$137, 0), MATCH(DH$4&amp;DH$5,Demand_current!$D$2:$BW$2&amp;Demand_current!$D$3:$BW$3, 0))/1000</f>
        <v>0</v>
      </c>
      <c r="DI108" s="102">
        <f>$BS108*(VLOOKUP(DI$4, Rates_current!$H$6:$R$41, 10, FALSE)+VLOOKUP(DI$4, Rates_current!$H$6:$R$41, 11, FALSE))</f>
        <v>291893.46277712984</v>
      </c>
      <c r="DJ108" s="102">
        <f>$BS108*(VLOOKUP(DJ$4, Rates_current!$H$6:$R$41, 10, FALSE)+VLOOKUP(DJ$4, Rates_current!$H$6:$R$41, 11, FALSE))</f>
        <v>373176.18533956393</v>
      </c>
      <c r="DK108" s="102">
        <f>$BS108*(VLOOKUP(DK$4, Rates_current!$H$6:$R$41, 10, FALSE)+VLOOKUP(DK$4, Rates_current!$H$6:$R$41, 11, FALSE))</f>
        <v>424270.1114118289</v>
      </c>
      <c r="DL108" s="102">
        <f>$BS108*(VLOOKUP(DL$4, Rates_current!$H$6:$R$41, 10, FALSE)+VLOOKUP(DL$4, Rates_current!$H$6:$R$41, 11, FALSE))</f>
        <v>447638.0855914572</v>
      </c>
      <c r="DM108" s="102">
        <f>$BS108*(VLOOKUP(DM$4, Rates_current!$H$6:$R$41, 10, FALSE)+VLOOKUP(DM$4, Rates_current!$H$6:$R$41, 11, FALSE))</f>
        <v>356727.15333492786</v>
      </c>
      <c r="DN108" s="102">
        <f>$BS108*(VLOOKUP(DN$4, Rates_current!$H$6:$R$41, 10, FALSE)+VLOOKUP(DN$4, Rates_current!$H$6:$R$41, 11, FALSE))</f>
        <v>389976.03456609347</v>
      </c>
      <c r="DO108" s="102">
        <f>$BS108*(VLOOKUP(DO$4, Rates_current!$H$6:$R$41, 10, FALSE)+VLOOKUP(DO$4, Rates_current!$H$6:$R$41, 11, FALSE))</f>
        <v>302235.34958574962</v>
      </c>
      <c r="DP108" s="102">
        <f>$BS108*(VLOOKUP(DP$4, Rates_current!$H$6:$R$41, 10, FALSE)+VLOOKUP(DP$4, Rates_current!$H$6:$R$41, 11, FALSE))</f>
        <v>391142.30612443428</v>
      </c>
      <c r="DQ108" s="102">
        <f>$BS108*(VLOOKUP(DQ$4, Rates_current!$H$6:$R$41, 10, FALSE)+VLOOKUP(DQ$4, Rates_current!$H$6:$R$41, 11, FALSE))</f>
        <v>399494.33297513798</v>
      </c>
      <c r="DR108" s="102">
        <f>$BS108*(VLOOKUP(DR$4, Rates_current!$H$6:$R$41, 10, FALSE)+VLOOKUP(DR$4, Rates_current!$H$6:$R$41, 11, FALSE))</f>
        <v>355584.50650838768</v>
      </c>
      <c r="DS108" s="102">
        <f>$BS108*(VLOOKUP(DS$4, Rates_current!$H$6:$R$41, 10, FALSE)+VLOOKUP(DS$4, Rates_current!$H$6:$R$41, 11, FALSE))</f>
        <v>364764.49161377992</v>
      </c>
      <c r="DT108" s="102">
        <f>$BS108*(VLOOKUP(DT$4, Rates_current!$H$6:$R$41, 10, FALSE)+VLOOKUP(DT$4, Rates_current!$H$6:$R$41, 11, FALSE))</f>
        <v>283283.35263972124</v>
      </c>
      <c r="DU108" s="261">
        <f>IF(D108=0,IF(C108=0,MAX(0,DW108 - (VLOOKUP($A108,TOCA_current!$A$2:$AV$136,MATCH("RHWM "&amp;Init!$D$1,TOCA_current!$A$2:$AV$2,0),FALSE)*$BS$2)), 0),0)</f>
        <v>0</v>
      </c>
      <c r="DV108" s="262">
        <f>MIN(VLOOKUP($A108,TOCA_current!$A$2:$AV$136,MATCH("TRL - NLSL - Existing Resource "&amp;$BS$1,TOCA_current!$A$2:$AV$2,0),FALSE)*$BS$2, VLOOKUP($A108,TOCA_current!$A$2:$AV$136,MATCH("RHWM "&amp;Init!$D$1,TOCA_current!$A$2:$AV$2,0),FALSE)*$BS$2)</f>
        <v>4380183.96</v>
      </c>
      <c r="DW108" s="262">
        <f>SUM(BY108:CV108)+(BS108*RT1SC!$C$4*$BS$2)</f>
        <v>4380184.2185613569</v>
      </c>
      <c r="DX108" s="262">
        <f>VLOOKUP($A108,TOCA_current!$A$2:$AV$136,MATCH("Above RHWM Not Served with LS "&amp;$BS$1,TOCA_current!$A$2:$AV$2,0),FALSE)*$BS$2</f>
        <v>0</v>
      </c>
      <c r="DY108" s="262">
        <f t="shared" si="43"/>
        <v>0.25856135692447424</v>
      </c>
      <c r="DZ108" s="262">
        <f>(VLOOKUP($A108,TOCA_current!$A$2:$AV$136,MATCH("RHWM "&amp;Init!$D$1,TOCA_current!$A$2:$AV$2,0),FALSE)*$BS$2) - $DV108</f>
        <v>235731.60000000056</v>
      </c>
      <c r="EA108" s="262">
        <f t="shared" si="44"/>
        <v>-0.25856135692447424</v>
      </c>
      <c r="EB108" s="262">
        <f t="shared" si="45"/>
        <v>0</v>
      </c>
      <c r="EC108" s="262">
        <f t="shared" si="46"/>
        <v>0</v>
      </c>
      <c r="ED108" s="262">
        <f t="shared" si="47"/>
        <v>0</v>
      </c>
    </row>
    <row r="109" spans="1:134">
      <c r="A109" s="2">
        <v>10352</v>
      </c>
      <c r="B109" s="3" t="s">
        <v>111</v>
      </c>
      <c r="C109">
        <f>VLOOKUP(A109, TOCA_current!$A$3:$D$136, 4, FALSE)</f>
        <v>0</v>
      </c>
      <c r="D109">
        <v>0</v>
      </c>
      <c r="E109" s="84">
        <f>VLOOKUP($A109,TOCA_previous!$A$2:$AJ$136,MATCH(E$4,TOCA_previous!$A$2:$AJ$2,0),FALSE)</f>
        <v>2.2997E-3</v>
      </c>
      <c r="F109" s="85">
        <f>VLOOKUP($A109,TOCA_previous!$A$2:$AJ$136,MATCH(F$4,TOCA_previous!$A$2:$AJ$2,0),FALSE)</f>
        <v>2.2997E-3</v>
      </c>
      <c r="G109" s="85">
        <f t="shared" si="33"/>
        <v>0</v>
      </c>
      <c r="H109" s="85">
        <f>VLOOKUP($A109,TOCA_previous!$A$2:$AJ$136,MATCH(H$4,TOCA_previous!$A$2:$AJ$2,0),FALSE)</f>
        <v>4.9999999999999996E-2</v>
      </c>
      <c r="I109" s="85">
        <f t="shared" si="34"/>
        <v>0</v>
      </c>
      <c r="J109" s="85">
        <f t="shared" si="35"/>
        <v>0</v>
      </c>
      <c r="K109" s="101">
        <f>VLOOKUP(A109, IRD!$A$5:$C$138, 3, FALSE)</f>
        <v>0</v>
      </c>
      <c r="L109" s="102">
        <f t="array" ref="L109">IF($G109=0, INDEX(LS_previous!$D$4:$AY$137, MATCH('Staging Table'!$A109, LS_previous!$B$4:$B$137, 0), MATCH(L$4&amp;L$5, LS_previous!$D$2:$AY$2&amp;LS_previous!$D$3:$AY$3, 0)),SUM(VLOOKUP($A109, LS_previous!$B$4:$AY$137, LS_previous!D$148, FALSE), VLOOKUP('Staging Table'!$A109, LS_previous!$B$4:$AY$137,LS_previous!AB$148, FALSE))/2)</f>
        <v>1671.5474504107997</v>
      </c>
      <c r="M109" s="102">
        <f t="array" ref="M109">IF($G109=0, INDEX(LS_previous!$D$4:$AY$137, MATCH('Staging Table'!$A109, LS_previous!$B$4:$B$137, 0), MATCH(M$4&amp;M$5, LS_previous!$D$2:$AY$2&amp;LS_previous!$D$3:$AY$3, 0)),SUM(VLOOKUP($A109, LS_previous!$B$4:$AY$137, LS_previous!E$148, FALSE), VLOOKUP('Staging Table'!$A109, LS_previous!$B$4:$AY$137,LS_previous!AC$148, FALSE))/2)</f>
        <v>133.40653926765026</v>
      </c>
      <c r="N109" s="102">
        <f t="array" ref="N109">IF($G109=0, INDEX(LS_previous!$D$4:$AY$137, MATCH('Staging Table'!$A109, LS_previous!$B$4:$B$137, 0), MATCH(N$4&amp;N$5, LS_previous!$D$2:$AY$2&amp;LS_previous!$D$3:$AY$3, 0)),SUM(VLOOKUP($A109, LS_previous!$B$4:$AY$137, LS_previous!F$148, FALSE), VLOOKUP('Staging Table'!$A109, LS_previous!$B$4:$AY$137,LS_previous!AD$148, FALSE))/2)</f>
        <v>576.5614917983994</v>
      </c>
      <c r="O109" s="102">
        <f t="array" ref="O109">IF($G109=0, INDEX(LS_previous!$D$4:$AY$137, MATCH('Staging Table'!$A109, LS_previous!$B$4:$B$137, 0), MATCH(O$4&amp;O$5, LS_previous!$D$2:$AY$2&amp;LS_previous!$D$3:$AY$3, 0)),SUM(VLOOKUP($A109, LS_previous!$B$4:$AY$137, LS_previous!G$148, FALSE), VLOOKUP('Staging Table'!$A109, LS_previous!$B$4:$AY$137,LS_previous!AE$148, FALSE))/2)</f>
        <v>741.28291228929993</v>
      </c>
      <c r="P109" s="102">
        <f t="array" ref="P109">IF($G109=0, INDEX(LS_previous!$D$4:$AY$137, MATCH('Staging Table'!$A109, LS_previous!$B$4:$B$137, 0), MATCH(P$4&amp;P$5, LS_previous!$D$2:$AY$2&amp;LS_previous!$D$3:$AY$3, 0)),SUM(VLOOKUP($A109, LS_previous!$B$4:$AY$137, LS_previous!H$148, FALSE), VLOOKUP('Staging Table'!$A109, LS_previous!$B$4:$AY$137,LS_previous!AF$148, FALSE))/2)</f>
        <v>2645.3779460217002</v>
      </c>
      <c r="Q109" s="102">
        <f t="array" ref="Q109">IF($G109=0, INDEX(LS_previous!$D$4:$AY$137, MATCH('Staging Table'!$A109, LS_previous!$B$4:$B$137, 0), MATCH(Q$4&amp;Q$5, LS_previous!$D$2:$AY$2&amp;LS_previous!$D$3:$AY$3, 0)),SUM(VLOOKUP($A109, LS_previous!$B$4:$AY$137, LS_previous!I$148, FALSE), VLOOKUP('Staging Table'!$A109, LS_previous!$B$4:$AY$137,LS_previous!AG$148, FALSE))/2)</f>
        <v>1557.9752973087998</v>
      </c>
      <c r="R109" s="102">
        <f t="array" ref="R109">IF($G109=0, INDEX(LS_previous!$D$4:$AY$137, MATCH('Staging Table'!$A109, LS_previous!$B$4:$B$137, 0), MATCH(R$4&amp;R$5, LS_previous!$D$2:$AY$2&amp;LS_previous!$D$3:$AY$3, 0)),SUM(VLOOKUP($A109, LS_previous!$B$4:$AY$137, LS_previous!J$148, FALSE), VLOOKUP('Staging Table'!$A109, LS_previous!$B$4:$AY$137,LS_previous!AH$148, FALSE))/2)</f>
        <v>1880.8517630144997</v>
      </c>
      <c r="S109" s="102">
        <f t="array" ref="S109">IF($G109=0, INDEX(LS_previous!$D$4:$AY$137, MATCH('Staging Table'!$A109, LS_previous!$B$4:$B$137, 0), MATCH(S$4&amp;S$5, LS_previous!$D$2:$AY$2&amp;LS_previous!$D$3:$AY$3, 0)),SUM(VLOOKUP($A109, LS_previous!$B$4:$AY$137, LS_previous!K$148, FALSE), VLOOKUP('Staging Table'!$A109, LS_previous!$B$4:$AY$137,LS_previous!AI$148, FALSE))/2)</f>
        <v>1269.5239747086998</v>
      </c>
      <c r="T109" s="102">
        <f t="array" ref="T109">IF($G109=0, INDEX(LS_previous!$D$4:$AY$137, MATCH('Staging Table'!$A109, LS_previous!$B$4:$B$137, 0), MATCH(T$4&amp;T$5, LS_previous!$D$2:$AY$2&amp;LS_previous!$D$3:$AY$3, 0)),SUM(VLOOKUP($A109, LS_previous!$B$4:$AY$137, LS_previous!L$148, FALSE), VLOOKUP('Staging Table'!$A109, LS_previous!$B$4:$AY$137,LS_previous!AJ$148, FALSE))/2)</f>
        <v>1851.6444770637008</v>
      </c>
      <c r="U109" s="102">
        <f t="array" ref="U109">IF($G109=0, INDEX(LS_previous!$D$4:$AY$137, MATCH('Staging Table'!$A109, LS_previous!$B$4:$B$137, 0), MATCH(U$4&amp;U$5, LS_previous!$D$2:$AY$2&amp;LS_previous!$D$3:$AY$3, 0)),SUM(VLOOKUP($A109, LS_previous!$B$4:$AY$137, LS_previous!M$148, FALSE), VLOOKUP('Staging Table'!$A109, LS_previous!$B$4:$AY$137,LS_previous!AK$148, FALSE))/2)</f>
        <v>1407.5744648876998</v>
      </c>
      <c r="V109" s="102">
        <f t="array" ref="V109">IF($G109=0, INDEX(LS_previous!$D$4:$AY$137, MATCH('Staging Table'!$A109, LS_previous!$B$4:$B$137, 0), MATCH(V$4&amp;V$5, LS_previous!$D$2:$AY$2&amp;LS_previous!$D$3:$AY$3, 0)),SUM(VLOOKUP($A109, LS_previous!$B$4:$AY$137, LS_previous!N$148, FALSE), VLOOKUP('Staging Table'!$A109, LS_previous!$B$4:$AY$137,LS_previous!AL$148, FALSE))/2)</f>
        <v>1284.4220158338994</v>
      </c>
      <c r="W109" s="102">
        <f t="array" ref="W109">IF($G109=0, INDEX(LS_previous!$D$4:$AY$137, MATCH('Staging Table'!$A109, LS_previous!$B$4:$B$137, 0), MATCH(W$4&amp;W$5, LS_previous!$D$2:$AY$2&amp;LS_previous!$D$3:$AY$3, 0)),SUM(VLOOKUP($A109, LS_previous!$B$4:$AY$137, LS_previous!O$148, FALSE), VLOOKUP('Staging Table'!$A109, LS_previous!$B$4:$AY$137,LS_previous!AM$148, FALSE))/2)</f>
        <v>836.32183713339964</v>
      </c>
      <c r="X109" s="102">
        <f t="array" ref="X109">IF($G109=0, INDEX(LS_previous!$D$4:$AY$137, MATCH('Staging Table'!$A109, LS_previous!$B$4:$B$137, 0), MATCH(X$4&amp;X$5, LS_previous!$D$2:$AY$2&amp;LS_previous!$D$3:$AY$3, 0)),SUM(VLOOKUP($A109, LS_previous!$B$4:$AY$137, LS_previous!P$148, FALSE), VLOOKUP('Staging Table'!$A109, LS_previous!$B$4:$AY$137,LS_previous!AN$148, FALSE))/2)</f>
        <v>1704.4848340832505</v>
      </c>
      <c r="Y109" s="102">
        <f t="array" ref="Y109">IF($G109=0, INDEX(LS_previous!$D$4:$AY$137, MATCH('Staging Table'!$A109, LS_previous!$B$4:$B$137, 0), MATCH(Y$4&amp;Y$5, LS_previous!$D$2:$AY$2&amp;LS_previous!$D$3:$AY$3, 0)),SUM(VLOOKUP($A109, LS_previous!$B$4:$AY$137, LS_previous!Q$148, FALSE), VLOOKUP('Staging Table'!$A109, LS_previous!$B$4:$AY$137,LS_previous!AO$148, FALSE))/2)</f>
        <v>488.77510201352561</v>
      </c>
      <c r="Z109" s="102">
        <f t="array" ref="Z109">IF($G109=0, INDEX(LS_previous!$D$4:$AY$137, MATCH('Staging Table'!$A109, LS_previous!$B$4:$B$137, 0), MATCH(Z$4&amp;Z$5, LS_previous!$D$2:$AY$2&amp;LS_previous!$D$3:$AY$3, 0)),SUM(VLOOKUP($A109, LS_previous!$B$4:$AY$137, LS_previous!R$148, FALSE), VLOOKUP('Staging Table'!$A109, LS_previous!$B$4:$AY$137,LS_previous!AP$148, FALSE))/2)</f>
        <v>-1577.0822053456004</v>
      </c>
      <c r="AA109" s="102">
        <f t="array" ref="AA109">IF($G109=0, INDEX(LS_previous!$D$4:$AY$137, MATCH('Staging Table'!$A109, LS_previous!$B$4:$B$137, 0), MATCH(AA$4&amp;AA$5, LS_previous!$D$2:$AY$2&amp;LS_previous!$D$3:$AY$3, 0)),SUM(VLOOKUP($A109, LS_previous!$B$4:$AY$137, LS_previous!S$148, FALSE), VLOOKUP('Staging Table'!$A109, LS_previous!$B$4:$AY$137,LS_previous!AQ$148, FALSE))/2)</f>
        <v>-1129.0819438024496</v>
      </c>
      <c r="AB109" s="102">
        <f t="array" ref="AB109">IF($G109=0, INDEX(LS_previous!$D$4:$AY$137, MATCH('Staging Table'!$A109, LS_previous!$B$4:$B$137, 0), MATCH(AB$4&amp;AB$5, LS_previous!$D$2:$AY$2&amp;LS_previous!$D$3:$AY$3, 0)),SUM(VLOOKUP($A109, LS_previous!$B$4:$AY$137, LS_previous!T$148, FALSE), VLOOKUP('Staging Table'!$A109, LS_previous!$B$4:$AY$137,LS_previous!AR$148, FALSE))/2)</f>
        <v>-1845.3612274221996</v>
      </c>
      <c r="AC109" s="102">
        <f t="array" ref="AC109">IF($G109=0, INDEX(LS_previous!$D$4:$AY$137, MATCH('Staging Table'!$A109, LS_previous!$B$4:$B$137, 0), MATCH(AC$4&amp;AC$5, LS_previous!$D$2:$AY$2&amp;LS_previous!$D$3:$AY$3, 0)),SUM(VLOOKUP($A109, LS_previous!$B$4:$AY$137, LS_previous!U$148, FALSE), VLOOKUP('Staging Table'!$A109, LS_previous!$B$4:$AY$137,LS_previous!AS$148, FALSE))/2)</f>
        <v>-1561.9478428336502</v>
      </c>
      <c r="AD109" s="102">
        <f t="array" ref="AD109">IF($G109=0, INDEX(LS_previous!$D$4:$AY$137, MATCH('Staging Table'!$A109, LS_previous!$B$4:$B$137, 0), MATCH(AD$4&amp;AD$5, LS_previous!$D$2:$AY$2&amp;LS_previous!$D$3:$AY$3, 0)),SUM(VLOOKUP($A109, LS_previous!$B$4:$AY$137, LS_previous!V$148, FALSE), VLOOKUP('Staging Table'!$A109, LS_previous!$B$4:$AY$137,LS_previous!AT$148, FALSE))/2)</f>
        <v>-435.38294767079969</v>
      </c>
      <c r="AE109" s="102">
        <f t="array" ref="AE109">IF($G109=0, INDEX(LS_previous!$D$4:$AY$137, MATCH('Staging Table'!$A109, LS_previous!$B$4:$B$137, 0), MATCH(AE$4&amp;AE$5, LS_previous!$D$2:$AY$2&amp;LS_previous!$D$3:$AY$3, 0)),SUM(VLOOKUP($A109, LS_previous!$B$4:$AY$137, LS_previous!W$148, FALSE), VLOOKUP('Staging Table'!$A109, LS_previous!$B$4:$AY$137,LS_previous!AU$148, FALSE))/2)</f>
        <v>-601.37962646174992</v>
      </c>
      <c r="AF109" s="102">
        <f t="array" ref="AF109">IF($G109=0, INDEX(LS_previous!$D$4:$AY$137, MATCH('Staging Table'!$A109, LS_previous!$B$4:$B$137, 0), MATCH(AF$4&amp;AF$5, LS_previous!$D$2:$AY$2&amp;LS_previous!$D$3:$AY$3, 0)),SUM(VLOOKUP($A109, LS_previous!$B$4:$AY$137, LS_previous!X$148, FALSE), VLOOKUP('Staging Table'!$A109, LS_previous!$B$4:$AY$137,LS_previous!AV$148, FALSE))/2)</f>
        <v>35.72709260144984</v>
      </c>
      <c r="AG109" s="102">
        <f t="array" ref="AG109">IF($G109=0, INDEX(LS_previous!$D$4:$AY$137, MATCH('Staging Table'!$A109, LS_previous!$B$4:$B$137, 0), MATCH(AG$4&amp;AG$5, LS_previous!$D$2:$AY$2&amp;LS_previous!$D$3:$AY$3, 0)),SUM(VLOOKUP($A109, LS_previous!$B$4:$AY$137, LS_previous!Y$148, FALSE), VLOOKUP('Staging Table'!$A109, LS_previous!$B$4:$AY$137,LS_previous!AW$148, FALSE))/2)</f>
        <v>-118.16766223104469</v>
      </c>
      <c r="AH109" s="102">
        <f t="array" ref="AH109">IF($G109=0, INDEX(LS_previous!$D$4:$AY$137, MATCH('Staging Table'!$A109, LS_previous!$B$4:$B$137, 0), MATCH(AH$4&amp;AH$5, LS_previous!$D$2:$AY$2&amp;LS_previous!$D$3:$AY$3, 0)),SUM(VLOOKUP($A109, LS_previous!$B$4:$AY$137, LS_previous!Z$148, FALSE), VLOOKUP('Staging Table'!$A109, LS_previous!$B$4:$AY$137,LS_previous!AX$148, FALSE))/2)</f>
        <v>152.50845128219953</v>
      </c>
      <c r="AI109" s="102">
        <f t="array" ref="AI109">IF($G109=0, INDEX(LS_previous!$D$4:$AY$137, MATCH('Staging Table'!$A109, LS_previous!$B$4:$B$137, 0), MATCH(AI$4&amp;AI$5, LS_previous!$D$2:$AY$2&amp;LS_previous!$D$3:$AY$3, 0)),SUM(VLOOKUP($A109, LS_previous!$B$4:$AY$137, LS_previous!AA$148, FALSE), VLOOKUP('Staging Table'!$A109, LS_previous!$B$4:$AY$137,LS_previous!AY$148, FALSE))/2)</f>
        <v>-577.76792846879971</v>
      </c>
      <c r="AJ109" s="103">
        <f t="array" ref="AJ109">INDEX(Demand_previous!$D$4:$AY$137, MATCH('Staging Table'!$A109, Demand_previous!$B$4:$B$137, 0), MATCH(AJ$4&amp;AJ$5,Demand_previous!$D$2:$AY$2&amp;Demand_previous!$D$3:$AY$3, 0))/1000</f>
        <v>0</v>
      </c>
      <c r="AK109" s="103">
        <f t="array" ref="AK109">INDEX(Demand_previous!$D$4:$AY$137, MATCH('Staging Table'!$A109, Demand_previous!$B$4:$B$137, 0), MATCH(AK$4&amp;AK$5,Demand_previous!$D$2:$AY$2&amp;Demand_previous!$D$3:$AY$3, 0))/1000</f>
        <v>0.79624249999999908</v>
      </c>
      <c r="AL109" s="103">
        <f t="array" ref="AL109">INDEX(Demand_previous!$D$4:$AY$137, MATCH('Staging Table'!$A109, Demand_previous!$B$4:$B$137, 0), MATCH(AL$4&amp;AL$5,Demand_previous!$D$2:$AY$2&amp;Demand_previous!$D$3:$AY$3, 0))/1000</f>
        <v>0</v>
      </c>
      <c r="AM109" s="103">
        <f t="array" ref="AM109">INDEX(Demand_previous!$D$4:$AY$137, MATCH('Staging Table'!$A109, Demand_previous!$B$4:$B$137, 0), MATCH(AM$4&amp;AM$5,Demand_previous!$D$2:$AY$2&amp;Demand_previous!$D$3:$AY$3, 0))/1000</f>
        <v>6.9593509615384583</v>
      </c>
      <c r="AN109" s="103">
        <f t="array" ref="AN109">INDEX(Demand_previous!$D$4:$AY$137, MATCH('Staging Table'!$A109, Demand_previous!$B$4:$B$137, 0), MATCH(AN$4&amp;AN$5,Demand_previous!$D$2:$AY$2&amp;Demand_previous!$D$3:$AY$3, 0))/1000</f>
        <v>6.9713874999999952</v>
      </c>
      <c r="AO109" s="103">
        <f t="array" ref="AO109">INDEX(Demand_previous!$D$4:$AY$137, MATCH('Staging Table'!$A109, Demand_previous!$B$4:$B$137, 0), MATCH(AO$4&amp;AO$5,Demand_previous!$D$2:$AY$2&amp;Demand_previous!$D$3:$AY$3, 0))/1000</f>
        <v>3.6638629807692338</v>
      </c>
      <c r="AP109" s="103">
        <f t="array" ref="AP109">INDEX(Demand_previous!$D$4:$AY$137, MATCH('Staging Table'!$A109, Demand_previous!$B$4:$B$137, 0), MATCH(AP$4&amp;AP$5,Demand_previous!$D$2:$AY$2&amp;Demand_previous!$D$3:$AY$3, 0))/1000</f>
        <v>2.5738701923076919</v>
      </c>
      <c r="AQ109" s="103">
        <f t="array" ref="AQ109">INDEX(Demand_previous!$D$4:$AY$137, MATCH('Staging Table'!$A109, Demand_previous!$B$4:$B$137, 0), MATCH(AQ$4&amp;AQ$5,Demand_previous!$D$2:$AY$2&amp;Demand_previous!$D$3:$AY$3, 0))/1000</f>
        <v>1.5942379807692308</v>
      </c>
      <c r="AR109" s="103">
        <f t="array" ref="AR109">INDEX(Demand_previous!$D$4:$AY$137, MATCH('Staging Table'!$A109, Demand_previous!$B$4:$B$137, 0), MATCH(AR$4&amp;AR$5,Demand_previous!$D$2:$AY$2&amp;Demand_previous!$D$3:$AY$3, 0))/1000</f>
        <v>2.0610274999999993</v>
      </c>
      <c r="AS109" s="103">
        <f t="array" ref="AS109">INDEX(Demand_previous!$D$4:$AY$137, MATCH('Staging Table'!$A109, Demand_previous!$B$4:$B$137, 0), MATCH(AS$4&amp;AS$5,Demand_previous!$D$2:$AY$2&amp;Demand_previous!$D$3:$AY$3, 0))/1000</f>
        <v>3.5086586538461559</v>
      </c>
      <c r="AT109" s="103">
        <f t="array" ref="AT109">INDEX(Demand_previous!$D$4:$AY$137, MATCH('Staging Table'!$A109, Demand_previous!$B$4:$B$137, 0), MATCH(AT$4&amp;AT$5,Demand_previous!$D$2:$AY$2&amp;Demand_previous!$D$3:$AY$3, 0))/1000</f>
        <v>6.4807939814814812</v>
      </c>
      <c r="AU109" s="103">
        <f t="array" ref="AU109">INDEX(Demand_previous!$D$4:$AY$137, MATCH('Staging Table'!$A109, Demand_previous!$B$4:$B$137, 0), MATCH(AU$4&amp;AU$5,Demand_previous!$D$2:$AY$2&amp;Demand_previous!$D$3:$AY$3, 0))/1000</f>
        <v>1.0654947916666631</v>
      </c>
      <c r="AV109" s="102">
        <f>$F109*(VLOOKUP(AV$4, Rates_previous!$G$6:$Q$29, 10, FALSE)+VLOOKUP(AV$4, Rates_previous!$G$6:$Q$29, 11, FALSE))</f>
        <v>9701.98301032155</v>
      </c>
      <c r="AW109" s="102">
        <f>$F109*(VLOOKUP(AW$4, Rates_previous!$G$6:$Q$29, 10, FALSE)+VLOOKUP(AW$4, Rates_previous!$G$6:$Q$29, 11, FALSE))</f>
        <v>12373.227595912302</v>
      </c>
      <c r="AX109" s="102">
        <f>$F109*(VLOOKUP(AX$4, Rates_previous!$G$6:$Q$29, 10, FALSE)+VLOOKUP(AX$4, Rates_previous!$G$6:$Q$29, 11, FALSE))</f>
        <v>13353.160756669502</v>
      </c>
      <c r="AY109" s="102">
        <f>$F109*(VLOOKUP(AY$4, Rates_previous!$G$6:$Q$29, 10, FALSE)+VLOOKUP(AY$4, Rates_previous!$G$6:$Q$29, 11, FALSE))</f>
        <v>13875.9982622768</v>
      </c>
      <c r="AZ109" s="102">
        <f>$F109*(VLOOKUP(AZ$4, Rates_previous!$G$6:$Q$29, 10, FALSE)+VLOOKUP(AZ$4, Rates_previous!$G$6:$Q$29, 11, FALSE))</f>
        <v>11935.208058048598</v>
      </c>
      <c r="BA109" s="102">
        <f>$F109*(VLOOKUP(BA$4, Rates_previous!$G$6:$Q$29, 10, FALSE)+VLOOKUP(BA$4, Rates_previous!$G$6:$Q$29, 11, FALSE))</f>
        <v>13030.884147032699</v>
      </c>
      <c r="BB109" s="102">
        <f>$F109*(VLOOKUP(BB$4, Rates_previous!$G$6:$Q$29, 10, FALSE)+VLOOKUP(BB$4, Rates_previous!$G$6:$Q$29, 11, FALSE))</f>
        <v>10285.687063903224</v>
      </c>
      <c r="BC109" s="102">
        <f>$F109*(VLOOKUP(BC$4, Rates_previous!$G$6:$Q$29, 10, FALSE)+VLOOKUP(BC$4, Rates_previous!$G$6:$Q$29, 11, FALSE))</f>
        <v>12760.77314914805</v>
      </c>
      <c r="BD109" s="102">
        <f>$F109*(VLOOKUP(BD$4, Rates_previous!$G$6:$Q$29, 10, FALSE)+VLOOKUP(BD$4, Rates_previous!$G$6:$Q$29, 11, FALSE))</f>
        <v>13037.65007025585</v>
      </c>
      <c r="BE109" s="102">
        <f>$F109*(VLOOKUP(BE$4, Rates_previous!$G$6:$Q$29, 10, FALSE)+VLOOKUP(BE$4, Rates_previous!$G$6:$Q$29, 11, FALSE))</f>
        <v>11318.55857413255</v>
      </c>
      <c r="BF109" s="102">
        <f>$F109*(VLOOKUP(BF$4, Rates_previous!$G$6:$Q$29, 10, FALSE)+VLOOKUP(BF$4, Rates_previous!$G$6:$Q$29, 11, FALSE))</f>
        <v>10942.037569629596</v>
      </c>
      <c r="BG109" s="102">
        <f>$F109*(VLOOKUP(BG$4, Rates_previous!$G$6:$Q$29, 10, FALSE)+VLOOKUP(BG$4, Rates_previous!$G$6:$Q$29, 11, FALSE))</f>
        <v>10068.7934771866</v>
      </c>
      <c r="BH109" s="103">
        <f>IF($D109=0,IF(C109=0, MAX(BJ109 - (VLOOKUP($A109,TOCA_previous!$A$2:$AJ$136,MATCH("RHWM "&amp;Init!$D$1-2,TOCA_previous!$A$2:$AJ$2,0),FALSE)*$F$2*TOCA_previous!C106),0),0), 0)</f>
        <v>13348.68865403469</v>
      </c>
      <c r="BI109" s="109">
        <f>MIN(VLOOKUP($A109,TOCA_previous!$A$2:$AJ$136,MATCH("TRL - NLSL - Existing Resource "&amp;$F$1,TOCA_previous!$A$2:$AJ$2,0),FALSE)*$F$2,(VLOOKUP($A109,TOCA_previous!$A$2:$AJ$136,MATCH("RHWM "&amp;Init!$D$1-2,TOCA_previous!$A$2:$AJ$2,0),FALSE)*$F$2))</f>
        <v>139533.84</v>
      </c>
      <c r="BJ109" s="261">
        <f>SUM(L109:AI109)+(F109*RT1SC!$C$3*$F$2)</f>
        <v>153075.77665403468</v>
      </c>
      <c r="BK109" s="260">
        <f>VLOOKUP($A109,TOCA_previous!$A$2:$AJ$136,MATCH("Above RHWM Not Served with LS "&amp;$F$1,TOCA_previous!$A$2:$AJ$2,0),FALSE)*$F$2</f>
        <v>0</v>
      </c>
      <c r="BL109" s="261">
        <f t="shared" si="36"/>
        <v>13541.936654034682</v>
      </c>
      <c r="BM109" s="260">
        <f>(VLOOKUP($A109,TOCA_previous!$A$2:$AJ$136,MATCH("RHWM "&amp;Init!$D$1-2,TOCA_previous!$A$2:$AJ$2,0),FALSE)*$F$2) - $BI109</f>
        <v>193.24799999999232</v>
      </c>
      <c r="BN109" s="261">
        <f t="shared" si="37"/>
        <v>-193.24799999999232</v>
      </c>
      <c r="BO109" s="260">
        <f t="shared" si="38"/>
        <v>0</v>
      </c>
      <c r="BP109" s="261">
        <f t="shared" si="39"/>
        <v>0</v>
      </c>
      <c r="BQ109" s="260">
        <f t="shared" si="9"/>
        <v>-193.24799999999232</v>
      </c>
      <c r="BR109" s="85">
        <f>VLOOKUP($A109,TOCA_current!$A$2:$ZZ$136,MATCH(BR$4,TOCA_current!$A$2:$ZZ$2,0),FALSE)</f>
        <v>2.2501999999999999E-3</v>
      </c>
      <c r="BS109" s="85">
        <f>VLOOKUP($A109,TOCA_current!$A$2:$ZZ$136,MATCH(BS$4,TOCA_current!$A$2:$ZZ$2,0),FALSE)</f>
        <v>2.2501999999999999E-3</v>
      </c>
      <c r="BT109" s="108">
        <f t="shared" si="40"/>
        <v>0</v>
      </c>
      <c r="BU109" s="85">
        <f>VLOOKUP($A109,TOCA_current!A106:BG240,MATCH(BU$4,TOCA_current!$A$2:$BG$2,0),FALSE)</f>
        <v>5.4613076634579323E-2</v>
      </c>
      <c r="BV109" s="85">
        <f t="shared" si="41"/>
        <v>0</v>
      </c>
      <c r="BW109" s="85">
        <f t="shared" si="42"/>
        <v>0</v>
      </c>
      <c r="BX109" s="101">
        <f>VLOOKUP($A109,IRD!$A$4:$G$138, 7, FALSE)</f>
        <v>0</v>
      </c>
      <c r="BY109" s="102">
        <f t="array" ref="BY109">IF($BT109=0, INDEX(LS_current!$D$4:$BW$137, MATCH('Staging Table'!$A109, LS_current!$B$4:$B$137, 0), MATCH(BY$4&amp;BY$5, LS_current!$D$2:$BW$2&amp;LS_current!$D$3:$BW$3, 0)),SUM(VLOOKUP($A109, LS_current!$B$4:$BW$137, LS_current!D$147, FALSE), VLOOKUP($A109, LS_current!$B$4:$BW$137,LS_current!AZ$147, FALSE))/2)</f>
        <v>1084.6576426591864</v>
      </c>
      <c r="BZ109" s="102">
        <f t="array" ref="BZ109">IF($BT109=0, INDEX(LS_current!$D$4:$BW$137, MATCH('Staging Table'!$A109, LS_current!$B$4:$B$137, 0), MATCH(BZ$4&amp;BZ$5, LS_current!$D$2:$BW$2&amp;LS_current!$D$3:$BW$3, 0)),SUM(VLOOKUP($A109, LS_current!$B$4:$BW$137, LS_current!E$147, FALSE), VLOOKUP($A109, LS_current!$B$4:$BW$137,LS_current!BA$147, FALSE))/2)</f>
        <v>-14.841819705085527</v>
      </c>
      <c r="CA109" s="102">
        <f t="array" ref="CA109">IF($BT109=0, INDEX(LS_current!$D$4:$BW$137, MATCH('Staging Table'!$A109, LS_current!$B$4:$B$137, 0), MATCH(CA$4&amp;CA$5, LS_current!$D$2:$BW$2&amp;LS_current!$D$3:$BW$3, 0)),SUM(VLOOKUP($A109, LS_current!$B$4:$BW$137, LS_current!F$147, FALSE), VLOOKUP($A109, LS_current!$B$4:$BW$137,LS_current!BB$147, FALSE))/2)</f>
        <v>303.87966893877638</v>
      </c>
      <c r="CB109" s="102">
        <f t="array" ref="CB109">IF($BT109=0, INDEX(LS_current!$D$4:$BW$137, MATCH('Staging Table'!$A109, LS_current!$B$4:$B$137, 0), MATCH(CB$4&amp;CB$5, LS_current!$D$2:$BW$2&amp;LS_current!$D$3:$BW$3, 0)),SUM(VLOOKUP($A109, LS_current!$B$4:$BW$137, LS_current!G$147, FALSE), VLOOKUP($A109, LS_current!$B$4:$BW$137,LS_current!BC$147, FALSE))/2)</f>
        <v>383.42137537195049</v>
      </c>
      <c r="CC109" s="102">
        <f t="array" ref="CC109">IF($BT109=0, INDEX(LS_current!$D$4:$BW$137, MATCH('Staging Table'!$A109, LS_current!$B$4:$B$137, 0), MATCH(CC$4&amp;CC$5, LS_current!$D$2:$BW$2&amp;LS_current!$D$3:$BW$3, 0)),SUM(VLOOKUP($A109, LS_current!$B$4:$BW$137, LS_current!H$147, FALSE), VLOOKUP($A109, LS_current!$B$4:$BW$137,LS_current!BD$147, FALSE))/2)</f>
        <v>1426.1279350834866</v>
      </c>
      <c r="CD109" s="102">
        <f t="array" ref="CD109">IF($BT109=0, INDEX(LS_current!$D$4:$BW$137, MATCH('Staging Table'!$A109, LS_current!$B$4:$B$137, 0), MATCH(CD$4&amp;CD$5, LS_current!$D$2:$BW$2&amp;LS_current!$D$3:$BW$3, 0)),SUM(VLOOKUP($A109, LS_current!$B$4:$BW$137, LS_current!I$147, FALSE), VLOOKUP($A109, LS_current!$B$4:$BW$137,LS_current!BE$147, FALSE))/2)</f>
        <v>1457.9439299730193</v>
      </c>
      <c r="CE109" s="102">
        <f t="array" ref="CE109">IF($BT109=0, INDEX(LS_current!$D$4:$BW$137, MATCH('Staging Table'!$A109, LS_current!$B$4:$B$137, 0), MATCH(CE$4&amp;CE$5, LS_current!$D$2:$BW$2&amp;LS_current!$D$3:$BW$3, 0)),SUM(VLOOKUP($A109, LS_current!$B$4:$BW$137, LS_current!J$147, FALSE), VLOOKUP($A109, LS_current!$B$4:$BW$137,LS_current!BF$147, FALSE))/2)</f>
        <v>830.56775013519109</v>
      </c>
      <c r="CF109" s="102">
        <f t="array" ref="CF109">IF($BT109=0, INDEX(LS_current!$D$4:$BW$137, MATCH('Staging Table'!$A109, LS_current!$B$4:$B$137, 0), MATCH(CF$4&amp;CF$5, LS_current!$D$2:$BW$2&amp;LS_current!$D$3:$BW$3, 0)),SUM(VLOOKUP($A109, LS_current!$B$4:$BW$137, LS_current!K$147, FALSE), VLOOKUP($A109, LS_current!$B$4:$BW$137,LS_current!BG$147, FALSE))/2)</f>
        <v>775.71812291780498</v>
      </c>
      <c r="CG109" s="102">
        <f t="array" ref="CG109">IF($BT109=0, INDEX(LS_current!$D$4:$BW$137, MATCH('Staging Table'!$A109, LS_current!$B$4:$B$137, 0), MATCH(CG$4&amp;CG$5, LS_current!$D$2:$BW$2&amp;LS_current!$D$3:$BW$3, 0)),SUM(VLOOKUP($A109, LS_current!$B$4:$BW$137, LS_current!L$147, FALSE), VLOOKUP($A109, LS_current!$B$4:$BW$137,LS_current!BH$147, FALSE))/2)</f>
        <v>1611.0235361072246</v>
      </c>
      <c r="CH109" s="102">
        <f t="array" ref="CH109">IF($BT109=0, INDEX(LS_current!$D$4:$BW$137, MATCH('Staging Table'!$A109, LS_current!$B$4:$B$137, 0), MATCH(CH$4&amp;CH$5, LS_current!$D$2:$BW$2&amp;LS_current!$D$3:$BW$3, 0)),SUM(VLOOKUP($A109, LS_current!$B$4:$BW$137, LS_current!M$147, FALSE), VLOOKUP($A109, LS_current!$B$4:$BW$137,LS_current!BI$147, FALSE))/2)</f>
        <v>1178.2345995805817</v>
      </c>
      <c r="CI109" s="102">
        <f t="array" ref="CI109">IF($BT109=0, INDEX(LS_current!$D$4:$BW$137, MATCH('Staging Table'!$A109, LS_current!$B$4:$B$137, 0), MATCH(CI$4&amp;CI$5, LS_current!$D$2:$BW$2&amp;LS_current!$D$3:$BW$3, 0)),SUM(VLOOKUP($A109, LS_current!$B$4:$BW$137, LS_current!N$147, FALSE), VLOOKUP($A109, LS_current!$B$4:$BW$137,LS_current!BJ$147, FALSE))/2)</f>
        <v>489.49059749617663</v>
      </c>
      <c r="CJ109" s="102">
        <f t="array" ref="CJ109">IF($BT109=0, INDEX(LS_current!$D$4:$BW$137, MATCH('Staging Table'!$A109, LS_current!$B$4:$B$137, 0), MATCH(CJ$4&amp;CJ$5, LS_current!$D$2:$BW$2&amp;LS_current!$D$3:$BW$3, 0)),SUM(VLOOKUP($A109, LS_current!$B$4:$BW$137, LS_current!O$147, FALSE), VLOOKUP($A109, LS_current!$B$4:$BW$137,LS_current!BK$147, FALSE))/2)</f>
        <v>1088.3921437082781</v>
      </c>
      <c r="CK109" s="102">
        <f t="array" ref="CK109">IF($BT109=0, INDEX(LS_current!$D$4:$BW$137, MATCH('Staging Table'!$A109, LS_current!$B$4:$B$137, 0), MATCH(CK$4&amp;CK$5, LS_current!$D$2:$BW$2&amp;LS_current!$D$3:$BW$3, 0)),SUM(VLOOKUP($A109, LS_current!$B$4:$BW$137, LS_current!P$147, FALSE), VLOOKUP($A109, LS_current!$B$4:$BW$137,LS_current!BL$147, FALSE))/2)</f>
        <v>1397.354208440468</v>
      </c>
      <c r="CL109" s="102">
        <f t="array" ref="CL109">IF($BT109=0, INDEX(LS_current!$D$4:$BW$137, MATCH('Staging Table'!$A109, LS_current!$B$4:$B$137, 0), MATCH(CL$4&amp;CL$5, LS_current!$D$2:$BW$2&amp;LS_current!$D$3:$BW$3, 0)),SUM(VLOOKUP($A109, LS_current!$B$4:$BW$137, LS_current!Q$147, FALSE), VLOOKUP($A109, LS_current!$B$4:$BW$137,LS_current!BM$147, FALSE))/2)</f>
        <v>349.01240817394046</v>
      </c>
      <c r="CM109" s="102">
        <f t="array" ref="CM109">IF($BT109=0, INDEX(LS_current!$D$4:$BW$137, MATCH('Staging Table'!$A109, LS_current!$B$4:$B$137, 0), MATCH(CM$4&amp;CM$5, LS_current!$D$2:$BW$2&amp;LS_current!$D$3:$BW$3, 0)),SUM(VLOOKUP($A109, LS_current!$B$4:$BW$137, LS_current!R$147, FALSE), VLOOKUP($A109, LS_current!$B$4:$BW$137,LS_current!BN$147, FALSE))/2)</f>
        <v>-1991.1367575067752</v>
      </c>
      <c r="CN109" s="102">
        <f t="array" ref="CN109">IF($BT109=0, INDEX(LS_current!$D$4:$BW$137, MATCH('Staging Table'!$A109, LS_current!$B$4:$B$137, 0), MATCH(CN$4&amp;CN$5, LS_current!$D$2:$BW$2&amp;LS_current!$D$3:$BW$3, 0)),SUM(VLOOKUP($A109, LS_current!$B$4:$BW$137, LS_current!S$147, FALSE), VLOOKUP($A109, LS_current!$B$4:$BW$137,LS_current!BO$147, FALSE))/2)</f>
        <v>-1566.7897438276605</v>
      </c>
      <c r="CO109" s="102">
        <f t="array" ref="CO109">IF($BT109=0, INDEX(LS_current!$D$4:$BW$137, MATCH('Staging Table'!$A109, LS_current!$B$4:$B$137, 0), MATCH(CO$4&amp;CO$5, LS_current!$D$2:$BW$2&amp;LS_current!$D$3:$BW$3, 0)),SUM(VLOOKUP($A109, LS_current!$B$4:$BW$137, LS_current!T$147, FALSE), VLOOKUP($A109, LS_current!$B$4:$BW$137,LS_current!BP$147, FALSE))/2)</f>
        <v>-2602.7595588694821</v>
      </c>
      <c r="CP109" s="102">
        <f t="array" ref="CP109">IF($BT109=0, INDEX(LS_current!$D$4:$BW$137, MATCH('Staging Table'!$A109, LS_current!$B$4:$B$137, 0), MATCH(CP$4&amp;CP$5, LS_current!$D$2:$BW$2&amp;LS_current!$D$3:$BW$3, 0)),SUM(VLOOKUP($A109, LS_current!$B$4:$BW$137, LS_current!U$147, FALSE), VLOOKUP($A109, LS_current!$B$4:$BW$137,LS_current!BQ$147, FALSE))/2)</f>
        <v>-1611.2296304023084</v>
      </c>
      <c r="CQ109" s="102">
        <f t="array" ref="CQ109">IF($BT109=0, INDEX(LS_current!$D$4:$BW$137, MATCH('Staging Table'!$A109, LS_current!$B$4:$B$137, 0), MATCH(CQ$4&amp;CQ$5, LS_current!$D$2:$BW$2&amp;LS_current!$D$3:$BW$3, 0)),SUM(VLOOKUP($A109, LS_current!$B$4:$BW$137, LS_current!V$147, FALSE), VLOOKUP($A109, LS_current!$B$4:$BW$137,LS_current!BR$147, FALSE))/2)</f>
        <v>-1205.0530017098308</v>
      </c>
      <c r="CR109" s="102">
        <f t="array" ref="CR109">IF($BT109=0, INDEX(LS_current!$D$4:$BW$137, MATCH('Staging Table'!$A109, LS_current!$B$4:$B$137, 0), MATCH(CR$4&amp;CR$5, LS_current!$D$2:$BW$2&amp;LS_current!$D$3:$BW$3, 0)),SUM(VLOOKUP($A109, LS_current!$B$4:$BW$137, LS_current!W$147, FALSE), VLOOKUP($A109, LS_current!$B$4:$BW$137,LS_current!BS$147, FALSE))/2)</f>
        <v>-988.03348087995437</v>
      </c>
      <c r="CS109" s="102">
        <f t="array" ref="CS109">IF($BT109=0, INDEX(LS_current!$D$4:$BW$137, MATCH('Staging Table'!$A109, LS_current!$B$4:$B$137, 0), MATCH(CS$4&amp;CS$5, LS_current!$D$2:$BW$2&amp;LS_current!$D$3:$BW$3, 0)),SUM(VLOOKUP($A109, LS_current!$B$4:$BW$137, LS_current!X$147, FALSE), VLOOKUP($A109, LS_current!$B$4:$BW$137,LS_current!BT$147, FALSE))/2)</f>
        <v>-1394.6165467138671</v>
      </c>
      <c r="CT109" s="102">
        <f t="array" ref="CT109">IF($BT109=0, INDEX(LS_current!$D$4:$BW$137, MATCH('Staging Table'!$A109, LS_current!$B$4:$B$137, 0), MATCH(CT$4&amp;CT$5, LS_current!$D$2:$BW$2&amp;LS_current!$D$3:$BW$3, 0)),SUM(VLOOKUP($A109, LS_current!$B$4:$BW$137, LS_current!Y$147, FALSE), VLOOKUP($A109, LS_current!$B$4:$BW$137,LS_current!BU$147, FALSE))/2)</f>
        <v>-514.37771088311229</v>
      </c>
      <c r="CU109" s="102">
        <f t="array" ref="CU109">IF($BT109=0, INDEX(LS_current!$D$4:$BW$137, MATCH('Staging Table'!$A109, LS_current!$B$4:$B$137, 0), MATCH(CU$4&amp;CU$5, LS_current!$D$2:$BW$2&amp;LS_current!$D$3:$BW$3, 0)),SUM(VLOOKUP($A109, LS_current!$B$4:$BW$137, LS_current!Z$147, FALSE), VLOOKUP($A109, LS_current!$B$4:$BW$137,LS_current!BV$147, FALSE))/2)</f>
        <v>-65.669515180158669</v>
      </c>
      <c r="CV109" s="102">
        <f t="array" ref="CV109">IF($BT109=0, INDEX(LS_current!$D$4:$BW$137, MATCH('Staging Table'!$A109, LS_current!$B$4:$B$137, 0), MATCH(CV$4&amp;CV$5, LS_current!$D$2:$BW$2&amp;LS_current!$D$3:$BW$3, 0)),SUM(VLOOKUP($A109, LS_current!$B$4:$BW$137, LS_current!AA$147, FALSE), VLOOKUP($A109, LS_current!$B$4:$BW$137,LS_current!BW$147, FALSE))/2)</f>
        <v>-417.01773547781113</v>
      </c>
      <c r="CW109" s="103">
        <f t="array" ref="CW109">INDEX(Demand_current!$D$4:$BW$137, MATCH($A109, Demand_current!$B$4:$B$137, 0), MATCH(CW$4&amp;CW$5,Demand_current!$D$2:$BW$2&amp;Demand_current!$D$3:$BW$3, 0))/1000</f>
        <v>0.10804861111111121</v>
      </c>
      <c r="CX109" s="103">
        <f t="array" ref="CX109">INDEX(Demand_current!$D$4:$BW$137, MATCH($A109, Demand_current!$B$4:$B$137, 0), MATCH(CX$4&amp;CX$5,Demand_current!$D$2:$BW$2&amp;Demand_current!$D$3:$BW$3, 0))/1000</f>
        <v>0</v>
      </c>
      <c r="CY109" s="103">
        <f t="array" ref="CY109">INDEX(Demand_current!$D$4:$BW$137, MATCH($A109, Demand_current!$B$4:$B$137, 0), MATCH(CY$4&amp;CY$5,Demand_current!$D$2:$BW$2&amp;Demand_current!$D$3:$BW$3, 0))/1000</f>
        <v>0.30923317307692377</v>
      </c>
      <c r="CZ109" s="103">
        <f t="array" ref="CZ109">INDEX(Demand_current!$D$4:$BW$137, MATCH($A109, Demand_current!$B$4:$B$137, 0), MATCH(CZ$4&amp;CZ$5,Demand_current!$D$2:$BW$2&amp;Demand_current!$D$3:$BW$3, 0))/1000</f>
        <v>6.9593509615384583</v>
      </c>
      <c r="DA109" s="103">
        <f t="array" ref="DA109">INDEX(Demand_current!$D$4:$BW$137, MATCH($A109, Demand_current!$B$4:$B$137, 0), MATCH(DA$4&amp;DA$5,Demand_current!$D$2:$BW$2&amp;Demand_current!$D$3:$BW$3, 0))/1000</f>
        <v>5.9879869791666636</v>
      </c>
      <c r="DB109" s="103">
        <f t="array" ref="DB109">INDEX(Demand_current!$D$4:$BW$137, MATCH($A109, Demand_current!$B$4:$B$137, 0), MATCH(DB$4&amp;DB$5,Demand_current!$D$2:$BW$2&amp;Demand_current!$D$3:$BW$3, 0))/1000</f>
        <v>3.6638629807692338</v>
      </c>
      <c r="DC109" s="103">
        <f t="array" ref="DC109">INDEX(Demand_current!$D$4:$BW$137, MATCH($A109, Demand_current!$B$4:$B$137, 0), MATCH(DC$4&amp;DC$5,Demand_current!$D$2:$BW$2&amp;Demand_current!$D$3:$BW$3, 0))/1000</f>
        <v>2.5738701923076919</v>
      </c>
      <c r="DD109" s="103">
        <f t="array" ref="DD109">INDEX(Demand_current!$D$4:$BW$137, MATCH($A109, Demand_current!$B$4:$B$137, 0), MATCH(DD$4&amp;DD$5,Demand_current!$D$2:$BW$2&amp;Demand_current!$D$3:$BW$3, 0))/1000</f>
        <v>1.0002874999999989</v>
      </c>
      <c r="DE109" s="103">
        <f t="array" ref="DE109">INDEX(Demand_current!$D$4:$BW$137, MATCH($A109, Demand_current!$B$4:$B$137, 0), MATCH(DE$4&amp;DE$5,Demand_current!$D$2:$BW$2&amp;Demand_current!$D$3:$BW$3, 0))/1000</f>
        <v>2.6707956730769218</v>
      </c>
      <c r="DF109" s="103">
        <f t="array" ref="DF109">INDEX(Demand_current!$D$4:$BW$137, MATCH($A109, Demand_current!$B$4:$B$137, 0), MATCH(DF$4&amp;DF$5,Demand_current!$D$2:$BW$2&amp;Demand_current!$D$3:$BW$3, 0))/1000</f>
        <v>3.5086586538461559</v>
      </c>
      <c r="DG109" s="103">
        <f t="array" ref="DG109">INDEX(Demand_current!$D$4:$BW$137, MATCH($A109, Demand_current!$B$4:$B$137, 0), MATCH(DG$4&amp;DG$5,Demand_current!$D$2:$BW$2&amp;Demand_current!$D$3:$BW$3, 0))/1000</f>
        <v>5.8596322115384591</v>
      </c>
      <c r="DH109" s="103">
        <f t="array" ref="DH109">INDEX(Demand_current!$D$4:$BW$137, MATCH($A109, Demand_current!$B$4:$B$137, 0), MATCH(DH$4&amp;DH$5,Demand_current!$D$2:$BW$2&amp;Demand_current!$D$3:$BW$3, 0))/1000</f>
        <v>1.7077949999999982</v>
      </c>
      <c r="DI109" s="102">
        <f>$BS109*(VLOOKUP(DI$4, Rates_current!$H$6:$R$41, 10, FALSE)+VLOOKUP(DI$4, Rates_current!$H$6:$R$41, 11, FALSE))</f>
        <v>9338.977177045901</v>
      </c>
      <c r="DJ109" s="102">
        <f>$BS109*(VLOOKUP(DJ$4, Rates_current!$H$6:$R$41, 10, FALSE)+VLOOKUP(DJ$4, Rates_current!$H$6:$R$41, 11, FALSE))</f>
        <v>11939.574955689273</v>
      </c>
      <c r="DK109" s="102">
        <f>$BS109*(VLOOKUP(DK$4, Rates_current!$H$6:$R$41, 10, FALSE)+VLOOKUP(DK$4, Rates_current!$H$6:$R$41, 11, FALSE))</f>
        <v>13574.298134943494</v>
      </c>
      <c r="DL109" s="102">
        <f>$BS109*(VLOOKUP(DL$4, Rates_current!$H$6:$R$41, 10, FALSE)+VLOOKUP(DL$4, Rates_current!$H$6:$R$41, 11, FALSE))</f>
        <v>14321.944126947003</v>
      </c>
      <c r="DM109" s="102">
        <f>$BS109*(VLOOKUP(DM$4, Rates_current!$H$6:$R$41, 10, FALSE)+VLOOKUP(DM$4, Rates_current!$H$6:$R$41, 11, FALSE))</f>
        <v>11413.296864312197</v>
      </c>
      <c r="DN109" s="102">
        <f>$BS109*(VLOOKUP(DN$4, Rates_current!$H$6:$R$41, 10, FALSE)+VLOOKUP(DN$4, Rates_current!$H$6:$R$41, 11, FALSE))</f>
        <v>12477.077258795543</v>
      </c>
      <c r="DO109" s="102">
        <f>$BS109*(VLOOKUP(DO$4, Rates_current!$H$6:$R$41, 10, FALSE)+VLOOKUP(DO$4, Rates_current!$H$6:$R$41, 11, FALSE))</f>
        <v>9669.8603833855923</v>
      </c>
      <c r="DP109" s="102">
        <f>$BS109*(VLOOKUP(DP$4, Rates_current!$H$6:$R$41, 10, FALSE)+VLOOKUP(DP$4, Rates_current!$H$6:$R$41, 11, FALSE))</f>
        <v>12514.391501334436</v>
      </c>
      <c r="DQ109" s="102">
        <f>$BS109*(VLOOKUP(DQ$4, Rates_current!$H$6:$R$41, 10, FALSE)+VLOOKUP(DQ$4, Rates_current!$H$6:$R$41, 11, FALSE))</f>
        <v>12781.610189271791</v>
      </c>
      <c r="DR109" s="102">
        <f>$BS109*(VLOOKUP(DR$4, Rates_current!$H$6:$R$41, 10, FALSE)+VLOOKUP(DR$4, Rates_current!$H$6:$R$41, 11, FALSE))</f>
        <v>11376.738482589784</v>
      </c>
      <c r="DS109" s="102">
        <f>$BS109*(VLOOKUP(DS$4, Rates_current!$H$6:$R$41, 10, FALSE)+VLOOKUP(DS$4, Rates_current!$H$6:$R$41, 11, FALSE))</f>
        <v>11670.447257596981</v>
      </c>
      <c r="DT109" s="102">
        <f>$BS109*(VLOOKUP(DT$4, Rates_current!$H$6:$R$41, 10, FALSE)+VLOOKUP(DT$4, Rates_current!$H$6:$R$41, 11, FALSE))</f>
        <v>9063.5012506579715</v>
      </c>
      <c r="DU109" s="261">
        <f>IF(D109=0,IF(C109=0,MAX(0,DW109 - (VLOOKUP($A109,TOCA_current!$A$2:$AV$136,MATCH("RHWM "&amp;Init!$D$1,TOCA_current!$A$2:$AV$2,0),FALSE)*$BS$2)), 0),0)</f>
        <v>3.544272534083575</v>
      </c>
      <c r="DV109" s="262">
        <f>MIN(VLOOKUP($A109,TOCA_current!$A$2:$AV$136,MATCH("TRL - NLSL - Existing Resource "&amp;$BS$1,TOCA_current!$A$2:$AV$2,0),FALSE)*$BS$2, VLOOKUP($A109,TOCA_current!$A$2:$AV$136,MATCH("RHWM "&amp;Init!$D$1,TOCA_current!$A$2:$AV$2,0),FALSE)*$BS$2)</f>
        <v>140142.47999999998</v>
      </c>
      <c r="DW109" s="262">
        <f>SUM(BY109:CV109)+(BS109*RT1SC!$C$4*$BS$2)</f>
        <v>140146.02427253406</v>
      </c>
      <c r="DX109" s="262">
        <f>VLOOKUP($A109,TOCA_current!$A$2:$AV$136,MATCH("Above RHWM Not Served with LS "&amp;$BS$1,TOCA_current!$A$2:$AV$2,0),FALSE)*$BS$2</f>
        <v>12929.76</v>
      </c>
      <c r="DY109" s="262">
        <f t="shared" si="43"/>
        <v>3.544272534083575</v>
      </c>
      <c r="DZ109" s="262">
        <f>(VLOOKUP($A109,TOCA_current!$A$2:$AV$136,MATCH("RHWM "&amp;Init!$D$1,TOCA_current!$A$2:$AV$2,0),FALSE)*$BS$2) - $DV109</f>
        <v>0</v>
      </c>
      <c r="EA109" s="262">
        <f t="shared" si="44"/>
        <v>0</v>
      </c>
      <c r="EB109" s="262">
        <f t="shared" si="45"/>
        <v>0</v>
      </c>
      <c r="EC109" s="262">
        <f t="shared" si="46"/>
        <v>0</v>
      </c>
      <c r="ED109" s="262">
        <f t="shared" si="47"/>
        <v>0</v>
      </c>
    </row>
    <row r="110" spans="1:134">
      <c r="A110" s="2">
        <v>10354</v>
      </c>
      <c r="B110" s="3" t="s">
        <v>112</v>
      </c>
      <c r="C110">
        <f>VLOOKUP(A110, TOCA_current!$A$3:$D$136, 4, FALSE)</f>
        <v>0</v>
      </c>
      <c r="D110">
        <v>0</v>
      </c>
      <c r="E110" s="84">
        <f>VLOOKUP($A110,TOCA_previous!$A$2:$AJ$136,MATCH(E$4,TOCA_previous!$A$2:$AJ$2,0),FALSE)</f>
        <v>0.10354530000000001</v>
      </c>
      <c r="F110" s="85">
        <f>VLOOKUP($A110,TOCA_previous!$A$2:$AJ$136,MATCH(F$4,TOCA_previous!$A$2:$AJ$2,0),FALSE)</f>
        <v>0.10354530000000001</v>
      </c>
      <c r="G110" s="85">
        <f t="shared" si="33"/>
        <v>0</v>
      </c>
      <c r="H110" s="85">
        <f>VLOOKUP($A110,TOCA_previous!$A$2:$AJ$136,MATCH(H$4,TOCA_previous!$A$2:$AJ$2,0),FALSE)</f>
        <v>0</v>
      </c>
      <c r="I110" s="85">
        <f t="shared" si="34"/>
        <v>0</v>
      </c>
      <c r="J110" s="85">
        <f t="shared" si="35"/>
        <v>0</v>
      </c>
      <c r="K110" s="101">
        <f>VLOOKUP(A110, IRD!$A$5:$C$138, 3, FALSE)</f>
        <v>0</v>
      </c>
      <c r="L110" s="102">
        <f t="array" ref="L110">IF($G110=0, INDEX(LS_previous!$D$4:$AY$137, MATCH('Staging Table'!$A110, LS_previous!$B$4:$B$137, 0), MATCH(L$4&amp;L$5, LS_previous!$D$2:$AY$2&amp;LS_previous!$D$3:$AY$3, 0)),SUM(VLOOKUP($A110, LS_previous!$B$4:$AY$137, LS_previous!D$148, FALSE), VLOOKUP('Staging Table'!$A110, LS_previous!$B$4:$AY$137,LS_previous!AB$148, FALSE))/2)</f>
        <v>71025.716559169115</v>
      </c>
      <c r="M110" s="102">
        <f t="array" ref="M110">IF($G110=0, INDEX(LS_previous!$D$4:$AY$137, MATCH('Staging Table'!$A110, LS_previous!$B$4:$B$137, 0), MATCH(M$4&amp;M$5, LS_previous!$D$2:$AY$2&amp;LS_previous!$D$3:$AY$3, 0)),SUM(VLOOKUP($A110, LS_previous!$B$4:$AY$137, LS_previous!E$148, FALSE), VLOOKUP('Staging Table'!$A110, LS_previous!$B$4:$AY$137,LS_previous!AC$148, FALSE))/2)</f>
        <v>19816.082315184845</v>
      </c>
      <c r="N110" s="102">
        <f t="array" ref="N110">IF($G110=0, INDEX(LS_previous!$D$4:$AY$137, MATCH('Staging Table'!$A110, LS_previous!$B$4:$B$137, 0), MATCH(N$4&amp;N$5, LS_previous!$D$2:$AY$2&amp;LS_previous!$D$3:$AY$3, 0)),SUM(VLOOKUP($A110, LS_previous!$B$4:$AY$137, LS_previous!F$148, FALSE), VLOOKUP('Staging Table'!$A110, LS_previous!$B$4:$AY$137,LS_previous!AD$148, FALSE))/2)</f>
        <v>23716.480276041548</v>
      </c>
      <c r="O110" s="102">
        <f t="array" ref="O110">IF($G110=0, INDEX(LS_previous!$D$4:$AY$137, MATCH('Staging Table'!$A110, LS_previous!$B$4:$B$137, 0), MATCH(O$4&amp;O$5, LS_previous!$D$2:$AY$2&amp;LS_previous!$D$3:$AY$3, 0)),SUM(VLOOKUP($A110, LS_previous!$B$4:$AY$137, LS_previous!G$148, FALSE), VLOOKUP('Staging Table'!$A110, LS_previous!$B$4:$AY$137,LS_previous!AE$148, FALSE))/2)</f>
        <v>10812.81238951569</v>
      </c>
      <c r="P110" s="102">
        <f t="array" ref="P110">IF($G110=0, INDEX(LS_previous!$D$4:$AY$137, MATCH('Staging Table'!$A110, LS_previous!$B$4:$B$137, 0), MATCH(P$4&amp;P$5, LS_previous!$D$2:$AY$2&amp;LS_previous!$D$3:$AY$3, 0)),SUM(VLOOKUP($A110, LS_previous!$B$4:$AY$137, LS_previous!H$148, FALSE), VLOOKUP('Staging Table'!$A110, LS_previous!$B$4:$AY$137,LS_previous!AF$148, FALSE))/2)</f>
        <v>49149.648009523284</v>
      </c>
      <c r="Q110" s="102">
        <f t="array" ref="Q110">IF($G110=0, INDEX(LS_previous!$D$4:$AY$137, MATCH('Staging Table'!$A110, LS_previous!$B$4:$B$137, 0), MATCH(Q$4&amp;Q$5, LS_previous!$D$2:$AY$2&amp;LS_previous!$D$3:$AY$3, 0)),SUM(VLOOKUP($A110, LS_previous!$B$4:$AY$137, LS_previous!I$148, FALSE), VLOOKUP('Staging Table'!$A110, LS_previous!$B$4:$AY$137,LS_previous!AG$148, FALSE))/2)</f>
        <v>28904.596949571191</v>
      </c>
      <c r="R110" s="102">
        <f t="array" ref="R110">IF($G110=0, INDEX(LS_previous!$D$4:$AY$137, MATCH('Staging Table'!$A110, LS_previous!$B$4:$B$137, 0), MATCH(R$4&amp;R$5, LS_previous!$D$2:$AY$2&amp;LS_previous!$D$3:$AY$3, 0)),SUM(VLOOKUP($A110, LS_previous!$B$4:$AY$137, LS_previous!J$148, FALSE), VLOOKUP('Staging Table'!$A110, LS_previous!$B$4:$AY$137,LS_previous!AH$148, FALSE))/2)</f>
        <v>44185.880662810523</v>
      </c>
      <c r="S110" s="102">
        <f t="array" ref="S110">IF($G110=0, INDEX(LS_previous!$D$4:$AY$137, MATCH('Staging Table'!$A110, LS_previous!$B$4:$B$137, 0), MATCH(S$4&amp;S$5, LS_previous!$D$2:$AY$2&amp;LS_previous!$D$3:$AY$3, 0)),SUM(VLOOKUP($A110, LS_previous!$B$4:$AY$137, LS_previous!K$148, FALSE), VLOOKUP('Staging Table'!$A110, LS_previous!$B$4:$AY$137,LS_previous!AI$148, FALSE))/2)</f>
        <v>39167.408345786273</v>
      </c>
      <c r="T110" s="102">
        <f t="array" ref="T110">IF($G110=0, INDEX(LS_previous!$D$4:$AY$137, MATCH('Staging Table'!$A110, LS_previous!$B$4:$B$137, 0), MATCH(T$4&amp;T$5, LS_previous!$D$2:$AY$2&amp;LS_previous!$D$3:$AY$3, 0)),SUM(VLOOKUP($A110, LS_previous!$B$4:$AY$137, LS_previous!L$148, FALSE), VLOOKUP('Staging Table'!$A110, LS_previous!$B$4:$AY$137,LS_previous!AJ$148, FALSE))/2)</f>
        <v>36812.036710181274</v>
      </c>
      <c r="U110" s="102">
        <f t="array" ref="U110">IF($G110=0, INDEX(LS_previous!$D$4:$AY$137, MATCH('Staging Table'!$A110, LS_previous!$B$4:$B$137, 0), MATCH(U$4&amp;U$5, LS_previous!$D$2:$AY$2&amp;LS_previous!$D$3:$AY$3, 0)),SUM(VLOOKUP($A110, LS_previous!$B$4:$AY$137, LS_previous!M$148, FALSE), VLOOKUP('Staging Table'!$A110, LS_previous!$B$4:$AY$137,LS_previous!AK$148, FALSE))/2)</f>
        <v>33869.434684757289</v>
      </c>
      <c r="V110" s="102">
        <f t="array" ref="V110">IF($G110=0, INDEX(LS_previous!$D$4:$AY$137, MATCH('Staging Table'!$A110, LS_previous!$B$4:$B$137, 0), MATCH(V$4&amp;V$5, LS_previous!$D$2:$AY$2&amp;LS_previous!$D$3:$AY$3, 0)),SUM(VLOOKUP($A110, LS_previous!$B$4:$AY$137, LS_previous!N$148, FALSE), VLOOKUP('Staging Table'!$A110, LS_previous!$B$4:$AY$137,LS_previous!AL$148, FALSE))/2)</f>
        <v>36463.390468681057</v>
      </c>
      <c r="W110" s="102">
        <f t="array" ref="W110">IF($G110=0, INDEX(LS_previous!$D$4:$AY$137, MATCH('Staging Table'!$A110, LS_previous!$B$4:$B$137, 0), MATCH(W$4&amp;W$5, LS_previous!$D$2:$AY$2&amp;LS_previous!$D$3:$AY$3, 0)),SUM(VLOOKUP($A110, LS_previous!$B$4:$AY$137, LS_previous!O$148, FALSE), VLOOKUP('Staging Table'!$A110, LS_previous!$B$4:$AY$137,LS_previous!AM$148, FALSE))/2)</f>
        <v>4073.6420704566117</v>
      </c>
      <c r="X110" s="102">
        <f t="array" ref="X110">IF($G110=0, INDEX(LS_previous!$D$4:$AY$137, MATCH('Staging Table'!$A110, LS_previous!$B$4:$B$137, 0), MATCH(X$4&amp;X$5, LS_previous!$D$2:$AY$2&amp;LS_previous!$D$3:$AY$3, 0)),SUM(VLOOKUP($A110, LS_previous!$B$4:$AY$137, LS_previous!P$148, FALSE), VLOOKUP('Staging Table'!$A110, LS_previous!$B$4:$AY$137,LS_previous!AN$148, FALSE))/2)</f>
        <v>51131.369956429291</v>
      </c>
      <c r="Y110" s="102">
        <f t="array" ref="Y110">IF($G110=0, INDEX(LS_previous!$D$4:$AY$137, MATCH('Staging Table'!$A110, LS_previous!$B$4:$B$137, 0), MATCH(Y$4&amp;Y$5, LS_previous!$D$2:$AY$2&amp;LS_previous!$D$3:$AY$3, 0)),SUM(VLOOKUP($A110, LS_previous!$B$4:$AY$137, LS_previous!Q$148, FALSE), VLOOKUP('Staging Table'!$A110, LS_previous!$B$4:$AY$137,LS_previous!AO$148, FALSE))/2)</f>
        <v>15887.722039057728</v>
      </c>
      <c r="Z110" s="102">
        <f t="array" ref="Z110">IF($G110=0, INDEX(LS_previous!$D$4:$AY$137, MATCH('Staging Table'!$A110, LS_previous!$B$4:$B$137, 0), MATCH(Z$4&amp;Z$5, LS_previous!$D$2:$AY$2&amp;LS_previous!$D$3:$AY$3, 0)),SUM(VLOOKUP($A110, LS_previous!$B$4:$AY$137, LS_previous!R$148, FALSE), VLOOKUP('Staging Table'!$A110, LS_previous!$B$4:$AY$137,LS_previous!AP$148, FALSE))/2)</f>
        <v>-48431.087071214453</v>
      </c>
      <c r="AA110" s="102">
        <f t="array" ref="AA110">IF($G110=0, INDEX(LS_previous!$D$4:$AY$137, MATCH('Staging Table'!$A110, LS_previous!$B$4:$B$137, 0), MATCH(AA$4&amp;AA$5, LS_previous!$D$2:$AY$2&amp;LS_previous!$D$3:$AY$3, 0)),SUM(VLOOKUP($A110, LS_previous!$B$4:$AY$137, LS_previous!S$148, FALSE), VLOOKUP('Staging Table'!$A110, LS_previous!$B$4:$AY$137,LS_previous!AQ$148, FALSE))/2)</f>
        <v>-34769.979137630056</v>
      </c>
      <c r="AB110" s="102">
        <f t="array" ref="AB110">IF($G110=0, INDEX(LS_previous!$D$4:$AY$137, MATCH('Staging Table'!$A110, LS_previous!$B$4:$B$137, 0), MATCH(AB$4&amp;AB$5, LS_previous!$D$2:$AY$2&amp;LS_previous!$D$3:$AY$3, 0)),SUM(VLOOKUP($A110, LS_previous!$B$4:$AY$137, LS_previous!T$148, FALSE), VLOOKUP('Staging Table'!$A110, LS_previous!$B$4:$AY$137,LS_previous!AR$148, FALSE))/2)</f>
        <v>-64034.288700047822</v>
      </c>
      <c r="AC110" s="102">
        <f t="array" ref="AC110">IF($G110=0, INDEX(LS_previous!$D$4:$AY$137, MATCH('Staging Table'!$A110, LS_previous!$B$4:$B$137, 0), MATCH(AC$4&amp;AC$5, LS_previous!$D$2:$AY$2&amp;LS_previous!$D$3:$AY$3, 0)),SUM(VLOOKUP($A110, LS_previous!$B$4:$AY$137, LS_previous!U$148, FALSE), VLOOKUP('Staging Table'!$A110, LS_previous!$B$4:$AY$137,LS_previous!AS$148, FALSE))/2)</f>
        <v>-42797.318300718849</v>
      </c>
      <c r="AD110" s="102">
        <f t="array" ref="AD110">IF($G110=0, INDEX(LS_previous!$D$4:$AY$137, MATCH('Staging Table'!$A110, LS_previous!$B$4:$B$137, 0), MATCH(AD$4&amp;AD$5, LS_previous!$D$2:$AY$2&amp;LS_previous!$D$3:$AY$3, 0)),SUM(VLOOKUP($A110, LS_previous!$B$4:$AY$137, LS_previous!V$148, FALSE), VLOOKUP('Staging Table'!$A110, LS_previous!$B$4:$AY$137,LS_previous!AT$148, FALSE))/2)</f>
        <v>-1048.1241129092523</v>
      </c>
      <c r="AE110" s="102">
        <f t="array" ref="AE110">IF($G110=0, INDEX(LS_previous!$D$4:$AY$137, MATCH('Staging Table'!$A110, LS_previous!$B$4:$B$137, 0), MATCH(AE$4&amp;AE$5, LS_previous!$D$2:$AY$2&amp;LS_previous!$D$3:$AY$3, 0)),SUM(VLOOKUP($A110, LS_previous!$B$4:$AY$137, LS_previous!W$148, FALSE), VLOOKUP('Staging Table'!$A110, LS_previous!$B$4:$AY$137,LS_previous!AU$148, FALSE))/2)</f>
        <v>6298.5891187242232</v>
      </c>
      <c r="AF110" s="102">
        <f t="array" ref="AF110">IF($G110=0, INDEX(LS_previous!$D$4:$AY$137, MATCH('Staging Table'!$A110, LS_previous!$B$4:$B$137, 0), MATCH(AF$4&amp;AF$5, LS_previous!$D$2:$AY$2&amp;LS_previous!$D$3:$AY$3, 0)),SUM(VLOOKUP($A110, LS_previous!$B$4:$AY$137, LS_previous!X$148, FALSE), VLOOKUP('Staging Table'!$A110, LS_previous!$B$4:$AY$137,LS_previous!AV$148, FALSE))/2)</f>
        <v>18020.53870498098</v>
      </c>
      <c r="AG110" s="102">
        <f t="array" ref="AG110">IF($G110=0, INDEX(LS_previous!$D$4:$AY$137, MATCH('Staging Table'!$A110, LS_previous!$B$4:$B$137, 0), MATCH(AG$4&amp;AG$5, LS_previous!$D$2:$AY$2&amp;LS_previous!$D$3:$AY$3, 0)),SUM(VLOOKUP($A110, LS_previous!$B$4:$AY$137, LS_previous!Y$148, FALSE), VLOOKUP('Staging Table'!$A110, LS_previous!$B$4:$AY$137,LS_previous!AW$148, FALSE))/2)</f>
        <v>7347.9986005077953</v>
      </c>
      <c r="AH110" s="102">
        <f t="array" ref="AH110">IF($G110=0, INDEX(LS_previous!$D$4:$AY$137, MATCH('Staging Table'!$A110, LS_previous!$B$4:$B$137, 0), MATCH(AH$4&amp;AH$5, LS_previous!$D$2:$AY$2&amp;LS_previous!$D$3:$AY$3, 0)),SUM(VLOOKUP($A110, LS_previous!$B$4:$AY$137, LS_previous!Z$148, FALSE), VLOOKUP('Staging Table'!$A110, LS_previous!$B$4:$AY$137,LS_previous!AX$148, FALSE))/2)</f>
        <v>27832.331937187759</v>
      </c>
      <c r="AI110" s="102">
        <f t="array" ref="AI110">IF($G110=0, INDEX(LS_previous!$D$4:$AY$137, MATCH('Staging Table'!$A110, LS_previous!$B$4:$B$137, 0), MATCH(AI$4&amp;AI$5, LS_previous!$D$2:$AY$2&amp;LS_previous!$D$3:$AY$3, 0)),SUM(VLOOKUP($A110, LS_previous!$B$4:$AY$137, LS_previous!AA$148, FALSE), VLOOKUP('Staging Table'!$A110, LS_previous!$B$4:$AY$137,LS_previous!AY$148, FALSE))/2)</f>
        <v>3083.5171155887947</v>
      </c>
      <c r="AJ110" s="103">
        <f t="array" ref="AJ110">INDEX(Demand_previous!$D$4:$AY$137, MATCH('Staging Table'!$A110, Demand_previous!$B$4:$B$137, 0), MATCH(AJ$4&amp;AJ$5,Demand_previous!$D$2:$AY$2&amp;Demand_previous!$D$3:$AY$3, 0))/1000</f>
        <v>146.38518269230764</v>
      </c>
      <c r="AK110" s="103">
        <f t="array" ref="AK110">INDEX(Demand_previous!$D$4:$AY$137, MATCH('Staging Table'!$A110, Demand_previous!$B$4:$B$137, 0), MATCH(AK$4&amp;AK$5,Demand_previous!$D$2:$AY$2&amp;Demand_previous!$D$3:$AY$3, 0))/1000</f>
        <v>179.96099999999987</v>
      </c>
      <c r="AL110" s="103">
        <f t="array" ref="AL110">INDEX(Demand_previous!$D$4:$AY$137, MATCH('Staging Table'!$A110, Demand_previous!$B$4:$B$137, 0), MATCH(AL$4&amp;AL$5,Demand_previous!$D$2:$AY$2&amp;Demand_previous!$D$3:$AY$3, 0))/1000</f>
        <v>230.19749999999993</v>
      </c>
      <c r="AM110" s="103">
        <f t="array" ref="AM110">INDEX(Demand_previous!$D$4:$AY$137, MATCH('Staging Table'!$A110, Demand_previous!$B$4:$B$137, 0), MATCH(AM$4&amp;AM$5,Demand_previous!$D$2:$AY$2&amp;Demand_previous!$D$3:$AY$3, 0))/1000</f>
        <v>278.02032692307682</v>
      </c>
      <c r="AN110" s="103">
        <f t="array" ref="AN110">INDEX(Demand_previous!$D$4:$AY$137, MATCH('Staging Table'!$A110, Demand_previous!$B$4:$B$137, 0), MATCH(AN$4&amp;AN$5,Demand_previous!$D$2:$AY$2&amp;Demand_previous!$D$3:$AY$3, 0))/1000</f>
        <v>339.06525000000011</v>
      </c>
      <c r="AO110" s="103">
        <f t="array" ref="AO110">INDEX(Demand_previous!$D$4:$AY$137, MATCH('Staging Table'!$A110, Demand_previous!$B$4:$B$137, 0), MATCH(AO$4&amp;AO$5,Demand_previous!$D$2:$AY$2&amp;Demand_previous!$D$3:$AY$3, 0))/1000</f>
        <v>245.04324038461533</v>
      </c>
      <c r="AP110" s="103">
        <f t="array" ref="AP110">INDEX(Demand_previous!$D$4:$AY$137, MATCH('Staging Table'!$A110, Demand_previous!$B$4:$B$137, 0), MATCH(AP$4&amp;AP$5,Demand_previous!$D$2:$AY$2&amp;Demand_previous!$D$3:$AY$3, 0))/1000</f>
        <v>221.71891346153836</v>
      </c>
      <c r="AQ110" s="103">
        <f t="array" ref="AQ110">INDEX(Demand_previous!$D$4:$AY$137, MATCH('Staging Table'!$A110, Demand_previous!$B$4:$B$137, 0), MATCH(AQ$4&amp;AQ$5,Demand_previous!$D$2:$AY$2&amp;Demand_previous!$D$3:$AY$3, 0))/1000</f>
        <v>181.56608653846155</v>
      </c>
      <c r="AR110" s="103">
        <f t="array" ref="AR110">INDEX(Demand_previous!$D$4:$AY$137, MATCH('Staging Table'!$A110, Demand_previous!$B$4:$B$137, 0), MATCH(AR$4&amp;AR$5,Demand_previous!$D$2:$AY$2&amp;Demand_previous!$D$3:$AY$3, 0))/1000</f>
        <v>175.24</v>
      </c>
      <c r="AS110" s="103">
        <f t="array" ref="AS110">INDEX(Demand_previous!$D$4:$AY$137, MATCH('Staging Table'!$A110, Demand_previous!$B$4:$B$137, 0), MATCH(AS$4&amp;AS$5,Demand_previous!$D$2:$AY$2&amp;Demand_previous!$D$3:$AY$3, 0))/1000</f>
        <v>296.78017307692312</v>
      </c>
      <c r="AT110" s="103">
        <f t="array" ref="AT110">INDEX(Demand_previous!$D$4:$AY$137, MATCH('Staging Table'!$A110, Demand_previous!$B$4:$B$137, 0), MATCH(AT$4&amp;AT$5,Demand_previous!$D$2:$AY$2&amp;Demand_previous!$D$3:$AY$3, 0))/1000</f>
        <v>338.36826851851856</v>
      </c>
      <c r="AU110" s="103">
        <f t="array" ref="AU110">INDEX(Demand_previous!$D$4:$AY$137, MATCH('Staging Table'!$A110, Demand_previous!$B$4:$B$137, 0), MATCH(AU$4&amp;AU$5,Demand_previous!$D$2:$AY$2&amp;Demand_previous!$D$3:$AY$3, 0))/1000</f>
        <v>135.20340624999997</v>
      </c>
      <c r="AV110" s="102">
        <f>$F110*(VLOOKUP(AV$4, Rates_previous!$G$6:$Q$29, 10, FALSE)+VLOOKUP(AV$4, Rates_previous!$G$6:$Q$29, 11, FALSE))</f>
        <v>436837.30112564599</v>
      </c>
      <c r="AW110" s="102">
        <f>$F110*(VLOOKUP(AW$4, Rates_previous!$G$6:$Q$29, 10, FALSE)+VLOOKUP(AW$4, Rates_previous!$G$6:$Q$29, 11, FALSE))</f>
        <v>557111.60733444279</v>
      </c>
      <c r="AX110" s="102">
        <f>$F110*(VLOOKUP(AX$4, Rates_previous!$G$6:$Q$29, 10, FALSE)+VLOOKUP(AX$4, Rates_previous!$G$6:$Q$29, 11, FALSE))</f>
        <v>601233.65504090558</v>
      </c>
      <c r="AY110" s="102">
        <f>$F110*(VLOOKUP(AY$4, Rates_previous!$G$6:$Q$29, 10, FALSE)+VLOOKUP(AY$4, Rates_previous!$G$6:$Q$29, 11, FALSE))</f>
        <v>624774.7109914032</v>
      </c>
      <c r="AZ110" s="102">
        <f>$F110*(VLOOKUP(AZ$4, Rates_previous!$G$6:$Q$29, 10, FALSE)+VLOOKUP(AZ$4, Rates_previous!$G$6:$Q$29, 11, FALSE))</f>
        <v>537389.52860506135</v>
      </c>
      <c r="BA110" s="102">
        <f>$F110*(VLOOKUP(BA$4, Rates_previous!$G$6:$Q$29, 10, FALSE)+VLOOKUP(BA$4, Rates_previous!$G$6:$Q$29, 11, FALSE))</f>
        <v>586722.96746086236</v>
      </c>
      <c r="BB110" s="102">
        <f>$F110*(VLOOKUP(BB$4, Rates_previous!$G$6:$Q$29, 10, FALSE)+VLOOKUP(BB$4, Rates_previous!$G$6:$Q$29, 11, FALSE))</f>
        <v>463118.90800451301</v>
      </c>
      <c r="BC110" s="102">
        <f>$F110*(VLOOKUP(BC$4, Rates_previous!$G$6:$Q$29, 10, FALSE)+VLOOKUP(BC$4, Rates_previous!$G$6:$Q$29, 11, FALSE))</f>
        <v>574561.06620884454</v>
      </c>
      <c r="BD110" s="102">
        <f>$F110*(VLOOKUP(BD$4, Rates_previous!$G$6:$Q$29, 10, FALSE)+VLOOKUP(BD$4, Rates_previous!$G$6:$Q$29, 11, FALSE))</f>
        <v>587027.60700076667</v>
      </c>
      <c r="BE110" s="102">
        <f>$F110*(VLOOKUP(BE$4, Rates_previous!$G$6:$Q$29, 10, FALSE)+VLOOKUP(BE$4, Rates_previous!$G$6:$Q$29, 11, FALSE))</f>
        <v>509624.53499418497</v>
      </c>
      <c r="BF110" s="102">
        <f>$F110*(VLOOKUP(BF$4, Rates_previous!$G$6:$Q$29, 10, FALSE)+VLOOKUP(BF$4, Rates_previous!$G$6:$Q$29, 11, FALSE))</f>
        <v>492671.46269451122</v>
      </c>
      <c r="BG110" s="102">
        <f>$F110*(VLOOKUP(BG$4, Rates_previous!$G$6:$Q$29, 10, FALSE)+VLOOKUP(BG$4, Rates_previous!$G$6:$Q$29, 11, FALSE))</f>
        <v>453353.15094722348</v>
      </c>
      <c r="BH110" s="103">
        <f>IF($D110=0,IF(C110=0, MAX(BJ110 - (VLOOKUP($A110,TOCA_previous!$A$2:$AJ$136,MATCH("RHWM "&amp;Init!$D$1-2,TOCA_previous!$A$2:$AJ$2,0),FALSE)*$F$2*TOCA_previous!C107),0),0), 0)</f>
        <v>0</v>
      </c>
      <c r="BI110" s="109">
        <f>MIN(VLOOKUP($A110,TOCA_previous!$A$2:$AJ$136,MATCH("TRL - NLSL - Existing Resource "&amp;$F$1,TOCA_previous!$A$2:$AJ$2,0),FALSE)*$F$2,(VLOOKUP($A110,TOCA_previous!$A$2:$AJ$136,MATCH("RHWM "&amp;Init!$D$1-2,TOCA_previous!$A$2:$AJ$2,0),FALSE)*$F$2))</f>
        <v>6282641.8079999993</v>
      </c>
      <c r="BJ110" s="261">
        <f>SUM(L110:AI110)+(F110*RT1SC!$C$3*$F$2)</f>
        <v>6760944.9294482833</v>
      </c>
      <c r="BK110" s="260">
        <f>VLOOKUP($A110,TOCA_previous!$A$2:$AJ$136,MATCH("Above RHWM Not Served with LS "&amp;$F$1,TOCA_previous!$A$2:$AJ$2,0),FALSE)*$F$2</f>
        <v>0</v>
      </c>
      <c r="BL110" s="261">
        <f t="shared" si="36"/>
        <v>478303.12144828402</v>
      </c>
      <c r="BM110" s="260">
        <f>(VLOOKUP($A110,TOCA_previous!$A$2:$AJ$136,MATCH("RHWM "&amp;Init!$D$1-2,TOCA_previous!$A$2:$AJ$2,0),FALSE)*$F$2) - $BI110</f>
        <v>736389.07200000156</v>
      </c>
      <c r="BN110" s="261">
        <f t="shared" si="37"/>
        <v>-478303.12144828402</v>
      </c>
      <c r="BO110" s="260">
        <f t="shared" si="38"/>
        <v>0</v>
      </c>
      <c r="BP110" s="261">
        <f t="shared" si="39"/>
        <v>0</v>
      </c>
      <c r="BQ110" s="260">
        <f t="shared" si="9"/>
        <v>-478303.12144828402</v>
      </c>
      <c r="BR110" s="85">
        <f>VLOOKUP($A110,TOCA_current!$A$2:$ZZ$136,MATCH(BR$4,TOCA_current!$A$2:$ZZ$2,0),FALSE)</f>
        <v>0.1085578</v>
      </c>
      <c r="BS110" s="85">
        <f>VLOOKUP($A110,TOCA_current!$A$2:$ZZ$136,MATCH(BS$4,TOCA_current!$A$2:$ZZ$2,0),FALSE)</f>
        <v>0.1085578</v>
      </c>
      <c r="BT110" s="108">
        <f t="shared" si="40"/>
        <v>0</v>
      </c>
      <c r="BU110" s="85">
        <f>VLOOKUP($A110,TOCA_current!A107:BG241,MATCH(BU$4,TOCA_current!$A$2:$BG$2,0),FALSE)</f>
        <v>0</v>
      </c>
      <c r="BV110" s="85">
        <f t="shared" si="41"/>
        <v>0</v>
      </c>
      <c r="BW110" s="85">
        <f t="shared" si="42"/>
        <v>0</v>
      </c>
      <c r="BX110" s="101">
        <f>VLOOKUP($A110,IRD!$A$4:$G$138, 7, FALSE)</f>
        <v>0</v>
      </c>
      <c r="BY110" s="102">
        <f t="array" ref="BY110">IF($BT110=0, INDEX(LS_current!$D$4:$BW$137, MATCH('Staging Table'!$A110, LS_current!$B$4:$B$137, 0), MATCH(BY$4&amp;BY$5, LS_current!$D$2:$BW$2&amp;LS_current!$D$3:$BW$3, 0)),SUM(VLOOKUP($A110, LS_current!$B$4:$BW$137, LS_current!D$147, FALSE), VLOOKUP($A110, LS_current!$B$4:$BW$137,LS_current!AZ$147, FALSE))/2)</f>
        <v>54584.190221521363</v>
      </c>
      <c r="BZ110" s="102">
        <f t="array" ref="BZ110">IF($BT110=0, INDEX(LS_current!$D$4:$BW$137, MATCH('Staging Table'!$A110, LS_current!$B$4:$B$137, 0), MATCH(BZ$4&amp;BZ$5, LS_current!$D$2:$BW$2&amp;LS_current!$D$3:$BW$3, 0)),SUM(VLOOKUP($A110, LS_current!$B$4:$BW$137, LS_current!E$147, FALSE), VLOOKUP($A110, LS_current!$B$4:$BW$137,LS_current!BA$147, FALSE))/2)</f>
        <v>22548.81761319848</v>
      </c>
      <c r="CA110" s="102">
        <f t="array" ref="CA110">IF($BT110=0, INDEX(LS_current!$D$4:$BW$137, MATCH('Staging Table'!$A110, LS_current!$B$4:$B$137, 0), MATCH(CA$4&amp;CA$5, LS_current!$D$2:$BW$2&amp;LS_current!$D$3:$BW$3, 0)),SUM(VLOOKUP($A110, LS_current!$B$4:$BW$137, LS_current!F$147, FALSE), VLOOKUP($A110, LS_current!$B$4:$BW$137,LS_current!BB$147, FALSE))/2)</f>
        <v>13746.002624887507</v>
      </c>
      <c r="CB110" s="102">
        <f t="array" ref="CB110">IF($BT110=0, INDEX(LS_current!$D$4:$BW$137, MATCH('Staging Table'!$A110, LS_current!$B$4:$B$137, 0), MATCH(CB$4&amp;CB$5, LS_current!$D$2:$BW$2&amp;LS_current!$D$3:$BW$3, 0)),SUM(VLOOKUP($A110, LS_current!$B$4:$BW$137, LS_current!G$147, FALSE), VLOOKUP($A110, LS_current!$B$4:$BW$137,LS_current!BC$147, FALSE))/2)</f>
        <v>1886.546950827993</v>
      </c>
      <c r="CC110" s="102">
        <f t="array" ref="CC110">IF($BT110=0, INDEX(LS_current!$D$4:$BW$137, MATCH('Staging Table'!$A110, LS_current!$B$4:$B$137, 0), MATCH(CC$4&amp;CC$5, LS_current!$D$2:$BW$2&amp;LS_current!$D$3:$BW$3, 0)),SUM(VLOOKUP($A110, LS_current!$B$4:$BW$137, LS_current!H$147, FALSE), VLOOKUP($A110, LS_current!$B$4:$BW$137,LS_current!BD$147, FALSE))/2)</f>
        <v>-6102.5968883627793</v>
      </c>
      <c r="CD110" s="102">
        <f t="array" ref="CD110">IF($BT110=0, INDEX(LS_current!$D$4:$BW$137, MATCH('Staging Table'!$A110, LS_current!$B$4:$B$137, 0), MATCH(CD$4&amp;CD$5, LS_current!$D$2:$BW$2&amp;LS_current!$D$3:$BW$3, 0)),SUM(VLOOKUP($A110, LS_current!$B$4:$BW$137, LS_current!I$147, FALSE), VLOOKUP($A110, LS_current!$B$4:$BW$137,LS_current!BE$147, FALSE))/2)</f>
        <v>30517.17803956315</v>
      </c>
      <c r="CE110" s="102">
        <f t="array" ref="CE110">IF($BT110=0, INDEX(LS_current!$D$4:$BW$137, MATCH('Staging Table'!$A110, LS_current!$B$4:$B$137, 0), MATCH(CE$4&amp;CE$5, LS_current!$D$2:$BW$2&amp;LS_current!$D$3:$BW$3, 0)),SUM(VLOOKUP($A110, LS_current!$B$4:$BW$137, LS_current!J$147, FALSE), VLOOKUP($A110, LS_current!$B$4:$BW$137,LS_current!BF$147, FALSE))/2)</f>
        <v>-4507.4769536813837</v>
      </c>
      <c r="CF110" s="102">
        <f t="array" ref="CF110">IF($BT110=0, INDEX(LS_current!$D$4:$BW$137, MATCH('Staging Table'!$A110, LS_current!$B$4:$B$137, 0), MATCH(CF$4&amp;CF$5, LS_current!$D$2:$BW$2&amp;LS_current!$D$3:$BW$3, 0)),SUM(VLOOKUP($A110, LS_current!$B$4:$BW$137, LS_current!K$147, FALSE), VLOOKUP($A110, LS_current!$B$4:$BW$137,LS_current!BG$147, FALSE))/2)</f>
        <v>21693.006886892952</v>
      </c>
      <c r="CG110" s="102">
        <f t="array" ref="CG110">IF($BT110=0, INDEX(LS_current!$D$4:$BW$137, MATCH('Staging Table'!$A110, LS_current!$B$4:$B$137, 0), MATCH(CG$4&amp;CG$5, LS_current!$D$2:$BW$2&amp;LS_current!$D$3:$BW$3, 0)),SUM(VLOOKUP($A110, LS_current!$B$4:$BW$137, LS_current!L$147, FALSE), VLOOKUP($A110, LS_current!$B$4:$BW$137,LS_current!BH$147, FALSE))/2)</f>
        <v>28125.509013519099</v>
      </c>
      <c r="CH110" s="102">
        <f t="array" ref="CH110">IF($BT110=0, INDEX(LS_current!$D$4:$BW$137, MATCH('Staging Table'!$A110, LS_current!$B$4:$B$137, 0), MATCH(CH$4&amp;CH$5, LS_current!$D$2:$BW$2&amp;LS_current!$D$3:$BW$3, 0)),SUM(VLOOKUP($A110, LS_current!$B$4:$BW$137, LS_current!M$147, FALSE), VLOOKUP($A110, LS_current!$B$4:$BW$137,LS_current!BI$147, FALSE))/2)</f>
        <v>29326.702284751955</v>
      </c>
      <c r="CI110" s="102">
        <f t="array" ref="CI110">IF($BT110=0, INDEX(LS_current!$D$4:$BW$137, MATCH('Staging Table'!$A110, LS_current!$B$4:$B$137, 0), MATCH(CI$4&amp;CI$5, LS_current!$D$2:$BW$2&amp;LS_current!$D$3:$BW$3, 0)),SUM(VLOOKUP($A110, LS_current!$B$4:$BW$137, LS_current!N$147, FALSE), VLOOKUP($A110, LS_current!$B$4:$BW$137,LS_current!BJ$147, FALSE))/2)</f>
        <v>2204.0441969027161</v>
      </c>
      <c r="CJ110" s="102">
        <f t="array" ref="CJ110">IF($BT110=0, INDEX(LS_current!$D$4:$BW$137, MATCH('Staging Table'!$A110, LS_current!$B$4:$B$137, 0), MATCH(CJ$4&amp;CJ$5, LS_current!$D$2:$BW$2&amp;LS_current!$D$3:$BW$3, 0)),SUM(VLOOKUP($A110, LS_current!$B$4:$BW$137, LS_current!O$147, FALSE), VLOOKUP($A110, LS_current!$B$4:$BW$137,LS_current!BK$147, FALSE))/2)</f>
        <v>23116.547019489197</v>
      </c>
      <c r="CK110" s="102">
        <f t="array" ref="CK110">IF($BT110=0, INDEX(LS_current!$D$4:$BW$137, MATCH('Staging Table'!$A110, LS_current!$B$4:$B$137, 0), MATCH(CK$4&amp;CK$5, LS_current!$D$2:$BW$2&amp;LS_current!$D$3:$BW$3, 0)),SUM(VLOOKUP($A110, LS_current!$B$4:$BW$137, LS_current!P$147, FALSE), VLOOKUP($A110, LS_current!$B$4:$BW$137,LS_current!BL$147, FALSE))/2)</f>
        <v>45789.291923846176</v>
      </c>
      <c r="CL110" s="102">
        <f t="array" ref="CL110">IF($BT110=0, INDEX(LS_current!$D$4:$BW$137, MATCH('Staging Table'!$A110, LS_current!$B$4:$B$137, 0), MATCH(CL$4&amp;CL$5, LS_current!$D$2:$BW$2&amp;LS_current!$D$3:$BW$3, 0)),SUM(VLOOKUP($A110, LS_current!$B$4:$BW$137, LS_current!Q$147, FALSE), VLOOKUP($A110, LS_current!$B$4:$BW$137,LS_current!BM$147, FALSE))/2)</f>
        <v>17839.611316978495</v>
      </c>
      <c r="CM110" s="102">
        <f t="array" ref="CM110">IF($BT110=0, INDEX(LS_current!$D$4:$BW$137, MATCH('Staging Table'!$A110, LS_current!$B$4:$B$137, 0), MATCH(CM$4&amp;CM$5, LS_current!$D$2:$BW$2&amp;LS_current!$D$3:$BW$3, 0)),SUM(VLOOKUP($A110, LS_current!$B$4:$BW$137, LS_current!R$147, FALSE), VLOOKUP($A110, LS_current!$B$4:$BW$137,LS_current!BN$147, FALSE))/2)</f>
        <v>-64876.874432081182</v>
      </c>
      <c r="CN110" s="102">
        <f t="array" ref="CN110">IF($BT110=0, INDEX(LS_current!$D$4:$BW$137, MATCH('Staging Table'!$A110, LS_current!$B$4:$B$137, 0), MATCH(CN$4&amp;CN$5, LS_current!$D$2:$BW$2&amp;LS_current!$D$3:$BW$3, 0)),SUM(VLOOKUP($A110, LS_current!$B$4:$BW$137, LS_current!S$147, FALSE), VLOOKUP($A110, LS_current!$B$4:$BW$137,LS_current!BO$147, FALSE))/2)</f>
        <v>-47502.708593233663</v>
      </c>
      <c r="CO110" s="102">
        <f t="array" ref="CO110">IF($BT110=0, INDEX(LS_current!$D$4:$BW$137, MATCH('Staging Table'!$A110, LS_current!$B$4:$B$137, 0), MATCH(CO$4&amp;CO$5, LS_current!$D$2:$BW$2&amp;LS_current!$D$3:$BW$3, 0)),SUM(VLOOKUP($A110, LS_current!$B$4:$BW$137, LS_current!T$147, FALSE), VLOOKUP($A110, LS_current!$B$4:$BW$137,LS_current!BP$147, FALSE))/2)</f>
        <v>-97297.621677735995</v>
      </c>
      <c r="CP110" s="102">
        <f t="array" ref="CP110">IF($BT110=0, INDEX(LS_current!$D$4:$BW$137, MATCH('Staging Table'!$A110, LS_current!$B$4:$B$137, 0), MATCH(CP$4&amp;CP$5, LS_current!$D$2:$BW$2&amp;LS_current!$D$3:$BW$3, 0)),SUM(VLOOKUP($A110, LS_current!$B$4:$BW$137, LS_current!U$147, FALSE), VLOOKUP($A110, LS_current!$B$4:$BW$137,LS_current!BQ$147, FALSE))/2)</f>
        <v>-39137.558930622909</v>
      </c>
      <c r="CQ110" s="102">
        <f t="array" ref="CQ110">IF($BT110=0, INDEX(LS_current!$D$4:$BW$137, MATCH('Staging Table'!$A110, LS_current!$B$4:$B$137, 0), MATCH(CQ$4&amp;CQ$5, LS_current!$D$2:$BW$2&amp;LS_current!$D$3:$BW$3, 0)),SUM(VLOOKUP($A110, LS_current!$B$4:$BW$137, LS_current!V$147, FALSE), VLOOKUP($A110, LS_current!$B$4:$BW$137,LS_current!BR$147, FALSE))/2)</f>
        <v>-31255.190112085838</v>
      </c>
      <c r="CR110" s="102">
        <f t="array" ref="CR110">IF($BT110=0, INDEX(LS_current!$D$4:$BW$137, MATCH('Staging Table'!$A110, LS_current!$B$4:$B$137, 0), MATCH(CR$4&amp;CR$5, LS_current!$D$2:$BW$2&amp;LS_current!$D$3:$BW$3, 0)),SUM(VLOOKUP($A110, LS_current!$B$4:$BW$137, LS_current!W$147, FALSE), VLOOKUP($A110, LS_current!$B$4:$BW$137,LS_current!BS$147, FALSE))/2)</f>
        <v>-2724.8898120477679</v>
      </c>
      <c r="CS110" s="102">
        <f t="array" ref="CS110">IF($BT110=0, INDEX(LS_current!$D$4:$BW$137, MATCH('Staging Table'!$A110, LS_current!$B$4:$B$137, 0), MATCH(CS$4&amp;CS$5, LS_current!$D$2:$BW$2&amp;LS_current!$D$3:$BW$3, 0)),SUM(VLOOKUP($A110, LS_current!$B$4:$BW$137, LS_current!X$147, FALSE), VLOOKUP($A110, LS_current!$B$4:$BW$137,LS_current!BT$147, FALSE))/2)</f>
        <v>-43699.099481937068</v>
      </c>
      <c r="CT110" s="102">
        <f t="array" ref="CT110">IF($BT110=0, INDEX(LS_current!$D$4:$BW$137, MATCH('Staging Table'!$A110, LS_current!$B$4:$B$137, 0), MATCH(CT$4&amp;CT$5, LS_current!$D$2:$BW$2&amp;LS_current!$D$3:$BW$3, 0)),SUM(VLOOKUP($A110, LS_current!$B$4:$BW$137, LS_current!Y$147, FALSE), VLOOKUP($A110, LS_current!$B$4:$BW$137,LS_current!BU$147, FALSE))/2)</f>
        <v>-1285.5557934879907</v>
      </c>
      <c r="CU110" s="102">
        <f t="array" ref="CU110">IF($BT110=0, INDEX(LS_current!$D$4:$BW$137, MATCH('Staging Table'!$A110, LS_current!$B$4:$B$137, 0), MATCH(CU$4&amp;CU$5, LS_current!$D$2:$BW$2&amp;LS_current!$D$3:$BW$3, 0)),SUM(VLOOKUP($A110, LS_current!$B$4:$BW$137, LS_current!Z$147, FALSE), VLOOKUP($A110, LS_current!$B$4:$BW$137,LS_current!BV$147, FALSE))/2)</f>
        <v>26437.665481012955</v>
      </c>
      <c r="CV110" s="102">
        <f t="array" ref="CV110">IF($BT110=0, INDEX(LS_current!$D$4:$BW$137, MATCH('Staging Table'!$A110, LS_current!$B$4:$B$137, 0), MATCH(CV$4&amp;CV$5, LS_current!$D$2:$BW$2&amp;LS_current!$D$3:$BW$3, 0)),SUM(VLOOKUP($A110, LS_current!$B$4:$BW$137, LS_current!AA$147, FALSE), VLOOKUP($A110, LS_current!$B$4:$BW$137,LS_current!BW$147, FALSE))/2)</f>
        <v>20575.199033840065</v>
      </c>
      <c r="CW110" s="103">
        <f t="array" ref="CW110">INDEX(Demand_current!$D$4:$BW$137, MATCH($A110, Demand_current!$B$4:$B$137, 0), MATCH(CW$4&amp;CW$5,Demand_current!$D$2:$BW$2&amp;Demand_current!$D$3:$BW$3, 0))/1000</f>
        <v>177.17910185185184</v>
      </c>
      <c r="CX110" s="103">
        <f t="array" ref="CX110">INDEX(Demand_current!$D$4:$BW$137, MATCH($A110, Demand_current!$B$4:$B$137, 0), MATCH(CX$4&amp;CX$5,Demand_current!$D$2:$BW$2&amp;Demand_current!$D$3:$BW$3, 0))/1000</f>
        <v>140.55758333333321</v>
      </c>
      <c r="CY110" s="103">
        <f t="array" ref="CY110">INDEX(Demand_current!$D$4:$BW$137, MATCH($A110, Demand_current!$B$4:$B$137, 0), MATCH(CY$4&amp;CY$5,Demand_current!$D$2:$BW$2&amp;Demand_current!$D$3:$BW$3, 0))/1000</f>
        <v>272.28551923076924</v>
      </c>
      <c r="CZ110" s="103">
        <f t="array" ref="CZ110">INDEX(Demand_current!$D$4:$BW$137, MATCH($A110, Demand_current!$B$4:$B$137, 0), MATCH(CZ$4&amp;CZ$5,Demand_current!$D$2:$BW$2&amp;Demand_current!$D$3:$BW$3, 0))/1000</f>
        <v>278.02032692307682</v>
      </c>
      <c r="DA110" s="103">
        <f t="array" ref="DA110">INDEX(Demand_current!$D$4:$BW$137, MATCH($A110, Demand_current!$B$4:$B$137, 0), MATCH(DA$4&amp;DA$5,Demand_current!$D$2:$BW$2&amp;Demand_current!$D$3:$BW$3, 0))/1000</f>
        <v>298.20117708333339</v>
      </c>
      <c r="DB110" s="103">
        <f t="array" ref="DB110">INDEX(Demand_current!$D$4:$BW$137, MATCH($A110, Demand_current!$B$4:$B$137, 0), MATCH(DB$4&amp;DB$5,Demand_current!$D$2:$BW$2&amp;Demand_current!$D$3:$BW$3, 0))/1000</f>
        <v>245.04324038461533</v>
      </c>
      <c r="DC110" s="103">
        <f t="array" ref="DC110">INDEX(Demand_current!$D$4:$BW$137, MATCH($A110, Demand_current!$B$4:$B$137, 0), MATCH(DC$4&amp;DC$5,Demand_current!$D$2:$BW$2&amp;Demand_current!$D$3:$BW$3, 0))/1000</f>
        <v>221.71891346153836</v>
      </c>
      <c r="DD110" s="103">
        <f t="array" ref="DD110">INDEX(Demand_current!$D$4:$BW$137, MATCH($A110, Demand_current!$B$4:$B$137, 0), MATCH(DD$4&amp;DD$5,Demand_current!$D$2:$BW$2&amp;Demand_current!$D$3:$BW$3, 0))/1000</f>
        <v>151.61525</v>
      </c>
      <c r="DE110" s="103">
        <f t="array" ref="DE110">INDEX(Demand_current!$D$4:$BW$137, MATCH($A110, Demand_current!$B$4:$B$137, 0), MATCH(DE$4&amp;DE$5,Demand_current!$D$2:$BW$2&amp;Demand_current!$D$3:$BW$3, 0))/1000</f>
        <v>205.38642307692319</v>
      </c>
      <c r="DF110" s="103">
        <f t="array" ref="DF110">INDEX(Demand_current!$D$4:$BW$137, MATCH($A110, Demand_current!$B$4:$B$137, 0), MATCH(DF$4&amp;DF$5,Demand_current!$D$2:$BW$2&amp;Demand_current!$D$3:$BW$3, 0))/1000</f>
        <v>296.78017307692312</v>
      </c>
      <c r="DG110" s="103">
        <f t="array" ref="DG110">INDEX(Demand_current!$D$4:$BW$137, MATCH($A110, Demand_current!$B$4:$B$137, 0), MATCH(DG$4&amp;DG$5,Demand_current!$D$2:$BW$2&amp;Demand_current!$D$3:$BW$3, 0))/1000</f>
        <v>308.20335576923082</v>
      </c>
      <c r="DH110" s="103">
        <f t="array" ref="DH110">INDEX(Demand_current!$D$4:$BW$137, MATCH($A110, Demand_current!$B$4:$B$137, 0), MATCH(DH$4&amp;DH$5,Demand_current!$D$2:$BW$2&amp;Demand_current!$D$3:$BW$3, 0))/1000</f>
        <v>167.12474999999998</v>
      </c>
      <c r="DI110" s="102">
        <f>$BS110*(VLOOKUP(DI$4, Rates_current!$H$6:$R$41, 10, FALSE)+VLOOKUP(DI$4, Rates_current!$H$6:$R$41, 11, FALSE))</f>
        <v>450546.09216528019</v>
      </c>
      <c r="DJ110" s="102">
        <f>$BS110*(VLOOKUP(DJ$4, Rates_current!$H$6:$R$41, 10, FALSE)+VLOOKUP(DJ$4, Rates_current!$H$6:$R$41, 11, FALSE))</f>
        <v>576008.35042428458</v>
      </c>
      <c r="DK110" s="102">
        <f>$BS110*(VLOOKUP(DK$4, Rates_current!$H$6:$R$41, 10, FALSE)+VLOOKUP(DK$4, Rates_current!$H$6:$R$41, 11, FALSE))</f>
        <v>654873.31884879956</v>
      </c>
      <c r="DL110" s="102">
        <f>$BS110*(VLOOKUP(DL$4, Rates_current!$H$6:$R$41, 10, FALSE)+VLOOKUP(DL$4, Rates_current!$H$6:$R$41, 11, FALSE))</f>
        <v>690942.47006678849</v>
      </c>
      <c r="DM110" s="102">
        <f>$BS110*(VLOOKUP(DM$4, Rates_current!$H$6:$R$41, 10, FALSE)+VLOOKUP(DM$4, Rates_current!$H$6:$R$41, 11, FALSE))</f>
        <v>550618.78870172892</v>
      </c>
      <c r="DN110" s="102">
        <f>$BS110*(VLOOKUP(DN$4, Rates_current!$H$6:$R$41, 10, FALSE)+VLOOKUP(DN$4, Rates_current!$H$6:$R$41, 11, FALSE))</f>
        <v>601939.40878360812</v>
      </c>
      <c r="DO110" s="102">
        <f>$BS110*(VLOOKUP(DO$4, Rates_current!$H$6:$R$41, 10, FALSE)+VLOOKUP(DO$4, Rates_current!$H$6:$R$41, 11, FALSE))</f>
        <v>466509.09675917542</v>
      </c>
      <c r="DP110" s="102">
        <f>$BS110*(VLOOKUP(DP$4, Rates_current!$H$6:$R$41, 10, FALSE)+VLOOKUP(DP$4, Rates_current!$H$6:$R$41, 11, FALSE))</f>
        <v>603739.58302531473</v>
      </c>
      <c r="DQ110" s="102">
        <f>$BS110*(VLOOKUP(DQ$4, Rates_current!$H$6:$R$41, 10, FALSE)+VLOOKUP(DQ$4, Rates_current!$H$6:$R$41, 11, FALSE))</f>
        <v>616631.18060835893</v>
      </c>
      <c r="DR110" s="102">
        <f>$BS110*(VLOOKUP(DR$4, Rates_current!$H$6:$R$41, 10, FALSE)+VLOOKUP(DR$4, Rates_current!$H$6:$R$41, 11, FALSE))</f>
        <v>548855.07992413361</v>
      </c>
      <c r="DS110" s="102">
        <f>$BS110*(VLOOKUP(DS$4, Rates_current!$H$6:$R$41, 10, FALSE)+VLOOKUP(DS$4, Rates_current!$H$6:$R$41, 11, FALSE))</f>
        <v>563024.65527542506</v>
      </c>
      <c r="DT110" s="102">
        <f>$BS110*(VLOOKUP(DT$4, Rates_current!$H$6:$R$41, 10, FALSE)+VLOOKUP(DT$4, Rates_current!$H$6:$R$41, 11, FALSE))</f>
        <v>437256.13548514701</v>
      </c>
      <c r="DU110" s="261">
        <f>IF(D110=0,IF(C110=0,MAX(0,DW110 - (VLOOKUP($A110,TOCA_current!$A$2:$AV$136,MATCH("RHWM "&amp;Init!$D$1,TOCA_current!$A$2:$AV$2,0),FALSE)*$BS$2)), 0),0)</f>
        <v>0</v>
      </c>
      <c r="DV110" s="262">
        <f>MIN(VLOOKUP($A110,TOCA_current!$A$2:$AV$136,MATCH("TRL - NLSL - Existing Resource "&amp;$BS$1,TOCA_current!$A$2:$AV$2,0),FALSE)*$BS$2, VLOOKUP($A110,TOCA_current!$A$2:$AV$136,MATCH("RHWM "&amp;Init!$D$1,TOCA_current!$A$2:$AV$2,0),FALSE)*$BS$2)</f>
        <v>6760941.7200000007</v>
      </c>
      <c r="DW110" s="262">
        <f>SUM(BY110:CV110)+(BS110*RT1SC!$C$4*$BS$2)</f>
        <v>6760945.2990970127</v>
      </c>
      <c r="DX110" s="262">
        <f>VLOOKUP($A110,TOCA_current!$A$2:$AV$136,MATCH("Above RHWM Not Served with LS "&amp;$BS$1,TOCA_current!$A$2:$AV$2,0),FALSE)*$BS$2</f>
        <v>0</v>
      </c>
      <c r="DY110" s="262">
        <f t="shared" si="43"/>
        <v>3.5790970120579004</v>
      </c>
      <c r="DZ110" s="262">
        <f>(VLOOKUP($A110,TOCA_current!$A$2:$AV$136,MATCH("RHWM "&amp;Init!$D$1,TOCA_current!$A$2:$AV$2,0),FALSE)*$BS$2) - $DV110</f>
        <v>279251.27999999933</v>
      </c>
      <c r="EA110" s="262">
        <f t="shared" si="44"/>
        <v>-3.5790970120579004</v>
      </c>
      <c r="EB110" s="262">
        <f t="shared" si="45"/>
        <v>0</v>
      </c>
      <c r="EC110" s="262">
        <f t="shared" si="46"/>
        <v>0</v>
      </c>
      <c r="ED110" s="262">
        <f t="shared" si="47"/>
        <v>-3.5790970120579004</v>
      </c>
    </row>
    <row r="111" spans="1:134">
      <c r="A111" s="2">
        <v>10360</v>
      </c>
      <c r="B111" s="3" t="s">
        <v>113</v>
      </c>
      <c r="C111">
        <f>VLOOKUP(A111, TOCA_current!$A$3:$D$136, 4, FALSE)</f>
        <v>0</v>
      </c>
      <c r="D111">
        <v>0</v>
      </c>
      <c r="E111" s="84">
        <f>VLOOKUP($A111,TOCA_previous!$A$2:$AJ$136,MATCH(E$4,TOCA_previous!$A$2:$AJ$2,0),FALSE)</f>
        <v>9.7940000000000006E-4</v>
      </c>
      <c r="F111" s="85">
        <f>VLOOKUP($A111,TOCA_previous!$A$2:$AJ$136,MATCH(F$4,TOCA_previous!$A$2:$AJ$2,0),FALSE)</f>
        <v>9.7940000000000006E-4</v>
      </c>
      <c r="G111" s="85">
        <f t="shared" si="33"/>
        <v>0</v>
      </c>
      <c r="H111" s="85">
        <f>VLOOKUP($A111,TOCA_previous!$A$2:$AJ$136,MATCH(H$4,TOCA_previous!$A$2:$AJ$2,0),FALSE)</f>
        <v>5.0973392461197344E-2</v>
      </c>
      <c r="I111" s="85">
        <f t="shared" si="34"/>
        <v>0</v>
      </c>
      <c r="J111" s="85">
        <f t="shared" si="35"/>
        <v>0</v>
      </c>
      <c r="K111" s="101">
        <f>VLOOKUP(A111, IRD!$A$5:$C$138, 3, FALSE)</f>
        <v>20009.34</v>
      </c>
      <c r="L111" s="102">
        <f t="array" ref="L111">IF($G111=0, INDEX(LS_previous!$D$4:$AY$137, MATCH('Staging Table'!$A111, LS_previous!$B$4:$B$137, 0), MATCH(L$4&amp;L$5, LS_previous!$D$2:$AY$2&amp;LS_previous!$D$3:$AY$3, 0)),SUM(VLOOKUP($A111, LS_previous!$B$4:$AY$137, LS_previous!D$148, FALSE), VLOOKUP('Staging Table'!$A111, LS_previous!$B$4:$AY$137,LS_previous!AB$148, FALSE))/2)</f>
        <v>-472.81768885840052</v>
      </c>
      <c r="M111" s="102">
        <f t="array" ref="M111">IF($G111=0, INDEX(LS_previous!$D$4:$AY$137, MATCH('Staging Table'!$A111, LS_previous!$B$4:$B$137, 0), MATCH(M$4&amp;M$5, LS_previous!$D$2:$AY$2&amp;LS_previous!$D$3:$AY$3, 0)),SUM(VLOOKUP($A111, LS_previous!$B$4:$AY$137, LS_previous!E$148, FALSE), VLOOKUP('Staging Table'!$A111, LS_previous!$B$4:$AY$137,LS_previous!AC$148, FALSE))/2)</f>
        <v>-271.21171515470019</v>
      </c>
      <c r="N111" s="102">
        <f t="array" ref="N111">IF($G111=0, INDEX(LS_previous!$D$4:$AY$137, MATCH('Staging Table'!$A111, LS_previous!$B$4:$B$137, 0), MATCH(N$4&amp;N$5, LS_previous!$D$2:$AY$2&amp;LS_previous!$D$3:$AY$3, 0)),SUM(VLOOKUP($A111, LS_previous!$B$4:$AY$137, LS_previous!F$148, FALSE), VLOOKUP('Staging Table'!$A111, LS_previous!$B$4:$AY$137,LS_previous!AD$148, FALSE))/2)</f>
        <v>-1485.6508890432003</v>
      </c>
      <c r="O111" s="102">
        <f t="array" ref="O111">IF($G111=0, INDEX(LS_previous!$D$4:$AY$137, MATCH('Staging Table'!$A111, LS_previous!$B$4:$B$137, 0), MATCH(O$4&amp;O$5, LS_previous!$D$2:$AY$2&amp;LS_previous!$D$3:$AY$3, 0)),SUM(VLOOKUP($A111, LS_previous!$B$4:$AY$137, LS_previous!G$148, FALSE), VLOOKUP('Staging Table'!$A111, LS_previous!$B$4:$AY$137,LS_previous!AE$148, FALSE))/2)</f>
        <v>-597.79553120140008</v>
      </c>
      <c r="P111" s="102">
        <f t="array" ref="P111">IF($G111=0, INDEX(LS_previous!$D$4:$AY$137, MATCH('Staging Table'!$A111, LS_previous!$B$4:$B$137, 0), MATCH(P$4&amp;P$5, LS_previous!$D$2:$AY$2&amp;LS_previous!$D$3:$AY$3, 0)),SUM(VLOOKUP($A111, LS_previous!$B$4:$AY$137, LS_previous!H$148, FALSE), VLOOKUP('Staging Table'!$A111, LS_previous!$B$4:$AY$137,LS_previous!AF$148, FALSE))/2)</f>
        <v>-906.25973277660023</v>
      </c>
      <c r="Q111" s="102">
        <f t="array" ref="Q111">IF($G111=0, INDEX(LS_previous!$D$4:$AY$137, MATCH('Staging Table'!$A111, LS_previous!$B$4:$B$137, 0), MATCH(Q$4&amp;Q$5, LS_previous!$D$2:$AY$2&amp;LS_previous!$D$3:$AY$3, 0)),SUM(VLOOKUP($A111, LS_previous!$B$4:$AY$137, LS_previous!I$148, FALSE), VLOOKUP('Staging Table'!$A111, LS_previous!$B$4:$AY$137,LS_previous!AG$148, FALSE))/2)</f>
        <v>-289.59222586240003</v>
      </c>
      <c r="R111" s="102">
        <f t="array" ref="R111">IF($G111=0, INDEX(LS_previous!$D$4:$AY$137, MATCH('Staging Table'!$A111, LS_previous!$B$4:$B$137, 0), MATCH(R$4&amp;R$5, LS_previous!$D$2:$AY$2&amp;LS_previous!$D$3:$AY$3, 0)),SUM(VLOOKUP($A111, LS_previous!$B$4:$AY$137, LS_previous!J$148, FALSE), VLOOKUP('Staging Table'!$A111, LS_previous!$B$4:$AY$137,LS_previous!AH$148, FALSE))/2)</f>
        <v>-1165.3994656710001</v>
      </c>
      <c r="S111" s="102">
        <f t="array" ref="S111">IF($G111=0, INDEX(LS_previous!$D$4:$AY$137, MATCH('Staging Table'!$A111, LS_previous!$B$4:$B$137, 0), MATCH(S$4&amp;S$5, LS_previous!$D$2:$AY$2&amp;LS_previous!$D$3:$AY$3, 0)),SUM(VLOOKUP($A111, LS_previous!$B$4:$AY$137, LS_previous!K$148, FALSE), VLOOKUP('Staging Table'!$A111, LS_previous!$B$4:$AY$137,LS_previous!AI$148, FALSE))/2)</f>
        <v>-293.42338560260032</v>
      </c>
      <c r="T111" s="102">
        <f t="array" ref="T111">IF($G111=0, INDEX(LS_previous!$D$4:$AY$137, MATCH('Staging Table'!$A111, LS_previous!$B$4:$B$137, 0), MATCH(T$4&amp;T$5, LS_previous!$D$2:$AY$2&amp;LS_previous!$D$3:$AY$3, 0)),SUM(VLOOKUP($A111, LS_previous!$B$4:$AY$137, LS_previous!L$148, FALSE), VLOOKUP('Staging Table'!$A111, LS_previous!$B$4:$AY$137,LS_previous!AJ$148, FALSE))/2)</f>
        <v>-1223.5349638925998</v>
      </c>
      <c r="U111" s="102">
        <f t="array" ref="U111">IF($G111=0, INDEX(LS_previous!$D$4:$AY$137, MATCH('Staging Table'!$A111, LS_previous!$B$4:$B$137, 0), MATCH(U$4&amp;U$5, LS_previous!$D$2:$AY$2&amp;LS_previous!$D$3:$AY$3, 0)),SUM(VLOOKUP($A111, LS_previous!$B$4:$AY$137, LS_previous!M$148, FALSE), VLOOKUP('Staging Table'!$A111, LS_previous!$B$4:$AY$137,LS_previous!AK$148, FALSE))/2)</f>
        <v>-359.01497864460021</v>
      </c>
      <c r="V111" s="102">
        <f t="array" ref="V111">IF($G111=0, INDEX(LS_previous!$D$4:$AY$137, MATCH('Staging Table'!$A111, LS_previous!$B$4:$B$137, 0), MATCH(V$4&amp;V$5, LS_previous!$D$2:$AY$2&amp;LS_previous!$D$3:$AY$3, 0)),SUM(VLOOKUP($A111, LS_previous!$B$4:$AY$137, LS_previous!N$148, FALSE), VLOOKUP('Staging Table'!$A111, LS_previous!$B$4:$AY$137,LS_previous!AL$148, FALSE))/2)</f>
        <v>-1570.2207792722002</v>
      </c>
      <c r="W111" s="102">
        <f t="array" ref="W111">IF($G111=0, INDEX(LS_previous!$D$4:$AY$137, MATCH('Staging Table'!$A111, LS_previous!$B$4:$B$137, 0), MATCH(W$4&amp;W$5, LS_previous!$D$2:$AY$2&amp;LS_previous!$D$3:$AY$3, 0)),SUM(VLOOKUP($A111, LS_previous!$B$4:$AY$137, LS_previous!O$148, FALSE), VLOOKUP('Staging Table'!$A111, LS_previous!$B$4:$AY$137,LS_previous!AM$148, FALSE))/2)</f>
        <v>-750.33348937320011</v>
      </c>
      <c r="X111" s="102">
        <f t="array" ref="X111">IF($G111=0, INDEX(LS_previous!$D$4:$AY$137, MATCH('Staging Table'!$A111, LS_previous!$B$4:$B$137, 0), MATCH(X$4&amp;X$5, LS_previous!$D$2:$AY$2&amp;LS_previous!$D$3:$AY$3, 0)),SUM(VLOOKUP($A111, LS_previous!$B$4:$AY$137, LS_previous!P$148, FALSE), VLOOKUP('Staging Table'!$A111, LS_previous!$B$4:$AY$137,LS_previous!AN$148, FALSE))/2)</f>
        <v>-372.55517728349969</v>
      </c>
      <c r="Y111" s="102">
        <f t="array" ref="Y111">IF($G111=0, INDEX(LS_previous!$D$4:$AY$137, MATCH('Staging Table'!$A111, LS_previous!$B$4:$B$137, 0), MATCH(Y$4&amp;Y$5, LS_previous!$D$2:$AY$2&amp;LS_previous!$D$3:$AY$3, 0)),SUM(VLOOKUP($A111, LS_previous!$B$4:$AY$137, LS_previous!Q$148, FALSE), VLOOKUP('Staging Table'!$A111, LS_previous!$B$4:$AY$137,LS_previous!AO$148, FALSE))/2)</f>
        <v>-146.27906443794973</v>
      </c>
      <c r="Z111" s="102">
        <f t="array" ref="Z111">IF($G111=0, INDEX(LS_previous!$D$4:$AY$137, MATCH('Staging Table'!$A111, LS_previous!$B$4:$B$137, 0), MATCH(Z$4&amp;Z$5, LS_previous!$D$2:$AY$2&amp;LS_previous!$D$3:$AY$3, 0)),SUM(VLOOKUP($A111, LS_previous!$B$4:$AY$137, LS_previous!R$148, FALSE), VLOOKUP('Staging Table'!$A111, LS_previous!$B$4:$AY$137,LS_previous!AP$148, FALSE))/2)</f>
        <v>-30.78642093120061</v>
      </c>
      <c r="AA111" s="102">
        <f t="array" ref="AA111">IF($G111=0, INDEX(LS_previous!$D$4:$AY$137, MATCH('Staging Table'!$A111, LS_previous!$B$4:$B$137, 0), MATCH(AA$4&amp;AA$5, LS_previous!$D$2:$AY$2&amp;LS_previous!$D$3:$AY$3, 0)),SUM(VLOOKUP($A111, LS_previous!$B$4:$AY$137, LS_previous!S$148, FALSE), VLOOKUP('Staging Table'!$A111, LS_previous!$B$4:$AY$137,LS_previous!AQ$148, FALSE))/2)</f>
        <v>412.63646616510005</v>
      </c>
      <c r="AB111" s="102">
        <f t="array" ref="AB111">IF($G111=0, INDEX(LS_previous!$D$4:$AY$137, MATCH('Staging Table'!$A111, LS_previous!$B$4:$B$137, 0), MATCH(AB$4&amp;AB$5, LS_previous!$D$2:$AY$2&amp;LS_previous!$D$3:$AY$3, 0)),SUM(VLOOKUP($A111, LS_previous!$B$4:$AY$137, LS_previous!T$148, FALSE), VLOOKUP('Staging Table'!$A111, LS_previous!$B$4:$AY$137,LS_previous!AR$148, FALSE))/2)</f>
        <v>1975.2772372755994</v>
      </c>
      <c r="AC111" s="102">
        <f t="array" ref="AC111">IF($G111=0, INDEX(LS_previous!$D$4:$AY$137, MATCH('Staging Table'!$A111, LS_previous!$B$4:$B$137, 0), MATCH(AC$4&amp;AC$5, LS_previous!$D$2:$AY$2&amp;LS_previous!$D$3:$AY$3, 0)),SUM(VLOOKUP($A111, LS_previous!$B$4:$AY$137, LS_previous!U$148, FALSE), VLOOKUP('Staging Table'!$A111, LS_previous!$B$4:$AY$137,LS_previous!AS$148, FALSE))/2)</f>
        <v>1641.1630116226997</v>
      </c>
      <c r="AD111" s="102">
        <f t="array" ref="AD111">IF($G111=0, INDEX(LS_previous!$D$4:$AY$137, MATCH('Staging Table'!$A111, LS_previous!$B$4:$B$137, 0), MATCH(AD$4&amp;AD$5, LS_previous!$D$2:$AY$2&amp;LS_previous!$D$3:$AY$3, 0)),SUM(VLOOKUP($A111, LS_previous!$B$4:$AY$137, LS_previous!V$148, FALSE), VLOOKUP('Staging Table'!$A111, LS_previous!$B$4:$AY$137,LS_previous!AT$148, FALSE))/2)</f>
        <v>2842.2620903384</v>
      </c>
      <c r="AE111" s="102">
        <f t="array" ref="AE111">IF($G111=0, INDEX(LS_previous!$D$4:$AY$137, MATCH('Staging Table'!$A111, LS_previous!$B$4:$B$137, 0), MATCH(AE$4&amp;AE$5, LS_previous!$D$2:$AY$2&amp;LS_previous!$D$3:$AY$3, 0)),SUM(VLOOKUP($A111, LS_previous!$B$4:$AY$137, LS_previous!W$148, FALSE), VLOOKUP('Staging Table'!$A111, LS_previous!$B$4:$AY$137,LS_previous!AU$148, FALSE))/2)</f>
        <v>2516.4746586265001</v>
      </c>
      <c r="AF111" s="102">
        <f t="array" ref="AF111">IF($G111=0, INDEX(LS_previous!$D$4:$AY$137, MATCH('Staging Table'!$A111, LS_previous!$B$4:$B$137, 0), MATCH(AF$4&amp;AF$5, LS_previous!$D$2:$AY$2&amp;LS_previous!$D$3:$AY$3, 0)),SUM(VLOOKUP($A111, LS_previous!$B$4:$AY$137, LS_previous!X$148, FALSE), VLOOKUP('Staging Table'!$A111, LS_previous!$B$4:$AY$137,LS_previous!AV$148, FALSE))/2)</f>
        <v>2067.5506060328994</v>
      </c>
      <c r="AG111" s="102">
        <f t="array" ref="AG111">IF($G111=0, INDEX(LS_previous!$D$4:$AY$137, MATCH('Staging Table'!$A111, LS_previous!$B$4:$B$137, 0), MATCH(AG$4&amp;AG$5, LS_previous!$D$2:$AY$2&amp;LS_previous!$D$3:$AY$3, 0)),SUM(VLOOKUP($A111, LS_previous!$B$4:$AY$137, LS_previous!Y$148, FALSE), VLOOKUP('Staging Table'!$A111, LS_previous!$B$4:$AY$137,LS_previous!AW$148, FALSE))/2)</f>
        <v>1952.4225245949101</v>
      </c>
      <c r="AH111" s="102">
        <f t="array" ref="AH111">IF($G111=0, INDEX(LS_previous!$D$4:$AY$137, MATCH('Staging Table'!$A111, LS_previous!$B$4:$B$137, 0), MATCH(AH$4&amp;AH$5, LS_previous!$D$2:$AY$2&amp;LS_previous!$D$3:$AY$3, 0)),SUM(VLOOKUP($A111, LS_previous!$B$4:$AY$137, LS_previous!Z$148, FALSE), VLOOKUP('Staging Table'!$A111, LS_previous!$B$4:$AY$137,LS_previous!AX$148, FALSE))/2)</f>
        <v>235.93845444439967</v>
      </c>
      <c r="AI111" s="102">
        <f t="array" ref="AI111">IF($G111=0, INDEX(LS_previous!$D$4:$AY$137, MATCH('Staging Table'!$A111, LS_previous!$B$4:$B$137, 0), MATCH(AI$4&amp;AI$5, LS_previous!$D$2:$AY$2&amp;LS_previous!$D$3:$AY$3, 0)),SUM(VLOOKUP($A111, LS_previous!$B$4:$AY$137, LS_previous!AA$148, FALSE), VLOOKUP('Staging Table'!$A111, LS_previous!$B$4:$AY$137,LS_previous!AY$148, FALSE))/2)</f>
        <v>390.97829954239978</v>
      </c>
      <c r="AJ111" s="103">
        <f t="array" ref="AJ111">INDEX(Demand_previous!$D$4:$AY$137, MATCH('Staging Table'!$A111, Demand_previous!$B$4:$B$137, 0), MATCH(AJ$4&amp;AJ$5,Demand_previous!$D$2:$AY$2&amp;Demand_previous!$D$3:$AY$3, 0))/1000</f>
        <v>1.0202932692307687</v>
      </c>
      <c r="AK111" s="103">
        <f t="array" ref="AK111">INDEX(Demand_previous!$D$4:$AY$137, MATCH('Staging Table'!$A111, Demand_previous!$B$4:$B$137, 0), MATCH(AK$4&amp;AK$5,Demand_previous!$D$2:$AY$2&amp;Demand_previous!$D$3:$AY$3, 0))/1000</f>
        <v>0.43902999999999981</v>
      </c>
      <c r="AL111" s="103">
        <f t="array" ref="AL111">INDEX(Demand_previous!$D$4:$AY$137, MATCH('Staging Table'!$A111, Demand_previous!$B$4:$B$137, 0), MATCH(AL$4&amp;AL$5,Demand_previous!$D$2:$AY$2&amp;Demand_previous!$D$3:$AY$3, 0))/1000</f>
        <v>0.39473999999999942</v>
      </c>
      <c r="AM111" s="103">
        <f t="array" ref="AM111">INDEX(Demand_previous!$D$4:$AY$137, MATCH('Staging Table'!$A111, Demand_previous!$B$4:$B$137, 0), MATCH(AM$4&amp;AM$5,Demand_previous!$D$2:$AY$2&amp;Demand_previous!$D$3:$AY$3, 0))/1000</f>
        <v>0.7524014423076919</v>
      </c>
      <c r="AN111" s="103">
        <f t="array" ref="AN111">INDEX(Demand_previous!$D$4:$AY$137, MATCH('Staging Table'!$A111, Demand_previous!$B$4:$B$137, 0), MATCH(AN$4&amp;AN$5,Demand_previous!$D$2:$AY$2&amp;Demand_previous!$D$3:$AY$3, 0))/1000</f>
        <v>0.34179749999999975</v>
      </c>
      <c r="AO111" s="103">
        <f t="array" ref="AO111">INDEX(Demand_previous!$D$4:$AY$137, MATCH('Staging Table'!$A111, Demand_previous!$B$4:$B$137, 0), MATCH(AO$4&amp;AO$5,Demand_previous!$D$2:$AY$2&amp;Demand_previous!$D$3:$AY$3, 0))/1000</f>
        <v>0.17933173076923081</v>
      </c>
      <c r="AP111" s="103">
        <f t="array" ref="AP111">INDEX(Demand_previous!$D$4:$AY$137, MATCH('Staging Table'!$A111, Demand_previous!$B$4:$B$137, 0), MATCH(AP$4&amp;AP$5,Demand_previous!$D$2:$AY$2&amp;Demand_previous!$D$3:$AY$3, 0))/1000</f>
        <v>1.2271274038461528</v>
      </c>
      <c r="AQ111" s="103">
        <f t="array" ref="AQ111">INDEX(Demand_previous!$D$4:$AY$137, MATCH('Staging Table'!$A111, Demand_previous!$B$4:$B$137, 0), MATCH(AQ$4&amp;AQ$5,Demand_previous!$D$2:$AY$2&amp;Demand_previous!$D$3:$AY$3, 0))/1000</f>
        <v>2.0396466346153841</v>
      </c>
      <c r="AR111" s="103">
        <f t="array" ref="AR111">INDEX(Demand_previous!$D$4:$AY$137, MATCH('Staging Table'!$A111, Demand_previous!$B$4:$B$137, 0), MATCH(AR$4&amp;AR$5,Demand_previous!$D$2:$AY$2&amp;Demand_previous!$D$3:$AY$3, 0))/1000</f>
        <v>2.2231275000000008</v>
      </c>
      <c r="AS111" s="103">
        <f t="array" ref="AS111">INDEX(Demand_previous!$D$4:$AY$137, MATCH('Staging Table'!$A111, Demand_previous!$B$4:$B$137, 0), MATCH(AS$4&amp;AS$5,Demand_previous!$D$2:$AY$2&amp;Demand_previous!$D$3:$AY$3, 0))/1000</f>
        <v>2.1948437499999978</v>
      </c>
      <c r="AT111" s="103">
        <f t="array" ref="AT111">INDEX(Demand_previous!$D$4:$AY$137, MATCH('Staging Table'!$A111, Demand_previous!$B$4:$B$137, 0), MATCH(AT$4&amp;AT$5,Demand_previous!$D$2:$AY$2&amp;Demand_previous!$D$3:$AY$3, 0))/1000</f>
        <v>2.7471481481481499</v>
      </c>
      <c r="AU111" s="103">
        <f t="array" ref="AU111">INDEX(Demand_previous!$D$4:$AY$137, MATCH('Staging Table'!$A111, Demand_previous!$B$4:$B$137, 0), MATCH(AU$4&amp;AU$5,Demand_previous!$D$2:$AY$2&amp;Demand_previous!$D$3:$AY$3, 0))/1000</f>
        <v>1.8081223958333337</v>
      </c>
      <c r="AV111" s="102">
        <f>$F111*(VLOOKUP(AV$4, Rates_previous!$G$6:$Q$29, 10, FALSE)+VLOOKUP(AV$4, Rates_previous!$G$6:$Q$29, 11, FALSE))</f>
        <v>4131.8964040131004</v>
      </c>
      <c r="AW111" s="102">
        <f>$F111*(VLOOKUP(AW$4, Rates_previous!$G$6:$Q$29, 10, FALSE)+VLOOKUP(AW$4, Rates_previous!$G$6:$Q$29, 11, FALSE))</f>
        <v>5269.5304202446014</v>
      </c>
      <c r="AX111" s="102">
        <f>$F111*(VLOOKUP(AX$4, Rates_previous!$G$6:$Q$29, 10, FALSE)+VLOOKUP(AX$4, Rates_previous!$G$6:$Q$29, 11, FALSE))</f>
        <v>5686.8659586390013</v>
      </c>
      <c r="AY111" s="102">
        <f>$F111*(VLOOKUP(AY$4, Rates_previous!$G$6:$Q$29, 10, FALSE)+VLOOKUP(AY$4, Rates_previous!$G$6:$Q$29, 11, FALSE))</f>
        <v>5909.5328512736005</v>
      </c>
      <c r="AZ111" s="102">
        <f>$F111*(VLOOKUP(AZ$4, Rates_previous!$G$6:$Q$29, 10, FALSE)+VLOOKUP(AZ$4, Rates_previous!$G$6:$Q$29, 11, FALSE))</f>
        <v>5082.9859425371997</v>
      </c>
      <c r="BA111" s="102">
        <f>$F111*(VLOOKUP(BA$4, Rates_previous!$G$6:$Q$29, 10, FALSE)+VLOOKUP(BA$4, Rates_previous!$G$6:$Q$29, 11, FALSE))</f>
        <v>5549.6142686454004</v>
      </c>
      <c r="BB111" s="102">
        <f>$F111*(VLOOKUP(BB$4, Rates_previous!$G$6:$Q$29, 10, FALSE)+VLOOKUP(BB$4, Rates_previous!$G$6:$Q$29, 11, FALSE))</f>
        <v>4380.4852417214497</v>
      </c>
      <c r="BC111" s="102">
        <f>$F111*(VLOOKUP(BC$4, Rates_previous!$G$6:$Q$29, 10, FALSE)+VLOOKUP(BC$4, Rates_previous!$G$6:$Q$29, 11, FALSE))</f>
        <v>5434.5789547661007</v>
      </c>
      <c r="BD111" s="102">
        <f>$F111*(VLOOKUP(BD$4, Rates_previous!$G$6:$Q$29, 10, FALSE)+VLOOKUP(BD$4, Rates_previous!$G$6:$Q$29, 11, FALSE))</f>
        <v>5552.4957511017001</v>
      </c>
      <c r="BE111" s="102">
        <f>$F111*(VLOOKUP(BE$4, Rates_previous!$G$6:$Q$29, 10, FALSE)+VLOOKUP(BE$4, Rates_previous!$G$6:$Q$29, 11, FALSE))</f>
        <v>4820.3662510351005</v>
      </c>
      <c r="BF111" s="102">
        <f>$F111*(VLOOKUP(BF$4, Rates_previous!$G$6:$Q$29, 10, FALSE)+VLOOKUP(BF$4, Rates_previous!$G$6:$Q$29, 11, FALSE))</f>
        <v>4660.0128693721908</v>
      </c>
      <c r="BG111" s="102">
        <f>$F111*(VLOOKUP(BG$4, Rates_previous!$G$6:$Q$29, 10, FALSE)+VLOOKUP(BG$4, Rates_previous!$G$6:$Q$29, 11, FALSE))</f>
        <v>4288.1142460132005</v>
      </c>
      <c r="BH111" s="103">
        <f>IF($D111=0,IF(C111=0, MAX(BJ111 - (VLOOKUP($A111,TOCA_previous!$A$2:$AJ$136,MATCH("RHWM "&amp;Init!$D$1-2,TOCA_previous!$A$2:$AJ$2,0),FALSE)*$F$2*TOCA_previous!C108),0),0), 0)</f>
        <v>5442.5472785413585</v>
      </c>
      <c r="BI111" s="109">
        <f>MIN(VLOOKUP($A111,TOCA_previous!$A$2:$AJ$136,MATCH("TRL - NLSL - Existing Resource "&amp;$F$1,TOCA_previous!$A$2:$AJ$2,0),FALSE)*$F$2,(VLOOKUP($A111,TOCA_previous!$A$2:$AJ$136,MATCH("RHWM "&amp;Init!$D$1-2,TOCA_previous!$A$2:$AJ$2,0),FALSE)*$F$2))</f>
        <v>59423.759999999995</v>
      </c>
      <c r="BJ111" s="261">
        <f>SUM(L111:AI111)+(F111*RT1SC!$C$3*$F$2)</f>
        <v>64866.307278541353</v>
      </c>
      <c r="BK111" s="260">
        <f>VLOOKUP($A111,TOCA_previous!$A$2:$AJ$136,MATCH("Above RHWM Not Served with LS "&amp;$F$1,TOCA_previous!$A$2:$AJ$2,0),FALSE)*$F$2</f>
        <v>0</v>
      </c>
      <c r="BL111" s="261">
        <f t="shared" si="36"/>
        <v>5442.5472785413585</v>
      </c>
      <c r="BM111" s="260">
        <f>(VLOOKUP($A111,TOCA_previous!$A$2:$AJ$136,MATCH("RHWM "&amp;Init!$D$1-2,TOCA_previous!$A$2:$AJ$2,0),FALSE)*$F$2) - $BI111</f>
        <v>0</v>
      </c>
      <c r="BN111" s="261">
        <f t="shared" si="37"/>
        <v>0</v>
      </c>
      <c r="BO111" s="260">
        <f t="shared" si="38"/>
        <v>0</v>
      </c>
      <c r="BP111" s="261">
        <f t="shared" si="39"/>
        <v>0</v>
      </c>
      <c r="BQ111" s="260">
        <f t="shared" si="9"/>
        <v>0</v>
      </c>
      <c r="BR111" s="85">
        <f>VLOOKUP($A111,TOCA_current!$A$2:$ZZ$136,MATCH(BR$4,TOCA_current!$A$2:$ZZ$2,0),FALSE)</f>
        <v>9.5699999999999995E-4</v>
      </c>
      <c r="BS111" s="85">
        <f>VLOOKUP($A111,TOCA_current!$A$2:$ZZ$136,MATCH(BS$4,TOCA_current!$A$2:$ZZ$2,0),FALSE)</f>
        <v>9.5699999999999995E-4</v>
      </c>
      <c r="BT111" s="108">
        <f t="shared" si="40"/>
        <v>0</v>
      </c>
      <c r="BU111" s="85">
        <f>VLOOKUP($A111,TOCA_current!A108:BG242,MATCH(BU$4,TOCA_current!$A$2:$BG$2,0),FALSE)</f>
        <v>4.897486772486772E-2</v>
      </c>
      <c r="BV111" s="85">
        <f t="shared" si="41"/>
        <v>0</v>
      </c>
      <c r="BW111" s="85">
        <f t="shared" si="42"/>
        <v>0</v>
      </c>
      <c r="BX111" s="101">
        <f>VLOOKUP($A111,IRD!$A$4:$G$138, 7, FALSE)</f>
        <v>20009.34</v>
      </c>
      <c r="BY111" s="102">
        <f t="array" ref="BY111">IF($BT111=0, INDEX(LS_current!$D$4:$BW$137, MATCH('Staging Table'!$A111, LS_current!$B$4:$B$137, 0), MATCH(BY$4&amp;BY$5, LS_current!$D$2:$BW$2&amp;LS_current!$D$3:$BW$3, 0)),SUM(VLOOKUP($A111, LS_current!$B$4:$BW$137, LS_current!D$147, FALSE), VLOOKUP($A111, LS_current!$B$4:$BW$137,LS_current!AZ$147, FALSE))/2)</f>
        <v>-447.7968952871563</v>
      </c>
      <c r="BZ111" s="102">
        <f t="array" ref="BZ111">IF($BT111=0, INDEX(LS_current!$D$4:$BW$137, MATCH('Staging Table'!$A111, LS_current!$B$4:$B$137, 0), MATCH(BZ$4&amp;BZ$5, LS_current!$D$2:$BW$2&amp;LS_current!$D$3:$BW$3, 0)),SUM(VLOOKUP($A111, LS_current!$B$4:$BW$137, LS_current!E$147, FALSE), VLOOKUP($A111, LS_current!$B$4:$BW$137,LS_current!BA$147, FALSE))/2)</f>
        <v>-136.16134621712172</v>
      </c>
      <c r="CA111" s="102">
        <f t="array" ref="CA111">IF($BT111=0, INDEX(LS_current!$D$4:$BW$137, MATCH('Staging Table'!$A111, LS_current!$B$4:$B$137, 0), MATCH(CA$4&amp;CA$5, LS_current!$D$2:$BW$2&amp;LS_current!$D$3:$BW$3, 0)),SUM(VLOOKUP($A111, LS_current!$B$4:$BW$137, LS_current!F$147, FALSE), VLOOKUP($A111, LS_current!$B$4:$BW$137,LS_current!BB$147, FALSE))/2)</f>
        <v>-1356.1704391723363</v>
      </c>
      <c r="CB111" s="102">
        <f t="array" ref="CB111">IF($BT111=0, INDEX(LS_current!$D$4:$BW$137, MATCH('Staging Table'!$A111, LS_current!$B$4:$B$137, 0), MATCH(CB$4&amp;CB$5, LS_current!$D$2:$BW$2&amp;LS_current!$D$3:$BW$3, 0)),SUM(VLOOKUP($A111, LS_current!$B$4:$BW$137, LS_current!G$147, FALSE), VLOOKUP($A111, LS_current!$B$4:$BW$137,LS_current!BC$147, FALSE))/2)</f>
        <v>-535.59341106081365</v>
      </c>
      <c r="CC111" s="102">
        <f t="array" ref="CC111">IF($BT111=0, INDEX(LS_current!$D$4:$BW$137, MATCH('Staging Table'!$A111, LS_current!$B$4:$B$137, 0), MATCH(CC$4&amp;CC$5, LS_current!$D$2:$BW$2&amp;LS_current!$D$3:$BW$3, 0)),SUM(VLOOKUP($A111, LS_current!$B$4:$BW$137, LS_current!H$147, FALSE), VLOOKUP($A111, LS_current!$B$4:$BW$137,LS_current!BD$147, FALSE))/2)</f>
        <v>-1158.9178901098139</v>
      </c>
      <c r="CD111" s="102">
        <f t="array" ref="CD111">IF($BT111=0, INDEX(LS_current!$D$4:$BW$137, MATCH('Staging Table'!$A111, LS_current!$B$4:$B$137, 0), MATCH(CD$4&amp;CD$5, LS_current!$D$2:$BW$2&amp;LS_current!$D$3:$BW$3, 0)),SUM(VLOOKUP($A111, LS_current!$B$4:$BW$137, LS_current!I$147, FALSE), VLOOKUP($A111, LS_current!$B$4:$BW$137,LS_current!BE$147, FALSE))/2)</f>
        <v>-123.15641988081961</v>
      </c>
      <c r="CE111" s="102">
        <f t="array" ref="CE111">IF($BT111=0, INDEX(LS_current!$D$4:$BW$137, MATCH('Staging Table'!$A111, LS_current!$B$4:$B$137, 0), MATCH(CE$4&amp;CE$5, LS_current!$D$2:$BW$2&amp;LS_current!$D$3:$BW$3, 0)),SUM(VLOOKUP($A111, LS_current!$B$4:$BW$137, LS_current!J$147, FALSE), VLOOKUP($A111, LS_current!$B$4:$BW$137,LS_current!BF$147, FALSE))/2)</f>
        <v>-1345.9070694696566</v>
      </c>
      <c r="CF111" s="102">
        <f t="array" ref="CF111">IF($BT111=0, INDEX(LS_current!$D$4:$BW$137, MATCH('Staging Table'!$A111, LS_current!$B$4:$B$137, 0), MATCH(CF$4&amp;CF$5, LS_current!$D$2:$BW$2&amp;LS_current!$D$3:$BW$3, 0)),SUM(VLOOKUP($A111, LS_current!$B$4:$BW$137, LS_current!K$147, FALSE), VLOOKUP($A111, LS_current!$B$4:$BW$137,LS_current!BG$147, FALSE))/2)</f>
        <v>-294.44173840887925</v>
      </c>
      <c r="CG111" s="102">
        <f t="array" ref="CG111">IF($BT111=0, INDEX(LS_current!$D$4:$BW$137, MATCH('Staging Table'!$A111, LS_current!$B$4:$B$137, 0), MATCH(CG$4&amp;CG$5, LS_current!$D$2:$BW$2&amp;LS_current!$D$3:$BW$3, 0)),SUM(VLOOKUP($A111, LS_current!$B$4:$BW$137, LS_current!L$147, FALSE), VLOOKUP($A111, LS_current!$B$4:$BW$137,LS_current!BH$147, FALSE))/2)</f>
        <v>-1080.3713033265428</v>
      </c>
      <c r="CH111" s="102">
        <f t="array" ref="CH111">IF($BT111=0, INDEX(LS_current!$D$4:$BW$137, MATCH('Staging Table'!$A111, LS_current!$B$4:$B$137, 0), MATCH(CH$4&amp;CH$5, LS_current!$D$2:$BW$2&amp;LS_current!$D$3:$BW$3, 0)),SUM(VLOOKUP($A111, LS_current!$B$4:$BW$137, LS_current!M$147, FALSE), VLOOKUP($A111, LS_current!$B$4:$BW$137,LS_current!BI$147, FALSE))/2)</f>
        <v>-273.21682748261651</v>
      </c>
      <c r="CI111" s="102">
        <f t="array" ref="CI111">IF($BT111=0, INDEX(LS_current!$D$4:$BW$137, MATCH('Staging Table'!$A111, LS_current!$B$4:$B$137, 0), MATCH(CI$4&amp;CI$5, LS_current!$D$2:$BW$2&amp;LS_current!$D$3:$BW$3, 0)),SUM(VLOOKUP($A111, LS_current!$B$4:$BW$137, LS_current!N$147, FALSE), VLOOKUP($A111, LS_current!$B$4:$BW$137,LS_current!BJ$147, FALSE))/2)</f>
        <v>-1642.5132509093228</v>
      </c>
      <c r="CJ111" s="102">
        <f t="array" ref="CJ111">IF($BT111=0, INDEX(LS_current!$D$4:$BW$137, MATCH('Staging Table'!$A111, LS_current!$B$4:$B$137, 0), MATCH(CJ$4&amp;CJ$5, LS_current!$D$2:$BW$2&amp;LS_current!$D$3:$BW$3, 0)),SUM(VLOOKUP($A111, LS_current!$B$4:$BW$137, LS_current!O$147, FALSE), VLOOKUP($A111, LS_current!$B$4:$BW$137,LS_current!BK$147, FALSE))/2)</f>
        <v>-434.8719258160063</v>
      </c>
      <c r="CK111" s="102">
        <f t="array" ref="CK111">IF($BT111=0, INDEX(LS_current!$D$4:$BW$137, MATCH('Staging Table'!$A111, LS_current!$B$4:$B$137, 0), MATCH(CK$4&amp;CK$5, LS_current!$D$2:$BW$2&amp;LS_current!$D$3:$BW$3, 0)),SUM(VLOOKUP($A111, LS_current!$B$4:$BW$137, LS_current!P$147, FALSE), VLOOKUP($A111, LS_current!$B$4:$BW$137,LS_current!BL$147, FALSE))/2)</f>
        <v>-238.36874425494261</v>
      </c>
      <c r="CL111" s="102">
        <f t="array" ref="CL111">IF($BT111=0, INDEX(LS_current!$D$4:$BW$137, MATCH('Staging Table'!$A111, LS_current!$B$4:$B$137, 0), MATCH(CL$4&amp;CL$5, LS_current!$D$2:$BW$2&amp;LS_current!$D$3:$BW$3, 0)),SUM(VLOOKUP($A111, LS_current!$B$4:$BW$137, LS_current!Q$147, FALSE), VLOOKUP($A111, LS_current!$B$4:$BW$137,LS_current!BM$147, FALSE))/2)</f>
        <v>-12.528645621517398</v>
      </c>
      <c r="CM111" s="102">
        <f t="array" ref="CM111">IF($BT111=0, INDEX(LS_current!$D$4:$BW$137, MATCH('Staging Table'!$A111, LS_current!$B$4:$B$137, 0), MATCH(CM$4&amp;CM$5, LS_current!$D$2:$BW$2&amp;LS_current!$D$3:$BW$3, 0)),SUM(VLOOKUP($A111, LS_current!$B$4:$BW$137, LS_current!R$147, FALSE), VLOOKUP($A111, LS_current!$B$4:$BW$137,LS_current!BN$147, FALSE))/2)</f>
        <v>48.757284804024493</v>
      </c>
      <c r="CN111" s="102">
        <f t="array" ref="CN111">IF($BT111=0, INDEX(LS_current!$D$4:$BW$137, MATCH('Staging Table'!$A111, LS_current!$B$4:$B$137, 0), MATCH(CN$4&amp;CN$5, LS_current!$D$2:$BW$2&amp;LS_current!$D$3:$BW$3, 0)),SUM(VLOOKUP($A111, LS_current!$B$4:$BW$137, LS_current!S$147, FALSE), VLOOKUP($A111, LS_current!$B$4:$BW$137,LS_current!BO$147, FALSE))/2)</f>
        <v>445.35695794015191</v>
      </c>
      <c r="CO111" s="102">
        <f t="array" ref="CO111">IF($BT111=0, INDEX(LS_current!$D$4:$BW$137, MATCH('Staging Table'!$A111, LS_current!$B$4:$B$137, 0), MATCH(CO$4&amp;CO$5, LS_current!$D$2:$BW$2&amp;LS_current!$D$3:$BW$3, 0)),SUM(VLOOKUP($A111, LS_current!$B$4:$BW$137, LS_current!T$147, FALSE), VLOOKUP($A111, LS_current!$B$4:$BW$137,LS_current!BP$147, FALSE))/2)</f>
        <v>1919.0958052448245</v>
      </c>
      <c r="CP111" s="102">
        <f t="array" ref="CP111">IF($BT111=0, INDEX(LS_current!$D$4:$BW$137, MATCH('Staging Table'!$A111, LS_current!$B$4:$B$137, 0), MATCH(CP$4&amp;CP$5, LS_current!$D$2:$BW$2&amp;LS_current!$D$3:$BW$3, 0)),SUM(VLOOKUP($A111, LS_current!$B$4:$BW$137, LS_current!U$147, FALSE), VLOOKUP($A111, LS_current!$B$4:$BW$137,LS_current!BQ$147, FALSE))/2)</f>
        <v>1813.8785241778471</v>
      </c>
      <c r="CQ111" s="102">
        <f t="array" ref="CQ111">IF($BT111=0, INDEX(LS_current!$D$4:$BW$137, MATCH('Staging Table'!$A111, LS_current!$B$4:$B$137, 0), MATCH(CQ$4&amp;CQ$5, LS_current!$D$2:$BW$2&amp;LS_current!$D$3:$BW$3, 0)),SUM(VLOOKUP($A111, LS_current!$B$4:$BW$137, LS_current!V$147, FALSE), VLOOKUP($A111, LS_current!$B$4:$BW$137,LS_current!BR$147, FALSE))/2)</f>
        <v>2780.1970811322071</v>
      </c>
      <c r="CR111" s="102">
        <f t="array" ref="CR111">IF($BT111=0, INDEX(LS_current!$D$4:$BW$137, MATCH('Staging Table'!$A111, LS_current!$B$4:$B$137, 0), MATCH(CR$4&amp;CR$5, LS_current!$D$2:$BW$2&amp;LS_current!$D$3:$BW$3, 0)),SUM(VLOOKUP($A111, LS_current!$B$4:$BW$137, LS_current!W$147, FALSE), VLOOKUP($A111, LS_current!$B$4:$BW$137,LS_current!BS$147, FALSE))/2)</f>
        <v>2560.4299043631158</v>
      </c>
      <c r="CS111" s="102">
        <f t="array" ref="CS111">IF($BT111=0, INDEX(LS_current!$D$4:$BW$137, MATCH('Staging Table'!$A111, LS_current!$B$4:$B$137, 0), MATCH(CS$4&amp;CS$5, LS_current!$D$2:$BW$2&amp;LS_current!$D$3:$BW$3, 0)),SUM(VLOOKUP($A111, LS_current!$B$4:$BW$137, LS_current!X$147, FALSE), VLOOKUP($A111, LS_current!$B$4:$BW$137,LS_current!BT$147, FALSE))/2)</f>
        <v>1724.438377297497</v>
      </c>
      <c r="CT111" s="102">
        <f t="array" ref="CT111">IF($BT111=0, INDEX(LS_current!$D$4:$BW$137, MATCH('Staging Table'!$A111, LS_current!$B$4:$B$137, 0), MATCH(CT$4&amp;CT$5, LS_current!$D$2:$BW$2&amp;LS_current!$D$3:$BW$3, 0)),SUM(VLOOKUP($A111, LS_current!$B$4:$BW$137, LS_current!Y$147, FALSE), VLOOKUP($A111, LS_current!$B$4:$BW$137,LS_current!BU$147, FALSE))/2)</f>
        <v>1992.1585792751141</v>
      </c>
      <c r="CU111" s="102">
        <f t="array" ref="CU111">IF($BT111=0, INDEX(LS_current!$D$4:$BW$137, MATCH('Staging Table'!$A111, LS_current!$B$4:$B$137, 0), MATCH(CU$4&amp;CU$5, LS_current!$D$2:$BW$2&amp;LS_current!$D$3:$BW$3, 0)),SUM(VLOOKUP($A111, LS_current!$B$4:$BW$137, LS_current!Z$147, FALSE), VLOOKUP($A111, LS_current!$B$4:$BW$137,LS_current!BV$147, FALSE))/2)</f>
        <v>397.76742146146489</v>
      </c>
      <c r="CV111" s="102">
        <f t="array" ref="CV111">IF($BT111=0, INDEX(LS_current!$D$4:$BW$137, MATCH('Staging Table'!$A111, LS_current!$B$4:$B$137, 0), MATCH(CV$4&amp;CV$5, LS_current!$D$2:$BW$2&amp;LS_current!$D$3:$BW$3, 0)),SUM(VLOOKUP($A111, LS_current!$B$4:$BW$137, LS_current!AA$147, FALSE), VLOOKUP($A111, LS_current!$B$4:$BW$137,LS_current!BW$147, FALSE))/2)</f>
        <v>662.59701695304193</v>
      </c>
      <c r="CW111" s="103">
        <f t="array" ref="CW111">INDEX(Demand_current!$D$4:$BW$137, MATCH($A111, Demand_current!$B$4:$B$137, 0), MATCH(CW$4&amp;CW$5,Demand_current!$D$2:$BW$2&amp;Demand_current!$D$3:$BW$3, 0))/1000</f>
        <v>1.2007638888888887</v>
      </c>
      <c r="CX111" s="103">
        <f t="array" ref="CX111">INDEX(Demand_current!$D$4:$BW$137, MATCH($A111, Demand_current!$B$4:$B$137, 0), MATCH(CX$4&amp;CX$5,Demand_current!$D$2:$BW$2&amp;Demand_current!$D$3:$BW$3, 0))/1000</f>
        <v>0.26073958333333369</v>
      </c>
      <c r="CY111" s="103">
        <f t="array" ref="CY111">INDEX(Demand_current!$D$4:$BW$137, MATCH($A111, Demand_current!$B$4:$B$137, 0), MATCH(CY$4&amp;CY$5,Demand_current!$D$2:$BW$2&amp;Demand_current!$D$3:$BW$3, 0))/1000</f>
        <v>0.63913461538461447</v>
      </c>
      <c r="CZ111" s="103">
        <f t="array" ref="CZ111">INDEX(Demand_current!$D$4:$BW$137, MATCH($A111, Demand_current!$B$4:$B$137, 0), MATCH(CZ$4&amp;CZ$5,Demand_current!$D$2:$BW$2&amp;Demand_current!$D$3:$BW$3, 0))/1000</f>
        <v>0.7524014423076919</v>
      </c>
      <c r="DA111" s="103">
        <f t="array" ref="DA111">INDEX(Demand_current!$D$4:$BW$137, MATCH($A111, Demand_current!$B$4:$B$137, 0), MATCH(DA$4&amp;DA$5,Demand_current!$D$2:$BW$2&amp;Demand_current!$D$3:$BW$3, 0))/1000</f>
        <v>0.13258072916666697</v>
      </c>
      <c r="DB111" s="103">
        <f t="array" ref="DB111">INDEX(Demand_current!$D$4:$BW$137, MATCH($A111, Demand_current!$B$4:$B$137, 0), MATCH(DB$4&amp;DB$5,Demand_current!$D$2:$BW$2&amp;Demand_current!$D$3:$BW$3, 0))/1000</f>
        <v>0.17933173076923081</v>
      </c>
      <c r="DC111" s="103">
        <f t="array" ref="DC111">INDEX(Demand_current!$D$4:$BW$137, MATCH($A111, Demand_current!$B$4:$B$137, 0), MATCH(DC$4&amp;DC$5,Demand_current!$D$2:$BW$2&amp;Demand_current!$D$3:$BW$3, 0))/1000</f>
        <v>1.2271274038461528</v>
      </c>
      <c r="DD111" s="103">
        <f t="array" ref="DD111">INDEX(Demand_current!$D$4:$BW$137, MATCH($A111, Demand_current!$B$4:$B$137, 0), MATCH(DD$4&amp;DD$5,Demand_current!$D$2:$BW$2&amp;Demand_current!$D$3:$BW$3, 0))/1000</f>
        <v>1.7250724999999991</v>
      </c>
      <c r="DE111" s="103">
        <f t="array" ref="DE111">INDEX(Demand_current!$D$4:$BW$137, MATCH($A111, Demand_current!$B$4:$B$137, 0), MATCH(DE$4&amp;DE$5,Demand_current!$D$2:$BW$2&amp;Demand_current!$D$3:$BW$3, 0))/1000</f>
        <v>2.7483149038461545</v>
      </c>
      <c r="DF111" s="103">
        <f t="array" ref="DF111">INDEX(Demand_current!$D$4:$BW$137, MATCH($A111, Demand_current!$B$4:$B$137, 0), MATCH(DF$4&amp;DF$5,Demand_current!$D$2:$BW$2&amp;Demand_current!$D$3:$BW$3, 0))/1000</f>
        <v>2.1948437499999978</v>
      </c>
      <c r="DG111" s="103">
        <f t="array" ref="DG111">INDEX(Demand_current!$D$4:$BW$137, MATCH($A111, Demand_current!$B$4:$B$137, 0), MATCH(DG$4&amp;DG$5,Demand_current!$D$2:$BW$2&amp;Demand_current!$D$3:$BW$3, 0))/1000</f>
        <v>2.2998846153846157</v>
      </c>
      <c r="DH111" s="103">
        <f t="array" ref="DH111">INDEX(Demand_current!$D$4:$BW$137, MATCH($A111, Demand_current!$B$4:$B$137, 0), MATCH(DH$4&amp;DH$5,Demand_current!$D$2:$BW$2&amp;Demand_current!$D$3:$BW$3, 0))/1000</f>
        <v>2.0994775000000003</v>
      </c>
      <c r="DI111" s="102">
        <f>$BS111*(VLOOKUP(DI$4, Rates_current!$H$6:$R$41, 10, FALSE)+VLOOKUP(DI$4, Rates_current!$H$6:$R$41, 11, FALSE))</f>
        <v>3971.825241504278</v>
      </c>
      <c r="DJ111" s="102">
        <f>$BS111*(VLOOKUP(DJ$4, Rates_current!$H$6:$R$41, 10, FALSE)+VLOOKUP(DJ$4, Rates_current!$H$6:$R$41, 11, FALSE))</f>
        <v>5077.84785023315</v>
      </c>
      <c r="DK111" s="102">
        <f>$BS111*(VLOOKUP(DK$4, Rates_current!$H$6:$R$41, 10, FALSE)+VLOOKUP(DK$4, Rates_current!$H$6:$R$41, 11, FALSE))</f>
        <v>5773.0883099906332</v>
      </c>
      <c r="DL111" s="102">
        <f>$BS111*(VLOOKUP(DL$4, Rates_current!$H$6:$R$41, 10, FALSE)+VLOOKUP(DL$4, Rates_current!$H$6:$R$41, 11, FALSE))</f>
        <v>6091.0588078785358</v>
      </c>
      <c r="DM111" s="102">
        <f>$BS111*(VLOOKUP(DM$4, Rates_current!$H$6:$R$41, 10, FALSE)+VLOOKUP(DM$4, Rates_current!$H$6:$R$41, 11, FALSE))</f>
        <v>4854.0241308091599</v>
      </c>
      <c r="DN111" s="102">
        <f>$BS111*(VLOOKUP(DN$4, Rates_current!$H$6:$R$41, 10, FALSE)+VLOOKUP(DN$4, Rates_current!$H$6:$R$41, 11, FALSE))</f>
        <v>5306.4451767253286</v>
      </c>
      <c r="DO111" s="102">
        <f>$BS111*(VLOOKUP(DO$4, Rates_current!$H$6:$R$41, 10, FALSE)+VLOOKUP(DO$4, Rates_current!$H$6:$R$41, 11, FALSE))</f>
        <v>4112.5483898764605</v>
      </c>
      <c r="DP111" s="102">
        <f>$BS111*(VLOOKUP(DP$4, Rates_current!$H$6:$R$41, 10, FALSE)+VLOOKUP(DP$4, Rates_current!$H$6:$R$41, 11, FALSE))</f>
        <v>5322.3147572558237</v>
      </c>
      <c r="DQ111" s="102">
        <f>$BS111*(VLOOKUP(DQ$4, Rates_current!$H$6:$R$41, 10, FALSE)+VLOOKUP(DQ$4, Rates_current!$H$6:$R$41, 11, FALSE))</f>
        <v>5435.9616705773278</v>
      </c>
      <c r="DR111" s="102">
        <f>$BS111*(VLOOKUP(DR$4, Rates_current!$H$6:$R$41, 10, FALSE)+VLOOKUP(DR$4, Rates_current!$H$6:$R$41, 11, FALSE))</f>
        <v>4838.4760145046766</v>
      </c>
      <c r="DS111" s="102">
        <f>$BS111*(VLOOKUP(DS$4, Rates_current!$H$6:$R$41, 10, FALSE)+VLOOKUP(DS$4, Rates_current!$H$6:$R$41, 11, FALSE))</f>
        <v>4963.389043427389</v>
      </c>
      <c r="DT111" s="102">
        <f>$BS111*(VLOOKUP(DT$4, Rates_current!$H$6:$R$41, 10, FALSE)+VLOOKUP(DT$4, Rates_current!$H$6:$R$41, 11, FALSE))</f>
        <v>3854.6665615854936</v>
      </c>
      <c r="DU111" s="261">
        <f>IF(D111=0,IF(C111=0,MAX(0,DW111 - (VLOOKUP($A111,TOCA_current!$A$2:$AV$136,MATCH("RHWM "&amp;Init!$D$1,TOCA_current!$A$2:$AV$2,0),FALSE)*$BS$2)), 0),0)</f>
        <v>5263.27051827174</v>
      </c>
      <c r="DV111" s="262">
        <f>MIN(VLOOKUP($A111,TOCA_current!$A$2:$AV$136,MATCH("TRL - NLSL - Existing Resource "&amp;$BS$1,TOCA_current!$A$2:$AV$2,0),FALSE)*$BS$2, VLOOKUP($A111,TOCA_current!$A$2:$AV$136,MATCH("RHWM "&amp;Init!$D$1,TOCA_current!$A$2:$AV$2,0),FALSE)*$BS$2)</f>
        <v>59603.040000000001</v>
      </c>
      <c r="DW111" s="262">
        <f>SUM(BY111:CV111)+(BS111*RT1SC!$C$4*$BS$2)</f>
        <v>64866.310518271741</v>
      </c>
      <c r="DX111" s="262">
        <f>VLOOKUP($A111,TOCA_current!$A$2:$AV$136,MATCH("Above RHWM Not Served with LS "&amp;$BS$1,TOCA_current!$A$2:$AV$2,0),FALSE)*$BS$2</f>
        <v>0</v>
      </c>
      <c r="DY111" s="262">
        <f t="shared" si="43"/>
        <v>5263.27051827174</v>
      </c>
      <c r="DZ111" s="262">
        <f>(VLOOKUP($A111,TOCA_current!$A$2:$AV$136,MATCH("RHWM "&amp;Init!$D$1,TOCA_current!$A$2:$AV$2,0),FALSE)*$BS$2) - $DV111</f>
        <v>0</v>
      </c>
      <c r="EA111" s="262">
        <f t="shared" si="44"/>
        <v>0</v>
      </c>
      <c r="EB111" s="262">
        <f t="shared" si="45"/>
        <v>0</v>
      </c>
      <c r="EC111" s="262">
        <f t="shared" si="46"/>
        <v>0</v>
      </c>
      <c r="ED111" s="262">
        <f t="shared" si="47"/>
        <v>0</v>
      </c>
    </row>
    <row r="112" spans="1:134">
      <c r="A112" s="2">
        <v>10363</v>
      </c>
      <c r="B112" s="3" t="s">
        <v>114</v>
      </c>
      <c r="C112">
        <f>VLOOKUP(A112, TOCA_current!$A$3:$D$136, 4, FALSE)</f>
        <v>0</v>
      </c>
      <c r="D112">
        <v>0</v>
      </c>
      <c r="E112" s="84">
        <f>VLOOKUP($A112,TOCA_previous!$A$2:$AJ$136,MATCH(E$4,TOCA_previous!$A$2:$AJ$2,0),FALSE)</f>
        <v>1.3181399999999999E-2</v>
      </c>
      <c r="F112" s="85">
        <f>VLOOKUP($A112,TOCA_previous!$A$2:$AJ$136,MATCH(F$4,TOCA_previous!$A$2:$AJ$2,0),FALSE)</f>
        <v>1.3181399999999999E-2</v>
      </c>
      <c r="G112" s="85">
        <f t="shared" si="33"/>
        <v>0</v>
      </c>
      <c r="H112" s="85">
        <f>VLOOKUP($A112,TOCA_previous!$A$2:$AJ$136,MATCH(H$4,TOCA_previous!$A$2:$AJ$2,0),FALSE)</f>
        <v>0</v>
      </c>
      <c r="I112" s="85">
        <f t="shared" si="34"/>
        <v>0</v>
      </c>
      <c r="J112" s="85">
        <f t="shared" si="35"/>
        <v>0</v>
      </c>
      <c r="K112" s="101">
        <f>VLOOKUP(A112, IRD!$A$5:$C$138, 3, FALSE)</f>
        <v>0</v>
      </c>
      <c r="L112" s="102">
        <f t="array" ref="L112">IF($G112=0, INDEX(LS_previous!$D$4:$AY$137, MATCH('Staging Table'!$A112, LS_previous!$B$4:$B$137, 0), MATCH(L$4&amp;L$5, LS_previous!$D$2:$AY$2&amp;LS_previous!$D$3:$AY$3, 0)),SUM(VLOOKUP($A112, LS_previous!$B$4:$AY$137, LS_previous!D$148, FALSE), VLOOKUP('Staging Table'!$A112, LS_previous!$B$4:$AY$137,LS_previous!AB$148, FALSE))/2)</f>
        <v>5416.1121838695981</v>
      </c>
      <c r="M112" s="102">
        <f t="array" ref="M112">IF($G112=0, INDEX(LS_previous!$D$4:$AY$137, MATCH('Staging Table'!$A112, LS_previous!$B$4:$B$137, 0), MATCH(M$4&amp;M$5, LS_previous!$D$2:$AY$2&amp;LS_previous!$D$3:$AY$3, 0)),SUM(VLOOKUP($A112, LS_previous!$B$4:$AY$137, LS_previous!E$148, FALSE), VLOOKUP('Staging Table'!$A112, LS_previous!$B$4:$AY$137,LS_previous!AC$148, FALSE))/2)</f>
        <v>-73.013085705701087</v>
      </c>
      <c r="N112" s="102">
        <f t="array" ref="N112">IF($G112=0, INDEX(LS_previous!$D$4:$AY$137, MATCH('Staging Table'!$A112, LS_previous!$B$4:$B$137, 0), MATCH(N$4&amp;N$5, LS_previous!$D$2:$AY$2&amp;LS_previous!$D$3:$AY$3, 0)),SUM(VLOOKUP($A112, LS_previous!$B$4:$AY$137, LS_previous!F$148, FALSE), VLOOKUP('Staging Table'!$A112, LS_previous!$B$4:$AY$137,LS_previous!AD$148, FALSE))/2)</f>
        <v>-4946.0012652992009</v>
      </c>
      <c r="O112" s="102">
        <f t="array" ref="O112">IF($G112=0, INDEX(LS_previous!$D$4:$AY$137, MATCH('Staging Table'!$A112, LS_previous!$B$4:$B$137, 0), MATCH(O$4&amp;O$5, LS_previous!$D$2:$AY$2&amp;LS_previous!$D$3:$AY$3, 0)),SUM(VLOOKUP($A112, LS_previous!$B$4:$AY$137, LS_previous!G$148, FALSE), VLOOKUP('Staging Table'!$A112, LS_previous!$B$4:$AY$137,LS_previous!AE$148, FALSE))/2)</f>
        <v>-137.85758666340189</v>
      </c>
      <c r="P112" s="102">
        <f t="array" ref="P112">IF($G112=0, INDEX(LS_previous!$D$4:$AY$137, MATCH('Staging Table'!$A112, LS_previous!$B$4:$B$137, 0), MATCH(P$4&amp;P$5, LS_previous!$D$2:$AY$2&amp;LS_previous!$D$3:$AY$3, 0)),SUM(VLOOKUP($A112, LS_previous!$B$4:$AY$137, LS_previous!H$148, FALSE), VLOOKUP('Staging Table'!$A112, LS_previous!$B$4:$AY$137,LS_previous!AF$148, FALSE))/2)</f>
        <v>5297.9322799454021</v>
      </c>
      <c r="Q112" s="102">
        <f t="array" ref="Q112">IF($G112=0, INDEX(LS_previous!$D$4:$AY$137, MATCH('Staging Table'!$A112, LS_previous!$B$4:$B$137, 0), MATCH(Q$4&amp;Q$5, LS_previous!$D$2:$AY$2&amp;LS_previous!$D$3:$AY$3, 0)),SUM(VLOOKUP($A112, LS_previous!$B$4:$AY$137, LS_previous!I$148, FALSE), VLOOKUP('Staging Table'!$A112, LS_previous!$B$4:$AY$137,LS_previous!AG$148, FALSE))/2)</f>
        <v>3462.5666955455999</v>
      </c>
      <c r="R112" s="102">
        <f t="array" ref="R112">IF($G112=0, INDEX(LS_previous!$D$4:$AY$137, MATCH('Staging Table'!$A112, LS_previous!$B$4:$B$137, 0), MATCH(R$4&amp;R$5, LS_previous!$D$2:$AY$2&amp;LS_previous!$D$3:$AY$3, 0)),SUM(VLOOKUP($A112, LS_previous!$B$4:$AY$137, LS_previous!J$148, FALSE), VLOOKUP('Staging Table'!$A112, LS_previous!$B$4:$AY$137,LS_previous!AH$148, FALSE))/2)</f>
        <v>2209.2942278990013</v>
      </c>
      <c r="S112" s="102">
        <f t="array" ref="S112">IF($G112=0, INDEX(LS_previous!$D$4:$AY$137, MATCH('Staging Table'!$A112, LS_previous!$B$4:$B$137, 0), MATCH(S$4&amp;S$5, LS_previous!$D$2:$AY$2&amp;LS_previous!$D$3:$AY$3, 0)),SUM(VLOOKUP($A112, LS_previous!$B$4:$AY$137, LS_previous!K$148, FALSE), VLOOKUP('Staging Table'!$A112, LS_previous!$B$4:$AY$137,LS_previous!AI$148, FALSE))/2)</f>
        <v>3423.0143845393977</v>
      </c>
      <c r="T112" s="102">
        <f t="array" ref="T112">IF($G112=0, INDEX(LS_previous!$D$4:$AY$137, MATCH('Staging Table'!$A112, LS_previous!$B$4:$B$137, 0), MATCH(T$4&amp;T$5, LS_previous!$D$2:$AY$2&amp;LS_previous!$D$3:$AY$3, 0)),SUM(VLOOKUP($A112, LS_previous!$B$4:$AY$137, LS_previous!L$148, FALSE), VLOOKUP('Staging Table'!$A112, LS_previous!$B$4:$AY$137,LS_previous!AJ$148, FALSE))/2)</f>
        <v>194.75032054940675</v>
      </c>
      <c r="U112" s="102">
        <f t="array" ref="U112">IF($G112=0, INDEX(LS_previous!$D$4:$AY$137, MATCH('Staging Table'!$A112, LS_previous!$B$4:$B$137, 0), MATCH(U$4&amp;U$5, LS_previous!$D$2:$AY$2&amp;LS_previous!$D$3:$AY$3, 0)),SUM(VLOOKUP($A112, LS_previous!$B$4:$AY$137, LS_previous!M$148, FALSE), VLOOKUP('Staging Table'!$A112, LS_previous!$B$4:$AY$137,LS_previous!AK$148, FALSE))/2)</f>
        <v>2405.6783176374011</v>
      </c>
      <c r="V112" s="102">
        <f t="array" ref="V112">IF($G112=0, INDEX(LS_previous!$D$4:$AY$137, MATCH('Staging Table'!$A112, LS_previous!$B$4:$B$137, 0), MATCH(V$4&amp;V$5, LS_previous!$D$2:$AY$2&amp;LS_previous!$D$3:$AY$3, 0)),SUM(VLOOKUP($A112, LS_previous!$B$4:$AY$137, LS_previous!N$148, FALSE), VLOOKUP('Staging Table'!$A112, LS_previous!$B$4:$AY$137,LS_previous!AL$148, FALSE))/2)</f>
        <v>-2338.4867960981937</v>
      </c>
      <c r="W112" s="102">
        <f t="array" ref="W112">IF($G112=0, INDEX(LS_previous!$D$4:$AY$137, MATCH('Staging Table'!$A112, LS_previous!$B$4:$B$137, 0), MATCH(W$4&amp;W$5, LS_previous!$D$2:$AY$2&amp;LS_previous!$D$3:$AY$3, 0)),SUM(VLOOKUP($A112, LS_previous!$B$4:$AY$137, LS_previous!O$148, FALSE), VLOOKUP('Staging Table'!$A112, LS_previous!$B$4:$AY$137,LS_previous!AM$148, FALSE))/2)</f>
        <v>-906.29402452919749</v>
      </c>
      <c r="X112" s="102">
        <f t="array" ref="X112">IF($G112=0, INDEX(LS_previous!$D$4:$AY$137, MATCH('Staging Table'!$A112, LS_previous!$B$4:$B$137, 0), MATCH(X$4&amp;X$5, LS_previous!$D$2:$AY$2&amp;LS_previous!$D$3:$AY$3, 0)),SUM(VLOOKUP($A112, LS_previous!$B$4:$AY$137, LS_previous!P$148, FALSE), VLOOKUP('Staging Table'!$A112, LS_previous!$B$4:$AY$137,LS_previous!AN$148, FALSE))/2)</f>
        <v>3035.6701216615038</v>
      </c>
      <c r="Y112" s="102">
        <f t="array" ref="Y112">IF($G112=0, INDEX(LS_previous!$D$4:$AY$137, MATCH('Staging Table'!$A112, LS_previous!$B$4:$B$137, 0), MATCH(Y$4&amp;Y$5, LS_previous!$D$2:$AY$2&amp;LS_previous!$D$3:$AY$3, 0)),SUM(VLOOKUP($A112, LS_previous!$B$4:$AY$137, LS_previous!Q$148, FALSE), VLOOKUP('Staging Table'!$A112, LS_previous!$B$4:$AY$137,LS_previous!AO$148, FALSE))/2)</f>
        <v>-356.70272471144563</v>
      </c>
      <c r="Z112" s="102">
        <f t="array" ref="Z112">IF($G112=0, INDEX(LS_previous!$D$4:$AY$137, MATCH('Staging Table'!$A112, LS_previous!$B$4:$B$137, 0), MATCH(Z$4&amp;Z$5, LS_previous!$D$2:$AY$2&amp;LS_previous!$D$3:$AY$3, 0)),SUM(VLOOKUP($A112, LS_previous!$B$4:$AY$137, LS_previous!R$148, FALSE), VLOOKUP('Staging Table'!$A112, LS_previous!$B$4:$AY$137,LS_previous!AP$148, FALSE))/2)</f>
        <v>-10940.754600227199</v>
      </c>
      <c r="AA112" s="102">
        <f t="array" ref="AA112">IF($G112=0, INDEX(LS_previous!$D$4:$AY$137, MATCH('Staging Table'!$A112, LS_previous!$B$4:$B$137, 0), MATCH(AA$4&amp;AA$5, LS_previous!$D$2:$AY$2&amp;LS_previous!$D$3:$AY$3, 0)),SUM(VLOOKUP($A112, LS_previous!$B$4:$AY$137, LS_previous!S$148, FALSE), VLOOKUP('Staging Table'!$A112, LS_previous!$B$4:$AY$137,LS_previous!AQ$148, FALSE))/2)</f>
        <v>-6230.1414058518967</v>
      </c>
      <c r="AB112" s="102">
        <f t="array" ref="AB112">IF($G112=0, INDEX(LS_previous!$D$4:$AY$137, MATCH('Staging Table'!$A112, LS_previous!$B$4:$B$137, 0), MATCH(AB$4&amp;AB$5, LS_previous!$D$2:$AY$2&amp;LS_previous!$D$3:$AY$3, 0)),SUM(VLOOKUP($A112, LS_previous!$B$4:$AY$137, LS_previous!T$148, FALSE), VLOOKUP('Staging Table'!$A112, LS_previous!$B$4:$AY$137,LS_previous!AR$148, FALSE))/2)</f>
        <v>-11373.290475776397</v>
      </c>
      <c r="AC112" s="102">
        <f t="array" ref="AC112">IF($G112=0, INDEX(LS_previous!$D$4:$AY$137, MATCH('Staging Table'!$A112, LS_previous!$B$4:$B$137, 0), MATCH(AC$4&amp;AC$5, LS_previous!$D$2:$AY$2&amp;LS_previous!$D$3:$AY$3, 0)),SUM(VLOOKUP($A112, LS_previous!$B$4:$AY$137, LS_previous!U$148, FALSE), VLOOKUP('Staging Table'!$A112, LS_previous!$B$4:$AY$137,LS_previous!AS$148, FALSE))/2)</f>
        <v>-8121.6022033862973</v>
      </c>
      <c r="AD112" s="102">
        <f t="array" ref="AD112">IF($G112=0, INDEX(LS_previous!$D$4:$AY$137, MATCH('Staging Table'!$A112, LS_previous!$B$4:$B$137, 0), MATCH(AD$4&amp;AD$5, LS_previous!$D$2:$AY$2&amp;LS_previous!$D$3:$AY$3, 0)),SUM(VLOOKUP($A112, LS_previous!$B$4:$AY$137, LS_previous!V$148, FALSE), VLOOKUP('Staging Table'!$A112, LS_previous!$B$4:$AY$137,LS_previous!AT$148, FALSE))/2)</f>
        <v>-2423.7064939896009</v>
      </c>
      <c r="AE112" s="102">
        <f t="array" ref="AE112">IF($G112=0, INDEX(LS_previous!$D$4:$AY$137, MATCH('Staging Table'!$A112, LS_previous!$B$4:$B$137, 0), MATCH(AE$4&amp;AE$5, LS_previous!$D$2:$AY$2&amp;LS_previous!$D$3:$AY$3, 0)),SUM(VLOOKUP($A112, LS_previous!$B$4:$AY$137, LS_previous!W$148, FALSE), VLOOKUP('Staging Table'!$A112, LS_previous!$B$4:$AY$137,LS_previous!AU$148, FALSE))/2)</f>
        <v>-2180.1238421284979</v>
      </c>
      <c r="AF112" s="102">
        <f t="array" ref="AF112">IF($G112=0, INDEX(LS_previous!$D$4:$AY$137, MATCH('Staging Table'!$A112, LS_previous!$B$4:$B$137, 0), MATCH(AF$4&amp;AF$5, LS_previous!$D$2:$AY$2&amp;LS_previous!$D$3:$AY$3, 0)),SUM(VLOOKUP($A112, LS_previous!$B$4:$AY$137, LS_previous!X$148, FALSE), VLOOKUP('Staging Table'!$A112, LS_previous!$B$4:$AY$137,LS_previous!AV$148, FALSE))/2)</f>
        <v>-1606.5990666100988</v>
      </c>
      <c r="AG112" s="102">
        <f t="array" ref="AG112">IF($G112=0, INDEX(LS_previous!$D$4:$AY$137, MATCH('Staging Table'!$A112, LS_previous!$B$4:$B$137, 0), MATCH(AG$4&amp;AG$5, LS_previous!$D$2:$AY$2&amp;LS_previous!$D$3:$AY$3, 0)),SUM(VLOOKUP($A112, LS_previous!$B$4:$AY$137, LS_previous!Y$148, FALSE), VLOOKUP('Staging Table'!$A112, LS_previous!$B$4:$AY$137,LS_previous!AW$148, FALSE))/2)</f>
        <v>-340.4865257347883</v>
      </c>
      <c r="AH112" s="102">
        <f t="array" ref="AH112">IF($G112=0, INDEX(LS_previous!$D$4:$AY$137, MATCH('Staging Table'!$A112, LS_previous!$B$4:$B$137, 0), MATCH(AH$4&amp;AH$5, LS_previous!$D$2:$AY$2&amp;LS_previous!$D$3:$AY$3, 0)),SUM(VLOOKUP($A112, LS_previous!$B$4:$AY$137, LS_previous!Z$148, FALSE), VLOOKUP('Staging Table'!$A112, LS_previous!$B$4:$AY$137,LS_previous!AX$148, FALSE))/2)</f>
        <v>-1183.805364903601</v>
      </c>
      <c r="AI112" s="102">
        <f t="array" ref="AI112">IF($G112=0, INDEX(LS_previous!$D$4:$AY$137, MATCH('Staging Table'!$A112, LS_previous!$B$4:$B$137, 0), MATCH(AI$4&amp;AI$5, LS_previous!$D$2:$AY$2&amp;LS_previous!$D$3:$AY$3, 0)),SUM(VLOOKUP($A112, LS_previous!$B$4:$AY$137, LS_previous!AA$148, FALSE), VLOOKUP('Staging Table'!$A112, LS_previous!$B$4:$AY$137,LS_previous!AY$148, FALSE))/2)</f>
        <v>-3037.1325074655979</v>
      </c>
      <c r="AJ112" s="103">
        <f t="array" ref="AJ112">INDEX(Demand_previous!$D$4:$AY$137, MATCH('Staging Table'!$A112, Demand_previous!$B$4:$B$137, 0), MATCH(AJ$4&amp;AJ$5,Demand_previous!$D$2:$AY$2&amp;Demand_previous!$D$3:$AY$3, 0))/1000</f>
        <v>0</v>
      </c>
      <c r="AK112" s="103">
        <f t="array" ref="AK112">INDEX(Demand_previous!$D$4:$AY$137, MATCH('Staging Table'!$A112, Demand_previous!$B$4:$B$137, 0), MATCH(AK$4&amp;AK$5,Demand_previous!$D$2:$AY$2&amp;Demand_previous!$D$3:$AY$3, 0))/1000</f>
        <v>19.593720000000008</v>
      </c>
      <c r="AL112" s="103">
        <f t="array" ref="AL112">INDEX(Demand_previous!$D$4:$AY$137, MATCH('Staging Table'!$A112, Demand_previous!$B$4:$B$137, 0), MATCH(AL$4&amp;AL$5,Demand_previous!$D$2:$AY$2&amp;Demand_previous!$D$3:$AY$3, 0))/1000</f>
        <v>4.5638424999999891</v>
      </c>
      <c r="AM112" s="103">
        <f t="array" ref="AM112">INDEX(Demand_previous!$D$4:$AY$137, MATCH('Staging Table'!$A112, Demand_previous!$B$4:$B$137, 0), MATCH(AM$4&amp;AM$5,Demand_previous!$D$2:$AY$2&amp;Demand_previous!$D$3:$AY$3, 0))/1000</f>
        <v>14.387853365384625</v>
      </c>
      <c r="AN112" s="103">
        <f t="array" ref="AN112">INDEX(Demand_previous!$D$4:$AY$137, MATCH('Staging Table'!$A112, Demand_previous!$B$4:$B$137, 0), MATCH(AN$4&amp;AN$5,Demand_previous!$D$2:$AY$2&amp;Demand_previous!$D$3:$AY$3, 0))/1000</f>
        <v>10.509709999999991</v>
      </c>
      <c r="AO112" s="103">
        <f t="array" ref="AO112">INDEX(Demand_previous!$D$4:$AY$137, MATCH('Staging Table'!$A112, Demand_previous!$B$4:$B$137, 0), MATCH(AO$4&amp;AO$5,Demand_previous!$D$2:$AY$2&amp;Demand_previous!$D$3:$AY$3, 0))/1000</f>
        <v>15.053026442307697</v>
      </c>
      <c r="AP112" s="103">
        <f t="array" ref="AP112">INDEX(Demand_previous!$D$4:$AY$137, MATCH('Staging Table'!$A112, Demand_previous!$B$4:$B$137, 0), MATCH(AP$4&amp;AP$5,Demand_previous!$D$2:$AY$2&amp;Demand_previous!$D$3:$AY$3, 0))/1000</f>
        <v>5.6473461538461542</v>
      </c>
      <c r="AQ112" s="103">
        <f t="array" ref="AQ112">INDEX(Demand_previous!$D$4:$AY$137, MATCH('Staging Table'!$A112, Demand_previous!$B$4:$B$137, 0), MATCH(AQ$4&amp;AQ$5,Demand_previous!$D$2:$AY$2&amp;Demand_previous!$D$3:$AY$3, 0))/1000</f>
        <v>7.7983076923076844</v>
      </c>
      <c r="AR112" s="103">
        <f t="array" ref="AR112">INDEX(Demand_previous!$D$4:$AY$137, MATCH('Staging Table'!$A112, Demand_previous!$B$4:$B$137, 0), MATCH(AR$4&amp;AR$5,Demand_previous!$D$2:$AY$2&amp;Demand_previous!$D$3:$AY$3, 0))/1000</f>
        <v>17.892505</v>
      </c>
      <c r="AS112" s="103">
        <f t="array" ref="AS112">INDEX(Demand_previous!$D$4:$AY$137, MATCH('Staging Table'!$A112, Demand_previous!$B$4:$B$137, 0), MATCH(AS$4&amp;AS$5,Demand_previous!$D$2:$AY$2&amp;Demand_previous!$D$3:$AY$3, 0))/1000</f>
        <v>14.395072115384618</v>
      </c>
      <c r="AT112" s="103">
        <f t="array" ref="AT112">INDEX(Demand_previous!$D$4:$AY$137, MATCH('Staging Table'!$A112, Demand_previous!$B$4:$B$137, 0), MATCH(AT$4&amp;AT$5,Demand_previous!$D$2:$AY$2&amp;Demand_previous!$D$3:$AY$3, 0))/1000</f>
        <v>26.969400462962966</v>
      </c>
      <c r="AU112" s="103">
        <f t="array" ref="AU112">INDEX(Demand_previous!$D$4:$AY$137, MATCH('Staging Table'!$A112, Demand_previous!$B$4:$B$137, 0), MATCH(AU$4&amp;AU$5,Demand_previous!$D$2:$AY$2&amp;Demand_previous!$D$3:$AY$3, 0))/1000</f>
        <v>13.983984375000013</v>
      </c>
      <c r="AV112" s="102">
        <f>$F112*(VLOOKUP(AV$4, Rates_previous!$G$6:$Q$29, 10, FALSE)+VLOOKUP(AV$4, Rates_previous!$G$6:$Q$29, 11, FALSE))</f>
        <v>55609.739901836096</v>
      </c>
      <c r="AW112" s="102">
        <f>$F112*(VLOOKUP(AW$4, Rates_previous!$G$6:$Q$29, 10, FALSE)+VLOOKUP(AW$4, Rates_previous!$G$6:$Q$29, 11, FALSE))</f>
        <v>70920.755851962604</v>
      </c>
      <c r="AX112" s="102">
        <f>$F112*(VLOOKUP(AX$4, Rates_previous!$G$6:$Q$29, 10, FALSE)+VLOOKUP(AX$4, Rates_previous!$G$6:$Q$29, 11, FALSE))</f>
        <v>76537.528024508996</v>
      </c>
      <c r="AY112" s="102">
        <f>$F112*(VLOOKUP(AY$4, Rates_previous!$G$6:$Q$29, 10, FALSE)+VLOOKUP(AY$4, Rates_previous!$G$6:$Q$29, 11, FALSE))</f>
        <v>79534.323387561599</v>
      </c>
      <c r="AZ112" s="102">
        <f>$F112*(VLOOKUP(AZ$4, Rates_previous!$G$6:$Q$29, 10, FALSE)+VLOOKUP(AZ$4, Rates_previous!$G$6:$Q$29, 11, FALSE))</f>
        <v>68410.119361813195</v>
      </c>
      <c r="BA112" s="102">
        <f>$F112*(VLOOKUP(BA$4, Rates_previous!$G$6:$Q$29, 10, FALSE)+VLOOKUP(BA$4, Rates_previous!$G$6:$Q$29, 11, FALSE))</f>
        <v>74690.3058206274</v>
      </c>
      <c r="BB112" s="102">
        <f>$F112*(VLOOKUP(BB$4, Rates_previous!$G$6:$Q$29, 10, FALSE)+VLOOKUP(BB$4, Rates_previous!$G$6:$Q$29, 11, FALSE))</f>
        <v>58955.409603049942</v>
      </c>
      <c r="BC112" s="102">
        <f>$F112*(VLOOKUP(BC$4, Rates_previous!$G$6:$Q$29, 10, FALSE)+VLOOKUP(BC$4, Rates_previous!$G$6:$Q$29, 11, FALSE))</f>
        <v>73142.086006079102</v>
      </c>
      <c r="BD112" s="102">
        <f>$F112*(VLOOKUP(BD$4, Rates_previous!$G$6:$Q$29, 10, FALSE)+VLOOKUP(BD$4, Rates_previous!$G$6:$Q$29, 11, FALSE))</f>
        <v>74729.08667916269</v>
      </c>
      <c r="BE112" s="102">
        <f>$F112*(VLOOKUP(BE$4, Rates_previous!$G$6:$Q$29, 10, FALSE)+VLOOKUP(BE$4, Rates_previous!$G$6:$Q$29, 11, FALSE))</f>
        <v>64875.613336118098</v>
      </c>
      <c r="BF112" s="102">
        <f>$F112*(VLOOKUP(BF$4, Rates_previous!$G$6:$Q$29, 10, FALSE)+VLOOKUP(BF$4, Rates_previous!$G$6:$Q$29, 11, FALSE))</f>
        <v>62717.473592344897</v>
      </c>
      <c r="BG112" s="102">
        <f>$F112*(VLOOKUP(BG$4, Rates_previous!$G$6:$Q$29, 10, FALSE)+VLOOKUP(BG$4, Rates_previous!$G$6:$Q$29, 11, FALSE))</f>
        <v>57712.220872369202</v>
      </c>
      <c r="BH112" s="103">
        <f>IF($D112=0,IF(C112=0, MAX(BJ112 - (VLOOKUP($A112,TOCA_previous!$A$2:$AJ$136,MATCH("RHWM "&amp;Init!$D$1-2,TOCA_previous!$A$2:$AJ$2,0),FALSE)*$F$2*TOCA_previous!C109),0),0), 0)</f>
        <v>0</v>
      </c>
      <c r="BI112" s="109">
        <f>MIN(VLOOKUP($A112,TOCA_previous!$A$2:$AJ$136,MATCH("TRL - NLSL - Existing Resource "&amp;$F$1,TOCA_previous!$A$2:$AJ$2,0),FALSE)*$F$2,(VLOOKUP($A112,TOCA_previous!$A$2:$AJ$136,MATCH("RHWM "&amp;Init!$D$1-2,TOCA_previous!$A$2:$AJ$2,0),FALSE)*$F$2))</f>
        <v>799783.2</v>
      </c>
      <c r="BJ112" s="261">
        <f>SUM(L112:AI112)+(F112*RT1SC!$C$3*$F$2)</f>
        <v>787083.68674879021</v>
      </c>
      <c r="BK112" s="260">
        <f>VLOOKUP($A112,TOCA_previous!$A$2:$AJ$136,MATCH("Above RHWM Not Served with LS "&amp;$F$1,TOCA_previous!$A$2:$AJ$2,0),FALSE)*$F$2</f>
        <v>0</v>
      </c>
      <c r="BL112" s="261">
        <f t="shared" si="36"/>
        <v>-12699.513251209748</v>
      </c>
      <c r="BM112" s="260">
        <f>(VLOOKUP($A112,TOCA_previous!$A$2:$AJ$136,MATCH("RHWM "&amp;Init!$D$1-2,TOCA_previous!$A$2:$AJ$2,0),FALSE)*$F$2) - $BI112</f>
        <v>84818.30400000012</v>
      </c>
      <c r="BN112" s="261">
        <f t="shared" si="37"/>
        <v>0</v>
      </c>
      <c r="BO112" s="260">
        <f t="shared" si="38"/>
        <v>12699.513251209748</v>
      </c>
      <c r="BP112" s="261">
        <f t="shared" si="39"/>
        <v>0</v>
      </c>
      <c r="BQ112" s="260">
        <f t="shared" si="9"/>
        <v>12699.513251209748</v>
      </c>
      <c r="BR112" s="85">
        <f>VLOOKUP($A112,TOCA_current!$A$2:$ZZ$136,MATCH(BR$4,TOCA_current!$A$2:$ZZ$2,0),FALSE)</f>
        <v>1.2637900000000001E-2</v>
      </c>
      <c r="BS112" s="85">
        <f>VLOOKUP($A112,TOCA_current!$A$2:$ZZ$136,MATCH(BS$4,TOCA_current!$A$2:$ZZ$2,0),FALSE)</f>
        <v>1.2637900000000001E-2</v>
      </c>
      <c r="BT112" s="108">
        <f t="shared" si="40"/>
        <v>0</v>
      </c>
      <c r="BU112" s="85">
        <f>VLOOKUP($A112,TOCA_current!A109:BG243,MATCH(BU$4,TOCA_current!$A$2:$BG$2,0),FALSE)</f>
        <v>0</v>
      </c>
      <c r="BV112" s="85">
        <f t="shared" si="41"/>
        <v>0</v>
      </c>
      <c r="BW112" s="85">
        <f t="shared" si="42"/>
        <v>0</v>
      </c>
      <c r="BX112" s="101">
        <f>VLOOKUP($A112,IRD!$A$4:$G$138, 7, FALSE)</f>
        <v>0</v>
      </c>
      <c r="BY112" s="102">
        <f t="array" ref="BY112">IF($BT112=0, INDEX(LS_current!$D$4:$BW$137, MATCH('Staging Table'!$A112, LS_current!$B$4:$B$137, 0), MATCH(BY$4&amp;BY$5, LS_current!$D$2:$BW$2&amp;LS_current!$D$3:$BW$3, 0)),SUM(VLOOKUP($A112, LS_current!$B$4:$BW$137, LS_current!D$147, FALSE), VLOOKUP($A112, LS_current!$B$4:$BW$137,LS_current!AZ$147, FALSE))/2)</f>
        <v>6378.7485471791479</v>
      </c>
      <c r="BZ112" s="102">
        <f t="array" ref="BZ112">IF($BT112=0, INDEX(LS_current!$D$4:$BW$137, MATCH('Staging Table'!$A112, LS_current!$B$4:$B$137, 0), MATCH(BZ$4&amp;BZ$5, LS_current!$D$2:$BW$2&amp;LS_current!$D$3:$BW$3, 0)),SUM(VLOOKUP($A112, LS_current!$B$4:$BW$137, LS_current!E$147, FALSE), VLOOKUP($A112, LS_current!$B$4:$BW$137,LS_current!BA$147, FALSE))/2)</f>
        <v>2123.1706831166521</v>
      </c>
      <c r="CA112" s="102">
        <f t="array" ref="CA112">IF($BT112=0, INDEX(LS_current!$D$4:$BW$137, MATCH('Staging Table'!$A112, LS_current!$B$4:$B$137, 0), MATCH(CA$4&amp;CA$5, LS_current!$D$2:$BW$2&amp;LS_current!$D$3:$BW$3, 0)),SUM(VLOOKUP($A112, LS_current!$B$4:$BW$137, LS_current!F$147, FALSE), VLOOKUP($A112, LS_current!$B$4:$BW$137,LS_current!BB$147, FALSE))/2)</f>
        <v>-2427.5301927022665</v>
      </c>
      <c r="CB112" s="102">
        <f t="array" ref="CB112">IF($BT112=0, INDEX(LS_current!$D$4:$BW$137, MATCH('Staging Table'!$A112, LS_current!$B$4:$B$137, 0), MATCH(CB$4&amp;CB$5, LS_current!$D$2:$BW$2&amp;LS_current!$D$3:$BW$3, 0)),SUM(VLOOKUP($A112, LS_current!$B$4:$BW$137, LS_current!G$147, FALSE), VLOOKUP($A112, LS_current!$B$4:$BW$137,LS_current!BC$147, FALSE))/2)</f>
        <v>1207.6525360026535</v>
      </c>
      <c r="CC112" s="102">
        <f t="array" ref="CC112">IF($BT112=0, INDEX(LS_current!$D$4:$BW$137, MATCH('Staging Table'!$A112, LS_current!$B$4:$B$137, 0), MATCH(CC$4&amp;CC$5, LS_current!$D$2:$BW$2&amp;LS_current!$D$3:$BW$3, 0)),SUM(VLOOKUP($A112, LS_current!$B$4:$BW$137, LS_current!H$147, FALSE), VLOOKUP($A112, LS_current!$B$4:$BW$137,LS_current!BD$147, FALSE))/2)</f>
        <v>2833.3861086532634</v>
      </c>
      <c r="CD112" s="102">
        <f t="array" ref="CD112">IF($BT112=0, INDEX(LS_current!$D$4:$BW$137, MATCH('Staging Table'!$A112, LS_current!$B$4:$B$137, 0), MATCH(CD$4&amp;CD$5, LS_current!$D$2:$BW$2&amp;LS_current!$D$3:$BW$3, 0)),SUM(VLOOKUP($A112, LS_current!$B$4:$BW$137, LS_current!I$147, FALSE), VLOOKUP($A112, LS_current!$B$4:$BW$137,LS_current!BE$147, FALSE))/2)</f>
        <v>6226.6965310221349</v>
      </c>
      <c r="CE112" s="102">
        <f t="array" ref="CE112">IF($BT112=0, INDEX(LS_current!$D$4:$BW$137, MATCH('Staging Table'!$A112, LS_current!$B$4:$B$137, 0), MATCH(CE$4&amp;CE$5, LS_current!$D$2:$BW$2&amp;LS_current!$D$3:$BW$3, 0)),SUM(VLOOKUP($A112, LS_current!$B$4:$BW$137, LS_current!J$147, FALSE), VLOOKUP($A112, LS_current!$B$4:$BW$137,LS_current!BF$147, FALSE))/2)</f>
        <v>750.85466191161686</v>
      </c>
      <c r="CF112" s="102">
        <f t="array" ref="CF112">IF($BT112=0, INDEX(LS_current!$D$4:$BW$137, MATCH('Staging Table'!$A112, LS_current!$B$4:$B$137, 0), MATCH(CF$4&amp;CF$5, LS_current!$D$2:$BW$2&amp;LS_current!$D$3:$BW$3, 0)),SUM(VLOOKUP($A112, LS_current!$B$4:$BW$137, LS_current!K$147, FALSE), VLOOKUP($A112, LS_current!$B$4:$BW$137,LS_current!BG$147, FALSE))/2)</f>
        <v>3978.794988988946</v>
      </c>
      <c r="CG112" s="102">
        <f t="array" ref="CG112">IF($BT112=0, INDEX(LS_current!$D$4:$BW$137, MATCH('Staging Table'!$A112, LS_current!$B$4:$B$137, 0), MATCH(CG$4&amp;CG$5, LS_current!$D$2:$BW$2&amp;LS_current!$D$3:$BW$3, 0)),SUM(VLOOKUP($A112, LS_current!$B$4:$BW$137, LS_current!L$147, FALSE), VLOOKUP($A112, LS_current!$B$4:$BW$137,LS_current!BH$147, FALSE))/2)</f>
        <v>2902.7135713578682</v>
      </c>
      <c r="CH112" s="102">
        <f t="array" ref="CH112">IF($BT112=0, INDEX(LS_current!$D$4:$BW$137, MATCH('Staging Table'!$A112, LS_current!$B$4:$B$137, 0), MATCH(CH$4&amp;CH$5, LS_current!$D$2:$BW$2&amp;LS_current!$D$3:$BW$3, 0)),SUM(VLOOKUP($A112, LS_current!$B$4:$BW$137, LS_current!M$147, FALSE), VLOOKUP($A112, LS_current!$B$4:$BW$137,LS_current!BI$147, FALSE))/2)</f>
        <v>4006.8192115542734</v>
      </c>
      <c r="CI112" s="102">
        <f t="array" ref="CI112">IF($BT112=0, INDEX(LS_current!$D$4:$BW$137, MATCH('Staging Table'!$A112, LS_current!$B$4:$B$137, 0), MATCH(CI$4&amp;CI$5, LS_current!$D$2:$BW$2&amp;LS_current!$D$3:$BW$3, 0)),SUM(VLOOKUP($A112, LS_current!$B$4:$BW$137, LS_current!N$147, FALSE), VLOOKUP($A112, LS_current!$B$4:$BW$137,LS_current!BJ$147, FALSE))/2)</f>
        <v>-2438.6480686174837</v>
      </c>
      <c r="CJ112" s="102">
        <f t="array" ref="CJ112">IF($BT112=0, INDEX(LS_current!$D$4:$BW$137, MATCH('Staging Table'!$A112, LS_current!$B$4:$B$137, 0), MATCH(CJ$4&amp;CJ$5, LS_current!$D$2:$BW$2&amp;LS_current!$D$3:$BW$3, 0)),SUM(VLOOKUP($A112, LS_current!$B$4:$BW$137, LS_current!O$147, FALSE), VLOOKUP($A112, LS_current!$B$4:$BW$137,LS_current!BK$147, FALSE))/2)</f>
        <v>3808.5999244826453</v>
      </c>
      <c r="CK112" s="102">
        <f t="array" ref="CK112">IF($BT112=0, INDEX(LS_current!$D$4:$BW$137, MATCH('Staging Table'!$A112, LS_current!$B$4:$B$137, 0), MATCH(CK$4&amp;CK$5, LS_current!$D$2:$BW$2&amp;LS_current!$D$3:$BW$3, 0)),SUM(VLOOKUP($A112, LS_current!$B$4:$BW$137, LS_current!P$147, FALSE), VLOOKUP($A112, LS_current!$B$4:$BW$137,LS_current!BL$147, FALSE))/2)</f>
        <v>5482.0188485689141</v>
      </c>
      <c r="CL112" s="102">
        <f t="array" ref="CL112">IF($BT112=0, INDEX(LS_current!$D$4:$BW$137, MATCH('Staging Table'!$A112, LS_current!$B$4:$B$137, 0), MATCH(CL$4&amp;CL$5, LS_current!$D$2:$BW$2&amp;LS_current!$D$3:$BW$3, 0)),SUM(VLOOKUP($A112, LS_current!$B$4:$BW$137, LS_current!Q$147, FALSE), VLOOKUP($A112, LS_current!$B$4:$BW$137,LS_current!BM$147, FALSE))/2)</f>
        <v>1843.0840694877988</v>
      </c>
      <c r="CM112" s="102">
        <f t="array" ref="CM112">IF($BT112=0, INDEX(LS_current!$D$4:$BW$137, MATCH('Staging Table'!$A112, LS_current!$B$4:$B$137, 0), MATCH(CM$4&amp;CM$5, LS_current!$D$2:$BW$2&amp;LS_current!$D$3:$BW$3, 0)),SUM(VLOOKUP($A112, LS_current!$B$4:$BW$137, LS_current!R$147, FALSE), VLOOKUP($A112, LS_current!$B$4:$BW$137,LS_current!BN$147, FALSE))/2)</f>
        <v>-9055.1509584903033</v>
      </c>
      <c r="CN112" s="102">
        <f t="array" ref="CN112">IF($BT112=0, INDEX(LS_current!$D$4:$BW$137, MATCH('Staging Table'!$A112, LS_current!$B$4:$B$137, 0), MATCH(CN$4&amp;CN$5, LS_current!$D$2:$BW$2&amp;LS_current!$D$3:$BW$3, 0)),SUM(VLOOKUP($A112, LS_current!$B$4:$BW$137, LS_current!S$147, FALSE), VLOOKUP($A112, LS_current!$B$4:$BW$137,LS_current!BO$147, FALSE))/2)</f>
        <v>-5258.8018531328744</v>
      </c>
      <c r="CO112" s="102">
        <f t="array" ref="CO112">IF($BT112=0, INDEX(LS_current!$D$4:$BW$137, MATCH('Staging Table'!$A112, LS_current!$B$4:$B$137, 0), MATCH(CO$4&amp;CO$5, LS_current!$D$2:$BW$2&amp;LS_current!$D$3:$BW$3, 0)),SUM(VLOOKUP($A112, LS_current!$B$4:$BW$137, LS_current!T$147, FALSE), VLOOKUP($A112, LS_current!$B$4:$BW$137,LS_current!BP$147, FALSE))/2)</f>
        <v>-11233.42539602553</v>
      </c>
      <c r="CP112" s="102">
        <f t="array" ref="CP112">IF($BT112=0, INDEX(LS_current!$D$4:$BW$137, MATCH('Staging Table'!$A112, LS_current!$B$4:$B$137, 0), MATCH(CP$4&amp;CP$5, LS_current!$D$2:$BW$2&amp;LS_current!$D$3:$BW$3, 0)),SUM(VLOOKUP($A112, LS_current!$B$4:$BW$137, LS_current!U$147, FALSE), VLOOKUP($A112, LS_current!$B$4:$BW$137,LS_current!BQ$147, FALSE))/2)</f>
        <v>-5318.3158146215137</v>
      </c>
      <c r="CQ112" s="102">
        <f t="array" ref="CQ112">IF($BT112=0, INDEX(LS_current!$D$4:$BW$137, MATCH('Staging Table'!$A112, LS_current!$B$4:$B$137, 0), MATCH(CQ$4&amp;CQ$5, LS_current!$D$2:$BW$2&amp;LS_current!$D$3:$BW$3, 0)),SUM(VLOOKUP($A112, LS_current!$B$4:$BW$137, LS_current!V$147, FALSE), VLOOKUP($A112, LS_current!$B$4:$BW$137,LS_current!BR$147, FALSE))/2)</f>
        <v>-2483.6443354851508</v>
      </c>
      <c r="CR112" s="102">
        <f t="array" ref="CR112">IF($BT112=0, INDEX(LS_current!$D$4:$BW$137, MATCH('Staging Table'!$A112, LS_current!$B$4:$B$137, 0), MATCH(CR$4&amp;CR$5, LS_current!$D$2:$BW$2&amp;LS_current!$D$3:$BW$3, 0)),SUM(VLOOKUP($A112, LS_current!$B$4:$BW$137, LS_current!W$147, FALSE), VLOOKUP($A112, LS_current!$B$4:$BW$137,LS_current!BS$147, FALSE))/2)</f>
        <v>-1140.2633893932871</v>
      </c>
      <c r="CS112" s="102">
        <f t="array" ref="CS112">IF($BT112=0, INDEX(LS_current!$D$4:$BW$137, MATCH('Staging Table'!$A112, LS_current!$B$4:$B$137, 0), MATCH(CS$4&amp;CS$5, LS_current!$D$2:$BW$2&amp;LS_current!$D$3:$BW$3, 0)),SUM(VLOOKUP($A112, LS_current!$B$4:$BW$137, LS_current!X$147, FALSE), VLOOKUP($A112, LS_current!$B$4:$BW$137,LS_current!BT$147, FALSE))/2)</f>
        <v>-5390.0482864701844</v>
      </c>
      <c r="CT112" s="102">
        <f t="array" ref="CT112">IF($BT112=0, INDEX(LS_current!$D$4:$BW$137, MATCH('Staging Table'!$A112, LS_current!$B$4:$B$137, 0), MATCH(CT$4&amp;CT$5, LS_current!$D$2:$BW$2&amp;LS_current!$D$3:$BW$3, 0)),SUM(VLOOKUP($A112, LS_current!$B$4:$BW$137, LS_current!Y$147, FALSE), VLOOKUP($A112, LS_current!$B$4:$BW$137,LS_current!BU$147, FALSE))/2)</f>
        <v>615.1756888411328</v>
      </c>
      <c r="CU112" s="102">
        <f t="array" ref="CU112">IF($BT112=0, INDEX(LS_current!$D$4:$BW$137, MATCH('Staging Table'!$A112, LS_current!$B$4:$B$137, 0), MATCH(CU$4&amp;CU$5, LS_current!$D$2:$BW$2&amp;LS_current!$D$3:$BW$3, 0)),SUM(VLOOKUP($A112, LS_current!$B$4:$BW$137, LS_current!Z$147, FALSE), VLOOKUP($A112, LS_current!$B$4:$BW$137,LS_current!BV$147, FALSE))/2)</f>
        <v>1600.9644185870857</v>
      </c>
      <c r="CV112" s="102">
        <f t="array" ref="CV112">IF($BT112=0, INDEX(LS_current!$D$4:$BW$137, MATCH('Staging Table'!$A112, LS_current!$B$4:$B$137, 0), MATCH(CV$4&amp;CV$5, LS_current!$D$2:$BW$2&amp;LS_current!$D$3:$BW$3, 0)),SUM(VLOOKUP($A112, LS_current!$B$4:$BW$137, LS_current!AA$147, FALSE), VLOOKUP($A112, LS_current!$B$4:$BW$137,LS_current!BW$147, FALSE))/2)</f>
        <v>986.56671238333001</v>
      </c>
      <c r="CW112" s="103">
        <f t="array" ref="CW112">INDEX(Demand_current!$D$4:$BW$137, MATCH($A112, Demand_current!$B$4:$B$137, 0), MATCH(CW$4&amp;CW$5,Demand_current!$D$2:$BW$2&amp;Demand_current!$D$3:$BW$3, 0))/1000</f>
        <v>0</v>
      </c>
      <c r="CX112" s="103">
        <f t="array" ref="CX112">INDEX(Demand_current!$D$4:$BW$137, MATCH($A112, Demand_current!$B$4:$B$137, 0), MATCH(CX$4&amp;CX$5,Demand_current!$D$2:$BW$2&amp;Demand_current!$D$3:$BW$3, 0))/1000</f>
        <v>15.626583333333333</v>
      </c>
      <c r="CY112" s="103">
        <f t="array" ref="CY112">INDEX(Demand_current!$D$4:$BW$137, MATCH($A112, Demand_current!$B$4:$B$137, 0), MATCH(CY$4&amp;CY$5,Demand_current!$D$2:$BW$2&amp;Demand_current!$D$3:$BW$3, 0))/1000</f>
        <v>9.5352716346153805</v>
      </c>
      <c r="CZ112" s="103">
        <f t="array" ref="CZ112">INDEX(Demand_current!$D$4:$BW$137, MATCH($A112, Demand_current!$B$4:$B$137, 0), MATCH(CZ$4&amp;CZ$5,Demand_current!$D$2:$BW$2&amp;Demand_current!$D$3:$BW$3, 0))/1000</f>
        <v>14.387853365384625</v>
      </c>
      <c r="DA112" s="103">
        <f t="array" ref="DA112">INDEX(Demand_current!$D$4:$BW$137, MATCH($A112, Demand_current!$B$4:$B$137, 0), MATCH(DA$4&amp;DA$5,Demand_current!$D$2:$BW$2&amp;Demand_current!$D$3:$BW$3, 0))/1000</f>
        <v>5.9583229166666527</v>
      </c>
      <c r="DB112" s="103">
        <f t="array" ref="DB112">INDEX(Demand_current!$D$4:$BW$137, MATCH($A112, Demand_current!$B$4:$B$137, 0), MATCH(DB$4&amp;DB$5,Demand_current!$D$2:$BW$2&amp;Demand_current!$D$3:$BW$3, 0))/1000</f>
        <v>15.053026442307697</v>
      </c>
      <c r="DC112" s="103">
        <f t="array" ref="DC112">INDEX(Demand_current!$D$4:$BW$137, MATCH($A112, Demand_current!$B$4:$B$137, 0), MATCH(DC$4&amp;DC$5,Demand_current!$D$2:$BW$2&amp;Demand_current!$D$3:$BW$3, 0))/1000</f>
        <v>5.6473461538461542</v>
      </c>
      <c r="DD112" s="103">
        <f t="array" ref="DD112">INDEX(Demand_current!$D$4:$BW$137, MATCH($A112, Demand_current!$B$4:$B$137, 0), MATCH(DD$4&amp;DD$5,Demand_current!$D$2:$BW$2&amp;Demand_current!$D$3:$BW$3, 0))/1000</f>
        <v>4.5767200000000052</v>
      </c>
      <c r="DE112" s="103">
        <f t="array" ref="DE112">INDEX(Demand_current!$D$4:$BW$137, MATCH($A112, Demand_current!$B$4:$B$137, 0), MATCH(DE$4&amp;DE$5,Demand_current!$D$2:$BW$2&amp;Demand_current!$D$3:$BW$3, 0))/1000</f>
        <v>21.311024038461539</v>
      </c>
      <c r="DF112" s="103">
        <f t="array" ref="DF112">INDEX(Demand_current!$D$4:$BW$137, MATCH($A112, Demand_current!$B$4:$B$137, 0), MATCH(DF$4&amp;DF$5,Demand_current!$D$2:$BW$2&amp;Demand_current!$D$3:$BW$3, 0))/1000</f>
        <v>14.395072115384618</v>
      </c>
      <c r="DG112" s="103">
        <f t="array" ref="DG112">INDEX(Demand_current!$D$4:$BW$137, MATCH($A112, Demand_current!$B$4:$B$137, 0), MATCH(DG$4&amp;DG$5,Demand_current!$D$2:$BW$2&amp;Demand_current!$D$3:$BW$3, 0))/1000</f>
        <v>23.570300480769234</v>
      </c>
      <c r="DH112" s="103">
        <f t="array" ref="DH112">INDEX(Demand_current!$D$4:$BW$137, MATCH($A112, Demand_current!$B$4:$B$137, 0), MATCH(DH$4&amp;DH$5,Demand_current!$D$2:$BW$2&amp;Demand_current!$D$3:$BW$3, 0))/1000</f>
        <v>17.451145000000004</v>
      </c>
      <c r="DI112" s="102">
        <f>$BS112*(VLOOKUP(DI$4, Rates_current!$H$6:$R$41, 10, FALSE)+VLOOKUP(DI$4, Rates_current!$H$6:$R$41, 11, FALSE))</f>
        <v>52450.919769704204</v>
      </c>
      <c r="DJ112" s="102">
        <f>$BS112*(VLOOKUP(DJ$4, Rates_current!$H$6:$R$41, 10, FALSE)+VLOOKUP(DJ$4, Rates_current!$H$6:$R$41, 11, FALSE))</f>
        <v>67056.774656699621</v>
      </c>
      <c r="DK112" s="102">
        <f>$BS112*(VLOOKUP(DK$4, Rates_current!$H$6:$R$41, 10, FALSE)+VLOOKUP(DK$4, Rates_current!$H$6:$R$41, 11, FALSE))</f>
        <v>76237.944360324589</v>
      </c>
      <c r="DL112" s="102">
        <f>$BS112*(VLOOKUP(DL$4, Rates_current!$H$6:$R$41, 10, FALSE)+VLOOKUP(DL$4, Rates_current!$H$6:$R$41, 11, FALSE))</f>
        <v>80436.982349099431</v>
      </c>
      <c r="DM112" s="102">
        <f>$BS112*(VLOOKUP(DM$4, Rates_current!$H$6:$R$41, 10, FALSE)+VLOOKUP(DM$4, Rates_current!$H$6:$R$41, 11, FALSE))</f>
        <v>64101.015217087865</v>
      </c>
      <c r="DN112" s="102">
        <f>$BS112*(VLOOKUP(DN$4, Rates_current!$H$6:$R$41, 10, FALSE)+VLOOKUP(DN$4, Rates_current!$H$6:$R$41, 11, FALSE))</f>
        <v>70075.573144134833</v>
      </c>
      <c r="DO112" s="102">
        <f>$BS112*(VLOOKUP(DO$4, Rates_current!$H$6:$R$41, 10, FALSE)+VLOOKUP(DO$4, Rates_current!$H$6:$R$41, 11, FALSE))</f>
        <v>54309.274081943287</v>
      </c>
      <c r="DP112" s="102">
        <f>$BS112*(VLOOKUP(DP$4, Rates_current!$H$6:$R$41, 10, FALSE)+VLOOKUP(DP$4, Rates_current!$H$6:$R$41, 11, FALSE))</f>
        <v>70285.142811623169</v>
      </c>
      <c r="DQ112" s="102">
        <f>$BS112*(VLOOKUP(DQ$4, Rates_current!$H$6:$R$41, 10, FALSE)+VLOOKUP(DQ$4, Rates_current!$H$6:$R$41, 11, FALSE))</f>
        <v>71785.935210647047</v>
      </c>
      <c r="DR112" s="102">
        <f>$BS112*(VLOOKUP(DR$4, Rates_current!$H$6:$R$41, 10, FALSE)+VLOOKUP(DR$4, Rates_current!$H$6:$R$41, 11, FALSE))</f>
        <v>63895.690724878434</v>
      </c>
      <c r="DS112" s="102">
        <f>$BS112*(VLOOKUP(DS$4, Rates_current!$H$6:$R$41, 10, FALSE)+VLOOKUP(DS$4, Rates_current!$H$6:$R$41, 11, FALSE))</f>
        <v>65545.260597629051</v>
      </c>
      <c r="DT112" s="102">
        <f>$BS112*(VLOOKUP(DT$4, Rates_current!$H$6:$R$41, 10, FALSE)+VLOOKUP(DT$4, Rates_current!$H$6:$R$41, 11, FALSE))</f>
        <v>50903.751869029584</v>
      </c>
      <c r="DU112" s="261">
        <f>IF(D112=0,IF(C112=0,MAX(0,DW112 - (VLOOKUP($A112,TOCA_current!$A$2:$AV$136,MATCH("RHWM "&amp;Init!$D$1,TOCA_current!$A$2:$AV$2,0),FALSE)*$BS$2)), 0),0)</f>
        <v>0</v>
      </c>
      <c r="DV112" s="262">
        <f>MIN(VLOOKUP($A112,TOCA_current!$A$2:$AV$136,MATCH("TRL - NLSL - Existing Resource "&amp;$BS$1,TOCA_current!$A$2:$AV$2,0),FALSE)*$BS$2, VLOOKUP($A112,TOCA_current!$A$2:$AV$136,MATCH("RHWM "&amp;Init!$D$1,TOCA_current!$A$2:$AV$2,0),FALSE)*$BS$2)</f>
        <v>787086</v>
      </c>
      <c r="DW112" s="262">
        <f>SUM(BY112:CV112)+(BS112*RT1SC!$C$4*$BS$2)</f>
        <v>787083.72946140694</v>
      </c>
      <c r="DX112" s="262">
        <f>VLOOKUP($A112,TOCA_current!$A$2:$AV$136,MATCH("Above RHWM Not Served with LS "&amp;$BS$1,TOCA_current!$A$2:$AV$2,0),FALSE)*$BS$2</f>
        <v>0</v>
      </c>
      <c r="DY112" s="262">
        <f t="shared" si="43"/>
        <v>-2.270538593060337</v>
      </c>
      <c r="DZ112" s="262">
        <f>(VLOOKUP($A112,TOCA_current!$A$2:$AV$136,MATCH("RHWM "&amp;Init!$D$1,TOCA_current!$A$2:$AV$2,0),FALSE)*$BS$2) - $DV112</f>
        <v>100179.35999999999</v>
      </c>
      <c r="EA112" s="262">
        <f t="shared" si="44"/>
        <v>0</v>
      </c>
      <c r="EB112" s="262">
        <f t="shared" si="45"/>
        <v>2.270538593060337</v>
      </c>
      <c r="EC112" s="262">
        <f t="shared" si="46"/>
        <v>0</v>
      </c>
      <c r="ED112" s="262">
        <f t="shared" si="47"/>
        <v>2.270538593060337</v>
      </c>
    </row>
    <row r="113" spans="1:134">
      <c r="A113" s="2">
        <v>10369</v>
      </c>
      <c r="B113" s="3" t="s">
        <v>115</v>
      </c>
      <c r="C113">
        <f>VLOOKUP(A113, TOCA_current!$A$3:$D$136, 4, FALSE)</f>
        <v>0</v>
      </c>
      <c r="D113">
        <v>0</v>
      </c>
      <c r="E113" s="84">
        <f>VLOOKUP($A113,TOCA_previous!$A$2:$AJ$136,MATCH(E$4,TOCA_previous!$A$2:$AJ$2,0),FALSE)</f>
        <v>2.3789000000000002E-3</v>
      </c>
      <c r="F113" s="85">
        <f>VLOOKUP($A113,TOCA_previous!$A$2:$AJ$136,MATCH(F$4,TOCA_previous!$A$2:$AJ$2,0),FALSE)</f>
        <v>2.3789000000000002E-3</v>
      </c>
      <c r="G113" s="85">
        <f t="shared" si="33"/>
        <v>0</v>
      </c>
      <c r="H113" s="85">
        <f>VLOOKUP($A113,TOCA_previous!$A$2:$AJ$136,MATCH(H$4,TOCA_previous!$A$2:$AJ$2,0),FALSE)</f>
        <v>7.8285662122687449E-2</v>
      </c>
      <c r="I113" s="85">
        <f t="shared" si="34"/>
        <v>0</v>
      </c>
      <c r="J113" s="85">
        <f t="shared" si="35"/>
        <v>0</v>
      </c>
      <c r="K113" s="101">
        <f>VLOOKUP(A113, IRD!$A$5:$C$138, 3, FALSE)</f>
        <v>46210.901000000005</v>
      </c>
      <c r="L113" s="102">
        <f t="array" ref="L113">IF($G113=0, INDEX(LS_previous!$D$4:$AY$137, MATCH('Staging Table'!$A113, LS_previous!$B$4:$B$137, 0), MATCH(L$4&amp;L$5, LS_previous!$D$2:$AY$2&amp;LS_previous!$D$3:$AY$3, 0)),SUM(VLOOKUP($A113, LS_previous!$B$4:$AY$137, LS_previous!D$148, FALSE), VLOOKUP('Staging Table'!$A113, LS_previous!$B$4:$AY$137,LS_previous!AB$148, FALSE))/2)</f>
        <v>-1340.4451172404006</v>
      </c>
      <c r="M113" s="102">
        <f t="array" ref="M113">IF($G113=0, INDEX(LS_previous!$D$4:$AY$137, MATCH('Staging Table'!$A113, LS_previous!$B$4:$B$137, 0), MATCH(M$4&amp;M$5, LS_previous!$D$2:$AY$2&amp;LS_previous!$D$3:$AY$3, 0)),SUM(VLOOKUP($A113, LS_previous!$B$4:$AY$137, LS_previous!E$148, FALSE), VLOOKUP('Staging Table'!$A113, LS_previous!$B$4:$AY$137,LS_previous!AC$148, FALSE))/2)</f>
        <v>-1042.7351509919504</v>
      </c>
      <c r="N113" s="102">
        <f t="array" ref="N113">IF($G113=0, INDEX(LS_previous!$D$4:$AY$137, MATCH('Staging Table'!$A113, LS_previous!$B$4:$B$137, 0), MATCH(N$4&amp;N$5, LS_previous!$D$2:$AY$2&amp;LS_previous!$D$3:$AY$3, 0)),SUM(VLOOKUP($A113, LS_previous!$B$4:$AY$137, LS_previous!F$148, FALSE), VLOOKUP('Staging Table'!$A113, LS_previous!$B$4:$AY$137,LS_previous!AD$148, FALSE))/2)</f>
        <v>-4119.204904579201</v>
      </c>
      <c r="O113" s="102">
        <f t="array" ref="O113">IF($G113=0, INDEX(LS_previous!$D$4:$AY$137, MATCH('Staging Table'!$A113, LS_previous!$B$4:$B$137, 0), MATCH(O$4&amp;O$5, LS_previous!$D$2:$AY$2&amp;LS_previous!$D$3:$AY$3, 0)),SUM(VLOOKUP($A113, LS_previous!$B$4:$AY$137, LS_previous!G$148, FALSE), VLOOKUP('Staging Table'!$A113, LS_previous!$B$4:$AY$137,LS_previous!AE$148, FALSE))/2)</f>
        <v>-2031.5066752859002</v>
      </c>
      <c r="P113" s="102">
        <f t="array" ref="P113">IF($G113=0, INDEX(LS_previous!$D$4:$AY$137, MATCH('Staging Table'!$A113, LS_previous!$B$4:$B$137, 0), MATCH(P$4&amp;P$5, LS_previous!$D$2:$AY$2&amp;LS_previous!$D$3:$AY$3, 0)),SUM(VLOOKUP($A113, LS_previous!$B$4:$AY$137, LS_previous!H$148, FALSE), VLOOKUP('Staging Table'!$A113, LS_previous!$B$4:$AY$137,LS_previous!AF$148, FALSE))/2)</f>
        <v>-3433.2235245071006</v>
      </c>
      <c r="Q113" s="102">
        <f t="array" ref="Q113">IF($G113=0, INDEX(LS_previous!$D$4:$AY$137, MATCH('Staging Table'!$A113, LS_previous!$B$4:$B$137, 0), MATCH(Q$4&amp;Q$5, LS_previous!$D$2:$AY$2&amp;LS_previous!$D$3:$AY$3, 0)),SUM(VLOOKUP($A113, LS_previous!$B$4:$AY$137, LS_previous!I$148, FALSE), VLOOKUP('Staging Table'!$A113, LS_previous!$B$4:$AY$137,LS_previous!AG$148, FALSE))/2)</f>
        <v>-1892.4064034144012</v>
      </c>
      <c r="R113" s="102">
        <f t="array" ref="R113">IF($G113=0, INDEX(LS_previous!$D$4:$AY$137, MATCH('Staging Table'!$A113, LS_previous!$B$4:$B$137, 0), MATCH(R$4&amp;R$5, LS_previous!$D$2:$AY$2&amp;LS_previous!$D$3:$AY$3, 0)),SUM(VLOOKUP($A113, LS_previous!$B$4:$AY$137, LS_previous!J$148, FALSE), VLOOKUP('Staging Table'!$A113, LS_previous!$B$4:$AY$137,LS_previous!AH$148, FALSE))/2)</f>
        <v>-3726.9590208135005</v>
      </c>
      <c r="S113" s="102">
        <f t="array" ref="S113">IF($G113=0, INDEX(LS_previous!$D$4:$AY$137, MATCH('Staging Table'!$A113, LS_previous!$B$4:$B$137, 0), MATCH(S$4&amp;S$5, LS_previous!$D$2:$AY$2&amp;LS_previous!$D$3:$AY$3, 0)),SUM(VLOOKUP($A113, LS_previous!$B$4:$AY$137, LS_previous!K$148, FALSE), VLOOKUP('Staging Table'!$A113, LS_previous!$B$4:$AY$137,LS_previous!AI$148, FALSE))/2)</f>
        <v>-1701.8275571881013</v>
      </c>
      <c r="T113" s="102">
        <f t="array" ref="T113">IF($G113=0, INDEX(LS_previous!$D$4:$AY$137, MATCH('Staging Table'!$A113, LS_previous!$B$4:$B$137, 0), MATCH(T$4&amp;T$5, LS_previous!$D$2:$AY$2&amp;LS_previous!$D$3:$AY$3, 0)),SUM(VLOOKUP($A113, LS_previous!$B$4:$AY$137, LS_previous!L$148, FALSE), VLOOKUP('Staging Table'!$A113, LS_previous!$B$4:$AY$137,LS_previous!AJ$148, FALSE))/2)</f>
        <v>-3809.4311965530997</v>
      </c>
      <c r="U113" s="102">
        <f t="array" ref="U113">IF($G113=0, INDEX(LS_previous!$D$4:$AY$137, MATCH('Staging Table'!$A113, LS_previous!$B$4:$B$137, 0), MATCH(U$4&amp;U$5, LS_previous!$D$2:$AY$2&amp;LS_previous!$D$3:$AY$3, 0)),SUM(VLOOKUP($A113, LS_previous!$B$4:$AY$137, LS_previous!M$148, FALSE), VLOOKUP('Staging Table'!$A113, LS_previous!$B$4:$AY$137,LS_previous!AK$148, FALSE))/2)</f>
        <v>-1646.8857702651003</v>
      </c>
      <c r="V113" s="102">
        <f t="array" ref="V113">IF($G113=0, INDEX(LS_previous!$D$4:$AY$137, MATCH('Staging Table'!$A113, LS_previous!$B$4:$B$137, 0), MATCH(V$4&amp;V$5, LS_previous!$D$2:$AY$2&amp;LS_previous!$D$3:$AY$3, 0)),SUM(VLOOKUP($A113, LS_previous!$B$4:$AY$137, LS_previous!N$148, FALSE), VLOOKUP('Staging Table'!$A113, LS_previous!$B$4:$AY$137,LS_previous!AL$148, FALSE))/2)</f>
        <v>-4065.1685779157006</v>
      </c>
      <c r="W113" s="102">
        <f t="array" ref="W113">IF($G113=0, INDEX(LS_previous!$D$4:$AY$137, MATCH('Staging Table'!$A113, LS_previous!$B$4:$B$137, 0), MATCH(W$4&amp;W$5, LS_previous!$D$2:$AY$2&amp;LS_previous!$D$3:$AY$3, 0)),SUM(VLOOKUP($A113, LS_previous!$B$4:$AY$137, LS_previous!O$148, FALSE), VLOOKUP('Staging Table'!$A113, LS_previous!$B$4:$AY$137,LS_previous!AM$148, FALSE))/2)</f>
        <v>-2246.1697676842</v>
      </c>
      <c r="X113" s="102">
        <f t="array" ref="X113">IF($G113=0, INDEX(LS_previous!$D$4:$AY$137, MATCH('Staging Table'!$A113, LS_previous!$B$4:$B$137, 0), MATCH(X$4&amp;X$5, LS_previous!$D$2:$AY$2&amp;LS_previous!$D$3:$AY$3, 0)),SUM(VLOOKUP($A113, LS_previous!$B$4:$AY$137, LS_previous!P$148, FALSE), VLOOKUP('Staging Table'!$A113, LS_previous!$B$4:$AY$137,LS_previous!AN$148, FALSE))/2)</f>
        <v>-1522.3508618947508</v>
      </c>
      <c r="Y113" s="102">
        <f t="array" ref="Y113">IF($G113=0, INDEX(LS_previous!$D$4:$AY$137, MATCH('Staging Table'!$A113, LS_previous!$B$4:$B$137, 0), MATCH(Y$4&amp;Y$5, LS_previous!$D$2:$AY$2&amp;LS_previous!$D$3:$AY$3, 0)),SUM(VLOOKUP($A113, LS_previous!$B$4:$AY$137, LS_previous!Q$148, FALSE), VLOOKUP('Staging Table'!$A113, LS_previous!$B$4:$AY$137,LS_previous!AO$148, FALSE))/2)</f>
        <v>-1021.4498041570751</v>
      </c>
      <c r="Z113" s="102">
        <f t="array" ref="Z113">IF($G113=0, INDEX(LS_previous!$D$4:$AY$137, MATCH('Staging Table'!$A113, LS_previous!$B$4:$B$137, 0), MATCH(Z$4&amp;Z$5, LS_previous!$D$2:$AY$2&amp;LS_previous!$D$3:$AY$3, 0)),SUM(VLOOKUP($A113, LS_previous!$B$4:$AY$137, LS_previous!R$148, FALSE), VLOOKUP('Staging Table'!$A113, LS_previous!$B$4:$AY$137,LS_previous!AP$148, FALSE))/2)</f>
        <v>385.5809002927972</v>
      </c>
      <c r="AA113" s="102">
        <f t="array" ref="AA113">IF($G113=0, INDEX(LS_previous!$D$4:$AY$137, MATCH('Staging Table'!$A113, LS_previous!$B$4:$B$137, 0), MATCH(AA$4&amp;AA$5, LS_previous!$D$2:$AY$2&amp;LS_previous!$D$3:$AY$3, 0)),SUM(VLOOKUP($A113, LS_previous!$B$4:$AY$137, LS_previous!S$148, FALSE), VLOOKUP('Staging Table'!$A113, LS_previous!$B$4:$AY$137,LS_previous!AQ$148, FALSE))/2)</f>
        <v>1338.0391788443503</v>
      </c>
      <c r="AB113" s="102">
        <f t="array" ref="AB113">IF($G113=0, INDEX(LS_previous!$D$4:$AY$137, MATCH('Staging Table'!$A113, LS_previous!$B$4:$B$137, 0), MATCH(AB$4&amp;AB$5, LS_previous!$D$2:$AY$2&amp;LS_previous!$D$3:$AY$3, 0)),SUM(VLOOKUP($A113, LS_previous!$B$4:$AY$137, LS_previous!T$148, FALSE), VLOOKUP('Staging Table'!$A113, LS_previous!$B$4:$AY$137,LS_previous!AR$148, FALSE))/2)</f>
        <v>1463.4371448385991</v>
      </c>
      <c r="AC113" s="102">
        <f t="array" ref="AC113">IF($G113=0, INDEX(LS_previous!$D$4:$AY$137, MATCH('Staging Table'!$A113, LS_previous!$B$4:$B$137, 0), MATCH(AC$4&amp;AC$5, LS_previous!$D$2:$AY$2&amp;LS_previous!$D$3:$AY$3, 0)),SUM(VLOOKUP($A113, LS_previous!$B$4:$AY$137, LS_previous!U$148, FALSE), VLOOKUP('Staging Table'!$A113, LS_previous!$B$4:$AY$137,LS_previous!AS$148, FALSE))/2)</f>
        <v>1323.5035728499497</v>
      </c>
      <c r="AD113" s="102">
        <f t="array" ref="AD113">IF($G113=0, INDEX(LS_previous!$D$4:$AY$137, MATCH('Staging Table'!$A113, LS_previous!$B$4:$B$137, 0), MATCH(AD$4&amp;AD$5, LS_previous!$D$2:$AY$2&amp;LS_previous!$D$3:$AY$3, 0)),SUM(VLOOKUP($A113, LS_previous!$B$4:$AY$137, LS_previous!V$148, FALSE), VLOOKUP('Staging Table'!$A113, LS_previous!$B$4:$AY$137,LS_previous!AT$148, FALSE))/2)</f>
        <v>6424.4011366203995</v>
      </c>
      <c r="AE113" s="102">
        <f t="array" ref="AE113">IF($G113=0, INDEX(LS_previous!$D$4:$AY$137, MATCH('Staging Table'!$A113, LS_previous!$B$4:$B$137, 0), MATCH(AE$4&amp;AE$5, LS_previous!$D$2:$AY$2&amp;LS_previous!$D$3:$AY$3, 0)),SUM(VLOOKUP($A113, LS_previous!$B$4:$AY$137, LS_previous!W$148, FALSE), VLOOKUP('Staging Table'!$A113, LS_previous!$B$4:$AY$137,LS_previous!AU$148, FALSE))/2)</f>
        <v>5455.4173414402485</v>
      </c>
      <c r="AF113" s="102">
        <f t="array" ref="AF113">IF($G113=0, INDEX(LS_previous!$D$4:$AY$137, MATCH('Staging Table'!$A113, LS_previous!$B$4:$B$137, 0), MATCH(AF$4&amp;AF$5, LS_previous!$D$2:$AY$2&amp;LS_previous!$D$3:$AY$3, 0)),SUM(VLOOKUP($A113, LS_previous!$B$4:$AY$137, LS_previous!X$148, FALSE), VLOOKUP('Staging Table'!$A113, LS_previous!$B$4:$AY$137,LS_previous!AV$148, FALSE))/2)</f>
        <v>5996.8895110186495</v>
      </c>
      <c r="AG113" s="102">
        <f t="array" ref="AG113">IF($G113=0, INDEX(LS_previous!$D$4:$AY$137, MATCH('Staging Table'!$A113, LS_previous!$B$4:$B$137, 0), MATCH(AG$4&amp;AG$5, LS_previous!$D$2:$AY$2&amp;LS_previous!$D$3:$AY$3, 0)),SUM(VLOOKUP($A113, LS_previous!$B$4:$AY$137, LS_previous!Y$148, FALSE), VLOOKUP('Staging Table'!$A113, LS_previous!$B$4:$AY$137,LS_previous!AW$148, FALSE))/2)</f>
        <v>5459.7840818448349</v>
      </c>
      <c r="AH113" s="102">
        <f t="array" ref="AH113">IF($G113=0, INDEX(LS_previous!$D$4:$AY$137, MATCH('Staging Table'!$A113, LS_previous!$B$4:$B$137, 0), MATCH(AH$4&amp;AH$5, LS_previous!$D$2:$AY$2&amp;LS_previous!$D$3:$AY$3, 0)),SUM(VLOOKUP($A113, LS_previous!$B$4:$AY$137, LS_previous!Z$148, FALSE), VLOOKUP('Staging Table'!$A113, LS_previous!$B$4:$AY$137,LS_previous!AX$148, FALSE))/2)</f>
        <v>2141.2273399813994</v>
      </c>
      <c r="AI113" s="102">
        <f t="array" ref="AI113">IF($G113=0, INDEX(LS_previous!$D$4:$AY$137, MATCH('Staging Table'!$A113, LS_previous!$B$4:$B$137, 0), MATCH(AI$4&amp;AI$5, LS_previous!$D$2:$AY$2&amp;LS_previous!$D$3:$AY$3, 0)),SUM(VLOOKUP($A113, LS_previous!$B$4:$AY$137, LS_previous!AA$148, FALSE), VLOOKUP('Staging Table'!$A113, LS_previous!$B$4:$AY$137,LS_previous!AY$148, FALSE))/2)</f>
        <v>1904.7652384943995</v>
      </c>
      <c r="AJ113" s="103">
        <f t="array" ref="AJ113">INDEX(Demand_previous!$D$4:$AY$137, MATCH('Staging Table'!$A113, Demand_previous!$B$4:$B$137, 0), MATCH(AJ$4&amp;AJ$5,Demand_previous!$D$2:$AY$2&amp;Demand_previous!$D$3:$AY$3, 0))/1000</f>
        <v>1.8180480769230778</v>
      </c>
      <c r="AK113" s="103">
        <f t="array" ref="AK113">INDEX(Demand_previous!$D$4:$AY$137, MATCH('Staging Table'!$A113, Demand_previous!$B$4:$B$137, 0), MATCH(AK$4&amp;AK$5,Demand_previous!$D$2:$AY$2&amp;Demand_previous!$D$3:$AY$3, 0))/1000</f>
        <v>0.74928999999999935</v>
      </c>
      <c r="AL113" s="103">
        <f t="array" ref="AL113">INDEX(Demand_previous!$D$4:$AY$137, MATCH('Staging Table'!$A113, Demand_previous!$B$4:$B$137, 0), MATCH(AL$4&amp;AL$5,Demand_previous!$D$2:$AY$2&amp;Demand_previous!$D$3:$AY$3, 0))/1000</f>
        <v>0.5558500000000004</v>
      </c>
      <c r="AM113" s="103">
        <f t="array" ref="AM113">INDEX(Demand_previous!$D$4:$AY$137, MATCH('Staging Table'!$A113, Demand_previous!$B$4:$B$137, 0), MATCH(AM$4&amp;AM$5,Demand_previous!$D$2:$AY$2&amp;Demand_previous!$D$3:$AY$3, 0))/1000</f>
        <v>1.824447115384618</v>
      </c>
      <c r="AN113" s="103">
        <f t="array" ref="AN113">INDEX(Demand_previous!$D$4:$AY$137, MATCH('Staging Table'!$A113, Demand_previous!$B$4:$B$137, 0), MATCH(AN$4&amp;AN$5,Demand_previous!$D$2:$AY$2&amp;Demand_previous!$D$3:$AY$3, 0))/1000</f>
        <v>2.1286774999999993</v>
      </c>
      <c r="AO113" s="103">
        <f t="array" ref="AO113">INDEX(Demand_previous!$D$4:$AY$137, MATCH('Staging Table'!$A113, Demand_previous!$B$4:$B$137, 0), MATCH(AO$4&amp;AO$5,Demand_previous!$D$2:$AY$2&amp;Demand_previous!$D$3:$AY$3, 0))/1000</f>
        <v>1.667644230769231</v>
      </c>
      <c r="AP113" s="103">
        <f t="array" ref="AP113">INDEX(Demand_previous!$D$4:$AY$137, MATCH('Staging Table'!$A113, Demand_previous!$B$4:$B$137, 0), MATCH(AP$4&amp;AP$5,Demand_previous!$D$2:$AY$2&amp;Demand_previous!$D$3:$AY$3, 0))/1000</f>
        <v>2.0163822115384624</v>
      </c>
      <c r="AQ113" s="103">
        <f t="array" ref="AQ113">INDEX(Demand_previous!$D$4:$AY$137, MATCH('Staging Table'!$A113, Demand_previous!$B$4:$B$137, 0), MATCH(AQ$4&amp;AQ$5,Demand_previous!$D$2:$AY$2&amp;Demand_previous!$D$3:$AY$3, 0))/1000</f>
        <v>4.7493557692307737</v>
      </c>
      <c r="AR113" s="103">
        <f t="array" ref="AR113">INDEX(Demand_previous!$D$4:$AY$137, MATCH('Staging Table'!$A113, Demand_previous!$B$4:$B$137, 0), MATCH(AR$4&amp;AR$5,Demand_previous!$D$2:$AY$2&amp;Demand_previous!$D$3:$AY$3, 0))/1000</f>
        <v>2.9411500000000013</v>
      </c>
      <c r="AS113" s="103">
        <f t="array" ref="AS113">INDEX(Demand_previous!$D$4:$AY$137, MATCH('Staging Table'!$A113, Demand_previous!$B$4:$B$137, 0), MATCH(AS$4&amp;AS$5,Demand_previous!$D$2:$AY$2&amp;Demand_previous!$D$3:$AY$3, 0))/1000</f>
        <v>3.0078774038461482</v>
      </c>
      <c r="AT113" s="103">
        <f t="array" ref="AT113">INDEX(Demand_previous!$D$4:$AY$137, MATCH('Staging Table'!$A113, Demand_previous!$B$4:$B$137, 0), MATCH(AT$4&amp;AT$5,Demand_previous!$D$2:$AY$2&amp;Demand_previous!$D$3:$AY$3, 0))/1000</f>
        <v>5.6034537037037051</v>
      </c>
      <c r="AU113" s="103">
        <f t="array" ref="AU113">INDEX(Demand_previous!$D$4:$AY$137, MATCH('Staging Table'!$A113, Demand_previous!$B$4:$B$137, 0), MATCH(AU$4&amp;AU$5,Demand_previous!$D$2:$AY$2&amp;Demand_previous!$D$3:$AY$3, 0))/1000</f>
        <v>4.7782083333333345</v>
      </c>
      <c r="AV113" s="102">
        <f>$F113*(VLOOKUP(AV$4, Rates_previous!$G$6:$Q$29, 10, FALSE)+VLOOKUP(AV$4, Rates_previous!$G$6:$Q$29, 11, FALSE))</f>
        <v>10036.112268232351</v>
      </c>
      <c r="AW113" s="102">
        <f>$F113*(VLOOKUP(AW$4, Rates_previous!$G$6:$Q$29, 10, FALSE)+VLOOKUP(AW$4, Rates_previous!$G$6:$Q$29, 11, FALSE))</f>
        <v>12799.352579865103</v>
      </c>
      <c r="AX113" s="102">
        <f>$F113*(VLOOKUP(AX$4, Rates_previous!$G$6:$Q$29, 10, FALSE)+VLOOKUP(AX$4, Rates_previous!$G$6:$Q$29, 11, FALSE))</f>
        <v>13813.033927921502</v>
      </c>
      <c r="AY113" s="102">
        <f>$F113*(VLOOKUP(AY$4, Rates_previous!$G$6:$Q$29, 10, FALSE)+VLOOKUP(AY$4, Rates_previous!$G$6:$Q$29, 11, FALSE))</f>
        <v>14353.8775780016</v>
      </c>
      <c r="AZ113" s="102">
        <f>$F113*(VLOOKUP(AZ$4, Rates_previous!$G$6:$Q$29, 10, FALSE)+VLOOKUP(AZ$4, Rates_previous!$G$6:$Q$29, 11, FALSE))</f>
        <v>12346.2479668182</v>
      </c>
      <c r="BA113" s="102">
        <f>$F113*(VLOOKUP(BA$4, Rates_previous!$G$6:$Q$29, 10, FALSE)+VLOOKUP(BA$4, Rates_previous!$G$6:$Q$29, 11, FALSE))</f>
        <v>13479.658345599901</v>
      </c>
      <c r="BB113" s="102">
        <f>$F113*(VLOOKUP(BB$4, Rates_previous!$G$6:$Q$29, 10, FALSE)+VLOOKUP(BB$4, Rates_previous!$G$6:$Q$29, 11, FALSE))</f>
        <v>10639.918666051824</v>
      </c>
      <c r="BC113" s="102">
        <f>$F113*(VLOOKUP(BC$4, Rates_previous!$G$6:$Q$29, 10, FALSE)+VLOOKUP(BC$4, Rates_previous!$G$6:$Q$29, 11, FALSE))</f>
        <v>13200.244920862851</v>
      </c>
      <c r="BD113" s="102">
        <f>$F113*(VLOOKUP(BD$4, Rates_previous!$G$6:$Q$29, 10, FALSE)+VLOOKUP(BD$4, Rates_previous!$G$6:$Q$29, 11, FALSE))</f>
        <v>13486.657282311449</v>
      </c>
      <c r="BE113" s="102">
        <f>$F113*(VLOOKUP(BE$4, Rates_previous!$G$6:$Q$29, 10, FALSE)+VLOOKUP(BE$4, Rates_previous!$G$6:$Q$29, 11, FALSE))</f>
        <v>11708.36152193935</v>
      </c>
      <c r="BF113" s="102">
        <f>$F113*(VLOOKUP(BF$4, Rates_previous!$G$6:$Q$29, 10, FALSE)+VLOOKUP(BF$4, Rates_previous!$G$6:$Q$29, 11, FALSE))</f>
        <v>11318.873407136518</v>
      </c>
      <c r="BG113" s="102">
        <f>$F113*(VLOOKUP(BG$4, Rates_previous!$G$6:$Q$29, 10, FALSE)+VLOOKUP(BG$4, Rates_previous!$G$6:$Q$29, 11, FALSE))</f>
        <v>10415.555421524203</v>
      </c>
      <c r="BH113" s="103">
        <f>IF($D113=0,IF(C113=0, MAX(BJ113 - (VLOOKUP($A113,TOCA_previous!$A$2:$AJ$136,MATCH("RHWM "&amp;Init!$D$1-2,TOCA_previous!$A$2:$AJ$2,0),FALSE)*$F$2*TOCA_previous!C110),0),0), 0)</f>
        <v>1552.4876765591325</v>
      </c>
      <c r="BI113" s="109">
        <f>MIN(VLOOKUP($A113,TOCA_previous!$A$2:$AJ$136,MATCH("TRL - NLSL - Existing Resource "&amp;$F$1,TOCA_previous!$A$2:$AJ$2,0),FALSE)*$F$2,(VLOOKUP($A113,TOCA_previous!$A$2:$AJ$136,MATCH("RHWM "&amp;Init!$D$1-2,TOCA_previous!$A$2:$AJ$2,0),FALSE)*$F$2))</f>
        <v>144338.68799999999</v>
      </c>
      <c r="BJ113" s="261">
        <f>SUM(L113:AI113)+(F113*RT1SC!$C$3*$F$2)</f>
        <v>145891.17567655913</v>
      </c>
      <c r="BK113" s="260">
        <f>VLOOKUP($A113,TOCA_previous!$A$2:$AJ$136,MATCH("Above RHWM Not Served with LS "&amp;$F$1,TOCA_previous!$A$2:$AJ$2,0),FALSE)*$F$2</f>
        <v>17084.88</v>
      </c>
      <c r="BL113" s="261">
        <f t="shared" si="36"/>
        <v>1552.4876765591325</v>
      </c>
      <c r="BM113" s="260">
        <f>(VLOOKUP($A113,TOCA_previous!$A$2:$AJ$136,MATCH("RHWM "&amp;Init!$D$1-2,TOCA_previous!$A$2:$AJ$2,0),FALSE)*$F$2) - $BI113</f>
        <v>0</v>
      </c>
      <c r="BN113" s="261">
        <f t="shared" si="37"/>
        <v>0</v>
      </c>
      <c r="BO113" s="260">
        <f t="shared" si="38"/>
        <v>0</v>
      </c>
      <c r="BP113" s="261">
        <f t="shared" si="39"/>
        <v>0</v>
      </c>
      <c r="BQ113" s="260">
        <f t="shared" si="9"/>
        <v>0</v>
      </c>
      <c r="BR113" s="85">
        <f>VLOOKUP($A113,TOCA_current!$A$2:$ZZ$136,MATCH(BR$4,TOCA_current!$A$2:$ZZ$2,0),FALSE)</f>
        <v>2.3246E-3</v>
      </c>
      <c r="BS113" s="85">
        <f>VLOOKUP($A113,TOCA_current!$A$2:$ZZ$136,MATCH(BS$4,TOCA_current!$A$2:$ZZ$2,0),FALSE)</f>
        <v>2.3246E-3</v>
      </c>
      <c r="BT113" s="108">
        <f t="shared" si="40"/>
        <v>0</v>
      </c>
      <c r="BU113" s="85">
        <f>VLOOKUP($A113,TOCA_current!A110:BG244,MATCH(BU$4,TOCA_current!$A$2:$BG$2,0),FALSE)</f>
        <v>7.88013553578992E-2</v>
      </c>
      <c r="BV113" s="85">
        <f t="shared" si="41"/>
        <v>0</v>
      </c>
      <c r="BW113" s="85">
        <f t="shared" si="42"/>
        <v>0</v>
      </c>
      <c r="BX113" s="101">
        <f>VLOOKUP($A113,IRD!$A$4:$G$138, 7, FALSE)</f>
        <v>46210.901000000005</v>
      </c>
      <c r="BY113" s="102">
        <f t="array" ref="BY113">IF($BT113=0, INDEX(LS_current!$D$4:$BW$137, MATCH('Staging Table'!$A113, LS_current!$B$4:$B$137, 0), MATCH(BY$4&amp;BY$5, LS_current!$D$2:$BW$2&amp;LS_current!$D$3:$BW$3, 0)),SUM(VLOOKUP($A113, LS_current!$B$4:$BW$137, LS_current!D$147, FALSE), VLOOKUP($A113, LS_current!$B$4:$BW$137,LS_current!AZ$147, FALSE))/2)</f>
        <v>-1368.5269366609446</v>
      </c>
      <c r="BZ113" s="102">
        <f t="array" ref="BZ113">IF($BT113=0, INDEX(LS_current!$D$4:$BW$137, MATCH('Staging Table'!$A113, LS_current!$B$4:$B$137, 0), MATCH(BZ$4&amp;BZ$5, LS_current!$D$2:$BW$2&amp;LS_current!$D$3:$BW$3, 0)),SUM(VLOOKUP($A113, LS_current!$B$4:$BW$137, LS_current!E$147, FALSE), VLOOKUP($A113, LS_current!$B$4:$BW$137,LS_current!BA$147, FALSE))/2)</f>
        <v>-725.25163847055455</v>
      </c>
      <c r="CA113" s="102">
        <f t="array" ref="CA113">IF($BT113=0, INDEX(LS_current!$D$4:$BW$137, MATCH('Staging Table'!$A113, LS_current!$B$4:$B$137, 0), MATCH(CA$4&amp;CA$5, LS_current!$D$2:$BW$2&amp;LS_current!$D$3:$BW$3, 0)),SUM(VLOOKUP($A113, LS_current!$B$4:$BW$137, LS_current!F$147, FALSE), VLOOKUP($A113, LS_current!$B$4:$BW$137,LS_current!BB$147, FALSE))/2)</f>
        <v>-3825.0039119122393</v>
      </c>
      <c r="CB113" s="102">
        <f t="array" ref="CB113">IF($BT113=0, INDEX(LS_current!$D$4:$BW$137, MATCH('Staging Table'!$A113, LS_current!$B$4:$B$137, 0), MATCH(CB$4&amp;CB$5, LS_current!$D$2:$BW$2&amp;LS_current!$D$3:$BW$3, 0)),SUM(VLOOKUP($A113, LS_current!$B$4:$BW$137, LS_current!G$147, FALSE), VLOOKUP($A113, LS_current!$B$4:$BW$137,LS_current!BC$147, FALSE))/2)</f>
        <v>-1956.5898985913977</v>
      </c>
      <c r="CC113" s="102">
        <f t="array" ref="CC113">IF($BT113=0, INDEX(LS_current!$D$4:$BW$137, MATCH('Staging Table'!$A113, LS_current!$B$4:$B$137, 0), MATCH(CC$4&amp;CC$5, LS_current!$D$2:$BW$2&amp;LS_current!$D$3:$BW$3, 0)),SUM(VLOOKUP($A113, LS_current!$B$4:$BW$137, LS_current!H$147, FALSE), VLOOKUP($A113, LS_current!$B$4:$BW$137,LS_current!BD$147, FALSE))/2)</f>
        <v>-4133.7803153074983</v>
      </c>
      <c r="CD113" s="102">
        <f t="array" ref="CD113">IF($BT113=0, INDEX(LS_current!$D$4:$BW$137, MATCH('Staging Table'!$A113, LS_current!$B$4:$B$137, 0), MATCH(CD$4&amp;CD$5, LS_current!$D$2:$BW$2&amp;LS_current!$D$3:$BW$3, 0)),SUM(VLOOKUP($A113, LS_current!$B$4:$BW$137, LS_current!I$147, FALSE), VLOOKUP($A113, LS_current!$B$4:$BW$137,LS_current!BE$147, FALSE))/2)</f>
        <v>-1500.8827164628565</v>
      </c>
      <c r="CE113" s="102">
        <f t="array" ref="CE113">IF($BT113=0, INDEX(LS_current!$D$4:$BW$137, MATCH('Staging Table'!$A113, LS_current!$B$4:$B$137, 0), MATCH(CE$4&amp;CE$5, LS_current!$D$2:$BW$2&amp;LS_current!$D$3:$BW$3, 0)),SUM(VLOOKUP($A113, LS_current!$B$4:$BW$137, LS_current!J$147, FALSE), VLOOKUP($A113, LS_current!$B$4:$BW$137,LS_current!BF$147, FALSE))/2)</f>
        <v>-4221.1623969583761</v>
      </c>
      <c r="CF113" s="102">
        <f t="array" ref="CF113">IF($BT113=0, INDEX(LS_current!$D$4:$BW$137, MATCH('Staging Table'!$A113, LS_current!$B$4:$B$137, 0), MATCH(CF$4&amp;CF$5, LS_current!$D$2:$BW$2&amp;LS_current!$D$3:$BW$3, 0)),SUM(VLOOKUP($A113, LS_current!$B$4:$BW$137, LS_current!K$147, FALSE), VLOOKUP($A113, LS_current!$B$4:$BW$137,LS_current!BG$147, FALSE))/2)</f>
        <v>-1748.1795902876502</v>
      </c>
      <c r="CG113" s="102">
        <f t="array" ref="CG113">IF($BT113=0, INDEX(LS_current!$D$4:$BW$137, MATCH('Staging Table'!$A113, LS_current!$B$4:$B$137, 0), MATCH(CG$4&amp;CG$5, LS_current!$D$2:$BW$2&amp;LS_current!$D$3:$BW$3, 0)),SUM(VLOOKUP($A113, LS_current!$B$4:$BW$137, LS_current!L$147, FALSE), VLOOKUP($A113, LS_current!$B$4:$BW$137,LS_current!BH$147, FALSE))/2)</f>
        <v>-3481.9969439006081</v>
      </c>
      <c r="CH113" s="102">
        <f t="array" ref="CH113">IF($BT113=0, INDEX(LS_current!$D$4:$BW$137, MATCH('Staging Table'!$A113, LS_current!$B$4:$B$137, 0), MATCH(CH$4&amp;CH$5, LS_current!$D$2:$BW$2&amp;LS_current!$D$3:$BW$3, 0)),SUM(VLOOKUP($A113, LS_current!$B$4:$BW$137, LS_current!M$147, FALSE), VLOOKUP($A113, LS_current!$B$4:$BW$137,LS_current!BI$147, FALSE))/2)</f>
        <v>-1461.4310597346816</v>
      </c>
      <c r="CI113" s="102">
        <f t="array" ref="CI113">IF($BT113=0, INDEX(LS_current!$D$4:$BW$137, MATCH('Staging Table'!$A113, LS_current!$B$4:$B$137, 0), MATCH(CI$4&amp;CI$5, LS_current!$D$2:$BW$2&amp;LS_current!$D$3:$BW$3, 0)),SUM(VLOOKUP($A113, LS_current!$B$4:$BW$137, LS_current!N$147, FALSE), VLOOKUP($A113, LS_current!$B$4:$BW$137,LS_current!BJ$147, FALSE))/2)</f>
        <v>-4296.4804483425414</v>
      </c>
      <c r="CJ113" s="102">
        <f t="array" ref="CJ113">IF($BT113=0, INDEX(LS_current!$D$4:$BW$137, MATCH('Staging Table'!$A113, LS_current!$B$4:$B$137, 0), MATCH(CJ$4&amp;CJ$5, LS_current!$D$2:$BW$2&amp;LS_current!$D$3:$BW$3, 0)),SUM(VLOOKUP($A113, LS_current!$B$4:$BW$137, LS_current!O$147, FALSE), VLOOKUP($A113, LS_current!$B$4:$BW$137,LS_current!BK$147, FALSE))/2)</f>
        <v>-1523.634495038546</v>
      </c>
      <c r="CK113" s="102">
        <f t="array" ref="CK113">IF($BT113=0, INDEX(LS_current!$D$4:$BW$137, MATCH('Staging Table'!$A113, LS_current!$B$4:$B$137, 0), MATCH(CK$4&amp;CK$5, LS_current!$D$2:$BW$2&amp;LS_current!$D$3:$BW$3, 0)),SUM(VLOOKUP($A113, LS_current!$B$4:$BW$137, LS_current!P$147, FALSE), VLOOKUP($A113, LS_current!$B$4:$BW$137,LS_current!BL$147, FALSE))/2)</f>
        <v>-1252.034796755529</v>
      </c>
      <c r="CL113" s="102">
        <f t="array" ref="CL113">IF($BT113=0, INDEX(LS_current!$D$4:$BW$137, MATCH('Staging Table'!$A113, LS_current!$B$4:$B$137, 0), MATCH(CL$4&amp;CL$5, LS_current!$D$2:$BW$2&amp;LS_current!$D$3:$BW$3, 0)),SUM(VLOOKUP($A113, LS_current!$B$4:$BW$137, LS_current!Q$147, FALSE), VLOOKUP($A113, LS_current!$B$4:$BW$137,LS_current!BM$147, FALSE))/2)</f>
        <v>-737.18921694020901</v>
      </c>
      <c r="CM113" s="102">
        <f t="array" ref="CM113">IF($BT113=0, INDEX(LS_current!$D$4:$BW$137, MATCH('Staging Table'!$A113, LS_current!$B$4:$B$137, 0), MATCH(CM$4&amp;CM$5, LS_current!$D$2:$BW$2&amp;LS_current!$D$3:$BW$3, 0)),SUM(VLOOKUP($A113, LS_current!$B$4:$BW$137, LS_current!R$147, FALSE), VLOOKUP($A113, LS_current!$B$4:$BW$137,LS_current!BN$147, FALSE))/2)</f>
        <v>556.34320758143531</v>
      </c>
      <c r="CN113" s="102">
        <f t="array" ref="CN113">IF($BT113=0, INDEX(LS_current!$D$4:$BW$137, MATCH('Staging Table'!$A113, LS_current!$B$4:$B$137, 0), MATCH(CN$4&amp;CN$5, LS_current!$D$2:$BW$2&amp;LS_current!$D$3:$BW$3, 0)),SUM(VLOOKUP($A113, LS_current!$B$4:$BW$137, LS_current!S$147, FALSE), VLOOKUP($A113, LS_current!$B$4:$BW$137,LS_current!BO$147, FALSE))/2)</f>
        <v>1340.4058585451166</v>
      </c>
      <c r="CO113" s="102">
        <f t="array" ref="CO113">IF($BT113=0, INDEX(LS_current!$D$4:$BW$137, MATCH('Staging Table'!$A113, LS_current!$B$4:$B$137, 0), MATCH(CO$4&amp;CO$5, LS_current!$D$2:$BW$2&amp;LS_current!$D$3:$BW$3, 0)),SUM(VLOOKUP($A113, LS_current!$B$4:$BW$137, LS_current!T$147, FALSE), VLOOKUP($A113, LS_current!$B$4:$BW$137,LS_current!BP$147, FALSE))/2)</f>
        <v>1240.1275940147534</v>
      </c>
      <c r="CP113" s="102">
        <f t="array" ref="CP113">IF($BT113=0, INDEX(LS_current!$D$4:$BW$137, MATCH('Staging Table'!$A113, LS_current!$B$4:$B$137, 0), MATCH(CP$4&amp;CP$5, LS_current!$D$2:$BW$2&amp;LS_current!$D$3:$BW$3, 0)),SUM(VLOOKUP($A113, LS_current!$B$4:$BW$137, LS_current!U$147, FALSE), VLOOKUP($A113, LS_current!$B$4:$BW$137,LS_current!BQ$147, FALSE))/2)</f>
        <v>1733.4925382485089</v>
      </c>
      <c r="CQ113" s="102">
        <f t="array" ref="CQ113">IF($BT113=0, INDEX(LS_current!$D$4:$BW$137, MATCH('Staging Table'!$A113, LS_current!$B$4:$B$137, 0), MATCH(CQ$4&amp;CQ$5, LS_current!$D$2:$BW$2&amp;LS_current!$D$3:$BW$3, 0)),SUM(VLOOKUP($A113, LS_current!$B$4:$BW$137, LS_current!V$147, FALSE), VLOOKUP($A113, LS_current!$B$4:$BW$137,LS_current!BR$147, FALSE))/2)</f>
        <v>6217.9746603969988</v>
      </c>
      <c r="CR113" s="102">
        <f t="array" ref="CR113">IF($BT113=0, INDEX(LS_current!$D$4:$BW$137, MATCH('Staging Table'!$A113, LS_current!$B$4:$B$137, 0), MATCH(CR$4&amp;CR$5, LS_current!$D$2:$BW$2&amp;LS_current!$D$3:$BW$3, 0)),SUM(VLOOKUP($A113, LS_current!$B$4:$BW$137, LS_current!W$147, FALSE), VLOOKUP($A113, LS_current!$B$4:$BW$137,LS_current!BS$147, FALSE))/2)</f>
        <v>5518.3574740673967</v>
      </c>
      <c r="CS113" s="102">
        <f t="array" ref="CS113">IF($BT113=0, INDEX(LS_current!$D$4:$BW$137, MATCH('Staging Table'!$A113, LS_current!$B$4:$B$137, 0), MATCH(CS$4&amp;CS$5, LS_current!$D$2:$BW$2&amp;LS_current!$D$3:$BW$3, 0)),SUM(VLOOKUP($A113, LS_current!$B$4:$BW$137, LS_current!X$147, FALSE), VLOOKUP($A113, LS_current!$B$4:$BW$137,LS_current!BT$147, FALSE))/2)</f>
        <v>5138.9109315211717</v>
      </c>
      <c r="CT113" s="102">
        <f t="array" ref="CT113">IF($BT113=0, INDEX(LS_current!$D$4:$BW$137, MATCH('Staging Table'!$A113, LS_current!$B$4:$B$137, 0), MATCH(CT$4&amp;CT$5, LS_current!$D$2:$BW$2&amp;LS_current!$D$3:$BW$3, 0)),SUM(VLOOKUP($A113, LS_current!$B$4:$BW$137, LS_current!Y$147, FALSE), VLOOKUP($A113, LS_current!$B$4:$BW$137,LS_current!BU$147, FALSE))/2)</f>
        <v>5481.368320985297</v>
      </c>
      <c r="CU113" s="102">
        <f t="array" ref="CU113">IF($BT113=0, INDEX(LS_current!$D$4:$BW$137, MATCH('Staging Table'!$A113, LS_current!$B$4:$B$137, 0), MATCH(CU$4&amp;CU$5, LS_current!$D$2:$BW$2&amp;LS_current!$D$3:$BW$3, 0)),SUM(VLOOKUP($A113, LS_current!$B$4:$BW$137, LS_current!Z$147, FALSE), VLOOKUP($A113, LS_current!$B$4:$BW$137,LS_current!BV$147, FALSE))/2)</f>
        <v>2449.7083746387871</v>
      </c>
      <c r="CV113" s="102">
        <f t="array" ref="CV113">IF($BT113=0, INDEX(LS_current!$D$4:$BW$137, MATCH('Staging Table'!$A113, LS_current!$B$4:$B$137, 0), MATCH(CV$4&amp;CV$5, LS_current!$D$2:$BW$2&amp;LS_current!$D$3:$BW$3, 0)),SUM(VLOOKUP($A113, LS_current!$B$4:$BW$137, LS_current!AA$147, FALSE), VLOOKUP($A113, LS_current!$B$4:$BW$137,LS_current!BW$147, FALSE))/2)</f>
        <v>2552.905237627002</v>
      </c>
      <c r="CW113" s="103">
        <f t="array" ref="CW113">INDEX(Demand_current!$D$4:$BW$137, MATCH($A113, Demand_current!$B$4:$B$137, 0), MATCH(CW$4&amp;CW$5,Demand_current!$D$2:$BW$2&amp;Demand_current!$D$3:$BW$3, 0))/1000</f>
        <v>2.3113425925925943</v>
      </c>
      <c r="CX113" s="103">
        <f t="array" ref="CX113">INDEX(Demand_current!$D$4:$BW$137, MATCH($A113, Demand_current!$B$4:$B$137, 0), MATCH(CX$4&amp;CX$5,Demand_current!$D$2:$BW$2&amp;Demand_current!$D$3:$BW$3, 0))/1000</f>
        <v>0.28838541666666462</v>
      </c>
      <c r="CY113" s="103">
        <f t="array" ref="CY113">INDEX(Demand_current!$D$4:$BW$137, MATCH($A113, Demand_current!$B$4:$B$137, 0), MATCH(CY$4&amp;CY$5,Demand_current!$D$2:$BW$2&amp;Demand_current!$D$3:$BW$3, 0))/1000</f>
        <v>1.1058173076923081</v>
      </c>
      <c r="CZ113" s="103">
        <f t="array" ref="CZ113">INDEX(Demand_current!$D$4:$BW$137, MATCH($A113, Demand_current!$B$4:$B$137, 0), MATCH(CZ$4&amp;CZ$5,Demand_current!$D$2:$BW$2&amp;Demand_current!$D$3:$BW$3, 0))/1000</f>
        <v>1.824447115384618</v>
      </c>
      <c r="DA113" s="103">
        <f t="array" ref="DA113">INDEX(Demand_current!$D$4:$BW$137, MATCH($A113, Demand_current!$B$4:$B$137, 0), MATCH(DA$4&amp;DA$5,Demand_current!$D$2:$BW$2&amp;Demand_current!$D$3:$BW$3, 0))/1000</f>
        <v>1.6267057291666651</v>
      </c>
      <c r="DB113" s="103">
        <f t="array" ref="DB113">INDEX(Demand_current!$D$4:$BW$137, MATCH($A113, Demand_current!$B$4:$B$137, 0), MATCH(DB$4&amp;DB$5,Demand_current!$D$2:$BW$2&amp;Demand_current!$D$3:$BW$3, 0))/1000</f>
        <v>1.667644230769231</v>
      </c>
      <c r="DC113" s="103">
        <f t="array" ref="DC113">INDEX(Demand_current!$D$4:$BW$137, MATCH($A113, Demand_current!$B$4:$B$137, 0), MATCH(DC$4&amp;DC$5,Demand_current!$D$2:$BW$2&amp;Demand_current!$D$3:$BW$3, 0))/1000</f>
        <v>2.0163822115384624</v>
      </c>
      <c r="DD113" s="103">
        <f t="array" ref="DD113">INDEX(Demand_current!$D$4:$BW$137, MATCH($A113, Demand_current!$B$4:$B$137, 0), MATCH(DD$4&amp;DD$5,Demand_current!$D$2:$BW$2&amp;Demand_current!$D$3:$BW$3, 0))/1000</f>
        <v>3.8632100000000049</v>
      </c>
      <c r="DE113" s="103">
        <f t="array" ref="DE113">INDEX(Demand_current!$D$4:$BW$137, MATCH($A113, Demand_current!$B$4:$B$137, 0), MATCH(DE$4&amp;DE$5,Demand_current!$D$2:$BW$2&amp;Demand_current!$D$3:$BW$3, 0))/1000</f>
        <v>3.970990384615388</v>
      </c>
      <c r="DF113" s="103">
        <f t="array" ref="DF113">INDEX(Demand_current!$D$4:$BW$137, MATCH($A113, Demand_current!$B$4:$B$137, 0), MATCH(DF$4&amp;DF$5,Demand_current!$D$2:$BW$2&amp;Demand_current!$D$3:$BW$3, 0))/1000</f>
        <v>3.0078774038461482</v>
      </c>
      <c r="DG113" s="103">
        <f t="array" ref="DG113">INDEX(Demand_current!$D$4:$BW$137, MATCH($A113, Demand_current!$B$4:$B$137, 0), MATCH(DG$4&amp;DG$5,Demand_current!$D$2:$BW$2&amp;Demand_current!$D$3:$BW$3, 0))/1000</f>
        <v>4.3554711538461515</v>
      </c>
      <c r="DH113" s="103">
        <f t="array" ref="DH113">INDEX(Demand_current!$D$4:$BW$137, MATCH($A113, Demand_current!$B$4:$B$137, 0), MATCH(DH$4&amp;DH$5,Demand_current!$D$2:$BW$2&amp;Demand_current!$D$3:$BW$3, 0))/1000</f>
        <v>5.7270400000000015</v>
      </c>
      <c r="DI113" s="102">
        <f>$BS113*(VLOOKUP(DI$4, Rates_current!$H$6:$R$41, 10, FALSE)+VLOOKUP(DI$4, Rates_current!$H$6:$R$41, 11, FALSE))</f>
        <v>9647.7585751315</v>
      </c>
      <c r="DJ113" s="102">
        <f>$BS113*(VLOOKUP(DJ$4, Rates_current!$H$6:$R$41, 10, FALSE)+VLOOKUP(DJ$4, Rates_current!$H$6:$R$41, 11, FALSE))</f>
        <v>12334.341810503638</v>
      </c>
      <c r="DK113" s="102">
        <f>$BS113*(VLOOKUP(DK$4, Rates_current!$H$6:$R$41, 10, FALSE)+VLOOKUP(DK$4, Rates_current!$H$6:$R$41, 11, FALSE))</f>
        <v>14023.115031770352</v>
      </c>
      <c r="DL113" s="102">
        <f>$BS113*(VLOOKUP(DL$4, Rates_current!$H$6:$R$41, 10, FALSE)+VLOOKUP(DL$4, Rates_current!$H$6:$R$41, 11, FALSE))</f>
        <v>14795.480987246025</v>
      </c>
      <c r="DM113" s="102">
        <f>$BS113*(VLOOKUP(DM$4, Rates_current!$H$6:$R$41, 10, FALSE)+VLOOKUP(DM$4, Rates_current!$H$6:$R$41, 11, FALSE))</f>
        <v>11790.663003635291</v>
      </c>
      <c r="DN113" s="102">
        <f>$BS113*(VLOOKUP(DN$4, Rates_current!$H$6:$R$41, 10, FALSE)+VLOOKUP(DN$4, Rates_current!$H$6:$R$41, 11, FALSE))</f>
        <v>12889.615943381086</v>
      </c>
      <c r="DO113" s="102">
        <f>$BS113*(VLOOKUP(DO$4, Rates_current!$H$6:$R$41, 10, FALSE)+VLOOKUP(DO$4, Rates_current!$H$6:$R$41, 11, FALSE))</f>
        <v>9989.5820136957373</v>
      </c>
      <c r="DP113" s="102">
        <f>$BS113*(VLOOKUP(DP$4, Rates_current!$H$6:$R$41, 10, FALSE)+VLOOKUP(DP$4, Rates_current!$H$6:$R$41, 11, FALSE))</f>
        <v>12928.163933873446</v>
      </c>
      <c r="DQ113" s="102">
        <f>$BS113*(VLOOKUP(DQ$4, Rates_current!$H$6:$R$41, 10, FALSE)+VLOOKUP(DQ$4, Rates_current!$H$6:$R$41, 11, FALSE))</f>
        <v>13204.217867736737</v>
      </c>
      <c r="DR113" s="102">
        <f>$BS113*(VLOOKUP(DR$4, Rates_current!$H$6:$R$41, 10, FALSE)+VLOOKUP(DR$4, Rates_current!$H$6:$R$41, 11, FALSE))</f>
        <v>11752.895865535604</v>
      </c>
      <c r="DS113" s="102">
        <f>$BS113*(VLOOKUP(DS$4, Rates_current!$H$6:$R$41, 10, FALSE)+VLOOKUP(DS$4, Rates_current!$H$6:$R$41, 11, FALSE))</f>
        <v>12056.315747493531</v>
      </c>
      <c r="DT113" s="102">
        <f>$BS113*(VLOOKUP(DT$4, Rates_current!$H$6:$R$41, 10, FALSE)+VLOOKUP(DT$4, Rates_current!$H$6:$R$41, 11, FALSE))</f>
        <v>9363.1743877342105</v>
      </c>
      <c r="DU113" s="261">
        <f>IF(D113=0,IF(C113=0,MAX(0,DW113 - (VLOOKUP($A113,TOCA_current!$A$2:$AV$136,MATCH("RHWM "&amp;Init!$D$1,TOCA_current!$A$2:$AV$2,0),FALSE)*$BS$2)), 0),0)</f>
        <v>0</v>
      </c>
      <c r="DV113" s="262">
        <f>MIN(VLOOKUP($A113,TOCA_current!$A$2:$AV$136,MATCH("TRL - NLSL - Existing Resource "&amp;$BS$1,TOCA_current!$A$2:$AV$2,0),FALSE)*$BS$2, VLOOKUP($A113,TOCA_current!$A$2:$AV$136,MATCH("RHWM "&amp;Init!$D$1,TOCA_current!$A$2:$AV$2,0),FALSE)*$BS$2)</f>
        <v>144776.52000000002</v>
      </c>
      <c r="DW113" s="262">
        <f>SUM(BY113:CV113)+(BS113*RT1SC!$C$4*$BS$2)</f>
        <v>144772.78354605482</v>
      </c>
      <c r="DX113" s="262">
        <f>VLOOKUP($A113,TOCA_current!$A$2:$AV$136,MATCH("Above RHWM Not Served with LS "&amp;$BS$1,TOCA_current!$A$2:$AV$2,0),FALSE)*$BS$2</f>
        <v>18203.28</v>
      </c>
      <c r="DY113" s="262">
        <f t="shared" si="43"/>
        <v>-3.7364539451955352</v>
      </c>
      <c r="DZ113" s="262">
        <f>(VLOOKUP($A113,TOCA_current!$A$2:$AV$136,MATCH("RHWM "&amp;Init!$D$1,TOCA_current!$A$2:$AV$2,0),FALSE)*$BS$2) - $DV113</f>
        <v>0</v>
      </c>
      <c r="EA113" s="262">
        <f t="shared" si="44"/>
        <v>0</v>
      </c>
      <c r="EB113" s="262">
        <f t="shared" si="45"/>
        <v>0</v>
      </c>
      <c r="EC113" s="262">
        <f t="shared" si="46"/>
        <v>0</v>
      </c>
      <c r="ED113" s="262">
        <f t="shared" si="47"/>
        <v>0</v>
      </c>
    </row>
    <row r="114" spans="1:134">
      <c r="A114" s="2">
        <v>10370</v>
      </c>
      <c r="B114" s="3" t="s">
        <v>116</v>
      </c>
      <c r="C114">
        <f>VLOOKUP(A114, TOCA_current!$A$3:$D$136, 4, FALSE)</f>
        <v>0</v>
      </c>
      <c r="D114">
        <v>1</v>
      </c>
      <c r="E114" s="84">
        <f>VLOOKUP($A114,TOCA_previous!$A$2:$AJ$136,MATCH(E$4,TOCA_previous!$A$2:$AJ$2,0),FALSE)</f>
        <v>4.83747E-2</v>
      </c>
      <c r="F114" s="85">
        <f>VLOOKUP($A114,TOCA_previous!$A$2:$AJ$136,MATCH(F$4,TOCA_previous!$A$2:$AJ$2,0),FALSE)</f>
        <v>1.8776499999999998E-2</v>
      </c>
      <c r="G114" s="85">
        <f t="shared" si="33"/>
        <v>2.9598200000000002E-2</v>
      </c>
      <c r="H114" s="85">
        <f>VLOOKUP($A114,TOCA_previous!$A$2:$AJ$136,MATCH(H$4,TOCA_previous!$A$2:$AJ$2,0),FALSE)</f>
        <v>0</v>
      </c>
      <c r="I114" s="85">
        <f t="shared" si="34"/>
        <v>0</v>
      </c>
      <c r="J114" s="85">
        <f t="shared" si="35"/>
        <v>0</v>
      </c>
      <c r="K114" s="101">
        <f>VLOOKUP(A114, IRD!$A$5:$C$138, 3, FALSE)</f>
        <v>0</v>
      </c>
      <c r="L114" s="102">
        <f t="array" ref="L114">IF($G114=0, INDEX(LS_previous!$D$4:$AY$137, MATCH('Staging Table'!$A114, LS_previous!$B$4:$B$137, 0), MATCH(L$4&amp;L$5, LS_previous!$D$2:$AY$2&amp;LS_previous!$D$3:$AY$3, 0)),SUM(VLOOKUP($A114, LS_previous!$B$4:$AY$137, LS_previous!D$148, FALSE), VLOOKUP('Staging Table'!$A114, LS_previous!$B$4:$AY$137,LS_previous!AB$148, FALSE))/2)</f>
        <v>-5330.1870561059222</v>
      </c>
      <c r="M114" s="102">
        <f t="array" ref="M114">IF($G114=0, INDEX(LS_previous!$D$4:$AY$137, MATCH('Staging Table'!$A114, LS_previous!$B$4:$B$137, 0), MATCH(M$4&amp;M$5, LS_previous!$D$2:$AY$2&amp;LS_previous!$D$3:$AY$3, 0)),SUM(VLOOKUP($A114, LS_previous!$B$4:$AY$137, LS_previous!E$148, FALSE), VLOOKUP('Staging Table'!$A114, LS_previous!$B$4:$AY$137,LS_previous!AC$148, FALSE))/2)</f>
        <v>772.32593134023227</v>
      </c>
      <c r="N114" s="102">
        <f t="array" ref="N114">IF($G114=0, INDEX(LS_previous!$D$4:$AY$137, MATCH('Staging Table'!$A114, LS_previous!$B$4:$B$137, 0), MATCH(N$4&amp;N$5, LS_previous!$D$2:$AY$2&amp;LS_previous!$D$3:$AY$3, 0)),SUM(VLOOKUP($A114, LS_previous!$B$4:$AY$137, LS_previous!F$148, FALSE), VLOOKUP('Staging Table'!$A114, LS_previous!$B$4:$AY$137,LS_previous!AD$148, FALSE))/2)</f>
        <v>-7595.3968552931947</v>
      </c>
      <c r="O114" s="102">
        <f t="array" ref="O114">IF($G114=0, INDEX(LS_previous!$D$4:$AY$137, MATCH('Staging Table'!$A114, LS_previous!$B$4:$B$137, 0), MATCH(O$4&amp;O$5, LS_previous!$D$2:$AY$2&amp;LS_previous!$D$3:$AY$3, 0)),SUM(VLOOKUP($A114, LS_previous!$B$4:$AY$137, LS_previous!G$148, FALSE), VLOOKUP('Staging Table'!$A114, LS_previous!$B$4:$AY$137,LS_previous!AE$148, FALSE))/2)</f>
        <v>3151.5848655312548</v>
      </c>
      <c r="P114" s="102">
        <f t="array" ref="P114">IF($G114=0, INDEX(LS_previous!$D$4:$AY$137, MATCH('Staging Table'!$A114, LS_previous!$B$4:$B$137, 0), MATCH(P$4&amp;P$5, LS_previous!$D$2:$AY$2&amp;LS_previous!$D$3:$AY$3, 0)),SUM(VLOOKUP($A114, LS_previous!$B$4:$AY$137, LS_previous!H$148, FALSE), VLOOKUP('Staging Table'!$A114, LS_previous!$B$4:$AY$137,LS_previous!AF$148, FALSE))/2)</f>
        <v>-1812.6658753921438</v>
      </c>
      <c r="Q114" s="102">
        <f t="array" ref="Q114">IF($G114=0, INDEX(LS_previous!$D$4:$AY$137, MATCH('Staging Table'!$A114, LS_previous!$B$4:$B$137, 0), MATCH(Q$4&amp;Q$5, LS_previous!$D$2:$AY$2&amp;LS_previous!$D$3:$AY$3, 0)),SUM(VLOOKUP($A114, LS_previous!$B$4:$AY$137, LS_previous!I$148, FALSE), VLOOKUP('Staging Table'!$A114, LS_previous!$B$4:$AY$137,LS_previous!AG$148, FALSE))/2)</f>
        <v>12051.132152386996</v>
      </c>
      <c r="R114" s="102">
        <f t="array" ref="R114">IF($G114=0, INDEX(LS_previous!$D$4:$AY$137, MATCH('Staging Table'!$A114, LS_previous!$B$4:$B$137, 0), MATCH(R$4&amp;R$5, LS_previous!$D$2:$AY$2&amp;LS_previous!$D$3:$AY$3, 0)),SUM(VLOOKUP($A114, LS_previous!$B$4:$AY$137, LS_previous!J$148, FALSE), VLOOKUP('Staging Table'!$A114, LS_previous!$B$4:$AY$137,LS_previous!AH$148, FALSE))/2)</f>
        <v>-6845.1040718710501</v>
      </c>
      <c r="S114" s="102">
        <f t="array" ref="S114">IF($G114=0, INDEX(LS_previous!$D$4:$AY$137, MATCH('Staging Table'!$A114, LS_previous!$B$4:$B$137, 0), MATCH(S$4&amp;S$5, LS_previous!$D$2:$AY$2&amp;LS_previous!$D$3:$AY$3, 0)),SUM(VLOOKUP($A114, LS_previous!$B$4:$AY$137, LS_previous!K$148, FALSE), VLOOKUP('Staging Table'!$A114, LS_previous!$B$4:$AY$137,LS_previous!AI$148, FALSE))/2)</f>
        <v>6482.1274396801564</v>
      </c>
      <c r="T114" s="102">
        <f t="array" ref="T114">IF($G114=0, INDEX(LS_previous!$D$4:$AY$137, MATCH('Staging Table'!$A114, LS_previous!$B$4:$B$137, 0), MATCH(T$4&amp;T$5, LS_previous!$D$2:$AY$2&amp;LS_previous!$D$3:$AY$3, 0)),SUM(VLOOKUP($A114, LS_previous!$B$4:$AY$137, LS_previous!L$148, FALSE), VLOOKUP('Staging Table'!$A114, LS_previous!$B$4:$AY$137,LS_previous!AJ$148, FALSE))/2)</f>
        <v>-5507.1739445289713</v>
      </c>
      <c r="U114" s="102">
        <f t="array" ref="U114">IF($G114=0, INDEX(LS_previous!$D$4:$AY$137, MATCH('Staging Table'!$A114, LS_previous!$B$4:$B$137, 0), MATCH(U$4&amp;U$5, LS_previous!$D$2:$AY$2&amp;LS_previous!$D$3:$AY$3, 0)),SUM(VLOOKUP($A114, LS_previous!$B$4:$AY$137, LS_previous!M$148, FALSE), VLOOKUP('Staging Table'!$A114, LS_previous!$B$4:$AY$137,LS_previous!AK$148, FALSE))/2)</f>
        <v>6078.2486277006719</v>
      </c>
      <c r="V114" s="102">
        <f t="array" ref="V114">IF($G114=0, INDEX(LS_previous!$D$4:$AY$137, MATCH('Staging Table'!$A114, LS_previous!$B$4:$B$137, 0), MATCH(V$4&amp;V$5, LS_previous!$D$2:$AY$2&amp;LS_previous!$D$3:$AY$3, 0)),SUM(VLOOKUP($A114, LS_previous!$B$4:$AY$137, LS_previous!N$148, FALSE), VLOOKUP('Staging Table'!$A114, LS_previous!$B$4:$AY$137,LS_previous!AL$148, FALSE))/2)</f>
        <v>-2717.5334160431412</v>
      </c>
      <c r="W114" s="102">
        <f t="array" ref="W114">IF($G114=0, INDEX(LS_previous!$D$4:$AY$137, MATCH('Staging Table'!$A114, LS_previous!$B$4:$B$137, 0), MATCH(W$4&amp;W$5, LS_previous!$D$2:$AY$2&amp;LS_previous!$D$3:$AY$3, 0)),SUM(VLOOKUP($A114, LS_previous!$B$4:$AY$137, LS_previous!O$148, FALSE), VLOOKUP('Staging Table'!$A114, LS_previous!$B$4:$AY$137,LS_previous!AM$148, FALSE))/2)</f>
        <v>6955.5203893339967</v>
      </c>
      <c r="X114" s="102">
        <f t="array" ref="X114">IF($G114=0, INDEX(LS_previous!$D$4:$AY$137, MATCH('Staging Table'!$A114, LS_previous!$B$4:$B$137, 0), MATCH(X$4&amp;X$5, LS_previous!$D$2:$AY$2&amp;LS_previous!$D$3:$AY$3, 0)),SUM(VLOOKUP($A114, LS_previous!$B$4:$AY$137, LS_previous!P$148, FALSE), VLOOKUP('Staging Table'!$A114, LS_previous!$B$4:$AY$137,LS_previous!AN$148, FALSE))/2)</f>
        <v>2663.4328669619463</v>
      </c>
      <c r="Y114" s="102">
        <f t="array" ref="Y114">IF($G114=0, INDEX(LS_previous!$D$4:$AY$137, MATCH('Staging Table'!$A114, LS_previous!$B$4:$B$137, 0), MATCH(Y$4&amp;Y$5, LS_previous!$D$2:$AY$2&amp;LS_previous!$D$3:$AY$3, 0)),SUM(VLOOKUP($A114, LS_previous!$B$4:$AY$137, LS_previous!Q$148, FALSE), VLOOKUP('Staging Table'!$A114, LS_previous!$B$4:$AY$137,LS_previous!AO$148, FALSE))/2)</f>
        <v>6336.7737239631733</v>
      </c>
      <c r="Z114" s="102">
        <f t="array" ref="Z114">IF($G114=0, INDEX(LS_previous!$D$4:$AY$137, MATCH('Staging Table'!$A114, LS_previous!$B$4:$B$137, 0), MATCH(Z$4&amp;Z$5, LS_previous!$D$2:$AY$2&amp;LS_previous!$D$3:$AY$3, 0)),SUM(VLOOKUP($A114, LS_previous!$B$4:$AY$137, LS_previous!R$148, FALSE), VLOOKUP('Staging Table'!$A114, LS_previous!$B$4:$AY$137,LS_previous!AP$148, FALSE))/2)</f>
        <v>-16344.070503086059</v>
      </c>
      <c r="AA114" s="102">
        <f t="array" ref="AA114">IF($G114=0, INDEX(LS_previous!$D$4:$AY$137, MATCH('Staging Table'!$A114, LS_previous!$B$4:$B$137, 0), MATCH(AA$4&amp;AA$5, LS_previous!$D$2:$AY$2&amp;LS_previous!$D$3:$AY$3, 0)),SUM(VLOOKUP($A114, LS_previous!$B$4:$AY$137, LS_previous!S$148, FALSE), VLOOKUP('Staging Table'!$A114, LS_previous!$B$4:$AY$137,LS_previous!AQ$148, FALSE))/2)</f>
        <v>-4050.7416384319295</v>
      </c>
      <c r="AB114" s="102">
        <f t="array" ref="AB114">IF($G114=0, INDEX(LS_previous!$D$4:$AY$137, MATCH('Staging Table'!$A114, LS_previous!$B$4:$B$137, 0), MATCH(AB$4&amp;AB$5, LS_previous!$D$2:$AY$2&amp;LS_previous!$D$3:$AY$3, 0)),SUM(VLOOKUP($A114, LS_previous!$B$4:$AY$137, LS_previous!T$148, FALSE), VLOOKUP('Staging Table'!$A114, LS_previous!$B$4:$AY$137,LS_previous!AR$148, FALSE))/2)</f>
        <v>-24851.93671908569</v>
      </c>
      <c r="AC114" s="102">
        <f t="array" ref="AC114">IF($G114=0, INDEX(LS_previous!$D$4:$AY$137, MATCH('Staging Table'!$A114, LS_previous!$B$4:$B$137, 0), MATCH(AC$4&amp;AC$5, LS_previous!$D$2:$AY$2&amp;LS_previous!$D$3:$AY$3, 0)),SUM(VLOOKUP($A114, LS_previous!$B$4:$AY$137, LS_previous!U$148, FALSE), VLOOKUP('Staging Table'!$A114, LS_previous!$B$4:$AY$137,LS_previous!AS$148, FALSE))/2)</f>
        <v>-6324.6113650413208</v>
      </c>
      <c r="AD114" s="102">
        <f t="array" ref="AD114">IF($G114=0, INDEX(LS_previous!$D$4:$AY$137, MATCH('Staging Table'!$A114, LS_previous!$B$4:$B$137, 0), MATCH(AD$4&amp;AD$5, LS_previous!$D$2:$AY$2&amp;LS_previous!$D$3:$AY$3, 0)),SUM(VLOOKUP($A114, LS_previous!$B$4:$AY$137, LS_previous!V$148, FALSE), VLOOKUP('Staging Table'!$A114, LS_previous!$B$4:$AY$137,LS_previous!AT$148, FALSE))/2)</f>
        <v>-12548.169164541563</v>
      </c>
      <c r="AE114" s="102">
        <f t="array" ref="AE114">IF($G114=0, INDEX(LS_previous!$D$4:$AY$137, MATCH('Staging Table'!$A114, LS_previous!$B$4:$B$137, 0), MATCH(AE$4&amp;AE$5, LS_previous!$D$2:$AY$2&amp;LS_previous!$D$3:$AY$3, 0)),SUM(VLOOKUP($A114, LS_previous!$B$4:$AY$137, LS_previous!W$148, FALSE), VLOOKUP('Staging Table'!$A114, LS_previous!$B$4:$AY$137,LS_previous!AU$148, FALSE))/2)</f>
        <v>447.66211992482567</v>
      </c>
      <c r="AF114" s="102">
        <f t="array" ref="AF114">IF($G114=0, INDEX(LS_previous!$D$4:$AY$137, MATCH('Staging Table'!$A114, LS_previous!$B$4:$B$137, 0), MATCH(AF$4&amp;AF$5, LS_previous!$D$2:$AY$2&amp;LS_previous!$D$3:$AY$3, 0)),SUM(VLOOKUP($A114, LS_previous!$B$4:$AY$137, LS_previous!X$148, FALSE), VLOOKUP('Staging Table'!$A114, LS_previous!$B$4:$AY$137,LS_previous!AV$148, FALSE))/2)</f>
        <v>-13241.663069595877</v>
      </c>
      <c r="AG114" s="102">
        <f t="array" ref="AG114">IF($G114=0, INDEX(LS_previous!$D$4:$AY$137, MATCH('Staging Table'!$A114, LS_previous!$B$4:$B$137, 0), MATCH(AG$4&amp;AG$5, LS_previous!$D$2:$AY$2&amp;LS_previous!$D$3:$AY$3, 0)),SUM(VLOOKUP($A114, LS_previous!$B$4:$AY$137, LS_previous!Y$148, FALSE), VLOOKUP('Staging Table'!$A114, LS_previous!$B$4:$AY$137,LS_previous!AW$148, FALSE))/2)</f>
        <v>-140.32556248798755</v>
      </c>
      <c r="AH114" s="102">
        <f t="array" ref="AH114">IF($G114=0, INDEX(LS_previous!$D$4:$AY$137, MATCH('Staging Table'!$A114, LS_previous!$B$4:$B$137, 0), MATCH(AH$4&amp;AH$5, LS_previous!$D$2:$AY$2&amp;LS_previous!$D$3:$AY$3, 0)),SUM(VLOOKUP($A114, LS_previous!$B$4:$AY$137, LS_previous!Z$148, FALSE), VLOOKUP('Staging Table'!$A114, LS_previous!$B$4:$AY$137,LS_previous!AX$148, FALSE))/2)</f>
        <v>-5999.0078554000938</v>
      </c>
      <c r="AI114" s="102">
        <f t="array" ref="AI114">IF($G114=0, INDEX(LS_previous!$D$4:$AY$137, MATCH('Staging Table'!$A114, LS_previous!$B$4:$B$137, 0), MATCH(AI$4&amp;AI$5, LS_previous!$D$2:$AY$2&amp;LS_previous!$D$3:$AY$3, 0)),SUM(VLOOKUP($A114, LS_previous!$B$4:$AY$137, LS_previous!AA$148, FALSE), VLOOKUP('Staging Table'!$A114, LS_previous!$B$4:$AY$137,LS_previous!AY$148, FALSE))/2)</f>
        <v>2800.118594243324</v>
      </c>
      <c r="AJ114" s="103">
        <f t="array" ref="AJ114">INDEX(Demand_previous!$D$4:$AY$137, MATCH('Staging Table'!$A114, Demand_previous!$B$4:$B$137, 0), MATCH(AJ$4&amp;AJ$5,Demand_previous!$D$2:$AY$2&amp;Demand_previous!$D$3:$AY$3, 0))/1000</f>
        <v>0</v>
      </c>
      <c r="AK114" s="103">
        <f t="array" ref="AK114">INDEX(Demand_previous!$D$4:$AY$137, MATCH('Staging Table'!$A114, Demand_previous!$B$4:$B$137, 0), MATCH(AK$4&amp;AK$5,Demand_previous!$D$2:$AY$2&amp;Demand_previous!$D$3:$AY$3, 0))/1000</f>
        <v>0</v>
      </c>
      <c r="AL114" s="103">
        <f t="array" ref="AL114">INDEX(Demand_previous!$D$4:$AY$137, MATCH('Staging Table'!$A114, Demand_previous!$B$4:$B$137, 0), MATCH(AL$4&amp;AL$5,Demand_previous!$D$2:$AY$2&amp;Demand_previous!$D$3:$AY$3, 0))/1000</f>
        <v>0</v>
      </c>
      <c r="AM114" s="103">
        <f t="array" ref="AM114">INDEX(Demand_previous!$D$4:$AY$137, MATCH('Staging Table'!$A114, Demand_previous!$B$4:$B$137, 0), MATCH(AM$4&amp;AM$5,Demand_previous!$D$2:$AY$2&amp;Demand_previous!$D$3:$AY$3, 0))/1000</f>
        <v>0</v>
      </c>
      <c r="AN114" s="103">
        <f t="array" ref="AN114">INDEX(Demand_previous!$D$4:$AY$137, MATCH('Staging Table'!$A114, Demand_previous!$B$4:$B$137, 0), MATCH(AN$4&amp;AN$5,Demand_previous!$D$2:$AY$2&amp;Demand_previous!$D$3:$AY$3, 0))/1000</f>
        <v>0</v>
      </c>
      <c r="AO114" s="103">
        <f t="array" ref="AO114">INDEX(Demand_previous!$D$4:$AY$137, MATCH('Staging Table'!$A114, Demand_previous!$B$4:$B$137, 0), MATCH(AO$4&amp;AO$5,Demand_previous!$D$2:$AY$2&amp;Demand_previous!$D$3:$AY$3, 0))/1000</f>
        <v>0</v>
      </c>
      <c r="AP114" s="103">
        <f t="array" ref="AP114">INDEX(Demand_previous!$D$4:$AY$137, MATCH('Staging Table'!$A114, Demand_previous!$B$4:$B$137, 0), MATCH(AP$4&amp;AP$5,Demand_previous!$D$2:$AY$2&amp;Demand_previous!$D$3:$AY$3, 0))/1000</f>
        <v>0</v>
      </c>
      <c r="AQ114" s="103">
        <f t="array" ref="AQ114">INDEX(Demand_previous!$D$4:$AY$137, MATCH('Staging Table'!$A114, Demand_previous!$B$4:$B$137, 0), MATCH(AQ$4&amp;AQ$5,Demand_previous!$D$2:$AY$2&amp;Demand_previous!$D$3:$AY$3, 0))/1000</f>
        <v>0</v>
      </c>
      <c r="AR114" s="103">
        <f t="array" ref="AR114">INDEX(Demand_previous!$D$4:$AY$137, MATCH('Staging Table'!$A114, Demand_previous!$B$4:$B$137, 0), MATCH(AR$4&amp;AR$5,Demand_previous!$D$2:$AY$2&amp;Demand_previous!$D$3:$AY$3, 0))/1000</f>
        <v>0</v>
      </c>
      <c r="AS114" s="103">
        <f t="array" ref="AS114">INDEX(Demand_previous!$D$4:$AY$137, MATCH('Staging Table'!$A114, Demand_previous!$B$4:$B$137, 0), MATCH(AS$4&amp;AS$5,Demand_previous!$D$2:$AY$2&amp;Demand_previous!$D$3:$AY$3, 0))/1000</f>
        <v>0</v>
      </c>
      <c r="AT114" s="103">
        <f t="array" ref="AT114">INDEX(Demand_previous!$D$4:$AY$137, MATCH('Staging Table'!$A114, Demand_previous!$B$4:$B$137, 0), MATCH(AT$4&amp;AT$5,Demand_previous!$D$2:$AY$2&amp;Demand_previous!$D$3:$AY$3, 0))/1000</f>
        <v>0</v>
      </c>
      <c r="AU114" s="103">
        <f t="array" ref="AU114">INDEX(Demand_previous!$D$4:$AY$137, MATCH('Staging Table'!$A114, Demand_previous!$B$4:$B$137, 0), MATCH(AU$4&amp;AU$5,Demand_previous!$D$2:$AY$2&amp;Demand_previous!$D$3:$AY$3, 0))/1000</f>
        <v>0</v>
      </c>
      <c r="AV114" s="102">
        <f>$F114*(VLOOKUP(AV$4, Rates_previous!$G$6:$Q$29, 10, FALSE)+VLOOKUP(AV$4, Rates_previous!$G$6:$Q$29, 11, FALSE))</f>
        <v>79214.368827804748</v>
      </c>
      <c r="AW114" s="102">
        <f>$F114*(VLOOKUP(AW$4, Rates_previous!$G$6:$Q$29, 10, FALSE)+VLOOKUP(AW$4, Rates_previous!$G$6:$Q$29, 11, FALSE))</f>
        <v>101024.4414291635</v>
      </c>
      <c r="AX114" s="102">
        <f>$F114*(VLOOKUP(AX$4, Rates_previous!$G$6:$Q$29, 10, FALSE)+VLOOKUP(AX$4, Rates_previous!$G$6:$Q$29, 11, FALSE))</f>
        <v>109025.3611112775</v>
      </c>
      <c r="AY114" s="102">
        <f>$F114*(VLOOKUP(AY$4, Rates_previous!$G$6:$Q$29, 10, FALSE)+VLOOKUP(AY$4, Rates_previous!$G$6:$Q$29, 11, FALSE))</f>
        <v>113294.20418821598</v>
      </c>
      <c r="AZ114" s="102">
        <f>$F114*(VLOOKUP(AZ$4, Rates_previous!$G$6:$Q$29, 10, FALSE)+VLOOKUP(AZ$4, Rates_previous!$G$6:$Q$29, 11, FALSE))</f>
        <v>97448.116755206982</v>
      </c>
      <c r="BA114" s="102">
        <f>$F114*(VLOOKUP(BA$4, Rates_previous!$G$6:$Q$29, 10, FALSE)+VLOOKUP(BA$4, Rates_previous!$G$6:$Q$29, 11, FALSE))</f>
        <v>106394.04973986148</v>
      </c>
      <c r="BB114" s="102">
        <f>$F114*(VLOOKUP(BB$4, Rates_previous!$G$6:$Q$29, 10, FALSE)+VLOOKUP(BB$4, Rates_previous!$G$6:$Q$29, 11, FALSE))</f>
        <v>83980.172698777606</v>
      </c>
      <c r="BC114" s="102">
        <f>$F114*(VLOOKUP(BC$4, Rates_previous!$G$6:$Q$29, 10, FALSE)+VLOOKUP(BC$4, Rates_previous!$G$6:$Q$29, 11, FALSE))</f>
        <v>104188.65810104724</v>
      </c>
      <c r="BD114" s="102">
        <f>$F114*(VLOOKUP(BD$4, Rates_previous!$G$6:$Q$29, 10, FALSE)+VLOOKUP(BD$4, Rates_previous!$G$6:$Q$29, 11, FALSE))</f>
        <v>106449.29188335824</v>
      </c>
      <c r="BE114" s="102">
        <f>$F114*(VLOOKUP(BE$4, Rates_previous!$G$6:$Q$29, 10, FALSE)+VLOOKUP(BE$4, Rates_previous!$G$6:$Q$29, 11, FALSE))</f>
        <v>92413.321331999745</v>
      </c>
      <c r="BF114" s="102">
        <f>$F114*(VLOOKUP(BF$4, Rates_previous!$G$6:$Q$29, 10, FALSE)+VLOOKUP(BF$4, Rates_previous!$G$6:$Q$29, 11, FALSE))</f>
        <v>89339.117461473274</v>
      </c>
      <c r="BG114" s="102">
        <f>$F114*(VLOOKUP(BG$4, Rates_previous!$G$6:$Q$29, 10, FALSE)+VLOOKUP(BG$4, Rates_previous!$G$6:$Q$29, 11, FALSE))</f>
        <v>82209.288483017008</v>
      </c>
      <c r="BH114" s="103">
        <f>IF($D114=0,IF(C114=0, MAX(BJ114 - (VLOOKUP($A114,TOCA_previous!$A$2:$AJ$136,MATCH("RHWM "&amp;Init!$D$1-2,TOCA_previous!$A$2:$AJ$2,0),FALSE)*$F$2*TOCA_previous!C111),0),0), 0)</f>
        <v>0</v>
      </c>
      <c r="BI114" s="109">
        <f>MIN(VLOOKUP($A114,TOCA_previous!$A$2:$AJ$136,MATCH("TRL - NLSL - Existing Resource "&amp;$F$1,TOCA_previous!$A$2:$AJ$2,0),FALSE)*$F$2,(VLOOKUP($A114,TOCA_previous!$A$2:$AJ$136,MATCH("RHWM "&amp;Init!$D$1-2,TOCA_previous!$A$2:$AJ$2,0),FALSE)*$F$2))</f>
        <v>2935147.2480000001</v>
      </c>
      <c r="BJ114" s="261">
        <f>SUM(L114:AI114)+(F114*RT1SC!$C$3*$F$2)</f>
        <v>1099410.7369654013</v>
      </c>
      <c r="BK114" s="260">
        <f>VLOOKUP($A114,TOCA_previous!$A$2:$AJ$136,MATCH("Above RHWM Not Served with LS "&amp;$F$1,TOCA_previous!$A$2:$AJ$2,0),FALSE)*$F$2</f>
        <v>0</v>
      </c>
      <c r="BL114" s="261">
        <f t="shared" si="36"/>
        <v>-1835736.5110345988</v>
      </c>
      <c r="BM114" s="260">
        <f>(VLOOKUP($A114,TOCA_previous!$A$2:$AJ$136,MATCH("RHWM "&amp;Init!$D$1-2,TOCA_previous!$A$2:$AJ$2,0),FALSE)*$F$2) - $BI114</f>
        <v>599446.51199999964</v>
      </c>
      <c r="BN114" s="261">
        <f t="shared" si="37"/>
        <v>0</v>
      </c>
      <c r="BO114" s="260">
        <f t="shared" si="38"/>
        <v>1835736.5110345988</v>
      </c>
      <c r="BP114" s="261">
        <f t="shared" si="39"/>
        <v>0</v>
      </c>
      <c r="BQ114" s="260">
        <f t="shared" si="9"/>
        <v>0</v>
      </c>
      <c r="BR114" s="85">
        <f>VLOOKUP($A114,TOCA_current!$A$2:$ZZ$136,MATCH(BR$4,TOCA_current!$A$2:$ZZ$2,0),FALSE)</f>
        <v>4.71286E-2</v>
      </c>
      <c r="BS114" s="85">
        <f>VLOOKUP($A114,TOCA_current!$A$2:$ZZ$136,MATCH(BS$4,TOCA_current!$A$2:$ZZ$2,0),FALSE)</f>
        <v>1.75465E-2</v>
      </c>
      <c r="BT114" s="108">
        <f t="shared" si="40"/>
        <v>2.95821E-2</v>
      </c>
      <c r="BU114" s="85">
        <f>VLOOKUP($A114,TOCA_current!A111:BG245,MATCH(BU$4,TOCA_current!$A$2:$BG$2,0),FALSE)</f>
        <v>0</v>
      </c>
      <c r="BV114" s="85">
        <f t="shared" si="41"/>
        <v>0</v>
      </c>
      <c r="BW114" s="85">
        <f t="shared" si="42"/>
        <v>0</v>
      </c>
      <c r="BX114" s="101">
        <f>VLOOKUP($A114,IRD!$A$4:$G$138, 7, FALSE)</f>
        <v>0</v>
      </c>
      <c r="BY114" s="102">
        <f t="array" ref="BY114">IF($BT114=0, INDEX(LS_current!$D$4:$BW$137, MATCH('Staging Table'!$A114, LS_current!$B$4:$B$137, 0), MATCH(BY$4&amp;BY$5, LS_current!$D$2:$BW$2&amp;LS_current!$D$3:$BW$3, 0)),SUM(VLOOKUP($A114, LS_current!$B$4:$BW$137, LS_current!D$147, FALSE), VLOOKUP($A114, LS_current!$B$4:$BW$137,LS_current!AZ$147, FALSE))/2)</f>
        <v>-1605.8082189355155</v>
      </c>
      <c r="BZ114" s="102">
        <f t="array" ref="BZ114">IF($BT114=0, INDEX(LS_current!$D$4:$BW$137, MATCH('Staging Table'!$A114, LS_current!$B$4:$B$137, 0), MATCH(BZ$4&amp;BZ$5, LS_current!$D$2:$BW$2&amp;LS_current!$D$3:$BW$3, 0)),SUM(VLOOKUP($A114, LS_current!$B$4:$BW$137, LS_current!E$147, FALSE), VLOOKUP($A114, LS_current!$B$4:$BW$137,LS_current!BA$147, FALSE))/2)</f>
        <v>3975.6092177789851</v>
      </c>
      <c r="CA114" s="102">
        <f t="array" ref="CA114">IF($BT114=0, INDEX(LS_current!$D$4:$BW$137, MATCH('Staging Table'!$A114, LS_current!$B$4:$B$137, 0), MATCH(CA$4&amp;CA$5, LS_current!$D$2:$BW$2&amp;LS_current!$D$3:$BW$3, 0)),SUM(VLOOKUP($A114, LS_current!$B$4:$BW$137, LS_current!F$147, FALSE), VLOOKUP($A114, LS_current!$B$4:$BW$137,LS_current!BB$147, FALSE))/2)</f>
        <v>-4674.783745160621</v>
      </c>
      <c r="CB114" s="102">
        <f t="array" ref="CB114">IF($BT114=0, INDEX(LS_current!$D$4:$BW$137, MATCH('Staging Table'!$A114, LS_current!$B$4:$B$137, 0), MATCH(CB$4&amp;CB$5, LS_current!$D$2:$BW$2&amp;LS_current!$D$3:$BW$3, 0)),SUM(VLOOKUP($A114, LS_current!$B$4:$BW$137, LS_current!G$147, FALSE), VLOOKUP($A114, LS_current!$B$4:$BW$137,LS_current!BC$147, FALSE))/2)</f>
        <v>8065.0754249770507</v>
      </c>
      <c r="CC114" s="102">
        <f t="array" ref="CC114">IF($BT114=0, INDEX(LS_current!$D$4:$BW$137, MATCH('Staging Table'!$A114, LS_current!$B$4:$B$137, 0), MATCH(CC$4&amp;CC$5, LS_current!$D$2:$BW$2&amp;LS_current!$D$3:$BW$3, 0)),SUM(VLOOKUP($A114, LS_current!$B$4:$BW$137, LS_current!H$147, FALSE), VLOOKUP($A114, LS_current!$B$4:$BW$137,LS_current!BD$147, FALSE))/2)</f>
        <v>-931.22155676730108</v>
      </c>
      <c r="CD114" s="102">
        <f t="array" ref="CD114">IF($BT114=0, INDEX(LS_current!$D$4:$BW$137, MATCH('Staging Table'!$A114, LS_current!$B$4:$B$137, 0), MATCH(CD$4&amp;CD$5, LS_current!$D$2:$BW$2&amp;LS_current!$D$3:$BW$3, 0)),SUM(VLOOKUP($A114, LS_current!$B$4:$BW$137, LS_current!I$147, FALSE), VLOOKUP($A114, LS_current!$B$4:$BW$137,LS_current!BE$147, FALSE))/2)</f>
        <v>14343.321256223451</v>
      </c>
      <c r="CE114" s="102">
        <f t="array" ref="CE114">IF($BT114=0, INDEX(LS_current!$D$4:$BW$137, MATCH('Staging Table'!$A114, LS_current!$B$4:$B$137, 0), MATCH(CE$4&amp;CE$5, LS_current!$D$2:$BW$2&amp;LS_current!$D$3:$BW$3, 0)),SUM(VLOOKUP($A114, LS_current!$B$4:$BW$137, LS_current!J$147, FALSE), VLOOKUP($A114, LS_current!$B$4:$BW$137,LS_current!BF$147, FALSE))/2)</f>
        <v>-8152.6674250873621</v>
      </c>
      <c r="CF114" s="102">
        <f t="array" ref="CF114">IF($BT114=0, INDEX(LS_current!$D$4:$BW$137, MATCH('Staging Table'!$A114, LS_current!$B$4:$B$137, 0), MATCH(CF$4&amp;CF$5, LS_current!$D$2:$BW$2&amp;LS_current!$D$3:$BW$3, 0)),SUM(VLOOKUP($A114, LS_current!$B$4:$BW$137, LS_current!K$147, FALSE), VLOOKUP($A114, LS_current!$B$4:$BW$137,LS_current!BG$147, FALSE))/2)</f>
        <v>9486.9923452847179</v>
      </c>
      <c r="CG114" s="102">
        <f t="array" ref="CG114">IF($BT114=0, INDEX(LS_current!$D$4:$BW$137, MATCH('Staging Table'!$A114, LS_current!$B$4:$B$137, 0), MATCH(CG$4&amp;CG$5, LS_current!$D$2:$BW$2&amp;LS_current!$D$3:$BW$3, 0)),SUM(VLOOKUP($A114, LS_current!$B$4:$BW$137, LS_current!L$147, FALSE), VLOOKUP($A114, LS_current!$B$4:$BW$137,LS_current!BH$147, FALSE))/2)</f>
        <v>-1402.0833792991798</v>
      </c>
      <c r="CH114" s="102">
        <f t="array" ref="CH114">IF($BT114=0, INDEX(LS_current!$D$4:$BW$137, MATCH('Staging Table'!$A114, LS_current!$B$4:$B$137, 0), MATCH(CH$4&amp;CH$5, LS_current!$D$2:$BW$2&amp;LS_current!$D$3:$BW$3, 0)),SUM(VLOOKUP($A114, LS_current!$B$4:$BW$137, LS_current!M$147, FALSE), VLOOKUP($A114, LS_current!$B$4:$BW$137,LS_current!BI$147, FALSE))/2)</f>
        <v>8784.5529211471385</v>
      </c>
      <c r="CI114" s="102">
        <f t="array" ref="CI114">IF($BT114=0, INDEX(LS_current!$D$4:$BW$137, MATCH('Staging Table'!$A114, LS_current!$B$4:$B$137, 0), MATCH(CI$4&amp;CI$5, LS_current!$D$2:$BW$2&amp;LS_current!$D$3:$BW$3, 0)),SUM(VLOOKUP($A114, LS_current!$B$4:$BW$137, LS_current!N$147, FALSE), VLOOKUP($A114, LS_current!$B$4:$BW$137,LS_current!BJ$147, FALSE))/2)</f>
        <v>-30.606659691085952</v>
      </c>
      <c r="CJ114" s="102">
        <f t="array" ref="CJ114">IF($BT114=0, INDEX(LS_current!$D$4:$BW$137, MATCH('Staging Table'!$A114, LS_current!$B$4:$B$137, 0), MATCH(CJ$4&amp;CJ$5, LS_current!$D$2:$BW$2&amp;LS_current!$D$3:$BW$3, 0)),SUM(VLOOKUP($A114, LS_current!$B$4:$BW$137, LS_current!O$147, FALSE), VLOOKUP($A114, LS_current!$B$4:$BW$137,LS_current!BK$147, FALSE))/2)</f>
        <v>13224.046772705631</v>
      </c>
      <c r="CK114" s="102">
        <f t="array" ref="CK114">IF($BT114=0, INDEX(LS_current!$D$4:$BW$137, MATCH('Staging Table'!$A114, LS_current!$B$4:$B$137, 0), MATCH(CK$4&amp;CK$5, LS_current!$D$2:$BW$2&amp;LS_current!$D$3:$BW$3, 0)),SUM(VLOOKUP($A114, LS_current!$B$4:$BW$137, LS_current!P$147, FALSE), VLOOKUP($A114, LS_current!$B$4:$BW$137,LS_current!BL$147, FALSE))/2)</f>
        <v>7273.4288892446821</v>
      </c>
      <c r="CL114" s="102">
        <f t="array" ref="CL114">IF($BT114=0, INDEX(LS_current!$D$4:$BW$137, MATCH('Staging Table'!$A114, LS_current!$B$4:$B$137, 0), MATCH(CL$4&amp;CL$5, LS_current!$D$2:$BW$2&amp;LS_current!$D$3:$BW$3, 0)),SUM(VLOOKUP($A114, LS_current!$B$4:$BW$137, LS_current!Q$147, FALSE), VLOOKUP($A114, LS_current!$B$4:$BW$137,LS_current!BM$147, FALSE))/2)</f>
        <v>10131.008826716154</v>
      </c>
      <c r="CM114" s="102">
        <f t="array" ref="CM114">IF($BT114=0, INDEX(LS_current!$D$4:$BW$137, MATCH('Staging Table'!$A114, LS_current!$B$4:$B$137, 0), MATCH(CM$4&amp;CM$5, LS_current!$D$2:$BW$2&amp;LS_current!$D$3:$BW$3, 0)),SUM(VLOOKUP($A114, LS_current!$B$4:$BW$137, LS_current!R$147, FALSE), VLOOKUP($A114, LS_current!$B$4:$BW$137,LS_current!BN$147, FALSE))/2)</f>
        <v>-13855.327331992794</v>
      </c>
      <c r="CN114" s="102">
        <f t="array" ref="CN114">IF($BT114=0, INDEX(LS_current!$D$4:$BW$137, MATCH('Staging Table'!$A114, LS_current!$B$4:$B$137, 0), MATCH(CN$4&amp;CN$5, LS_current!$D$2:$BW$2&amp;LS_current!$D$3:$BW$3, 0)),SUM(VLOOKUP($A114, LS_current!$B$4:$BW$137, LS_current!S$147, FALSE), VLOOKUP($A114, LS_current!$B$4:$BW$137,LS_current!BO$147, FALSE))/2)</f>
        <v>72.502748123861238</v>
      </c>
      <c r="CO114" s="102">
        <f t="array" ref="CO114">IF($BT114=0, INDEX(LS_current!$D$4:$BW$137, MATCH('Staging Table'!$A114, LS_current!$B$4:$B$137, 0), MATCH(CO$4&amp;CO$5, LS_current!$D$2:$BW$2&amp;LS_current!$D$3:$BW$3, 0)),SUM(VLOOKUP($A114, LS_current!$B$4:$BW$137, LS_current!T$147, FALSE), VLOOKUP($A114, LS_current!$B$4:$BW$137,LS_current!BP$147, FALSE))/2)</f>
        <v>-21241.384044242433</v>
      </c>
      <c r="CP114" s="102">
        <f t="array" ref="CP114">IF($BT114=0, INDEX(LS_current!$D$4:$BW$137, MATCH('Staging Table'!$A114, LS_current!$B$4:$B$137, 0), MATCH(CP$4&amp;CP$5, LS_current!$D$2:$BW$2&amp;LS_current!$D$3:$BW$3, 0)),SUM(VLOOKUP($A114, LS_current!$B$4:$BW$137, LS_current!U$147, FALSE), VLOOKUP($A114, LS_current!$B$4:$BW$137,LS_current!BQ$147, FALSE))/2)</f>
        <v>-3110.3037751841675</v>
      </c>
      <c r="CQ114" s="102">
        <f t="array" ref="CQ114">IF($BT114=0, INDEX(LS_current!$D$4:$BW$137, MATCH('Staging Table'!$A114, LS_current!$B$4:$B$137, 0), MATCH(CQ$4&amp;CQ$5, LS_current!$D$2:$BW$2&amp;LS_current!$D$3:$BW$3, 0)),SUM(VLOOKUP($A114, LS_current!$B$4:$BW$137, LS_current!V$147, FALSE), VLOOKUP($A114, LS_current!$B$4:$BW$137,LS_current!BR$147, FALSE))/2)</f>
        <v>-11102.781381127406</v>
      </c>
      <c r="CR114" s="102">
        <f t="array" ref="CR114">IF($BT114=0, INDEX(LS_current!$D$4:$BW$137, MATCH('Staging Table'!$A114, LS_current!$B$4:$B$137, 0), MATCH(CR$4&amp;CR$5, LS_current!$D$2:$BW$2&amp;LS_current!$D$3:$BW$3, 0)),SUM(VLOOKUP($A114, LS_current!$B$4:$BW$137, LS_current!W$147, FALSE), VLOOKUP($A114, LS_current!$B$4:$BW$137,LS_current!BS$147, FALSE))/2)</f>
        <v>2746.6447069406113</v>
      </c>
      <c r="CS114" s="102">
        <f t="array" ref="CS114">IF($BT114=0, INDEX(LS_current!$D$4:$BW$137, MATCH('Staging Table'!$A114, LS_current!$B$4:$B$137, 0), MATCH(CS$4&amp;CS$5, LS_current!$D$2:$BW$2&amp;LS_current!$D$3:$BW$3, 0)),SUM(VLOOKUP($A114, LS_current!$B$4:$BW$137, LS_current!X$147, FALSE), VLOOKUP($A114, LS_current!$B$4:$BW$137,LS_current!BT$147, FALSE))/2)</f>
        <v>-17652.19149790737</v>
      </c>
      <c r="CT114" s="102">
        <f t="array" ref="CT114">IF($BT114=0, INDEX(LS_current!$D$4:$BW$137, MATCH('Staging Table'!$A114, LS_current!$B$4:$B$137, 0), MATCH(CT$4&amp;CT$5, LS_current!$D$2:$BW$2&amp;LS_current!$D$3:$BW$3, 0)),SUM(VLOOKUP($A114, LS_current!$B$4:$BW$137, LS_current!Y$147, FALSE), VLOOKUP($A114, LS_current!$B$4:$BW$137,LS_current!BU$147, FALSE))/2)</f>
        <v>2797.1599501308992</v>
      </c>
      <c r="CU114" s="102">
        <f t="array" ref="CU114">IF($BT114=0, INDEX(LS_current!$D$4:$BW$137, MATCH('Staging Table'!$A114, LS_current!$B$4:$B$137, 0), MATCH(CU$4&amp;CU$5, LS_current!$D$2:$BW$2&amp;LS_current!$D$3:$BW$3, 0)),SUM(VLOOKUP($A114, LS_current!$B$4:$BW$137, LS_current!Z$147, FALSE), VLOOKUP($A114, LS_current!$B$4:$BW$137,LS_current!BV$147, FALSE))/2)</f>
        <v>-84.357348169651232</v>
      </c>
      <c r="CV114" s="102">
        <f t="array" ref="CV114">IF($BT114=0, INDEX(LS_current!$D$4:$BW$137, MATCH('Staging Table'!$A114, LS_current!$B$4:$B$137, 0), MATCH(CV$4&amp;CV$5, LS_current!$D$2:$BW$2&amp;LS_current!$D$3:$BW$3, 0)),SUM(VLOOKUP($A114, LS_current!$B$4:$BW$137, LS_current!AA$147, FALSE), VLOOKUP($A114, LS_current!$B$4:$BW$137,LS_current!BW$147, FALSE))/2)</f>
        <v>8207.9725938935499</v>
      </c>
      <c r="CW114" s="103">
        <f t="array" ref="CW114">INDEX(Demand_current!$D$4:$BW$137, MATCH($A114, Demand_current!$B$4:$B$137, 0), MATCH(CW$4&amp;CW$5,Demand_current!$D$2:$BW$2&amp;Demand_current!$D$3:$BW$3, 0))/1000</f>
        <v>0</v>
      </c>
      <c r="CX114" s="103">
        <f t="array" ref="CX114">INDEX(Demand_current!$D$4:$BW$137, MATCH($A114, Demand_current!$B$4:$B$137, 0), MATCH(CX$4&amp;CX$5,Demand_current!$D$2:$BW$2&amp;Demand_current!$D$3:$BW$3, 0))/1000</f>
        <v>0</v>
      </c>
      <c r="CY114" s="103">
        <f t="array" ref="CY114">INDEX(Demand_current!$D$4:$BW$137, MATCH($A114, Demand_current!$B$4:$B$137, 0), MATCH(CY$4&amp;CY$5,Demand_current!$D$2:$BW$2&amp;Demand_current!$D$3:$BW$3, 0))/1000</f>
        <v>0</v>
      </c>
      <c r="CZ114" s="103">
        <f t="array" ref="CZ114">INDEX(Demand_current!$D$4:$BW$137, MATCH($A114, Demand_current!$B$4:$B$137, 0), MATCH(CZ$4&amp;CZ$5,Demand_current!$D$2:$BW$2&amp;Demand_current!$D$3:$BW$3, 0))/1000</f>
        <v>0</v>
      </c>
      <c r="DA114" s="103">
        <f t="array" ref="DA114">INDEX(Demand_current!$D$4:$BW$137, MATCH($A114, Demand_current!$B$4:$B$137, 0), MATCH(DA$4&amp;DA$5,Demand_current!$D$2:$BW$2&amp;Demand_current!$D$3:$BW$3, 0))/1000</f>
        <v>0</v>
      </c>
      <c r="DB114" s="103">
        <f t="array" ref="DB114">INDEX(Demand_current!$D$4:$BW$137, MATCH($A114, Demand_current!$B$4:$B$137, 0), MATCH(DB$4&amp;DB$5,Demand_current!$D$2:$BW$2&amp;Demand_current!$D$3:$BW$3, 0))/1000</f>
        <v>0</v>
      </c>
      <c r="DC114" s="103">
        <f t="array" ref="DC114">INDEX(Demand_current!$D$4:$BW$137, MATCH($A114, Demand_current!$B$4:$B$137, 0), MATCH(DC$4&amp;DC$5,Demand_current!$D$2:$BW$2&amp;Demand_current!$D$3:$BW$3, 0))/1000</f>
        <v>0</v>
      </c>
      <c r="DD114" s="103">
        <f t="array" ref="DD114">INDEX(Demand_current!$D$4:$BW$137, MATCH($A114, Demand_current!$B$4:$B$137, 0), MATCH(DD$4&amp;DD$5,Demand_current!$D$2:$BW$2&amp;Demand_current!$D$3:$BW$3, 0))/1000</f>
        <v>0</v>
      </c>
      <c r="DE114" s="103">
        <f t="array" ref="DE114">INDEX(Demand_current!$D$4:$BW$137, MATCH($A114, Demand_current!$B$4:$B$137, 0), MATCH(DE$4&amp;DE$5,Demand_current!$D$2:$BW$2&amp;Demand_current!$D$3:$BW$3, 0))/1000</f>
        <v>0</v>
      </c>
      <c r="DF114" s="103">
        <f t="array" ref="DF114">INDEX(Demand_current!$D$4:$BW$137, MATCH($A114, Demand_current!$B$4:$B$137, 0), MATCH(DF$4&amp;DF$5,Demand_current!$D$2:$BW$2&amp;Demand_current!$D$3:$BW$3, 0))/1000</f>
        <v>0</v>
      </c>
      <c r="DG114" s="103">
        <f t="array" ref="DG114">INDEX(Demand_current!$D$4:$BW$137, MATCH($A114, Demand_current!$B$4:$B$137, 0), MATCH(DG$4&amp;DG$5,Demand_current!$D$2:$BW$2&amp;Demand_current!$D$3:$BW$3, 0))/1000</f>
        <v>0</v>
      </c>
      <c r="DH114" s="103">
        <f t="array" ref="DH114">INDEX(Demand_current!$D$4:$BW$137, MATCH($A114, Demand_current!$B$4:$B$137, 0), MATCH(DH$4&amp;DH$5,Demand_current!$D$2:$BW$2&amp;Demand_current!$D$3:$BW$3, 0))/1000</f>
        <v>0</v>
      </c>
      <c r="DI114" s="102">
        <f>$BS114*(VLOOKUP(DI$4, Rates_current!$H$6:$R$41, 10, FALSE)+VLOOKUP(DI$4, Rates_current!$H$6:$R$41, 11, FALSE))</f>
        <v>72823.021525658114</v>
      </c>
      <c r="DJ114" s="102">
        <f>$BS114*(VLOOKUP(DJ$4, Rates_current!$H$6:$R$41, 10, FALSE)+VLOOKUP(DJ$4, Rates_current!$H$6:$R$41, 11, FALSE))</f>
        <v>93101.836263444071</v>
      </c>
      <c r="DK114" s="102">
        <f>$BS114*(VLOOKUP(DK$4, Rates_current!$H$6:$R$41, 10, FALSE)+VLOOKUP(DK$4, Rates_current!$H$6:$R$41, 11, FALSE))</f>
        <v>105849.00107758689</v>
      </c>
      <c r="DL114" s="102">
        <f>$BS114*(VLOOKUP(DL$4, Rates_current!$H$6:$R$41, 10, FALSE)+VLOOKUP(DL$4, Rates_current!$H$6:$R$41, 11, FALSE))</f>
        <v>111678.95859189209</v>
      </c>
      <c r="DM114" s="102">
        <f>$BS114*(VLOOKUP(DM$4, Rates_current!$H$6:$R$41, 10, FALSE)+VLOOKUP(DM$4, Rates_current!$H$6:$R$41, 11, FALSE))</f>
        <v>88998.05058646074</v>
      </c>
      <c r="DN114" s="102">
        <f>$BS114*(VLOOKUP(DN$4, Rates_current!$H$6:$R$41, 10, FALSE)+VLOOKUP(DN$4, Rates_current!$H$6:$R$41, 11, FALSE))</f>
        <v>97293.145552153597</v>
      </c>
      <c r="DO114" s="102">
        <f>$BS114*(VLOOKUP(DO$4, Rates_current!$H$6:$R$41, 10, FALSE)+VLOOKUP(DO$4, Rates_current!$H$6:$R$41, 11, FALSE))</f>
        <v>75403.166481679538</v>
      </c>
      <c r="DP114" s="102">
        <f>$BS114*(VLOOKUP(DP$4, Rates_current!$H$6:$R$41, 10, FALSE)+VLOOKUP(DP$4, Rates_current!$H$6:$R$41, 11, FALSE))</f>
        <v>97584.11273583</v>
      </c>
      <c r="DQ114" s="102">
        <f>$BS114*(VLOOKUP(DQ$4, Rates_current!$H$6:$R$41, 10, FALSE)+VLOOKUP(DQ$4, Rates_current!$H$6:$R$41, 11, FALSE))</f>
        <v>99667.817610015773</v>
      </c>
      <c r="DR114" s="102">
        <f>$BS114*(VLOOKUP(DR$4, Rates_current!$H$6:$R$41, 10, FALSE)+VLOOKUP(DR$4, Rates_current!$H$6:$R$41, 11, FALSE))</f>
        <v>88712.977417456961</v>
      </c>
      <c r="DS114" s="102">
        <f>$BS114*(VLOOKUP(DS$4, Rates_current!$H$6:$R$41, 10, FALSE)+VLOOKUP(DS$4, Rates_current!$H$6:$R$41, 11, FALSE))</f>
        <v>91003.245402819943</v>
      </c>
      <c r="DT114" s="102">
        <f>$BS114*(VLOOKUP(DT$4, Rates_current!$H$6:$R$41, 10, FALSE)+VLOOKUP(DT$4, Rates_current!$H$6:$R$41, 11, FALSE))</f>
        <v>70674.928759519185</v>
      </c>
      <c r="DU114" s="261">
        <f>IF(D114=0,IF(C114=0,MAX(0,DW114 - (VLOOKUP($A114,TOCA_current!$A$2:$AV$136,MATCH("RHWM "&amp;Init!$D$1,TOCA_current!$A$2:$AV$2,0),FALSE)*$BS$2)), 0),0)</f>
        <v>0</v>
      </c>
      <c r="DV114" s="262">
        <f>MIN(VLOOKUP($A114,TOCA_current!$A$2:$AV$136,MATCH("TRL - NLSL - Existing Resource "&amp;$BS$1,TOCA_current!$A$2:$AV$2,0),FALSE)*$BS$2, VLOOKUP($A114,TOCA_current!$A$2:$AV$136,MATCH("RHWM "&amp;Init!$D$1,TOCA_current!$A$2:$AV$2,0),FALSE)*$BS$2)</f>
        <v>2935151.88</v>
      </c>
      <c r="DW114" s="262">
        <f>SUM(BY114:CV114)+(BS114*RT1SC!$C$4*$BS$2)</f>
        <v>1098055.125801282</v>
      </c>
      <c r="DX114" s="262">
        <f>VLOOKUP($A114,TOCA_current!$A$2:$AV$136,MATCH("Above RHWM Not Served with LS "&amp;$BS$1,TOCA_current!$A$2:$AV$2,0),FALSE)*$BS$2</f>
        <v>0</v>
      </c>
      <c r="DY114" s="262">
        <f t="shared" si="43"/>
        <v>-1837096.7541987179</v>
      </c>
      <c r="DZ114" s="262">
        <f>(VLOOKUP($A114,TOCA_current!$A$2:$AV$136,MATCH("RHWM "&amp;Init!$D$1,TOCA_current!$A$2:$AV$2,0),FALSE)*$BS$2) - $DV114</f>
        <v>610098.96</v>
      </c>
      <c r="EA114" s="262">
        <f t="shared" si="44"/>
        <v>0</v>
      </c>
      <c r="EB114" s="262">
        <f t="shared" si="45"/>
        <v>1837096.7541987179</v>
      </c>
      <c r="EC114" s="262">
        <f t="shared" si="46"/>
        <v>0</v>
      </c>
      <c r="ED114" s="262">
        <f t="shared" si="47"/>
        <v>0</v>
      </c>
    </row>
    <row r="115" spans="1:134">
      <c r="A115" s="2">
        <v>10371</v>
      </c>
      <c r="B115" s="3" t="s">
        <v>117</v>
      </c>
      <c r="C115">
        <f>VLOOKUP(A115, TOCA_current!$A$3:$D$136, 4, FALSE)</f>
        <v>0</v>
      </c>
      <c r="D115">
        <v>0</v>
      </c>
      <c r="E115" s="84">
        <f>VLOOKUP($A115,TOCA_previous!$A$2:$AJ$136,MATCH(E$4,TOCA_previous!$A$2:$AJ$2,0),FALSE)</f>
        <v>1.5971E-3</v>
      </c>
      <c r="F115" s="85">
        <f>VLOOKUP($A115,TOCA_previous!$A$2:$AJ$136,MATCH(F$4,TOCA_previous!$A$2:$AJ$2,0),FALSE)</f>
        <v>1.5971E-3</v>
      </c>
      <c r="G115" s="85">
        <f t="shared" si="33"/>
        <v>0</v>
      </c>
      <c r="H115" s="85">
        <f>VLOOKUP($A115,TOCA_previous!$A$2:$AJ$136,MATCH(H$4,TOCA_previous!$A$2:$AJ$2,0),FALSE)</f>
        <v>0</v>
      </c>
      <c r="I115" s="85">
        <f t="shared" si="34"/>
        <v>0</v>
      </c>
      <c r="J115" s="85">
        <f t="shared" si="35"/>
        <v>0</v>
      </c>
      <c r="K115" s="101">
        <f>VLOOKUP(A115, IRD!$A$5:$C$138, 3, FALSE)</f>
        <v>0</v>
      </c>
      <c r="L115" s="102">
        <f t="array" ref="L115">IF($G115=0, INDEX(LS_previous!$D$4:$AY$137, MATCH('Staging Table'!$A115, LS_previous!$B$4:$B$137, 0), MATCH(L$4&amp;L$5, LS_previous!$D$2:$AY$2&amp;LS_previous!$D$3:$AY$3, 0)),SUM(VLOOKUP($A115, LS_previous!$B$4:$AY$137, LS_previous!D$148, FALSE), VLOOKUP('Staging Table'!$A115, LS_previous!$B$4:$AY$137,LS_previous!AB$148, FALSE))/2)</f>
        <v>2002.1816301043991</v>
      </c>
      <c r="M115" s="102">
        <f t="array" ref="M115">IF($G115=0, INDEX(LS_previous!$D$4:$AY$137, MATCH('Staging Table'!$A115, LS_previous!$B$4:$B$137, 0), MATCH(M$4&amp;M$5, LS_previous!$D$2:$AY$2&amp;LS_previous!$D$3:$AY$3, 0)),SUM(VLOOKUP($A115, LS_previous!$B$4:$AY$137, LS_previous!E$148, FALSE), VLOOKUP('Staging Table'!$A115, LS_previous!$B$4:$AY$137,LS_previous!AC$148, FALSE))/2)</f>
        <v>1015.9628824039501</v>
      </c>
      <c r="N115" s="102">
        <f t="array" ref="N115">IF($G115=0, INDEX(LS_previous!$D$4:$AY$137, MATCH('Staging Table'!$A115, LS_previous!$B$4:$B$137, 0), MATCH(N$4&amp;N$5, LS_previous!$D$2:$AY$2&amp;LS_previous!$D$3:$AY$3, 0)),SUM(VLOOKUP($A115, LS_previous!$B$4:$AY$137, LS_previous!F$148, FALSE), VLOOKUP('Staging Table'!$A115, LS_previous!$B$4:$AY$137,LS_previous!AD$148, FALSE))/2)</f>
        <v>1270.8892884511997</v>
      </c>
      <c r="O115" s="102">
        <f t="array" ref="O115">IF($G115=0, INDEX(LS_previous!$D$4:$AY$137, MATCH('Staging Table'!$A115, LS_previous!$B$4:$B$137, 0), MATCH(O$4&amp;O$5, LS_previous!$D$2:$AY$2&amp;LS_previous!$D$3:$AY$3, 0)),SUM(VLOOKUP($A115, LS_previous!$B$4:$AY$137, LS_previous!G$148, FALSE), VLOOKUP('Staging Table'!$A115, LS_previous!$B$4:$AY$137,LS_previous!AE$148, FALSE))/2)</f>
        <v>764.80323842990038</v>
      </c>
      <c r="P115" s="102">
        <f t="array" ref="P115">IF($G115=0, INDEX(LS_previous!$D$4:$AY$137, MATCH('Staging Table'!$A115, LS_previous!$B$4:$B$137, 0), MATCH(P$4&amp;P$5, LS_previous!$D$2:$AY$2&amp;LS_previous!$D$3:$AY$3, 0)),SUM(VLOOKUP($A115, LS_previous!$B$4:$AY$137, LS_previous!H$148, FALSE), VLOOKUP('Staging Table'!$A115, LS_previous!$B$4:$AY$137,LS_previous!AF$148, FALSE))/2)</f>
        <v>1924.1442262431001</v>
      </c>
      <c r="Q115" s="102">
        <f t="array" ref="Q115">IF($G115=0, INDEX(LS_previous!$D$4:$AY$137, MATCH('Staging Table'!$A115, LS_previous!$B$4:$B$137, 0), MATCH(Q$4&amp;Q$5, LS_previous!$D$2:$AY$2&amp;LS_previous!$D$3:$AY$3, 0)),SUM(VLOOKUP($A115, LS_previous!$B$4:$AY$137, LS_previous!I$148, FALSE), VLOOKUP('Staging Table'!$A115, LS_previous!$B$4:$AY$137,LS_previous!AG$148, FALSE))/2)</f>
        <v>1269.2774681184005</v>
      </c>
      <c r="R115" s="102">
        <f t="array" ref="R115">IF($G115=0, INDEX(LS_previous!$D$4:$AY$137, MATCH('Staging Table'!$A115, LS_previous!$B$4:$B$137, 0), MATCH(R$4&amp;R$5, LS_previous!$D$2:$AY$2&amp;LS_previous!$D$3:$AY$3, 0)),SUM(VLOOKUP($A115, LS_previous!$B$4:$AY$137, LS_previous!J$148, FALSE), VLOOKUP('Staging Table'!$A115, LS_previous!$B$4:$AY$137,LS_previous!AH$148, FALSE))/2)</f>
        <v>1740.7337619734999</v>
      </c>
      <c r="S115" s="102">
        <f t="array" ref="S115">IF($G115=0, INDEX(LS_previous!$D$4:$AY$137, MATCH('Staging Table'!$A115, LS_previous!$B$4:$B$137, 0), MATCH(S$4&amp;S$5, LS_previous!$D$2:$AY$2&amp;LS_previous!$D$3:$AY$3, 0)),SUM(VLOOKUP($A115, LS_previous!$B$4:$AY$137, LS_previous!K$148, FALSE), VLOOKUP('Staging Table'!$A115, LS_previous!$B$4:$AY$137,LS_previous!AI$148, FALSE))/2)</f>
        <v>1633.1437538841001</v>
      </c>
      <c r="T115" s="102">
        <f t="array" ref="T115">IF($G115=0, INDEX(LS_previous!$D$4:$AY$137, MATCH('Staging Table'!$A115, LS_previous!$B$4:$B$137, 0), MATCH(T$4&amp;T$5, LS_previous!$D$2:$AY$2&amp;LS_previous!$D$3:$AY$3, 0)),SUM(VLOOKUP($A115, LS_previous!$B$4:$AY$137, LS_previous!L$148, FALSE), VLOOKUP('Staging Table'!$A115, LS_previous!$B$4:$AY$137,LS_previous!AJ$148, FALSE))/2)</f>
        <v>1614.7345816491006</v>
      </c>
      <c r="U115" s="102">
        <f t="array" ref="U115">IF($G115=0, INDEX(LS_previous!$D$4:$AY$137, MATCH('Staging Table'!$A115, LS_previous!$B$4:$B$137, 0), MATCH(U$4&amp;U$5, LS_previous!$D$2:$AY$2&amp;LS_previous!$D$3:$AY$3, 0)),SUM(VLOOKUP($A115, LS_previous!$B$4:$AY$137, LS_previous!M$148, FALSE), VLOOKUP('Staging Table'!$A115, LS_previous!$B$4:$AY$137,LS_previous!AK$148, FALSE))/2)</f>
        <v>1350.1435812811005</v>
      </c>
      <c r="V115" s="102">
        <f t="array" ref="V115">IF($G115=0, INDEX(LS_previous!$D$4:$AY$137, MATCH('Staging Table'!$A115, LS_previous!$B$4:$B$137, 0), MATCH(V$4&amp;V$5, LS_previous!$D$2:$AY$2&amp;LS_previous!$D$3:$AY$3, 0)),SUM(VLOOKUP($A115, LS_previous!$B$4:$AY$137, LS_previous!N$148, FALSE), VLOOKUP('Staging Table'!$A115, LS_previous!$B$4:$AY$137,LS_previous!AL$148, FALSE))/2)</f>
        <v>1502.0561846276996</v>
      </c>
      <c r="W115" s="102">
        <f t="array" ref="W115">IF($G115=0, INDEX(LS_previous!$D$4:$AY$137, MATCH('Staging Table'!$A115, LS_previous!$B$4:$B$137, 0), MATCH(W$4&amp;W$5, LS_previous!$D$2:$AY$2&amp;LS_previous!$D$3:$AY$3, 0)),SUM(VLOOKUP($A115, LS_previous!$B$4:$AY$137, LS_previous!O$148, FALSE), VLOOKUP('Staging Table'!$A115, LS_previous!$B$4:$AY$137,LS_previous!AM$148, FALSE))/2)</f>
        <v>780.98877835620033</v>
      </c>
      <c r="X115" s="102">
        <f t="array" ref="X115">IF($G115=0, INDEX(LS_previous!$D$4:$AY$137, MATCH('Staging Table'!$A115, LS_previous!$B$4:$B$137, 0), MATCH(X$4&amp;X$5, LS_previous!$D$2:$AY$2&amp;LS_previous!$D$3:$AY$3, 0)),SUM(VLOOKUP($A115, LS_previous!$B$4:$AY$137, LS_previous!P$148, FALSE), VLOOKUP('Staging Table'!$A115, LS_previous!$B$4:$AY$137,LS_previous!AN$148, FALSE))/2)</f>
        <v>1655.1675385547505</v>
      </c>
      <c r="Y115" s="102">
        <f t="array" ref="Y115">IF($G115=0, INDEX(LS_previous!$D$4:$AY$137, MATCH('Staging Table'!$A115, LS_previous!$B$4:$B$137, 0), MATCH(Y$4&amp;Y$5, LS_previous!$D$2:$AY$2&amp;LS_previous!$D$3:$AY$3, 0)),SUM(VLOOKUP($A115, LS_previous!$B$4:$AY$137, LS_previous!Q$148, FALSE), VLOOKUP('Staging Table'!$A115, LS_previous!$B$4:$AY$137,LS_previous!AO$148, FALSE))/2)</f>
        <v>986.15108023907533</v>
      </c>
      <c r="Z115" s="102">
        <f t="array" ref="Z115">IF($G115=0, INDEX(LS_previous!$D$4:$AY$137, MATCH('Staging Table'!$A115, LS_previous!$B$4:$B$137, 0), MATCH(Z$4&amp;Z$5, LS_previous!$D$2:$AY$2&amp;LS_previous!$D$3:$AY$3, 0)),SUM(VLOOKUP($A115, LS_previous!$B$4:$AY$137, LS_previous!R$148, FALSE), VLOOKUP('Staging Table'!$A115, LS_previous!$B$4:$AY$137,LS_previous!AP$148, FALSE))/2)</f>
        <v>-28.425687940799435</v>
      </c>
      <c r="AA115" s="102">
        <f t="array" ref="AA115">IF($G115=0, INDEX(LS_previous!$D$4:$AY$137, MATCH('Staging Table'!$A115, LS_previous!$B$4:$B$137, 0), MATCH(AA$4&amp;AA$5, LS_previous!$D$2:$AY$2&amp;LS_previous!$D$3:$AY$3, 0)),SUM(VLOOKUP($A115, LS_previous!$B$4:$AY$137, LS_previous!S$148, FALSE), VLOOKUP('Staging Table'!$A115, LS_previous!$B$4:$AY$137,LS_previous!AQ$148, FALSE))/2)</f>
        <v>168.2078469596504</v>
      </c>
      <c r="AB115" s="102">
        <f t="array" ref="AB115">IF($G115=0, INDEX(LS_previous!$D$4:$AY$137, MATCH('Staging Table'!$A115, LS_previous!$B$4:$B$137, 0), MATCH(AB$4&amp;AB$5, LS_previous!$D$2:$AY$2&amp;LS_previous!$D$3:$AY$3, 0)),SUM(VLOOKUP($A115, LS_previous!$B$4:$AY$137, LS_previous!T$148, FALSE), VLOOKUP('Staging Table'!$A115, LS_previous!$B$4:$AY$137,LS_previous!AR$148, FALSE))/2)</f>
        <v>-303.35165861459973</v>
      </c>
      <c r="AC115" s="102">
        <f t="array" ref="AC115">IF($G115=0, INDEX(LS_previous!$D$4:$AY$137, MATCH('Staging Table'!$A115, LS_previous!$B$4:$B$137, 0), MATCH(AC$4&amp;AC$5, LS_previous!$D$2:$AY$2&amp;LS_previous!$D$3:$AY$3, 0)),SUM(VLOOKUP($A115, LS_previous!$B$4:$AY$137, LS_previous!U$148, FALSE), VLOOKUP('Staging Table'!$A115, LS_previous!$B$4:$AY$137,LS_previous!AS$148, FALSE))/2)</f>
        <v>-70.915189541949985</v>
      </c>
      <c r="AD115" s="102">
        <f t="array" ref="AD115">IF($G115=0, INDEX(LS_previous!$D$4:$AY$137, MATCH('Staging Table'!$A115, LS_previous!$B$4:$B$137, 0), MATCH(AD$4&amp;AD$5, LS_previous!$D$2:$AY$2&amp;LS_previous!$D$3:$AY$3, 0)),SUM(VLOOKUP($A115, LS_previous!$B$4:$AY$137, LS_previous!V$148, FALSE), VLOOKUP('Staging Table'!$A115, LS_previous!$B$4:$AY$137,LS_previous!AT$148, FALSE))/2)</f>
        <v>700.02556971559989</v>
      </c>
      <c r="AE115" s="102">
        <f t="array" ref="AE115">IF($G115=0, INDEX(LS_previous!$D$4:$AY$137, MATCH('Staging Table'!$A115, LS_previous!$B$4:$B$137, 0), MATCH(AE$4&amp;AE$5, LS_previous!$D$2:$AY$2&amp;LS_previous!$D$3:$AY$3, 0)),SUM(VLOOKUP($A115, LS_previous!$B$4:$AY$137, LS_previous!W$148, FALSE), VLOOKUP('Staging Table'!$A115, LS_previous!$B$4:$AY$137,LS_previous!AU$148, FALSE))/2)</f>
        <v>787.96649161974983</v>
      </c>
      <c r="AF115" s="102">
        <f t="array" ref="AF115">IF($G115=0, INDEX(LS_previous!$D$4:$AY$137, MATCH('Staging Table'!$A115, LS_previous!$B$4:$B$137, 0), MATCH(AF$4&amp;AF$5, LS_previous!$D$2:$AY$2&amp;LS_previous!$D$3:$AY$3, 0)),SUM(VLOOKUP($A115, LS_previous!$B$4:$AY$137, LS_previous!X$148, FALSE), VLOOKUP('Staging Table'!$A115, LS_previous!$B$4:$AY$137,LS_previous!AV$148, FALSE))/2)</f>
        <v>1074.6537670973503</v>
      </c>
      <c r="AG115" s="102">
        <f t="array" ref="AG115">IF($G115=0, INDEX(LS_previous!$D$4:$AY$137, MATCH('Staging Table'!$A115, LS_previous!$B$4:$B$137, 0), MATCH(AG$4&amp;AG$5, LS_previous!$D$2:$AY$2&amp;LS_previous!$D$3:$AY$3, 0)),SUM(VLOOKUP($A115, LS_previous!$B$4:$AY$137, LS_previous!Y$148, FALSE), VLOOKUP('Staging Table'!$A115, LS_previous!$B$4:$AY$137,LS_previous!AW$148, FALSE))/2)</f>
        <v>761.88731267156527</v>
      </c>
      <c r="AH115" s="102">
        <f t="array" ref="AH115">IF($G115=0, INDEX(LS_previous!$D$4:$AY$137, MATCH('Staging Table'!$A115, LS_previous!$B$4:$B$137, 0), MATCH(AH$4&amp;AH$5, LS_previous!$D$2:$AY$2&amp;LS_previous!$D$3:$AY$3, 0)),SUM(VLOOKUP($A115, LS_previous!$B$4:$AY$137, LS_previous!Z$148, FALSE), VLOOKUP('Staging Table'!$A115, LS_previous!$B$4:$AY$137,LS_previous!AX$148, FALSE))/2)</f>
        <v>1043.0090825945999</v>
      </c>
      <c r="AI115" s="102">
        <f t="array" ref="AI115">IF($G115=0, INDEX(LS_previous!$D$4:$AY$137, MATCH('Staging Table'!$A115, LS_previous!$B$4:$B$137, 0), MATCH(AI$4&amp;AI$5, LS_previous!$D$2:$AY$2&amp;LS_previous!$D$3:$AY$3, 0)),SUM(VLOOKUP($A115, LS_previous!$B$4:$AY$137, LS_previous!AA$148, FALSE), VLOOKUP('Staging Table'!$A115, LS_previous!$B$4:$AY$137,LS_previous!AY$148, FALSE))/2)</f>
        <v>637.55220400160033</v>
      </c>
      <c r="AJ115" s="103">
        <f t="array" ref="AJ115">INDEX(Demand_previous!$D$4:$AY$137, MATCH('Staging Table'!$A115, Demand_previous!$B$4:$B$137, 0), MATCH(AJ$4&amp;AJ$5,Demand_previous!$D$2:$AY$2&amp;Demand_previous!$D$3:$AY$3, 0))/1000</f>
        <v>0</v>
      </c>
      <c r="AK115" s="103">
        <f t="array" ref="AK115">INDEX(Demand_previous!$D$4:$AY$137, MATCH('Staging Table'!$A115, Demand_previous!$B$4:$B$137, 0), MATCH(AK$4&amp;AK$5,Demand_previous!$D$2:$AY$2&amp;Demand_previous!$D$3:$AY$3, 0))/1000</f>
        <v>1.0084950000000004</v>
      </c>
      <c r="AL115" s="103">
        <f t="array" ref="AL115">INDEX(Demand_previous!$D$4:$AY$137, MATCH('Staging Table'!$A115, Demand_previous!$B$4:$B$137, 0), MATCH(AL$4&amp;AL$5,Demand_previous!$D$2:$AY$2&amp;Demand_previous!$D$3:$AY$3, 0))/1000</f>
        <v>1.716219999999999</v>
      </c>
      <c r="AM115" s="103">
        <f t="array" ref="AM115">INDEX(Demand_previous!$D$4:$AY$137, MATCH('Staging Table'!$A115, Demand_previous!$B$4:$B$137, 0), MATCH(AM$4&amp;AM$5,Demand_previous!$D$2:$AY$2&amp;Demand_previous!$D$3:$AY$3, 0))/1000</f>
        <v>2.3995408653846164</v>
      </c>
      <c r="AN115" s="103">
        <f t="array" ref="AN115">INDEX(Demand_previous!$D$4:$AY$137, MATCH('Staging Table'!$A115, Demand_previous!$B$4:$B$137, 0), MATCH(AN$4&amp;AN$5,Demand_previous!$D$2:$AY$2&amp;Demand_previous!$D$3:$AY$3, 0))/1000</f>
        <v>1.855105</v>
      </c>
      <c r="AO115" s="103">
        <f t="array" ref="AO115">INDEX(Demand_previous!$D$4:$AY$137, MATCH('Staging Table'!$A115, Demand_previous!$B$4:$B$137, 0), MATCH(AO$4&amp;AO$5,Demand_previous!$D$2:$AY$2&amp;Demand_previous!$D$3:$AY$3, 0))/1000</f>
        <v>0</v>
      </c>
      <c r="AP115" s="103">
        <f t="array" ref="AP115">INDEX(Demand_previous!$D$4:$AY$137, MATCH('Staging Table'!$A115, Demand_previous!$B$4:$B$137, 0), MATCH(AP$4&amp;AP$5,Demand_previous!$D$2:$AY$2&amp;Demand_previous!$D$3:$AY$3, 0))/1000</f>
        <v>1.0754110576923066</v>
      </c>
      <c r="AQ115" s="103">
        <f t="array" ref="AQ115">INDEX(Demand_previous!$D$4:$AY$137, MATCH('Staging Table'!$A115, Demand_previous!$B$4:$B$137, 0), MATCH(AQ$4&amp;AQ$5,Demand_previous!$D$2:$AY$2&amp;Demand_previous!$D$3:$AY$3, 0))/1000</f>
        <v>1.2763100961538449</v>
      </c>
      <c r="AR115" s="103">
        <f t="array" ref="AR115">INDEX(Demand_previous!$D$4:$AY$137, MATCH('Staging Table'!$A115, Demand_previous!$B$4:$B$137, 0), MATCH(AR$4&amp;AR$5,Demand_previous!$D$2:$AY$2&amp;Demand_previous!$D$3:$AY$3, 0))/1000</f>
        <v>2.3491574999999987</v>
      </c>
      <c r="AS115" s="103">
        <f t="array" ref="AS115">INDEX(Demand_previous!$D$4:$AY$137, MATCH('Staging Table'!$A115, Demand_previous!$B$4:$B$137, 0), MATCH(AS$4&amp;AS$5,Demand_previous!$D$2:$AY$2&amp;Demand_previous!$D$3:$AY$3, 0))/1000</f>
        <v>3.1443509615384624</v>
      </c>
      <c r="AT115" s="103">
        <f t="array" ref="AT115">INDEX(Demand_previous!$D$4:$AY$137, MATCH('Staging Table'!$A115, Demand_previous!$B$4:$B$137, 0), MATCH(AT$4&amp;AT$5,Demand_previous!$D$2:$AY$2&amp;Demand_previous!$D$3:$AY$3, 0))/1000</f>
        <v>3.014784722222223</v>
      </c>
      <c r="AU115" s="103">
        <f t="array" ref="AU115">INDEX(Demand_previous!$D$4:$AY$137, MATCH('Staging Table'!$A115, Demand_previous!$B$4:$B$137, 0), MATCH(AU$4&amp;AU$5,Demand_previous!$D$2:$AY$2&amp;Demand_previous!$D$3:$AY$3, 0))/1000</f>
        <v>0.67600260416666735</v>
      </c>
      <c r="AV115" s="102">
        <f>$F115*(VLOOKUP(AV$4, Rates_previous!$G$6:$Q$29, 10, FALSE)+VLOOKUP(AV$4, Rates_previous!$G$6:$Q$29, 11, FALSE))</f>
        <v>6737.85148749165</v>
      </c>
      <c r="AW115" s="102">
        <f>$F115*(VLOOKUP(AW$4, Rates_previous!$G$6:$Q$29, 10, FALSE)+VLOOKUP(AW$4, Rates_previous!$G$6:$Q$29, 11, FALSE))</f>
        <v>8592.9824731189001</v>
      </c>
      <c r="AX115" s="102">
        <f>$F115*(VLOOKUP(AX$4, Rates_previous!$G$6:$Q$29, 10, FALSE)+VLOOKUP(AX$4, Rates_previous!$G$6:$Q$29, 11, FALSE))</f>
        <v>9273.5283056384997</v>
      </c>
      <c r="AY115" s="102">
        <f>$F115*(VLOOKUP(AY$4, Rates_previous!$G$6:$Q$29, 10, FALSE)+VLOOKUP(AY$4, Rates_previous!$G$6:$Q$29, 11, FALSE))</f>
        <v>9636.6294841423987</v>
      </c>
      <c r="AZ115" s="102">
        <f>$F115*(VLOOKUP(AZ$4, Rates_previous!$G$6:$Q$29, 10, FALSE)+VLOOKUP(AZ$4, Rates_previous!$G$6:$Q$29, 11, FALSE))</f>
        <v>8288.7858370697995</v>
      </c>
      <c r="BA115" s="102">
        <f>$F115*(VLOOKUP(BA$4, Rates_previous!$G$6:$Q$29, 10, FALSE)+VLOOKUP(BA$4, Rates_previous!$G$6:$Q$29, 11, FALSE))</f>
        <v>9049.7130370160994</v>
      </c>
      <c r="BB115" s="102">
        <f>$F115*(VLOOKUP(BB$4, Rates_previous!$G$6:$Q$29, 10, FALSE)+VLOOKUP(BB$4, Rates_previous!$G$6:$Q$29, 11, FALSE))</f>
        <v>7143.2233812061741</v>
      </c>
      <c r="BC115" s="102">
        <f>$F115*(VLOOKUP(BC$4, Rates_previous!$G$6:$Q$29, 10, FALSE)+VLOOKUP(BC$4, Rates_previous!$G$6:$Q$29, 11, FALSE))</f>
        <v>8862.1258409811508</v>
      </c>
      <c r="BD115" s="102">
        <f>$F115*(VLOOKUP(BD$4, Rates_previous!$G$6:$Q$29, 10, FALSE)+VLOOKUP(BD$4, Rates_previous!$G$6:$Q$29, 11, FALSE))</f>
        <v>9054.4118481565492</v>
      </c>
      <c r="BE115" s="102">
        <f>$F115*(VLOOKUP(BE$4, Rates_previous!$G$6:$Q$29, 10, FALSE)+VLOOKUP(BE$4, Rates_previous!$G$6:$Q$29, 11, FALSE))</f>
        <v>7860.5339386646492</v>
      </c>
      <c r="BF115" s="102">
        <f>$F115*(VLOOKUP(BF$4, Rates_previous!$G$6:$Q$29, 10, FALSE)+VLOOKUP(BF$4, Rates_previous!$G$6:$Q$29, 11, FALSE))</f>
        <v>7599.046920231086</v>
      </c>
      <c r="BG115" s="102">
        <f>$F115*(VLOOKUP(BG$4, Rates_previous!$G$6:$Q$29, 10, FALSE)+VLOOKUP(BG$4, Rates_previous!$G$6:$Q$29, 11, FALSE))</f>
        <v>6992.5947134038006</v>
      </c>
      <c r="BH115" s="103">
        <f>IF($D115=0,IF(C115=0, MAX(BJ115 - (VLOOKUP($A115,TOCA_previous!$A$2:$AJ$136,MATCH("RHWM "&amp;Init!$D$1-2,TOCA_previous!$A$2:$AJ$2,0),FALSE)*$F$2*TOCA_previous!C112),0),0), 0)</f>
        <v>26467.327454215221</v>
      </c>
      <c r="BI115" s="109">
        <f>MIN(VLOOKUP($A115,TOCA_previous!$A$2:$AJ$136,MATCH("TRL - NLSL - Existing Resource "&amp;$F$1,TOCA_previous!$A$2:$AJ$2,0),FALSE)*$F$2,(VLOOKUP($A115,TOCA_previous!$A$2:$AJ$136,MATCH("RHWM "&amp;Init!$D$1-2,TOCA_previous!$A$2:$AJ$2,0),FALSE)*$F$2))</f>
        <v>96905.088000000003</v>
      </c>
      <c r="BJ115" s="261">
        <f>SUM(L115:AI115)+(F115*RT1SC!$C$3*$F$2)</f>
        <v>123372.41545421522</v>
      </c>
      <c r="BK115" s="260">
        <f>VLOOKUP($A115,TOCA_previous!$A$2:$AJ$136,MATCH("Above RHWM Not Served with LS "&amp;$F$1,TOCA_previous!$A$2:$AJ$2,0),FALSE)*$F$2</f>
        <v>0</v>
      </c>
      <c r="BL115" s="261">
        <f t="shared" si="36"/>
        <v>26467.327454215221</v>
      </c>
      <c r="BM115" s="260">
        <f>(VLOOKUP($A115,TOCA_previous!$A$2:$AJ$136,MATCH("RHWM "&amp;Init!$D$1-2,TOCA_previous!$A$2:$AJ$2,0),FALSE)*$F$2) - $BI115</f>
        <v>0</v>
      </c>
      <c r="BN115" s="261">
        <f t="shared" si="37"/>
        <v>0</v>
      </c>
      <c r="BO115" s="260">
        <f t="shared" si="38"/>
        <v>0</v>
      </c>
      <c r="BP115" s="261">
        <f t="shared" si="39"/>
        <v>0</v>
      </c>
      <c r="BQ115" s="260">
        <f t="shared" si="9"/>
        <v>0</v>
      </c>
      <c r="BR115" s="85">
        <f>VLOOKUP($A115,TOCA_current!$A$2:$ZZ$136,MATCH(BR$4,TOCA_current!$A$2:$ZZ$2,0),FALSE)</f>
        <v>1.5606999999999999E-3</v>
      </c>
      <c r="BS115" s="85">
        <f>VLOOKUP($A115,TOCA_current!$A$2:$ZZ$136,MATCH(BS$4,TOCA_current!$A$2:$ZZ$2,0),FALSE)</f>
        <v>1.5606999999999999E-3</v>
      </c>
      <c r="BT115" s="108">
        <f t="shared" si="40"/>
        <v>0</v>
      </c>
      <c r="BU115" s="85">
        <f>VLOOKUP($A115,TOCA_current!A112:BG246,MATCH(BU$4,TOCA_current!$A$2:$BG$2,0),FALSE)</f>
        <v>0</v>
      </c>
      <c r="BV115" s="85">
        <f t="shared" si="41"/>
        <v>0</v>
      </c>
      <c r="BW115" s="85">
        <f t="shared" si="42"/>
        <v>0</v>
      </c>
      <c r="BX115" s="101">
        <f>VLOOKUP($A115,IRD!$A$4:$G$138, 7, FALSE)</f>
        <v>0</v>
      </c>
      <c r="BY115" s="102">
        <f t="array" ref="BY115">IF($BT115=0, INDEX(LS_current!$D$4:$BW$137, MATCH('Staging Table'!$A115, LS_current!$B$4:$B$137, 0), MATCH(BY$4&amp;BY$5, LS_current!$D$2:$BW$2&amp;LS_current!$D$3:$BW$3, 0)),SUM(VLOOKUP($A115, LS_current!$B$4:$BW$137, LS_current!D$147, FALSE), VLOOKUP($A115, LS_current!$B$4:$BW$137,LS_current!AZ$147, FALSE))/2)</f>
        <v>751.83710692302475</v>
      </c>
      <c r="BZ115" s="102">
        <f t="array" ref="BZ115">IF($BT115=0, INDEX(LS_current!$D$4:$BW$137, MATCH('Staging Table'!$A115, LS_current!$B$4:$B$137, 0), MATCH(BZ$4&amp;BZ$5, LS_current!$D$2:$BW$2&amp;LS_current!$D$3:$BW$3, 0)),SUM(VLOOKUP($A115, LS_current!$B$4:$BW$137, LS_current!E$147, FALSE), VLOOKUP($A115, LS_current!$B$4:$BW$137,LS_current!BA$147, FALSE))/2)</f>
        <v>303.73302221414679</v>
      </c>
      <c r="CA115" s="102">
        <f t="array" ref="CA115">IF($BT115=0, INDEX(LS_current!$D$4:$BW$137, MATCH('Staging Table'!$A115, LS_current!$B$4:$B$137, 0), MATCH(CA$4&amp;CA$5, LS_current!$D$2:$BW$2&amp;LS_current!$D$3:$BW$3, 0)),SUM(VLOOKUP($A115, LS_current!$B$4:$BW$137, LS_current!F$147, FALSE), VLOOKUP($A115, LS_current!$B$4:$BW$137,LS_current!BB$147, FALSE))/2)</f>
        <v>334.23132077715218</v>
      </c>
      <c r="CB115" s="102">
        <f t="array" ref="CB115">IF($BT115=0, INDEX(LS_current!$D$4:$BW$137, MATCH('Staging Table'!$A115, LS_current!$B$4:$B$137, 0), MATCH(CB$4&amp;CB$5, LS_current!$D$2:$BW$2&amp;LS_current!$D$3:$BW$3, 0)),SUM(VLOOKUP($A115, LS_current!$B$4:$BW$137, LS_current!G$147, FALSE), VLOOKUP($A115, LS_current!$B$4:$BW$137,LS_current!BC$147, FALSE))/2)</f>
        <v>-140.98806148653284</v>
      </c>
      <c r="CC115" s="102">
        <f t="array" ref="CC115">IF($BT115=0, INDEX(LS_current!$D$4:$BW$137, MATCH('Staging Table'!$A115, LS_current!$B$4:$B$137, 0), MATCH(CC$4&amp;CC$5, LS_current!$D$2:$BW$2&amp;LS_current!$D$3:$BW$3, 0)),SUM(VLOOKUP($A115, LS_current!$B$4:$BW$137, LS_current!H$147, FALSE), VLOOKUP($A115, LS_current!$B$4:$BW$137,LS_current!BD$147, FALSE))/2)</f>
        <v>268.63546928486267</v>
      </c>
      <c r="CD115" s="102">
        <f t="array" ref="CD115">IF($BT115=0, INDEX(LS_current!$D$4:$BW$137, MATCH('Staging Table'!$A115, LS_current!$B$4:$B$137, 0), MATCH(CD$4&amp;CD$5, LS_current!$D$2:$BW$2&amp;LS_current!$D$3:$BW$3, 0)),SUM(VLOOKUP($A115, LS_current!$B$4:$BW$137, LS_current!I$147, FALSE), VLOOKUP($A115, LS_current!$B$4:$BW$137,LS_current!BE$147, FALSE))/2)</f>
        <v>560.34292214420611</v>
      </c>
      <c r="CE115" s="102">
        <f t="array" ref="CE115">IF($BT115=0, INDEX(LS_current!$D$4:$BW$137, MATCH('Staging Table'!$A115, LS_current!$B$4:$B$137, 0), MATCH(CE$4&amp;CE$5, LS_current!$D$2:$BW$2&amp;LS_current!$D$3:$BW$3, 0)),SUM(VLOOKUP($A115, LS_current!$B$4:$BW$137, LS_current!J$147, FALSE), VLOOKUP($A115, LS_current!$B$4:$BW$137,LS_current!BF$147, FALSE))/2)</f>
        <v>202.86188482623493</v>
      </c>
      <c r="CF115" s="102">
        <f t="array" ref="CF115">IF($BT115=0, INDEX(LS_current!$D$4:$BW$137, MATCH('Staging Table'!$A115, LS_current!$B$4:$B$137, 0), MATCH(CF$4&amp;CF$5, LS_current!$D$2:$BW$2&amp;LS_current!$D$3:$BW$3, 0)),SUM(VLOOKUP($A115, LS_current!$B$4:$BW$137, LS_current!K$147, FALSE), VLOOKUP($A115, LS_current!$B$4:$BW$137,LS_current!BG$147, FALSE))/2)</f>
        <v>651.11911156244696</v>
      </c>
      <c r="CG115" s="102">
        <f t="array" ref="CG115">IF($BT115=0, INDEX(LS_current!$D$4:$BW$137, MATCH('Staging Table'!$A115, LS_current!$B$4:$B$137, 0), MATCH(CG$4&amp;CG$5, LS_current!$D$2:$BW$2&amp;LS_current!$D$3:$BW$3, 0)),SUM(VLOOKUP($A115, LS_current!$B$4:$BW$137, LS_current!L$147, FALSE), VLOOKUP($A115, LS_current!$B$4:$BW$137,LS_current!BH$147, FALSE))/2)</f>
        <v>700.38690929808217</v>
      </c>
      <c r="CH115" s="102">
        <f t="array" ref="CH115">IF($BT115=0, INDEX(LS_current!$D$4:$BW$137, MATCH('Staging Table'!$A115, LS_current!$B$4:$B$137, 0), MATCH(CH$4&amp;CH$5, LS_current!$D$2:$BW$2&amp;LS_current!$D$3:$BW$3, 0)),SUM(VLOOKUP($A115, LS_current!$B$4:$BW$137, LS_current!M$147, FALSE), VLOOKUP($A115, LS_current!$B$4:$BW$137,LS_current!BI$147, FALSE))/2)</f>
        <v>629.27477831544502</v>
      </c>
      <c r="CI115" s="102">
        <f t="array" ref="CI115">IF($BT115=0, INDEX(LS_current!$D$4:$BW$137, MATCH('Staging Table'!$A115, LS_current!$B$4:$B$137, 0), MATCH(CI$4&amp;CI$5, LS_current!$D$2:$BW$2&amp;LS_current!$D$3:$BW$3, 0)),SUM(VLOOKUP($A115, LS_current!$B$4:$BW$137, LS_current!N$147, FALSE), VLOOKUP($A115, LS_current!$B$4:$BW$137,LS_current!BJ$147, FALSE))/2)</f>
        <v>140.70159488591344</v>
      </c>
      <c r="CJ115" s="102">
        <f t="array" ref="CJ115">IF($BT115=0, INDEX(LS_current!$D$4:$BW$137, MATCH('Staging Table'!$A115, LS_current!$B$4:$B$137, 0), MATCH(CJ$4&amp;CJ$5, LS_current!$D$2:$BW$2&amp;LS_current!$D$3:$BW$3, 0)),SUM(VLOOKUP($A115, LS_current!$B$4:$BW$137, LS_current!O$147, FALSE), VLOOKUP($A115, LS_current!$B$4:$BW$137,LS_current!BK$147, FALSE))/2)</f>
        <v>318.08631596547457</v>
      </c>
      <c r="CK115" s="102">
        <f t="array" ref="CK115">IF($BT115=0, INDEX(LS_current!$D$4:$BW$137, MATCH('Staging Table'!$A115, LS_current!$B$4:$B$137, 0), MATCH(CK$4&amp;CK$5, LS_current!$D$2:$BW$2&amp;LS_current!$D$3:$BW$3, 0)),SUM(VLOOKUP($A115, LS_current!$B$4:$BW$137, LS_current!P$147, FALSE), VLOOKUP($A115, LS_current!$B$4:$BW$137,LS_current!BL$147, FALSE))/2)</f>
        <v>630.63894476626047</v>
      </c>
      <c r="CL115" s="102">
        <f t="array" ref="CL115">IF($BT115=0, INDEX(LS_current!$D$4:$BW$137, MATCH('Staging Table'!$A115, LS_current!$B$4:$B$137, 0), MATCH(CL$4&amp;CL$5, LS_current!$D$2:$BW$2&amp;LS_current!$D$3:$BW$3, 0)),SUM(VLOOKUP($A115, LS_current!$B$4:$BW$137, LS_current!Q$147, FALSE), VLOOKUP($A115, LS_current!$B$4:$BW$137,LS_current!BM$147, FALSE))/2)</f>
        <v>295.6942860799345</v>
      </c>
      <c r="CM115" s="102">
        <f t="array" ref="CM115">IF($BT115=0, INDEX(LS_current!$D$4:$BW$137, MATCH('Staging Table'!$A115, LS_current!$B$4:$B$137, 0), MATCH(CM$4&amp;CM$5, LS_current!$D$2:$BW$2&amp;LS_current!$D$3:$BW$3, 0)),SUM(VLOOKUP($A115, LS_current!$B$4:$BW$137, LS_current!R$147, FALSE), VLOOKUP($A115, LS_current!$B$4:$BW$137,LS_current!BN$147, FALSE))/2)</f>
        <v>-1094.3437767046589</v>
      </c>
      <c r="CN115" s="102">
        <f t="array" ref="CN115">IF($BT115=0, INDEX(LS_current!$D$4:$BW$137, MATCH('Staging Table'!$A115, LS_current!$B$4:$B$137, 0), MATCH(CN$4&amp;CN$5, LS_current!$D$2:$BW$2&amp;LS_current!$D$3:$BW$3, 0)),SUM(VLOOKUP($A115, LS_current!$B$4:$BW$137, LS_current!S$147, FALSE), VLOOKUP($A115, LS_current!$B$4:$BW$137,LS_current!BO$147, FALSE))/2)</f>
        <v>-806.58682898934785</v>
      </c>
      <c r="CO115" s="102">
        <f t="array" ref="CO115">IF($BT115=0, INDEX(LS_current!$D$4:$BW$137, MATCH('Staging Table'!$A115, LS_current!$B$4:$B$137, 0), MATCH(CO$4&amp;CO$5, LS_current!$D$2:$BW$2&amp;LS_current!$D$3:$BW$3, 0)),SUM(VLOOKUP($A115, LS_current!$B$4:$BW$137, LS_current!T$147, FALSE), VLOOKUP($A115, LS_current!$B$4:$BW$137,LS_current!BP$147, FALSE))/2)</f>
        <v>-1638.4463198060621</v>
      </c>
      <c r="CP115" s="102">
        <f t="array" ref="CP115">IF($BT115=0, INDEX(LS_current!$D$4:$BW$137, MATCH('Staging Table'!$A115, LS_current!$B$4:$B$137, 0), MATCH(CP$4&amp;CP$5, LS_current!$D$2:$BW$2&amp;LS_current!$D$3:$BW$3, 0)),SUM(VLOOKUP($A115, LS_current!$B$4:$BW$137, LS_current!U$147, FALSE), VLOOKUP($A115, LS_current!$B$4:$BW$137,LS_current!BQ$147, FALSE))/2)</f>
        <v>-697.8735697133061</v>
      </c>
      <c r="CQ115" s="102">
        <f t="array" ref="CQ115">IF($BT115=0, INDEX(LS_current!$D$4:$BW$137, MATCH('Staging Table'!$A115, LS_current!$B$4:$B$137, 0), MATCH(CQ$4&amp;CQ$5, LS_current!$D$2:$BW$2&amp;LS_current!$D$3:$BW$3, 0)),SUM(VLOOKUP($A115, LS_current!$B$4:$BW$137, LS_current!V$147, FALSE), VLOOKUP($A115, LS_current!$B$4:$BW$137,LS_current!BR$147, FALSE))/2)</f>
        <v>-644.59985013267033</v>
      </c>
      <c r="CR115" s="102">
        <f t="array" ref="CR115">IF($BT115=0, INDEX(LS_current!$D$4:$BW$137, MATCH('Staging Table'!$A115, LS_current!$B$4:$B$137, 0), MATCH(CR$4&amp;CR$5, LS_current!$D$2:$BW$2&amp;LS_current!$D$3:$BW$3, 0)),SUM(VLOOKUP($A115, LS_current!$B$4:$BW$137, LS_current!W$147, FALSE), VLOOKUP($A115, LS_current!$B$4:$BW$137,LS_current!BS$147, FALSE))/2)</f>
        <v>-120.65619776435187</v>
      </c>
      <c r="CS115" s="102">
        <f t="array" ref="CS115">IF($BT115=0, INDEX(LS_current!$D$4:$BW$137, MATCH('Staging Table'!$A115, LS_current!$B$4:$B$137, 0), MATCH(CS$4&amp;CS$5, LS_current!$D$2:$BW$2&amp;LS_current!$D$3:$BW$3, 0)),SUM(VLOOKUP($A115, LS_current!$B$4:$BW$137, LS_current!X$147, FALSE), VLOOKUP($A115, LS_current!$B$4:$BW$137,LS_current!BT$147, FALSE))/2)</f>
        <v>-728.30426369048655</v>
      </c>
      <c r="CT115" s="102">
        <f t="array" ref="CT115">IF($BT115=0, INDEX(LS_current!$D$4:$BW$137, MATCH('Staging Table'!$A115, LS_current!$B$4:$B$137, 0), MATCH(CT$4&amp;CT$5, LS_current!$D$2:$BW$2&amp;LS_current!$D$3:$BW$3, 0)),SUM(VLOOKUP($A115, LS_current!$B$4:$BW$137, LS_current!Y$147, FALSE), VLOOKUP($A115, LS_current!$B$4:$BW$137,LS_current!BU$147, FALSE))/2)</f>
        <v>-153.6011365990903</v>
      </c>
      <c r="CU115" s="102">
        <f t="array" ref="CU115">IF($BT115=0, INDEX(LS_current!$D$4:$BW$137, MATCH('Staging Table'!$A115, LS_current!$B$4:$B$137, 0), MATCH(CU$4&amp;CU$5, LS_current!$D$2:$BW$2&amp;LS_current!$D$3:$BW$3, 0)),SUM(VLOOKUP($A115, LS_current!$B$4:$BW$137, LS_current!Z$147, FALSE), VLOOKUP($A115, LS_current!$B$4:$BW$137,LS_current!BV$147, FALSE))/2)</f>
        <v>111.38266183376027</v>
      </c>
      <c r="CV115" s="102">
        <f t="array" ref="CV115">IF($BT115=0, INDEX(LS_current!$D$4:$BW$137, MATCH('Staging Table'!$A115, LS_current!$B$4:$B$137, 0), MATCH(CV$4&amp;CV$5, LS_current!$D$2:$BW$2&amp;LS_current!$D$3:$BW$3, 0)),SUM(VLOOKUP($A115, LS_current!$B$4:$BW$137, LS_current!AA$147, FALSE), VLOOKUP($A115, LS_current!$B$4:$BW$137,LS_current!BW$147, FALSE))/2)</f>
        <v>124.12482963282446</v>
      </c>
      <c r="CW115" s="103">
        <f t="array" ref="CW115">INDEX(Demand_current!$D$4:$BW$137, MATCH($A115, Demand_current!$B$4:$B$137, 0), MATCH(CW$4&amp;CW$5,Demand_current!$D$2:$BW$2&amp;Demand_current!$D$3:$BW$3, 0))/1000</f>
        <v>0.48495833333333499</v>
      </c>
      <c r="CX115" s="103">
        <f t="array" ref="CX115">INDEX(Demand_current!$D$4:$BW$137, MATCH($A115, Demand_current!$B$4:$B$137, 0), MATCH(CX$4&amp;CX$5,Demand_current!$D$2:$BW$2&amp;Demand_current!$D$3:$BW$3, 0))/1000</f>
        <v>0.33301562499999848</v>
      </c>
      <c r="CY115" s="103">
        <f t="array" ref="CY115">INDEX(Demand_current!$D$4:$BW$137, MATCH($A115, Demand_current!$B$4:$B$137, 0), MATCH(CY$4&amp;CY$5,Demand_current!$D$2:$BW$2&amp;Demand_current!$D$3:$BW$3, 0))/1000</f>
        <v>2.4418653846153857</v>
      </c>
      <c r="CZ115" s="103">
        <f t="array" ref="CZ115">INDEX(Demand_current!$D$4:$BW$137, MATCH($A115, Demand_current!$B$4:$B$137, 0), MATCH(CZ$4&amp;CZ$5,Demand_current!$D$2:$BW$2&amp;Demand_current!$D$3:$BW$3, 0))/1000</f>
        <v>2.3995408653846164</v>
      </c>
      <c r="DA115" s="103">
        <f t="array" ref="DA115">INDEX(Demand_current!$D$4:$BW$137, MATCH($A115, Demand_current!$B$4:$B$137, 0), MATCH(DA$4&amp;DA$5,Demand_current!$D$2:$BW$2&amp;Demand_current!$D$3:$BW$3, 0))/1000</f>
        <v>1.1379010416666642</v>
      </c>
      <c r="DB115" s="103">
        <f t="array" ref="DB115">INDEX(Demand_current!$D$4:$BW$137, MATCH($A115, Demand_current!$B$4:$B$137, 0), MATCH(DB$4&amp;DB$5,Demand_current!$D$2:$BW$2&amp;Demand_current!$D$3:$BW$3, 0))/1000</f>
        <v>0</v>
      </c>
      <c r="DC115" s="103">
        <f t="array" ref="DC115">INDEX(Demand_current!$D$4:$BW$137, MATCH($A115, Demand_current!$B$4:$B$137, 0), MATCH(DC$4&amp;DC$5,Demand_current!$D$2:$BW$2&amp;Demand_current!$D$3:$BW$3, 0))/1000</f>
        <v>1.0754110576923066</v>
      </c>
      <c r="DD115" s="103">
        <f t="array" ref="DD115">INDEX(Demand_current!$D$4:$BW$137, MATCH($A115, Demand_current!$B$4:$B$137, 0), MATCH(DD$4&amp;DD$5,Demand_current!$D$2:$BW$2&amp;Demand_current!$D$3:$BW$3, 0))/1000</f>
        <v>0.76124249999999849</v>
      </c>
      <c r="DE115" s="103">
        <f t="array" ref="DE115">INDEX(Demand_current!$D$4:$BW$137, MATCH($A115, Demand_current!$B$4:$B$137, 0), MATCH(DE$4&amp;DE$5,Demand_current!$D$2:$BW$2&amp;Demand_current!$D$3:$BW$3, 0))/1000</f>
        <v>2.8666899038461526</v>
      </c>
      <c r="DF115" s="103">
        <f t="array" ref="DF115">INDEX(Demand_current!$D$4:$BW$137, MATCH($A115, Demand_current!$B$4:$B$137, 0), MATCH(DF$4&amp;DF$5,Demand_current!$D$2:$BW$2&amp;Demand_current!$D$3:$BW$3, 0))/1000</f>
        <v>3.1443509615384624</v>
      </c>
      <c r="DG115" s="103">
        <f t="array" ref="DG115">INDEX(Demand_current!$D$4:$BW$137, MATCH($A115, Demand_current!$B$4:$B$137, 0), MATCH(DG$4&amp;DG$5,Demand_current!$D$2:$BW$2&amp;Demand_current!$D$3:$BW$3, 0))/1000</f>
        <v>2.4899302884615393</v>
      </c>
      <c r="DH115" s="103">
        <f t="array" ref="DH115">INDEX(Demand_current!$D$4:$BW$137, MATCH($A115, Demand_current!$B$4:$B$137, 0), MATCH(DH$4&amp;DH$5,Demand_current!$D$2:$BW$2&amp;Demand_current!$D$3:$BW$3, 0))/1000</f>
        <v>1.2196824999999993</v>
      </c>
      <c r="DI115" s="102">
        <f>$BS115*(VLOOKUP(DI$4, Rates_current!$H$6:$R$41, 10, FALSE)+VLOOKUP(DI$4, Rates_current!$H$6:$R$41, 11, FALSE))</f>
        <v>6477.3538708628284</v>
      </c>
      <c r="DJ115" s="102">
        <f>$BS115*(VLOOKUP(DJ$4, Rates_current!$H$6:$R$41, 10, FALSE)+VLOOKUP(DJ$4, Rates_current!$H$6:$R$41, 11, FALSE))</f>
        <v>8281.0837407093804</v>
      </c>
      <c r="DK115" s="102">
        <f>$BS115*(VLOOKUP(DK$4, Rates_current!$H$6:$R$41, 10, FALSE)+VLOOKUP(DK$4, Rates_current!$H$6:$R$41, 11, FALSE))</f>
        <v>9414.8996085709314</v>
      </c>
      <c r="DL115" s="102">
        <f>$BS115*(VLOOKUP(DL$4, Rates_current!$H$6:$R$41, 10, FALSE)+VLOOKUP(DL$4, Rates_current!$H$6:$R$41, 11, FALSE))</f>
        <v>9933.4540036113176</v>
      </c>
      <c r="DM115" s="102">
        <f>$BS115*(VLOOKUP(DM$4, Rates_current!$H$6:$R$41, 10, FALSE)+VLOOKUP(DM$4, Rates_current!$H$6:$R$41, 11, FALSE))</f>
        <v>7916.0663123864742</v>
      </c>
      <c r="DN115" s="102">
        <f>$BS115*(VLOOKUP(DN$4, Rates_current!$H$6:$R$41, 10, FALSE)+VLOOKUP(DN$4, Rates_current!$H$6:$R$41, 11, FALSE))</f>
        <v>8653.8860891486111</v>
      </c>
      <c r="DO115" s="102">
        <f>$BS115*(VLOOKUP(DO$4, Rates_current!$H$6:$R$41, 10, FALSE)+VLOOKUP(DO$4, Rates_current!$H$6:$R$41, 11, FALSE))</f>
        <v>6706.8487691538057</v>
      </c>
      <c r="DP115" s="102">
        <f>$BS115*(VLOOKUP(DP$4, Rates_current!$H$6:$R$41, 10, FALSE)+VLOOKUP(DP$4, Rates_current!$H$6:$R$41, 11, FALSE))</f>
        <v>8679.7666056940052</v>
      </c>
      <c r="DQ115" s="102">
        <f>$BS115*(VLOOKUP(DQ$4, Rates_current!$H$6:$R$41, 10, FALSE)+VLOOKUP(DQ$4, Rates_current!$H$6:$R$41, 11, FALSE))</f>
        <v>8865.104889519369</v>
      </c>
      <c r="DR115" s="102">
        <f>$BS115*(VLOOKUP(DR$4, Rates_current!$H$6:$R$41, 10, FALSE)+VLOOKUP(DR$4, Rates_current!$H$6:$R$41, 11, FALSE))</f>
        <v>7890.7100478970215</v>
      </c>
      <c r="DS115" s="102">
        <f>$BS115*(VLOOKUP(DS$4, Rates_current!$H$6:$R$41, 10, FALSE)+VLOOKUP(DS$4, Rates_current!$H$6:$R$41, 11, FALSE))</f>
        <v>8094.4214002895778</v>
      </c>
      <c r="DT115" s="102">
        <f>$BS115*(VLOOKUP(DT$4, Rates_current!$H$6:$R$41, 10, FALSE)+VLOOKUP(DT$4, Rates_current!$H$6:$R$41, 11, FALSE))</f>
        <v>6286.2885085334165</v>
      </c>
      <c r="DU115" s="261">
        <f>IF(D115=0,IF(C115=0,MAX(0,DW115 - (VLOOKUP($A115,TOCA_current!$A$2:$AV$136,MATCH("RHWM "&amp;Init!$D$1,TOCA_current!$A$2:$AV$2,0),FALSE)*$BS$2)), 0),0)</f>
        <v>0</v>
      </c>
      <c r="DV115" s="262">
        <f>MIN(VLOOKUP($A115,TOCA_current!$A$2:$AV$136,MATCH("TRL - NLSL - Existing Resource "&amp;$BS$1,TOCA_current!$A$2:$AV$2,0),FALSE)*$BS$2, VLOOKUP($A115,TOCA_current!$A$2:$AV$136,MATCH("RHWM "&amp;Init!$D$1,TOCA_current!$A$2:$AV$2,0),FALSE)*$BS$2)</f>
        <v>97200.960000000006</v>
      </c>
      <c r="DW115" s="262">
        <f>SUM(BY115:CV115)+(BS115*RT1SC!$C$4*$BS$2)</f>
        <v>97197.540737687261</v>
      </c>
      <c r="DX115" s="262">
        <f>VLOOKUP($A115,TOCA_current!$A$2:$AV$136,MATCH("Above RHWM Not Served with LS "&amp;$BS$1,TOCA_current!$A$2:$AV$2,0),FALSE)*$BS$2</f>
        <v>26174.880000000001</v>
      </c>
      <c r="DY115" s="262">
        <f t="shared" si="43"/>
        <v>-3.419262312745559</v>
      </c>
      <c r="DZ115" s="262">
        <f>(VLOOKUP($A115,TOCA_current!$A$2:$AV$136,MATCH("RHWM "&amp;Init!$D$1,TOCA_current!$A$2:$AV$2,0),FALSE)*$BS$2) - $DV115</f>
        <v>0</v>
      </c>
      <c r="EA115" s="262">
        <f t="shared" si="44"/>
        <v>0</v>
      </c>
      <c r="EB115" s="262">
        <f t="shared" si="45"/>
        <v>0</v>
      </c>
      <c r="EC115" s="262">
        <f t="shared" si="46"/>
        <v>0</v>
      </c>
      <c r="ED115" s="262">
        <f t="shared" si="47"/>
        <v>0</v>
      </c>
    </row>
    <row r="116" spans="1:134">
      <c r="A116" s="2">
        <v>10376</v>
      </c>
      <c r="B116" s="3" t="s">
        <v>118</v>
      </c>
      <c r="C116">
        <f>VLOOKUP(A116, TOCA_current!$A$3:$D$136, 4, FALSE)</f>
        <v>0</v>
      </c>
      <c r="D116">
        <v>0</v>
      </c>
      <c r="E116" s="84">
        <f>VLOOKUP($A116,TOCA_previous!$A$2:$AJ$136,MATCH(E$4,TOCA_previous!$A$2:$AJ$2,0),FALSE)</f>
        <v>8.1113999999999995E-3</v>
      </c>
      <c r="F116" s="85">
        <f>VLOOKUP($A116,TOCA_previous!$A$2:$AJ$136,MATCH(F$4,TOCA_previous!$A$2:$AJ$2,0),FALSE)</f>
        <v>8.1113999999999995E-3</v>
      </c>
      <c r="G116" s="85">
        <f t="shared" si="33"/>
        <v>0</v>
      </c>
      <c r="H116" s="85">
        <f>VLOOKUP($A116,TOCA_previous!$A$2:$AJ$136,MATCH(H$4,TOCA_previous!$A$2:$AJ$2,0),FALSE)</f>
        <v>0</v>
      </c>
      <c r="I116" s="85">
        <f t="shared" si="34"/>
        <v>0</v>
      </c>
      <c r="J116" s="85">
        <f t="shared" si="35"/>
        <v>0</v>
      </c>
      <c r="K116" s="101">
        <f>VLOOKUP(A116, IRD!$A$5:$C$138, 3, FALSE)</f>
        <v>0</v>
      </c>
      <c r="L116" s="102">
        <f t="array" ref="L116">IF($G116=0, INDEX(LS_previous!$D$4:$AY$137, MATCH('Staging Table'!$A116, LS_previous!$B$4:$B$137, 0), MATCH(L$4&amp;L$5, LS_previous!$D$2:$AY$2&amp;LS_previous!$D$3:$AY$3, 0)),SUM(VLOOKUP($A116, LS_previous!$B$4:$AY$137, LS_previous!D$148, FALSE), VLOOKUP('Staging Table'!$A116, LS_previous!$B$4:$AY$137,LS_previous!AB$148, FALSE))/2)</f>
        <v>3168.4954463895992</v>
      </c>
      <c r="M116" s="102">
        <f t="array" ref="M116">IF($G116=0, INDEX(LS_previous!$D$4:$AY$137, MATCH('Staging Table'!$A116, LS_previous!$B$4:$B$137, 0), MATCH(M$4&amp;M$5, LS_previous!$D$2:$AY$2&amp;LS_previous!$D$3:$AY$3, 0)),SUM(VLOOKUP($A116, LS_previous!$B$4:$AY$137, LS_previous!E$148, FALSE), VLOOKUP('Staging Table'!$A116, LS_previous!$B$4:$AY$137,LS_previous!AC$148, FALSE))/2)</f>
        <v>302.8097225793008</v>
      </c>
      <c r="N116" s="102">
        <f t="array" ref="N116">IF($G116=0, INDEX(LS_previous!$D$4:$AY$137, MATCH('Staging Table'!$A116, LS_previous!$B$4:$B$137, 0), MATCH(N$4&amp;N$5, LS_previous!$D$2:$AY$2&amp;LS_previous!$D$3:$AY$3, 0)),SUM(VLOOKUP($A116, LS_previous!$B$4:$AY$137, LS_previous!F$148, FALSE), VLOOKUP('Staging Table'!$A116, LS_previous!$B$4:$AY$137,LS_previous!AD$148, FALSE))/2)</f>
        <v>-3817.2925123392015</v>
      </c>
      <c r="O116" s="102">
        <f t="array" ref="O116">IF($G116=0, INDEX(LS_previous!$D$4:$AY$137, MATCH('Staging Table'!$A116, LS_previous!$B$4:$B$137, 0), MATCH(O$4&amp;O$5, LS_previous!$D$2:$AY$2&amp;LS_previous!$D$3:$AY$3, 0)),SUM(VLOOKUP($A116, LS_previous!$B$4:$AY$137, LS_previous!G$148, FALSE), VLOOKUP('Staging Table'!$A116, LS_previous!$B$4:$AY$137,LS_previous!AE$148, FALSE))/2)</f>
        <v>-124.54792749340049</v>
      </c>
      <c r="P116" s="102">
        <f t="array" ref="P116">IF($G116=0, INDEX(LS_previous!$D$4:$AY$137, MATCH('Staging Table'!$A116, LS_previous!$B$4:$B$137, 0), MATCH(P$4&amp;P$5, LS_previous!$D$2:$AY$2&amp;LS_previous!$D$3:$AY$3, 0)),SUM(VLOOKUP($A116, LS_previous!$B$4:$AY$137, LS_previous!H$148, FALSE), VLOOKUP('Staging Table'!$A116, LS_previous!$B$4:$AY$137,LS_previous!AF$148, FALSE))/2)</f>
        <v>3787.5919766754014</v>
      </c>
      <c r="Q116" s="102">
        <f t="array" ref="Q116">IF($G116=0, INDEX(LS_previous!$D$4:$AY$137, MATCH('Staging Table'!$A116, LS_previous!$B$4:$B$137, 0), MATCH(Q$4&amp;Q$5, LS_previous!$D$2:$AY$2&amp;LS_previous!$D$3:$AY$3, 0)),SUM(VLOOKUP($A116, LS_previous!$B$4:$AY$137, LS_previous!I$148, FALSE), VLOOKUP('Staging Table'!$A116, LS_previous!$B$4:$AY$137,LS_previous!AG$148, FALSE))/2)</f>
        <v>3082.6407342656021</v>
      </c>
      <c r="R116" s="102">
        <f t="array" ref="R116">IF($G116=0, INDEX(LS_previous!$D$4:$AY$137, MATCH('Staging Table'!$A116, LS_previous!$B$4:$B$137, 0), MATCH(R$4&amp;R$5, LS_previous!$D$2:$AY$2&amp;LS_previous!$D$3:$AY$3, 0)),SUM(VLOOKUP($A116, LS_previous!$B$4:$AY$137, LS_previous!J$148, FALSE), VLOOKUP('Staging Table'!$A116, LS_previous!$B$4:$AY$137,LS_previous!AH$148, FALSE))/2)</f>
        <v>2318.5602229490032</v>
      </c>
      <c r="S116" s="102">
        <f t="array" ref="S116">IF($G116=0, INDEX(LS_previous!$D$4:$AY$137, MATCH('Staging Table'!$A116, LS_previous!$B$4:$B$137, 0), MATCH(S$4&amp;S$5, LS_previous!$D$2:$AY$2&amp;LS_previous!$D$3:$AY$3, 0)),SUM(VLOOKUP($A116, LS_previous!$B$4:$AY$137, LS_previous!K$148, FALSE), VLOOKUP('Staging Table'!$A116, LS_previous!$B$4:$AY$137,LS_previous!AI$148, FALSE))/2)</f>
        <v>3686.8431915693982</v>
      </c>
      <c r="T116" s="102">
        <f t="array" ref="T116">IF($G116=0, INDEX(LS_previous!$D$4:$AY$137, MATCH('Staging Table'!$A116, LS_previous!$B$4:$B$137, 0), MATCH(T$4&amp;T$5, LS_previous!$D$2:$AY$2&amp;LS_previous!$D$3:$AY$3, 0)),SUM(VLOOKUP($A116, LS_previous!$B$4:$AY$137, LS_previous!L$148, FALSE), VLOOKUP('Staging Table'!$A116, LS_previous!$B$4:$AY$137,LS_previous!AJ$148, FALSE))/2)</f>
        <v>-581.14657292059928</v>
      </c>
      <c r="U116" s="102">
        <f t="array" ref="U116">IF($G116=0, INDEX(LS_previous!$D$4:$AY$137, MATCH('Staging Table'!$A116, LS_previous!$B$4:$B$137, 0), MATCH(U$4&amp;U$5, LS_previous!$D$2:$AY$2&amp;LS_previous!$D$3:$AY$3, 0)),SUM(VLOOKUP($A116, LS_previous!$B$4:$AY$137, LS_previous!M$148, FALSE), VLOOKUP('Staging Table'!$A116, LS_previous!$B$4:$AY$137,LS_previous!AK$148, FALSE))/2)</f>
        <v>1608.8492497673997</v>
      </c>
      <c r="V116" s="102">
        <f t="array" ref="V116">IF($G116=0, INDEX(LS_previous!$D$4:$AY$137, MATCH('Staging Table'!$A116, LS_previous!$B$4:$B$137, 0), MATCH(V$4&amp;V$5, LS_previous!$D$2:$AY$2&amp;LS_previous!$D$3:$AY$3, 0)),SUM(VLOOKUP($A116, LS_previous!$B$4:$AY$137, LS_previous!N$148, FALSE), VLOOKUP('Staging Table'!$A116, LS_previous!$B$4:$AY$137,LS_previous!AL$148, FALSE))/2)</f>
        <v>-2021.7438931881989</v>
      </c>
      <c r="W116" s="102">
        <f t="array" ref="W116">IF($G116=0, INDEX(LS_previous!$D$4:$AY$137, MATCH('Staging Table'!$A116, LS_previous!$B$4:$B$137, 0), MATCH(W$4&amp;W$5, LS_previous!$D$2:$AY$2&amp;LS_previous!$D$3:$AY$3, 0)),SUM(VLOOKUP($A116, LS_previous!$B$4:$AY$137, LS_previous!O$148, FALSE), VLOOKUP('Staging Table'!$A116, LS_previous!$B$4:$AY$137,LS_previous!AM$148, FALSE))/2)</f>
        <v>-430.4136100691976</v>
      </c>
      <c r="X116" s="102">
        <f t="array" ref="X116">IF($G116=0, INDEX(LS_previous!$D$4:$AY$137, MATCH('Staging Table'!$A116, LS_previous!$B$4:$B$137, 0), MATCH(X$4&amp;X$5, LS_previous!$D$2:$AY$2&amp;LS_previous!$D$3:$AY$3, 0)),SUM(VLOOKUP($A116, LS_previous!$B$4:$AY$137, LS_previous!P$148, FALSE), VLOOKUP('Staging Table'!$A116, LS_previous!$B$4:$AY$137,LS_previous!AN$148, FALSE))/2)</f>
        <v>2610.9815535865018</v>
      </c>
      <c r="Y116" s="102">
        <f t="array" ref="Y116">IF($G116=0, INDEX(LS_previous!$D$4:$AY$137, MATCH('Staging Table'!$A116, LS_previous!$B$4:$B$137, 0), MATCH(Y$4&amp;Y$5, LS_previous!$D$2:$AY$2&amp;LS_previous!$D$3:$AY$3, 0)),SUM(VLOOKUP($A116, LS_previous!$B$4:$AY$137, LS_previous!Q$148, FALSE), VLOOKUP('Staging Table'!$A116, LS_previous!$B$4:$AY$137,LS_previous!AO$148, FALSE))/2)</f>
        <v>1111.0285263610513</v>
      </c>
      <c r="Z116" s="102">
        <f t="array" ref="Z116">IF($G116=0, INDEX(LS_previous!$D$4:$AY$137, MATCH('Staging Table'!$A116, LS_previous!$B$4:$B$137, 0), MATCH(Z$4&amp;Z$5, LS_previous!$D$2:$AY$2&amp;LS_previous!$D$3:$AY$3, 0)),SUM(VLOOKUP($A116, LS_previous!$B$4:$AY$137, LS_previous!R$148, FALSE), VLOOKUP('Staging Table'!$A116, LS_previous!$B$4:$AY$137,LS_previous!AP$148, FALSE))/2)</f>
        <v>-6930.7851808672021</v>
      </c>
      <c r="AA116" s="102">
        <f t="array" ref="AA116">IF($G116=0, INDEX(LS_previous!$D$4:$AY$137, MATCH('Staging Table'!$A116, LS_previous!$B$4:$B$137, 0), MATCH(AA$4&amp;AA$5, LS_previous!$D$2:$AY$2&amp;LS_previous!$D$3:$AY$3, 0)),SUM(VLOOKUP($A116, LS_previous!$B$4:$AY$137, LS_previous!S$148, FALSE), VLOOKUP('Staging Table'!$A116, LS_previous!$B$4:$AY$137,LS_previous!AQ$148, FALSE))/2)</f>
        <v>-2809.2587722568969</v>
      </c>
      <c r="AB116" s="102">
        <f t="array" ref="AB116">IF($G116=0, INDEX(LS_previous!$D$4:$AY$137, MATCH('Staging Table'!$A116, LS_previous!$B$4:$B$137, 0), MATCH(AB$4&amp;AB$5, LS_previous!$D$2:$AY$2&amp;LS_previous!$D$3:$AY$3, 0)),SUM(VLOOKUP($A116, LS_previous!$B$4:$AY$137, LS_previous!T$148, FALSE), VLOOKUP('Staging Table'!$A116, LS_previous!$B$4:$AY$137,LS_previous!AR$148, FALSE))/2)</f>
        <v>-8198.2182909563962</v>
      </c>
      <c r="AC116" s="102">
        <f t="array" ref="AC116">IF($G116=0, INDEX(LS_previous!$D$4:$AY$137, MATCH('Staging Table'!$A116, LS_previous!$B$4:$B$137, 0), MATCH(AC$4&amp;AC$5, LS_previous!$D$2:$AY$2&amp;LS_previous!$D$3:$AY$3, 0)),SUM(VLOOKUP($A116, LS_previous!$B$4:$AY$137, LS_previous!U$148, FALSE), VLOOKUP('Staging Table'!$A116, LS_previous!$B$4:$AY$137,LS_previous!AS$148, FALSE))/2)</f>
        <v>-4717.1636770712994</v>
      </c>
      <c r="AD116" s="102">
        <f t="array" ref="AD116">IF($G116=0, INDEX(LS_previous!$D$4:$AY$137, MATCH('Staging Table'!$A116, LS_previous!$B$4:$B$137, 0), MATCH(AD$4&amp;AD$5, LS_previous!$D$2:$AY$2&amp;LS_previous!$D$3:$AY$3, 0)),SUM(VLOOKUP($A116, LS_previous!$B$4:$AY$137, LS_previous!V$148, FALSE), VLOOKUP('Staging Table'!$A116, LS_previous!$B$4:$AY$137,LS_previous!AT$148, FALSE))/2)</f>
        <v>-3633.6814505095972</v>
      </c>
      <c r="AE116" s="102">
        <f t="array" ref="AE116">IF($G116=0, INDEX(LS_previous!$D$4:$AY$137, MATCH('Staging Table'!$A116, LS_previous!$B$4:$B$137, 0), MATCH(AE$4&amp;AE$5, LS_previous!$D$2:$AY$2&amp;LS_previous!$D$3:$AY$3, 0)),SUM(VLOOKUP($A116, LS_previous!$B$4:$AY$137, LS_previous!W$148, FALSE), VLOOKUP('Staging Table'!$A116, LS_previous!$B$4:$AY$137,LS_previous!AU$148, FALSE))/2)</f>
        <v>-1529.2171207034989</v>
      </c>
      <c r="AF116" s="102">
        <f t="array" ref="AF116">IF($G116=0, INDEX(LS_previous!$D$4:$AY$137, MATCH('Staging Table'!$A116, LS_previous!$B$4:$B$137, 0), MATCH(AF$4&amp;AF$5, LS_previous!$D$2:$AY$2&amp;LS_previous!$D$3:$AY$3, 0)),SUM(VLOOKUP($A116, LS_previous!$B$4:$AY$137, LS_previous!X$148, FALSE), VLOOKUP('Staging Table'!$A116, LS_previous!$B$4:$AY$137,LS_previous!AV$148, FALSE))/2)</f>
        <v>-3222.7288971050984</v>
      </c>
      <c r="AG116" s="102">
        <f t="array" ref="AG116">IF($G116=0, INDEX(LS_previous!$D$4:$AY$137, MATCH('Staging Table'!$A116, LS_previous!$B$4:$B$137, 0), MATCH(AG$4&amp;AG$5, LS_previous!$D$2:$AY$2&amp;LS_previous!$D$3:$AY$3, 0)),SUM(VLOOKUP($A116, LS_previous!$B$4:$AY$137, LS_previous!Y$148, FALSE), VLOOKUP('Staging Table'!$A116, LS_previous!$B$4:$AY$137,LS_previous!AW$148, FALSE))/2)</f>
        <v>-493.17146089528796</v>
      </c>
      <c r="AH116" s="102">
        <f t="array" ref="AH116">IF($G116=0, INDEX(LS_previous!$D$4:$AY$137, MATCH('Staging Table'!$A116, LS_previous!$B$4:$B$137, 0), MATCH(AH$4&amp;AH$5, LS_previous!$D$2:$AY$2&amp;LS_previous!$D$3:$AY$3, 0)),SUM(VLOOKUP($A116, LS_previous!$B$4:$AY$137, LS_previous!Z$148, FALSE), VLOOKUP('Staging Table'!$A116, LS_previous!$B$4:$AY$137,LS_previous!AX$148, FALSE))/2)</f>
        <v>-1105.0803157236005</v>
      </c>
      <c r="AI116" s="102">
        <f t="array" ref="AI116">IF($G116=0, INDEX(LS_previous!$D$4:$AY$137, MATCH('Staging Table'!$A116, LS_previous!$B$4:$B$137, 0), MATCH(AI$4&amp;AI$5, LS_previous!$D$2:$AY$2&amp;LS_previous!$D$3:$AY$3, 0)),SUM(VLOOKUP($A116, LS_previous!$B$4:$AY$137, LS_previous!AA$148, FALSE), VLOOKUP('Staging Table'!$A116, LS_previous!$B$4:$AY$137,LS_previous!AY$148, FALSE))/2)</f>
        <v>-1354.2921501855999</v>
      </c>
      <c r="AJ116" s="103">
        <f t="array" ref="AJ116">INDEX(Demand_previous!$D$4:$AY$137, MATCH('Staging Table'!$A116, Demand_previous!$B$4:$B$137, 0), MATCH(AJ$4&amp;AJ$5,Demand_previous!$D$2:$AY$2&amp;Demand_previous!$D$3:$AY$3, 0))/1000</f>
        <v>5.4358894230769224</v>
      </c>
      <c r="AK116" s="103">
        <f t="array" ref="AK116">INDEX(Demand_previous!$D$4:$AY$137, MATCH('Staging Table'!$A116, Demand_previous!$B$4:$B$137, 0), MATCH(AK$4&amp;AK$5,Demand_previous!$D$2:$AY$2&amp;Demand_previous!$D$3:$AY$3, 0))/1000</f>
        <v>18.611825000000007</v>
      </c>
      <c r="AL116" s="103">
        <f t="array" ref="AL116">INDEX(Demand_previous!$D$4:$AY$137, MATCH('Staging Table'!$A116, Demand_previous!$B$4:$B$137, 0), MATCH(AL$4&amp;AL$5,Demand_previous!$D$2:$AY$2&amp;Demand_previous!$D$3:$AY$3, 0))/1000</f>
        <v>5.0883500000000019</v>
      </c>
      <c r="AM116" s="103">
        <f t="array" ref="AM116">INDEX(Demand_previous!$D$4:$AY$137, MATCH('Staging Table'!$A116, Demand_previous!$B$4:$B$137, 0), MATCH(AM$4&amp;AM$5,Demand_previous!$D$2:$AY$2&amp;Demand_previous!$D$3:$AY$3, 0))/1000</f>
        <v>7.3168221153846105</v>
      </c>
      <c r="AN116" s="103">
        <f t="array" ref="AN116">INDEX(Demand_previous!$D$4:$AY$137, MATCH('Staging Table'!$A116, Demand_previous!$B$4:$B$137, 0), MATCH(AN$4&amp;AN$5,Demand_previous!$D$2:$AY$2&amp;Demand_previous!$D$3:$AY$3, 0))/1000</f>
        <v>20.822900000000004</v>
      </c>
      <c r="AO116" s="103">
        <f t="array" ref="AO116">INDEX(Demand_previous!$D$4:$AY$137, MATCH('Staging Table'!$A116, Demand_previous!$B$4:$B$137, 0), MATCH(AO$4&amp;AO$5,Demand_previous!$D$2:$AY$2&amp;Demand_previous!$D$3:$AY$3, 0))/1000</f>
        <v>25.015399038461542</v>
      </c>
      <c r="AP116" s="103">
        <f t="array" ref="AP116">INDEX(Demand_previous!$D$4:$AY$137, MATCH('Staging Table'!$A116, Demand_previous!$B$4:$B$137, 0), MATCH(AP$4&amp;AP$5,Demand_previous!$D$2:$AY$2&amp;Demand_previous!$D$3:$AY$3, 0))/1000</f>
        <v>12.236461538461526</v>
      </c>
      <c r="AQ116" s="103">
        <f t="array" ref="AQ116">INDEX(Demand_previous!$D$4:$AY$137, MATCH('Staging Table'!$A116, Demand_previous!$B$4:$B$137, 0), MATCH(AQ$4&amp;AQ$5,Demand_previous!$D$2:$AY$2&amp;Demand_previous!$D$3:$AY$3, 0))/1000</f>
        <v>6.0508605769230854</v>
      </c>
      <c r="AR116" s="103">
        <f t="array" ref="AR116">INDEX(Demand_previous!$D$4:$AY$137, MATCH('Staging Table'!$A116, Demand_previous!$B$4:$B$137, 0), MATCH(AR$4&amp;AR$5,Demand_previous!$D$2:$AY$2&amp;Demand_previous!$D$3:$AY$3, 0))/1000</f>
        <v>2.9104250000000009</v>
      </c>
      <c r="AS116" s="103">
        <f t="array" ref="AS116">INDEX(Demand_previous!$D$4:$AY$137, MATCH('Staging Table'!$A116, Demand_previous!$B$4:$B$137, 0), MATCH(AS$4&amp;AS$5,Demand_previous!$D$2:$AY$2&amp;Demand_previous!$D$3:$AY$3, 0))/1000</f>
        <v>0</v>
      </c>
      <c r="AT116" s="103">
        <f t="array" ref="AT116">INDEX(Demand_previous!$D$4:$AY$137, MATCH('Staging Table'!$A116, Demand_previous!$B$4:$B$137, 0), MATCH(AT$4&amp;AT$5,Demand_previous!$D$2:$AY$2&amp;Demand_previous!$D$3:$AY$3, 0))/1000</f>
        <v>3.0961342592592547</v>
      </c>
      <c r="AU116" s="103">
        <f t="array" ref="AU116">INDEX(Demand_previous!$D$4:$AY$137, MATCH('Staging Table'!$A116, Demand_previous!$B$4:$B$137, 0), MATCH(AU$4&amp;AU$5,Demand_previous!$D$2:$AY$2&amp;Demand_previous!$D$3:$AY$3, 0))/1000</f>
        <v>0</v>
      </c>
      <c r="AV116" s="102">
        <f>$F116*(VLOOKUP(AV$4, Rates_previous!$G$6:$Q$29, 10, FALSE)+VLOOKUP(AV$4, Rates_previous!$G$6:$Q$29, 11, FALSE))</f>
        <v>34220.404831031097</v>
      </c>
      <c r="AW116" s="102">
        <f>$F116*(VLOOKUP(AW$4, Rates_previous!$G$6:$Q$29, 10, FALSE)+VLOOKUP(AW$4, Rates_previous!$G$6:$Q$29, 11, FALSE))</f>
        <v>43642.300439832601</v>
      </c>
      <c r="AX116" s="102">
        <f>$F116*(VLOOKUP(AX$4, Rates_previous!$G$6:$Q$29, 10, FALSE)+VLOOKUP(AX$4, Rates_previous!$G$6:$Q$29, 11, FALSE))</f>
        <v>47098.677289059</v>
      </c>
      <c r="AY116" s="102">
        <f>$F116*(VLOOKUP(AY$4, Rates_previous!$G$6:$Q$29, 10, FALSE)+VLOOKUP(AY$4, Rates_previous!$G$6:$Q$29, 11, FALSE))</f>
        <v>48942.806585481594</v>
      </c>
      <c r="AZ116" s="102">
        <f>$F116*(VLOOKUP(AZ$4, Rates_previous!$G$6:$Q$29, 10, FALSE)+VLOOKUP(AZ$4, Rates_previous!$G$6:$Q$29, 11, FALSE))</f>
        <v>42097.337323153195</v>
      </c>
      <c r="BA116" s="102">
        <f>$F116*(VLOOKUP(BA$4, Rates_previous!$G$6:$Q$29, 10, FALSE)+VLOOKUP(BA$4, Rates_previous!$G$6:$Q$29, 11, FALSE))</f>
        <v>45961.957503257399</v>
      </c>
      <c r="BB116" s="102">
        <f>$F116*(VLOOKUP(BB$4, Rates_previous!$G$6:$Q$29, 10, FALSE)+VLOOKUP(BB$4, Rates_previous!$G$6:$Q$29, 11, FALSE))</f>
        <v>36279.219920052448</v>
      </c>
      <c r="BC116" s="102">
        <f>$F116*(VLOOKUP(BC$4, Rates_previous!$G$6:$Q$29, 10, FALSE)+VLOOKUP(BC$4, Rates_previous!$G$6:$Q$29, 11, FALSE))</f>
        <v>45009.233953124101</v>
      </c>
      <c r="BD116" s="102">
        <f>$F116*(VLOOKUP(BD$4, Rates_previous!$G$6:$Q$29, 10, FALSE)+VLOOKUP(BD$4, Rates_previous!$G$6:$Q$29, 11, FALSE))</f>
        <v>45985.821968027696</v>
      </c>
      <c r="BE116" s="102">
        <f>$F116*(VLOOKUP(BE$4, Rates_previous!$G$6:$Q$29, 10, FALSE)+VLOOKUP(BE$4, Rates_previous!$G$6:$Q$29, 11, FALSE))</f>
        <v>39922.318571213094</v>
      </c>
      <c r="BF116" s="102">
        <f>$F116*(VLOOKUP(BF$4, Rates_previous!$G$6:$Q$29, 10, FALSE)+VLOOKUP(BF$4, Rates_previous!$G$6:$Q$29, 11, FALSE))</f>
        <v>38594.270358000394</v>
      </c>
      <c r="BG116" s="102">
        <f>$F116*(VLOOKUP(BG$4, Rates_previous!$G$6:$Q$29, 10, FALSE)+VLOOKUP(BG$4, Rates_previous!$G$6:$Q$29, 11, FALSE))</f>
        <v>35514.202465909199</v>
      </c>
      <c r="BH116" s="103">
        <f>IF($D116=0,IF(C116=0, MAX(BJ116 - (VLOOKUP($A116,TOCA_previous!$A$2:$AJ$136,MATCH("RHWM "&amp;Init!$D$1-2,TOCA_previous!$A$2:$AJ$2,0),FALSE)*$F$2*TOCA_previous!C113),0),0), 0)</f>
        <v>0</v>
      </c>
      <c r="BI116" s="109">
        <f>MIN(VLOOKUP($A116,TOCA_previous!$A$2:$AJ$136,MATCH("TRL - NLSL - Existing Resource "&amp;$F$1,TOCA_previous!$A$2:$AJ$2,0),FALSE)*$F$2,(VLOOKUP($A116,TOCA_previous!$A$2:$AJ$136,MATCH("RHWM "&amp;Init!$D$1-2,TOCA_previous!$A$2:$AJ$2,0),FALSE)*$F$2))</f>
        <v>492158.73600000003</v>
      </c>
      <c r="BJ116" s="261">
        <f>SUM(L116:AI116)+(F116*RT1SC!$C$3*$F$2)</f>
        <v>483977.61230688216</v>
      </c>
      <c r="BK116" s="260">
        <f>VLOOKUP($A116,TOCA_previous!$A$2:$AJ$136,MATCH("Above RHWM Not Served with LS "&amp;$F$1,TOCA_previous!$A$2:$AJ$2,0),FALSE)*$F$2</f>
        <v>0</v>
      </c>
      <c r="BL116" s="261">
        <f t="shared" si="36"/>
        <v>-8181.1236931178719</v>
      </c>
      <c r="BM116" s="260">
        <f>(VLOOKUP($A116,TOCA_previous!$A$2:$AJ$136,MATCH("RHWM "&amp;Init!$D$1-2,TOCA_previous!$A$2:$AJ$2,0),FALSE)*$F$2) - $BI116</f>
        <v>0</v>
      </c>
      <c r="BN116" s="261">
        <f t="shared" si="37"/>
        <v>0</v>
      </c>
      <c r="BO116" s="260">
        <f t="shared" si="38"/>
        <v>8181.1236931178719</v>
      </c>
      <c r="BP116" s="261">
        <f t="shared" si="39"/>
        <v>0</v>
      </c>
      <c r="BQ116" s="260">
        <f t="shared" si="9"/>
        <v>8181.1236931178719</v>
      </c>
      <c r="BR116" s="85">
        <f>VLOOKUP($A116,TOCA_current!$A$2:$ZZ$136,MATCH(BR$4,TOCA_current!$A$2:$ZZ$2,0),FALSE)</f>
        <v>7.7711000000000004E-3</v>
      </c>
      <c r="BS116" s="85">
        <f>VLOOKUP($A116,TOCA_current!$A$2:$ZZ$136,MATCH(BS$4,TOCA_current!$A$2:$ZZ$2,0),FALSE)</f>
        <v>7.7711000000000004E-3</v>
      </c>
      <c r="BT116" s="108">
        <f t="shared" si="40"/>
        <v>0</v>
      </c>
      <c r="BU116" s="85">
        <f>VLOOKUP($A116,TOCA_current!A113:BG247,MATCH(BU$4,TOCA_current!$A$2:$BG$2,0),FALSE)</f>
        <v>0</v>
      </c>
      <c r="BV116" s="85">
        <f t="shared" si="41"/>
        <v>0</v>
      </c>
      <c r="BW116" s="85">
        <f t="shared" si="42"/>
        <v>0</v>
      </c>
      <c r="BX116" s="101">
        <f>VLOOKUP($A116,IRD!$A$4:$G$138, 7, FALSE)</f>
        <v>0</v>
      </c>
      <c r="BY116" s="102">
        <f t="array" ref="BY116">IF($BT116=0, INDEX(LS_current!$D$4:$BW$137, MATCH('Staging Table'!$A116, LS_current!$B$4:$B$137, 0), MATCH(BY$4&amp;BY$5, LS_current!$D$2:$BW$2&amp;LS_current!$D$3:$BW$3, 0)),SUM(VLOOKUP($A116, LS_current!$B$4:$BW$137, LS_current!D$147, FALSE), VLOOKUP($A116, LS_current!$B$4:$BW$137,LS_current!AZ$147, FALSE))/2)</f>
        <v>3775.993319157762</v>
      </c>
      <c r="BZ116" s="102">
        <f t="array" ref="BZ116">IF($BT116=0, INDEX(LS_current!$D$4:$BW$137, MATCH('Staging Table'!$A116, LS_current!$B$4:$B$137, 0), MATCH(BZ$4&amp;BZ$5, LS_current!$D$2:$BW$2&amp;LS_current!$D$3:$BW$3, 0)),SUM(VLOOKUP($A116, LS_current!$B$4:$BW$137, LS_current!E$147, FALSE), VLOOKUP($A116, LS_current!$B$4:$BW$137,LS_current!BA$147, FALSE))/2)</f>
        <v>1663.416645049243</v>
      </c>
      <c r="CA116" s="102">
        <f t="array" ref="CA116">IF($BT116=0, INDEX(LS_current!$D$4:$BW$137, MATCH('Staging Table'!$A116, LS_current!$B$4:$B$137, 0), MATCH(CA$4&amp;CA$5, LS_current!$D$2:$BW$2&amp;LS_current!$D$3:$BW$3, 0)),SUM(VLOOKUP($A116, LS_current!$B$4:$BW$137, LS_current!F$147, FALSE), VLOOKUP($A116, LS_current!$B$4:$BW$137,LS_current!BB$147, FALSE))/2)</f>
        <v>-2237.7619818726671</v>
      </c>
      <c r="CB116" s="102">
        <f t="array" ref="CB116">IF($BT116=0, INDEX(LS_current!$D$4:$BW$137, MATCH('Staging Table'!$A116, LS_current!$B$4:$B$137, 0), MATCH(CB$4&amp;CB$5, LS_current!$D$2:$BW$2&amp;LS_current!$D$3:$BW$3, 0)),SUM(VLOOKUP($A116, LS_current!$B$4:$BW$137, LS_current!G$147, FALSE), VLOOKUP($A116, LS_current!$B$4:$BW$137,LS_current!BC$147, FALSE))/2)</f>
        <v>704.71787639008107</v>
      </c>
      <c r="CC116" s="102">
        <f t="array" ref="CC116">IF($BT116=0, INDEX(LS_current!$D$4:$BW$137, MATCH('Staging Table'!$A116, LS_current!$B$4:$B$137, 0), MATCH(CC$4&amp;CC$5, LS_current!$D$2:$BW$2&amp;LS_current!$D$3:$BW$3, 0)),SUM(VLOOKUP($A116, LS_current!$B$4:$BW$137, LS_current!H$147, FALSE), VLOOKUP($A116, LS_current!$B$4:$BW$137,LS_current!BD$147, FALSE))/2)</f>
        <v>2282.6048586913457</v>
      </c>
      <c r="CD116" s="102">
        <f t="array" ref="CD116">IF($BT116=0, INDEX(LS_current!$D$4:$BW$137, MATCH('Staging Table'!$A116, LS_current!$B$4:$B$137, 0), MATCH(CD$4&amp;CD$5, LS_current!$D$2:$BW$2&amp;LS_current!$D$3:$BW$3, 0)),SUM(VLOOKUP($A116, LS_current!$B$4:$BW$137, LS_current!I$147, FALSE), VLOOKUP($A116, LS_current!$B$4:$BW$137,LS_current!BE$147, FALSE))/2)</f>
        <v>4807.2596180398759</v>
      </c>
      <c r="CE116" s="102">
        <f t="array" ref="CE116">IF($BT116=0, INDEX(LS_current!$D$4:$BW$137, MATCH('Staging Table'!$A116, LS_current!$B$4:$B$137, 0), MATCH(CE$4&amp;CE$5, LS_current!$D$2:$BW$2&amp;LS_current!$D$3:$BW$3, 0)),SUM(VLOOKUP($A116, LS_current!$B$4:$BW$137, LS_current!J$147, FALSE), VLOOKUP($A116, LS_current!$B$4:$BW$137,LS_current!BF$147, FALSE))/2)</f>
        <v>1444.545101091273</v>
      </c>
      <c r="CF116" s="102">
        <f t="array" ref="CF116">IF($BT116=0, INDEX(LS_current!$D$4:$BW$137, MATCH('Staging Table'!$A116, LS_current!$B$4:$B$137, 0), MATCH(CF$4&amp;CF$5, LS_current!$D$2:$BW$2&amp;LS_current!$D$3:$BW$3, 0)),SUM(VLOOKUP($A116, LS_current!$B$4:$BW$137, LS_current!K$147, FALSE), VLOOKUP($A116, LS_current!$B$4:$BW$137,LS_current!BG$147, FALSE))/2)</f>
        <v>4042.6125458210627</v>
      </c>
      <c r="CG116" s="102">
        <f t="array" ref="CG116">IF($BT116=0, INDEX(LS_current!$D$4:$BW$137, MATCH('Staging Table'!$A116, LS_current!$B$4:$B$137, 0), MATCH(CG$4&amp;CG$5, LS_current!$D$2:$BW$2&amp;LS_current!$D$3:$BW$3, 0)),SUM(VLOOKUP($A116, LS_current!$B$4:$BW$137, LS_current!L$147, FALSE), VLOOKUP($A116, LS_current!$B$4:$BW$137,LS_current!BH$147, FALSE))/2)</f>
        <v>1104.1201103647836</v>
      </c>
      <c r="CH116" s="102">
        <f t="array" ref="CH116">IF($BT116=0, INDEX(LS_current!$D$4:$BW$137, MATCH('Staging Table'!$A116, LS_current!$B$4:$B$137, 0), MATCH(CH$4&amp;CH$5, LS_current!$D$2:$BW$2&amp;LS_current!$D$3:$BW$3, 0)),SUM(VLOOKUP($A116, LS_current!$B$4:$BW$137, LS_current!M$147, FALSE), VLOOKUP($A116, LS_current!$B$4:$BW$137,LS_current!BI$147, FALSE))/2)</f>
        <v>2604.9251948274159</v>
      </c>
      <c r="CI116" s="102">
        <f t="array" ref="CI116">IF($BT116=0, INDEX(LS_current!$D$4:$BW$137, MATCH('Staging Table'!$A116, LS_current!$B$4:$B$137, 0), MATCH(CI$4&amp;CI$5, LS_current!$D$2:$BW$2&amp;LS_current!$D$3:$BW$3, 0)),SUM(VLOOKUP($A116, LS_current!$B$4:$BW$137, LS_current!N$147, FALSE), VLOOKUP($A116, LS_current!$B$4:$BW$137,LS_current!BJ$147, FALSE))/2)</f>
        <v>-2062.2908120600223</v>
      </c>
      <c r="CJ116" s="102">
        <f t="array" ref="CJ116">IF($BT116=0, INDEX(LS_current!$D$4:$BW$137, MATCH('Staging Table'!$A116, LS_current!$B$4:$B$137, 0), MATCH(CJ$4&amp;CJ$5, LS_current!$D$2:$BW$2&amp;LS_current!$D$3:$BW$3, 0)),SUM(VLOOKUP($A116, LS_current!$B$4:$BW$137, LS_current!O$147, FALSE), VLOOKUP($A116, LS_current!$B$4:$BW$137,LS_current!BK$147, FALSE))/2)</f>
        <v>2482.3143096042113</v>
      </c>
      <c r="CK116" s="102">
        <f t="array" ref="CK116">IF($BT116=0, INDEX(LS_current!$D$4:$BW$137, MATCH('Staging Table'!$A116, LS_current!$B$4:$B$137, 0), MATCH(CK$4&amp;CK$5, LS_current!$D$2:$BW$2&amp;LS_current!$D$3:$BW$3, 0)),SUM(VLOOKUP($A116, LS_current!$B$4:$BW$137, LS_current!P$147, FALSE), VLOOKUP($A116, LS_current!$B$4:$BW$137,LS_current!BL$147, FALSE))/2)</f>
        <v>4131.8573389972953</v>
      </c>
      <c r="CL116" s="102">
        <f t="array" ref="CL116">IF($BT116=0, INDEX(LS_current!$D$4:$BW$137, MATCH('Staging Table'!$A116, LS_current!$B$4:$B$137, 0), MATCH(CL$4&amp;CL$5, LS_current!$D$2:$BW$2&amp;LS_current!$D$3:$BW$3, 0)),SUM(VLOOKUP($A116, LS_current!$B$4:$BW$137, LS_current!Q$147, FALSE), VLOOKUP($A116, LS_current!$B$4:$BW$137,LS_current!BM$147, FALSE))/2)</f>
        <v>2474.3624284332527</v>
      </c>
      <c r="CM116" s="102">
        <f t="array" ref="CM116">IF($BT116=0, INDEX(LS_current!$D$4:$BW$137, MATCH('Staging Table'!$A116, LS_current!$B$4:$B$137, 0), MATCH(CM$4&amp;CM$5, LS_current!$D$2:$BW$2&amp;LS_current!$D$3:$BW$3, 0)),SUM(VLOOKUP($A116, LS_current!$B$4:$BW$137, LS_current!R$147, FALSE), VLOOKUP($A116, LS_current!$B$4:$BW$137,LS_current!BN$147, FALSE))/2)</f>
        <v>-5739.7529489649423</v>
      </c>
      <c r="CN116" s="102">
        <f t="array" ref="CN116">IF($BT116=0, INDEX(LS_current!$D$4:$BW$137, MATCH('Staging Table'!$A116, LS_current!$B$4:$B$137, 0), MATCH(CN$4&amp;CN$5, LS_current!$D$2:$BW$2&amp;LS_current!$D$3:$BW$3, 0)),SUM(VLOOKUP($A116, LS_current!$B$4:$BW$137, LS_current!S$147, FALSE), VLOOKUP($A116, LS_current!$B$4:$BW$137,LS_current!BO$147, FALSE))/2)</f>
        <v>-2209.6988588832719</v>
      </c>
      <c r="CO116" s="102">
        <f t="array" ref="CO116">IF($BT116=0, INDEX(LS_current!$D$4:$BW$137, MATCH('Staging Table'!$A116, LS_current!$B$4:$B$137, 0), MATCH(CO$4&amp;CO$5, LS_current!$D$2:$BW$2&amp;LS_current!$D$3:$BW$3, 0)),SUM(VLOOKUP($A116, LS_current!$B$4:$BW$137, LS_current!T$147, FALSE), VLOOKUP($A116, LS_current!$B$4:$BW$137,LS_current!BP$147, FALSE))/2)</f>
        <v>-8101.5004720605466</v>
      </c>
      <c r="CP116" s="102">
        <f t="array" ref="CP116">IF($BT116=0, INDEX(LS_current!$D$4:$BW$137, MATCH('Staging Table'!$A116, LS_current!$B$4:$B$137, 0), MATCH(CP$4&amp;CP$5, LS_current!$D$2:$BW$2&amp;LS_current!$D$3:$BW$3, 0)),SUM(VLOOKUP($A116, LS_current!$B$4:$BW$137, LS_current!U$147, FALSE), VLOOKUP($A116, LS_current!$B$4:$BW$137,LS_current!BQ$147, FALSE))/2)</f>
        <v>-2969.5451478176947</v>
      </c>
      <c r="CQ116" s="102">
        <f t="array" ref="CQ116">IF($BT116=0, INDEX(LS_current!$D$4:$BW$137, MATCH('Staging Table'!$A116, LS_current!$B$4:$B$137, 0), MATCH(CQ$4&amp;CQ$5, LS_current!$D$2:$BW$2&amp;LS_current!$D$3:$BW$3, 0)),SUM(VLOOKUP($A116, LS_current!$B$4:$BW$137, LS_current!V$147, FALSE), VLOOKUP($A116, LS_current!$B$4:$BW$137,LS_current!BR$147, FALSE))/2)</f>
        <v>-3651.8302164195484</v>
      </c>
      <c r="CR116" s="102">
        <f t="array" ref="CR116">IF($BT116=0, INDEX(LS_current!$D$4:$BW$137, MATCH('Staging Table'!$A116, LS_current!$B$4:$B$137, 0), MATCH(CR$4&amp;CR$5, LS_current!$D$2:$BW$2&amp;LS_current!$D$3:$BW$3, 0)),SUM(VLOOKUP($A116, LS_current!$B$4:$BW$137, LS_current!W$147, FALSE), VLOOKUP($A116, LS_current!$B$4:$BW$137,LS_current!BS$147, FALSE))/2)</f>
        <v>-878.48954984721968</v>
      </c>
      <c r="CS116" s="102">
        <f t="array" ref="CS116">IF($BT116=0, INDEX(LS_current!$D$4:$BW$137, MATCH('Staging Table'!$A116, LS_current!$B$4:$B$137, 0), MATCH(CS$4&amp;CS$5, LS_current!$D$2:$BW$2&amp;LS_current!$D$3:$BW$3, 0)),SUM(VLOOKUP($A116, LS_current!$B$4:$BW$137, LS_current!X$147, FALSE), VLOOKUP($A116, LS_current!$B$4:$BW$137,LS_current!BT$147, FALSE))/2)</f>
        <v>-5530.7783976838255</v>
      </c>
      <c r="CT116" s="102">
        <f t="array" ref="CT116">IF($BT116=0, INDEX(LS_current!$D$4:$BW$137, MATCH('Staging Table'!$A116, LS_current!$B$4:$B$137, 0), MATCH(CT$4&amp;CT$5, LS_current!$D$2:$BW$2&amp;LS_current!$D$3:$BW$3, 0)),SUM(VLOOKUP($A116, LS_current!$B$4:$BW$137, LS_current!Y$147, FALSE), VLOOKUP($A116, LS_current!$B$4:$BW$137,LS_current!BU$147, FALSE))/2)</f>
        <v>105.08089990056214</v>
      </c>
      <c r="CU116" s="102">
        <f t="array" ref="CU116">IF($BT116=0, INDEX(LS_current!$D$4:$BW$137, MATCH('Staging Table'!$A116, LS_current!$B$4:$B$137, 0), MATCH(CU$4&amp;CU$5, LS_current!$D$2:$BW$2&amp;LS_current!$D$3:$BW$3, 0)),SUM(VLOOKUP($A116, LS_current!$B$4:$BW$137, LS_current!Z$147, FALSE), VLOOKUP($A116, LS_current!$B$4:$BW$137,LS_current!BV$147, FALSE))/2)</f>
        <v>623.23655069925371</v>
      </c>
      <c r="CV116" s="102">
        <f t="array" ref="CV116">IF($BT116=0, INDEX(LS_current!$D$4:$BW$137, MATCH('Staging Table'!$A116, LS_current!$B$4:$B$137, 0), MATCH(CV$4&amp;CV$5, LS_current!$D$2:$BW$2&amp;LS_current!$D$3:$BW$3, 0)),SUM(VLOOKUP($A116, LS_current!$B$4:$BW$137, LS_current!AA$147, FALSE), VLOOKUP($A116, LS_current!$B$4:$BW$137,LS_current!BW$147, FALSE))/2)</f>
        <v>1130.6537243926687</v>
      </c>
      <c r="CW116" s="103">
        <f t="array" ref="CW116">INDEX(Demand_current!$D$4:$BW$137, MATCH($A116, Demand_current!$B$4:$B$137, 0), MATCH(CW$4&amp;CW$5,Demand_current!$D$2:$BW$2&amp;Demand_current!$D$3:$BW$3, 0))/1000</f>
        <v>7.588078703703701</v>
      </c>
      <c r="CX116" s="103">
        <f t="array" ref="CX116">INDEX(Demand_current!$D$4:$BW$137, MATCH($A116, Demand_current!$B$4:$B$137, 0), MATCH(CX$4&amp;CX$5,Demand_current!$D$2:$BW$2&amp;Demand_current!$D$3:$BW$3, 0))/1000</f>
        <v>16.222109375000006</v>
      </c>
      <c r="CY116" s="103">
        <f t="array" ref="CY116">INDEX(Demand_current!$D$4:$BW$137, MATCH($A116, Demand_current!$B$4:$B$137, 0), MATCH(CY$4&amp;CY$5,Demand_current!$D$2:$BW$2&amp;Demand_current!$D$3:$BW$3, 0))/1000</f>
        <v>8.2251442307692422</v>
      </c>
      <c r="CZ116" s="103">
        <f t="array" ref="CZ116">INDEX(Demand_current!$D$4:$BW$137, MATCH($A116, Demand_current!$B$4:$B$137, 0), MATCH(CZ$4&amp;CZ$5,Demand_current!$D$2:$BW$2&amp;Demand_current!$D$3:$BW$3, 0))/1000</f>
        <v>7.3168221153846105</v>
      </c>
      <c r="DA116" s="103">
        <f t="array" ref="DA116">INDEX(Demand_current!$D$4:$BW$137, MATCH($A116, Demand_current!$B$4:$B$137, 0), MATCH(DA$4&amp;DA$5,Demand_current!$D$2:$BW$2&amp;Demand_current!$D$3:$BW$3, 0))/1000</f>
        <v>18.067229166666678</v>
      </c>
      <c r="DB116" s="103">
        <f t="array" ref="DB116">INDEX(Demand_current!$D$4:$BW$137, MATCH($A116, Demand_current!$B$4:$B$137, 0), MATCH(DB$4&amp;DB$5,Demand_current!$D$2:$BW$2&amp;Demand_current!$D$3:$BW$3, 0))/1000</f>
        <v>25.015399038461542</v>
      </c>
      <c r="DC116" s="103">
        <f t="array" ref="DC116">INDEX(Demand_current!$D$4:$BW$137, MATCH($A116, Demand_current!$B$4:$B$137, 0), MATCH(DC$4&amp;DC$5,Demand_current!$D$2:$BW$2&amp;Demand_current!$D$3:$BW$3, 0))/1000</f>
        <v>12.236461538461526</v>
      </c>
      <c r="DD116" s="103">
        <f t="array" ref="DD116">INDEX(Demand_current!$D$4:$BW$137, MATCH($A116, Demand_current!$B$4:$B$137, 0), MATCH(DD$4&amp;DD$5,Demand_current!$D$2:$BW$2&amp;Demand_current!$D$3:$BW$3, 0))/1000</f>
        <v>4.0595750000000095</v>
      </c>
      <c r="DE116" s="103">
        <f t="array" ref="DE116">INDEX(Demand_current!$D$4:$BW$137, MATCH($A116, Demand_current!$B$4:$B$137, 0), MATCH(DE$4&amp;DE$5,Demand_current!$D$2:$BW$2&amp;Demand_current!$D$3:$BW$3, 0))/1000</f>
        <v>4.9255624999999954</v>
      </c>
      <c r="DF116" s="103">
        <f t="array" ref="DF116">INDEX(Demand_current!$D$4:$BW$137, MATCH($A116, Demand_current!$B$4:$B$137, 0), MATCH(DF$4&amp;DF$5,Demand_current!$D$2:$BW$2&amp;Demand_current!$D$3:$BW$3, 0))/1000</f>
        <v>0</v>
      </c>
      <c r="DG116" s="103">
        <f t="array" ref="DG116">INDEX(Demand_current!$D$4:$BW$137, MATCH($A116, Demand_current!$B$4:$B$137, 0), MATCH(DG$4&amp;DG$5,Demand_current!$D$2:$BW$2&amp;Demand_current!$D$3:$BW$3, 0))/1000</f>
        <v>1.1775240384615375</v>
      </c>
      <c r="DH116" s="103">
        <f t="array" ref="DH116">INDEX(Demand_current!$D$4:$BW$137, MATCH($A116, Demand_current!$B$4:$B$137, 0), MATCH(DH$4&amp;DH$5,Demand_current!$D$2:$BW$2&amp;Demand_current!$D$3:$BW$3, 0))/1000</f>
        <v>1.5491750000000051</v>
      </c>
      <c r="DI116" s="102">
        <f>$BS116*(VLOOKUP(DI$4, Rates_current!$H$6:$R$41, 10, FALSE)+VLOOKUP(DI$4, Rates_current!$H$6:$R$41, 11, FALSE))</f>
        <v>32252.300035792996</v>
      </c>
      <c r="DJ116" s="102">
        <f>$BS116*(VLOOKUP(DJ$4, Rates_current!$H$6:$R$41, 10, FALSE)+VLOOKUP(DJ$4, Rates_current!$H$6:$R$41, 11, FALSE))</f>
        <v>41233.504105482592</v>
      </c>
      <c r="DK116" s="102">
        <f>$BS116*(VLOOKUP(DK$4, Rates_current!$H$6:$R$41, 10, FALSE)+VLOOKUP(DK$4, Rates_current!$H$6:$R$41, 11, FALSE))</f>
        <v>46879.045523268775</v>
      </c>
      <c r="DL116" s="102">
        <f>$BS116*(VLOOKUP(DL$4, Rates_current!$H$6:$R$41, 10, FALSE)+VLOOKUP(DL$4, Rates_current!$H$6:$R$41, 11, FALSE))</f>
        <v>49461.052353087667</v>
      </c>
      <c r="DM116" s="102">
        <f>$BS116*(VLOOKUP(DM$4, Rates_current!$H$6:$R$41, 10, FALSE)+VLOOKUP(DM$4, Rates_current!$H$6:$R$41, 11, FALSE))</f>
        <v>39415.9946948078</v>
      </c>
      <c r="DN116" s="102">
        <f>$BS116*(VLOOKUP(DN$4, Rates_current!$H$6:$R$41, 10, FALSE)+VLOOKUP(DN$4, Rates_current!$H$6:$R$41, 11, FALSE))</f>
        <v>43089.77650245581</v>
      </c>
      <c r="DO116" s="102">
        <f>$BS116*(VLOOKUP(DO$4, Rates_current!$H$6:$R$41, 10, FALSE)+VLOOKUP(DO$4, Rates_current!$H$6:$R$41, 11, FALSE))</f>
        <v>33395.010232569453</v>
      </c>
      <c r="DP116" s="102">
        <f>$BS116*(VLOOKUP(DP$4, Rates_current!$H$6:$R$41, 10, FALSE)+VLOOKUP(DP$4, Rates_current!$H$6:$R$41, 11, FALSE))</f>
        <v>43218.641807848209</v>
      </c>
      <c r="DQ116" s="102">
        <f>$BS116*(VLOOKUP(DQ$4, Rates_current!$H$6:$R$41, 10, FALSE)+VLOOKUP(DQ$4, Rates_current!$H$6:$R$41, 11, FALSE))</f>
        <v>44141.485619878244</v>
      </c>
      <c r="DR116" s="102">
        <f>$BS116*(VLOOKUP(DR$4, Rates_current!$H$6:$R$41, 10, FALSE)+VLOOKUP(DR$4, Rates_current!$H$6:$R$41, 11, FALSE))</f>
        <v>39289.739766266772</v>
      </c>
      <c r="DS116" s="102">
        <f>$BS116*(VLOOKUP(DS$4, Rates_current!$H$6:$R$41, 10, FALSE)+VLOOKUP(DS$4, Rates_current!$H$6:$R$41, 11, FALSE))</f>
        <v>40304.067497783268</v>
      </c>
      <c r="DT116" s="102">
        <f>$BS116*(VLOOKUP(DT$4, Rates_current!$H$6:$R$41, 10, FALSE)+VLOOKUP(DT$4, Rates_current!$H$6:$R$41, 11, FALSE))</f>
        <v>31300.939724908079</v>
      </c>
      <c r="DU116" s="261">
        <f>IF(D116=0,IF(C116=0,MAX(0,DW116 - (VLOOKUP($A116,TOCA_current!$A$2:$AV$136,MATCH("RHWM "&amp;Init!$D$1,TOCA_current!$A$2:$AV$2,0),FALSE)*$BS$2)), 0),0)</f>
        <v>0</v>
      </c>
      <c r="DV116" s="262">
        <f>MIN(VLOOKUP($A116,TOCA_current!$A$2:$AV$136,MATCH("TRL - NLSL - Existing Resource "&amp;$BS$1,TOCA_current!$A$2:$AV$2,0),FALSE)*$BS$2, VLOOKUP($A116,TOCA_current!$A$2:$AV$136,MATCH("RHWM "&amp;Init!$D$1,TOCA_current!$A$2:$AV$2,0),FALSE)*$BS$2)</f>
        <v>483981.24000000005</v>
      </c>
      <c r="DW116" s="262">
        <f>SUM(BY116:CV116)+(BS116*RT1SC!$C$4*$BS$2)</f>
        <v>483977.63856932241</v>
      </c>
      <c r="DX116" s="262">
        <f>VLOOKUP($A116,TOCA_current!$A$2:$AV$136,MATCH("Above RHWM Not Served with LS "&amp;$BS$1,TOCA_current!$A$2:$AV$2,0),FALSE)*$BS$2</f>
        <v>0</v>
      </c>
      <c r="DY116" s="262">
        <f t="shared" si="43"/>
        <v>-3.6014306776341982</v>
      </c>
      <c r="DZ116" s="262">
        <f>(VLOOKUP($A116,TOCA_current!$A$2:$AV$136,MATCH("RHWM "&amp;Init!$D$1,TOCA_current!$A$2:$AV$2,0),FALSE)*$BS$2) - $DV116</f>
        <v>9662.2799999999115</v>
      </c>
      <c r="EA116" s="262">
        <f t="shared" si="44"/>
        <v>0</v>
      </c>
      <c r="EB116" s="262">
        <f t="shared" si="45"/>
        <v>3.6014306776341982</v>
      </c>
      <c r="EC116" s="262">
        <f t="shared" si="46"/>
        <v>0</v>
      </c>
      <c r="ED116" s="262">
        <f t="shared" si="47"/>
        <v>3.6014306776341982</v>
      </c>
    </row>
    <row r="117" spans="1:134">
      <c r="A117" s="2">
        <v>10378</v>
      </c>
      <c r="B117" s="3" t="s">
        <v>119</v>
      </c>
      <c r="C117">
        <f>VLOOKUP(A117, TOCA_current!$A$3:$D$136, 4, FALSE)</f>
        <v>0</v>
      </c>
      <c r="D117">
        <v>0</v>
      </c>
      <c r="E117" s="84">
        <f>VLOOKUP($A117,TOCA_previous!$A$2:$AJ$136,MATCH(E$4,TOCA_previous!$A$2:$AJ$2,0),FALSE)</f>
        <v>2.9260000000000001E-4</v>
      </c>
      <c r="F117" s="85">
        <f>VLOOKUP($A117,TOCA_previous!$A$2:$AJ$136,MATCH(F$4,TOCA_previous!$A$2:$AJ$2,0),FALSE)</f>
        <v>2.9260000000000001E-4</v>
      </c>
      <c r="G117" s="85">
        <f t="shared" si="33"/>
        <v>0</v>
      </c>
      <c r="H117" s="85">
        <f>VLOOKUP($A117,TOCA_previous!$A$2:$AJ$136,MATCH(H$4,TOCA_previous!$A$2:$AJ$2,0),FALSE)</f>
        <v>0</v>
      </c>
      <c r="I117" s="85">
        <f t="shared" si="34"/>
        <v>0</v>
      </c>
      <c r="J117" s="85">
        <f t="shared" si="35"/>
        <v>0</v>
      </c>
      <c r="K117" s="101">
        <f>VLOOKUP(A117, IRD!$A$5:$C$138, 3, FALSE)</f>
        <v>0</v>
      </c>
      <c r="L117" s="102">
        <f t="array" ref="L117">IF($G117=0, INDEX(LS_previous!$D$4:$AY$137, MATCH('Staging Table'!$A117, LS_previous!$B$4:$B$137, 0), MATCH(L$4&amp;L$5, LS_previous!$D$2:$AY$2&amp;LS_previous!$D$3:$AY$3, 0)),SUM(VLOOKUP($A117, LS_previous!$B$4:$AY$137, LS_previous!D$148, FALSE), VLOOKUP('Staging Table'!$A117, LS_previous!$B$4:$AY$137,LS_previous!AB$148, FALSE))/2)</f>
        <v>11.5098750663999</v>
      </c>
      <c r="M117" s="102">
        <f t="array" ref="M117">IF($G117=0, INDEX(LS_previous!$D$4:$AY$137, MATCH('Staging Table'!$A117, LS_previous!$B$4:$B$137, 0), MATCH(M$4&amp;M$5, LS_previous!$D$2:$AY$2&amp;LS_previous!$D$3:$AY$3, 0)),SUM(VLOOKUP($A117, LS_previous!$B$4:$AY$137, LS_previous!E$148, FALSE), VLOOKUP('Staging Table'!$A117, LS_previous!$B$4:$AY$137,LS_previous!AC$148, FALSE))/2)</f>
        <v>-31.749855681300005</v>
      </c>
      <c r="N117" s="102">
        <f t="array" ref="N117">IF($G117=0, INDEX(LS_previous!$D$4:$AY$137, MATCH('Staging Table'!$A117, LS_previous!$B$4:$B$137, 0), MATCH(N$4&amp;N$5, LS_previous!$D$2:$AY$2&amp;LS_previous!$D$3:$AY$3, 0)),SUM(VLOOKUP($A117, LS_previous!$B$4:$AY$137, LS_previous!F$148, FALSE), VLOOKUP('Staging Table'!$A117, LS_previous!$B$4:$AY$137,LS_previous!AD$148, FALSE))/2)</f>
        <v>37.339007827199907</v>
      </c>
      <c r="O117" s="102">
        <f t="array" ref="O117">IF($G117=0, INDEX(LS_previous!$D$4:$AY$137, MATCH('Staging Table'!$A117, LS_previous!$B$4:$B$137, 0), MATCH(O$4&amp;O$5, LS_previous!$D$2:$AY$2&amp;LS_previous!$D$3:$AY$3, 0)),SUM(VLOOKUP($A117, LS_previous!$B$4:$AY$137, LS_previous!G$148, FALSE), VLOOKUP('Staging Table'!$A117, LS_previous!$B$4:$AY$137,LS_previous!AE$148, FALSE))/2)</f>
        <v>90.505912569399925</v>
      </c>
      <c r="P117" s="102">
        <f t="array" ref="P117">IF($G117=0, INDEX(LS_previous!$D$4:$AY$137, MATCH('Staging Table'!$A117, LS_previous!$B$4:$B$137, 0), MATCH(P$4&amp;P$5, LS_previous!$D$2:$AY$2&amp;LS_previous!$D$3:$AY$3, 0)),SUM(VLOOKUP($A117, LS_previous!$B$4:$AY$137, LS_previous!H$148, FALSE), VLOOKUP('Staging Table'!$A117, LS_previous!$B$4:$AY$137,LS_previous!AF$148, FALSE))/2)</f>
        <v>406.76287276859989</v>
      </c>
      <c r="Q117" s="102">
        <f t="array" ref="Q117">IF($G117=0, INDEX(LS_previous!$D$4:$AY$137, MATCH('Staging Table'!$A117, LS_previous!$B$4:$B$137, 0), MATCH(Q$4&amp;Q$5, LS_previous!$D$2:$AY$2&amp;LS_previous!$D$3:$AY$3, 0)),SUM(VLOOKUP($A117, LS_previous!$B$4:$AY$137, LS_previous!I$148, FALSE), VLOOKUP('Staging Table'!$A117, LS_previous!$B$4:$AY$137,LS_previous!AG$148, FALSE))/2)</f>
        <v>368.43924455039985</v>
      </c>
      <c r="R117" s="102">
        <f t="array" ref="R117">IF($G117=0, INDEX(LS_previous!$D$4:$AY$137, MATCH('Staging Table'!$A117, LS_previous!$B$4:$B$137, 0), MATCH(R$4&amp;R$5, LS_previous!$D$2:$AY$2&amp;LS_previous!$D$3:$AY$3, 0)),SUM(VLOOKUP($A117, LS_previous!$B$4:$AY$137, LS_previous!J$148, FALSE), VLOOKUP('Staging Table'!$A117, LS_previous!$B$4:$AY$137,LS_previous!AH$148, FALSE))/2)</f>
        <v>285.45460419100004</v>
      </c>
      <c r="S117" s="102">
        <f t="array" ref="S117">IF($G117=0, INDEX(LS_previous!$D$4:$AY$137, MATCH('Staging Table'!$A117, LS_previous!$B$4:$B$137, 0), MATCH(S$4&amp;S$5, LS_previous!$D$2:$AY$2&amp;LS_previous!$D$3:$AY$3, 0)),SUM(VLOOKUP($A117, LS_previous!$B$4:$AY$137, LS_previous!K$148, FALSE), VLOOKUP('Staging Table'!$A117, LS_previous!$B$4:$AY$137,LS_previous!AI$148, FALSE))/2)</f>
        <v>323.25681271459996</v>
      </c>
      <c r="T117" s="102">
        <f t="array" ref="T117">IF($G117=0, INDEX(LS_previous!$D$4:$AY$137, MATCH('Staging Table'!$A117, LS_previous!$B$4:$B$137, 0), MATCH(T$4&amp;T$5, LS_previous!$D$2:$AY$2&amp;LS_previous!$D$3:$AY$3, 0)),SUM(VLOOKUP($A117, LS_previous!$B$4:$AY$137, LS_previous!L$148, FALSE), VLOOKUP('Staging Table'!$A117, LS_previous!$B$4:$AY$137,LS_previous!AJ$148, FALSE))/2)</f>
        <v>178.06620580460003</v>
      </c>
      <c r="U117" s="102">
        <f t="array" ref="U117">IF($G117=0, INDEX(LS_previous!$D$4:$AY$137, MATCH('Staging Table'!$A117, LS_previous!$B$4:$B$137, 0), MATCH(U$4&amp;U$5, LS_previous!$D$2:$AY$2&amp;LS_previous!$D$3:$AY$3, 0)),SUM(VLOOKUP($A117, LS_previous!$B$4:$AY$137, LS_previous!M$148, FALSE), VLOOKUP('Staging Table'!$A117, LS_previous!$B$4:$AY$137,LS_previous!AK$148, FALSE))/2)</f>
        <v>234.05568679660007</v>
      </c>
      <c r="V117" s="102">
        <f t="array" ref="V117">IF($G117=0, INDEX(LS_previous!$D$4:$AY$137, MATCH('Staging Table'!$A117, LS_previous!$B$4:$B$137, 0), MATCH(V$4&amp;V$5, LS_previous!$D$2:$AY$2&amp;LS_previous!$D$3:$AY$3, 0)),SUM(VLOOKUP($A117, LS_previous!$B$4:$AY$137, LS_previous!N$148, FALSE), VLOOKUP('Staging Table'!$A117, LS_previous!$B$4:$AY$137,LS_previous!AL$148, FALSE))/2)</f>
        <v>7.4876675361999787</v>
      </c>
      <c r="W117" s="102">
        <f t="array" ref="W117">IF($G117=0, INDEX(LS_previous!$D$4:$AY$137, MATCH('Staging Table'!$A117, LS_previous!$B$4:$B$137, 0), MATCH(W$4&amp;W$5, LS_previous!$D$2:$AY$2&amp;LS_previous!$D$3:$AY$3, 0)),SUM(VLOOKUP($A117, LS_previous!$B$4:$AY$137, LS_previous!O$148, FALSE), VLOOKUP('Staging Table'!$A117, LS_previous!$B$4:$AY$137,LS_previous!AM$148, FALSE))/2)</f>
        <v>41.3059877572</v>
      </c>
      <c r="X117" s="102">
        <f t="array" ref="X117">IF($G117=0, INDEX(LS_previous!$D$4:$AY$137, MATCH('Staging Table'!$A117, LS_previous!$B$4:$B$137, 0), MATCH(X$4&amp;X$5, LS_previous!$D$2:$AY$2&amp;LS_previous!$D$3:$AY$3, 0)),SUM(VLOOKUP($A117, LS_previous!$B$4:$AY$137, LS_previous!P$148, FALSE), VLOOKUP('Staging Table'!$A117, LS_previous!$B$4:$AY$137,LS_previous!AN$148, FALSE))/2)</f>
        <v>-7.0175156965000269</v>
      </c>
      <c r="Y117" s="102">
        <f t="array" ref="Y117">IF($G117=0, INDEX(LS_previous!$D$4:$AY$137, MATCH('Staging Table'!$A117, LS_previous!$B$4:$B$137, 0), MATCH(Y$4&amp;Y$5, LS_previous!$D$2:$AY$2&amp;LS_previous!$D$3:$AY$3, 0)),SUM(VLOOKUP($A117, LS_previous!$B$4:$AY$137, LS_previous!Q$148, FALSE), VLOOKUP('Staging Table'!$A117, LS_previous!$B$4:$AY$137,LS_previous!AO$148, FALSE))/2)</f>
        <v>-3.076458908049915</v>
      </c>
      <c r="Z117" s="102">
        <f t="array" ref="Z117">IF($G117=0, INDEX(LS_previous!$D$4:$AY$137, MATCH('Staging Table'!$A117, LS_previous!$B$4:$B$137, 0), MATCH(Z$4&amp;Z$5, LS_previous!$D$2:$AY$2&amp;LS_previous!$D$3:$AY$3, 0)),SUM(VLOOKUP($A117, LS_previous!$B$4:$AY$137, LS_previous!R$148, FALSE), VLOOKUP('Staging Table'!$A117, LS_previous!$B$4:$AY$137,LS_previous!AP$148, FALSE))/2)</f>
        <v>-387.7236097248001</v>
      </c>
      <c r="AA117" s="102">
        <f t="array" ref="AA117">IF($G117=0, INDEX(LS_previous!$D$4:$AY$137, MATCH('Staging Table'!$A117, LS_previous!$B$4:$B$137, 0), MATCH(AA$4&amp;AA$5, LS_previous!$D$2:$AY$2&amp;LS_previous!$D$3:$AY$3, 0)),SUM(VLOOKUP($A117, LS_previous!$B$4:$AY$137, LS_previous!S$148, FALSE), VLOOKUP('Staging Table'!$A117, LS_previous!$B$4:$AY$137,LS_previous!AQ$148, FALSE))/2)</f>
        <v>-257.13143577710002</v>
      </c>
      <c r="AB117" s="102">
        <f t="array" ref="AB117">IF($G117=0, INDEX(LS_previous!$D$4:$AY$137, MATCH('Staging Table'!$A117, LS_previous!$B$4:$B$137, 0), MATCH(AB$4&amp;AB$5, LS_previous!$D$2:$AY$2&amp;LS_previous!$D$3:$AY$3, 0)),SUM(VLOOKUP($A117, LS_previous!$B$4:$AY$137, LS_previous!T$148, FALSE), VLOOKUP('Staging Table'!$A117, LS_previous!$B$4:$AY$137,LS_previous!AR$148, FALSE))/2)</f>
        <v>-396.75931914759997</v>
      </c>
      <c r="AC117" s="102">
        <f t="array" ref="AC117">IF($G117=0, INDEX(LS_previous!$D$4:$AY$137, MATCH('Staging Table'!$A117, LS_previous!$B$4:$B$137, 0), MATCH(AC$4&amp;AC$5, LS_previous!$D$2:$AY$2&amp;LS_previous!$D$3:$AY$3, 0)),SUM(VLOOKUP($A117, LS_previous!$B$4:$AY$137, LS_previous!U$148, FALSE), VLOOKUP('Staging Table'!$A117, LS_previous!$B$4:$AY$137,LS_previous!AS$148, FALSE))/2)</f>
        <v>-252.25588094670002</v>
      </c>
      <c r="AD117" s="102">
        <f t="array" ref="AD117">IF($G117=0, INDEX(LS_previous!$D$4:$AY$137, MATCH('Staging Table'!$A117, LS_previous!$B$4:$B$137, 0), MATCH(AD$4&amp;AD$5, LS_previous!$D$2:$AY$2&amp;LS_previous!$D$3:$AY$3, 0)),SUM(VLOOKUP($A117, LS_previous!$B$4:$AY$137, LS_previous!V$148, FALSE), VLOOKUP('Staging Table'!$A117, LS_previous!$B$4:$AY$137,LS_previous!AT$148, FALSE))/2)</f>
        <v>-163.33349414639997</v>
      </c>
      <c r="AE117" s="102">
        <f t="array" ref="AE117">IF($G117=0, INDEX(LS_previous!$D$4:$AY$137, MATCH('Staging Table'!$A117, LS_previous!$B$4:$B$137, 0), MATCH(AE$4&amp;AE$5, LS_previous!$D$2:$AY$2&amp;LS_previous!$D$3:$AY$3, 0)),SUM(VLOOKUP($A117, LS_previous!$B$4:$AY$137, LS_previous!W$148, FALSE), VLOOKUP('Staging Table'!$A117, LS_previous!$B$4:$AY$137,LS_previous!AU$148, FALSE))/2)</f>
        <v>-90.799840806499958</v>
      </c>
      <c r="AF117" s="102">
        <f t="array" ref="AF117">IF($G117=0, INDEX(LS_previous!$D$4:$AY$137, MATCH('Staging Table'!$A117, LS_previous!$B$4:$B$137, 0), MATCH(AF$4&amp;AF$5, LS_previous!$D$2:$AY$2&amp;LS_previous!$D$3:$AY$3, 0)),SUM(VLOOKUP($A117, LS_previous!$B$4:$AY$137, LS_previous!X$148, FALSE), VLOOKUP('Staging Table'!$A117, LS_previous!$B$4:$AY$137,LS_previous!AV$148, FALSE))/2)</f>
        <v>-157.01370418090005</v>
      </c>
      <c r="AG117" s="102">
        <f t="array" ref="AG117">IF($G117=0, INDEX(LS_previous!$D$4:$AY$137, MATCH('Staging Table'!$A117, LS_previous!$B$4:$B$137, 0), MATCH(AG$4&amp;AG$5, LS_previous!$D$2:$AY$2&amp;LS_previous!$D$3:$AY$3, 0)),SUM(VLOOKUP($A117, LS_previous!$B$4:$AY$137, LS_previous!Y$148, FALSE), VLOOKUP('Staging Table'!$A117, LS_previous!$B$4:$AY$137,LS_previous!AW$148, FALSE))/2)</f>
        <v>-103.06936216410998</v>
      </c>
      <c r="AH117" s="102">
        <f t="array" ref="AH117">IF($G117=0, INDEX(LS_previous!$D$4:$AY$137, MATCH('Staging Table'!$A117, LS_previous!$B$4:$B$137, 0), MATCH(AH$4&amp;AH$5, LS_previous!$D$2:$AY$2&amp;LS_previous!$D$3:$AY$3, 0)),SUM(VLOOKUP($A117, LS_previous!$B$4:$AY$137, LS_previous!Z$148, FALSE), VLOOKUP('Staging Table'!$A117, LS_previous!$B$4:$AY$137,LS_previous!AX$148, FALSE))/2)</f>
        <v>-167.45893897240012</v>
      </c>
      <c r="AI117" s="102">
        <f t="array" ref="AI117">IF($G117=0, INDEX(LS_previous!$D$4:$AY$137, MATCH('Staging Table'!$A117, LS_previous!$B$4:$B$137, 0), MATCH(AI$4&amp;AI$5, LS_previous!$D$2:$AY$2&amp;LS_previous!$D$3:$AY$3, 0)),SUM(VLOOKUP($A117, LS_previous!$B$4:$AY$137, LS_previous!AA$148, FALSE), VLOOKUP('Staging Table'!$A117, LS_previous!$B$4:$AY$137,LS_previous!AY$148, FALSE))/2)</f>
        <v>-137.15679983040008</v>
      </c>
      <c r="AJ117" s="103">
        <f t="array" ref="AJ117">INDEX(Demand_previous!$D$4:$AY$137, MATCH('Staging Table'!$A117, Demand_previous!$B$4:$B$137, 0), MATCH(AJ$4&amp;AJ$5,Demand_previous!$D$2:$AY$2&amp;Demand_previous!$D$3:$AY$3, 0))/1000</f>
        <v>0</v>
      </c>
      <c r="AK117" s="103">
        <f t="array" ref="AK117">INDEX(Demand_previous!$D$4:$AY$137, MATCH('Staging Table'!$A117, Demand_previous!$B$4:$B$137, 0), MATCH(AK$4&amp;AK$5,Demand_previous!$D$2:$AY$2&amp;Demand_previous!$D$3:$AY$3, 0))/1000</f>
        <v>0.1856799999999996</v>
      </c>
      <c r="AL117" s="103">
        <f t="array" ref="AL117">INDEX(Demand_previous!$D$4:$AY$137, MATCH('Staging Table'!$A117, Demand_previous!$B$4:$B$137, 0), MATCH(AL$4&amp;AL$5,Demand_previous!$D$2:$AY$2&amp;Demand_previous!$D$3:$AY$3, 0))/1000</f>
        <v>0.66785749999999966</v>
      </c>
      <c r="AM117" s="103">
        <f t="array" ref="AM117">INDEX(Demand_previous!$D$4:$AY$137, MATCH('Staging Table'!$A117, Demand_previous!$B$4:$B$137, 0), MATCH(AM$4&amp;AM$5,Demand_previous!$D$2:$AY$2&amp;Demand_previous!$D$3:$AY$3, 0))/1000</f>
        <v>0.97125480769230721</v>
      </c>
      <c r="AN117" s="103">
        <f t="array" ref="AN117">INDEX(Demand_previous!$D$4:$AY$137, MATCH('Staging Table'!$A117, Demand_previous!$B$4:$B$137, 0), MATCH(AN$4&amp;AN$5,Demand_previous!$D$2:$AY$2&amp;Demand_previous!$D$3:$AY$3, 0))/1000</f>
        <v>0.74488749999999992</v>
      </c>
      <c r="AO117" s="103">
        <f t="array" ref="AO117">INDEX(Demand_previous!$D$4:$AY$137, MATCH('Staging Table'!$A117, Demand_previous!$B$4:$B$137, 0), MATCH(AO$4&amp;AO$5,Demand_previous!$D$2:$AY$2&amp;Demand_previous!$D$3:$AY$3, 0))/1000</f>
        <v>0.50744711538461551</v>
      </c>
      <c r="AP117" s="103">
        <f t="array" ref="AP117">INDEX(Demand_previous!$D$4:$AY$137, MATCH('Staging Table'!$A117, Demand_previous!$B$4:$B$137, 0), MATCH(AP$4&amp;AP$5,Demand_previous!$D$2:$AY$2&amp;Demand_previous!$D$3:$AY$3, 0))/1000</f>
        <v>0.59202163461538482</v>
      </c>
      <c r="AQ117" s="103">
        <f t="array" ref="AQ117">INDEX(Demand_previous!$D$4:$AY$137, MATCH('Staging Table'!$A117, Demand_previous!$B$4:$B$137, 0), MATCH(AQ$4&amp;AQ$5,Demand_previous!$D$2:$AY$2&amp;Demand_previous!$D$3:$AY$3, 0))/1000</f>
        <v>0.2594086538461538</v>
      </c>
      <c r="AR117" s="103">
        <f t="array" ref="AR117">INDEX(Demand_previous!$D$4:$AY$137, MATCH('Staging Table'!$A117, Demand_previous!$B$4:$B$137, 0), MATCH(AR$4&amp;AR$5,Demand_previous!$D$2:$AY$2&amp;Demand_previous!$D$3:$AY$3, 0))/1000</f>
        <v>0.3227525</v>
      </c>
      <c r="AS117" s="103">
        <f t="array" ref="AS117">INDEX(Demand_previous!$D$4:$AY$137, MATCH('Staging Table'!$A117, Demand_previous!$B$4:$B$137, 0), MATCH(AS$4&amp;AS$5,Demand_previous!$D$2:$AY$2&amp;Demand_previous!$D$3:$AY$3, 0))/1000</f>
        <v>0.40838461538461507</v>
      </c>
      <c r="AT117" s="103">
        <f t="array" ref="AT117">INDEX(Demand_previous!$D$4:$AY$137, MATCH('Staging Table'!$A117, Demand_previous!$B$4:$B$137, 0), MATCH(AT$4&amp;AT$5,Demand_previous!$D$2:$AY$2&amp;Demand_previous!$D$3:$AY$3, 0))/1000</f>
        <v>0.40712500000000007</v>
      </c>
      <c r="AU117" s="103">
        <f t="array" ref="AU117">INDEX(Demand_previous!$D$4:$AY$137, MATCH('Staging Table'!$A117, Demand_previous!$B$4:$B$137, 0), MATCH(AU$4&amp;AU$5,Demand_previous!$D$2:$AY$2&amp;Demand_previous!$D$3:$AY$3, 0))/1000</f>
        <v>0.49056249999999985</v>
      </c>
      <c r="AV117" s="102">
        <f>$F117*(VLOOKUP(AV$4, Rates_previous!$G$6:$Q$29, 10, FALSE)+VLOOKUP(AV$4, Rates_previous!$G$6:$Q$29, 11, FALSE))</f>
        <v>1234.4219806149001</v>
      </c>
      <c r="AW117" s="102">
        <f>$F117*(VLOOKUP(AW$4, Rates_previous!$G$6:$Q$29, 10, FALSE)+VLOOKUP(AW$4, Rates_previous!$G$6:$Q$29, 11, FALSE))</f>
        <v>1574.2950796034004</v>
      </c>
      <c r="AX117" s="102">
        <f>$F117*(VLOOKUP(AX$4, Rates_previous!$G$6:$Q$29, 10, FALSE)+VLOOKUP(AX$4, Rates_previous!$G$6:$Q$29, 11, FALSE))</f>
        <v>1698.9758826810003</v>
      </c>
      <c r="AY117" s="102">
        <f>$F117*(VLOOKUP(AY$4, Rates_previous!$G$6:$Q$29, 10, FALSE)+VLOOKUP(AY$4, Rates_previous!$G$6:$Q$29, 11, FALSE))</f>
        <v>1765.4985830944001</v>
      </c>
      <c r="AZ117" s="102">
        <f>$F117*(VLOOKUP(AZ$4, Rates_previous!$G$6:$Q$29, 10, FALSE)+VLOOKUP(AZ$4, Rates_previous!$G$6:$Q$29, 11, FALSE))</f>
        <v>1518.5641073987999</v>
      </c>
      <c r="BA117" s="102">
        <f>$F117*(VLOOKUP(BA$4, Rates_previous!$G$6:$Q$29, 10, FALSE)+VLOOKUP(BA$4, Rates_previous!$G$6:$Q$29, 11, FALSE))</f>
        <v>1657.9713447066001</v>
      </c>
      <c r="BB117" s="102">
        <f>$F117*(VLOOKUP(BB$4, Rates_previous!$G$6:$Q$29, 10, FALSE)+VLOOKUP(BB$4, Rates_previous!$G$6:$Q$29, 11, FALSE))</f>
        <v>1308.6889746045499</v>
      </c>
      <c r="BC117" s="102">
        <f>$F117*(VLOOKUP(BC$4, Rates_previous!$G$6:$Q$29, 10, FALSE)+VLOOKUP(BC$4, Rates_previous!$G$6:$Q$29, 11, FALSE))</f>
        <v>1623.6040455019001</v>
      </c>
      <c r="BD117" s="102">
        <f>$F117*(VLOOKUP(BD$4, Rates_previous!$G$6:$Q$29, 10, FALSE)+VLOOKUP(BD$4, Rates_previous!$G$6:$Q$29, 11, FALSE))</f>
        <v>1658.8322000942999</v>
      </c>
      <c r="BE117" s="102">
        <f>$F117*(VLOOKUP(BE$4, Rates_previous!$G$6:$Q$29, 10, FALSE)+VLOOKUP(BE$4, Rates_previous!$G$6:$Q$29, 11, FALSE))</f>
        <v>1440.1053349529</v>
      </c>
      <c r="BF117" s="102">
        <f>$F117*(VLOOKUP(BF$4, Rates_previous!$G$6:$Q$29, 10, FALSE)+VLOOKUP(BF$4, Rates_previous!$G$6:$Q$29, 11, FALSE))</f>
        <v>1392.1990663450101</v>
      </c>
      <c r="BG117" s="102">
        <f>$F117*(VLOOKUP(BG$4, Rates_previous!$G$6:$Q$29, 10, FALSE)+VLOOKUP(BG$4, Rates_previous!$G$6:$Q$29, 11, FALSE))</f>
        <v>1281.0927388028001</v>
      </c>
      <c r="BH117" s="103">
        <f>IF($D117=0,IF(C117=0, MAX(BJ117 - (VLOOKUP($A117,TOCA_previous!$A$2:$AJ$136,MATCH("RHWM "&amp;Init!$D$1-2,TOCA_previous!$A$2:$AJ$2,0),FALSE)*$F$2*TOCA_previous!C114),0),0), 0)</f>
        <v>231.4230832154426</v>
      </c>
      <c r="BI117" s="109">
        <f>MIN(VLOOKUP($A117,TOCA_previous!$A$2:$AJ$136,MATCH("TRL - NLSL - Existing Resource "&amp;$F$1,TOCA_previous!$A$2:$AJ$2,0),FALSE)*$F$2,(VLOOKUP($A117,TOCA_previous!$A$2:$AJ$136,MATCH("RHWM "&amp;Init!$D$1-2,TOCA_previous!$A$2:$AJ$2,0),FALSE)*$F$2))</f>
        <v>17752.464</v>
      </c>
      <c r="BJ117" s="261">
        <f>SUM(L117:AI117)+(F117*RT1SC!$C$3*$F$2)</f>
        <v>17983.887083215443</v>
      </c>
      <c r="BK117" s="260">
        <f>VLOOKUP($A117,TOCA_previous!$A$2:$AJ$136,MATCH("Above RHWM Not Served with LS "&amp;$F$1,TOCA_previous!$A$2:$AJ$2,0),FALSE)*$F$2</f>
        <v>0</v>
      </c>
      <c r="BL117" s="261">
        <f t="shared" si="36"/>
        <v>231.4230832154426</v>
      </c>
      <c r="BM117" s="260">
        <f>(VLOOKUP($A117,TOCA_previous!$A$2:$AJ$136,MATCH("RHWM "&amp;Init!$D$1-2,TOCA_previous!$A$2:$AJ$2,0),FALSE)*$F$2) - $BI117</f>
        <v>0</v>
      </c>
      <c r="BN117" s="261">
        <f t="shared" si="37"/>
        <v>0</v>
      </c>
      <c r="BO117" s="260">
        <f t="shared" si="38"/>
        <v>0</v>
      </c>
      <c r="BP117" s="261">
        <f t="shared" si="39"/>
        <v>0</v>
      </c>
      <c r="BQ117" s="260">
        <f t="shared" si="9"/>
        <v>0</v>
      </c>
      <c r="BR117" s="85">
        <f>VLOOKUP($A117,TOCA_current!$A$2:$ZZ$136,MATCH(BR$4,TOCA_current!$A$2:$ZZ$2,0),FALSE)</f>
        <v>2.8600000000000001E-4</v>
      </c>
      <c r="BS117" s="85">
        <f>VLOOKUP($A117,TOCA_current!$A$2:$ZZ$136,MATCH(BS$4,TOCA_current!$A$2:$ZZ$2,0),FALSE)</f>
        <v>2.8600000000000001E-4</v>
      </c>
      <c r="BT117" s="108">
        <f t="shared" si="40"/>
        <v>0</v>
      </c>
      <c r="BU117" s="85">
        <f>VLOOKUP($A117,TOCA_current!A114:BG248,MATCH(BU$4,TOCA_current!$A$2:$BG$2,0),FALSE)</f>
        <v>0</v>
      </c>
      <c r="BV117" s="85">
        <f t="shared" si="41"/>
        <v>0</v>
      </c>
      <c r="BW117" s="85">
        <f t="shared" si="42"/>
        <v>0</v>
      </c>
      <c r="BX117" s="101">
        <f>VLOOKUP($A117,IRD!$A$4:$G$138, 7, FALSE)</f>
        <v>0</v>
      </c>
      <c r="BY117" s="102">
        <f t="array" ref="BY117">IF($BT117=0, INDEX(LS_current!$D$4:$BW$137, MATCH('Staging Table'!$A117, LS_current!$B$4:$B$137, 0), MATCH(BY$4&amp;BY$5, LS_current!$D$2:$BW$2&amp;LS_current!$D$3:$BW$3, 0)),SUM(VLOOKUP($A117, LS_current!$B$4:$BW$137, LS_current!D$147, FALSE), VLOOKUP($A117, LS_current!$B$4:$BW$137,LS_current!AZ$147, FALSE))/2)</f>
        <v>18.746778419930251</v>
      </c>
      <c r="BZ117" s="102">
        <f t="array" ref="BZ117">IF($BT117=0, INDEX(LS_current!$D$4:$BW$137, MATCH('Staging Table'!$A117, LS_current!$B$4:$B$137, 0), MATCH(BZ$4&amp;BZ$5, LS_current!$D$2:$BW$2&amp;LS_current!$D$3:$BW$3, 0)),SUM(VLOOKUP($A117, LS_current!$B$4:$BW$137, LS_current!E$147, FALSE), VLOOKUP($A117, LS_current!$B$4:$BW$137,LS_current!BA$147, FALSE))/2)</f>
        <v>8.4529654983314231</v>
      </c>
      <c r="CA117" s="102">
        <f t="array" ref="CA117">IF($BT117=0, INDEX(LS_current!$D$4:$BW$137, MATCH('Staging Table'!$A117, LS_current!$B$4:$B$137, 0), MATCH(CA$4&amp;CA$5, LS_current!$D$2:$BW$2&amp;LS_current!$D$3:$BW$3, 0)),SUM(VLOOKUP($A117, LS_current!$B$4:$BW$137, LS_current!F$147, FALSE), VLOOKUP($A117, LS_current!$B$4:$BW$137,LS_current!BB$147, FALSE))/2)</f>
        <v>75.726627373784481</v>
      </c>
      <c r="CB117" s="102">
        <f t="array" ref="CB117">IF($BT117=0, INDEX(LS_current!$D$4:$BW$137, MATCH('Staging Table'!$A117, LS_current!$B$4:$B$137, 0), MATCH(CB$4&amp;CB$5, LS_current!$D$2:$BW$2&amp;LS_current!$D$3:$BW$3, 0)),SUM(VLOOKUP($A117, LS_current!$B$4:$BW$137, LS_current!G$147, FALSE), VLOOKUP($A117, LS_current!$B$4:$BW$137,LS_current!BC$147, FALSE))/2)</f>
        <v>108.89562428067632</v>
      </c>
      <c r="CC117" s="102">
        <f t="array" ref="CC117">IF($BT117=0, INDEX(LS_current!$D$4:$BW$137, MATCH('Staging Table'!$A117, LS_current!$B$4:$B$137, 0), MATCH(CC$4&amp;CC$5, LS_current!$D$2:$BW$2&amp;LS_current!$D$3:$BW$3, 0)),SUM(VLOOKUP($A117, LS_current!$B$4:$BW$137, LS_current!H$147, FALSE), VLOOKUP($A117, LS_current!$B$4:$BW$137,LS_current!BD$147, FALSE))/2)</f>
        <v>330.92402134649205</v>
      </c>
      <c r="CD117" s="102">
        <f t="array" ref="CD117">IF($BT117=0, INDEX(LS_current!$D$4:$BW$137, MATCH('Staging Table'!$A117, LS_current!$B$4:$B$137, 0), MATCH(CD$4&amp;CD$5, LS_current!$D$2:$BW$2&amp;LS_current!$D$3:$BW$3, 0)),SUM(VLOOKUP($A117, LS_current!$B$4:$BW$137, LS_current!I$147, FALSE), VLOOKUP($A117, LS_current!$B$4:$BW$137,LS_current!BE$147, FALSE))/2)</f>
        <v>417.96321934596176</v>
      </c>
      <c r="CE117" s="102">
        <f t="array" ref="CE117">IF($BT117=0, INDEX(LS_current!$D$4:$BW$137, MATCH('Staging Table'!$A117, LS_current!$B$4:$B$137, 0), MATCH(CE$4&amp;CE$5, LS_current!$D$2:$BW$2&amp;LS_current!$D$3:$BW$3, 0)),SUM(VLOOKUP($A117, LS_current!$B$4:$BW$137, LS_current!J$147, FALSE), VLOOKUP($A117, LS_current!$B$4:$BW$137,LS_current!BF$147, FALSE))/2)</f>
        <v>231.15770337688423</v>
      </c>
      <c r="CF117" s="102">
        <f t="array" ref="CF117">IF($BT117=0, INDEX(LS_current!$D$4:$BW$137, MATCH('Staging Table'!$A117, LS_current!$B$4:$B$137, 0), MATCH(CF$4&amp;CF$5, LS_current!$D$2:$BW$2&amp;LS_current!$D$3:$BW$3, 0)),SUM(VLOOKUP($A117, LS_current!$B$4:$BW$137, LS_current!K$147, FALSE), VLOOKUP($A117, LS_current!$B$4:$BW$137,LS_current!BG$147, FALSE))/2)</f>
        <v>322.73587128010502</v>
      </c>
      <c r="CG117" s="102">
        <f t="array" ref="CG117">IF($BT117=0, INDEX(LS_current!$D$4:$BW$137, MATCH('Staging Table'!$A117, LS_current!$B$4:$B$137, 0), MATCH(CG$4&amp;CG$5, LS_current!$D$2:$BW$2&amp;LS_current!$D$3:$BW$3, 0)),SUM(VLOOKUP($A117, LS_current!$B$4:$BW$137, LS_current!L$147, FALSE), VLOOKUP($A117, LS_current!$B$4:$BW$137,LS_current!BH$147, FALSE))/2)</f>
        <v>220.53971394838936</v>
      </c>
      <c r="CH117" s="102">
        <f t="array" ref="CH117">IF($BT117=0, INDEX(LS_current!$D$4:$BW$137, MATCH('Staging Table'!$A117, LS_current!$B$4:$B$137, 0), MATCH(CH$4&amp;CH$5, LS_current!$D$2:$BW$2&amp;LS_current!$D$3:$BW$3, 0)),SUM(VLOOKUP($A117, LS_current!$B$4:$BW$137, LS_current!M$147, FALSE), VLOOKUP($A117, LS_current!$B$4:$BW$137,LS_current!BI$147, FALSE))/2)</f>
        <v>259.51838489025261</v>
      </c>
      <c r="CI117" s="102">
        <f t="array" ref="CI117">IF($BT117=0, INDEX(LS_current!$D$4:$BW$137, MATCH('Staging Table'!$A117, LS_current!$B$4:$B$137, 0), MATCH(CI$4&amp;CI$5, LS_current!$D$2:$BW$2&amp;LS_current!$D$3:$BW$3, 0)),SUM(VLOOKUP($A117, LS_current!$B$4:$BW$137, LS_current!N$147, FALSE), VLOOKUP($A117, LS_current!$B$4:$BW$137,LS_current!BJ$147, FALSE))/2)</f>
        <v>-14.442143949912634</v>
      </c>
      <c r="CJ117" s="102">
        <f t="array" ref="CJ117">IF($BT117=0, INDEX(LS_current!$D$4:$BW$137, MATCH('Staging Table'!$A117, LS_current!$B$4:$B$137, 0), MATCH(CJ$4&amp;CJ$5, LS_current!$D$2:$BW$2&amp;LS_current!$D$3:$BW$3, 0)),SUM(VLOOKUP($A117, LS_current!$B$4:$BW$137, LS_current!O$147, FALSE), VLOOKUP($A117, LS_current!$B$4:$BW$137,LS_current!BK$147, FALSE))/2)</f>
        <v>135.37295320441183</v>
      </c>
      <c r="CK117" s="102">
        <f t="array" ref="CK117">IF($BT117=0, INDEX(LS_current!$D$4:$BW$137, MATCH('Staging Table'!$A117, LS_current!$B$4:$B$137, 0), MATCH(CK$4&amp;CK$5, LS_current!$D$2:$BW$2&amp;LS_current!$D$3:$BW$3, 0)),SUM(VLOOKUP($A117, LS_current!$B$4:$BW$137, LS_current!P$147, FALSE), VLOOKUP($A117, LS_current!$B$4:$BW$137,LS_current!BL$147, FALSE))/2)</f>
        <v>32.827582176683677</v>
      </c>
      <c r="CL117" s="102">
        <f t="array" ref="CL117">IF($BT117=0, INDEX(LS_current!$D$4:$BW$137, MATCH('Staging Table'!$A117, LS_current!$B$4:$B$137, 0), MATCH(CL$4&amp;CL$5, LS_current!$D$2:$BW$2&amp;LS_current!$D$3:$BW$3, 0)),SUM(VLOOKUP($A117, LS_current!$B$4:$BW$137, LS_current!Q$147, FALSE), VLOOKUP($A117, LS_current!$B$4:$BW$137,LS_current!BM$147, FALSE))/2)</f>
        <v>36.729967975178624</v>
      </c>
      <c r="CM117" s="102">
        <f t="array" ref="CM117">IF($BT117=0, INDEX(LS_current!$D$4:$BW$137, MATCH('Staging Table'!$A117, LS_current!$B$4:$B$137, 0), MATCH(CM$4&amp;CM$5, LS_current!$D$2:$BW$2&amp;LS_current!$D$3:$BW$3, 0)),SUM(VLOOKUP($A117, LS_current!$B$4:$BW$137, LS_current!R$147, FALSE), VLOOKUP($A117, LS_current!$B$4:$BW$137,LS_current!BN$147, FALSE))/2)</f>
        <v>-364.26973097810776</v>
      </c>
      <c r="CN117" s="102">
        <f t="array" ref="CN117">IF($BT117=0, INDEX(LS_current!$D$4:$BW$137, MATCH('Staging Table'!$A117, LS_current!$B$4:$B$137, 0), MATCH(CN$4&amp;CN$5, LS_current!$D$2:$BW$2&amp;LS_current!$D$3:$BW$3, 0)),SUM(VLOOKUP($A117, LS_current!$B$4:$BW$137, LS_current!S$147, FALSE), VLOOKUP($A117, LS_current!$B$4:$BW$137,LS_current!BO$147, FALSE))/2)</f>
        <v>-247.55809302938007</v>
      </c>
      <c r="CO117" s="102">
        <f t="array" ref="CO117">IF($BT117=0, INDEX(LS_current!$D$4:$BW$137, MATCH('Staging Table'!$A117, LS_current!$B$4:$B$137, 0), MATCH(CO$4&amp;CO$5, LS_current!$D$2:$BW$2&amp;LS_current!$D$3:$BW$3, 0)),SUM(VLOOKUP($A117, LS_current!$B$4:$BW$137, LS_current!T$147, FALSE), VLOOKUP($A117, LS_current!$B$4:$BW$137,LS_current!BP$147, FALSE))/2)</f>
        <v>-413.88471337510975</v>
      </c>
      <c r="CP117" s="102">
        <f t="array" ref="CP117">IF($BT117=0, INDEX(LS_current!$D$4:$BW$137, MATCH('Staging Table'!$A117, LS_current!$B$4:$B$137, 0), MATCH(CP$4&amp;CP$5, LS_current!$D$2:$BW$2&amp;LS_current!$D$3:$BW$3, 0)),SUM(VLOOKUP($A117, LS_current!$B$4:$BW$137, LS_current!U$147, FALSE), VLOOKUP($A117, LS_current!$B$4:$BW$137,LS_current!BQ$147, FALSE))/2)</f>
        <v>-200.83855599282742</v>
      </c>
      <c r="CQ117" s="102">
        <f t="array" ref="CQ117">IF($BT117=0, INDEX(LS_current!$D$4:$BW$137, MATCH('Staging Table'!$A117, LS_current!$B$4:$B$137, 0), MATCH(CQ$4&amp;CQ$5, LS_current!$D$2:$BW$2&amp;LS_current!$D$3:$BW$3, 0)),SUM(VLOOKUP($A117, LS_current!$B$4:$BW$137, LS_current!V$147, FALSE), VLOOKUP($A117, LS_current!$B$4:$BW$137,LS_current!BR$147, FALSE))/2)</f>
        <v>-182.17073437428314</v>
      </c>
      <c r="CR117" s="102">
        <f t="array" ref="CR117">IF($BT117=0, INDEX(LS_current!$D$4:$BW$137, MATCH('Staging Table'!$A117, LS_current!$B$4:$B$137, 0), MATCH(CR$4&amp;CR$5, LS_current!$D$2:$BW$2&amp;LS_current!$D$3:$BW$3, 0)),SUM(VLOOKUP($A117, LS_current!$B$4:$BW$137, LS_current!W$147, FALSE), VLOOKUP($A117, LS_current!$B$4:$BW$137,LS_current!BS$147, FALSE))/2)</f>
        <v>-77.838603293781432</v>
      </c>
      <c r="CS117" s="102">
        <f t="array" ref="CS117">IF($BT117=0, INDEX(LS_current!$D$4:$BW$137, MATCH('Staging Table'!$A117, LS_current!$B$4:$B$137, 0), MATCH(CS$4&amp;CS$5, LS_current!$D$2:$BW$2&amp;LS_current!$D$3:$BW$3, 0)),SUM(VLOOKUP($A117, LS_current!$B$4:$BW$137, LS_current!X$147, FALSE), VLOOKUP($A117, LS_current!$B$4:$BW$137,LS_current!BT$147, FALSE))/2)</f>
        <v>-259.83747345132269</v>
      </c>
      <c r="CT117" s="102">
        <f t="array" ref="CT117">IF($BT117=0, INDEX(LS_current!$D$4:$BW$137, MATCH('Staging Table'!$A117, LS_current!$B$4:$B$137, 0), MATCH(CT$4&amp;CT$5, LS_current!$D$2:$BW$2&amp;LS_current!$D$3:$BW$3, 0)),SUM(VLOOKUP($A117, LS_current!$B$4:$BW$137, LS_current!Y$147, FALSE), VLOOKUP($A117, LS_current!$B$4:$BW$137,LS_current!BU$147, FALSE))/2)</f>
        <v>-91.35819469939122</v>
      </c>
      <c r="CU117" s="102">
        <f t="array" ref="CU117">IF($BT117=0, INDEX(LS_current!$D$4:$BW$137, MATCH('Staging Table'!$A117, LS_current!$B$4:$B$137, 0), MATCH(CU$4&amp;CU$5, LS_current!$D$2:$BW$2&amp;LS_current!$D$3:$BW$3, 0)),SUM(VLOOKUP($A117, LS_current!$B$4:$BW$137, LS_current!Z$147, FALSE), VLOOKUP($A117, LS_current!$B$4:$BW$137,LS_current!BV$147, FALSE))/2)</f>
        <v>-119.34272462071169</v>
      </c>
      <c r="CV117" s="102">
        <f t="array" ref="CV117">IF($BT117=0, INDEX(LS_current!$D$4:$BW$137, MATCH('Staging Table'!$A117, LS_current!$B$4:$B$137, 0), MATCH(CV$4&amp;CV$5, LS_current!$D$2:$BW$2&amp;LS_current!$D$3:$BW$3, 0)),SUM(VLOOKUP($A117, LS_current!$B$4:$BW$137, LS_current!AA$147, FALSE), VLOOKUP($A117, LS_current!$B$4:$BW$137,LS_current!BW$147, FALSE))/2)</f>
        <v>-56.149592634723149</v>
      </c>
      <c r="CW117" s="103">
        <f t="array" ref="CW117">INDEX(Demand_current!$D$4:$BW$137, MATCH($A117, Demand_current!$B$4:$B$137, 0), MATCH(CW$4&amp;CW$5,Demand_current!$D$2:$BW$2&amp;Demand_current!$D$3:$BW$3, 0))/1000</f>
        <v>6.4548611111110987E-2</v>
      </c>
      <c r="CX117" s="103">
        <f t="array" ref="CX117">INDEX(Demand_current!$D$4:$BW$137, MATCH($A117, Demand_current!$B$4:$B$137, 0), MATCH(CX$4&amp;CX$5,Demand_current!$D$2:$BW$2&amp;Demand_current!$D$3:$BW$3, 0))/1000</f>
        <v>8.229166666666643E-2</v>
      </c>
      <c r="CY117" s="103">
        <f t="array" ref="CY117">INDEX(Demand_current!$D$4:$BW$137, MATCH($A117, Demand_current!$B$4:$B$137, 0), MATCH(CY$4&amp;CY$5,Demand_current!$D$2:$BW$2&amp;Demand_current!$D$3:$BW$3, 0))/1000</f>
        <v>0.80601682692307663</v>
      </c>
      <c r="CZ117" s="103">
        <f t="array" ref="CZ117">INDEX(Demand_current!$D$4:$BW$137, MATCH($A117, Demand_current!$B$4:$B$137, 0), MATCH(CZ$4&amp;CZ$5,Demand_current!$D$2:$BW$2&amp;Demand_current!$D$3:$BW$3, 0))/1000</f>
        <v>0.97125480769230721</v>
      </c>
      <c r="DA117" s="103">
        <f t="array" ref="DA117">INDEX(Demand_current!$D$4:$BW$137, MATCH($A117, Demand_current!$B$4:$B$137, 0), MATCH(DA$4&amp;DA$5,Demand_current!$D$2:$BW$2&amp;Demand_current!$D$3:$BW$3, 0))/1000</f>
        <v>0.62575781250000029</v>
      </c>
      <c r="DB117" s="103">
        <f t="array" ref="DB117">INDEX(Demand_current!$D$4:$BW$137, MATCH($A117, Demand_current!$B$4:$B$137, 0), MATCH(DB$4&amp;DB$5,Demand_current!$D$2:$BW$2&amp;Demand_current!$D$3:$BW$3, 0))/1000</f>
        <v>0.50744711538461551</v>
      </c>
      <c r="DC117" s="103">
        <f t="array" ref="DC117">INDEX(Demand_current!$D$4:$BW$137, MATCH($A117, Demand_current!$B$4:$B$137, 0), MATCH(DC$4&amp;DC$5,Demand_current!$D$2:$BW$2&amp;Demand_current!$D$3:$BW$3, 0))/1000</f>
        <v>0.59202163461538482</v>
      </c>
      <c r="DD117" s="103">
        <f t="array" ref="DD117">INDEX(Demand_current!$D$4:$BW$137, MATCH($A117, Demand_current!$B$4:$B$137, 0), MATCH(DD$4&amp;DD$5,Demand_current!$D$2:$BW$2&amp;Demand_current!$D$3:$BW$3, 0))/1000</f>
        <v>0.20182499999999998</v>
      </c>
      <c r="DE117" s="103">
        <f t="array" ref="DE117">INDEX(Demand_current!$D$4:$BW$137, MATCH($A117, Demand_current!$B$4:$B$137, 0), MATCH(DE$4&amp;DE$5,Demand_current!$D$2:$BW$2&amp;Demand_current!$D$3:$BW$3, 0))/1000</f>
        <v>0.38476201923076925</v>
      </c>
      <c r="DF117" s="103">
        <f t="array" ref="DF117">INDEX(Demand_current!$D$4:$BW$137, MATCH($A117, Demand_current!$B$4:$B$137, 0), MATCH(DF$4&amp;DF$5,Demand_current!$D$2:$BW$2&amp;Demand_current!$D$3:$BW$3, 0))/1000</f>
        <v>0.40838461538461507</v>
      </c>
      <c r="DG117" s="103">
        <f t="array" ref="DG117">INDEX(Demand_current!$D$4:$BW$137, MATCH($A117, Demand_current!$B$4:$B$137, 0), MATCH(DG$4&amp;DG$5,Demand_current!$D$2:$BW$2&amp;Demand_current!$D$3:$BW$3, 0))/1000</f>
        <v>0.34247596153846172</v>
      </c>
      <c r="DH117" s="103">
        <f t="array" ref="DH117">INDEX(Demand_current!$D$4:$BW$137, MATCH($A117, Demand_current!$B$4:$B$137, 0), MATCH(DH$4&amp;DH$5,Demand_current!$D$2:$BW$2&amp;Demand_current!$D$3:$BW$3, 0))/1000</f>
        <v>0.55281999999999987</v>
      </c>
      <c r="DI117" s="102">
        <f>$BS117*(VLOOKUP(DI$4, Rates_current!$H$6:$R$41, 10, FALSE)+VLOOKUP(DI$4, Rates_current!$H$6:$R$41, 11, FALSE))</f>
        <v>1186.9822560817383</v>
      </c>
      <c r="DJ117" s="102">
        <f>$BS117*(VLOOKUP(DJ$4, Rates_current!$H$6:$R$41, 10, FALSE)+VLOOKUP(DJ$4, Rates_current!$H$6:$R$41, 11, FALSE))</f>
        <v>1517.5177483455393</v>
      </c>
      <c r="DK117" s="102">
        <f>$BS117*(VLOOKUP(DK$4, Rates_current!$H$6:$R$41, 10, FALSE)+VLOOKUP(DK$4, Rates_current!$H$6:$R$41, 11, FALSE))</f>
        <v>1725.2907593075458</v>
      </c>
      <c r="DL117" s="102">
        <f>$BS117*(VLOOKUP(DL$4, Rates_current!$H$6:$R$41, 10, FALSE)+VLOOKUP(DL$4, Rates_current!$H$6:$R$41, 11, FALSE))</f>
        <v>1820.3164253430109</v>
      </c>
      <c r="DM117" s="102">
        <f>$BS117*(VLOOKUP(DM$4, Rates_current!$H$6:$R$41, 10, FALSE)+VLOOKUP(DM$4, Rates_current!$H$6:$R$41, 11, FALSE))</f>
        <v>1450.6279011613583</v>
      </c>
      <c r="DN117" s="102">
        <f>$BS117*(VLOOKUP(DN$4, Rates_current!$H$6:$R$41, 10, FALSE)+VLOOKUP(DN$4, Rates_current!$H$6:$R$41, 11, FALSE))</f>
        <v>1585.8341907455008</v>
      </c>
      <c r="DO117" s="102">
        <f>$BS117*(VLOOKUP(DO$4, Rates_current!$H$6:$R$41, 10, FALSE)+VLOOKUP(DO$4, Rates_current!$H$6:$R$41, 11, FALSE))</f>
        <v>1229.0374498481378</v>
      </c>
      <c r="DP117" s="102">
        <f>$BS117*(VLOOKUP(DP$4, Rates_current!$H$6:$R$41, 10, FALSE)+VLOOKUP(DP$4, Rates_current!$H$6:$R$41, 11, FALSE))</f>
        <v>1590.5768240074876</v>
      </c>
      <c r="DQ117" s="102">
        <f>$BS117*(VLOOKUP(DQ$4, Rates_current!$H$6:$R$41, 10, FALSE)+VLOOKUP(DQ$4, Rates_current!$H$6:$R$41, 11, FALSE))</f>
        <v>1624.5402693679373</v>
      </c>
      <c r="DR117" s="102">
        <f>$BS117*(VLOOKUP(DR$4, Rates_current!$H$6:$R$41, 10, FALSE)+VLOOKUP(DR$4, Rates_current!$H$6:$R$41, 11, FALSE))</f>
        <v>1445.9813376680645</v>
      </c>
      <c r="DS117" s="102">
        <f>$BS117*(VLOOKUP(DS$4, Rates_current!$H$6:$R$41, 10, FALSE)+VLOOKUP(DS$4, Rates_current!$H$6:$R$41, 11, FALSE))</f>
        <v>1483.311668150714</v>
      </c>
      <c r="DT117" s="102">
        <f>$BS117*(VLOOKUP(DT$4, Rates_current!$H$6:$R$41, 10, FALSE)+VLOOKUP(DT$4, Rates_current!$H$6:$R$41, 11, FALSE))</f>
        <v>1151.969317255435</v>
      </c>
      <c r="DU117" s="261">
        <f>IF(D117=0,IF(C117=0,MAX(0,DW117 - (VLOOKUP($A117,TOCA_current!$A$2:$AV$136,MATCH("RHWM "&amp;Init!$D$1,TOCA_current!$A$2:$AV$2,0),FALSE)*$BS$2)), 0),0)</f>
        <v>174.80805143753605</v>
      </c>
      <c r="DV117" s="262">
        <f>MIN(VLOOKUP($A117,TOCA_current!$A$2:$AV$136,MATCH("TRL - NLSL - Existing Resource "&amp;$BS$1,TOCA_current!$A$2:$AV$2,0),FALSE)*$BS$2, VLOOKUP($A117,TOCA_current!$A$2:$AV$136,MATCH("RHWM "&amp;Init!$D$1,TOCA_current!$A$2:$AV$2,0),FALSE)*$BS$2)</f>
        <v>17809.079999999998</v>
      </c>
      <c r="DW117" s="262">
        <f>SUM(BY117:CV117)+(BS117*RT1SC!$C$4*$BS$2)</f>
        <v>17983.888051437534</v>
      </c>
      <c r="DX117" s="262">
        <f>VLOOKUP($A117,TOCA_current!$A$2:$AV$136,MATCH("Above RHWM Not Served with LS "&amp;$BS$1,TOCA_current!$A$2:$AV$2,0),FALSE)*$BS$2</f>
        <v>0</v>
      </c>
      <c r="DY117" s="262">
        <f t="shared" si="43"/>
        <v>174.80805143753605</v>
      </c>
      <c r="DZ117" s="262">
        <f>(VLOOKUP($A117,TOCA_current!$A$2:$AV$136,MATCH("RHWM "&amp;Init!$D$1,TOCA_current!$A$2:$AV$2,0),FALSE)*$BS$2) - $DV117</f>
        <v>0</v>
      </c>
      <c r="EA117" s="262">
        <f t="shared" si="44"/>
        <v>0</v>
      </c>
      <c r="EB117" s="262">
        <f t="shared" si="45"/>
        <v>0</v>
      </c>
      <c r="EC117" s="262">
        <f t="shared" si="46"/>
        <v>0</v>
      </c>
      <c r="ED117" s="262">
        <f t="shared" si="47"/>
        <v>0</v>
      </c>
    </row>
    <row r="118" spans="1:134">
      <c r="A118" s="2">
        <v>10379</v>
      </c>
      <c r="B118" s="3" t="s">
        <v>120</v>
      </c>
      <c r="C118">
        <f>VLOOKUP(A118, TOCA_current!$A$3:$D$136, 4, FALSE)</f>
        <v>0</v>
      </c>
      <c r="D118">
        <v>0</v>
      </c>
      <c r="E118" s="84">
        <f>VLOOKUP($A118,TOCA_previous!$A$2:$AJ$136,MATCH(E$4,TOCA_previous!$A$2:$AJ$2,0),FALSE)</f>
        <v>6.6450000000000005E-4</v>
      </c>
      <c r="F118" s="85">
        <f>VLOOKUP($A118,TOCA_previous!$A$2:$AJ$136,MATCH(F$4,TOCA_previous!$A$2:$AJ$2,0),FALSE)</f>
        <v>6.6450000000000005E-4</v>
      </c>
      <c r="G118" s="85">
        <f t="shared" si="33"/>
        <v>0</v>
      </c>
      <c r="H118" s="85">
        <f>VLOOKUP($A118,TOCA_previous!$A$2:$AJ$136,MATCH(H$4,TOCA_previous!$A$2:$AJ$2,0),FALSE)</f>
        <v>0</v>
      </c>
      <c r="I118" s="85">
        <f t="shared" si="34"/>
        <v>0</v>
      </c>
      <c r="J118" s="85">
        <f t="shared" si="35"/>
        <v>0</v>
      </c>
      <c r="K118" s="101">
        <f>VLOOKUP(A118, IRD!$A$5:$C$138, 3, FALSE)</f>
        <v>0</v>
      </c>
      <c r="L118" s="102">
        <f t="array" ref="L118">IF($G118=0, INDEX(LS_previous!$D$4:$AY$137, MATCH('Staging Table'!$A118, LS_previous!$B$4:$B$137, 0), MATCH(L$4&amp;L$5, LS_previous!$D$2:$AY$2&amp;LS_previous!$D$3:$AY$3, 0)),SUM(VLOOKUP($A118, LS_previous!$B$4:$AY$137, LS_previous!D$148, FALSE), VLOOKUP('Staging Table'!$A118, LS_previous!$B$4:$AY$137,LS_previous!AB$148, FALSE))/2)</f>
        <v>313.34493807799959</v>
      </c>
      <c r="M118" s="102">
        <f t="array" ref="M118">IF($G118=0, INDEX(LS_previous!$D$4:$AY$137, MATCH('Staging Table'!$A118, LS_previous!$B$4:$B$137, 0), MATCH(M$4&amp;M$5, LS_previous!$D$2:$AY$2&amp;LS_previous!$D$3:$AY$3, 0)),SUM(VLOOKUP($A118, LS_previous!$B$4:$AY$137, LS_previous!E$148, FALSE), VLOOKUP('Staging Table'!$A118, LS_previous!$B$4:$AY$137,LS_previous!AC$148, FALSE))/2)</f>
        <v>94.702962405249991</v>
      </c>
      <c r="N118" s="102">
        <f t="array" ref="N118">IF($G118=0, INDEX(LS_previous!$D$4:$AY$137, MATCH('Staging Table'!$A118, LS_previous!$B$4:$B$137, 0), MATCH(N$4&amp;N$5, LS_previous!$D$2:$AY$2&amp;LS_previous!$D$3:$AY$3, 0)),SUM(VLOOKUP($A118, LS_previous!$B$4:$AY$137, LS_previous!F$148, FALSE), VLOOKUP('Staging Table'!$A118, LS_previous!$B$4:$AY$137,LS_previous!AD$148, FALSE))/2)</f>
        <v>217.55317054399939</v>
      </c>
      <c r="O118" s="102">
        <f t="array" ref="O118">IF($G118=0, INDEX(LS_previous!$D$4:$AY$137, MATCH('Staging Table'!$A118, LS_previous!$B$4:$B$137, 0), MATCH(O$4&amp;O$5, LS_previous!$D$2:$AY$2&amp;LS_previous!$D$3:$AY$3, 0)),SUM(VLOOKUP($A118, LS_previous!$B$4:$AY$137, LS_previous!G$148, FALSE), VLOOKUP('Staging Table'!$A118, LS_previous!$B$4:$AY$137,LS_previous!AE$148, FALSE))/2)</f>
        <v>236.78964970049969</v>
      </c>
      <c r="P118" s="102">
        <f t="array" ref="P118">IF($G118=0, INDEX(LS_previous!$D$4:$AY$137, MATCH('Staging Table'!$A118, LS_previous!$B$4:$B$137, 0), MATCH(P$4&amp;P$5, LS_previous!$D$2:$AY$2&amp;LS_previous!$D$3:$AY$3, 0)),SUM(VLOOKUP($A118, LS_previous!$B$4:$AY$137, LS_previous!H$148, FALSE), VLOOKUP('Staging Table'!$A118, LS_previous!$B$4:$AY$137,LS_previous!AF$148, FALSE))/2)</f>
        <v>373.85322643449945</v>
      </c>
      <c r="Q118" s="102">
        <f t="array" ref="Q118">IF($G118=0, INDEX(LS_previous!$D$4:$AY$137, MATCH('Staging Table'!$A118, LS_previous!$B$4:$B$137, 0), MATCH(Q$4&amp;Q$5, LS_previous!$D$2:$AY$2&amp;LS_previous!$D$3:$AY$3, 0)),SUM(VLOOKUP($A118, LS_previous!$B$4:$AY$137, LS_previous!I$148, FALSE), VLOOKUP('Staging Table'!$A118, LS_previous!$B$4:$AY$137,LS_previous!AG$148, FALSE))/2)</f>
        <v>249.25018900799978</v>
      </c>
      <c r="R118" s="102">
        <f t="array" ref="R118">IF($G118=0, INDEX(LS_previous!$D$4:$AY$137, MATCH('Staging Table'!$A118, LS_previous!$B$4:$B$137, 0), MATCH(R$4&amp;R$5, LS_previous!$D$2:$AY$2&amp;LS_previous!$D$3:$AY$3, 0)),SUM(VLOOKUP($A118, LS_previous!$B$4:$AY$137, LS_previous!J$148, FALSE), VLOOKUP('Staging Table'!$A118, LS_previous!$B$4:$AY$137,LS_previous!AH$148, FALSE))/2)</f>
        <v>257.86285538250013</v>
      </c>
      <c r="S118" s="102">
        <f t="array" ref="S118">IF($G118=0, INDEX(LS_previous!$D$4:$AY$137, MATCH('Staging Table'!$A118, LS_previous!$B$4:$B$137, 0), MATCH(S$4&amp;S$5, LS_previous!$D$2:$AY$2&amp;LS_previous!$D$3:$AY$3, 0)),SUM(VLOOKUP($A118, LS_previous!$B$4:$AY$137, LS_previous!K$148, FALSE), VLOOKUP('Staging Table'!$A118, LS_previous!$B$4:$AY$137,LS_previous!AI$148, FALSE))/2)</f>
        <v>357.94027972949993</v>
      </c>
      <c r="T118" s="102">
        <f t="array" ref="T118">IF($G118=0, INDEX(LS_previous!$D$4:$AY$137, MATCH('Staging Table'!$A118, LS_previous!$B$4:$B$137, 0), MATCH(T$4&amp;T$5, LS_previous!$D$2:$AY$2&amp;LS_previous!$D$3:$AY$3, 0)),SUM(VLOOKUP($A118, LS_previous!$B$4:$AY$137, LS_previous!L$148, FALSE), VLOOKUP('Staging Table'!$A118, LS_previous!$B$4:$AY$137,LS_previous!AJ$148, FALSE))/2)</f>
        <v>132.99073840450001</v>
      </c>
      <c r="U118" s="102">
        <f t="array" ref="U118">IF($G118=0, INDEX(LS_previous!$D$4:$AY$137, MATCH('Staging Table'!$A118, LS_previous!$B$4:$B$137, 0), MATCH(U$4&amp;U$5, LS_previous!$D$2:$AY$2&amp;LS_previous!$D$3:$AY$3, 0)),SUM(VLOOKUP($A118, LS_previous!$B$4:$AY$137, LS_previous!M$148, FALSE), VLOOKUP('Staging Table'!$A118, LS_previous!$B$4:$AY$137,LS_previous!AK$148, FALSE))/2)</f>
        <v>234.12214824449984</v>
      </c>
      <c r="V118" s="102">
        <f t="array" ref="V118">IF($G118=0, INDEX(LS_previous!$D$4:$AY$137, MATCH('Staging Table'!$A118, LS_previous!$B$4:$B$137, 0), MATCH(V$4&amp;V$5, LS_previous!$D$2:$AY$2&amp;LS_previous!$D$3:$AY$3, 0)),SUM(VLOOKUP($A118, LS_previous!$B$4:$AY$137, LS_previous!N$148, FALSE), VLOOKUP('Staging Table'!$A118, LS_previous!$B$4:$AY$137,LS_previous!AL$148, FALSE))/2)</f>
        <v>-13.459250588499799</v>
      </c>
      <c r="W118" s="102">
        <f t="array" ref="W118">IF($G118=0, INDEX(LS_previous!$D$4:$AY$137, MATCH('Staging Table'!$A118, LS_previous!$B$4:$B$137, 0), MATCH(W$4&amp;W$5, LS_previous!$D$2:$AY$2&amp;LS_previous!$D$3:$AY$3, 0)),SUM(VLOOKUP($A118, LS_previous!$B$4:$AY$137, LS_previous!O$148, FALSE), VLOOKUP('Staging Table'!$A118, LS_previous!$B$4:$AY$137,LS_previous!AM$148, FALSE))/2)</f>
        <v>-45.967271481000125</v>
      </c>
      <c r="X118" s="102">
        <f t="array" ref="X118">IF($G118=0, INDEX(LS_previous!$D$4:$AY$137, MATCH('Staging Table'!$A118, LS_previous!$B$4:$B$137, 0), MATCH(X$4&amp;X$5, LS_previous!$D$2:$AY$2&amp;LS_previous!$D$3:$AY$3, 0)),SUM(VLOOKUP($A118, LS_previous!$B$4:$AY$137, LS_previous!P$148, FALSE), VLOOKUP('Staging Table'!$A118, LS_previous!$B$4:$AY$137,LS_previous!AN$148, FALSE))/2)</f>
        <v>120.90603185124996</v>
      </c>
      <c r="Y118" s="102">
        <f t="array" ref="Y118">IF($G118=0, INDEX(LS_previous!$D$4:$AY$137, MATCH('Staging Table'!$A118, LS_previous!$B$4:$B$137, 0), MATCH(Y$4&amp;Y$5, LS_previous!$D$2:$AY$2&amp;LS_previous!$D$3:$AY$3, 0)),SUM(VLOOKUP($A118, LS_previous!$B$4:$AY$137, LS_previous!Q$148, FALSE), VLOOKUP('Staging Table'!$A118, LS_previous!$B$4:$AY$137,LS_previous!AO$148, FALSE))/2)</f>
        <v>55.899154667125003</v>
      </c>
      <c r="Z118" s="102">
        <f t="array" ref="Z118">IF($G118=0, INDEX(LS_previous!$D$4:$AY$137, MATCH('Staging Table'!$A118, LS_previous!$B$4:$B$137, 0), MATCH(Z$4&amp;Z$5, LS_previous!$D$2:$AY$2&amp;LS_previous!$D$3:$AY$3, 0)),SUM(VLOOKUP($A118, LS_previous!$B$4:$AY$137, LS_previous!R$148, FALSE), VLOOKUP('Staging Table'!$A118, LS_previous!$B$4:$AY$137,LS_previous!AP$148, FALSE))/2)</f>
        <v>-609.81129549600018</v>
      </c>
      <c r="AA118" s="102">
        <f t="array" ref="AA118">IF($G118=0, INDEX(LS_previous!$D$4:$AY$137, MATCH('Staging Table'!$A118, LS_previous!$B$4:$B$137, 0), MATCH(AA$4&amp;AA$5, LS_previous!$D$2:$AY$2&amp;LS_previous!$D$3:$AY$3, 0)),SUM(VLOOKUP($A118, LS_previous!$B$4:$AY$137, LS_previous!S$148, FALSE), VLOOKUP('Staging Table'!$A118, LS_previous!$B$4:$AY$137,LS_previous!AQ$148, FALSE))/2)</f>
        <v>-320.61745582324988</v>
      </c>
      <c r="AB118" s="102">
        <f t="array" ref="AB118">IF($G118=0, INDEX(LS_previous!$D$4:$AY$137, MATCH('Staging Table'!$A118, LS_previous!$B$4:$B$137, 0), MATCH(AB$4&amp;AB$5, LS_previous!$D$2:$AY$2&amp;LS_previous!$D$3:$AY$3, 0)),SUM(VLOOKUP($A118, LS_previous!$B$4:$AY$137, LS_previous!T$148, FALSE), VLOOKUP('Staging Table'!$A118, LS_previous!$B$4:$AY$137,LS_previous!AR$148, FALSE))/2)</f>
        <v>-827.39426682700037</v>
      </c>
      <c r="AC118" s="102">
        <f t="array" ref="AC118">IF($G118=0, INDEX(LS_previous!$D$4:$AY$137, MATCH('Staging Table'!$A118, LS_previous!$B$4:$B$137, 0), MATCH(AC$4&amp;AC$5, LS_previous!$D$2:$AY$2&amp;LS_previous!$D$3:$AY$3, 0)),SUM(VLOOKUP($A118, LS_previous!$B$4:$AY$137, LS_previous!U$148, FALSE), VLOOKUP('Staging Table'!$A118, LS_previous!$B$4:$AY$137,LS_previous!AS$148, FALSE))/2)</f>
        <v>-460.73727371525024</v>
      </c>
      <c r="AD118" s="102">
        <f t="array" ref="AD118">IF($G118=0, INDEX(LS_previous!$D$4:$AY$137, MATCH('Staging Table'!$A118, LS_previous!$B$4:$B$137, 0), MATCH(AD$4&amp;AD$5, LS_previous!$D$2:$AY$2&amp;LS_previous!$D$3:$AY$3, 0)),SUM(VLOOKUP($A118, LS_previous!$B$4:$AY$137, LS_previous!V$148, FALSE), VLOOKUP('Staging Table'!$A118, LS_previous!$B$4:$AY$137,LS_previous!AT$148, FALSE))/2)</f>
        <v>-401.41360717800012</v>
      </c>
      <c r="AE118" s="102">
        <f t="array" ref="AE118">IF($G118=0, INDEX(LS_previous!$D$4:$AY$137, MATCH('Staging Table'!$A118, LS_previous!$B$4:$B$137, 0), MATCH(AE$4&amp;AE$5, LS_previous!$D$2:$AY$2&amp;LS_previous!$D$3:$AY$3, 0)),SUM(VLOOKUP($A118, LS_previous!$B$4:$AY$137, LS_previous!W$148, FALSE), VLOOKUP('Staging Table'!$A118, LS_previous!$B$4:$AY$137,LS_previous!AU$148, FALSE))/2)</f>
        <v>-102.34118597375004</v>
      </c>
      <c r="AF118" s="102">
        <f t="array" ref="AF118">IF($G118=0, INDEX(LS_previous!$D$4:$AY$137, MATCH('Staging Table'!$A118, LS_previous!$B$4:$B$137, 0), MATCH(AF$4&amp;AF$5, LS_previous!$D$2:$AY$2&amp;LS_previous!$D$3:$AY$3, 0)),SUM(VLOOKUP($A118, LS_previous!$B$4:$AY$137, LS_previous!X$148, FALSE), VLOOKUP('Staging Table'!$A118, LS_previous!$B$4:$AY$137,LS_previous!AV$148, FALSE))/2)</f>
        <v>-294.17081896175023</v>
      </c>
      <c r="AG118" s="102">
        <f t="array" ref="AG118">IF($G118=0, INDEX(LS_previous!$D$4:$AY$137, MATCH('Staging Table'!$A118, LS_previous!$B$4:$B$137, 0), MATCH(AG$4&amp;AG$5, LS_previous!$D$2:$AY$2&amp;LS_previous!$D$3:$AY$3, 0)),SUM(VLOOKUP($A118, LS_previous!$B$4:$AY$137, LS_previous!Y$148, FALSE), VLOOKUP('Staging Table'!$A118, LS_previous!$B$4:$AY$137,LS_previous!AW$148, FALSE))/2)</f>
        <v>-88.639954060324953</v>
      </c>
      <c r="AH118" s="102">
        <f t="array" ref="AH118">IF($G118=0, INDEX(LS_previous!$D$4:$AY$137, MATCH('Staging Table'!$A118, LS_previous!$B$4:$B$137, 0), MATCH(AH$4&amp;AH$5, LS_previous!$D$2:$AY$2&amp;LS_previous!$D$3:$AY$3, 0)),SUM(VLOOKUP($A118, LS_previous!$B$4:$AY$137, LS_previous!Z$148, FALSE), VLOOKUP('Staging Table'!$A118, LS_previous!$B$4:$AY$137,LS_previous!AX$148, FALSE))/2)</f>
        <v>-199.31348307300027</v>
      </c>
      <c r="AI118" s="102">
        <f t="array" ref="AI118">IF($G118=0, INDEX(LS_previous!$D$4:$AY$137, MATCH('Staging Table'!$A118, LS_previous!$B$4:$B$137, 0), MATCH(AI$4&amp;AI$5, LS_previous!$D$2:$AY$2&amp;LS_previous!$D$3:$AY$3, 0)),SUM(VLOOKUP($A118, LS_previous!$B$4:$AY$137, LS_previous!AA$148, FALSE), VLOOKUP('Staging Table'!$A118, LS_previous!$B$4:$AY$137,LS_previous!AY$148, FALSE))/2)</f>
        <v>-176.21376960800023</v>
      </c>
      <c r="AJ118" s="103">
        <f t="array" ref="AJ118">INDEX(Demand_previous!$D$4:$AY$137, MATCH('Staging Table'!$A118, Demand_previous!$B$4:$B$137, 0), MATCH(AJ$4&amp;AJ$5,Demand_previous!$D$2:$AY$2&amp;Demand_previous!$D$3:$AY$3, 0))/1000</f>
        <v>0.34360576923076991</v>
      </c>
      <c r="AK118" s="103">
        <f t="array" ref="AK118">INDEX(Demand_previous!$D$4:$AY$137, MATCH('Staging Table'!$A118, Demand_previous!$B$4:$B$137, 0), MATCH(AK$4&amp;AK$5,Demand_previous!$D$2:$AY$2&amp;Demand_previous!$D$3:$AY$3, 0))/1000</f>
        <v>0</v>
      </c>
      <c r="AL118" s="103">
        <f t="array" ref="AL118">INDEX(Demand_previous!$D$4:$AY$137, MATCH('Staging Table'!$A118, Demand_previous!$B$4:$B$137, 0), MATCH(AL$4&amp;AL$5,Demand_previous!$D$2:$AY$2&amp;Demand_previous!$D$3:$AY$3, 0))/1000</f>
        <v>1.0259600000000002</v>
      </c>
      <c r="AM118" s="103">
        <f t="array" ref="AM118">INDEX(Demand_previous!$D$4:$AY$137, MATCH('Staging Table'!$A118, Demand_previous!$B$4:$B$137, 0), MATCH(AM$4&amp;AM$5,Demand_previous!$D$2:$AY$2&amp;Demand_previous!$D$3:$AY$3, 0))/1000</f>
        <v>1.1589086538461542</v>
      </c>
      <c r="AN118" s="103">
        <f t="array" ref="AN118">INDEX(Demand_previous!$D$4:$AY$137, MATCH('Staging Table'!$A118, Demand_previous!$B$4:$B$137, 0), MATCH(AN$4&amp;AN$5,Demand_previous!$D$2:$AY$2&amp;Demand_previous!$D$3:$AY$3, 0))/1000</f>
        <v>1.0924049999999992</v>
      </c>
      <c r="AO118" s="103">
        <f t="array" ref="AO118">INDEX(Demand_previous!$D$4:$AY$137, MATCH('Staging Table'!$A118, Demand_previous!$B$4:$B$137, 0), MATCH(AO$4&amp;AO$5,Demand_previous!$D$2:$AY$2&amp;Demand_previous!$D$3:$AY$3, 0))/1000</f>
        <v>0.75560576923076939</v>
      </c>
      <c r="AP118" s="103">
        <f t="array" ref="AP118">INDEX(Demand_previous!$D$4:$AY$137, MATCH('Staging Table'!$A118, Demand_previous!$B$4:$B$137, 0), MATCH(AP$4&amp;AP$5,Demand_previous!$D$2:$AY$2&amp;Demand_previous!$D$3:$AY$3, 0))/1000</f>
        <v>0.43470673076923116</v>
      </c>
      <c r="AQ118" s="103">
        <f t="array" ref="AQ118">INDEX(Demand_previous!$D$4:$AY$137, MATCH('Staging Table'!$A118, Demand_previous!$B$4:$B$137, 0), MATCH(AQ$4&amp;AQ$5,Demand_previous!$D$2:$AY$2&amp;Demand_previous!$D$3:$AY$3, 0))/1000</f>
        <v>0.63590144230769274</v>
      </c>
      <c r="AR118" s="103">
        <f t="array" ref="AR118">INDEX(Demand_previous!$D$4:$AY$137, MATCH('Staging Table'!$A118, Demand_previous!$B$4:$B$137, 0), MATCH(AR$4&amp;AR$5,Demand_previous!$D$2:$AY$2&amp;Demand_previous!$D$3:$AY$3, 0))/1000</f>
        <v>1.1164224999999997</v>
      </c>
      <c r="AS118" s="103">
        <f t="array" ref="AS118">INDEX(Demand_previous!$D$4:$AY$137, MATCH('Staging Table'!$A118, Demand_previous!$B$4:$B$137, 0), MATCH(AS$4&amp;AS$5,Demand_previous!$D$2:$AY$2&amp;Demand_previous!$D$3:$AY$3, 0))/1000</f>
        <v>1.6107956730769235</v>
      </c>
      <c r="AT118" s="103">
        <f t="array" ref="AT118">INDEX(Demand_previous!$D$4:$AY$137, MATCH('Staging Table'!$A118, Demand_previous!$B$4:$B$137, 0), MATCH(AT$4&amp;AT$5,Demand_previous!$D$2:$AY$2&amp;Demand_previous!$D$3:$AY$3, 0))/1000</f>
        <v>1.7662337962962962</v>
      </c>
      <c r="AU118" s="103">
        <f t="array" ref="AU118">INDEX(Demand_previous!$D$4:$AY$137, MATCH('Staging Table'!$A118, Demand_previous!$B$4:$B$137, 0), MATCH(AU$4&amp;AU$5,Demand_previous!$D$2:$AY$2&amp;Demand_previous!$D$3:$AY$3, 0))/1000</f>
        <v>0.85297656249999931</v>
      </c>
      <c r="AV118" s="102">
        <f>$F118*(VLOOKUP(AV$4, Rates_previous!$G$6:$Q$29, 10, FALSE)+VLOOKUP(AV$4, Rates_previous!$G$6:$Q$29, 11, FALSE))</f>
        <v>2803.3950995167502</v>
      </c>
      <c r="AW118" s="102">
        <f>$F118*(VLOOKUP(AW$4, Rates_previous!$G$6:$Q$29, 10, FALSE)+VLOOKUP(AW$4, Rates_previous!$G$6:$Q$29, 11, FALSE))</f>
        <v>3575.2531797555007</v>
      </c>
      <c r="AX118" s="102">
        <f>$F118*(VLOOKUP(AX$4, Rates_previous!$G$6:$Q$29, 10, FALSE)+VLOOKUP(AX$4, Rates_previous!$G$6:$Q$29, 11, FALSE))</f>
        <v>3858.4055845575008</v>
      </c>
      <c r="AY118" s="102">
        <f>$F118*(VLOOKUP(AY$4, Rates_previous!$G$6:$Q$29, 10, FALSE)+VLOOKUP(AY$4, Rates_previous!$G$6:$Q$29, 11, FALSE))</f>
        <v>4009.4798648880001</v>
      </c>
      <c r="AZ118" s="102">
        <f>$F118*(VLOOKUP(AZ$4, Rates_previous!$G$6:$Q$29, 10, FALSE)+VLOOKUP(AZ$4, Rates_previous!$G$6:$Q$29, 11, FALSE))</f>
        <v>3448.6871133509999</v>
      </c>
      <c r="BA118" s="102">
        <f>$F118*(VLOOKUP(BA$4, Rates_previous!$G$6:$Q$29, 10, FALSE)+VLOOKUP(BA$4, Rates_previous!$G$6:$Q$29, 11, FALSE))</f>
        <v>3765.2835220695001</v>
      </c>
      <c r="BB118" s="102">
        <f>$F118*(VLOOKUP(BB$4, Rates_previous!$G$6:$Q$29, 10, FALSE)+VLOOKUP(BB$4, Rates_previous!$G$6:$Q$29, 11, FALSE))</f>
        <v>2972.0568134816249</v>
      </c>
      <c r="BC118" s="102">
        <f>$F118*(VLOOKUP(BC$4, Rates_previous!$G$6:$Q$29, 10, FALSE)+VLOOKUP(BC$4, Rates_previous!$G$6:$Q$29, 11, FALSE))</f>
        <v>3687.2347513192503</v>
      </c>
      <c r="BD118" s="102">
        <f>$F118*(VLOOKUP(BD$4, Rates_previous!$G$6:$Q$29, 10, FALSE)+VLOOKUP(BD$4, Rates_previous!$G$6:$Q$29, 11, FALSE))</f>
        <v>3767.2385405422501</v>
      </c>
      <c r="BE118" s="102">
        <f>$F118*(VLOOKUP(BE$4, Rates_previous!$G$6:$Q$29, 10, FALSE)+VLOOKUP(BE$4, Rates_previous!$G$6:$Q$29, 11, FALSE))</f>
        <v>3270.5057931517504</v>
      </c>
      <c r="BF118" s="102">
        <f>$F118*(VLOOKUP(BF$4, Rates_previous!$G$6:$Q$29, 10, FALSE)+VLOOKUP(BF$4, Rates_previous!$G$6:$Q$29, 11, FALSE))</f>
        <v>3161.7097730220758</v>
      </c>
      <c r="BG118" s="102">
        <f>$F118*(VLOOKUP(BG$4, Rates_previous!$G$6:$Q$29, 10, FALSE)+VLOOKUP(BG$4, Rates_previous!$G$6:$Q$29, 11, FALSE))</f>
        <v>2909.3852526810006</v>
      </c>
      <c r="BH118" s="103">
        <f>IF($D118=0,IF(C118=0, MAX(BJ118 - (VLOOKUP($A118,TOCA_previous!$A$2:$AJ$136,MATCH("RHWM "&amp;Init!$D$1-2,TOCA_previous!$A$2:$AJ$2,0),FALSE)*$F$2*TOCA_previous!C115),0),0), 0)</f>
        <v>0</v>
      </c>
      <c r="BI118" s="109">
        <f>MIN(VLOOKUP($A118,TOCA_previous!$A$2:$AJ$136,MATCH("TRL - NLSL - Existing Resource "&amp;$F$1,TOCA_previous!$A$2:$AJ$2,0),FALSE)*$F$2,(VLOOKUP($A118,TOCA_previous!$A$2:$AJ$136,MATCH("RHWM "&amp;Init!$D$1-2,TOCA_previous!$A$2:$AJ$2,0),FALSE)*$F$2))</f>
        <v>40318.559999999998</v>
      </c>
      <c r="BJ118" s="261">
        <f>SUM(L118:AI118)+(F118*RT1SC!$C$3*$F$2)</f>
        <v>40333.771188983796</v>
      </c>
      <c r="BK118" s="260">
        <f>VLOOKUP($A118,TOCA_previous!$A$2:$AJ$136,MATCH("Above RHWM Not Served with LS "&amp;$F$1,TOCA_previous!$A$2:$AJ$2,0),FALSE)*$F$2</f>
        <v>0</v>
      </c>
      <c r="BL118" s="261">
        <f t="shared" si="36"/>
        <v>15.211188983797911</v>
      </c>
      <c r="BM118" s="260">
        <f>(VLOOKUP($A118,TOCA_previous!$A$2:$AJ$136,MATCH("RHWM "&amp;Init!$D$1-2,TOCA_previous!$A$2:$AJ$2,0),FALSE)*$F$2) - $BI118</f>
        <v>1914.9120000000039</v>
      </c>
      <c r="BN118" s="261">
        <f t="shared" si="37"/>
        <v>-15.211188983797911</v>
      </c>
      <c r="BO118" s="260">
        <f t="shared" si="38"/>
        <v>0</v>
      </c>
      <c r="BP118" s="261">
        <f t="shared" si="39"/>
        <v>0</v>
      </c>
      <c r="BQ118" s="260">
        <f t="shared" si="9"/>
        <v>-15.211188983797911</v>
      </c>
      <c r="BR118" s="85">
        <f>VLOOKUP($A118,TOCA_current!$A$2:$ZZ$136,MATCH(BR$4,TOCA_current!$A$2:$ZZ$2,0),FALSE)</f>
        <v>6.4760000000000002E-4</v>
      </c>
      <c r="BS118" s="85">
        <f>VLOOKUP($A118,TOCA_current!$A$2:$ZZ$136,MATCH(BS$4,TOCA_current!$A$2:$ZZ$2,0),FALSE)</f>
        <v>6.4760000000000002E-4</v>
      </c>
      <c r="BT118" s="108">
        <f t="shared" si="40"/>
        <v>0</v>
      </c>
      <c r="BU118" s="85">
        <f>VLOOKUP($A118,TOCA_current!A115:BG249,MATCH(BU$4,TOCA_current!$A$2:$BG$2,0),FALSE)</f>
        <v>0</v>
      </c>
      <c r="BV118" s="85">
        <f t="shared" si="41"/>
        <v>0</v>
      </c>
      <c r="BW118" s="85">
        <f t="shared" si="42"/>
        <v>0</v>
      </c>
      <c r="BX118" s="101">
        <f>VLOOKUP($A118,IRD!$A$4:$G$138, 7, FALSE)</f>
        <v>0</v>
      </c>
      <c r="BY118" s="102">
        <f t="array" ref="BY118">IF($BT118=0, INDEX(LS_current!$D$4:$BW$137, MATCH('Staging Table'!$A118, LS_current!$B$4:$B$137, 0), MATCH(BY$4&amp;BY$5, LS_current!$D$2:$BW$2&amp;LS_current!$D$3:$BW$3, 0)),SUM(VLOOKUP($A118, LS_current!$B$4:$BW$137, LS_current!D$147, FALSE), VLOOKUP($A118, LS_current!$B$4:$BW$137,LS_current!AZ$147, FALSE))/2)</f>
        <v>334.7227262403735</v>
      </c>
      <c r="BZ118" s="102">
        <f t="array" ref="BZ118">IF($BT118=0, INDEX(LS_current!$D$4:$BW$137, MATCH('Staging Table'!$A118, LS_current!$B$4:$B$137, 0), MATCH(BZ$4&amp;BZ$5, LS_current!$D$2:$BW$2&amp;LS_current!$D$3:$BW$3, 0)),SUM(VLOOKUP($A118, LS_current!$B$4:$BW$137, LS_current!E$147, FALSE), VLOOKUP($A118, LS_current!$B$4:$BW$137,LS_current!BA$147, FALSE))/2)</f>
        <v>188.99401838013796</v>
      </c>
      <c r="CA118" s="102">
        <f t="array" ref="CA118">IF($BT118=0, INDEX(LS_current!$D$4:$BW$137, MATCH('Staging Table'!$A118, LS_current!$B$4:$B$137, 0), MATCH(CA$4&amp;CA$5, LS_current!$D$2:$BW$2&amp;LS_current!$D$3:$BW$3, 0)),SUM(VLOOKUP($A118, LS_current!$B$4:$BW$137, LS_current!F$147, FALSE), VLOOKUP($A118, LS_current!$B$4:$BW$137,LS_current!BB$147, FALSE))/2)</f>
        <v>310.85895485056926</v>
      </c>
      <c r="CB118" s="102">
        <f t="array" ref="CB118">IF($BT118=0, INDEX(LS_current!$D$4:$BW$137, MATCH('Staging Table'!$A118, LS_current!$B$4:$B$137, 0), MATCH(CB$4&amp;CB$5, LS_current!$D$2:$BW$2&amp;LS_current!$D$3:$BW$3, 0)),SUM(VLOOKUP($A118, LS_current!$B$4:$BW$137, LS_current!G$147, FALSE), VLOOKUP($A118, LS_current!$B$4:$BW$137,LS_current!BC$147, FALSE))/2)</f>
        <v>282.56748630827246</v>
      </c>
      <c r="CC118" s="102">
        <f t="array" ref="CC118">IF($BT118=0, INDEX(LS_current!$D$4:$BW$137, MATCH('Staging Table'!$A118, LS_current!$B$4:$B$137, 0), MATCH(CC$4&amp;CC$5, LS_current!$D$2:$BW$2&amp;LS_current!$D$3:$BW$3, 0)),SUM(VLOOKUP($A118, LS_current!$B$4:$BW$137, LS_current!H$147, FALSE), VLOOKUP($A118, LS_current!$B$4:$BW$137,LS_current!BD$147, FALSE))/2)</f>
        <v>209.01251406988922</v>
      </c>
      <c r="CD118" s="102">
        <f t="array" ref="CD118">IF($BT118=0, INDEX(LS_current!$D$4:$BW$137, MATCH('Staging Table'!$A118, LS_current!$B$4:$B$137, 0), MATCH(CD$4&amp;CD$5, LS_current!$D$2:$BW$2&amp;LS_current!$D$3:$BW$3, 0)),SUM(VLOOKUP($A118, LS_current!$B$4:$BW$137, LS_current!I$147, FALSE), VLOOKUP($A118, LS_current!$B$4:$BW$137,LS_current!BE$147, FALSE))/2)</f>
        <v>365.85908828127572</v>
      </c>
      <c r="CE118" s="102">
        <f t="array" ref="CE118">IF($BT118=0, INDEX(LS_current!$D$4:$BW$137, MATCH('Staging Table'!$A118, LS_current!$B$4:$B$137, 0), MATCH(CE$4&amp;CE$5, LS_current!$D$2:$BW$2&amp;LS_current!$D$3:$BW$3, 0)),SUM(VLOOKUP($A118, LS_current!$B$4:$BW$137, LS_current!J$147, FALSE), VLOOKUP($A118, LS_current!$B$4:$BW$137,LS_current!BF$147, FALSE))/2)</f>
        <v>142.22116051353214</v>
      </c>
      <c r="CF118" s="102">
        <f t="array" ref="CF118">IF($BT118=0, INDEX(LS_current!$D$4:$BW$137, MATCH('Staging Table'!$A118, LS_current!$B$4:$B$137, 0), MATCH(CF$4&amp;CF$5, LS_current!$D$2:$BW$2&amp;LS_current!$D$3:$BW$3, 0)),SUM(VLOOKUP($A118, LS_current!$B$4:$BW$137, LS_current!K$147, FALSE), VLOOKUP($A118, LS_current!$B$4:$BW$137,LS_current!BG$147, FALSE))/2)</f>
        <v>361.25443720627982</v>
      </c>
      <c r="CG118" s="102">
        <f t="array" ref="CG118">IF($BT118=0, INDEX(LS_current!$D$4:$BW$137, MATCH('Staging Table'!$A118, LS_current!$B$4:$B$137, 0), MATCH(CG$4&amp;CG$5, LS_current!$D$2:$BW$2&amp;LS_current!$D$3:$BW$3, 0)),SUM(VLOOKUP($A118, LS_current!$B$4:$BW$137, LS_current!L$147, FALSE), VLOOKUP($A118, LS_current!$B$4:$BW$137,LS_current!BH$147, FALSE))/2)</f>
        <v>235.61777885656329</v>
      </c>
      <c r="CH118" s="102">
        <f t="array" ref="CH118">IF($BT118=0, INDEX(LS_current!$D$4:$BW$137, MATCH('Staging Table'!$A118, LS_current!$B$4:$B$137, 0), MATCH(CH$4&amp;CH$5, LS_current!$D$2:$BW$2&amp;LS_current!$D$3:$BW$3, 0)),SUM(VLOOKUP($A118, LS_current!$B$4:$BW$137, LS_current!M$147, FALSE), VLOOKUP($A118, LS_current!$B$4:$BW$137,LS_current!BI$147, FALSE))/2)</f>
        <v>295.47372886338303</v>
      </c>
      <c r="CI118" s="102">
        <f t="array" ref="CI118">IF($BT118=0, INDEX(LS_current!$D$4:$BW$137, MATCH('Staging Table'!$A118, LS_current!$B$4:$B$137, 0), MATCH(CI$4&amp;CI$5, LS_current!$D$2:$BW$2&amp;LS_current!$D$3:$BW$3, 0)),SUM(VLOOKUP($A118, LS_current!$B$4:$BW$137, LS_current!N$147, FALSE), VLOOKUP($A118, LS_current!$B$4:$BW$137,LS_current!BJ$147, FALSE))/2)</f>
        <v>-56.369786090780963</v>
      </c>
      <c r="CJ118" s="102">
        <f t="array" ref="CJ118">IF($BT118=0, INDEX(LS_current!$D$4:$BW$137, MATCH('Staging Table'!$A118, LS_current!$B$4:$B$137, 0), MATCH(CJ$4&amp;CJ$5, LS_current!$D$2:$BW$2&amp;LS_current!$D$3:$BW$3, 0)),SUM(VLOOKUP($A118, LS_current!$B$4:$BW$137, LS_current!O$147, FALSE), VLOOKUP($A118, LS_current!$B$4:$BW$137,LS_current!BK$147, FALSE))/2)</f>
        <v>171.36587026285702</v>
      </c>
      <c r="CK118" s="102">
        <f t="array" ref="CK118">IF($BT118=0, INDEX(LS_current!$D$4:$BW$137, MATCH('Staging Table'!$A118, LS_current!$B$4:$B$137, 0), MATCH(CK$4&amp;CK$5, LS_current!$D$2:$BW$2&amp;LS_current!$D$3:$BW$3, 0)),SUM(VLOOKUP($A118, LS_current!$B$4:$BW$137, LS_current!P$147, FALSE), VLOOKUP($A118, LS_current!$B$4:$BW$137,LS_current!BL$147, FALSE))/2)</f>
        <v>216.45206229937185</v>
      </c>
      <c r="CL118" s="102">
        <f t="array" ref="CL118">IF($BT118=0, INDEX(LS_current!$D$4:$BW$137, MATCH('Staging Table'!$A118, LS_current!$B$4:$B$137, 0), MATCH(CL$4&amp;CL$5, LS_current!$D$2:$BW$2&amp;LS_current!$D$3:$BW$3, 0)),SUM(VLOOKUP($A118, LS_current!$B$4:$BW$137, LS_current!Q$147, FALSE), VLOOKUP($A118, LS_current!$B$4:$BW$137,LS_current!BM$147, FALSE))/2)</f>
        <v>149.45660720533442</v>
      </c>
      <c r="CM118" s="102">
        <f t="array" ref="CM118">IF($BT118=0, INDEX(LS_current!$D$4:$BW$137, MATCH('Staging Table'!$A118, LS_current!$B$4:$B$137, 0), MATCH(CM$4&amp;CM$5, LS_current!$D$2:$BW$2&amp;LS_current!$D$3:$BW$3, 0)),SUM(VLOOKUP($A118, LS_current!$B$4:$BW$137, LS_current!R$147, FALSE), VLOOKUP($A118, LS_current!$B$4:$BW$137,LS_current!BN$147, FALSE))/2)</f>
        <v>-550.11064259238674</v>
      </c>
      <c r="CN118" s="102">
        <f t="array" ref="CN118">IF($BT118=0, INDEX(LS_current!$D$4:$BW$137, MATCH('Staging Table'!$A118, LS_current!$B$4:$B$137, 0), MATCH(CN$4&amp;CN$5, LS_current!$D$2:$BW$2&amp;LS_current!$D$3:$BW$3, 0)),SUM(VLOOKUP($A118, LS_current!$B$4:$BW$137, LS_current!S$147, FALSE), VLOOKUP($A118, LS_current!$B$4:$BW$137,LS_current!BO$147, FALSE))/2)</f>
        <v>-294.68318687351916</v>
      </c>
      <c r="CO118" s="102">
        <f t="array" ref="CO118">IF($BT118=0, INDEX(LS_current!$D$4:$BW$137, MATCH('Staging Table'!$A118, LS_current!$B$4:$B$137, 0), MATCH(CO$4&amp;CO$5, LS_current!$D$2:$BW$2&amp;LS_current!$D$3:$BW$3, 0)),SUM(VLOOKUP($A118, LS_current!$B$4:$BW$137, LS_current!T$147, FALSE), VLOOKUP($A118, LS_current!$B$4:$BW$137,LS_current!BP$147, FALSE))/2)</f>
        <v>-859.21072301301115</v>
      </c>
      <c r="CP118" s="102">
        <f t="array" ref="CP118">IF($BT118=0, INDEX(LS_current!$D$4:$BW$137, MATCH('Staging Table'!$A118, LS_current!$B$4:$B$137, 0), MATCH(CP$4&amp;CP$5, LS_current!$D$2:$BW$2&amp;LS_current!$D$3:$BW$3, 0)),SUM(VLOOKUP($A118, LS_current!$B$4:$BW$137, LS_current!U$147, FALSE), VLOOKUP($A118, LS_current!$B$4:$BW$137,LS_current!BQ$147, FALSE))/2)</f>
        <v>-340.18674706627621</v>
      </c>
      <c r="CQ118" s="102">
        <f t="array" ref="CQ118">IF($BT118=0, INDEX(LS_current!$D$4:$BW$137, MATCH('Staging Table'!$A118, LS_current!$B$4:$B$137, 0), MATCH(CQ$4&amp;CQ$5, LS_current!$D$2:$BW$2&amp;LS_current!$D$3:$BW$3, 0)),SUM(VLOOKUP($A118, LS_current!$B$4:$BW$137, LS_current!V$147, FALSE), VLOOKUP($A118, LS_current!$B$4:$BW$137,LS_current!BR$147, FALSE))/2)</f>
        <v>-438.07021531743294</v>
      </c>
      <c r="CR118" s="102">
        <f t="array" ref="CR118">IF($BT118=0, INDEX(LS_current!$D$4:$BW$137, MATCH('Staging Table'!$A118, LS_current!$B$4:$B$137, 0), MATCH(CR$4&amp;CR$5, LS_current!$D$2:$BW$2&amp;LS_current!$D$3:$BW$3, 0)),SUM(VLOOKUP($A118, LS_current!$B$4:$BW$137, LS_current!W$147, FALSE), VLOOKUP($A118, LS_current!$B$4:$BW$137,LS_current!BS$147, FALSE))/2)</f>
        <v>-69.365897528156665</v>
      </c>
      <c r="CS118" s="102">
        <f t="array" ref="CS118">IF($BT118=0, INDEX(LS_current!$D$4:$BW$137, MATCH('Staging Table'!$A118, LS_current!$B$4:$B$137, 0), MATCH(CS$4&amp;CS$5, LS_current!$D$2:$BW$2&amp;LS_current!$D$3:$BW$3, 0)),SUM(VLOOKUP($A118, LS_current!$B$4:$BW$137, LS_current!X$147, FALSE), VLOOKUP($A118, LS_current!$B$4:$BW$137,LS_current!BT$147, FALSE))/2)</f>
        <v>-521.09642869607183</v>
      </c>
      <c r="CT118" s="102">
        <f t="array" ref="CT118">IF($BT118=0, INDEX(LS_current!$D$4:$BW$137, MATCH('Staging Table'!$A118, LS_current!$B$4:$B$137, 0), MATCH(CT$4&amp;CT$5, LS_current!$D$2:$BW$2&amp;LS_current!$D$3:$BW$3, 0)),SUM(VLOOKUP($A118, LS_current!$B$4:$BW$137, LS_current!Y$147, FALSE), VLOOKUP($A118, LS_current!$B$4:$BW$137,LS_current!BU$147, FALSE))/2)</f>
        <v>-58.720082822817403</v>
      </c>
      <c r="CU118" s="102">
        <f t="array" ref="CU118">IF($BT118=0, INDEX(LS_current!$D$4:$BW$137, MATCH('Staging Table'!$A118, LS_current!$B$4:$B$137, 0), MATCH(CU$4&amp;CU$5, LS_current!$D$2:$BW$2&amp;LS_current!$D$3:$BW$3, 0)),SUM(VLOOKUP($A118, LS_current!$B$4:$BW$137, LS_current!Z$147, FALSE), VLOOKUP($A118, LS_current!$B$4:$BW$137,LS_current!BV$147, FALSE))/2)</f>
        <v>-85.249012812492765</v>
      </c>
      <c r="CV118" s="102">
        <f t="array" ref="CV118">IF($BT118=0, INDEX(LS_current!$D$4:$BW$137, MATCH('Staging Table'!$A118, LS_current!$B$4:$B$137, 0), MATCH(CV$4&amp;CV$5, LS_current!$D$2:$BW$2&amp;LS_current!$D$3:$BW$3, 0)),SUM(VLOOKUP($A118, LS_current!$B$4:$BW$137, LS_current!AA$147, FALSE), VLOOKUP($A118, LS_current!$B$4:$BW$137,LS_current!BW$147, FALSE))/2)</f>
        <v>10.66180353060588</v>
      </c>
      <c r="CW118" s="103">
        <f t="array" ref="CW118">INDEX(Demand_current!$D$4:$BW$137, MATCH($A118, Demand_current!$B$4:$B$137, 0), MATCH(CW$4&amp;CW$5,Demand_current!$D$2:$BW$2&amp;Demand_current!$D$3:$BW$3, 0))/1000</f>
        <v>0.52250925925925973</v>
      </c>
      <c r="CX118" s="103">
        <f t="array" ref="CX118">INDEX(Demand_current!$D$4:$BW$137, MATCH($A118, Demand_current!$B$4:$B$137, 0), MATCH(CX$4&amp;CX$5,Demand_current!$D$2:$BW$2&amp;Demand_current!$D$3:$BW$3, 0))/1000</f>
        <v>0</v>
      </c>
      <c r="CY118" s="103">
        <f t="array" ref="CY118">INDEX(Demand_current!$D$4:$BW$137, MATCH($A118, Demand_current!$B$4:$B$137, 0), MATCH(CY$4&amp;CY$5,Demand_current!$D$2:$BW$2&amp;Demand_current!$D$3:$BW$3, 0))/1000</f>
        <v>1.286846153846154</v>
      </c>
      <c r="CZ118" s="103">
        <f t="array" ref="CZ118">INDEX(Demand_current!$D$4:$BW$137, MATCH($A118, Demand_current!$B$4:$B$137, 0), MATCH(CZ$4&amp;CZ$5,Demand_current!$D$2:$BW$2&amp;Demand_current!$D$3:$BW$3, 0))/1000</f>
        <v>1.1589086538461542</v>
      </c>
      <c r="DA118" s="103">
        <f t="array" ref="DA118">INDEX(Demand_current!$D$4:$BW$137, MATCH($A118, Demand_current!$B$4:$B$137, 0), MATCH(DA$4&amp;DA$5,Demand_current!$D$2:$BW$2&amp;Demand_current!$D$3:$BW$3, 0))/1000</f>
        <v>0.85013020833333275</v>
      </c>
      <c r="DB118" s="103">
        <f t="array" ref="DB118">INDEX(Demand_current!$D$4:$BW$137, MATCH($A118, Demand_current!$B$4:$B$137, 0), MATCH(DB$4&amp;DB$5,Demand_current!$D$2:$BW$2&amp;Demand_current!$D$3:$BW$3, 0))/1000</f>
        <v>0.75560576923076939</v>
      </c>
      <c r="DC118" s="103">
        <f t="array" ref="DC118">INDEX(Demand_current!$D$4:$BW$137, MATCH($A118, Demand_current!$B$4:$B$137, 0), MATCH(DC$4&amp;DC$5,Demand_current!$D$2:$BW$2&amp;Demand_current!$D$3:$BW$3, 0))/1000</f>
        <v>0.43470673076923116</v>
      </c>
      <c r="DD118" s="103">
        <f t="array" ref="DD118">INDEX(Demand_current!$D$4:$BW$137, MATCH($A118, Demand_current!$B$4:$B$137, 0), MATCH(DD$4&amp;DD$5,Demand_current!$D$2:$BW$2&amp;Demand_current!$D$3:$BW$3, 0))/1000</f>
        <v>0.4790975000000004</v>
      </c>
      <c r="DE118" s="103">
        <f t="array" ref="DE118">INDEX(Demand_current!$D$4:$BW$137, MATCH($A118, Demand_current!$B$4:$B$137, 0), MATCH(DE$4&amp;DE$5,Demand_current!$D$2:$BW$2&amp;Demand_current!$D$3:$BW$3, 0))/1000</f>
        <v>1.2643293269230766</v>
      </c>
      <c r="DF118" s="103">
        <f t="array" ref="DF118">INDEX(Demand_current!$D$4:$BW$137, MATCH($A118, Demand_current!$B$4:$B$137, 0), MATCH(DF$4&amp;DF$5,Demand_current!$D$2:$BW$2&amp;Demand_current!$D$3:$BW$3, 0))/1000</f>
        <v>1.6107956730769235</v>
      </c>
      <c r="DG118" s="103">
        <f t="array" ref="DG118">INDEX(Demand_current!$D$4:$BW$137, MATCH($A118, Demand_current!$B$4:$B$137, 0), MATCH(DG$4&amp;DG$5,Demand_current!$D$2:$BW$2&amp;Demand_current!$D$3:$BW$3, 0))/1000</f>
        <v>1.613858173076923</v>
      </c>
      <c r="DH118" s="103">
        <f t="array" ref="DH118">INDEX(Demand_current!$D$4:$BW$137, MATCH($A118, Demand_current!$B$4:$B$137, 0), MATCH(DH$4&amp;DH$5,Demand_current!$D$2:$BW$2&amp;Demand_current!$D$3:$BW$3, 0))/1000</f>
        <v>1.0132174999999997</v>
      </c>
      <c r="DI118" s="102">
        <f>$BS118*(VLOOKUP(DI$4, Rates_current!$H$6:$R$41, 10, FALSE)+VLOOKUP(DI$4, Rates_current!$H$6:$R$41, 11, FALSE))</f>
        <v>2687.7262553794885</v>
      </c>
      <c r="DJ118" s="102">
        <f>$BS118*(VLOOKUP(DJ$4, Rates_current!$H$6:$R$41, 10, FALSE)+VLOOKUP(DJ$4, Rates_current!$H$6:$R$41, 11, FALSE))</f>
        <v>3436.1695588411585</v>
      </c>
      <c r="DK118" s="102">
        <f>$BS118*(VLOOKUP(DK$4, Rates_current!$H$6:$R$41, 10, FALSE)+VLOOKUP(DK$4, Rates_current!$H$6:$R$41, 11, FALSE))</f>
        <v>3906.6373976488344</v>
      </c>
      <c r="DL118" s="102">
        <f>$BS118*(VLOOKUP(DL$4, Rates_current!$H$6:$R$41, 10, FALSE)+VLOOKUP(DL$4, Rates_current!$H$6:$R$41, 11, FALSE))</f>
        <v>4121.8074022801884</v>
      </c>
      <c r="DM118" s="102">
        <f>$BS118*(VLOOKUP(DM$4, Rates_current!$H$6:$R$41, 10, FALSE)+VLOOKUP(DM$4, Rates_current!$H$6:$R$41, 11, FALSE))</f>
        <v>3284.7084922800545</v>
      </c>
      <c r="DN118" s="102">
        <f>$BS118*(VLOOKUP(DN$4, Rates_current!$H$6:$R$41, 10, FALSE)+VLOOKUP(DN$4, Rates_current!$H$6:$R$41, 11, FALSE))</f>
        <v>3590.8609158279241</v>
      </c>
      <c r="DO118" s="102">
        <f>$BS118*(VLOOKUP(DO$4, Rates_current!$H$6:$R$41, 10, FALSE)+VLOOKUP(DO$4, Rates_current!$H$6:$R$41, 11, FALSE))</f>
        <v>2782.9533304952938</v>
      </c>
      <c r="DP118" s="102">
        <f>$BS118*(VLOOKUP(DP$4, Rates_current!$H$6:$R$41, 10, FALSE)+VLOOKUP(DP$4, Rates_current!$H$6:$R$41, 11, FALSE))</f>
        <v>3601.5998294659057</v>
      </c>
      <c r="DQ118" s="102">
        <f>$BS118*(VLOOKUP(DQ$4, Rates_current!$H$6:$R$41, 10, FALSE)+VLOOKUP(DQ$4, Rates_current!$H$6:$R$41, 11, FALSE))</f>
        <v>3678.5044700792873</v>
      </c>
      <c r="DR118" s="102">
        <f>$BS118*(VLOOKUP(DR$4, Rates_current!$H$6:$R$41, 10, FALSE)+VLOOKUP(DR$4, Rates_current!$H$6:$R$41, 11, FALSE))</f>
        <v>3274.1871128455896</v>
      </c>
      <c r="DS118" s="102">
        <f>$BS118*(VLOOKUP(DS$4, Rates_current!$H$6:$R$41, 10, FALSE)+VLOOKUP(DS$4, Rates_current!$H$6:$R$41, 11, FALSE))</f>
        <v>3358.7155115188893</v>
      </c>
      <c r="DT118" s="102">
        <f>$BS118*(VLOOKUP(DT$4, Rates_current!$H$6:$R$41, 10, FALSE)+VLOOKUP(DT$4, Rates_current!$H$6:$R$41, 11, FALSE))</f>
        <v>2608.4452092818869</v>
      </c>
      <c r="DU118" s="261">
        <f>IF(D118=0,IF(C118=0,MAX(0,DW118 - (VLOOKUP($A118,TOCA_current!$A$2:$AV$136,MATCH("RHWM "&amp;Init!$D$1,TOCA_current!$A$2:$AV$2,0),FALSE)*$BS$2)), 0),0)</f>
        <v>0</v>
      </c>
      <c r="DV118" s="262">
        <f>MIN(VLOOKUP($A118,TOCA_current!$A$2:$AV$136,MATCH("TRL - NLSL - Existing Resource "&amp;$BS$1,TOCA_current!$A$2:$AV$2,0),FALSE)*$BS$2, VLOOKUP($A118,TOCA_current!$A$2:$AV$136,MATCH("RHWM "&amp;Init!$D$1,TOCA_current!$A$2:$AV$2,0),FALSE)*$BS$2)</f>
        <v>40331.040000000001</v>
      </c>
      <c r="DW118" s="262">
        <f>SUM(BY118:CV118)+(BS118*RT1SC!$C$4*$BS$2)</f>
        <v>40333.773380807506</v>
      </c>
      <c r="DX118" s="262">
        <f>VLOOKUP($A118,TOCA_current!$A$2:$AV$136,MATCH("Above RHWM Not Served with LS "&amp;$BS$1,TOCA_current!$A$2:$AV$2,0),FALSE)*$BS$2</f>
        <v>0</v>
      </c>
      <c r="DY118" s="262">
        <f t="shared" si="43"/>
        <v>2.7333808075054549</v>
      </c>
      <c r="DZ118" s="262">
        <f>(VLOOKUP($A118,TOCA_current!$A$2:$AV$136,MATCH("RHWM "&amp;Init!$D$1,TOCA_current!$A$2:$AV$2,0),FALSE)*$BS$2) - $DV118</f>
        <v>2032.3199999999997</v>
      </c>
      <c r="EA118" s="262">
        <f t="shared" si="44"/>
        <v>-2.7333808075054549</v>
      </c>
      <c r="EB118" s="262">
        <f t="shared" si="45"/>
        <v>0</v>
      </c>
      <c r="EC118" s="262">
        <f t="shared" si="46"/>
        <v>0</v>
      </c>
      <c r="ED118" s="262">
        <f t="shared" si="47"/>
        <v>-2.7333808075054549</v>
      </c>
    </row>
    <row r="119" spans="1:134">
      <c r="A119" s="2">
        <v>10388</v>
      </c>
      <c r="B119" s="3" t="s">
        <v>121</v>
      </c>
      <c r="C119">
        <f>VLOOKUP(A119, TOCA_current!$A$3:$D$136, 4, FALSE)</f>
        <v>0</v>
      </c>
      <c r="D119">
        <v>0</v>
      </c>
      <c r="E119" s="84">
        <f>VLOOKUP($A119,TOCA_previous!$A$2:$AJ$136,MATCH(E$4,TOCA_previous!$A$2:$AJ$2,0),FALSE)</f>
        <v>1.63914E-2</v>
      </c>
      <c r="F119" s="85">
        <f>VLOOKUP($A119,TOCA_previous!$A$2:$AJ$136,MATCH(F$4,TOCA_previous!$A$2:$AJ$2,0),FALSE)</f>
        <v>1.63914E-2</v>
      </c>
      <c r="G119" s="85">
        <f t="shared" si="33"/>
        <v>0</v>
      </c>
      <c r="H119" s="85">
        <f>VLOOKUP($A119,TOCA_previous!$A$2:$AJ$136,MATCH(H$4,TOCA_previous!$A$2:$AJ$2,0),FALSE)</f>
        <v>7.8367469507078957E-2</v>
      </c>
      <c r="I119" s="85">
        <f t="shared" si="34"/>
        <v>0</v>
      </c>
      <c r="J119" s="85">
        <f t="shared" si="35"/>
        <v>0</v>
      </c>
      <c r="K119" s="101">
        <f>VLOOKUP(A119, IRD!$A$5:$C$138, 3, FALSE)</f>
        <v>228772.42700000003</v>
      </c>
      <c r="L119" s="102">
        <f t="array" ref="L119">IF($G119=0, INDEX(LS_previous!$D$4:$AY$137, MATCH('Staging Table'!$A119, LS_previous!$B$4:$B$137, 0), MATCH(L$4&amp;L$5, LS_previous!$D$2:$AY$2&amp;LS_previous!$D$3:$AY$3, 0)),SUM(VLOOKUP($A119, LS_previous!$B$4:$AY$137, LS_previous!D$148, FALSE), VLOOKUP('Staging Table'!$A119, LS_previous!$B$4:$AY$137,LS_previous!AB$148, FALSE))/2)</f>
        <v>28955.311828309561</v>
      </c>
      <c r="M119" s="102">
        <f t="array" ref="M119">IF($G119=0, INDEX(LS_previous!$D$4:$AY$137, MATCH('Staging Table'!$A119, LS_previous!$B$4:$B$137, 0), MATCH(M$4&amp;M$5, LS_previous!$D$2:$AY$2&amp;LS_previous!$D$3:$AY$3, 0)),SUM(VLOOKUP($A119, LS_previous!$B$4:$AY$137, LS_previous!E$148, FALSE), VLOOKUP('Staging Table'!$A119, LS_previous!$B$4:$AY$137,LS_previous!AC$148, FALSE))/2)</f>
        <v>-17435.799804560706</v>
      </c>
      <c r="N119" s="102">
        <f t="array" ref="N119">IF($G119=0, INDEX(LS_previous!$D$4:$AY$137, MATCH('Staging Table'!$A119, LS_previous!$B$4:$B$137, 0), MATCH(N$4&amp;N$5, LS_previous!$D$2:$AY$2&amp;LS_previous!$D$3:$AY$3, 0)),SUM(VLOOKUP($A119, LS_previous!$B$4:$AY$137, LS_previous!F$148, FALSE), VLOOKUP('Staging Table'!$A119, LS_previous!$B$4:$AY$137,LS_previous!AD$148, FALSE))/2)</f>
        <v>-37036.754588179283</v>
      </c>
      <c r="O119" s="102">
        <f t="array" ref="O119">IF($G119=0, INDEX(LS_previous!$D$4:$AY$137, MATCH('Staging Table'!$A119, LS_previous!$B$4:$B$137, 0), MATCH(O$4&amp;O$5, LS_previous!$D$2:$AY$2&amp;LS_previous!$D$3:$AY$3, 0)),SUM(VLOOKUP($A119, LS_previous!$B$4:$AY$137, LS_previous!G$148, FALSE), VLOOKUP('Staging Table'!$A119, LS_previous!$B$4:$AY$137,LS_previous!AE$148, FALSE))/2)</f>
        <v>17094.420007826571</v>
      </c>
      <c r="P119" s="102">
        <f t="array" ref="P119">IF($G119=0, INDEX(LS_previous!$D$4:$AY$137, MATCH('Staging Table'!$A119, LS_previous!$B$4:$B$137, 0), MATCH(P$4&amp;P$5, LS_previous!$D$2:$AY$2&amp;LS_previous!$D$3:$AY$3, 0)),SUM(VLOOKUP($A119, LS_previous!$B$4:$AY$137, LS_previous!H$148, FALSE), VLOOKUP('Staging Table'!$A119, LS_previous!$B$4:$AY$137,LS_previous!AF$148, FALSE))/2)</f>
        <v>5911.4470577553875</v>
      </c>
      <c r="Q119" s="102">
        <f t="array" ref="Q119">IF($G119=0, INDEX(LS_previous!$D$4:$AY$137, MATCH('Staging Table'!$A119, LS_previous!$B$4:$B$137, 0), MATCH(Q$4&amp;Q$5, LS_previous!$D$2:$AY$2&amp;LS_previous!$D$3:$AY$3, 0)),SUM(VLOOKUP($A119, LS_previous!$B$4:$AY$137, LS_previous!I$148, FALSE), VLOOKUP('Staging Table'!$A119, LS_previous!$B$4:$AY$137,LS_previous!AG$148, FALSE))/2)</f>
        <v>-26475.100068614389</v>
      </c>
      <c r="R119" s="102">
        <f t="array" ref="R119">IF($G119=0, INDEX(LS_previous!$D$4:$AY$137, MATCH('Staging Table'!$A119, LS_previous!$B$4:$B$137, 0), MATCH(R$4&amp;R$5, LS_previous!$D$2:$AY$2&amp;LS_previous!$D$3:$AY$3, 0)),SUM(VLOOKUP($A119, LS_previous!$B$4:$AY$137, LS_previous!J$148, FALSE), VLOOKUP('Staging Table'!$A119, LS_previous!$B$4:$AY$137,LS_previous!AH$148, FALSE))/2)</f>
        <v>11657.600822748973</v>
      </c>
      <c r="S119" s="102">
        <f t="array" ref="S119">IF($G119=0, INDEX(LS_previous!$D$4:$AY$137, MATCH('Staging Table'!$A119, LS_previous!$B$4:$B$137, 0), MATCH(S$4&amp;S$5, LS_previous!$D$2:$AY$2&amp;LS_previous!$D$3:$AY$3, 0)),SUM(VLOOKUP($A119, LS_previous!$B$4:$AY$137, LS_previous!K$148, FALSE), VLOOKUP('Staging Table'!$A119, LS_previous!$B$4:$AY$137,LS_previous!AI$148, FALSE))/2)</f>
        <v>-41944.87468855059</v>
      </c>
      <c r="T119" s="102">
        <f t="array" ref="T119">IF($G119=0, INDEX(LS_previous!$D$4:$AY$137, MATCH('Staging Table'!$A119, LS_previous!$B$4:$B$137, 0), MATCH(T$4&amp;T$5, LS_previous!$D$2:$AY$2&amp;LS_previous!$D$3:$AY$3, 0)),SUM(VLOOKUP($A119, LS_previous!$B$4:$AY$137, LS_previous!L$148, FALSE), VLOOKUP('Staging Table'!$A119, LS_previous!$B$4:$AY$137,LS_previous!AJ$148, FALSE))/2)</f>
        <v>-5768.8524510406423</v>
      </c>
      <c r="U119" s="102">
        <f t="array" ref="U119">IF($G119=0, INDEX(LS_previous!$D$4:$AY$137, MATCH('Staging Table'!$A119, LS_previous!$B$4:$B$137, 0), MATCH(U$4&amp;U$5, LS_previous!$D$2:$AY$2&amp;LS_previous!$D$3:$AY$3, 0)),SUM(VLOOKUP($A119, LS_previous!$B$4:$AY$137, LS_previous!M$148, FALSE), VLOOKUP('Staging Table'!$A119, LS_previous!$B$4:$AY$137,LS_previous!AK$148, FALSE))/2)</f>
        <v>-18611.95597075258</v>
      </c>
      <c r="V119" s="102">
        <f t="array" ref="V119">IF($G119=0, INDEX(LS_previous!$D$4:$AY$137, MATCH('Staging Table'!$A119, LS_previous!$B$4:$B$137, 0), MATCH(V$4&amp;V$5, LS_previous!$D$2:$AY$2&amp;LS_previous!$D$3:$AY$3, 0)),SUM(VLOOKUP($A119, LS_previous!$B$4:$AY$137, LS_previous!N$148, FALSE), VLOOKUP('Staging Table'!$A119, LS_previous!$B$4:$AY$137,LS_previous!AL$148, FALSE))/2)</f>
        <v>-38116.373148828265</v>
      </c>
      <c r="W119" s="102">
        <f t="array" ref="W119">IF($G119=0, INDEX(LS_previous!$D$4:$AY$137, MATCH('Staging Table'!$A119, LS_previous!$B$4:$B$137, 0), MATCH(W$4&amp;W$5, LS_previous!$D$2:$AY$2&amp;LS_previous!$D$3:$AY$3, 0)),SUM(VLOOKUP($A119, LS_previous!$B$4:$AY$137, LS_previous!O$148, FALSE), VLOOKUP('Staging Table'!$A119, LS_previous!$B$4:$AY$137,LS_previous!AM$148, FALSE))/2)</f>
        <v>16693.047068090753</v>
      </c>
      <c r="X119" s="102">
        <f t="array" ref="X119">IF($G119=0, INDEX(LS_previous!$D$4:$AY$137, MATCH('Staging Table'!$A119, LS_previous!$B$4:$B$137, 0), MATCH(X$4&amp;X$5, LS_previous!$D$2:$AY$2&amp;LS_previous!$D$3:$AY$3, 0)),SUM(VLOOKUP($A119, LS_previous!$B$4:$AY$137, LS_previous!P$148, FALSE), VLOOKUP('Staging Table'!$A119, LS_previous!$B$4:$AY$137,LS_previous!AN$148, FALSE))/2)</f>
        <v>9435.74315588647</v>
      </c>
      <c r="Y119" s="102">
        <f t="array" ref="Y119">IF($G119=0, INDEX(LS_previous!$D$4:$AY$137, MATCH('Staging Table'!$A119, LS_previous!$B$4:$B$137, 0), MATCH(Y$4&amp;Y$5, LS_previous!$D$2:$AY$2&amp;LS_previous!$D$3:$AY$3, 0)),SUM(VLOOKUP($A119, LS_previous!$B$4:$AY$137, LS_previous!Q$148, FALSE), VLOOKUP('Staging Table'!$A119, LS_previous!$B$4:$AY$137,LS_previous!AO$148, FALSE))/2)</f>
        <v>-8910.4569369289784</v>
      </c>
      <c r="Z119" s="102">
        <f t="array" ref="Z119">IF($G119=0, INDEX(LS_previous!$D$4:$AY$137, MATCH('Staging Table'!$A119, LS_previous!$B$4:$B$137, 0), MATCH(Z$4&amp;Z$5, LS_previous!$D$2:$AY$2&amp;LS_previous!$D$3:$AY$3, 0)),SUM(VLOOKUP($A119, LS_previous!$B$4:$AY$137, LS_previous!R$148, FALSE), VLOOKUP('Staging Table'!$A119, LS_previous!$B$4:$AY$137,LS_previous!AP$148, FALSE))/2)</f>
        <v>-15594.105682307236</v>
      </c>
      <c r="AA119" s="102">
        <f t="array" ref="AA119">IF($G119=0, INDEX(LS_previous!$D$4:$AY$137, MATCH('Staging Table'!$A119, LS_previous!$B$4:$B$137, 0), MATCH(AA$4&amp;AA$5, LS_previous!$D$2:$AY$2&amp;LS_previous!$D$3:$AY$3, 0)),SUM(VLOOKUP($A119, LS_previous!$B$4:$AY$137, LS_previous!S$148, FALSE), VLOOKUP('Staging Table'!$A119, LS_previous!$B$4:$AY$137,LS_previous!AQ$148, FALSE))/2)</f>
        <v>12771.582595363092</v>
      </c>
      <c r="AB119" s="102">
        <f t="array" ref="AB119">IF($G119=0, INDEX(LS_previous!$D$4:$AY$137, MATCH('Staging Table'!$A119, LS_previous!$B$4:$B$137, 0), MATCH(AB$4&amp;AB$5, LS_previous!$D$2:$AY$2&amp;LS_previous!$D$3:$AY$3, 0)),SUM(VLOOKUP($A119, LS_previous!$B$4:$AY$137, LS_previous!T$148, FALSE), VLOOKUP('Staging Table'!$A119, LS_previous!$B$4:$AY$137,LS_previous!AR$148, FALSE))/2)</f>
        <v>19355.624081763519</v>
      </c>
      <c r="AC119" s="102">
        <f t="array" ref="AC119">IF($G119=0, INDEX(LS_previous!$D$4:$AY$137, MATCH('Staging Table'!$A119, LS_previous!$B$4:$B$137, 0), MATCH(AC$4&amp;AC$5, LS_previous!$D$2:$AY$2&amp;LS_previous!$D$3:$AY$3, 0)),SUM(VLOOKUP($A119, LS_previous!$B$4:$AY$137, LS_previous!U$148, FALSE), VLOOKUP('Staging Table'!$A119, LS_previous!$B$4:$AY$137,LS_previous!AS$148, FALSE))/2)</f>
        <v>-7458.4541283313083</v>
      </c>
      <c r="AD119" s="102">
        <f t="array" ref="AD119">IF($G119=0, INDEX(LS_previous!$D$4:$AY$137, MATCH('Staging Table'!$A119, LS_previous!$B$4:$B$137, 0), MATCH(AD$4&amp;AD$5, LS_previous!$D$2:$AY$2&amp;LS_previous!$D$3:$AY$3, 0)),SUM(VLOOKUP($A119, LS_previous!$B$4:$AY$137, LS_previous!V$148, FALSE), VLOOKUP('Staging Table'!$A119, LS_previous!$B$4:$AY$137,LS_previous!AT$148, FALSE))/2)</f>
        <v>41990.185543570406</v>
      </c>
      <c r="AE119" s="102">
        <f t="array" ref="AE119">IF($G119=0, INDEX(LS_previous!$D$4:$AY$137, MATCH('Staging Table'!$A119, LS_previous!$B$4:$B$137, 0), MATCH(AE$4&amp;AE$5, LS_previous!$D$2:$AY$2&amp;LS_previous!$D$3:$AY$3, 0)),SUM(VLOOKUP($A119, LS_previous!$B$4:$AY$137, LS_previous!W$148, FALSE), VLOOKUP('Staging Table'!$A119, LS_previous!$B$4:$AY$137,LS_previous!AU$148, FALSE))/2)</f>
        <v>-5760.3314764035058</v>
      </c>
      <c r="AF119" s="102">
        <f t="array" ref="AF119">IF($G119=0, INDEX(LS_previous!$D$4:$AY$137, MATCH('Staging Table'!$A119, LS_previous!$B$4:$B$137, 0), MATCH(AF$4&amp;AF$5, LS_previous!$D$2:$AY$2&amp;LS_previous!$D$3:$AY$3, 0)),SUM(VLOOKUP($A119, LS_previous!$B$4:$AY$137, LS_previous!X$148, FALSE), VLOOKUP('Staging Table'!$A119, LS_previous!$B$4:$AY$137,LS_previous!AV$148, FALSE))/2)</f>
        <v>-853.25251712515455</v>
      </c>
      <c r="AG119" s="102">
        <f t="array" ref="AG119">IF($G119=0, INDEX(LS_previous!$D$4:$AY$137, MATCH('Staging Table'!$A119, LS_previous!$B$4:$B$137, 0), MATCH(AG$4&amp;AG$5, LS_previous!$D$2:$AY$2&amp;LS_previous!$D$3:$AY$3, 0)),SUM(VLOOKUP($A119, LS_previous!$B$4:$AY$137, LS_previous!Y$148, FALSE), VLOOKUP('Staging Table'!$A119, LS_previous!$B$4:$AY$137,LS_previous!AW$148, FALSE))/2)</f>
        <v>33466.87123794666</v>
      </c>
      <c r="AH119" s="102">
        <f t="array" ref="AH119">IF($G119=0, INDEX(LS_previous!$D$4:$AY$137, MATCH('Staging Table'!$A119, LS_previous!$B$4:$B$137, 0), MATCH(AH$4&amp;AH$5, LS_previous!$D$2:$AY$2&amp;LS_previous!$D$3:$AY$3, 0)),SUM(VLOOKUP($A119, LS_previous!$B$4:$AY$137, LS_previous!Z$148, FALSE), VLOOKUP('Staging Table'!$A119, LS_previous!$B$4:$AY$137,LS_previous!AX$148, FALSE))/2)</f>
        <v>23456.70777555633</v>
      </c>
      <c r="AI119" s="102">
        <f t="array" ref="AI119">IF($G119=0, INDEX(LS_previous!$D$4:$AY$137, MATCH('Staging Table'!$A119, LS_previous!$B$4:$B$137, 0), MATCH(AI$4&amp;AI$5, LS_previous!$D$2:$AY$2&amp;LS_previous!$D$3:$AY$3, 0)),SUM(VLOOKUP($A119, LS_previous!$B$4:$AY$137, LS_previous!AA$148, FALSE), VLOOKUP('Staging Table'!$A119, LS_previous!$B$4:$AY$137,LS_previous!AY$148, FALSE))/2)</f>
        <v>-12276.110331305597</v>
      </c>
      <c r="AJ119" s="103">
        <f t="array" ref="AJ119">INDEX(Demand_previous!$D$4:$AY$137, MATCH('Staging Table'!$A119, Demand_previous!$B$4:$B$137, 0), MATCH(AJ$4&amp;AJ$5,Demand_previous!$D$2:$AY$2&amp;Demand_previous!$D$3:$AY$3, 0))/1000</f>
        <v>0</v>
      </c>
      <c r="AK119" s="103">
        <f t="array" ref="AK119">INDEX(Demand_previous!$D$4:$AY$137, MATCH('Staging Table'!$A119, Demand_previous!$B$4:$B$137, 0), MATCH(AK$4&amp;AK$5,Demand_previous!$D$2:$AY$2&amp;Demand_previous!$D$3:$AY$3, 0))/1000</f>
        <v>112.99709250000019</v>
      </c>
      <c r="AL119" s="103">
        <f t="array" ref="AL119">INDEX(Demand_previous!$D$4:$AY$137, MATCH('Staging Table'!$A119, Demand_previous!$B$4:$B$137, 0), MATCH(AL$4&amp;AL$5,Demand_previous!$D$2:$AY$2&amp;Demand_previous!$D$3:$AY$3, 0))/1000</f>
        <v>0</v>
      </c>
      <c r="AM119" s="103">
        <f t="array" ref="AM119">INDEX(Demand_previous!$D$4:$AY$137, MATCH('Staging Table'!$A119, Demand_previous!$B$4:$B$137, 0), MATCH(AM$4&amp;AM$5,Demand_previous!$D$2:$AY$2&amp;Demand_previous!$D$3:$AY$3, 0))/1000</f>
        <v>42.640860576923167</v>
      </c>
      <c r="AN119" s="103">
        <f t="array" ref="AN119">INDEX(Demand_previous!$D$4:$AY$137, MATCH('Staging Table'!$A119, Demand_previous!$B$4:$B$137, 0), MATCH(AN$4&amp;AN$5,Demand_previous!$D$2:$AY$2&amp;Demand_previous!$D$3:$AY$3, 0))/1000</f>
        <v>4.2847500000001055</v>
      </c>
      <c r="AO119" s="103">
        <f t="array" ref="AO119">INDEX(Demand_previous!$D$4:$AY$137, MATCH('Staging Table'!$A119, Demand_previous!$B$4:$B$137, 0), MATCH(AO$4&amp;AO$5,Demand_previous!$D$2:$AY$2&amp;Demand_previous!$D$3:$AY$3, 0))/1000</f>
        <v>144.37204086538475</v>
      </c>
      <c r="AP119" s="103">
        <f t="array" ref="AP119">INDEX(Demand_previous!$D$4:$AY$137, MATCH('Staging Table'!$A119, Demand_previous!$B$4:$B$137, 0), MATCH(AP$4&amp;AP$5,Demand_previous!$D$2:$AY$2&amp;Demand_previous!$D$3:$AY$3, 0))/1000</f>
        <v>124.04722596153853</v>
      </c>
      <c r="AQ119" s="103">
        <f t="array" ref="AQ119">INDEX(Demand_previous!$D$4:$AY$137, MATCH('Staging Table'!$A119, Demand_previous!$B$4:$B$137, 0), MATCH(AQ$4&amp;AQ$5,Demand_previous!$D$2:$AY$2&amp;Demand_previous!$D$3:$AY$3, 0))/1000</f>
        <v>41.534661057692396</v>
      </c>
      <c r="AR119" s="103">
        <f t="array" ref="AR119">INDEX(Demand_previous!$D$4:$AY$137, MATCH('Staging Table'!$A119, Demand_previous!$B$4:$B$137, 0), MATCH(AR$4&amp;AR$5,Demand_previous!$D$2:$AY$2&amp;Demand_previous!$D$3:$AY$3, 0))/1000</f>
        <v>0</v>
      </c>
      <c r="AS119" s="103">
        <f t="array" ref="AS119">INDEX(Demand_previous!$D$4:$AY$137, MATCH('Staging Table'!$A119, Demand_previous!$B$4:$B$137, 0), MATCH(AS$4&amp;AS$5,Demand_previous!$D$2:$AY$2&amp;Demand_previous!$D$3:$AY$3, 0))/1000</f>
        <v>0</v>
      </c>
      <c r="AT119" s="103">
        <f t="array" ref="AT119">INDEX(Demand_previous!$D$4:$AY$137, MATCH('Staging Table'!$A119, Demand_previous!$B$4:$B$137, 0), MATCH(AT$4&amp;AT$5,Demand_previous!$D$2:$AY$2&amp;Demand_previous!$D$3:$AY$3, 0))/1000</f>
        <v>126.47891435185197</v>
      </c>
      <c r="AU119" s="103">
        <f t="array" ref="AU119">INDEX(Demand_previous!$D$4:$AY$137, MATCH('Staging Table'!$A119, Demand_previous!$B$4:$B$137, 0), MATCH(AU$4&amp;AU$5,Demand_previous!$D$2:$AY$2&amp;Demand_previous!$D$3:$AY$3, 0))/1000</f>
        <v>13.455023437500165</v>
      </c>
      <c r="AV119" s="102">
        <f>$F119*(VLOOKUP(AV$4, Rates_previous!$G$6:$Q$29, 10, FALSE)+VLOOKUP(AV$4, Rates_previous!$G$6:$Q$29, 11, FALSE))</f>
        <v>69152.099976251106</v>
      </c>
      <c r="AW119" s="102">
        <f>$F119*(VLOOKUP(AW$4, Rates_previous!$G$6:$Q$29, 10, FALSE)+VLOOKUP(AW$4, Rates_previous!$G$6:$Q$29, 11, FALSE))</f>
        <v>88191.730580352611</v>
      </c>
      <c r="AX119" s="102">
        <f>$F119*(VLOOKUP(AX$4, Rates_previous!$G$6:$Q$29, 10, FALSE)+VLOOKUP(AX$4, Rates_previous!$G$6:$Q$29, 11, FALSE))</f>
        <v>95176.327010859008</v>
      </c>
      <c r="AY119" s="102">
        <f>$F119*(VLOOKUP(AY$4, Rates_previous!$G$6:$Q$29, 10, FALSE)+VLOOKUP(AY$4, Rates_previous!$G$6:$Q$29, 11, FALSE))</f>
        <v>98902.916865801599</v>
      </c>
      <c r="AZ119" s="102">
        <f>$F119*(VLOOKUP(AZ$4, Rates_previous!$G$6:$Q$29, 10, FALSE)+VLOOKUP(AZ$4, Rates_previous!$G$6:$Q$29, 11, FALSE))</f>
        <v>85069.691421793192</v>
      </c>
      <c r="BA119" s="102">
        <f>$F119*(VLOOKUP(BA$4, Rates_previous!$G$6:$Q$29, 10, FALSE)+VLOOKUP(BA$4, Rates_previous!$G$6:$Q$29, 11, FALSE))</f>
        <v>92879.260080737396</v>
      </c>
      <c r="BB119" s="102">
        <f>$F119*(VLOOKUP(BB$4, Rates_previous!$G$6:$Q$29, 10, FALSE)+VLOOKUP(BB$4, Rates_previous!$G$6:$Q$29, 11, FALSE))</f>
        <v>73312.523781042444</v>
      </c>
      <c r="BC119" s="102">
        <f>$F119*(VLOOKUP(BC$4, Rates_previous!$G$6:$Q$29, 10, FALSE)+VLOOKUP(BC$4, Rates_previous!$G$6:$Q$29, 11, FALSE))</f>
        <v>90954.010086944108</v>
      </c>
      <c r="BD119" s="102">
        <f>$F119*(VLOOKUP(BD$4, Rates_previous!$G$6:$Q$29, 10, FALSE)+VLOOKUP(BD$4, Rates_previous!$G$6:$Q$29, 11, FALSE))</f>
        <v>92927.485046567701</v>
      </c>
      <c r="BE119" s="102">
        <f>$F119*(VLOOKUP(BE$4, Rates_previous!$G$6:$Q$29, 10, FALSE)+VLOOKUP(BE$4, Rates_previous!$G$6:$Q$29, 11, FALSE))</f>
        <v>80674.444932833096</v>
      </c>
      <c r="BF119" s="102">
        <f>$F119*(VLOOKUP(BF$4, Rates_previous!$G$6:$Q$29, 10, FALSE)+VLOOKUP(BF$4, Rates_previous!$G$6:$Q$29, 11, FALSE))</f>
        <v>77990.744279178398</v>
      </c>
      <c r="BG119" s="102">
        <f>$F119*(VLOOKUP(BG$4, Rates_previous!$G$6:$Q$29, 10, FALSE)+VLOOKUP(BG$4, Rates_previous!$G$6:$Q$29, 11, FALSE))</f>
        <v>71766.587555749211</v>
      </c>
      <c r="BH119" s="103">
        <f>IF($D119=0,IF(C119=0, MAX(BJ119 - (VLOOKUP($A119,TOCA_previous!$A$2:$AJ$136,MATCH("RHWM "&amp;Init!$D$1-2,TOCA_previous!$A$2:$AJ$2,0),FALSE)*$F$2*TOCA_previous!C116),0),0), 0)</f>
        <v>6993.1136617134325</v>
      </c>
      <c r="BI119" s="109">
        <f>MIN(VLOOKUP($A119,TOCA_previous!$A$2:$AJ$136,MATCH("TRL - NLSL - Existing Resource "&amp;$F$1,TOCA_previous!$A$2:$AJ$2,0),FALSE)*$F$2,(VLOOKUP($A119,TOCA_previous!$A$2:$AJ$136,MATCH("RHWM "&amp;Init!$D$1-2,TOCA_previous!$A$2:$AJ$2,0),FALSE)*$F$2))</f>
        <v>994550.83199999994</v>
      </c>
      <c r="BJ119" s="261">
        <f>SUM(L119:AI119)+(F119*RT1SC!$C$3*$F$2)</f>
        <v>1001543.9456617134</v>
      </c>
      <c r="BK119" s="260">
        <f>VLOOKUP($A119,TOCA_previous!$A$2:$AJ$136,MATCH("Above RHWM Not Served with LS "&amp;$F$1,TOCA_previous!$A$2:$AJ$2,0),FALSE)*$F$2</f>
        <v>953959.96799999999</v>
      </c>
      <c r="BL119" s="261">
        <f t="shared" si="36"/>
        <v>6993.1136617134325</v>
      </c>
      <c r="BM119" s="260">
        <f>(VLOOKUP($A119,TOCA_previous!$A$2:$AJ$136,MATCH("RHWM "&amp;Init!$D$1-2,TOCA_previous!$A$2:$AJ$2,0),FALSE)*$F$2) - $BI119</f>
        <v>0</v>
      </c>
      <c r="BN119" s="261">
        <f t="shared" si="37"/>
        <v>0</v>
      </c>
      <c r="BO119" s="260">
        <f t="shared" si="38"/>
        <v>0</v>
      </c>
      <c r="BP119" s="261">
        <f t="shared" si="39"/>
        <v>0</v>
      </c>
      <c r="BQ119" s="260">
        <f t="shared" si="9"/>
        <v>0</v>
      </c>
      <c r="BR119" s="85">
        <f>VLOOKUP($A119,TOCA_current!$A$2:$ZZ$136,MATCH(BR$4,TOCA_current!$A$2:$ZZ$2,0),FALSE)</f>
        <v>1.6017300000000002E-2</v>
      </c>
      <c r="BS119" s="85">
        <f>VLOOKUP($A119,TOCA_current!$A$2:$ZZ$136,MATCH(BS$4,TOCA_current!$A$2:$ZZ$2,0),FALSE)</f>
        <v>1.6017300000000002E-2</v>
      </c>
      <c r="BT119" s="108">
        <f t="shared" si="40"/>
        <v>0</v>
      </c>
      <c r="BU119" s="85">
        <f>VLOOKUP($A119,TOCA_current!A116:BG250,MATCH(BU$4,TOCA_current!$A$2:$BG$2,0),FALSE)</f>
        <v>7.8411956865362342E-2</v>
      </c>
      <c r="BV119" s="85">
        <f t="shared" si="41"/>
        <v>0</v>
      </c>
      <c r="BW119" s="85">
        <f t="shared" si="42"/>
        <v>0</v>
      </c>
      <c r="BX119" s="101">
        <f>VLOOKUP($A119,IRD!$A$4:$G$138, 7, FALSE)</f>
        <v>228772.42700000003</v>
      </c>
      <c r="BY119" s="102">
        <f t="array" ref="BY119">IF($BT119=0, INDEX(LS_current!$D$4:$BW$137, MATCH('Staging Table'!$A119, LS_current!$B$4:$B$137, 0), MATCH(BY$4&amp;BY$5, LS_current!$D$2:$BW$2&amp;LS_current!$D$3:$BW$3, 0)),SUM(VLOOKUP($A119, LS_current!$B$4:$BW$137, LS_current!D$147, FALSE), VLOOKUP($A119, LS_current!$B$4:$BW$137,LS_current!AZ$147, FALSE))/2)</f>
        <v>27309.092735963466</v>
      </c>
      <c r="BZ119" s="102">
        <f t="array" ref="BZ119">IF($BT119=0, INDEX(LS_current!$D$4:$BW$137, MATCH('Staging Table'!$A119, LS_current!$B$4:$B$137, 0), MATCH(BZ$4&amp;BZ$5, LS_current!$D$2:$BW$2&amp;LS_current!$D$3:$BW$3, 0)),SUM(VLOOKUP($A119, LS_current!$B$4:$BW$137, LS_current!E$147, FALSE), VLOOKUP($A119, LS_current!$B$4:$BW$137,LS_current!BA$147, FALSE))/2)</f>
        <v>-13674.114450432095</v>
      </c>
      <c r="CA119" s="102">
        <f t="array" ref="CA119">IF($BT119=0, INDEX(LS_current!$D$4:$BW$137, MATCH('Staging Table'!$A119, LS_current!$B$4:$B$137, 0), MATCH(CA$4&amp;CA$5, LS_current!$D$2:$BW$2&amp;LS_current!$D$3:$BW$3, 0)),SUM(VLOOKUP($A119, LS_current!$B$4:$BW$137, LS_current!F$147, FALSE), VLOOKUP($A119, LS_current!$B$4:$BW$137,LS_current!BB$147, FALSE))/2)</f>
        <v>-33420.801146034537</v>
      </c>
      <c r="CB119" s="102">
        <f t="array" ref="CB119">IF($BT119=0, INDEX(LS_current!$D$4:$BW$137, MATCH('Staging Table'!$A119, LS_current!$B$4:$B$137, 0), MATCH(CB$4&amp;CB$5, LS_current!$D$2:$BW$2&amp;LS_current!$D$3:$BW$3, 0)),SUM(VLOOKUP($A119, LS_current!$B$4:$BW$137, LS_current!G$147, FALSE), VLOOKUP($A119, LS_current!$B$4:$BW$137,LS_current!BC$147, FALSE))/2)</f>
        <v>16139.392430737258</v>
      </c>
      <c r="CC119" s="102">
        <f t="array" ref="CC119">IF($BT119=0, INDEX(LS_current!$D$4:$BW$137, MATCH('Staging Table'!$A119, LS_current!$B$4:$B$137, 0), MATCH(CC$4&amp;CC$5, LS_current!$D$2:$BW$2&amp;LS_current!$D$3:$BW$3, 0)),SUM(VLOOKUP($A119, LS_current!$B$4:$BW$137, LS_current!H$147, FALSE), VLOOKUP($A119, LS_current!$B$4:$BW$137,LS_current!BD$147, FALSE))/2)</f>
        <v>-372.01677268125059</v>
      </c>
      <c r="CD119" s="102">
        <f t="array" ref="CD119">IF($BT119=0, INDEX(LS_current!$D$4:$BW$137, MATCH('Staging Table'!$A119, LS_current!$B$4:$B$137, 0), MATCH(CD$4&amp;CD$5, LS_current!$D$2:$BW$2&amp;LS_current!$D$3:$BW$3, 0)),SUM(VLOOKUP($A119, LS_current!$B$4:$BW$137, LS_current!I$147, FALSE), VLOOKUP($A119, LS_current!$B$4:$BW$137,LS_current!BE$147, FALSE))/2)</f>
        <v>-22199.665979265475</v>
      </c>
      <c r="CE119" s="102">
        <f t="array" ref="CE119">IF($BT119=0, INDEX(LS_current!$D$4:$BW$137, MATCH('Staging Table'!$A119, LS_current!$B$4:$B$137, 0), MATCH(CE$4&amp;CE$5, LS_current!$D$2:$BW$2&amp;LS_current!$D$3:$BW$3, 0)),SUM(VLOOKUP($A119, LS_current!$B$4:$BW$137, LS_current!J$147, FALSE), VLOOKUP($A119, LS_current!$B$4:$BW$137,LS_current!BF$147, FALSE))/2)</f>
        <v>8320.1781150298921</v>
      </c>
      <c r="CF119" s="102">
        <f t="array" ref="CF119">IF($BT119=0, INDEX(LS_current!$D$4:$BW$137, MATCH('Staging Table'!$A119, LS_current!$B$4:$B$137, 0), MATCH(CF$4&amp;CF$5, LS_current!$D$2:$BW$2&amp;LS_current!$D$3:$BW$3, 0)),SUM(VLOOKUP($A119, LS_current!$B$4:$BW$137, LS_current!K$147, FALSE), VLOOKUP($A119, LS_current!$B$4:$BW$137,LS_current!BG$147, FALSE))/2)</f>
        <v>-42210.761099808289</v>
      </c>
      <c r="CG119" s="102">
        <f t="array" ref="CG119">IF($BT119=0, INDEX(LS_current!$D$4:$BW$137, MATCH('Staging Table'!$A119, LS_current!$B$4:$B$137, 0), MATCH(CG$4&amp;CG$5, LS_current!$D$2:$BW$2&amp;LS_current!$D$3:$BW$3, 0)),SUM(VLOOKUP($A119, LS_current!$B$4:$BW$137, LS_current!L$147, FALSE), VLOOKUP($A119, LS_current!$B$4:$BW$137,LS_current!BH$147, FALSE))/2)</f>
        <v>-1926.9119520085587</v>
      </c>
      <c r="CH119" s="102">
        <f t="array" ref="CH119">IF($BT119=0, INDEX(LS_current!$D$4:$BW$137, MATCH('Staging Table'!$A119, LS_current!$B$4:$B$137, 0), MATCH(CH$4&amp;CH$5, LS_current!$D$2:$BW$2&amp;LS_current!$D$3:$BW$3, 0)),SUM(VLOOKUP($A119, LS_current!$B$4:$BW$137, LS_current!M$147, FALSE), VLOOKUP($A119, LS_current!$B$4:$BW$137,LS_current!BI$147, FALSE))/2)</f>
        <v>-16525.529276214533</v>
      </c>
      <c r="CI119" s="102">
        <f t="array" ref="CI119">IF($BT119=0, INDEX(LS_current!$D$4:$BW$137, MATCH('Staging Table'!$A119, LS_current!$B$4:$B$137, 0), MATCH(CI$4&amp;CI$5, LS_current!$D$2:$BW$2&amp;LS_current!$D$3:$BW$3, 0)),SUM(VLOOKUP($A119, LS_current!$B$4:$BW$137, LS_current!N$147, FALSE), VLOOKUP($A119, LS_current!$B$4:$BW$137,LS_current!BJ$147, FALSE))/2)</f>
        <v>-39642.369134576787</v>
      </c>
      <c r="CJ119" s="102">
        <f t="array" ref="CJ119">IF($BT119=0, INDEX(LS_current!$D$4:$BW$137, MATCH('Staging Table'!$A119, LS_current!$B$4:$B$137, 0), MATCH(CJ$4&amp;CJ$5, LS_current!$D$2:$BW$2&amp;LS_current!$D$3:$BW$3, 0)),SUM(VLOOKUP($A119, LS_current!$B$4:$BW$137, LS_current!O$147, FALSE), VLOOKUP($A119, LS_current!$B$4:$BW$137,LS_current!BK$147, FALSE))/2)</f>
        <v>21724.901115597917</v>
      </c>
      <c r="CK119" s="102">
        <f t="array" ref="CK119">IF($BT119=0, INDEX(LS_current!$D$4:$BW$137, MATCH('Staging Table'!$A119, LS_current!$B$4:$B$137, 0), MATCH(CK$4&amp;CK$5, LS_current!$D$2:$BW$2&amp;LS_current!$D$3:$BW$3, 0)),SUM(VLOOKUP($A119, LS_current!$B$4:$BW$137, LS_current!P$147, FALSE), VLOOKUP($A119, LS_current!$B$4:$BW$137,LS_current!BL$147, FALSE))/2)</f>
        <v>11366.170913631402</v>
      </c>
      <c r="CL119" s="102">
        <f t="array" ref="CL119">IF($BT119=0, INDEX(LS_current!$D$4:$BW$137, MATCH('Staging Table'!$A119, LS_current!$B$4:$B$137, 0), MATCH(CL$4&amp;CL$5, LS_current!$D$2:$BW$2&amp;LS_current!$D$3:$BW$3, 0)),SUM(VLOOKUP($A119, LS_current!$B$4:$BW$137, LS_current!Q$147, FALSE), VLOOKUP($A119, LS_current!$B$4:$BW$137,LS_current!BM$147, FALSE))/2)</f>
        <v>-6902.204638990097</v>
      </c>
      <c r="CM119" s="102">
        <f t="array" ref="CM119">IF($BT119=0, INDEX(LS_current!$D$4:$BW$137, MATCH('Staging Table'!$A119, LS_current!$B$4:$B$137, 0), MATCH(CM$4&amp;CM$5, LS_current!$D$2:$BW$2&amp;LS_current!$D$3:$BW$3, 0)),SUM(VLOOKUP($A119, LS_current!$B$4:$BW$137, LS_current!R$147, FALSE), VLOOKUP($A119, LS_current!$B$4:$BW$137,LS_current!BN$147, FALSE))/2)</f>
        <v>-12822.077842642117</v>
      </c>
      <c r="CN119" s="102">
        <f t="array" ref="CN119">IF($BT119=0, INDEX(LS_current!$D$4:$BW$137, MATCH('Staging Table'!$A119, LS_current!$B$4:$B$137, 0), MATCH(CN$4&amp;CN$5, LS_current!$D$2:$BW$2&amp;LS_current!$D$3:$BW$3, 0)),SUM(VLOOKUP($A119, LS_current!$B$4:$BW$137, LS_current!S$147, FALSE), VLOOKUP($A119, LS_current!$B$4:$BW$137,LS_current!BO$147, FALSE))/2)</f>
        <v>11313.800803568221</v>
      </c>
      <c r="CO119" s="102">
        <f t="array" ref="CO119">IF($BT119=0, INDEX(LS_current!$D$4:$BW$137, MATCH('Staging Table'!$A119, LS_current!$B$4:$B$137, 0), MATCH(CO$4&amp;CO$5, LS_current!$D$2:$BW$2&amp;LS_current!$D$3:$BW$3, 0)),SUM(VLOOKUP($A119, LS_current!$B$4:$BW$137, LS_current!T$147, FALSE), VLOOKUP($A119, LS_current!$B$4:$BW$137,LS_current!BP$147, FALSE))/2)</f>
        <v>16352.557397751145</v>
      </c>
      <c r="CP119" s="102">
        <f t="array" ref="CP119">IF($BT119=0, INDEX(LS_current!$D$4:$BW$137, MATCH('Staging Table'!$A119, LS_current!$B$4:$B$137, 0), MATCH(CP$4&amp;CP$5, LS_current!$D$2:$BW$2&amp;LS_current!$D$3:$BW$3, 0)),SUM(VLOOKUP($A119, LS_current!$B$4:$BW$137, LS_current!U$147, FALSE), VLOOKUP($A119, LS_current!$B$4:$BW$137,LS_current!BQ$147, FALSE))/2)</f>
        <v>-3051.7017563073714</v>
      </c>
      <c r="CQ119" s="102">
        <f t="array" ref="CQ119">IF($BT119=0, INDEX(LS_current!$D$4:$BW$137, MATCH('Staging Table'!$A119, LS_current!$B$4:$B$137, 0), MATCH(CQ$4&amp;CQ$5, LS_current!$D$2:$BW$2&amp;LS_current!$D$3:$BW$3, 0)),SUM(VLOOKUP($A119, LS_current!$B$4:$BW$137, LS_current!V$147, FALSE), VLOOKUP($A119, LS_current!$B$4:$BW$137,LS_current!BR$147, FALSE))/2)</f>
        <v>40635.676098974785</v>
      </c>
      <c r="CR119" s="102">
        <f t="array" ref="CR119">IF($BT119=0, INDEX(LS_current!$D$4:$BW$137, MATCH('Staging Table'!$A119, LS_current!$B$4:$B$137, 0), MATCH(CR$4&amp;CR$5, LS_current!$D$2:$BW$2&amp;LS_current!$D$3:$BW$3, 0)),SUM(VLOOKUP($A119, LS_current!$B$4:$BW$137, LS_current!W$147, FALSE), VLOOKUP($A119, LS_current!$B$4:$BW$137,LS_current!BS$147, FALSE))/2)</f>
        <v>-5273.1366508303727</v>
      </c>
      <c r="CS119" s="102">
        <f t="array" ref="CS119">IF($BT119=0, INDEX(LS_current!$D$4:$BW$137, MATCH('Staging Table'!$A119, LS_current!$B$4:$B$137, 0), MATCH(CS$4&amp;CS$5, LS_current!$D$2:$BW$2&amp;LS_current!$D$3:$BW$3, 0)),SUM(VLOOKUP($A119, LS_current!$B$4:$BW$137, LS_current!X$147, FALSE), VLOOKUP($A119, LS_current!$B$4:$BW$137,LS_current!BT$147, FALSE))/2)</f>
        <v>-5173.9752199716677</v>
      </c>
      <c r="CT119" s="102">
        <f t="array" ref="CT119">IF($BT119=0, INDEX(LS_current!$D$4:$BW$137, MATCH('Staging Table'!$A119, LS_current!$B$4:$B$137, 0), MATCH(CT$4&amp;CT$5, LS_current!$D$2:$BW$2&amp;LS_current!$D$3:$BW$3, 0)),SUM(VLOOKUP($A119, LS_current!$B$4:$BW$137, LS_current!Y$147, FALSE), VLOOKUP($A119, LS_current!$B$4:$BW$137,LS_current!BU$147, FALSE))/2)</f>
        <v>32145.910477767236</v>
      </c>
      <c r="CU119" s="102">
        <f t="array" ref="CU119">IF($BT119=0, INDEX(LS_current!$D$4:$BW$137, MATCH('Staging Table'!$A119, LS_current!$B$4:$B$137, 0), MATCH(CU$4&amp;CU$5, LS_current!$D$2:$BW$2&amp;LS_current!$D$3:$BW$3, 0)),SUM(VLOOKUP($A119, LS_current!$B$4:$BW$137, LS_current!Z$147, FALSE), VLOOKUP($A119, LS_current!$B$4:$BW$137,LS_current!BV$147, FALSE))/2)</f>
        <v>24124.291263400955</v>
      </c>
      <c r="CV119" s="102">
        <f t="array" ref="CV119">IF($BT119=0, INDEX(LS_current!$D$4:$BW$137, MATCH('Staging Table'!$A119, LS_current!$B$4:$B$137, 0), MATCH(CV$4&amp;CV$5, LS_current!$D$2:$BW$2&amp;LS_current!$D$3:$BW$3, 0)),SUM(VLOOKUP($A119, LS_current!$B$4:$BW$137, LS_current!AA$147, FALSE), VLOOKUP($A119, LS_current!$B$4:$BW$137,LS_current!BW$147, FALSE))/2)</f>
        <v>-6234.7842538746336</v>
      </c>
      <c r="CW119" s="103">
        <f t="array" ref="CW119">INDEX(Demand_current!$D$4:$BW$137, MATCH($A119, Demand_current!$B$4:$B$137, 0), MATCH(CW$4&amp;CW$5,Demand_current!$D$2:$BW$2&amp;Demand_current!$D$3:$BW$3, 0))/1000</f>
        <v>0</v>
      </c>
      <c r="CX119" s="103">
        <f t="array" ref="CX119">INDEX(Demand_current!$D$4:$BW$137, MATCH($A119, Demand_current!$B$4:$B$137, 0), MATCH(CX$4&amp;CX$5,Demand_current!$D$2:$BW$2&amp;Demand_current!$D$3:$BW$3, 0))/1000</f>
        <v>106.74859635416662</v>
      </c>
      <c r="CY119" s="103">
        <f t="array" ref="CY119">INDEX(Demand_current!$D$4:$BW$137, MATCH($A119, Demand_current!$B$4:$B$137, 0), MATCH(CY$4&amp;CY$5,Demand_current!$D$2:$BW$2&amp;Demand_current!$D$3:$BW$3, 0))/1000</f>
        <v>0</v>
      </c>
      <c r="CZ119" s="103">
        <f t="array" ref="CZ119">INDEX(Demand_current!$D$4:$BW$137, MATCH($A119, Demand_current!$B$4:$B$137, 0), MATCH(CZ$4&amp;CZ$5,Demand_current!$D$2:$BW$2&amp;Demand_current!$D$3:$BW$3, 0))/1000</f>
        <v>42.640860576923224</v>
      </c>
      <c r="DA119" s="103">
        <f t="array" ref="DA119">INDEX(Demand_current!$D$4:$BW$137, MATCH($A119, Demand_current!$B$4:$B$137, 0), MATCH(DA$4&amp;DA$5,Demand_current!$D$2:$BW$2&amp;Demand_current!$D$3:$BW$3, 0))/1000</f>
        <v>0</v>
      </c>
      <c r="DB119" s="103">
        <f t="array" ref="DB119">INDEX(Demand_current!$D$4:$BW$137, MATCH($A119, Demand_current!$B$4:$B$137, 0), MATCH(DB$4&amp;DB$5,Demand_current!$D$2:$BW$2&amp;Demand_current!$D$3:$BW$3, 0))/1000</f>
        <v>144.3720408653848</v>
      </c>
      <c r="DC119" s="103">
        <f t="array" ref="DC119">INDEX(Demand_current!$D$4:$BW$137, MATCH($A119, Demand_current!$B$4:$B$137, 0), MATCH(DC$4&amp;DC$5,Demand_current!$D$2:$BW$2&amp;Demand_current!$D$3:$BW$3, 0))/1000</f>
        <v>124.04722596153859</v>
      </c>
      <c r="DD119" s="103">
        <f t="array" ref="DD119">INDEX(Demand_current!$D$4:$BW$137, MATCH($A119, Demand_current!$B$4:$B$137, 0), MATCH(DD$4&amp;DD$5,Demand_current!$D$2:$BW$2&amp;Demand_current!$D$3:$BW$3, 0))/1000</f>
        <v>33.358687500000023</v>
      </c>
      <c r="DE119" s="103">
        <f t="array" ref="DE119">INDEX(Demand_current!$D$4:$BW$137, MATCH($A119, Demand_current!$B$4:$B$137, 0), MATCH(DE$4&amp;DE$5,Demand_current!$D$2:$BW$2&amp;Demand_current!$D$3:$BW$3, 0))/1000</f>
        <v>0</v>
      </c>
      <c r="DF119" s="103">
        <f t="array" ref="DF119">INDEX(Demand_current!$D$4:$BW$137, MATCH($A119, Demand_current!$B$4:$B$137, 0), MATCH(DF$4&amp;DF$5,Demand_current!$D$2:$BW$2&amp;Demand_current!$D$3:$BW$3, 0))/1000</f>
        <v>0</v>
      </c>
      <c r="DG119" s="103">
        <f t="array" ref="DG119">INDEX(Demand_current!$D$4:$BW$137, MATCH($A119, Demand_current!$B$4:$B$137, 0), MATCH(DG$4&amp;DG$5,Demand_current!$D$2:$BW$2&amp;Demand_current!$D$3:$BW$3, 0))/1000</f>
        <v>117.95418028846176</v>
      </c>
      <c r="DH119" s="103">
        <f t="array" ref="DH119">INDEX(Demand_current!$D$4:$BW$137, MATCH($A119, Demand_current!$B$4:$B$137, 0), MATCH(DH$4&amp;DH$5,Demand_current!$D$2:$BW$2&amp;Demand_current!$D$3:$BW$3, 0))/1000</f>
        <v>24.725062500000014</v>
      </c>
      <c r="DI119" s="102">
        <f>$BS119*(VLOOKUP(DI$4, Rates_current!$H$6:$R$41, 10, FALSE)+VLOOKUP(DI$4, Rates_current!$H$6:$R$41, 11, FALSE))</f>
        <v>66476.401714468637</v>
      </c>
      <c r="DJ119" s="102">
        <f>$BS119*(VLOOKUP(DJ$4, Rates_current!$H$6:$R$41, 10, FALSE)+VLOOKUP(DJ$4, Rates_current!$H$6:$R$41, 11, FALSE))</f>
        <v>84987.891715297228</v>
      </c>
      <c r="DK119" s="102">
        <f>$BS119*(VLOOKUP(DK$4, Rates_current!$H$6:$R$41, 10, FALSE)+VLOOKUP(DK$4, Rates_current!$H$6:$R$41, 11, FALSE))</f>
        <v>96624.1247519467</v>
      </c>
      <c r="DL119" s="102">
        <f>$BS119*(VLOOKUP(DL$4, Rates_current!$H$6:$R$41, 10, FALSE)+VLOOKUP(DL$4, Rates_current!$H$6:$R$41, 11, FALSE))</f>
        <v>101945.99398477835</v>
      </c>
      <c r="DM119" s="102">
        <f>$BS119*(VLOOKUP(DM$4, Rates_current!$H$6:$R$41, 10, FALSE)+VLOOKUP(DM$4, Rates_current!$H$6:$R$41, 11, FALSE))</f>
        <v>81241.756228223167</v>
      </c>
      <c r="DN119" s="102">
        <f>$BS119*(VLOOKUP(DN$4, Rates_current!$H$6:$R$41, 10, FALSE)+VLOOKUP(DN$4, Rates_current!$H$6:$R$41, 11, FALSE))</f>
        <v>88813.923018978705</v>
      </c>
      <c r="DO119" s="102">
        <f>$BS119*(VLOOKUP(DO$4, Rates_current!$H$6:$R$41, 10, FALSE)+VLOOKUP(DO$4, Rates_current!$H$6:$R$41, 11, FALSE))</f>
        <v>68831.683725358671</v>
      </c>
      <c r="DP119" s="102">
        <f>$BS119*(VLOOKUP(DP$4, Rates_current!$H$6:$R$41, 10, FALSE)+VLOOKUP(DP$4, Rates_current!$H$6:$R$41, 11, FALSE))</f>
        <v>89079.532039073893</v>
      </c>
      <c r="DQ119" s="102">
        <f>$BS119*(VLOOKUP(DQ$4, Rates_current!$H$6:$R$41, 10, FALSE)+VLOOKUP(DQ$4, Rates_current!$H$6:$R$41, 11, FALSE))</f>
        <v>90981.63935855616</v>
      </c>
      <c r="DR119" s="102">
        <f>$BS119*(VLOOKUP(DR$4, Rates_current!$H$6:$R$41, 10, FALSE)+VLOOKUP(DR$4, Rates_current!$H$6:$R$41, 11, FALSE))</f>
        <v>80981.527551855557</v>
      </c>
      <c r="DS119" s="102">
        <f>$BS119*(VLOOKUP(DS$4, Rates_current!$H$6:$R$41, 10, FALSE)+VLOOKUP(DS$4, Rates_current!$H$6:$R$41, 11, FALSE))</f>
        <v>83072.19574220432</v>
      </c>
      <c r="DT119" s="102">
        <f>$BS119*(VLOOKUP(DT$4, Rates_current!$H$6:$R$41, 10, FALSE)+VLOOKUP(DT$4, Rates_current!$H$6:$R$41, 11, FALSE))</f>
        <v>64515.517990473709</v>
      </c>
      <c r="DU119" s="261">
        <f>IF(D119=0,IF(C119=0,MAX(0,DW119 - (VLOOKUP($A119,TOCA_current!$A$2:$AV$136,MATCH("RHWM "&amp;Init!$D$1,TOCA_current!$A$2:$AV$2,0),FALSE)*$BS$2)), 0),0)</f>
        <v>0.40788528067059815</v>
      </c>
      <c r="DV119" s="262">
        <f>MIN(VLOOKUP($A119,TOCA_current!$A$2:$AV$136,MATCH("TRL - NLSL - Existing Resource "&amp;$BS$1,TOCA_current!$A$2:$AV$2,0),FALSE)*$BS$2, VLOOKUP($A119,TOCA_current!$A$2:$AV$136,MATCH("RHWM "&amp;Init!$D$1,TOCA_current!$A$2:$AV$2,0),FALSE)*$BS$2)</f>
        <v>997553.76</v>
      </c>
      <c r="DW119" s="262">
        <f>SUM(BY119:CV119)+(BS119*RT1SC!$C$4*$BS$2)</f>
        <v>997554.16788528068</v>
      </c>
      <c r="DX119" s="262">
        <f>VLOOKUP($A119,TOCA_current!$A$2:$AV$136,MATCH("Above RHWM Not Served with LS "&amp;$BS$1,TOCA_current!$A$2:$AV$2,0),FALSE)*$BS$2</f>
        <v>957949.8</v>
      </c>
      <c r="DY119" s="262">
        <f t="shared" si="43"/>
        <v>0.40788528067059815</v>
      </c>
      <c r="DZ119" s="262">
        <f>(VLOOKUP($A119,TOCA_current!$A$2:$AV$136,MATCH("RHWM "&amp;Init!$D$1,TOCA_current!$A$2:$AV$2,0),FALSE)*$BS$2) - $DV119</f>
        <v>0</v>
      </c>
      <c r="EA119" s="262">
        <f t="shared" si="44"/>
        <v>0</v>
      </c>
      <c r="EB119" s="262">
        <f t="shared" si="45"/>
        <v>0</v>
      </c>
      <c r="EC119" s="262">
        <f t="shared" si="46"/>
        <v>0</v>
      </c>
      <c r="ED119" s="262">
        <f t="shared" si="47"/>
        <v>0</v>
      </c>
    </row>
    <row r="120" spans="1:134">
      <c r="A120" s="2">
        <v>10391</v>
      </c>
      <c r="B120" s="3" t="s">
        <v>122</v>
      </c>
      <c r="C120">
        <f>VLOOKUP(A120, TOCA_current!$A$3:$D$136, 4, FALSE)</f>
        <v>0</v>
      </c>
      <c r="D120">
        <v>0</v>
      </c>
      <c r="E120" s="84">
        <f>VLOOKUP($A120,TOCA_previous!$A$2:$AJ$136,MATCH(E$4,TOCA_previous!$A$2:$AJ$2,0),FALSE)</f>
        <v>4.3398000000000004E-3</v>
      </c>
      <c r="F120" s="85">
        <f>VLOOKUP($A120,TOCA_previous!$A$2:$AJ$136,MATCH(F$4,TOCA_previous!$A$2:$AJ$2,0),FALSE)</f>
        <v>4.3398000000000004E-3</v>
      </c>
      <c r="G120" s="85">
        <f t="shared" si="33"/>
        <v>0</v>
      </c>
      <c r="H120" s="85">
        <f>VLOOKUP($A120,TOCA_previous!$A$2:$AJ$136,MATCH(H$4,TOCA_previous!$A$2:$AJ$2,0),FALSE)</f>
        <v>3.8083197117790311E-2</v>
      </c>
      <c r="I120" s="85">
        <f t="shared" si="34"/>
        <v>0</v>
      </c>
      <c r="J120" s="85">
        <f t="shared" si="35"/>
        <v>0</v>
      </c>
      <c r="K120" s="101">
        <f>VLOOKUP(A120, IRD!$A$5:$C$138, 3, FALSE)</f>
        <v>44270.152999999998</v>
      </c>
      <c r="L120" s="102">
        <f t="array" ref="L120">IF($G120=0, INDEX(LS_previous!$D$4:$AY$137, MATCH('Staging Table'!$A120, LS_previous!$B$4:$B$137, 0), MATCH(L$4&amp;L$5, LS_previous!$D$2:$AY$2&amp;LS_previous!$D$3:$AY$3, 0)),SUM(VLOOKUP($A120, LS_previous!$B$4:$AY$137, LS_previous!D$148, FALSE), VLOOKUP('Staging Table'!$A120, LS_previous!$B$4:$AY$137,LS_previous!AB$148, FALSE))/2)</f>
        <v>1896.5553725671962</v>
      </c>
      <c r="M120" s="102">
        <f t="array" ref="M120">IF($G120=0, INDEX(LS_previous!$D$4:$AY$137, MATCH('Staging Table'!$A120, LS_previous!$B$4:$B$137, 0), MATCH(M$4&amp;M$5, LS_previous!$D$2:$AY$2&amp;LS_previous!$D$3:$AY$3, 0)),SUM(VLOOKUP($A120, LS_previous!$B$4:$AY$137, LS_previous!E$148, FALSE), VLOOKUP('Staging Table'!$A120, LS_previous!$B$4:$AY$137,LS_previous!AC$148, FALSE))/2)</f>
        <v>965.56306327509901</v>
      </c>
      <c r="N120" s="102">
        <f t="array" ref="N120">IF($G120=0, INDEX(LS_previous!$D$4:$AY$137, MATCH('Staging Table'!$A120, LS_previous!$B$4:$B$137, 0), MATCH(N$4&amp;N$5, LS_previous!$D$2:$AY$2&amp;LS_previous!$D$3:$AY$3, 0)),SUM(VLOOKUP($A120, LS_previous!$B$4:$AY$137, LS_previous!F$148, FALSE), VLOOKUP('Staging Table'!$A120, LS_previous!$B$4:$AY$137,LS_previous!AD$148, FALSE))/2)</f>
        <v>-2345.3241060544005</v>
      </c>
      <c r="O120" s="102">
        <f t="array" ref="O120">IF($G120=0, INDEX(LS_previous!$D$4:$AY$137, MATCH('Staging Table'!$A120, LS_previous!$B$4:$B$137, 0), MATCH(O$4&amp;O$5, LS_previous!$D$2:$AY$2&amp;LS_previous!$D$3:$AY$3, 0)),SUM(VLOOKUP($A120, LS_previous!$B$4:$AY$137, LS_previous!G$148, FALSE), VLOOKUP('Staging Table'!$A120, LS_previous!$B$4:$AY$137,LS_previous!AE$148, FALSE))/2)</f>
        <v>-541.5090828138018</v>
      </c>
      <c r="P120" s="102">
        <f t="array" ref="P120">IF($G120=0, INDEX(LS_previous!$D$4:$AY$137, MATCH('Staging Table'!$A120, LS_previous!$B$4:$B$137, 0), MATCH(P$4&amp;P$5, LS_previous!$D$2:$AY$2&amp;LS_previous!$D$3:$AY$3, 0)),SUM(VLOOKUP($A120, LS_previous!$B$4:$AY$137, LS_previous!H$148, FALSE), VLOOKUP('Staging Table'!$A120, LS_previous!$B$4:$AY$137,LS_previous!AF$148, FALSE))/2)</f>
        <v>229.52898988779816</v>
      </c>
      <c r="Q120" s="102">
        <f t="array" ref="Q120">IF($G120=0, INDEX(LS_previous!$D$4:$AY$137, MATCH('Staging Table'!$A120, LS_previous!$B$4:$B$137, 0), MATCH(Q$4&amp;Q$5, LS_previous!$D$2:$AY$2&amp;LS_previous!$D$3:$AY$3, 0)),SUM(VLOOKUP($A120, LS_previous!$B$4:$AY$137, LS_previous!I$148, FALSE), VLOOKUP('Staging Table'!$A120, LS_previous!$B$4:$AY$137,LS_previous!AG$148, FALSE))/2)</f>
        <v>1435.030558099199</v>
      </c>
      <c r="R120" s="102">
        <f t="array" ref="R120">IF($G120=0, INDEX(LS_previous!$D$4:$AY$137, MATCH('Staging Table'!$A120, LS_previous!$B$4:$B$137, 0), MATCH(R$4&amp;R$5, LS_previous!$D$2:$AY$2&amp;LS_previous!$D$3:$AY$3, 0)),SUM(VLOOKUP($A120, LS_previous!$B$4:$AY$137, LS_previous!J$148, FALSE), VLOOKUP('Staging Table'!$A120, LS_previous!$B$4:$AY$137,LS_previous!AH$148, FALSE))/2)</f>
        <v>-911.55390475699824</v>
      </c>
      <c r="S120" s="102">
        <f t="array" ref="S120">IF($G120=0, INDEX(LS_previous!$D$4:$AY$137, MATCH('Staging Table'!$A120, LS_previous!$B$4:$B$137, 0), MATCH(S$4&amp;S$5, LS_previous!$D$2:$AY$2&amp;LS_previous!$D$3:$AY$3, 0)),SUM(VLOOKUP($A120, LS_previous!$B$4:$AY$137, LS_previous!K$148, FALSE), VLOOKUP('Staging Table'!$A120, LS_previous!$B$4:$AY$137,LS_previous!AI$148, FALSE))/2)</f>
        <v>1421.4875817457996</v>
      </c>
      <c r="T120" s="102">
        <f t="array" ref="T120">IF($G120=0, INDEX(LS_previous!$D$4:$AY$137, MATCH('Staging Table'!$A120, LS_previous!$B$4:$B$137, 0), MATCH(T$4&amp;T$5, LS_previous!$D$2:$AY$2&amp;LS_previous!$D$3:$AY$3, 0)),SUM(VLOOKUP($A120, LS_previous!$B$4:$AY$137, LS_previous!L$148, FALSE), VLOOKUP('Staging Table'!$A120, LS_previous!$B$4:$AY$137,LS_previous!AJ$148, FALSE))/2)</f>
        <v>-1721.7401156842025</v>
      </c>
      <c r="U120" s="102">
        <f t="array" ref="U120">IF($G120=0, INDEX(LS_previous!$D$4:$AY$137, MATCH('Staging Table'!$A120, LS_previous!$B$4:$B$137, 0), MATCH(U$4&amp;U$5, LS_previous!$D$2:$AY$2&amp;LS_previous!$D$3:$AY$3, 0)),SUM(VLOOKUP($A120, LS_previous!$B$4:$AY$137, LS_previous!M$148, FALSE), VLOOKUP('Staging Table'!$A120, LS_previous!$B$4:$AY$137,LS_previous!AK$148, FALSE))/2)</f>
        <v>667.53047833180062</v>
      </c>
      <c r="V120" s="102">
        <f t="array" ref="V120">IF($G120=0, INDEX(LS_previous!$D$4:$AY$137, MATCH('Staging Table'!$A120, LS_previous!$B$4:$B$137, 0), MATCH(V$4&amp;V$5, LS_previous!$D$2:$AY$2&amp;LS_previous!$D$3:$AY$3, 0)),SUM(VLOOKUP($A120, LS_previous!$B$4:$AY$137, LS_previous!N$148, FALSE), VLOOKUP('Staging Table'!$A120, LS_previous!$B$4:$AY$137,LS_previous!AL$148, FALSE))/2)</f>
        <v>-2315.2579665974008</v>
      </c>
      <c r="W120" s="102">
        <f t="array" ref="W120">IF($G120=0, INDEX(LS_previous!$D$4:$AY$137, MATCH('Staging Table'!$A120, LS_previous!$B$4:$B$137, 0), MATCH(W$4&amp;W$5, LS_previous!$D$2:$AY$2&amp;LS_previous!$D$3:$AY$3, 0)),SUM(VLOOKUP($A120, LS_previous!$B$4:$AY$137, LS_previous!O$148, FALSE), VLOOKUP('Staging Table'!$A120, LS_previous!$B$4:$AY$137,LS_previous!AM$148, FALSE))/2)</f>
        <v>-1157.4102321644004</v>
      </c>
      <c r="X120" s="102">
        <f t="array" ref="X120">IF($G120=0, INDEX(LS_previous!$D$4:$AY$137, MATCH('Staging Table'!$A120, LS_previous!$B$4:$B$137, 0), MATCH(X$4&amp;X$5, LS_previous!$D$2:$AY$2&amp;LS_previous!$D$3:$AY$3, 0)),SUM(VLOOKUP($A120, LS_previous!$B$4:$AY$137, LS_previous!P$148, FALSE), VLOOKUP('Staging Table'!$A120, LS_previous!$B$4:$AY$137,LS_previous!AN$148, FALSE))/2)</f>
        <v>1561.0787272054986</v>
      </c>
      <c r="Y120" s="102">
        <f t="array" ref="Y120">IF($G120=0, INDEX(LS_previous!$D$4:$AY$137, MATCH('Staging Table'!$A120, LS_previous!$B$4:$B$137, 0), MATCH(Y$4&amp;Y$5, LS_previous!$D$2:$AY$2&amp;LS_previous!$D$3:$AY$3, 0)),SUM(VLOOKUP($A120, LS_previous!$B$4:$AY$137, LS_previous!Q$148, FALSE), VLOOKUP('Staging Table'!$A120, LS_previous!$B$4:$AY$137,LS_previous!AO$148, FALSE))/2)</f>
        <v>1135.11861869735</v>
      </c>
      <c r="Z120" s="102">
        <f t="array" ref="Z120">IF($G120=0, INDEX(LS_previous!$D$4:$AY$137, MATCH('Staging Table'!$A120, LS_previous!$B$4:$B$137, 0), MATCH(Z$4&amp;Z$5, LS_previous!$D$2:$AY$2&amp;LS_previous!$D$3:$AY$3, 0)),SUM(VLOOKUP($A120, LS_previous!$B$4:$AY$137, LS_previous!R$148, FALSE), VLOOKUP('Staging Table'!$A120, LS_previous!$B$4:$AY$137,LS_previous!AP$148, FALSE))/2)</f>
        <v>561.70724304959913</v>
      </c>
      <c r="AA120" s="102">
        <f t="array" ref="AA120">IF($G120=0, INDEX(LS_previous!$D$4:$AY$137, MATCH('Staging Table'!$A120, LS_previous!$B$4:$B$137, 0), MATCH(AA$4&amp;AA$5, LS_previous!$D$2:$AY$2&amp;LS_previous!$D$3:$AY$3, 0)),SUM(VLOOKUP($A120, LS_previous!$B$4:$AY$137, LS_previous!S$148, FALSE), VLOOKUP('Staging Table'!$A120, LS_previous!$B$4:$AY$137,LS_previous!AQ$148, FALSE))/2)</f>
        <v>1140.8032659416986</v>
      </c>
      <c r="AB120" s="102">
        <f t="array" ref="AB120">IF($G120=0, INDEX(LS_previous!$D$4:$AY$137, MATCH('Staging Table'!$A120, LS_previous!$B$4:$B$137, 0), MATCH(AB$4&amp;AB$5, LS_previous!$D$2:$AY$2&amp;LS_previous!$D$3:$AY$3, 0)),SUM(VLOOKUP($A120, LS_previous!$B$4:$AY$137, LS_previous!T$148, FALSE), VLOOKUP('Staging Table'!$A120, LS_previous!$B$4:$AY$137,LS_previous!AR$148, FALSE))/2)</f>
        <v>4764.8316027451983</v>
      </c>
      <c r="AC120" s="102">
        <f t="array" ref="AC120">IF($G120=0, INDEX(LS_previous!$D$4:$AY$137, MATCH('Staging Table'!$A120, LS_previous!$B$4:$B$137, 0), MATCH(AC$4&amp;AC$5, LS_previous!$D$2:$AY$2&amp;LS_previous!$D$3:$AY$3, 0)),SUM(VLOOKUP($A120, LS_previous!$B$4:$AY$137, LS_previous!U$148, FALSE), VLOOKUP('Staging Table'!$A120, LS_previous!$B$4:$AY$137,LS_previous!AS$148, FALSE))/2)</f>
        <v>3603.1321184808985</v>
      </c>
      <c r="AD120" s="102">
        <f t="array" ref="AD120">IF($G120=0, INDEX(LS_previous!$D$4:$AY$137, MATCH('Staging Table'!$A120, LS_previous!$B$4:$B$137, 0), MATCH(AD$4&amp;AD$5, LS_previous!$D$2:$AY$2&amp;LS_previous!$D$3:$AY$3, 0)),SUM(VLOOKUP($A120, LS_previous!$B$4:$AY$137, LS_previous!V$148, FALSE), VLOOKUP('Staging Table'!$A120, LS_previous!$B$4:$AY$137,LS_previous!AT$148, FALSE))/2)</f>
        <v>6840.9875505927994</v>
      </c>
      <c r="AE120" s="102">
        <f t="array" ref="AE120">IF($G120=0, INDEX(LS_previous!$D$4:$AY$137, MATCH('Staging Table'!$A120, LS_previous!$B$4:$B$137, 0), MATCH(AE$4&amp;AE$5, LS_previous!$D$2:$AY$2&amp;LS_previous!$D$3:$AY$3, 0)),SUM(VLOOKUP($A120, LS_previous!$B$4:$AY$137, LS_previous!W$148, FALSE), VLOOKUP('Staging Table'!$A120, LS_previous!$B$4:$AY$137,LS_previous!AU$148, FALSE))/2)</f>
        <v>6388.9367411754993</v>
      </c>
      <c r="AF120" s="102">
        <f t="array" ref="AF120">IF($G120=0, INDEX(LS_previous!$D$4:$AY$137, MATCH('Staging Table'!$A120, LS_previous!$B$4:$B$137, 0), MATCH(AF$4&amp;AF$5, LS_previous!$D$2:$AY$2&amp;LS_previous!$D$3:$AY$3, 0)),SUM(VLOOKUP($A120, LS_previous!$B$4:$AY$137, LS_previous!X$148, FALSE), VLOOKUP('Staging Table'!$A120, LS_previous!$B$4:$AY$137,LS_previous!AV$148, FALSE))/2)</f>
        <v>7144.9483137243005</v>
      </c>
      <c r="AG120" s="102">
        <f t="array" ref="AG120">IF($G120=0, INDEX(LS_previous!$D$4:$AY$137, MATCH('Staging Table'!$A120, LS_previous!$B$4:$B$137, 0), MATCH(AG$4&amp;AG$5, LS_previous!$D$2:$AY$2&amp;LS_previous!$D$3:$AY$3, 0)),SUM(VLOOKUP($A120, LS_previous!$B$4:$AY$137, LS_previous!Y$148, FALSE), VLOOKUP('Staging Table'!$A120, LS_previous!$B$4:$AY$137,LS_previous!AW$148, FALSE))/2)</f>
        <v>5189.9976810669714</v>
      </c>
      <c r="AH120" s="102">
        <f t="array" ref="AH120">IF($G120=0, INDEX(LS_previous!$D$4:$AY$137, MATCH('Staging Table'!$A120, LS_previous!$B$4:$B$137, 0), MATCH(AH$4&amp;AH$5, LS_previous!$D$2:$AY$2&amp;LS_previous!$D$3:$AY$3, 0)),SUM(VLOOKUP($A120, LS_previous!$B$4:$AY$137, LS_previous!Z$148, FALSE), VLOOKUP('Staging Table'!$A120, LS_previous!$B$4:$AY$137,LS_previous!AX$148, FALSE))/2)</f>
        <v>2214.020878494799</v>
      </c>
      <c r="AI120" s="102">
        <f t="array" ref="AI120">IF($G120=0, INDEX(LS_previous!$D$4:$AY$137, MATCH('Staging Table'!$A120, LS_previous!$B$4:$B$137, 0), MATCH(AI$4&amp;AI$5, LS_previous!$D$2:$AY$2&amp;LS_previous!$D$3:$AY$3, 0)),SUM(VLOOKUP($A120, LS_previous!$B$4:$AY$137, LS_previous!AA$148, FALSE), VLOOKUP('Staging Table'!$A120, LS_previous!$B$4:$AY$137,LS_previous!AY$148, FALSE))/2)</f>
        <v>1369.9157624607997</v>
      </c>
      <c r="AJ120" s="103">
        <f t="array" ref="AJ120">INDEX(Demand_previous!$D$4:$AY$137, MATCH('Staging Table'!$A120, Demand_previous!$B$4:$B$137, 0), MATCH(AJ$4&amp;AJ$5,Demand_previous!$D$2:$AY$2&amp;Demand_previous!$D$3:$AY$3, 0))/1000</f>
        <v>2.7483365384615448</v>
      </c>
      <c r="AK120" s="103">
        <f t="array" ref="AK120">INDEX(Demand_previous!$D$4:$AY$137, MATCH('Staging Table'!$A120, Demand_previous!$B$4:$B$137, 0), MATCH(AK$4&amp;AK$5,Demand_previous!$D$2:$AY$2&amp;Demand_previous!$D$3:$AY$3, 0))/1000</f>
        <v>0.75325500000000112</v>
      </c>
      <c r="AL120" s="103">
        <f t="array" ref="AL120">INDEX(Demand_previous!$D$4:$AY$137, MATCH('Staging Table'!$A120, Demand_previous!$B$4:$B$137, 0), MATCH(AL$4&amp;AL$5,Demand_previous!$D$2:$AY$2&amp;Demand_previous!$D$3:$AY$3, 0))/1000</f>
        <v>3.1316675000000078</v>
      </c>
      <c r="AM120" s="103">
        <f t="array" ref="AM120">INDEX(Demand_previous!$D$4:$AY$137, MATCH('Staging Table'!$A120, Demand_previous!$B$4:$B$137, 0), MATCH(AM$4&amp;AM$5,Demand_previous!$D$2:$AY$2&amp;Demand_previous!$D$3:$AY$3, 0))/1000</f>
        <v>5.4677091346153812</v>
      </c>
      <c r="AN120" s="103">
        <f t="array" ref="AN120">INDEX(Demand_previous!$D$4:$AY$137, MATCH('Staging Table'!$A120, Demand_previous!$B$4:$B$137, 0), MATCH(AN$4&amp;AN$5,Demand_previous!$D$2:$AY$2&amp;Demand_previous!$D$3:$AY$3, 0))/1000</f>
        <v>2.4530450000000048</v>
      </c>
      <c r="AO120" s="103">
        <f t="array" ref="AO120">INDEX(Demand_previous!$D$4:$AY$137, MATCH('Staging Table'!$A120, Demand_previous!$B$4:$B$137, 0), MATCH(AO$4&amp;AO$5,Demand_previous!$D$2:$AY$2&amp;Demand_previous!$D$3:$AY$3, 0))/1000</f>
        <v>1.1412379807692297</v>
      </c>
      <c r="AP120" s="103">
        <f t="array" ref="AP120">INDEX(Demand_previous!$D$4:$AY$137, MATCH('Staging Table'!$A120, Demand_previous!$B$4:$B$137, 0), MATCH(AP$4&amp;AP$5,Demand_previous!$D$2:$AY$2&amp;Demand_previous!$D$3:$AY$3, 0))/1000</f>
        <v>1.6266730769230744</v>
      </c>
      <c r="AQ120" s="103">
        <f t="array" ref="AQ120">INDEX(Demand_previous!$D$4:$AY$137, MATCH('Staging Table'!$A120, Demand_previous!$B$4:$B$137, 0), MATCH(AQ$4&amp;AQ$5,Demand_previous!$D$2:$AY$2&amp;Demand_previous!$D$3:$AY$3, 0))/1000</f>
        <v>4.4462355769230806</v>
      </c>
      <c r="AR120" s="103">
        <f t="array" ref="AR120">INDEX(Demand_previous!$D$4:$AY$137, MATCH('Staging Table'!$A120, Demand_previous!$B$4:$B$137, 0), MATCH(AR$4&amp;AR$5,Demand_previous!$D$2:$AY$2&amp;Demand_previous!$D$3:$AY$3, 0))/1000</f>
        <v>1.4966150000000058</v>
      </c>
      <c r="AS120" s="103">
        <f t="array" ref="AS120">INDEX(Demand_previous!$D$4:$AY$137, MATCH('Staging Table'!$A120, Demand_previous!$B$4:$B$137, 0), MATCH(AS$4&amp;AS$5,Demand_previous!$D$2:$AY$2&amp;Demand_previous!$D$3:$AY$3, 0))/1000</f>
        <v>7.4713942307692243</v>
      </c>
      <c r="AT120" s="103">
        <f t="array" ref="AT120">INDEX(Demand_previous!$D$4:$AY$137, MATCH('Staging Table'!$A120, Demand_previous!$B$4:$B$137, 0), MATCH(AT$4&amp;AT$5,Demand_previous!$D$2:$AY$2&amp;Demand_previous!$D$3:$AY$3, 0))/1000</f>
        <v>5.8405277777777744</v>
      </c>
      <c r="AU120" s="103">
        <f t="array" ref="AU120">INDEX(Demand_previous!$D$4:$AY$137, MATCH('Staging Table'!$A120, Demand_previous!$B$4:$B$137, 0), MATCH(AU$4&amp;AU$5,Demand_previous!$D$2:$AY$2&amp;Demand_previous!$D$3:$AY$3, 0))/1000</f>
        <v>1.1494322916666597</v>
      </c>
      <c r="AV120" s="102">
        <f>$F120*(VLOOKUP(AV$4, Rates_previous!$G$6:$Q$29, 10, FALSE)+VLOOKUP(AV$4, Rates_previous!$G$6:$Q$29, 11, FALSE))</f>
        <v>18308.764564157704</v>
      </c>
      <c r="AW120" s="102">
        <f>$F120*(VLOOKUP(AW$4, Rates_previous!$G$6:$Q$29, 10, FALSE)+VLOOKUP(AW$4, Rates_previous!$G$6:$Q$29, 11, FALSE))</f>
        <v>23349.712188868205</v>
      </c>
      <c r="AX120" s="102">
        <f>$F120*(VLOOKUP(AX$4, Rates_previous!$G$6:$Q$29, 10, FALSE)+VLOOKUP(AX$4, Rates_previous!$G$6:$Q$29, 11, FALSE))</f>
        <v>25198.959452013005</v>
      </c>
      <c r="AY120" s="102">
        <f>$F120*(VLOOKUP(AY$4, Rates_previous!$G$6:$Q$29, 10, FALSE)+VLOOKUP(AY$4, Rates_previous!$G$6:$Q$29, 11, FALSE))</f>
        <v>26185.614323011203</v>
      </c>
      <c r="AZ120" s="102">
        <f>$F120*(VLOOKUP(AZ$4, Rates_previous!$G$6:$Q$29, 10, FALSE)+VLOOKUP(AZ$4, Rates_previous!$G$6:$Q$29, 11, FALSE))</f>
        <v>22523.1186373524</v>
      </c>
      <c r="BA120" s="102">
        <f>$F120*(VLOOKUP(BA$4, Rates_previous!$G$6:$Q$29, 10, FALSE)+VLOOKUP(BA$4, Rates_previous!$G$6:$Q$29, 11, FALSE))</f>
        <v>24590.786198761802</v>
      </c>
      <c r="BB120" s="102">
        <f>$F120*(VLOOKUP(BB$4, Rates_previous!$G$6:$Q$29, 10, FALSE)+VLOOKUP(BB$4, Rates_previous!$G$6:$Q$29, 11, FALSE))</f>
        <v>19410.281654097151</v>
      </c>
      <c r="BC120" s="102">
        <f>$F120*(VLOOKUP(BC$4, Rates_previous!$G$6:$Q$29, 10, FALSE)+VLOOKUP(BC$4, Rates_previous!$G$6:$Q$29, 11, FALSE))</f>
        <v>24081.055491008701</v>
      </c>
      <c r="BD120" s="102">
        <f>$F120*(VLOOKUP(BD$4, Rates_previous!$G$6:$Q$29, 10, FALSE)+VLOOKUP(BD$4, Rates_previous!$G$6:$Q$29, 11, FALSE))</f>
        <v>24603.5542787739</v>
      </c>
      <c r="BE120" s="102">
        <f>$F120*(VLOOKUP(BE$4, Rates_previous!$G$6:$Q$29, 10, FALSE)+VLOOKUP(BE$4, Rates_previous!$G$6:$Q$29, 11, FALSE))</f>
        <v>21359.429708231703</v>
      </c>
      <c r="BF120" s="102">
        <f>$F120*(VLOOKUP(BF$4, Rates_previous!$G$6:$Q$29, 10, FALSE)+VLOOKUP(BF$4, Rates_previous!$G$6:$Q$29, 11, FALSE))</f>
        <v>20648.891005208734</v>
      </c>
      <c r="BG120" s="102">
        <f>$F120*(VLOOKUP(BG$4, Rates_previous!$G$6:$Q$29, 10, FALSE)+VLOOKUP(BG$4, Rates_previous!$G$6:$Q$29, 11, FALSE))</f>
        <v>19000.978359044406</v>
      </c>
      <c r="BH120" s="103">
        <f>IF($D120=0,IF(C120=0, MAX(BJ120 - (VLOOKUP($A120,TOCA_previous!$A$2:$AJ$136,MATCH("RHWM "&amp;Init!$D$1-2,TOCA_previous!$A$2:$AJ$2,0),FALSE)*$F$2*TOCA_previous!C117),0),0), 0)</f>
        <v>45481.558234239114</v>
      </c>
      <c r="BI120" s="109">
        <f>MIN(VLOOKUP($A120,TOCA_previous!$A$2:$AJ$136,MATCH("TRL - NLSL - Existing Resource "&amp;$F$1,TOCA_previous!$A$2:$AJ$2,0),FALSE)*$F$2,(VLOOKUP($A120,TOCA_previous!$A$2:$AJ$136,MATCH("RHWM "&amp;Init!$D$1-2,TOCA_previous!$A$2:$AJ$2,0),FALSE)*$F$2))</f>
        <v>263317.96799999999</v>
      </c>
      <c r="BJ120" s="261">
        <f>SUM(L120:AI120)+(F120*RT1SC!$C$3*$F$2)</f>
        <v>308799.52623423911</v>
      </c>
      <c r="BK120" s="260">
        <f>VLOOKUP($A120,TOCA_previous!$A$2:$AJ$136,MATCH("Above RHWM Not Served with LS "&amp;$F$1,TOCA_previous!$A$2:$AJ$2,0),FALSE)*$F$2</f>
        <v>70948.368000000002</v>
      </c>
      <c r="BL120" s="261">
        <f t="shared" si="36"/>
        <v>45481.558234239114</v>
      </c>
      <c r="BM120" s="260">
        <f>(VLOOKUP($A120,TOCA_previous!$A$2:$AJ$136,MATCH("RHWM "&amp;Init!$D$1-2,TOCA_previous!$A$2:$AJ$2,0),FALSE)*$F$2) - $BI120</f>
        <v>0</v>
      </c>
      <c r="BN120" s="261">
        <f t="shared" si="37"/>
        <v>0</v>
      </c>
      <c r="BO120" s="260">
        <f t="shared" si="38"/>
        <v>0</v>
      </c>
      <c r="BP120" s="261">
        <f t="shared" si="39"/>
        <v>0</v>
      </c>
      <c r="BQ120" s="260">
        <f t="shared" si="9"/>
        <v>0</v>
      </c>
      <c r="BR120" s="85">
        <f>VLOOKUP($A120,TOCA_current!$A$2:$ZZ$136,MATCH(BR$4,TOCA_current!$A$2:$ZZ$2,0),FALSE)</f>
        <v>4.2408000000000003E-3</v>
      </c>
      <c r="BS120" s="85">
        <f>VLOOKUP($A120,TOCA_current!$A$2:$ZZ$136,MATCH(BS$4,TOCA_current!$A$2:$ZZ$2,0),FALSE)</f>
        <v>4.2408000000000003E-3</v>
      </c>
      <c r="BT120" s="108">
        <f t="shared" si="40"/>
        <v>0</v>
      </c>
      <c r="BU120" s="85">
        <f>VLOOKUP($A120,TOCA_current!A117:BG251,MATCH(BU$4,TOCA_current!$A$2:$BG$2,0),FALSE)</f>
        <v>4.3134328358208962E-2</v>
      </c>
      <c r="BV120" s="85">
        <f t="shared" si="41"/>
        <v>0</v>
      </c>
      <c r="BW120" s="85">
        <f t="shared" si="42"/>
        <v>0</v>
      </c>
      <c r="BX120" s="101">
        <f>VLOOKUP($A120,IRD!$A$4:$G$138, 7, FALSE)</f>
        <v>44270.152999999998</v>
      </c>
      <c r="BY120" s="102">
        <f t="array" ref="BY120">IF($BT120=0, INDEX(LS_current!$D$4:$BW$137, MATCH('Staging Table'!$A120, LS_current!$B$4:$B$137, 0), MATCH(BY$4&amp;BY$5, LS_current!$D$2:$BW$2&amp;LS_current!$D$3:$BW$3, 0)),SUM(VLOOKUP($A120, LS_current!$B$4:$BW$137, LS_current!D$147, FALSE), VLOOKUP($A120, LS_current!$B$4:$BW$137,LS_current!AZ$147, FALSE))/2)</f>
        <v>-335.60602124741308</v>
      </c>
      <c r="BZ120" s="102">
        <f t="array" ref="BZ120">IF($BT120=0, INDEX(LS_current!$D$4:$BW$137, MATCH('Staging Table'!$A120, LS_current!$B$4:$B$137, 0), MATCH(BZ$4&amp;BZ$5, LS_current!$D$2:$BW$2&amp;LS_current!$D$3:$BW$3, 0)),SUM(VLOOKUP($A120, LS_current!$B$4:$BW$137, LS_current!E$147, FALSE), VLOOKUP($A120, LS_current!$B$4:$BW$137,LS_current!BA$147, FALSE))/2)</f>
        <v>94.437330368265066</v>
      </c>
      <c r="CA120" s="102">
        <f t="array" ref="CA120">IF($BT120=0, INDEX(LS_current!$D$4:$BW$137, MATCH('Staging Table'!$A120, LS_current!$B$4:$B$137, 0), MATCH(CA$4&amp;CA$5, LS_current!$D$2:$BW$2&amp;LS_current!$D$3:$BW$3, 0)),SUM(VLOOKUP($A120, LS_current!$B$4:$BW$137, LS_current!F$147, FALSE), VLOOKUP($A120, LS_current!$B$4:$BW$137,LS_current!BB$147, FALSE))/2)</f>
        <v>-3610.4071085078831</v>
      </c>
      <c r="CB120" s="102">
        <f t="array" ref="CB120">IF($BT120=0, INDEX(LS_current!$D$4:$BW$137, MATCH('Staging Table'!$A120, LS_current!$B$4:$B$137, 0), MATCH(CB$4&amp;CB$5, LS_current!$D$2:$BW$2&amp;LS_current!$D$3:$BW$3, 0)),SUM(VLOOKUP($A120, LS_current!$B$4:$BW$137, LS_current!G$147, FALSE), VLOOKUP($A120, LS_current!$B$4:$BW$137,LS_current!BC$147, FALSE))/2)</f>
        <v>-2122.107615910867</v>
      </c>
      <c r="CC120" s="102">
        <f t="array" ref="CC120">IF($BT120=0, INDEX(LS_current!$D$4:$BW$137, MATCH('Staging Table'!$A120, LS_current!$B$4:$B$137, 0), MATCH(CC$4&amp;CC$5, LS_current!$D$2:$BW$2&amp;LS_current!$D$3:$BW$3, 0)),SUM(VLOOKUP($A120, LS_current!$B$4:$BW$137, LS_current!H$147, FALSE), VLOOKUP($A120, LS_current!$B$4:$BW$137,LS_current!BD$147, FALSE))/2)</f>
        <v>-3151.4102722860007</v>
      </c>
      <c r="CD120" s="102">
        <f t="array" ref="CD120">IF($BT120=0, INDEX(LS_current!$D$4:$BW$137, MATCH('Staging Table'!$A120, LS_current!$B$4:$B$137, 0), MATCH(CD$4&amp;CD$5, LS_current!$D$2:$BW$2&amp;LS_current!$D$3:$BW$3, 0)),SUM(VLOOKUP($A120, LS_current!$B$4:$BW$137, LS_current!I$147, FALSE), VLOOKUP($A120, LS_current!$B$4:$BW$137,LS_current!BE$147, FALSE))/2)</f>
        <v>620.85415315508726</v>
      </c>
      <c r="CE120" s="102">
        <f t="array" ref="CE120">IF($BT120=0, INDEX(LS_current!$D$4:$BW$137, MATCH('Staging Table'!$A120, LS_current!$B$4:$B$137, 0), MATCH(CE$4&amp;CE$5, LS_current!$D$2:$BW$2&amp;LS_current!$D$3:$BW$3, 0)),SUM(VLOOKUP($A120, LS_current!$B$4:$BW$137, LS_current!J$147, FALSE), VLOOKUP($A120, LS_current!$B$4:$BW$137,LS_current!BF$147, FALSE))/2)</f>
        <v>-3843.5933843332496</v>
      </c>
      <c r="CF120" s="102">
        <f t="array" ref="CF120">IF($BT120=0, INDEX(LS_current!$D$4:$BW$137, MATCH('Staging Table'!$A120, LS_current!$B$4:$B$137, 0), MATCH(CF$4&amp;CF$5, LS_current!$D$2:$BW$2&amp;LS_current!$D$3:$BW$3, 0)),SUM(VLOOKUP($A120, LS_current!$B$4:$BW$137, LS_current!K$147, FALSE), VLOOKUP($A120, LS_current!$B$4:$BW$137,LS_current!BG$147, FALSE))/2)</f>
        <v>-263.97165271094855</v>
      </c>
      <c r="CG120" s="102">
        <f t="array" ref="CG120">IF($BT120=0, INDEX(LS_current!$D$4:$BW$137, MATCH('Staging Table'!$A120, LS_current!$B$4:$B$137, 0), MATCH(CG$4&amp;CG$5, LS_current!$D$2:$BW$2&amp;LS_current!$D$3:$BW$3, 0)),SUM(VLOOKUP($A120, LS_current!$B$4:$BW$137, LS_current!L$147, FALSE), VLOOKUP($A120, LS_current!$B$4:$BW$137,LS_current!BH$147, FALSE))/2)</f>
        <v>-2926.1973604464001</v>
      </c>
      <c r="CH120" s="102">
        <f t="array" ref="CH120">IF($BT120=0, INDEX(LS_current!$D$4:$BW$137, MATCH('Staging Table'!$A120, LS_current!$B$4:$B$137, 0), MATCH(CH$4&amp;CH$5, LS_current!$D$2:$BW$2&amp;LS_current!$D$3:$BW$3, 0)),SUM(VLOOKUP($A120, LS_current!$B$4:$BW$137, LS_current!M$147, FALSE), VLOOKUP($A120, LS_current!$B$4:$BW$137,LS_current!BI$147, FALSE))/2)</f>
        <v>-363.57158096998955</v>
      </c>
      <c r="CI120" s="102">
        <f t="array" ref="CI120">IF($BT120=0, INDEX(LS_current!$D$4:$BW$137, MATCH('Staging Table'!$A120, LS_current!$B$4:$B$137, 0), MATCH(CI$4&amp;CI$5, LS_current!$D$2:$BW$2&amp;LS_current!$D$3:$BW$3, 0)),SUM(VLOOKUP($A120, LS_current!$B$4:$BW$137, LS_current!N$147, FALSE), VLOOKUP($A120, LS_current!$B$4:$BW$137,LS_current!BJ$147, FALSE))/2)</f>
        <v>-4767.683612806959</v>
      </c>
      <c r="CJ120" s="102">
        <f t="array" ref="CJ120">IF($BT120=0, INDEX(LS_current!$D$4:$BW$137, MATCH('Staging Table'!$A120, LS_current!$B$4:$B$137, 0), MATCH(CJ$4&amp;CJ$5, LS_current!$D$2:$BW$2&amp;LS_current!$D$3:$BW$3, 0)),SUM(VLOOKUP($A120, LS_current!$B$4:$BW$137, LS_current!O$147, FALSE), VLOOKUP($A120, LS_current!$B$4:$BW$137,LS_current!BK$147, FALSE))/2)</f>
        <v>-1435.2924085689883</v>
      </c>
      <c r="CK120" s="102">
        <f t="array" ref="CK120">IF($BT120=0, INDEX(LS_current!$D$4:$BW$137, MATCH('Staging Table'!$A120, LS_current!$B$4:$B$137, 0), MATCH(CK$4&amp;CK$5, LS_current!$D$2:$BW$2&amp;LS_current!$D$3:$BW$3, 0)),SUM(VLOOKUP($A120, LS_current!$B$4:$BW$137, LS_current!P$147, FALSE), VLOOKUP($A120, LS_current!$B$4:$BW$137,LS_current!BL$147, FALSE))/2)</f>
        <v>23.823703828249563</v>
      </c>
      <c r="CL120" s="102">
        <f t="array" ref="CL120">IF($BT120=0, INDEX(LS_current!$D$4:$BW$137, MATCH('Staging Table'!$A120, LS_current!$B$4:$B$137, 0), MATCH(CL$4&amp;CL$5, LS_current!$D$2:$BW$2&amp;LS_current!$D$3:$BW$3, 0)),SUM(VLOOKUP($A120, LS_current!$B$4:$BW$137, LS_current!Q$147, FALSE), VLOOKUP($A120, LS_current!$B$4:$BW$137,LS_current!BM$147, FALSE))/2)</f>
        <v>169.96236849348679</v>
      </c>
      <c r="CM120" s="102">
        <f t="array" ref="CM120">IF($BT120=0, INDEX(LS_current!$D$4:$BW$137, MATCH('Staging Table'!$A120, LS_current!$B$4:$B$137, 0), MATCH(CM$4&amp;CM$5, LS_current!$D$2:$BW$2&amp;LS_current!$D$3:$BW$3, 0)),SUM(VLOOKUP($A120, LS_current!$B$4:$BW$137, LS_current!R$147, FALSE), VLOOKUP($A120, LS_current!$B$4:$BW$137,LS_current!BN$147, FALSE))/2)</f>
        <v>-1006.6589899718856</v>
      </c>
      <c r="CN120" s="102">
        <f t="array" ref="CN120">IF($BT120=0, INDEX(LS_current!$D$4:$BW$137, MATCH('Staging Table'!$A120, LS_current!$B$4:$B$137, 0), MATCH(CN$4&amp;CN$5, LS_current!$D$2:$BW$2&amp;LS_current!$D$3:$BW$3, 0)),SUM(VLOOKUP($A120, LS_current!$B$4:$BW$137, LS_current!S$147, FALSE), VLOOKUP($A120, LS_current!$B$4:$BW$137,LS_current!BO$147, FALSE))/2)</f>
        <v>-606.31566475172986</v>
      </c>
      <c r="CO120" s="102">
        <f t="array" ref="CO120">IF($BT120=0, INDEX(LS_current!$D$4:$BW$137, MATCH('Staging Table'!$A120, LS_current!$B$4:$B$137, 0), MATCH(CO$4&amp;CO$5, LS_current!$D$2:$BW$2&amp;LS_current!$D$3:$BW$3, 0)),SUM(VLOOKUP($A120, LS_current!$B$4:$BW$137, LS_current!T$147, FALSE), VLOOKUP($A120, LS_current!$B$4:$BW$137,LS_current!BP$147, FALSE))/2)</f>
        <v>2254.5387144015167</v>
      </c>
      <c r="CP120" s="102">
        <f t="array" ref="CP120">IF($BT120=0, INDEX(LS_current!$D$4:$BW$137, MATCH('Staging Table'!$A120, LS_current!$B$4:$B$137, 0), MATCH(CP$4&amp;CP$5, LS_current!$D$2:$BW$2&amp;LS_current!$D$3:$BW$3, 0)),SUM(VLOOKUP($A120, LS_current!$B$4:$BW$137, LS_current!U$147, FALSE), VLOOKUP($A120, LS_current!$B$4:$BW$137,LS_current!BQ$147, FALSE))/2)</f>
        <v>2939.7816130965657</v>
      </c>
      <c r="CQ120" s="102">
        <f t="array" ref="CQ120">IF($BT120=0, INDEX(LS_current!$D$4:$BW$137, MATCH('Staging Table'!$A120, LS_current!$B$4:$B$137, 0), MATCH(CQ$4&amp;CQ$5, LS_current!$D$2:$BW$2&amp;LS_current!$D$3:$BW$3, 0)),SUM(VLOOKUP($A120, LS_current!$B$4:$BW$137, LS_current!V$147, FALSE), VLOOKUP($A120, LS_current!$B$4:$BW$137,LS_current!BR$147, FALSE))/2)</f>
        <v>4433.9837400893011</v>
      </c>
      <c r="CR120" s="102">
        <f t="array" ref="CR120">IF($BT120=0, INDEX(LS_current!$D$4:$BW$137, MATCH('Staging Table'!$A120, LS_current!$B$4:$B$137, 0), MATCH(CR$4&amp;CR$5, LS_current!$D$2:$BW$2&amp;LS_current!$D$3:$BW$3, 0)),SUM(VLOOKUP($A120, LS_current!$B$4:$BW$137, LS_current!W$147, FALSE), VLOOKUP($A120, LS_current!$B$4:$BW$137,LS_current!BS$147, FALSE))/2)</f>
        <v>4902.8874319990628</v>
      </c>
      <c r="CS120" s="102">
        <f t="array" ref="CS120">IF($BT120=0, INDEX(LS_current!$D$4:$BW$137, MATCH('Staging Table'!$A120, LS_current!$B$4:$B$137, 0), MATCH(CS$4&amp;CS$5, LS_current!$D$2:$BW$2&amp;LS_current!$D$3:$BW$3, 0)),SUM(VLOOKUP($A120, LS_current!$B$4:$BW$137, LS_current!X$147, FALSE), VLOOKUP($A120, LS_current!$B$4:$BW$137,LS_current!BT$147, FALSE))/2)</f>
        <v>3621.7712593973101</v>
      </c>
      <c r="CT120" s="102">
        <f t="array" ref="CT120">IF($BT120=0, INDEX(LS_current!$D$4:$BW$137, MATCH('Staging Table'!$A120, LS_current!$B$4:$B$137, 0), MATCH(CT$4&amp;CT$5, LS_current!$D$2:$BW$2&amp;LS_current!$D$3:$BW$3, 0)),SUM(VLOOKUP($A120, LS_current!$B$4:$BW$137, LS_current!Y$147, FALSE), VLOOKUP($A120, LS_current!$B$4:$BW$137,LS_current!BU$147, FALSE))/2)</f>
        <v>3556.049816499376</v>
      </c>
      <c r="CU120" s="102">
        <f t="array" ref="CU120">IF($BT120=0, INDEX(LS_current!$D$4:$BW$137, MATCH('Staging Table'!$A120, LS_current!$B$4:$B$137, 0), MATCH(CU$4&amp;CU$5, LS_current!$D$2:$BW$2&amp;LS_current!$D$3:$BW$3, 0)),SUM(VLOOKUP($A120, LS_current!$B$4:$BW$137, LS_current!Z$147, FALSE), VLOOKUP($A120, LS_current!$B$4:$BW$137,LS_current!BV$147, FALSE))/2)</f>
        <v>752.0237196800208</v>
      </c>
      <c r="CV120" s="102">
        <f t="array" ref="CV120">IF($BT120=0, INDEX(LS_current!$D$4:$BW$137, MATCH('Staging Table'!$A120, LS_current!$B$4:$B$137, 0), MATCH(CV$4&amp;CV$5, LS_current!$D$2:$BW$2&amp;LS_current!$D$3:$BW$3, 0)),SUM(VLOOKUP($A120, LS_current!$B$4:$BW$137, LS_current!AA$147, FALSE), VLOOKUP($A120, LS_current!$B$4:$BW$137,LS_current!BW$147, FALSE))/2)</f>
        <v>1062.9624669743571</v>
      </c>
      <c r="CW120" s="103">
        <f t="array" ref="CW120">INDEX(Demand_current!$D$4:$BW$137, MATCH($A120, Demand_current!$B$4:$B$137, 0), MATCH(CW$4&amp;CW$5,Demand_current!$D$2:$BW$2&amp;Demand_current!$D$3:$BW$3, 0))/1000</f>
        <v>4.2025462962962985</v>
      </c>
      <c r="CX120" s="103">
        <f t="array" ref="CX120">INDEX(Demand_current!$D$4:$BW$137, MATCH($A120, Demand_current!$B$4:$B$137, 0), MATCH(CX$4&amp;CX$5,Demand_current!$D$2:$BW$2&amp;Demand_current!$D$3:$BW$3, 0))/1000</f>
        <v>0</v>
      </c>
      <c r="CY120" s="103">
        <f t="array" ref="CY120">INDEX(Demand_current!$D$4:$BW$137, MATCH($A120, Demand_current!$B$4:$B$137, 0), MATCH(CY$4&amp;CY$5,Demand_current!$D$2:$BW$2&amp;Demand_current!$D$3:$BW$3, 0))/1000</f>
        <v>4.9334495192307717</v>
      </c>
      <c r="CZ120" s="103">
        <f t="array" ref="CZ120">INDEX(Demand_current!$D$4:$BW$137, MATCH($A120, Demand_current!$B$4:$B$137, 0), MATCH(CZ$4&amp;CZ$5,Demand_current!$D$2:$BW$2&amp;Demand_current!$D$3:$BW$3, 0))/1000</f>
        <v>5.4677091346153812</v>
      </c>
      <c r="DA120" s="103">
        <f t="array" ref="DA120">INDEX(Demand_current!$D$4:$BW$137, MATCH($A120, Demand_current!$B$4:$B$137, 0), MATCH(DA$4&amp;DA$5,Demand_current!$D$2:$BW$2&amp;Demand_current!$D$3:$BW$3, 0))/1000</f>
        <v>0.80404687499999916</v>
      </c>
      <c r="DB120" s="103">
        <f t="array" ref="DB120">INDEX(Demand_current!$D$4:$BW$137, MATCH($A120, Demand_current!$B$4:$B$137, 0), MATCH(DB$4&amp;DB$5,Demand_current!$D$2:$BW$2&amp;Demand_current!$D$3:$BW$3, 0))/1000</f>
        <v>1.1412379807692297</v>
      </c>
      <c r="DC120" s="103">
        <f t="array" ref="DC120">INDEX(Demand_current!$D$4:$BW$137, MATCH($A120, Demand_current!$B$4:$B$137, 0), MATCH(DC$4&amp;DC$5,Demand_current!$D$2:$BW$2&amp;Demand_current!$D$3:$BW$3, 0))/1000</f>
        <v>1.6266730769230744</v>
      </c>
      <c r="DD120" s="103">
        <f t="array" ref="DD120">INDEX(Demand_current!$D$4:$BW$137, MATCH($A120, Demand_current!$B$4:$B$137, 0), MATCH(DD$4&amp;DD$5,Demand_current!$D$2:$BW$2&amp;Demand_current!$D$3:$BW$3, 0))/1000</f>
        <v>2.662124999999997</v>
      </c>
      <c r="DE120" s="103">
        <f t="array" ref="DE120">INDEX(Demand_current!$D$4:$BW$137, MATCH($A120, Demand_current!$B$4:$B$137, 0), MATCH(DE$4&amp;DE$5,Demand_current!$D$2:$BW$2&amp;Demand_current!$D$3:$BW$3, 0))/1000</f>
        <v>3.7509759615384723</v>
      </c>
      <c r="DF120" s="103">
        <f t="array" ref="DF120">INDEX(Demand_current!$D$4:$BW$137, MATCH($A120, Demand_current!$B$4:$B$137, 0), MATCH(DF$4&amp;DF$5,Demand_current!$D$2:$BW$2&amp;Demand_current!$D$3:$BW$3, 0))/1000</f>
        <v>7.4713942307692243</v>
      </c>
      <c r="DG120" s="103">
        <f t="array" ref="DG120">INDEX(Demand_current!$D$4:$BW$137, MATCH($A120, Demand_current!$B$4:$B$137, 0), MATCH(DG$4&amp;DG$5,Demand_current!$D$2:$BW$2&amp;Demand_current!$D$3:$BW$3, 0))/1000</f>
        <v>3.7275480769230729</v>
      </c>
      <c r="DH120" s="103">
        <f t="array" ref="DH120">INDEX(Demand_current!$D$4:$BW$137, MATCH($A120, Demand_current!$B$4:$B$137, 0), MATCH(DH$4&amp;DH$5,Demand_current!$D$2:$BW$2&amp;Demand_current!$D$3:$BW$3, 0))/1000</f>
        <v>2.8852549999999972</v>
      </c>
      <c r="DI120" s="102">
        <f>$BS120*(VLOOKUP(DI$4, Rates_current!$H$6:$R$41, 10, FALSE)+VLOOKUP(DI$4, Rates_current!$H$6:$R$41, 11, FALSE))</f>
        <v>17600.539690879148</v>
      </c>
      <c r="DJ120" s="102">
        <f>$BS120*(VLOOKUP(DJ$4, Rates_current!$H$6:$R$41, 10, FALSE)+VLOOKUP(DJ$4, Rates_current!$H$6:$R$41, 11, FALSE))</f>
        <v>22501.710724418754</v>
      </c>
      <c r="DK120" s="102">
        <f>$BS120*(VLOOKUP(DK$4, Rates_current!$H$6:$R$41, 10, FALSE)+VLOOKUP(DK$4, Rates_current!$H$6:$R$41, 11, FALSE))</f>
        <v>25582.563119130911</v>
      </c>
      <c r="DL120" s="102">
        <f>$BS120*(VLOOKUP(DL$4, Rates_current!$H$6:$R$41, 10, FALSE)+VLOOKUP(DL$4, Rates_current!$H$6:$R$41, 11, FALSE))</f>
        <v>26991.601037044198</v>
      </c>
      <c r="DM120" s="102">
        <f>$BS120*(VLOOKUP(DM$4, Rates_current!$H$6:$R$41, 10, FALSE)+VLOOKUP(DM$4, Rates_current!$H$6:$R$41, 11, FALSE))</f>
        <v>21509.869941416393</v>
      </c>
      <c r="DN120" s="102">
        <f>$BS120*(VLOOKUP(DN$4, Rates_current!$H$6:$R$41, 10, FALSE)+VLOOKUP(DN$4, Rates_current!$H$6:$R$41, 11, FALSE))</f>
        <v>23514.705021375943</v>
      </c>
      <c r="DO120" s="102">
        <f>$BS120*(VLOOKUP(DO$4, Rates_current!$H$6:$R$41, 10, FALSE)+VLOOKUP(DO$4, Rates_current!$H$6:$R$41, 11, FALSE))</f>
        <v>18224.132927678264</v>
      </c>
      <c r="DP120" s="102">
        <f>$BS120*(VLOOKUP(DP$4, Rates_current!$H$6:$R$41, 10, FALSE)+VLOOKUP(DP$4, Rates_current!$H$6:$R$41, 11, FALSE))</f>
        <v>23585.028654723614</v>
      </c>
      <c r="DQ120" s="102">
        <f>$BS120*(VLOOKUP(DQ$4, Rates_current!$H$6:$R$41, 10, FALSE)+VLOOKUP(DQ$4, Rates_current!$H$6:$R$41, 11, FALSE))</f>
        <v>24088.637672501918</v>
      </c>
      <c r="DR120" s="102">
        <f>$BS120*(VLOOKUP(DR$4, Rates_current!$H$6:$R$41, 10, FALSE)+VLOOKUP(DR$4, Rates_current!$H$6:$R$41, 11, FALSE))</f>
        <v>21440.970827911635</v>
      </c>
      <c r="DS120" s="102">
        <f>$BS120*(VLOOKUP(DS$4, Rates_current!$H$6:$R$41, 10, FALSE)+VLOOKUP(DS$4, Rates_current!$H$6:$R$41, 11, FALSE))</f>
        <v>21994.503924103316</v>
      </c>
      <c r="DT120" s="102">
        <f>$BS120*(VLOOKUP(DT$4, Rates_current!$H$6:$R$41, 10, FALSE)+VLOOKUP(DT$4, Rates_current!$H$6:$R$41, 11, FALSE))</f>
        <v>17081.368813345623</v>
      </c>
      <c r="DU120" s="261">
        <f>IF(D120=0,IF(C120=0,MAX(0,DW120 - (VLOOKUP($A120,TOCA_current!$A$2:$AV$136,MATCH("RHWM "&amp;Init!$D$1,TOCA_current!$A$2:$AV$2,0),FALSE)*$BS$2)), 0),0)</f>
        <v>1.9085906863329001</v>
      </c>
      <c r="DV120" s="262">
        <f>MIN(VLOOKUP($A120,TOCA_current!$A$2:$AV$136,MATCH("TRL - NLSL - Existing Resource "&amp;$BS$1,TOCA_current!$A$2:$AV$2,0),FALSE)*$BS$2, VLOOKUP($A120,TOCA_current!$A$2:$AV$136,MATCH("RHWM "&amp;Init!$D$1,TOCA_current!$A$2:$AV$2,0),FALSE)*$BS$2)</f>
        <v>264114</v>
      </c>
      <c r="DW120" s="262">
        <f>SUM(BY120:CV120)+(BS120*RT1SC!$C$4*$BS$2)</f>
        <v>264115.90859068633</v>
      </c>
      <c r="DX120" s="262">
        <f>VLOOKUP($A120,TOCA_current!$A$2:$AV$136,MATCH("Above RHWM Not Served with LS "&amp;$BS$1,TOCA_current!$A$2:$AV$2,0),FALSE)*$BS$2</f>
        <v>115632</v>
      </c>
      <c r="DY120" s="262">
        <f t="shared" si="43"/>
        <v>1.9085906863329001</v>
      </c>
      <c r="DZ120" s="262">
        <f>(VLOOKUP($A120,TOCA_current!$A$2:$AV$136,MATCH("RHWM "&amp;Init!$D$1,TOCA_current!$A$2:$AV$2,0),FALSE)*$BS$2) - $DV120</f>
        <v>0</v>
      </c>
      <c r="EA120" s="262">
        <f t="shared" si="44"/>
        <v>0</v>
      </c>
      <c r="EB120" s="262">
        <f t="shared" si="45"/>
        <v>0</v>
      </c>
      <c r="EC120" s="262">
        <f t="shared" si="46"/>
        <v>0</v>
      </c>
      <c r="ED120" s="262">
        <f t="shared" si="47"/>
        <v>0</v>
      </c>
    </row>
    <row r="121" spans="1:134">
      <c r="A121" s="2">
        <v>10406</v>
      </c>
      <c r="B121" s="3" t="s">
        <v>123</v>
      </c>
      <c r="C121">
        <f>VLOOKUP(A121, TOCA_current!$A$3:$D$136, 4, FALSE)</f>
        <v>0</v>
      </c>
      <c r="D121">
        <v>0</v>
      </c>
      <c r="E121" s="84">
        <f>VLOOKUP($A121,TOCA_previous!$A$2:$AJ$136,MATCH(E$4,TOCA_previous!$A$2:$AJ$2,0),FALSE)</f>
        <v>6.6299999999999999E-5</v>
      </c>
      <c r="F121" s="85">
        <f>VLOOKUP($A121,TOCA_previous!$A$2:$AJ$136,MATCH(F$4,TOCA_previous!$A$2:$AJ$2,0),FALSE)</f>
        <v>6.6299999999999999E-5</v>
      </c>
      <c r="G121" s="85">
        <f t="shared" si="33"/>
        <v>0</v>
      </c>
      <c r="H121" s="85">
        <f>VLOOKUP($A121,TOCA_previous!$A$2:$AJ$136,MATCH(H$4,TOCA_previous!$A$2:$AJ$2,0),FALSE)</f>
        <v>0</v>
      </c>
      <c r="I121" s="85">
        <f t="shared" si="34"/>
        <v>0</v>
      </c>
      <c r="J121" s="85">
        <f t="shared" si="35"/>
        <v>0</v>
      </c>
      <c r="K121" s="101">
        <f>VLOOKUP(A121, IRD!$A$5:$C$138, 3, FALSE)</f>
        <v>0</v>
      </c>
      <c r="L121" s="102">
        <f t="array" ref="L121">IF($G121=0, INDEX(LS_previous!$D$4:$AY$137, MATCH('Staging Table'!$A121, LS_previous!$B$4:$B$137, 0), MATCH(L$4&amp;L$5, LS_previous!$D$2:$AY$2&amp;LS_previous!$D$3:$AY$3, 0)),SUM(VLOOKUP($A121, LS_previous!$B$4:$AY$137, LS_previous!D$148, FALSE), VLOOKUP('Staging Table'!$A121, LS_previous!$B$4:$AY$137,LS_previous!AB$148, FALSE))/2)</f>
        <v>135.96296041319999</v>
      </c>
      <c r="M121" s="102">
        <f t="array" ref="M121">IF($G121=0, INDEX(LS_previous!$D$4:$AY$137, MATCH('Staging Table'!$A121, LS_previous!$B$4:$B$137, 0), MATCH(M$4&amp;M$5, LS_previous!$D$2:$AY$2&amp;LS_previous!$D$3:$AY$3, 0)),SUM(VLOOKUP($A121, LS_previous!$B$4:$AY$137, LS_previous!E$148, FALSE), VLOOKUP('Staging Table'!$A121, LS_previous!$B$4:$AY$137,LS_previous!AC$148, FALSE))/2)</f>
        <v>104.31235019935001</v>
      </c>
      <c r="N121" s="102">
        <f t="array" ref="N121">IF($G121=0, INDEX(LS_previous!$D$4:$AY$137, MATCH('Staging Table'!$A121, LS_previous!$B$4:$B$137, 0), MATCH(N$4&amp;N$5, LS_previous!$D$2:$AY$2&amp;LS_previous!$D$3:$AY$3, 0)),SUM(VLOOKUP($A121, LS_previous!$B$4:$AY$137, LS_previous!F$148, FALSE), VLOOKUP('Staging Table'!$A121, LS_previous!$B$4:$AY$137,LS_previous!AD$148, FALSE))/2)</f>
        <v>112.52349015359999</v>
      </c>
      <c r="O121" s="102">
        <f t="array" ref="O121">IF($G121=0, INDEX(LS_previous!$D$4:$AY$137, MATCH('Staging Table'!$A121, LS_previous!$B$4:$B$137, 0), MATCH(O$4&amp;O$5, LS_previous!$D$2:$AY$2&amp;LS_previous!$D$3:$AY$3, 0)),SUM(VLOOKUP($A121, LS_previous!$B$4:$AY$137, LS_previous!G$148, FALSE), VLOOKUP('Staging Table'!$A121, LS_previous!$B$4:$AY$137,LS_previous!AE$148, FALSE))/2)</f>
        <v>149.9002467647</v>
      </c>
      <c r="P121" s="102">
        <f t="array" ref="P121">IF($G121=0, INDEX(LS_previous!$D$4:$AY$137, MATCH('Staging Table'!$A121, LS_previous!$B$4:$B$137, 0), MATCH(P$4&amp;P$5, LS_previous!$D$2:$AY$2&amp;LS_previous!$D$3:$AY$3, 0)),SUM(VLOOKUP($A121, LS_previous!$B$4:$AY$137, LS_previous!H$148, FALSE), VLOOKUP('Staging Table'!$A121, LS_previous!$B$4:$AY$137,LS_previous!AF$148, FALSE))/2)</f>
        <v>208.36979550430001</v>
      </c>
      <c r="Q121" s="102">
        <f t="array" ref="Q121">IF($G121=0, INDEX(LS_previous!$D$4:$AY$137, MATCH('Staging Table'!$A121, LS_previous!$B$4:$B$137, 0), MATCH(Q$4&amp;Q$5, LS_previous!$D$2:$AY$2&amp;LS_previous!$D$3:$AY$3, 0)),SUM(VLOOKUP($A121, LS_previous!$B$4:$AY$137, LS_previous!I$148, FALSE), VLOOKUP('Staging Table'!$A121, LS_previous!$B$4:$AY$137,LS_previous!AG$148, FALSE))/2)</f>
        <v>192.06161795520001</v>
      </c>
      <c r="R121" s="102">
        <f t="array" ref="R121">IF($G121=0, INDEX(LS_previous!$D$4:$AY$137, MATCH('Staging Table'!$A121, LS_previous!$B$4:$B$137, 0), MATCH(R$4&amp;R$5, LS_previous!$D$2:$AY$2&amp;LS_previous!$D$3:$AY$3, 0)),SUM(VLOOKUP($A121, LS_previous!$B$4:$AY$137, LS_previous!J$148, FALSE), VLOOKUP('Staging Table'!$A121, LS_previous!$B$4:$AY$137,LS_previous!AH$148, FALSE))/2)</f>
        <v>216.19163929550001</v>
      </c>
      <c r="S121" s="102">
        <f t="array" ref="S121">IF($G121=0, INDEX(LS_previous!$D$4:$AY$137, MATCH('Staging Table'!$A121, LS_previous!$B$4:$B$137, 0), MATCH(S$4&amp;S$5, LS_previous!$D$2:$AY$2&amp;LS_previous!$D$3:$AY$3, 0)),SUM(VLOOKUP($A121, LS_previous!$B$4:$AY$137, LS_previous!K$148, FALSE), VLOOKUP('Staging Table'!$A121, LS_previous!$B$4:$AY$137,LS_previous!AI$148, FALSE))/2)</f>
        <v>215.46644867730004</v>
      </c>
      <c r="T121" s="102">
        <f t="array" ref="T121">IF($G121=0, INDEX(LS_previous!$D$4:$AY$137, MATCH('Staging Table'!$A121, LS_previous!$B$4:$B$137, 0), MATCH(T$4&amp;T$5, LS_previous!$D$2:$AY$2&amp;LS_previous!$D$3:$AY$3, 0)),SUM(VLOOKUP($A121, LS_previous!$B$4:$AY$137, LS_previous!L$148, FALSE), VLOOKUP('Staging Table'!$A121, LS_previous!$B$4:$AY$137,LS_previous!AJ$148, FALSE))/2)</f>
        <v>161.31427322230002</v>
      </c>
      <c r="U121" s="102">
        <f t="array" ref="U121">IF($G121=0, INDEX(LS_previous!$D$4:$AY$137, MATCH('Staging Table'!$A121, LS_previous!$B$4:$B$137, 0), MATCH(U$4&amp;U$5, LS_previous!$D$2:$AY$2&amp;LS_previous!$D$3:$AY$3, 0)),SUM(VLOOKUP($A121, LS_previous!$B$4:$AY$137, LS_previous!M$148, FALSE), VLOOKUP('Staging Table'!$A121, LS_previous!$B$4:$AY$137,LS_previous!AK$148, FALSE))/2)</f>
        <v>164.4085001183</v>
      </c>
      <c r="V121" s="102">
        <f t="array" ref="V121">IF($G121=0, INDEX(LS_previous!$D$4:$AY$137, MATCH('Staging Table'!$A121, LS_previous!$B$4:$B$137, 0), MATCH(V$4&amp;V$5, LS_previous!$D$2:$AY$2&amp;LS_previous!$D$3:$AY$3, 0)),SUM(VLOOKUP($A121, LS_previous!$B$4:$AY$137, LS_previous!N$148, FALSE), VLOOKUP('Staging Table'!$A121, LS_previous!$B$4:$AY$137,LS_previous!AL$148, FALSE))/2)</f>
        <v>121.38936280810003</v>
      </c>
      <c r="W121" s="102">
        <f t="array" ref="W121">IF($G121=0, INDEX(LS_previous!$D$4:$AY$137, MATCH('Staging Table'!$A121, LS_previous!$B$4:$B$137, 0), MATCH(W$4&amp;W$5, LS_previous!$D$2:$AY$2&amp;LS_previous!$D$3:$AY$3, 0)),SUM(VLOOKUP($A121, LS_previous!$B$4:$AY$137, LS_previous!O$148, FALSE), VLOOKUP('Staging Table'!$A121, LS_previous!$B$4:$AY$137,LS_previous!AM$148, FALSE))/2)</f>
        <v>136.07223611860002</v>
      </c>
      <c r="X121" s="102">
        <f t="array" ref="X121">IF($G121=0, INDEX(LS_previous!$D$4:$AY$137, MATCH('Staging Table'!$A121, LS_previous!$B$4:$B$137, 0), MATCH(X$4&amp;X$5, LS_previous!$D$2:$AY$2&amp;LS_previous!$D$3:$AY$3, 0)),SUM(VLOOKUP($A121, LS_previous!$B$4:$AY$137, LS_previous!P$148, FALSE), VLOOKUP('Staging Table'!$A121, LS_previous!$B$4:$AY$137,LS_previous!AN$148, FALSE))/2)</f>
        <v>145.44036435174999</v>
      </c>
      <c r="Y121" s="102">
        <f t="array" ref="Y121">IF($G121=0, INDEX(LS_previous!$D$4:$AY$137, MATCH('Staging Table'!$A121, LS_previous!$B$4:$B$137, 0), MATCH(Y$4&amp;Y$5, LS_previous!$D$2:$AY$2&amp;LS_previous!$D$3:$AY$3, 0)),SUM(VLOOKUP($A121, LS_previous!$B$4:$AY$137, LS_previous!Q$148, FALSE), VLOOKUP('Staging Table'!$A121, LS_previous!$B$4:$AY$137,LS_previous!AO$148, FALSE))/2)</f>
        <v>130.01484748597503</v>
      </c>
      <c r="Z121" s="102">
        <f t="array" ref="Z121">IF($G121=0, INDEX(LS_previous!$D$4:$AY$137, MATCH('Staging Table'!$A121, LS_previous!$B$4:$B$137, 0), MATCH(Z$4&amp;Z$5, LS_previous!$D$2:$AY$2&amp;LS_previous!$D$3:$AY$3, 0)),SUM(VLOOKUP($A121, LS_previous!$B$4:$AY$137, LS_previous!R$148, FALSE), VLOOKUP('Staging Table'!$A121, LS_previous!$B$4:$AY$137,LS_previous!AP$148, FALSE))/2)</f>
        <v>31.32754297759999</v>
      </c>
      <c r="AA121" s="102">
        <f t="array" ref="AA121">IF($G121=0, INDEX(LS_previous!$D$4:$AY$137, MATCH('Staging Table'!$A121, LS_previous!$B$4:$B$137, 0), MATCH(AA$4&amp;AA$5, LS_previous!$D$2:$AY$2&amp;LS_previous!$D$3:$AY$3, 0)),SUM(VLOOKUP($A121, LS_previous!$B$4:$AY$137, LS_previous!S$148, FALSE), VLOOKUP('Staging Table'!$A121, LS_previous!$B$4:$AY$137,LS_previous!AQ$148, FALSE))/2)</f>
        <v>66.840314791450027</v>
      </c>
      <c r="AB121" s="102">
        <f t="array" ref="AB121">IF($G121=0, INDEX(LS_previous!$D$4:$AY$137, MATCH('Staging Table'!$A121, LS_previous!$B$4:$B$137, 0), MATCH(AB$4&amp;AB$5, LS_previous!$D$2:$AY$2&amp;LS_previous!$D$3:$AY$3, 0)),SUM(VLOOKUP($A121, LS_previous!$B$4:$AY$137, LS_previous!T$148, FALSE), VLOOKUP('Staging Table'!$A121, LS_previous!$B$4:$AY$137,LS_previous!AR$148, FALSE))/2)</f>
        <v>11.860474506200006</v>
      </c>
      <c r="AC121" s="102">
        <f t="array" ref="AC121">IF($G121=0, INDEX(LS_previous!$D$4:$AY$137, MATCH('Staging Table'!$A121, LS_previous!$B$4:$B$137, 0), MATCH(AC$4&amp;AC$5, LS_previous!$D$2:$AY$2&amp;LS_previous!$D$3:$AY$3, 0)),SUM(VLOOKUP($A121, LS_previous!$B$4:$AY$137, LS_previous!U$148, FALSE), VLOOKUP('Staging Table'!$A121, LS_previous!$B$4:$AY$137,LS_previous!AS$148, FALSE))/2)</f>
        <v>30.983063886650001</v>
      </c>
      <c r="AD121" s="102">
        <f t="array" ref="AD121">IF($G121=0, INDEX(LS_previous!$D$4:$AY$137, MATCH('Staging Table'!$A121, LS_previous!$B$4:$B$137, 0), MATCH(AD$4&amp;AD$5, LS_previous!$D$2:$AY$2&amp;LS_previous!$D$3:$AY$3, 0)),SUM(VLOOKUP($A121, LS_previous!$B$4:$AY$137, LS_previous!V$148, FALSE), VLOOKUP('Staging Table'!$A121, LS_previous!$B$4:$AY$137,LS_previous!AT$148, FALSE))/2)</f>
        <v>52.147794046799987</v>
      </c>
      <c r="AE121" s="102">
        <f t="array" ref="AE121">IF($G121=0, INDEX(LS_previous!$D$4:$AY$137, MATCH('Staging Table'!$A121, LS_previous!$B$4:$B$137, 0), MATCH(AE$4&amp;AE$5, LS_previous!$D$2:$AY$2&amp;LS_previous!$D$3:$AY$3, 0)),SUM(VLOOKUP($A121, LS_previous!$B$4:$AY$137, LS_previous!W$148, FALSE), VLOOKUP('Staging Table'!$A121, LS_previous!$B$4:$AY$137,LS_previous!AU$148, FALSE))/2)</f>
        <v>57.573889796750009</v>
      </c>
      <c r="AF121" s="102">
        <f t="array" ref="AF121">IF($G121=0, INDEX(LS_previous!$D$4:$AY$137, MATCH('Staging Table'!$A121, LS_previous!$B$4:$B$137, 0), MATCH(AF$4&amp;AF$5, LS_previous!$D$2:$AY$2&amp;LS_previous!$D$3:$AY$3, 0)),SUM(VLOOKUP($A121, LS_previous!$B$4:$AY$137, LS_previous!X$148, FALSE), VLOOKUP('Staging Table'!$A121, LS_previous!$B$4:$AY$137,LS_previous!AV$148, FALSE))/2)</f>
        <v>65.083361629550012</v>
      </c>
      <c r="AG121" s="102">
        <f t="array" ref="AG121">IF($G121=0, INDEX(LS_previous!$D$4:$AY$137, MATCH('Staging Table'!$A121, LS_previous!$B$4:$B$137, 0), MATCH(AG$4&amp;AG$5, LS_previous!$D$2:$AY$2&amp;LS_previous!$D$3:$AY$3, 0)),SUM(VLOOKUP($A121, LS_previous!$B$4:$AY$137, LS_previous!Y$148, FALSE), VLOOKUP('Staging Table'!$A121, LS_previous!$B$4:$AY$137,LS_previous!AW$148, FALSE))/2)</f>
        <v>68.855365305945</v>
      </c>
      <c r="AH121" s="102">
        <f t="array" ref="AH121">IF($G121=0, INDEX(LS_previous!$D$4:$AY$137, MATCH('Staging Table'!$A121, LS_previous!$B$4:$B$137, 0), MATCH(AH$4&amp;AH$5, LS_previous!$D$2:$AY$2&amp;LS_previous!$D$3:$AY$3, 0)),SUM(VLOOKUP($A121, LS_previous!$B$4:$AY$137, LS_previous!Z$148, FALSE), VLOOKUP('Staging Table'!$A121, LS_previous!$B$4:$AY$137,LS_previous!AX$148, FALSE))/2)</f>
        <v>71.423592433799996</v>
      </c>
      <c r="AI121" s="102">
        <f t="array" ref="AI121">IF($G121=0, INDEX(LS_previous!$D$4:$AY$137, MATCH('Staging Table'!$A121, LS_previous!$B$4:$B$137, 0), MATCH(AI$4&amp;AI$5, LS_previous!$D$2:$AY$2&amp;LS_previous!$D$3:$AY$3, 0)),SUM(VLOOKUP($A121, LS_previous!$B$4:$AY$137, LS_previous!AA$148, FALSE), VLOOKUP('Staging Table'!$A121, LS_previous!$B$4:$AY$137,LS_previous!AY$148, FALSE))/2)</f>
        <v>63.901628404799993</v>
      </c>
      <c r="AJ121" s="103">
        <f t="array" ref="AJ121">INDEX(Demand_previous!$D$4:$AY$137, MATCH('Staging Table'!$A121, Demand_previous!$B$4:$B$137, 0), MATCH(AJ$4&amp;AJ$5,Demand_previous!$D$2:$AY$2&amp;Demand_previous!$D$3:$AY$3, 0))/1000</f>
        <v>7.3370192307692234E-2</v>
      </c>
      <c r="AK121" s="103">
        <f t="array" ref="AK121">INDEX(Demand_previous!$D$4:$AY$137, MATCH('Staging Table'!$A121, Demand_previous!$B$4:$B$137, 0), MATCH(AK$4&amp;AK$5,Demand_previous!$D$2:$AY$2&amp;Demand_previous!$D$3:$AY$3, 0))/1000</f>
        <v>0.16960250000000004</v>
      </c>
      <c r="AL121" s="103">
        <f t="array" ref="AL121">INDEX(Demand_previous!$D$4:$AY$137, MATCH('Staging Table'!$A121, Demand_previous!$B$4:$B$137, 0), MATCH(AL$4&amp;AL$5,Demand_previous!$D$2:$AY$2&amp;Demand_previous!$D$3:$AY$3, 0))/1000</f>
        <v>0</v>
      </c>
      <c r="AM121" s="103">
        <f t="array" ref="AM121">INDEX(Demand_previous!$D$4:$AY$137, MATCH('Staging Table'!$A121, Demand_previous!$B$4:$B$137, 0), MATCH(AM$4&amp;AM$5,Demand_previous!$D$2:$AY$2&amp;Demand_previous!$D$3:$AY$3, 0))/1000</f>
        <v>0.1179326923076924</v>
      </c>
      <c r="AN121" s="103">
        <f t="array" ref="AN121">INDEX(Demand_previous!$D$4:$AY$137, MATCH('Staging Table'!$A121, Demand_previous!$B$4:$B$137, 0), MATCH(AN$4&amp;AN$5,Demand_previous!$D$2:$AY$2&amp;Demand_previous!$D$3:$AY$3, 0))/1000</f>
        <v>0.11074000000000006</v>
      </c>
      <c r="AO121" s="103">
        <f t="array" ref="AO121">INDEX(Demand_previous!$D$4:$AY$137, MATCH('Staging Table'!$A121, Demand_previous!$B$4:$B$137, 0), MATCH(AO$4&amp;AO$5,Demand_previous!$D$2:$AY$2&amp;Demand_previous!$D$3:$AY$3, 0))/1000</f>
        <v>0.16436778846153849</v>
      </c>
      <c r="AP121" s="103">
        <f t="array" ref="AP121">INDEX(Demand_previous!$D$4:$AY$137, MATCH('Staging Table'!$A121, Demand_previous!$B$4:$B$137, 0), MATCH(AP$4&amp;AP$5,Demand_previous!$D$2:$AY$2&amp;Demand_previous!$D$3:$AY$3, 0))/1000</f>
        <v>8.4499999999999964E-2</v>
      </c>
      <c r="AQ121" s="103">
        <f t="array" ref="AQ121">INDEX(Demand_previous!$D$4:$AY$137, MATCH('Staging Table'!$A121, Demand_previous!$B$4:$B$137, 0), MATCH(AQ$4&amp;AQ$5,Demand_previous!$D$2:$AY$2&amp;Demand_previous!$D$3:$AY$3, 0))/1000</f>
        <v>7.2310096153846093E-2</v>
      </c>
      <c r="AR121" s="103">
        <f t="array" ref="AR121">INDEX(Demand_previous!$D$4:$AY$137, MATCH('Staging Table'!$A121, Demand_previous!$B$4:$B$137, 0), MATCH(AR$4&amp;AR$5,Demand_previous!$D$2:$AY$2&amp;Demand_previous!$D$3:$AY$3, 0))/1000</f>
        <v>4.0277499999999966E-2</v>
      </c>
      <c r="AS121" s="103">
        <f t="array" ref="AS121">INDEX(Demand_previous!$D$4:$AY$137, MATCH('Staging Table'!$A121, Demand_previous!$B$4:$B$137, 0), MATCH(AS$4&amp;AS$5,Demand_previous!$D$2:$AY$2&amp;Demand_previous!$D$3:$AY$3, 0))/1000</f>
        <v>0</v>
      </c>
      <c r="AT121" s="103">
        <f t="array" ref="AT121">INDEX(Demand_previous!$D$4:$AY$137, MATCH('Staging Table'!$A121, Demand_previous!$B$4:$B$137, 0), MATCH(AT$4&amp;AT$5,Demand_previous!$D$2:$AY$2&amp;Demand_previous!$D$3:$AY$3, 0))/1000</f>
        <v>8.1203703703703056E-3</v>
      </c>
      <c r="AU121" s="103">
        <f t="array" ref="AU121">INDEX(Demand_previous!$D$4:$AY$137, MATCH('Staging Table'!$A121, Demand_previous!$B$4:$B$137, 0), MATCH(AU$4&amp;AU$5,Demand_previous!$D$2:$AY$2&amp;Demand_previous!$D$3:$AY$3, 0))/1000</f>
        <v>0</v>
      </c>
      <c r="AV121" s="102">
        <f>$F121*(VLOOKUP(AV$4, Rates_previous!$G$6:$Q$29, 10, FALSE)+VLOOKUP(AV$4, Rates_previous!$G$6:$Q$29, 11, FALSE))</f>
        <v>279.70668938745001</v>
      </c>
      <c r="AW121" s="102">
        <f>$F121*(VLOOKUP(AW$4, Rates_previous!$G$6:$Q$29, 10, FALSE)+VLOOKUP(AW$4, Rates_previous!$G$6:$Q$29, 11, FALSE))</f>
        <v>356.71826308170006</v>
      </c>
      <c r="AX121" s="102">
        <f>$F121*(VLOOKUP(AX$4, Rates_previous!$G$6:$Q$29, 10, FALSE)+VLOOKUP(AX$4, Rates_previous!$G$6:$Q$29, 11, FALSE))</f>
        <v>384.96958654050002</v>
      </c>
      <c r="AY121" s="102">
        <f>$F121*(VLOOKUP(AY$4, Rates_previous!$G$6:$Q$29, 10, FALSE)+VLOOKUP(AY$4, Rates_previous!$G$6:$Q$29, 11, FALSE))</f>
        <v>400.04291202719998</v>
      </c>
      <c r="AZ121" s="102">
        <f>$F121*(VLOOKUP(AZ$4, Rates_previous!$G$6:$Q$29, 10, FALSE)+VLOOKUP(AZ$4, Rates_previous!$G$6:$Q$29, 11, FALSE))</f>
        <v>344.09022665939995</v>
      </c>
      <c r="BA121" s="102">
        <f>$F121*(VLOOKUP(BA$4, Rates_previous!$G$6:$Q$29, 10, FALSE)+VLOOKUP(BA$4, Rates_previous!$G$6:$Q$29, 11, FALSE))</f>
        <v>375.67840107329999</v>
      </c>
      <c r="BB121" s="102">
        <f>$F121*(VLOOKUP(BB$4, Rates_previous!$G$6:$Q$29, 10, FALSE)+VLOOKUP(BB$4, Rates_previous!$G$6:$Q$29, 11, FALSE))</f>
        <v>296.53478816227499</v>
      </c>
      <c r="BC121" s="102">
        <f>$F121*(VLOOKUP(BC$4, Rates_previous!$G$6:$Q$29, 10, FALSE)+VLOOKUP(BC$4, Rates_previous!$G$6:$Q$29, 11, FALSE))</f>
        <v>367.89114223094998</v>
      </c>
      <c r="BD121" s="102">
        <f>$F121*(VLOOKUP(BD$4, Rates_previous!$G$6:$Q$29, 10, FALSE)+VLOOKUP(BD$4, Rates_previous!$G$6:$Q$29, 11, FALSE))</f>
        <v>375.87346160714998</v>
      </c>
      <c r="BE121" s="102">
        <f>$F121*(VLOOKUP(BE$4, Rates_previous!$G$6:$Q$29, 10, FALSE)+VLOOKUP(BE$4, Rates_previous!$G$6:$Q$29, 11, FALSE))</f>
        <v>326.31231615644998</v>
      </c>
      <c r="BF121" s="102">
        <f>$F121*(VLOOKUP(BF$4, Rates_previous!$G$6:$Q$29, 10, FALSE)+VLOOKUP(BF$4, Rates_previous!$G$6:$Q$29, 11, FALSE))</f>
        <v>315.45727306450505</v>
      </c>
      <c r="BG121" s="102">
        <f>$F121*(VLOOKUP(BG$4, Rates_previous!$G$6:$Q$29, 10, FALSE)+VLOOKUP(BG$4, Rates_previous!$G$6:$Q$29, 11, FALSE))</f>
        <v>290.28177916140004</v>
      </c>
      <c r="BH121" s="103">
        <f>IF($D121=0,IF(C121=0, MAX(BJ121 - (VLOOKUP($A121,TOCA_previous!$A$2:$AJ$136,MATCH("RHWM "&amp;Init!$D$1-2,TOCA_previous!$A$2:$AJ$2,0),FALSE)*$F$2*TOCA_previous!C118),0),0), 0)</f>
        <v>2803.9100188557186</v>
      </c>
      <c r="BI121" s="109">
        <f>MIN(VLOOKUP($A121,TOCA_previous!$A$2:$AJ$136,MATCH("TRL - NLSL - Existing Resource "&amp;$F$1,TOCA_previous!$A$2:$AJ$2,0),FALSE)*$F$2,(VLOOKUP($A121,TOCA_previous!$A$2:$AJ$136,MATCH("RHWM "&amp;Init!$D$1-2,TOCA_previous!$A$2:$AJ$2,0),FALSE)*$F$2))</f>
        <v>4023.0720000000001</v>
      </c>
      <c r="BJ121" s="261">
        <f>SUM(L121:AI121)+(F121*RT1SC!$C$3*$F$2)</f>
        <v>6826.9820188557187</v>
      </c>
      <c r="BK121" s="260">
        <f>VLOOKUP($A121,TOCA_previous!$A$2:$AJ$136,MATCH("Above RHWM Not Served with LS "&amp;$F$1,TOCA_previous!$A$2:$AJ$2,0),FALSE)*$F$2</f>
        <v>0</v>
      </c>
      <c r="BL121" s="261">
        <f t="shared" si="36"/>
        <v>2803.9100188557186</v>
      </c>
      <c r="BM121" s="260">
        <f>(VLOOKUP($A121,TOCA_previous!$A$2:$AJ$136,MATCH("RHWM "&amp;Init!$D$1-2,TOCA_previous!$A$2:$AJ$2,0),FALSE)*$F$2) - $BI121</f>
        <v>0</v>
      </c>
      <c r="BN121" s="261">
        <f t="shared" si="37"/>
        <v>0</v>
      </c>
      <c r="BO121" s="260">
        <f t="shared" si="38"/>
        <v>0</v>
      </c>
      <c r="BP121" s="261">
        <f t="shared" si="39"/>
        <v>0</v>
      </c>
      <c r="BQ121" s="260">
        <f t="shared" si="9"/>
        <v>0</v>
      </c>
      <c r="BR121" s="85">
        <f>VLOOKUP($A121,TOCA_current!$A$2:$ZZ$136,MATCH(BR$4,TOCA_current!$A$2:$ZZ$2,0),FALSE)</f>
        <v>6.4800000000000003E-5</v>
      </c>
      <c r="BS121" s="85">
        <f>VLOOKUP($A121,TOCA_current!$A$2:$ZZ$136,MATCH(BS$4,TOCA_current!$A$2:$ZZ$2,0),FALSE)</f>
        <v>6.4800000000000003E-5</v>
      </c>
      <c r="BT121" s="108">
        <f t="shared" si="40"/>
        <v>0</v>
      </c>
      <c r="BU121" s="85">
        <f>VLOOKUP($A121,TOCA_current!A118:BG252,MATCH(BU$4,TOCA_current!$A$2:$BG$2,0),FALSE)</f>
        <v>0</v>
      </c>
      <c r="BV121" s="85">
        <f t="shared" si="41"/>
        <v>0</v>
      </c>
      <c r="BW121" s="85">
        <f t="shared" si="42"/>
        <v>0</v>
      </c>
      <c r="BX121" s="101">
        <f>VLOOKUP($A121,IRD!$A$4:$G$138, 7, FALSE)</f>
        <v>0</v>
      </c>
      <c r="BY121" s="102">
        <f t="array" ref="BY121">IF($BT121=0, INDEX(LS_current!$D$4:$BW$137, MATCH('Staging Table'!$A121, LS_current!$B$4:$B$137, 0), MATCH(BY$4&amp;BY$5, LS_current!$D$2:$BW$2&amp;LS_current!$D$3:$BW$3, 0)),SUM(VLOOKUP($A121, LS_current!$B$4:$BW$137, LS_current!D$147, FALSE), VLOOKUP($A121, LS_current!$B$4:$BW$137,LS_current!AZ$147, FALSE))/2)</f>
        <v>137.61443091472546</v>
      </c>
      <c r="BZ121" s="102">
        <f t="array" ref="BZ121">IF($BT121=0, INDEX(LS_current!$D$4:$BW$137, MATCH('Staging Table'!$A121, LS_current!$B$4:$B$137, 0), MATCH(BZ$4&amp;BZ$5, LS_current!$D$2:$BW$2&amp;LS_current!$D$3:$BW$3, 0)),SUM(VLOOKUP($A121, LS_current!$B$4:$BW$137, LS_current!E$147, FALSE), VLOOKUP($A121, LS_current!$B$4:$BW$137,LS_current!BA$147, FALSE))/2)</f>
        <v>113.4289320429786</v>
      </c>
      <c r="CA121" s="102">
        <f t="array" ref="CA121">IF($BT121=0, INDEX(LS_current!$D$4:$BW$137, MATCH('Staging Table'!$A121, LS_current!$B$4:$B$137, 0), MATCH(CA$4&amp;CA$5, LS_current!$D$2:$BW$2&amp;LS_current!$D$3:$BW$3, 0)),SUM(VLOOKUP($A121, LS_current!$B$4:$BW$137, LS_current!F$147, FALSE), VLOOKUP($A121, LS_current!$B$4:$BW$137,LS_current!BB$147, FALSE))/2)</f>
        <v>121.23617151685747</v>
      </c>
      <c r="CB121" s="102">
        <f t="array" ref="CB121">IF($BT121=0, INDEX(LS_current!$D$4:$BW$137, MATCH('Staging Table'!$A121, LS_current!$B$4:$B$137, 0), MATCH(CB$4&amp;CB$5, LS_current!$D$2:$BW$2&amp;LS_current!$D$3:$BW$3, 0)),SUM(VLOOKUP($A121, LS_current!$B$4:$BW$137, LS_current!G$147, FALSE), VLOOKUP($A121, LS_current!$B$4:$BW$137,LS_current!BC$147, FALSE))/2)</f>
        <v>154.07663235450286</v>
      </c>
      <c r="CC121" s="102">
        <f t="array" ref="CC121">IF($BT121=0, INDEX(LS_current!$D$4:$BW$137, MATCH('Staging Table'!$A121, LS_current!$B$4:$B$137, 0), MATCH(CC$4&amp;CC$5, LS_current!$D$2:$BW$2&amp;LS_current!$D$3:$BW$3, 0)),SUM(VLOOKUP($A121, LS_current!$B$4:$BW$137, LS_current!H$147, FALSE), VLOOKUP($A121, LS_current!$B$4:$BW$137,LS_current!BD$147, FALSE))/2)</f>
        <v>191.20297546591851</v>
      </c>
      <c r="CD121" s="102">
        <f t="array" ref="CD121">IF($BT121=0, INDEX(LS_current!$D$4:$BW$137, MATCH('Staging Table'!$A121, LS_current!$B$4:$B$137, 0), MATCH(CD$4&amp;CD$5, LS_current!$D$2:$BW$2&amp;LS_current!$D$3:$BW$3, 0)),SUM(VLOOKUP($A121, LS_current!$B$4:$BW$137, LS_current!I$147, FALSE), VLOOKUP($A121, LS_current!$B$4:$BW$137,LS_current!BE$147, FALSE))/2)</f>
        <v>203.29298536230183</v>
      </c>
      <c r="CE121" s="102">
        <f t="array" ref="CE121">IF($BT121=0, INDEX(LS_current!$D$4:$BW$137, MATCH('Staging Table'!$A121, LS_current!$B$4:$B$137, 0), MATCH(CE$4&amp;CE$5, LS_current!$D$2:$BW$2&amp;LS_current!$D$3:$BW$3, 0)),SUM(VLOOKUP($A121, LS_current!$B$4:$BW$137, LS_current!J$147, FALSE), VLOOKUP($A121, LS_current!$B$4:$BW$137,LS_current!BF$147, FALSE))/2)</f>
        <v>203.9066460797975</v>
      </c>
      <c r="CF121" s="102">
        <f t="array" ref="CF121">IF($BT121=0, INDEX(LS_current!$D$4:$BW$137, MATCH('Staging Table'!$A121, LS_current!$B$4:$B$137, 0), MATCH(CF$4&amp;CF$5, LS_current!$D$2:$BW$2&amp;LS_current!$D$3:$BW$3, 0)),SUM(VLOOKUP($A121, LS_current!$B$4:$BW$137, LS_current!K$147, FALSE), VLOOKUP($A121, LS_current!$B$4:$BW$137,LS_current!BG$147, FALSE))/2)</f>
        <v>215.35902398234549</v>
      </c>
      <c r="CG121" s="102">
        <f t="array" ref="CG121">IF($BT121=0, INDEX(LS_current!$D$4:$BW$137, MATCH('Staging Table'!$A121, LS_current!$B$4:$B$137, 0), MATCH(CG$4&amp;CG$5, LS_current!$D$2:$BW$2&amp;LS_current!$D$3:$BW$3, 0)),SUM(VLOOKUP($A121, LS_current!$B$4:$BW$137, LS_current!L$147, FALSE), VLOOKUP($A121, LS_current!$B$4:$BW$137,LS_current!BH$147, FALSE))/2)</f>
        <v>170.95287225124346</v>
      </c>
      <c r="CH121" s="102">
        <f t="array" ref="CH121">IF($BT121=0, INDEX(LS_current!$D$4:$BW$137, MATCH('Staging Table'!$A121, LS_current!$B$4:$B$137, 0), MATCH(CH$4&amp;CH$5, LS_current!$D$2:$BW$2&amp;LS_current!$D$3:$BW$3, 0)),SUM(VLOOKUP($A121, LS_current!$B$4:$BW$137, LS_current!M$147, FALSE), VLOOKUP($A121, LS_current!$B$4:$BW$137,LS_current!BI$147, FALSE))/2)</f>
        <v>170.18639349960966</v>
      </c>
      <c r="CI121" s="102">
        <f t="array" ref="CI121">IF($BT121=0, INDEX(LS_current!$D$4:$BW$137, MATCH('Staging Table'!$A121, LS_current!$B$4:$B$137, 0), MATCH(CI$4&amp;CI$5, LS_current!$D$2:$BW$2&amp;LS_current!$D$3:$BW$3, 0)),SUM(VLOOKUP($A121, LS_current!$B$4:$BW$137, LS_current!N$147, FALSE), VLOOKUP($A121, LS_current!$B$4:$BW$137,LS_current!BJ$147, FALSE))/2)</f>
        <v>116.43657297918065</v>
      </c>
      <c r="CJ121" s="102">
        <f t="array" ref="CJ121">IF($BT121=0, INDEX(LS_current!$D$4:$BW$137, MATCH('Staging Table'!$A121, LS_current!$B$4:$B$137, 0), MATCH(CJ$4&amp;CJ$5, LS_current!$D$2:$BW$2&amp;LS_current!$D$3:$BW$3, 0)),SUM(VLOOKUP($A121, LS_current!$B$4:$BW$137, LS_current!O$147, FALSE), VLOOKUP($A121, LS_current!$B$4:$BW$137,LS_current!BK$147, FALSE))/2)</f>
        <v>157.3955404463143</v>
      </c>
      <c r="CK121" s="102">
        <f t="array" ref="CK121">IF($BT121=0, INDEX(LS_current!$D$4:$BW$137, MATCH('Staging Table'!$A121, LS_current!$B$4:$B$137, 0), MATCH(CK$4&amp;CK$5, LS_current!$D$2:$BW$2&amp;LS_current!$D$3:$BW$3, 0)),SUM(VLOOKUP($A121, LS_current!$B$4:$BW$137, LS_current!P$147, FALSE), VLOOKUP($A121, LS_current!$B$4:$BW$137,LS_current!BL$147, FALSE))/2)</f>
        <v>154.48076966800383</v>
      </c>
      <c r="CL121" s="102">
        <f t="array" ref="CL121">IF($BT121=0, INDEX(LS_current!$D$4:$BW$137, MATCH('Staging Table'!$A121, LS_current!$B$4:$B$137, 0), MATCH(CL$4&amp;CL$5, LS_current!$D$2:$BW$2&amp;LS_current!$D$3:$BW$3, 0)),SUM(VLOOKUP($A121, LS_current!$B$4:$BW$137, LS_current!Q$147, FALSE), VLOOKUP($A121, LS_current!$B$4:$BW$137,LS_current!BM$147, FALSE))/2)</f>
        <v>139.04200393283767</v>
      </c>
      <c r="CM121" s="102">
        <f t="array" ref="CM121">IF($BT121=0, INDEX(LS_current!$D$4:$BW$137, MATCH('Staging Table'!$A121, LS_current!$B$4:$B$137, 0), MATCH(CM$4&amp;CM$5, LS_current!$D$2:$BW$2&amp;LS_current!$D$3:$BW$3, 0)),SUM(VLOOKUP($A121, LS_current!$B$4:$BW$137, LS_current!R$147, FALSE), VLOOKUP($A121, LS_current!$B$4:$BW$137,LS_current!BN$147, FALSE))/2)</f>
        <v>36.657130883281866</v>
      </c>
      <c r="CN121" s="102">
        <f t="array" ref="CN121">IF($BT121=0, INDEX(LS_current!$D$4:$BW$137, MATCH('Staging Table'!$A121, LS_current!$B$4:$B$137, 0), MATCH(CN$4&amp;CN$5, LS_current!$D$2:$BW$2&amp;LS_current!$D$3:$BW$3, 0)),SUM(VLOOKUP($A121, LS_current!$B$4:$BW$137, LS_current!S$147, FALSE), VLOOKUP($A121, LS_current!$B$4:$BW$137,LS_current!BO$147, FALSE))/2)</f>
        <v>69.019427873063563</v>
      </c>
      <c r="CO121" s="102">
        <f t="array" ref="CO121">IF($BT121=0, INDEX(LS_current!$D$4:$BW$137, MATCH('Staging Table'!$A121, LS_current!$B$4:$B$137, 0), MATCH(CO$4&amp;CO$5, LS_current!$D$2:$BW$2&amp;LS_current!$D$3:$BW$3, 0)),SUM(VLOOKUP($A121, LS_current!$B$4:$BW$137, LS_current!T$147, FALSE), VLOOKUP($A121, LS_current!$B$4:$BW$137,LS_current!BP$147, FALSE))/2)</f>
        <v>7.9967460604646305</v>
      </c>
      <c r="CP121" s="102">
        <f t="array" ref="CP121">IF($BT121=0, INDEX(LS_current!$D$4:$BW$137, MATCH('Staging Table'!$A121, LS_current!$B$4:$B$137, 0), MATCH(CP$4&amp;CP$5, LS_current!$D$2:$BW$2&amp;LS_current!$D$3:$BW$3, 0)),SUM(VLOOKUP($A121, LS_current!$B$4:$BW$137, LS_current!U$147, FALSE), VLOOKUP($A121, LS_current!$B$4:$BW$137,LS_current!BQ$147, FALSE))/2)</f>
        <v>42.642598502324432</v>
      </c>
      <c r="CQ121" s="102">
        <f t="array" ref="CQ121">IF($BT121=0, INDEX(LS_current!$D$4:$BW$137, MATCH('Staging Table'!$A121, LS_current!$B$4:$B$137, 0), MATCH(CQ$4&amp;CQ$5, LS_current!$D$2:$BW$2&amp;LS_current!$D$3:$BW$3, 0)),SUM(VLOOKUP($A121, LS_current!$B$4:$BW$137, LS_current!V$147, FALSE), VLOOKUP($A121, LS_current!$B$4:$BW$137,LS_current!BR$147, FALSE))/2)</f>
        <v>47.893931512400172</v>
      </c>
      <c r="CR121" s="102">
        <f t="array" ref="CR121">IF($BT121=0, INDEX(LS_current!$D$4:$BW$137, MATCH('Staging Table'!$A121, LS_current!$B$4:$B$137, 0), MATCH(CR$4&amp;CR$5, LS_current!$D$2:$BW$2&amp;LS_current!$D$3:$BW$3, 0)),SUM(VLOOKUP($A121, LS_current!$B$4:$BW$137, LS_current!W$147, FALSE), VLOOKUP($A121, LS_current!$B$4:$BW$137,LS_current!BS$147, FALSE))/2)</f>
        <v>60.519122050919449</v>
      </c>
      <c r="CS121" s="102">
        <f t="array" ref="CS121">IF($BT121=0, INDEX(LS_current!$D$4:$BW$137, MATCH('Staging Table'!$A121, LS_current!$B$4:$B$137, 0), MATCH(CS$4&amp;CS$5, LS_current!$D$2:$BW$2&amp;LS_current!$D$3:$BW$3, 0)),SUM(VLOOKUP($A121, LS_current!$B$4:$BW$137, LS_current!X$147, FALSE), VLOOKUP($A121, LS_current!$B$4:$BW$137,LS_current!BT$147, FALSE))/2)</f>
        <v>41.800158462777262</v>
      </c>
      <c r="CT121" s="102">
        <f t="array" ref="CT121">IF($BT121=0, INDEX(LS_current!$D$4:$BW$137, MATCH('Staging Table'!$A121, LS_current!$B$4:$B$137, 0), MATCH(CT$4&amp;CT$5, LS_current!$D$2:$BW$2&amp;LS_current!$D$3:$BW$3, 0)),SUM(VLOOKUP($A121, LS_current!$B$4:$BW$137, LS_current!Y$147, FALSE), VLOOKUP($A121, LS_current!$B$4:$BW$137,LS_current!BU$147, FALSE))/2)</f>
        <v>71.516834207970092</v>
      </c>
      <c r="CU121" s="102">
        <f t="array" ref="CU121">IF($BT121=0, INDEX(LS_current!$D$4:$BW$137, MATCH('Staging Table'!$A121, LS_current!$B$4:$B$137, 0), MATCH(CU$4&amp;CU$5, LS_current!$D$2:$BW$2&amp;LS_current!$D$3:$BW$3, 0)),SUM(VLOOKUP($A121, LS_current!$B$4:$BW$137, LS_current!Z$147, FALSE), VLOOKUP($A121, LS_current!$B$4:$BW$137,LS_current!BV$147, FALSE))/2)</f>
        <v>82.337516939083514</v>
      </c>
      <c r="CV121" s="102">
        <f t="array" ref="CV121">IF($BT121=0, INDEX(LS_current!$D$4:$BW$137, MATCH('Staging Table'!$A121, LS_current!$B$4:$B$137, 0), MATCH(CV$4&amp;CV$5, LS_current!$D$2:$BW$2&amp;LS_current!$D$3:$BW$3, 0)),SUM(VLOOKUP($A121, LS_current!$B$4:$BW$137, LS_current!AA$147, FALSE), VLOOKUP($A121, LS_current!$B$4:$BW$137,LS_current!BW$147, FALSE))/2)</f>
        <v>82.263847542901871</v>
      </c>
      <c r="CW121" s="103">
        <f t="array" ref="CW121">INDEX(Demand_current!$D$4:$BW$137, MATCH($A121, Demand_current!$B$4:$B$137, 0), MATCH(CW$4&amp;CW$5,Demand_current!$D$2:$BW$2&amp;Demand_current!$D$3:$BW$3, 0))/1000</f>
        <v>0.10054166666666661</v>
      </c>
      <c r="CX121" s="103">
        <f t="array" ref="CX121">INDEX(Demand_current!$D$4:$BW$137, MATCH($A121, Demand_current!$B$4:$B$137, 0), MATCH(CX$4&amp;CX$5,Demand_current!$D$2:$BW$2&amp;Demand_current!$D$3:$BW$3, 0))/1000</f>
        <v>0.1353359375</v>
      </c>
      <c r="CY121" s="103">
        <f t="array" ref="CY121">INDEX(Demand_current!$D$4:$BW$137, MATCH($A121, Demand_current!$B$4:$B$137, 0), MATCH(CY$4&amp;CY$5,Demand_current!$D$2:$BW$2&amp;Demand_current!$D$3:$BW$3, 0))/1000</f>
        <v>0</v>
      </c>
      <c r="CZ121" s="103">
        <f t="array" ref="CZ121">INDEX(Demand_current!$D$4:$BW$137, MATCH($A121, Demand_current!$B$4:$B$137, 0), MATCH(CZ$4&amp;CZ$5,Demand_current!$D$2:$BW$2&amp;Demand_current!$D$3:$BW$3, 0))/1000</f>
        <v>0.1179326923076924</v>
      </c>
      <c r="DA121" s="103">
        <f t="array" ref="DA121">INDEX(Demand_current!$D$4:$BW$137, MATCH($A121, Demand_current!$B$4:$B$137, 0), MATCH(DA$4&amp;DA$5,Demand_current!$D$2:$BW$2&amp;Demand_current!$D$3:$BW$3, 0))/1000</f>
        <v>7.114583333333345E-2</v>
      </c>
      <c r="DB121" s="103">
        <f t="array" ref="DB121">INDEX(Demand_current!$D$4:$BW$137, MATCH($A121, Demand_current!$B$4:$B$137, 0), MATCH(DB$4&amp;DB$5,Demand_current!$D$2:$BW$2&amp;Demand_current!$D$3:$BW$3, 0))/1000</f>
        <v>0.16436778846153849</v>
      </c>
      <c r="DC121" s="103">
        <f t="array" ref="DC121">INDEX(Demand_current!$D$4:$BW$137, MATCH($A121, Demand_current!$B$4:$B$137, 0), MATCH(DC$4&amp;DC$5,Demand_current!$D$2:$BW$2&amp;Demand_current!$D$3:$BW$3, 0))/1000</f>
        <v>8.4499999999999964E-2</v>
      </c>
      <c r="DD121" s="103">
        <f t="array" ref="DD121">INDEX(Demand_current!$D$4:$BW$137, MATCH($A121, Demand_current!$B$4:$B$137, 0), MATCH(DD$4&amp;DD$5,Demand_current!$D$2:$BW$2&amp;Demand_current!$D$3:$BW$3, 0))/1000</f>
        <v>4.7802499999999963E-2</v>
      </c>
      <c r="DE121" s="103">
        <f t="array" ref="DE121">INDEX(Demand_current!$D$4:$BW$137, MATCH($A121, Demand_current!$B$4:$B$137, 0), MATCH(DE$4&amp;DE$5,Demand_current!$D$2:$BW$2&amp;Demand_current!$D$3:$BW$3, 0))/1000</f>
        <v>6.4112980769230776E-2</v>
      </c>
      <c r="DF121" s="103">
        <f t="array" ref="DF121">INDEX(Demand_current!$D$4:$BW$137, MATCH($A121, Demand_current!$B$4:$B$137, 0), MATCH(DF$4&amp;DF$5,Demand_current!$D$2:$BW$2&amp;Demand_current!$D$3:$BW$3, 0))/1000</f>
        <v>0</v>
      </c>
      <c r="DG121" s="103">
        <f t="array" ref="DG121">INDEX(Demand_current!$D$4:$BW$137, MATCH($A121, Demand_current!$B$4:$B$137, 0), MATCH(DG$4&amp;DG$5,Demand_current!$D$2:$BW$2&amp;Demand_current!$D$3:$BW$3, 0))/1000</f>
        <v>0</v>
      </c>
      <c r="DH121" s="103">
        <f t="array" ref="DH121">INDEX(Demand_current!$D$4:$BW$137, MATCH($A121, Demand_current!$B$4:$B$137, 0), MATCH(DH$4&amp;DH$5,Demand_current!$D$2:$BW$2&amp;Demand_current!$D$3:$BW$3, 0))/1000</f>
        <v>0</v>
      </c>
      <c r="DI121" s="102">
        <f>$BS121*(VLOOKUP(DI$4, Rates_current!$H$6:$R$41, 10, FALSE)+VLOOKUP(DI$4, Rates_current!$H$6:$R$41, 11, FALSE))</f>
        <v>268.93863704229597</v>
      </c>
      <c r="DJ121" s="102">
        <f>$BS121*(VLOOKUP(DJ$4, Rates_current!$H$6:$R$41, 10, FALSE)+VLOOKUP(DJ$4, Rates_current!$H$6:$R$41, 11, FALSE))</f>
        <v>343.82919612863969</v>
      </c>
      <c r="DK121" s="102">
        <f>$BS121*(VLOOKUP(DK$4, Rates_current!$H$6:$R$41, 10, FALSE)+VLOOKUP(DK$4, Rates_current!$H$6:$R$41, 11, FALSE))</f>
        <v>390.90503917177961</v>
      </c>
      <c r="DL121" s="102">
        <f>$BS121*(VLOOKUP(DL$4, Rates_current!$H$6:$R$41, 10, FALSE)+VLOOKUP(DL$4, Rates_current!$H$6:$R$41, 11, FALSE))</f>
        <v>412.43532993785703</v>
      </c>
      <c r="DM121" s="102">
        <f>$BS121*(VLOOKUP(DM$4, Rates_current!$H$6:$R$41, 10, FALSE)+VLOOKUP(DM$4, Rates_current!$H$6:$R$41, 11, FALSE))</f>
        <v>328.67373424914689</v>
      </c>
      <c r="DN121" s="102">
        <f>$BS121*(VLOOKUP(DN$4, Rates_current!$H$6:$R$41, 10, FALSE)+VLOOKUP(DN$4, Rates_current!$H$6:$R$41, 11, FALSE))</f>
        <v>359.30788657450506</v>
      </c>
      <c r="DO121" s="102">
        <f>$BS121*(VLOOKUP(DO$4, Rates_current!$H$6:$R$41, 10, FALSE)+VLOOKUP(DO$4, Rates_current!$H$6:$R$41, 11, FALSE))</f>
        <v>278.46722639915851</v>
      </c>
      <c r="DP121" s="102">
        <f>$BS121*(VLOOKUP(DP$4, Rates_current!$H$6:$R$41, 10, FALSE)+VLOOKUP(DP$4, Rates_current!$H$6:$R$41, 11, FALSE))</f>
        <v>360.38244124365457</v>
      </c>
      <c r="DQ121" s="102">
        <f>$BS121*(VLOOKUP(DQ$4, Rates_current!$H$6:$R$41, 10, FALSE)+VLOOKUP(DQ$4, Rates_current!$H$6:$R$41, 11, FALSE))</f>
        <v>368.07765543721098</v>
      </c>
      <c r="DR121" s="102">
        <f>$BS121*(VLOOKUP(DR$4, Rates_current!$H$6:$R$41, 10, FALSE)+VLOOKUP(DR$4, Rates_current!$H$6:$R$41, 11, FALSE))</f>
        <v>327.62094643668036</v>
      </c>
      <c r="DS121" s="102">
        <f>$BS121*(VLOOKUP(DS$4, Rates_current!$H$6:$R$41, 10, FALSE)+VLOOKUP(DS$4, Rates_current!$H$6:$R$41, 11, FALSE))</f>
        <v>336.0790073292527</v>
      </c>
      <c r="DT121" s="102">
        <f>$BS121*(VLOOKUP(DT$4, Rates_current!$H$6:$R$41, 10, FALSE)+VLOOKUP(DT$4, Rates_current!$H$6:$R$41, 11, FALSE))</f>
        <v>261.00563551801463</v>
      </c>
      <c r="DU121" s="261">
        <f>IF(D121=0,IF(C121=0,MAX(0,DW121 - (VLOOKUP($A121,TOCA_current!$A$2:$AV$136,MATCH("RHWM "&amp;Init!$D$1,TOCA_current!$A$2:$AV$2,0),FALSE)*$BS$2)), 0),0)</f>
        <v>2788.6222382278052</v>
      </c>
      <c r="DV121" s="262">
        <f>MIN(VLOOKUP($A121,TOCA_current!$A$2:$AV$136,MATCH("TRL - NLSL - Existing Resource "&amp;$BS$1,TOCA_current!$A$2:$AV$2,0),FALSE)*$BS$2, VLOOKUP($A121,TOCA_current!$A$2:$AV$136,MATCH("RHWM "&amp;Init!$D$1,TOCA_current!$A$2:$AV$2,0),FALSE)*$BS$2)</f>
        <v>4038.36</v>
      </c>
      <c r="DW121" s="262">
        <f>SUM(BY121:CV121)+(BS121*RT1SC!$C$4*$BS$2)</f>
        <v>6826.9822382278053</v>
      </c>
      <c r="DX121" s="262">
        <f>VLOOKUP($A121,TOCA_current!$A$2:$AV$136,MATCH("Above RHWM Not Served with LS "&amp;$BS$1,TOCA_current!$A$2:$AV$2,0),FALSE)*$BS$2</f>
        <v>0</v>
      </c>
      <c r="DY121" s="262">
        <f t="shared" si="43"/>
        <v>2788.6222382278052</v>
      </c>
      <c r="DZ121" s="262">
        <f>(VLOOKUP($A121,TOCA_current!$A$2:$AV$136,MATCH("RHWM "&amp;Init!$D$1,TOCA_current!$A$2:$AV$2,0),FALSE)*$BS$2) - $DV121</f>
        <v>0</v>
      </c>
      <c r="EA121" s="262">
        <f t="shared" si="44"/>
        <v>0</v>
      </c>
      <c r="EB121" s="262">
        <f t="shared" si="45"/>
        <v>0</v>
      </c>
      <c r="EC121" s="262">
        <f t="shared" si="46"/>
        <v>0</v>
      </c>
      <c r="ED121" s="262">
        <f t="shared" si="47"/>
        <v>0</v>
      </c>
    </row>
    <row r="122" spans="1:134">
      <c r="A122" s="2">
        <v>10408</v>
      </c>
      <c r="B122" s="3" t="s">
        <v>124</v>
      </c>
      <c r="C122">
        <f>VLOOKUP(A122, TOCA_current!$A$3:$D$136, 4, FALSE)</f>
        <v>0</v>
      </c>
      <c r="D122">
        <v>0</v>
      </c>
      <c r="E122" s="84">
        <f>VLOOKUP($A122,TOCA_previous!$A$2:$AJ$136,MATCH(E$4,TOCA_previous!$A$2:$AJ$2,0),FALSE)</f>
        <v>2.2110000000000001E-4</v>
      </c>
      <c r="F122" s="85">
        <f>VLOOKUP($A122,TOCA_previous!$A$2:$AJ$136,MATCH(F$4,TOCA_previous!$A$2:$AJ$2,0),FALSE)</f>
        <v>2.2110000000000001E-4</v>
      </c>
      <c r="G122" s="85">
        <f t="shared" si="33"/>
        <v>0</v>
      </c>
      <c r="H122" s="85">
        <f>VLOOKUP($A122,TOCA_previous!$A$2:$AJ$136,MATCH(H$4,TOCA_previous!$A$2:$AJ$2,0),FALSE)</f>
        <v>0</v>
      </c>
      <c r="I122" s="85">
        <f t="shared" si="34"/>
        <v>0</v>
      </c>
      <c r="J122" s="85">
        <f t="shared" si="35"/>
        <v>0</v>
      </c>
      <c r="K122" s="101">
        <f>VLOOKUP(A122, IRD!$A$5:$C$138, 3, FALSE)</f>
        <v>0</v>
      </c>
      <c r="L122" s="102">
        <f t="array" ref="L122">IF($G122=0, INDEX(LS_previous!$D$4:$AY$137, MATCH('Staging Table'!$A122, LS_previous!$B$4:$B$137, 0), MATCH(L$4&amp;L$5, LS_previous!$D$2:$AY$2&amp;LS_previous!$D$3:$AY$3, 0)),SUM(VLOOKUP($A122, LS_previous!$B$4:$AY$137, LS_previous!D$148, FALSE), VLOOKUP('Staging Table'!$A122, LS_previous!$B$4:$AY$137,LS_previous!AB$148, FALSE))/2)</f>
        <v>242.99462364039994</v>
      </c>
      <c r="M122" s="102">
        <f t="array" ref="M122">IF($G122=0, INDEX(LS_previous!$D$4:$AY$137, MATCH('Staging Table'!$A122, LS_previous!$B$4:$B$137, 0), MATCH(M$4&amp;M$5, LS_previous!$D$2:$AY$2&amp;LS_previous!$D$3:$AY$3, 0)),SUM(VLOOKUP($A122, LS_previous!$B$4:$AY$137, LS_previous!E$148, FALSE), VLOOKUP('Staging Table'!$A122, LS_previous!$B$4:$AY$137,LS_previous!AC$148, FALSE))/2)</f>
        <v>238.55086469194993</v>
      </c>
      <c r="N122" s="102">
        <f t="array" ref="N122">IF($G122=0, INDEX(LS_previous!$D$4:$AY$137, MATCH('Staging Table'!$A122, LS_previous!$B$4:$B$137, 0), MATCH(N$4&amp;N$5, LS_previous!$D$2:$AY$2&amp;LS_previous!$D$3:$AY$3, 0)),SUM(VLOOKUP($A122, LS_previous!$B$4:$AY$137, LS_previous!F$148, FALSE), VLOOKUP('Staging Table'!$A122, LS_previous!$B$4:$AY$137,LS_previous!AD$148, FALSE))/2)</f>
        <v>12.69685177919996</v>
      </c>
      <c r="O122" s="102">
        <f t="array" ref="O122">IF($G122=0, INDEX(LS_previous!$D$4:$AY$137, MATCH('Staging Table'!$A122, LS_previous!$B$4:$B$137, 0), MATCH(O$4&amp;O$5, LS_previous!$D$2:$AY$2&amp;LS_previous!$D$3:$AY$3, 0)),SUM(VLOOKUP($A122, LS_previous!$B$4:$AY$137, LS_previous!G$148, FALSE), VLOOKUP('Staging Table'!$A122, LS_previous!$B$4:$AY$137,LS_previous!AE$148, FALSE))/2)</f>
        <v>199.12923468590003</v>
      </c>
      <c r="P122" s="102">
        <f t="array" ref="P122">IF($G122=0, INDEX(LS_previous!$D$4:$AY$137, MATCH('Staging Table'!$A122, LS_previous!$B$4:$B$137, 0), MATCH(P$4&amp;P$5, LS_previous!$D$2:$AY$2&amp;LS_previous!$D$3:$AY$3, 0)),SUM(VLOOKUP($A122, LS_previous!$B$4:$AY$137, LS_previous!H$148, FALSE), VLOOKUP('Staging Table'!$A122, LS_previous!$B$4:$AY$137,LS_previous!AF$148, FALSE))/2)</f>
        <v>65.866603107099991</v>
      </c>
      <c r="Q122" s="102">
        <f t="array" ref="Q122">IF($G122=0, INDEX(LS_previous!$D$4:$AY$137, MATCH('Staging Table'!$A122, LS_previous!$B$4:$B$137, 0), MATCH(Q$4&amp;Q$5, LS_previous!$D$2:$AY$2&amp;LS_previous!$D$3:$AY$3, 0)),SUM(VLOOKUP($A122, LS_previous!$B$4:$AY$137, LS_previous!I$148, FALSE), VLOOKUP('Staging Table'!$A122, LS_previous!$B$4:$AY$137,LS_previous!AG$148, FALSE))/2)</f>
        <v>186.2397938144</v>
      </c>
      <c r="R122" s="102">
        <f t="array" ref="R122">IF($G122=0, INDEX(LS_previous!$D$4:$AY$137, MATCH('Staging Table'!$A122, LS_previous!$B$4:$B$137, 0), MATCH(R$4&amp;R$5, LS_previous!$D$2:$AY$2&amp;LS_previous!$D$3:$AY$3, 0)),SUM(VLOOKUP($A122, LS_previous!$B$4:$AY$137, LS_previous!J$148, FALSE), VLOOKUP('Staging Table'!$A122, LS_previous!$B$4:$AY$137,LS_previous!AH$148, FALSE))/2)</f>
        <v>-5.8954381864999732</v>
      </c>
      <c r="S122" s="102">
        <f t="array" ref="S122">IF($G122=0, INDEX(LS_previous!$D$4:$AY$137, MATCH('Staging Table'!$A122, LS_previous!$B$4:$B$137, 0), MATCH(S$4&amp;S$5, LS_previous!$D$2:$AY$2&amp;LS_previous!$D$3:$AY$3, 0)),SUM(VLOOKUP($A122, LS_previous!$B$4:$AY$137, LS_previous!K$148, FALSE), VLOOKUP('Staging Table'!$A122, LS_previous!$B$4:$AY$137,LS_previous!AI$148, FALSE))/2)</f>
        <v>210.57568178809993</v>
      </c>
      <c r="T122" s="102">
        <f t="array" ref="T122">IF($G122=0, INDEX(LS_previous!$D$4:$AY$137, MATCH('Staging Table'!$A122, LS_previous!$B$4:$B$137, 0), MATCH(T$4&amp;T$5, LS_previous!$D$2:$AY$2&amp;LS_previous!$D$3:$AY$3, 0)),SUM(VLOOKUP($A122, LS_previous!$B$4:$AY$137, LS_previous!L$148, FALSE), VLOOKUP('Staging Table'!$A122, LS_previous!$B$4:$AY$137,LS_previous!AJ$148, FALSE))/2)</f>
        <v>26.695911153100042</v>
      </c>
      <c r="U122" s="102">
        <f t="array" ref="U122">IF($G122=0, INDEX(LS_previous!$D$4:$AY$137, MATCH('Staging Table'!$A122, LS_previous!$B$4:$B$137, 0), MATCH(U$4&amp;U$5, LS_previous!$D$2:$AY$2&amp;LS_previous!$D$3:$AY$3, 0)),SUM(VLOOKUP($A122, LS_previous!$B$4:$AY$137, LS_previous!M$148, FALSE), VLOOKUP('Staging Table'!$A122, LS_previous!$B$4:$AY$137,LS_previous!AK$148, FALSE))/2)</f>
        <v>172.55867686510004</v>
      </c>
      <c r="V122" s="102">
        <f t="array" ref="V122">IF($G122=0, INDEX(LS_previous!$D$4:$AY$137, MATCH('Staging Table'!$A122, LS_previous!$B$4:$B$137, 0), MATCH(V$4&amp;V$5, LS_previous!$D$2:$AY$2&amp;LS_previous!$D$3:$AY$3, 0)),SUM(VLOOKUP($A122, LS_previous!$B$4:$AY$137, LS_previous!N$148, FALSE), VLOOKUP('Staging Table'!$A122, LS_previous!$B$4:$AY$137,LS_previous!AL$148, FALSE))/2)</f>
        <v>19.600884115700069</v>
      </c>
      <c r="W122" s="102">
        <f t="array" ref="W122">IF($G122=0, INDEX(LS_previous!$D$4:$AY$137, MATCH('Staging Table'!$A122, LS_previous!$B$4:$B$137, 0), MATCH(W$4&amp;W$5, LS_previous!$D$2:$AY$2&amp;LS_previous!$D$3:$AY$3, 0)),SUM(VLOOKUP($A122, LS_previous!$B$4:$AY$137, LS_previous!O$148, FALSE), VLOOKUP('Staging Table'!$A122, LS_previous!$B$4:$AY$137,LS_previous!AM$148, FALSE))/2)</f>
        <v>161.75114488420002</v>
      </c>
      <c r="X122" s="102">
        <f t="array" ref="X122">IF($G122=0, INDEX(LS_previous!$D$4:$AY$137, MATCH('Staging Table'!$A122, LS_previous!$B$4:$B$137, 0), MATCH(X$4&amp;X$5, LS_previous!$D$2:$AY$2&amp;LS_previous!$D$3:$AY$3, 0)),SUM(VLOOKUP($A122, LS_previous!$B$4:$AY$137, LS_previous!P$148, FALSE), VLOOKUP('Staging Table'!$A122, LS_previous!$B$4:$AY$137,LS_previous!AN$148, FALSE))/2)</f>
        <v>167.40864039475002</v>
      </c>
      <c r="Y122" s="102">
        <f t="array" ref="Y122">IF($G122=0, INDEX(LS_previous!$D$4:$AY$137, MATCH('Staging Table'!$A122, LS_previous!$B$4:$B$137, 0), MATCH(Y$4&amp;Y$5, LS_previous!$D$2:$AY$2&amp;LS_previous!$D$3:$AY$3, 0)),SUM(VLOOKUP($A122, LS_previous!$B$4:$AY$137, LS_previous!Q$148, FALSE), VLOOKUP('Staging Table'!$A122, LS_previous!$B$4:$AY$137,LS_previous!AO$148, FALSE))/2)</f>
        <v>206.39380360707503</v>
      </c>
      <c r="Z122" s="102">
        <f t="array" ref="Z122">IF($G122=0, INDEX(LS_previous!$D$4:$AY$137, MATCH('Staging Table'!$A122, LS_previous!$B$4:$B$137, 0), MATCH(Z$4&amp;Z$5, LS_previous!$D$2:$AY$2&amp;LS_previous!$D$3:$AY$3, 0)),SUM(VLOOKUP($A122, LS_previous!$B$4:$AY$137, LS_previous!R$148, FALSE), VLOOKUP('Staging Table'!$A122, LS_previous!$B$4:$AY$137,LS_previous!AP$148, FALSE))/2)</f>
        <v>-84.539705092799977</v>
      </c>
      <c r="AA122" s="102">
        <f t="array" ref="AA122">IF($G122=0, INDEX(LS_previous!$D$4:$AY$137, MATCH('Staging Table'!$A122, LS_previous!$B$4:$B$137, 0), MATCH(AA$4&amp;AA$5, LS_previous!$D$2:$AY$2&amp;LS_previous!$D$3:$AY$3, 0)),SUM(VLOOKUP($A122, LS_previous!$B$4:$AY$137, LS_previous!S$148, FALSE), VLOOKUP('Staging Table'!$A122, LS_previous!$B$4:$AY$137,LS_previous!AQ$148, FALSE))/2)</f>
        <v>126.03500905564999</v>
      </c>
      <c r="AB122" s="102">
        <f t="array" ref="AB122">IF($G122=0, INDEX(LS_previous!$D$4:$AY$137, MATCH('Staging Table'!$A122, LS_previous!$B$4:$B$137, 0), MATCH(AB$4&amp;AB$5, LS_previous!$D$2:$AY$2&amp;LS_previous!$D$3:$AY$3, 0)),SUM(VLOOKUP($A122, LS_previous!$B$4:$AY$137, LS_previous!T$148, FALSE), VLOOKUP('Staging Table'!$A122, LS_previous!$B$4:$AY$137,LS_previous!AR$148, FALSE))/2)</f>
        <v>-108.72075243860002</v>
      </c>
      <c r="AC122" s="102">
        <f t="array" ref="AC122">IF($G122=0, INDEX(LS_previous!$D$4:$AY$137, MATCH('Staging Table'!$A122, LS_previous!$B$4:$B$137, 0), MATCH(AC$4&amp;AC$5, LS_previous!$D$2:$AY$2&amp;LS_previous!$D$3:$AY$3, 0)),SUM(VLOOKUP($A122, LS_previous!$B$4:$AY$137, LS_previous!U$148, FALSE), VLOOKUP('Staging Table'!$A122, LS_previous!$B$4:$AY$137,LS_previous!AS$148, FALSE))/2)</f>
        <v>60.525285450049921</v>
      </c>
      <c r="AD122" s="102">
        <f t="array" ref="AD122">IF($G122=0, INDEX(LS_previous!$D$4:$AY$137, MATCH('Staging Table'!$A122, LS_previous!$B$4:$B$137, 0), MATCH(AD$4&amp;AD$5, LS_previous!$D$2:$AY$2&amp;LS_previous!$D$3:$AY$3, 0)),SUM(VLOOKUP($A122, LS_previous!$B$4:$AY$137, LS_previous!V$148, FALSE), VLOOKUP('Staging Table'!$A122, LS_previous!$B$4:$AY$137,LS_previous!AT$148, FALSE))/2)</f>
        <v>-1.9997230203999834</v>
      </c>
      <c r="AE122" s="102">
        <f t="array" ref="AE122">IF($G122=0, INDEX(LS_previous!$D$4:$AY$137, MATCH('Staging Table'!$A122, LS_previous!$B$4:$B$137, 0), MATCH(AE$4&amp;AE$5, LS_previous!$D$2:$AY$2&amp;LS_previous!$D$3:$AY$3, 0)),SUM(VLOOKUP($A122, LS_previous!$B$4:$AY$137, LS_previous!W$148, FALSE), VLOOKUP('Staging Table'!$A122, LS_previous!$B$4:$AY$137,LS_previous!AU$148, FALSE))/2)</f>
        <v>153.64482705975007</v>
      </c>
      <c r="AF122" s="102">
        <f t="array" ref="AF122">IF($G122=0, INDEX(LS_previous!$D$4:$AY$137, MATCH('Staging Table'!$A122, LS_previous!$B$4:$B$137, 0), MATCH(AF$4&amp;AF$5, LS_previous!$D$2:$AY$2&amp;LS_previous!$D$3:$AY$3, 0)),SUM(VLOOKUP($A122, LS_previous!$B$4:$AY$137, LS_previous!X$148, FALSE), VLOOKUP('Staging Table'!$A122, LS_previous!$B$4:$AY$137,LS_previous!AV$148, FALSE))/2)</f>
        <v>-20.39095691865009</v>
      </c>
      <c r="AG122" s="102">
        <f t="array" ref="AG122">IF($G122=0, INDEX(LS_previous!$D$4:$AY$137, MATCH('Staging Table'!$A122, LS_previous!$B$4:$B$137, 0), MATCH(AG$4&amp;AG$5, LS_previous!$D$2:$AY$2&amp;LS_previous!$D$3:$AY$3, 0)),SUM(VLOOKUP($A122, LS_previous!$B$4:$AY$137, LS_previous!Y$148, FALSE), VLOOKUP('Staging Table'!$A122, LS_previous!$B$4:$AY$137,LS_previous!AW$148, FALSE))/2)</f>
        <v>144.00091054516508</v>
      </c>
      <c r="AH122" s="102">
        <f t="array" ref="AH122">IF($G122=0, INDEX(LS_previous!$D$4:$AY$137, MATCH('Staging Table'!$A122, LS_previous!$B$4:$B$137, 0), MATCH(AH$4&amp;AH$5, LS_previous!$D$2:$AY$2&amp;LS_previous!$D$3:$AY$3, 0)),SUM(VLOOKUP($A122, LS_previous!$B$4:$AY$137, LS_previous!Z$148, FALSE), VLOOKUP('Staging Table'!$A122, LS_previous!$B$4:$AY$137,LS_previous!AX$148, FALSE))/2)</f>
        <v>-144.12285238140004</v>
      </c>
      <c r="AI122" s="102">
        <f t="array" ref="AI122">IF($G122=0, INDEX(LS_previous!$D$4:$AY$137, MATCH('Staging Table'!$A122, LS_previous!$B$4:$B$137, 0), MATCH(AI$4&amp;AI$5, LS_previous!$D$2:$AY$2&amp;LS_previous!$D$3:$AY$3, 0)),SUM(VLOOKUP($A122, LS_previous!$B$4:$AY$137, LS_previous!AA$148, FALSE), VLOOKUP('Staging Table'!$A122, LS_previous!$B$4:$AY$137,LS_previous!AY$148, FALSE))/2)</f>
        <v>-16.742908894400045</v>
      </c>
      <c r="AJ122" s="103">
        <f t="array" ref="AJ122">INDEX(Demand_previous!$D$4:$AY$137, MATCH('Staging Table'!$A122, Demand_previous!$B$4:$B$137, 0), MATCH(AJ$4&amp;AJ$5,Demand_previous!$D$2:$AY$2&amp;Demand_previous!$D$3:$AY$3, 0))/1000</f>
        <v>0.12227884615384585</v>
      </c>
      <c r="AK122" s="103">
        <f t="array" ref="AK122">INDEX(Demand_previous!$D$4:$AY$137, MATCH('Staging Table'!$A122, Demand_previous!$B$4:$B$137, 0), MATCH(AK$4&amp;AK$5,Demand_previous!$D$2:$AY$2&amp;Demand_previous!$D$3:$AY$3, 0))/1000</f>
        <v>0.35281249999999975</v>
      </c>
      <c r="AL122" s="103">
        <f t="array" ref="AL122">INDEX(Demand_previous!$D$4:$AY$137, MATCH('Staging Table'!$A122, Demand_previous!$B$4:$B$137, 0), MATCH(AL$4&amp;AL$5,Demand_previous!$D$2:$AY$2&amp;Demand_previous!$D$3:$AY$3, 0))/1000</f>
        <v>0.18238499999999977</v>
      </c>
      <c r="AM122" s="103">
        <f t="array" ref="AM122">INDEX(Demand_previous!$D$4:$AY$137, MATCH('Staging Table'!$A122, Demand_previous!$B$4:$B$137, 0), MATCH(AM$4&amp;AM$5,Demand_previous!$D$2:$AY$2&amp;Demand_previous!$D$3:$AY$3, 0))/1000</f>
        <v>0.26268749999999996</v>
      </c>
      <c r="AN122" s="103">
        <f t="array" ref="AN122">INDEX(Demand_previous!$D$4:$AY$137, MATCH('Staging Table'!$A122, Demand_previous!$B$4:$B$137, 0), MATCH(AN$4&amp;AN$5,Demand_previous!$D$2:$AY$2&amp;Demand_previous!$D$3:$AY$3, 0))/1000</f>
        <v>0.43518749999999978</v>
      </c>
      <c r="AO122" s="103">
        <f t="array" ref="AO122">INDEX(Demand_previous!$D$4:$AY$137, MATCH('Staging Table'!$A122, Demand_previous!$B$4:$B$137, 0), MATCH(AO$4&amp;AO$5,Demand_previous!$D$2:$AY$2&amp;Demand_previous!$D$3:$AY$3, 0))/1000</f>
        <v>0.3712836538461538</v>
      </c>
      <c r="AP122" s="103">
        <f t="array" ref="AP122">INDEX(Demand_previous!$D$4:$AY$137, MATCH('Staging Table'!$A122, Demand_previous!$B$4:$B$137, 0), MATCH(AP$4&amp;AP$5,Demand_previous!$D$2:$AY$2&amp;Demand_previous!$D$3:$AY$3, 0))/1000</f>
        <v>0.23664182692307711</v>
      </c>
      <c r="AQ122" s="103">
        <f t="array" ref="AQ122">INDEX(Demand_previous!$D$4:$AY$137, MATCH('Staging Table'!$A122, Demand_previous!$B$4:$B$137, 0), MATCH(AQ$4&amp;AQ$5,Demand_previous!$D$2:$AY$2&amp;Demand_previous!$D$3:$AY$3, 0))/1000</f>
        <v>0.35613221153846142</v>
      </c>
      <c r="AR122" s="103">
        <f t="array" ref="AR122">INDEX(Demand_previous!$D$4:$AY$137, MATCH('Staging Table'!$A122, Demand_previous!$B$4:$B$137, 0), MATCH(AR$4&amp;AR$5,Demand_previous!$D$2:$AY$2&amp;Demand_previous!$D$3:$AY$3, 0))/1000</f>
        <v>0.25000749999999977</v>
      </c>
      <c r="AS122" s="103">
        <f t="array" ref="AS122">INDEX(Demand_previous!$D$4:$AY$137, MATCH('Staging Table'!$A122, Demand_previous!$B$4:$B$137, 0), MATCH(AS$4&amp;AS$5,Demand_previous!$D$2:$AY$2&amp;Demand_previous!$D$3:$AY$3, 0))/1000</f>
        <v>0.2307091346153845</v>
      </c>
      <c r="AT122" s="103">
        <f t="array" ref="AT122">INDEX(Demand_previous!$D$4:$AY$137, MATCH('Staging Table'!$A122, Demand_previous!$B$4:$B$137, 0), MATCH(AT$4&amp;AT$5,Demand_previous!$D$2:$AY$2&amp;Demand_previous!$D$3:$AY$3, 0))/1000</f>
        <v>0.45342361111111101</v>
      </c>
      <c r="AU122" s="103">
        <f t="array" ref="AU122">INDEX(Demand_previous!$D$4:$AY$137, MATCH('Staging Table'!$A122, Demand_previous!$B$4:$B$137, 0), MATCH(AU$4&amp;AU$5,Demand_previous!$D$2:$AY$2&amp;Demand_previous!$D$3:$AY$3, 0))/1000</f>
        <v>0.20768750000000002</v>
      </c>
      <c r="AV122" s="102">
        <f>$F122*(VLOOKUP(AV$4, Rates_previous!$G$6:$Q$29, 10, FALSE)+VLOOKUP(AV$4, Rates_previous!$G$6:$Q$29, 11, FALSE))</f>
        <v>932.77751166765006</v>
      </c>
      <c r="AW122" s="102">
        <f>$F122*(VLOOKUP(AW$4, Rates_previous!$G$6:$Q$29, 10, FALSE)+VLOOKUP(AW$4, Rates_previous!$G$6:$Q$29, 11, FALSE))</f>
        <v>1189.5989135349002</v>
      </c>
      <c r="AX122" s="102">
        <f>$F122*(VLOOKUP(AX$4, Rates_previous!$G$6:$Q$29, 10, FALSE)+VLOOKUP(AX$4, Rates_previous!$G$6:$Q$29, 11, FALSE))</f>
        <v>1283.8126030785002</v>
      </c>
      <c r="AY122" s="102">
        <f>$F122*(VLOOKUP(AY$4, Rates_previous!$G$6:$Q$29, 10, FALSE)+VLOOKUP(AY$4, Rates_previous!$G$6:$Q$29, 11, FALSE))</f>
        <v>1334.0797563983999</v>
      </c>
      <c r="AZ122" s="102">
        <f>$F122*(VLOOKUP(AZ$4, Rates_previous!$G$6:$Q$29, 10, FALSE)+VLOOKUP(AZ$4, Rates_previous!$G$6:$Q$29, 11, FALSE))</f>
        <v>1147.4864119817998</v>
      </c>
      <c r="BA122" s="102">
        <f>$F122*(VLOOKUP(BA$4, Rates_previous!$G$6:$Q$29, 10, FALSE)+VLOOKUP(BA$4, Rates_previous!$G$6:$Q$29, 11, FALSE))</f>
        <v>1252.8279710001</v>
      </c>
      <c r="BB122" s="102">
        <f>$F122*(VLOOKUP(BB$4, Rates_previous!$G$6:$Q$29, 10, FALSE)+VLOOKUP(BB$4, Rates_previous!$G$6:$Q$29, 11, FALSE))</f>
        <v>988.8965559981749</v>
      </c>
      <c r="BC122" s="102">
        <f>$F122*(VLOOKUP(BC$4, Rates_previous!$G$6:$Q$29, 10, FALSE)+VLOOKUP(BC$4, Rates_previous!$G$6:$Q$29, 11, FALSE))</f>
        <v>1226.8586960371501</v>
      </c>
      <c r="BD122" s="102">
        <f>$F122*(VLOOKUP(BD$4, Rates_previous!$G$6:$Q$29, 10, FALSE)+VLOOKUP(BD$4, Rates_previous!$G$6:$Q$29, 11, FALSE))</f>
        <v>1253.4784669885501</v>
      </c>
      <c r="BE122" s="102">
        <f>$F122*(VLOOKUP(BE$4, Rates_previous!$G$6:$Q$29, 10, FALSE)+VLOOKUP(BE$4, Rates_previous!$G$6:$Q$29, 11, FALSE))</f>
        <v>1088.1998959606501</v>
      </c>
      <c r="BF122" s="102">
        <f>$F122*(VLOOKUP(BF$4, Rates_previous!$G$6:$Q$29, 10, FALSE)+VLOOKUP(BF$4, Rates_previous!$G$6:$Q$29, 11, FALSE))</f>
        <v>1052.0000463734852</v>
      </c>
      <c r="BG122" s="102">
        <f>$F122*(VLOOKUP(BG$4, Rates_previous!$G$6:$Q$29, 10, FALSE)+VLOOKUP(BG$4, Rates_previous!$G$6:$Q$29, 11, FALSE))</f>
        <v>968.04376127580019</v>
      </c>
      <c r="BH122" s="103">
        <f>IF($D122=0,IF(C122=0, MAX(BJ122 - (VLOOKUP($A122,TOCA_previous!$A$2:$AJ$136,MATCH("RHWM "&amp;Init!$D$1-2,TOCA_previous!$A$2:$AJ$2,0),FALSE)*$F$2*TOCA_previous!C119),0),0), 0)</f>
        <v>2317.1490628808406</v>
      </c>
      <c r="BI122" s="109">
        <f>MIN(VLOOKUP($A122,TOCA_previous!$A$2:$AJ$136,MATCH("TRL - NLSL - Existing Resource "&amp;$F$1,TOCA_previous!$A$2:$AJ$2,0),FALSE)*$F$2,(VLOOKUP($A122,TOCA_previous!$A$2:$AJ$136,MATCH("RHWM "&amp;Init!$D$1-2,TOCA_previous!$A$2:$AJ$2,0),FALSE)*$F$2))</f>
        <v>13413.168</v>
      </c>
      <c r="BJ122" s="261">
        <f>SUM(L122:AI122)+(F122*RT1SC!$C$3*$F$2)</f>
        <v>15730.31706288084</v>
      </c>
      <c r="BK122" s="260">
        <f>VLOOKUP($A122,TOCA_previous!$A$2:$AJ$136,MATCH("Above RHWM Not Served with LS "&amp;$F$1,TOCA_previous!$A$2:$AJ$2,0),FALSE)*$F$2</f>
        <v>0</v>
      </c>
      <c r="BL122" s="261">
        <f t="shared" si="36"/>
        <v>2317.1490628808406</v>
      </c>
      <c r="BM122" s="260">
        <f>(VLOOKUP($A122,TOCA_previous!$A$2:$AJ$136,MATCH("RHWM "&amp;Init!$D$1-2,TOCA_previous!$A$2:$AJ$2,0),FALSE)*$F$2) - $BI122</f>
        <v>0</v>
      </c>
      <c r="BN122" s="261">
        <f t="shared" si="37"/>
        <v>0</v>
      </c>
      <c r="BO122" s="260">
        <f t="shared" si="38"/>
        <v>0</v>
      </c>
      <c r="BP122" s="261">
        <f t="shared" si="39"/>
        <v>0</v>
      </c>
      <c r="BQ122" s="260">
        <f t="shared" si="9"/>
        <v>0</v>
      </c>
      <c r="BR122" s="85">
        <f>VLOOKUP($A122,TOCA_current!$A$2:$ZZ$136,MATCH(BR$4,TOCA_current!$A$2:$ZZ$2,0),FALSE)</f>
        <v>2.1599999999999999E-4</v>
      </c>
      <c r="BS122" s="85">
        <f>VLOOKUP($A122,TOCA_current!$A$2:$ZZ$136,MATCH(BS$4,TOCA_current!$A$2:$ZZ$2,0),FALSE)</f>
        <v>2.1599999999999999E-4</v>
      </c>
      <c r="BT122" s="108">
        <f t="shared" si="40"/>
        <v>0</v>
      </c>
      <c r="BU122" s="85">
        <f>VLOOKUP($A122,TOCA_current!A119:BG253,MATCH(BU$4,TOCA_current!$A$2:$BG$2,0),FALSE)</f>
        <v>0</v>
      </c>
      <c r="BV122" s="85">
        <f t="shared" si="41"/>
        <v>0</v>
      </c>
      <c r="BW122" s="85">
        <f t="shared" si="42"/>
        <v>0</v>
      </c>
      <c r="BX122" s="101">
        <f>VLOOKUP($A122,IRD!$A$4:$G$138, 7, FALSE)</f>
        <v>0</v>
      </c>
      <c r="BY122" s="102">
        <f t="array" ref="BY122">IF($BT122=0, INDEX(LS_current!$D$4:$BW$137, MATCH('Staging Table'!$A122, LS_current!$B$4:$B$137, 0), MATCH(BY$4&amp;BY$5, LS_current!$D$2:$BW$2&amp;LS_current!$D$3:$BW$3, 0)),SUM(VLOOKUP($A122, LS_current!$B$4:$BW$137, LS_current!D$147, FALSE), VLOOKUP($A122, LS_current!$B$4:$BW$137,LS_current!AZ$147, FALSE))/2)</f>
        <v>248.75476971575154</v>
      </c>
      <c r="BZ122" s="102">
        <f t="array" ref="BZ122">IF($BT122=0, INDEX(LS_current!$D$4:$BW$137, MATCH('Staging Table'!$A122, LS_current!$B$4:$B$137, 0), MATCH(BZ$4&amp;BZ$5, LS_current!$D$2:$BW$2&amp;LS_current!$D$3:$BW$3, 0)),SUM(VLOOKUP($A122, LS_current!$B$4:$BW$137, LS_current!E$147, FALSE), VLOOKUP($A122, LS_current!$B$4:$BW$137,LS_current!BA$147, FALSE))/2)</f>
        <v>269.10610680992863</v>
      </c>
      <c r="CA122" s="102">
        <f t="array" ref="CA122">IF($BT122=0, INDEX(LS_current!$D$4:$BW$137, MATCH('Staging Table'!$A122, LS_current!$B$4:$B$137, 0), MATCH(CA$4&amp;CA$5, LS_current!$D$2:$BW$2&amp;LS_current!$D$3:$BW$3, 0)),SUM(VLOOKUP($A122, LS_current!$B$4:$BW$137, LS_current!F$147, FALSE), VLOOKUP($A122, LS_current!$B$4:$BW$137,LS_current!BB$147, FALSE))/2)</f>
        <v>42.065571722858294</v>
      </c>
      <c r="CB122" s="102">
        <f t="array" ref="CB122">IF($BT122=0, INDEX(LS_current!$D$4:$BW$137, MATCH('Staging Table'!$A122, LS_current!$B$4:$B$137, 0), MATCH(CB$4&amp;CB$5, LS_current!$D$2:$BW$2&amp;LS_current!$D$3:$BW$3, 0)),SUM(VLOOKUP($A122, LS_current!$B$4:$BW$137, LS_current!G$147, FALSE), VLOOKUP($A122, LS_current!$B$4:$BW$137,LS_current!BC$147, FALSE))/2)</f>
        <v>213.26210784834302</v>
      </c>
      <c r="CC122" s="102">
        <f t="array" ref="CC122">IF($BT122=0, INDEX(LS_current!$D$4:$BW$137, MATCH('Staging Table'!$A122, LS_current!$B$4:$B$137, 0), MATCH(CC$4&amp;CC$5, LS_current!$D$2:$BW$2&amp;LS_current!$D$3:$BW$3, 0)),SUM(VLOOKUP($A122, LS_current!$B$4:$BW$137, LS_current!H$147, FALSE), VLOOKUP($A122, LS_current!$B$4:$BW$137,LS_current!BD$147, FALSE))/2)</f>
        <v>8.9959182197284235</v>
      </c>
      <c r="CD122" s="102">
        <f t="array" ref="CD122">IF($BT122=0, INDEX(LS_current!$D$4:$BW$137, MATCH('Staging Table'!$A122, LS_current!$B$4:$B$137, 0), MATCH(CD$4&amp;CD$5, LS_current!$D$2:$BW$2&amp;LS_current!$D$3:$BW$3, 0)),SUM(VLOOKUP($A122, LS_current!$B$4:$BW$137, LS_current!I$147, FALSE), VLOOKUP($A122, LS_current!$B$4:$BW$137,LS_current!BE$147, FALSE))/2)</f>
        <v>223.90628454100619</v>
      </c>
      <c r="CE122" s="102">
        <f t="array" ref="CE122">IF($BT122=0, INDEX(LS_current!$D$4:$BW$137, MATCH('Staging Table'!$A122, LS_current!$B$4:$B$137, 0), MATCH(CE$4&amp;CE$5, LS_current!$D$2:$BW$2&amp;LS_current!$D$3:$BW$3, 0)),SUM(VLOOKUP($A122, LS_current!$B$4:$BW$137, LS_current!J$147, FALSE), VLOOKUP($A122, LS_current!$B$4:$BW$137,LS_current!BF$147, FALSE))/2)</f>
        <v>-46.471846400674849</v>
      </c>
      <c r="CF122" s="102">
        <f t="array" ref="CF122">IF($BT122=0, INDEX(LS_current!$D$4:$BW$137, MATCH('Staging Table'!$A122, LS_current!$B$4:$B$137, 0), MATCH(CF$4&amp;CF$5, LS_current!$D$2:$BW$2&amp;LS_current!$D$3:$BW$3, 0)),SUM(VLOOKUP($A122, LS_current!$B$4:$BW$137, LS_current!K$147, FALSE), VLOOKUP($A122, LS_current!$B$4:$BW$137,LS_current!BG$147, FALSE))/2)</f>
        <v>210.44741327448486</v>
      </c>
      <c r="CG122" s="102">
        <f t="array" ref="CG122">IF($BT122=0, INDEX(LS_current!$D$4:$BW$137, MATCH('Staging Table'!$A122, LS_current!$B$4:$B$137, 0), MATCH(CG$4&amp;CG$5, LS_current!$D$2:$BW$2&amp;LS_current!$D$3:$BW$3, 0)),SUM(VLOOKUP($A122, LS_current!$B$4:$BW$137, LS_current!L$147, FALSE), VLOOKUP($A122, LS_current!$B$4:$BW$137,LS_current!BH$147, FALSE))/2)</f>
        <v>59.154574170811657</v>
      </c>
      <c r="CH122" s="102">
        <f t="array" ref="CH122">IF($BT122=0, INDEX(LS_current!$D$4:$BW$137, MATCH('Staging Table'!$A122, LS_current!$B$4:$B$137, 0), MATCH(CH$4&amp;CH$5, LS_current!$D$2:$BW$2&amp;LS_current!$D$3:$BW$3, 0)),SUM(VLOOKUP($A122, LS_current!$B$4:$BW$137, LS_current!M$147, FALSE), VLOOKUP($A122, LS_current!$B$4:$BW$137,LS_current!BI$147, FALSE))/2)</f>
        <v>192.00731166536565</v>
      </c>
      <c r="CI122" s="102">
        <f t="array" ref="CI122">IF($BT122=0, INDEX(LS_current!$D$4:$BW$137, MATCH('Staging Table'!$A122, LS_current!$B$4:$B$137, 0), MATCH(CI$4&amp;CI$5, LS_current!$D$2:$BW$2&amp;LS_current!$D$3:$BW$3, 0)),SUM(VLOOKUP($A122, LS_current!$B$4:$BW$137, LS_current!N$147, FALSE), VLOOKUP($A122, LS_current!$B$4:$BW$137,LS_current!BJ$147, FALSE))/2)</f>
        <v>3.4365765972688678</v>
      </c>
      <c r="CJ122" s="102">
        <f t="array" ref="CJ122">IF($BT122=0, INDEX(LS_current!$D$4:$BW$137, MATCH('Staging Table'!$A122, LS_current!$B$4:$B$137, 0), MATCH(CJ$4&amp;CJ$5, LS_current!$D$2:$BW$2&amp;LS_current!$D$3:$BW$3, 0)),SUM(VLOOKUP($A122, LS_current!$B$4:$BW$137, LS_current!O$147, FALSE), VLOOKUP($A122, LS_current!$B$4:$BW$137,LS_current!BK$147, FALSE))/2)</f>
        <v>233.05046815438101</v>
      </c>
      <c r="CK122" s="102">
        <f t="array" ref="CK122">IF($BT122=0, INDEX(LS_current!$D$4:$BW$137, MATCH('Staging Table'!$A122, LS_current!$B$4:$B$137, 0), MATCH(CK$4&amp;CK$5, LS_current!$D$2:$BW$2&amp;LS_current!$D$3:$BW$3, 0)),SUM(VLOOKUP($A122, LS_current!$B$4:$BW$137, LS_current!P$147, FALSE), VLOOKUP($A122, LS_current!$B$4:$BW$137,LS_current!BL$147, FALSE))/2)</f>
        <v>197.81556556001283</v>
      </c>
      <c r="CL122" s="102">
        <f t="array" ref="CL122">IF($BT122=0, INDEX(LS_current!$D$4:$BW$137, MATCH('Staging Table'!$A122, LS_current!$B$4:$B$137, 0), MATCH(CL$4&amp;CL$5, LS_current!$D$2:$BW$2&amp;LS_current!$D$3:$BW$3, 0)),SUM(VLOOKUP($A122, LS_current!$B$4:$BW$137, LS_current!Q$147, FALSE), VLOOKUP($A122, LS_current!$B$4:$BW$137,LS_current!BM$147, FALSE))/2)</f>
        <v>236.65934644279224</v>
      </c>
      <c r="CM122" s="102">
        <f t="array" ref="CM122">IF($BT122=0, INDEX(LS_current!$D$4:$BW$137, MATCH('Staging Table'!$A122, LS_current!$B$4:$B$137, 0), MATCH(CM$4&amp;CM$5, LS_current!$D$2:$BW$2&amp;LS_current!$D$3:$BW$3, 0)),SUM(VLOOKUP($A122, LS_current!$B$4:$BW$137, LS_current!R$147, FALSE), VLOOKUP($A122, LS_current!$B$4:$BW$137,LS_current!BN$147, FALSE))/2)</f>
        <v>-66.437230389060232</v>
      </c>
      <c r="CN122" s="102">
        <f t="array" ref="CN122">IF($BT122=0, INDEX(LS_current!$D$4:$BW$137, MATCH('Staging Table'!$A122, LS_current!$B$4:$B$137, 0), MATCH(CN$4&amp;CN$5, LS_current!$D$2:$BW$2&amp;LS_current!$D$3:$BW$3, 0)),SUM(VLOOKUP($A122, LS_current!$B$4:$BW$137, LS_current!S$147, FALSE), VLOOKUP($A122, LS_current!$B$4:$BW$137,LS_current!BO$147, FALSE))/2)</f>
        <v>133.5164262435452</v>
      </c>
      <c r="CO122" s="102">
        <f t="array" ref="CO122">IF($BT122=0, INDEX(LS_current!$D$4:$BW$137, MATCH('Staging Table'!$A122, LS_current!$B$4:$B$137, 0), MATCH(CO$4&amp;CO$5, LS_current!$D$2:$BW$2&amp;LS_current!$D$3:$BW$3, 0)),SUM(VLOOKUP($A122, LS_current!$B$4:$BW$137, LS_current!T$147, FALSE), VLOOKUP($A122, LS_current!$B$4:$BW$137,LS_current!BP$147, FALSE))/2)</f>
        <v>-121.24384646511783</v>
      </c>
      <c r="CP122" s="102">
        <f t="array" ref="CP122">IF($BT122=0, INDEX(LS_current!$D$4:$BW$137, MATCH('Staging Table'!$A122, LS_current!$B$4:$B$137, 0), MATCH(CP$4&amp;CP$5, LS_current!$D$2:$BW$2&amp;LS_current!$D$3:$BW$3, 0)),SUM(VLOOKUP($A122, LS_current!$B$4:$BW$137, LS_current!U$147, FALSE), VLOOKUP($A122, LS_current!$B$4:$BW$137,LS_current!BQ$147, FALSE))/2)</f>
        <v>99.601328341081398</v>
      </c>
      <c r="CQ122" s="102">
        <f t="array" ref="CQ122">IF($BT122=0, INDEX(LS_current!$D$4:$BW$137, MATCH('Staging Table'!$A122, LS_current!$B$4:$B$137, 0), MATCH(CQ$4&amp;CQ$5, LS_current!$D$2:$BW$2&amp;LS_current!$D$3:$BW$3, 0)),SUM(VLOOKUP($A122, LS_current!$B$4:$BW$137, LS_current!V$147, FALSE), VLOOKUP($A122, LS_current!$B$4:$BW$137,LS_current!BR$147, FALSE))/2)</f>
        <v>-15.872561625332651</v>
      </c>
      <c r="CR122" s="102">
        <f t="array" ref="CR122">IF($BT122=0, INDEX(LS_current!$D$4:$BW$137, MATCH('Staging Table'!$A122, LS_current!$B$4:$B$137, 0), MATCH(CR$4&amp;CR$5, LS_current!$D$2:$BW$2&amp;LS_current!$D$3:$BW$3, 0)),SUM(VLOOKUP($A122, LS_current!$B$4:$BW$137, LS_current!W$147, FALSE), VLOOKUP($A122, LS_current!$B$4:$BW$137,LS_current!BS$147, FALSE))/2)</f>
        <v>163.64774016973161</v>
      </c>
      <c r="CS122" s="102">
        <f t="array" ref="CS122">IF($BT122=0, INDEX(LS_current!$D$4:$BW$137, MATCH('Staging Table'!$A122, LS_current!$B$4:$B$137, 0), MATCH(CS$4&amp;CS$5, LS_current!$D$2:$BW$2&amp;LS_current!$D$3:$BW$3, 0)),SUM(VLOOKUP($A122, LS_current!$B$4:$BW$137, LS_current!X$147, FALSE), VLOOKUP($A122, LS_current!$B$4:$BW$137,LS_current!BT$147, FALSE))/2)</f>
        <v>-97.699805124075851</v>
      </c>
      <c r="CT122" s="102">
        <f t="array" ref="CT122">IF($BT122=0, INDEX(LS_current!$D$4:$BW$137, MATCH('Staging Table'!$A122, LS_current!$B$4:$B$137, 0), MATCH(CT$4&amp;CT$5, LS_current!$D$2:$BW$2&amp;LS_current!$D$3:$BW$3, 0)),SUM(VLOOKUP($A122, LS_current!$B$4:$BW$137, LS_current!Y$147, FALSE), VLOOKUP($A122, LS_current!$B$4:$BW$137,LS_current!BU$147, FALSE))/2)</f>
        <v>153.04644735990041</v>
      </c>
      <c r="CU122" s="102">
        <f t="array" ref="CU122">IF($BT122=0, INDEX(LS_current!$D$4:$BW$137, MATCH('Staging Table'!$A122, LS_current!$B$4:$B$137, 0), MATCH(CU$4&amp;CU$5, LS_current!$D$2:$BW$2&amp;LS_current!$D$3:$BW$3, 0)),SUM(VLOOKUP($A122, LS_current!$B$4:$BW$137, LS_current!Z$147, FALSE), VLOOKUP($A122, LS_current!$B$4:$BW$137,LS_current!BV$147, FALSE))/2)</f>
        <v>-107.48161020305491</v>
      </c>
      <c r="CV122" s="102">
        <f t="array" ref="CV122">IF($BT122=0, INDEX(LS_current!$D$4:$BW$137, MATCH('Staging Table'!$A122, LS_current!$B$4:$B$137, 0), MATCH(CV$4&amp;CV$5, LS_current!$D$2:$BW$2&amp;LS_current!$D$3:$BW$3, 0)),SUM(VLOOKUP($A122, LS_current!$B$4:$BW$137, LS_current!AA$147, FALSE), VLOOKUP($A122, LS_current!$B$4:$BW$137,LS_current!BW$147, FALSE))/2)</f>
        <v>44.640825143006282</v>
      </c>
      <c r="CW122" s="103">
        <f t="array" ref="CW122">INDEX(Demand_current!$D$4:$BW$137, MATCH($A122, Demand_current!$B$4:$B$137, 0), MATCH(CW$4&amp;CW$5,Demand_current!$D$2:$BW$2&amp;Demand_current!$D$3:$BW$3, 0))/1000</f>
        <v>0.19415740740740714</v>
      </c>
      <c r="CX122" s="103">
        <f t="array" ref="CX122">INDEX(Demand_current!$D$4:$BW$137, MATCH($A122, Demand_current!$B$4:$B$137, 0), MATCH(CX$4&amp;CX$5,Demand_current!$D$2:$BW$2&amp;Demand_current!$D$3:$BW$3, 0))/1000</f>
        <v>0.2763046874999997</v>
      </c>
      <c r="CY122" s="103">
        <f t="array" ref="CY122">INDEX(Demand_current!$D$4:$BW$137, MATCH($A122, Demand_current!$B$4:$B$137, 0), MATCH(CY$4&amp;CY$5,Demand_current!$D$2:$BW$2&amp;Demand_current!$D$3:$BW$3, 0))/1000</f>
        <v>0.26356250000000014</v>
      </c>
      <c r="CZ122" s="103">
        <f t="array" ref="CZ122">INDEX(Demand_current!$D$4:$BW$137, MATCH($A122, Demand_current!$B$4:$B$137, 0), MATCH(CZ$4&amp;CZ$5,Demand_current!$D$2:$BW$2&amp;Demand_current!$D$3:$BW$3, 0))/1000</f>
        <v>0.26268749999999996</v>
      </c>
      <c r="DA122" s="103">
        <f t="array" ref="DA122">INDEX(Demand_current!$D$4:$BW$137, MATCH($A122, Demand_current!$B$4:$B$137, 0), MATCH(DA$4&amp;DA$5,Demand_current!$D$2:$BW$2&amp;Demand_current!$D$3:$BW$3, 0))/1000</f>
        <v>0.356403645833333</v>
      </c>
      <c r="DB122" s="103">
        <f t="array" ref="DB122">INDEX(Demand_current!$D$4:$BW$137, MATCH($A122, Demand_current!$B$4:$B$137, 0), MATCH(DB$4&amp;DB$5,Demand_current!$D$2:$BW$2&amp;Demand_current!$D$3:$BW$3, 0))/1000</f>
        <v>0.3712836538461538</v>
      </c>
      <c r="DC122" s="103">
        <f t="array" ref="DC122">INDEX(Demand_current!$D$4:$BW$137, MATCH($A122, Demand_current!$B$4:$B$137, 0), MATCH(DC$4&amp;DC$5,Demand_current!$D$2:$BW$2&amp;Demand_current!$D$3:$BW$3, 0))/1000</f>
        <v>0.23664182692307711</v>
      </c>
      <c r="DD122" s="103">
        <f t="array" ref="DD122">INDEX(Demand_current!$D$4:$BW$137, MATCH($A122, Demand_current!$B$4:$B$137, 0), MATCH(DD$4&amp;DD$5,Demand_current!$D$2:$BW$2&amp;Demand_current!$D$3:$BW$3, 0))/1000</f>
        <v>0.29257749999999982</v>
      </c>
      <c r="DE122" s="103">
        <f t="array" ref="DE122">INDEX(Demand_current!$D$4:$BW$137, MATCH($A122, Demand_current!$B$4:$B$137, 0), MATCH(DE$4&amp;DE$5,Demand_current!$D$2:$BW$2&amp;Demand_current!$D$3:$BW$3, 0))/1000</f>
        <v>0.31523798076923054</v>
      </c>
      <c r="DF122" s="103">
        <f t="array" ref="DF122">INDEX(Demand_current!$D$4:$BW$137, MATCH($A122, Demand_current!$B$4:$B$137, 0), MATCH(DF$4&amp;DF$5,Demand_current!$D$2:$BW$2&amp;Demand_current!$D$3:$BW$3, 0))/1000</f>
        <v>0.2307091346153845</v>
      </c>
      <c r="DG122" s="103">
        <f t="array" ref="DG122">INDEX(Demand_current!$D$4:$BW$137, MATCH($A122, Demand_current!$B$4:$B$137, 0), MATCH(DG$4&amp;DG$5,Demand_current!$D$2:$BW$2&amp;Demand_current!$D$3:$BW$3, 0))/1000</f>
        <v>0.39582451923076928</v>
      </c>
      <c r="DH122" s="103">
        <f t="array" ref="DH122">INDEX(Demand_current!$D$4:$BW$137, MATCH($A122, Demand_current!$B$4:$B$137, 0), MATCH(DH$4&amp;DH$5,Demand_current!$D$2:$BW$2&amp;Demand_current!$D$3:$BW$3, 0))/1000</f>
        <v>0.25290000000000012</v>
      </c>
      <c r="DI122" s="102">
        <f>$BS122*(VLOOKUP(DI$4, Rates_current!$H$6:$R$41, 10, FALSE)+VLOOKUP(DI$4, Rates_current!$H$6:$R$41, 11, FALSE))</f>
        <v>896.46212347431981</v>
      </c>
      <c r="DJ122" s="102">
        <f>$BS122*(VLOOKUP(DJ$4, Rates_current!$H$6:$R$41, 10, FALSE)+VLOOKUP(DJ$4, Rates_current!$H$6:$R$41, 11, FALSE))</f>
        <v>1146.0973204287989</v>
      </c>
      <c r="DK122" s="102">
        <f>$BS122*(VLOOKUP(DK$4, Rates_current!$H$6:$R$41, 10, FALSE)+VLOOKUP(DK$4, Rates_current!$H$6:$R$41, 11, FALSE))</f>
        <v>1303.0167972392653</v>
      </c>
      <c r="DL122" s="102">
        <f>$BS122*(VLOOKUP(DL$4, Rates_current!$H$6:$R$41, 10, FALSE)+VLOOKUP(DL$4, Rates_current!$H$6:$R$41, 11, FALSE))</f>
        <v>1374.7844331261899</v>
      </c>
      <c r="DM122" s="102">
        <f>$BS122*(VLOOKUP(DM$4, Rates_current!$H$6:$R$41, 10, FALSE)+VLOOKUP(DM$4, Rates_current!$H$6:$R$41, 11, FALSE))</f>
        <v>1095.5791141638229</v>
      </c>
      <c r="DN122" s="102">
        <f>$BS122*(VLOOKUP(DN$4, Rates_current!$H$6:$R$41, 10, FALSE)+VLOOKUP(DN$4, Rates_current!$H$6:$R$41, 11, FALSE))</f>
        <v>1197.69295524835</v>
      </c>
      <c r="DO122" s="102">
        <f>$BS122*(VLOOKUP(DO$4, Rates_current!$H$6:$R$41, 10, FALSE)+VLOOKUP(DO$4, Rates_current!$H$6:$R$41, 11, FALSE))</f>
        <v>928.22408799719494</v>
      </c>
      <c r="DP122" s="102">
        <f>$BS122*(VLOOKUP(DP$4, Rates_current!$H$6:$R$41, 10, FALSE)+VLOOKUP(DP$4, Rates_current!$H$6:$R$41, 11, FALSE))</f>
        <v>1201.274804145515</v>
      </c>
      <c r="DQ122" s="102">
        <f>$BS122*(VLOOKUP(DQ$4, Rates_current!$H$6:$R$41, 10, FALSE)+VLOOKUP(DQ$4, Rates_current!$H$6:$R$41, 11, FALSE))</f>
        <v>1226.9255181240364</v>
      </c>
      <c r="DR122" s="102">
        <f>$BS122*(VLOOKUP(DR$4, Rates_current!$H$6:$R$41, 10, FALSE)+VLOOKUP(DR$4, Rates_current!$H$6:$R$41, 11, FALSE))</f>
        <v>1092.069821455601</v>
      </c>
      <c r="DS122" s="102">
        <f>$BS122*(VLOOKUP(DS$4, Rates_current!$H$6:$R$41, 10, FALSE)+VLOOKUP(DS$4, Rates_current!$H$6:$R$41, 11, FALSE))</f>
        <v>1120.2633577641755</v>
      </c>
      <c r="DT122" s="102">
        <f>$BS122*(VLOOKUP(DT$4, Rates_current!$H$6:$R$41, 10, FALSE)+VLOOKUP(DT$4, Rates_current!$H$6:$R$41, 11, FALSE))</f>
        <v>870.01878506004869</v>
      </c>
      <c r="DU122" s="261">
        <f>IF(D122=0,IF(C122=0,MAX(0,DW122 - (VLOOKUP($A122,TOCA_current!$A$2:$AV$136,MATCH("RHWM "&amp;Init!$D$1,TOCA_current!$A$2:$AV$2,0),FALSE)*$BS$2)), 0),0)</f>
        <v>2274.9577940926829</v>
      </c>
      <c r="DV122" s="262">
        <f>MIN(VLOOKUP($A122,TOCA_current!$A$2:$AV$136,MATCH("TRL - NLSL - Existing Resource "&amp;$BS$1,TOCA_current!$A$2:$AV$2,0),FALSE)*$BS$2, VLOOKUP($A122,TOCA_current!$A$2:$AV$136,MATCH("RHWM "&amp;Init!$D$1,TOCA_current!$A$2:$AV$2,0),FALSE)*$BS$2)</f>
        <v>13455.36</v>
      </c>
      <c r="DW122" s="262">
        <f>SUM(BY122:CV122)+(BS122*RT1SC!$C$4*$BS$2)</f>
        <v>15730.317794092683</v>
      </c>
      <c r="DX122" s="262">
        <f>VLOOKUP($A122,TOCA_current!$A$2:$AV$136,MATCH("Above RHWM Not Served with LS "&amp;$BS$1,TOCA_current!$A$2:$AV$2,0),FALSE)*$BS$2</f>
        <v>0</v>
      </c>
      <c r="DY122" s="262">
        <f t="shared" si="43"/>
        <v>2274.9577940926829</v>
      </c>
      <c r="DZ122" s="262">
        <f>(VLOOKUP($A122,TOCA_current!$A$2:$AV$136,MATCH("RHWM "&amp;Init!$D$1,TOCA_current!$A$2:$AV$2,0),FALSE)*$BS$2) - $DV122</f>
        <v>0</v>
      </c>
      <c r="EA122" s="262">
        <f t="shared" si="44"/>
        <v>0</v>
      </c>
      <c r="EB122" s="262">
        <f t="shared" si="45"/>
        <v>0</v>
      </c>
      <c r="EC122" s="262">
        <f t="shared" si="46"/>
        <v>0</v>
      </c>
      <c r="ED122" s="262">
        <f t="shared" si="47"/>
        <v>0</v>
      </c>
    </row>
    <row r="123" spans="1:134">
      <c r="A123" s="2">
        <v>10409</v>
      </c>
      <c r="B123" s="3" t="s">
        <v>125</v>
      </c>
      <c r="C123">
        <f>VLOOKUP(A123, TOCA_current!$A$3:$D$136, 4, FALSE)</f>
        <v>0</v>
      </c>
      <c r="D123">
        <v>0</v>
      </c>
      <c r="E123" s="84">
        <f>VLOOKUP($A123,TOCA_previous!$A$2:$AJ$136,MATCH(E$4,TOCA_previous!$A$2:$AJ$2,0),FALSE)</f>
        <v>2.9564000000000001E-3</v>
      </c>
      <c r="F123" s="85">
        <f>VLOOKUP($A123,TOCA_previous!$A$2:$AJ$136,MATCH(F$4,TOCA_previous!$A$2:$AJ$2,0),FALSE)</f>
        <v>2.9564000000000001E-3</v>
      </c>
      <c r="G123" s="85">
        <f t="shared" si="33"/>
        <v>0</v>
      </c>
      <c r="H123" s="85">
        <f>VLOOKUP($A123,TOCA_previous!$A$2:$AJ$136,MATCH(H$4,TOCA_previous!$A$2:$AJ$2,0),FALSE)</f>
        <v>0</v>
      </c>
      <c r="I123" s="85">
        <f t="shared" si="34"/>
        <v>0</v>
      </c>
      <c r="J123" s="85">
        <f t="shared" si="35"/>
        <v>0</v>
      </c>
      <c r="K123" s="101">
        <f>VLOOKUP(A123, IRD!$A$5:$C$138, 3, FALSE)</f>
        <v>0</v>
      </c>
      <c r="L123" s="102">
        <f t="array" ref="L123">IF($G123=0, INDEX(LS_previous!$D$4:$AY$137, MATCH('Staging Table'!$A123, LS_previous!$B$4:$B$137, 0), MATCH(L$4&amp;L$5, LS_previous!$D$2:$AY$2&amp;LS_previous!$D$3:$AY$3, 0)),SUM(VLOOKUP($A123, LS_previous!$B$4:$AY$137, LS_previous!D$148, FALSE), VLOOKUP('Staging Table'!$A123, LS_previous!$B$4:$AY$137,LS_previous!AB$148, FALSE))/2)</f>
        <v>1576.0474519695999</v>
      </c>
      <c r="M123" s="102">
        <f t="array" ref="M123">IF($G123=0, INDEX(LS_previous!$D$4:$AY$137, MATCH('Staging Table'!$A123, LS_previous!$B$4:$B$137, 0), MATCH(M$4&amp;M$5, LS_previous!$D$2:$AY$2&amp;LS_previous!$D$3:$AY$3, 0)),SUM(VLOOKUP($A123, LS_previous!$B$4:$AY$137, LS_previous!E$148, FALSE), VLOOKUP('Staging Table'!$A123, LS_previous!$B$4:$AY$137,LS_previous!AC$148, FALSE))/2)</f>
        <v>1035.3531075318006</v>
      </c>
      <c r="N123" s="102">
        <f t="array" ref="N123">IF($G123=0, INDEX(LS_previous!$D$4:$AY$137, MATCH('Staging Table'!$A123, LS_previous!$B$4:$B$137, 0), MATCH(N$4&amp;N$5, LS_previous!$D$2:$AY$2&amp;LS_previous!$D$3:$AY$3, 0)),SUM(VLOOKUP($A123, LS_previous!$B$4:$AY$137, LS_previous!F$148, FALSE), VLOOKUP('Staging Table'!$A123, LS_previous!$B$4:$AY$137,LS_previous!AD$148, FALSE))/2)</f>
        <v>-795.32633649920172</v>
      </c>
      <c r="O123" s="102">
        <f t="array" ref="O123">IF($G123=0, INDEX(LS_previous!$D$4:$AY$137, MATCH('Staging Table'!$A123, LS_previous!$B$4:$B$137, 0), MATCH(O$4&amp;O$5, LS_previous!$D$2:$AY$2&amp;LS_previous!$D$3:$AY$3, 0)),SUM(VLOOKUP($A123, LS_previous!$B$4:$AY$137, LS_previous!G$148, FALSE), VLOOKUP('Staging Table'!$A123, LS_previous!$B$4:$AY$137,LS_previous!AE$148, FALSE))/2)</f>
        <v>479.06741531159878</v>
      </c>
      <c r="P123" s="102">
        <f t="array" ref="P123">IF($G123=0, INDEX(LS_previous!$D$4:$AY$137, MATCH('Staging Table'!$A123, LS_previous!$B$4:$B$137, 0), MATCH(P$4&amp;P$5, LS_previous!$D$2:$AY$2&amp;LS_previous!$D$3:$AY$3, 0)),SUM(VLOOKUP($A123, LS_previous!$B$4:$AY$137, LS_previous!H$148, FALSE), VLOOKUP('Staging Table'!$A123, LS_previous!$B$4:$AY$137,LS_previous!AF$148, FALSE))/2)</f>
        <v>-182.74303877960119</v>
      </c>
      <c r="Q123" s="102">
        <f t="array" ref="Q123">IF($G123=0, INDEX(LS_previous!$D$4:$AY$137, MATCH('Staging Table'!$A123, LS_previous!$B$4:$B$137, 0), MATCH(Q$4&amp;Q$5, LS_previous!$D$2:$AY$2&amp;LS_previous!$D$3:$AY$3, 0)),SUM(VLOOKUP($A123, LS_previous!$B$4:$AY$137, LS_previous!I$148, FALSE), VLOOKUP('Staging Table'!$A123, LS_previous!$B$4:$AY$137,LS_previous!AG$148, FALSE))/2)</f>
        <v>481.42923714560038</v>
      </c>
      <c r="R123" s="102">
        <f t="array" ref="R123">IF($G123=0, INDEX(LS_previous!$D$4:$AY$137, MATCH('Staging Table'!$A123, LS_previous!$B$4:$B$137, 0), MATCH(R$4&amp;R$5, LS_previous!$D$2:$AY$2&amp;LS_previous!$D$3:$AY$3, 0)),SUM(VLOOKUP($A123, LS_previous!$B$4:$AY$137, LS_previous!J$148, FALSE), VLOOKUP('Staging Table'!$A123, LS_previous!$B$4:$AY$137,LS_previous!AH$148, FALSE))/2)</f>
        <v>-834.04798622599992</v>
      </c>
      <c r="S123" s="102">
        <f t="array" ref="S123">IF($G123=0, INDEX(LS_previous!$D$4:$AY$137, MATCH('Staging Table'!$A123, LS_previous!$B$4:$B$137, 0), MATCH(S$4&amp;S$5, LS_previous!$D$2:$AY$2&amp;LS_previous!$D$3:$AY$3, 0)),SUM(VLOOKUP($A123, LS_previous!$B$4:$AY$137, LS_previous!K$148, FALSE), VLOOKUP('Staging Table'!$A123, LS_previous!$B$4:$AY$137,LS_previous!AI$148, FALSE))/2)</f>
        <v>790.74873106439918</v>
      </c>
      <c r="T123" s="102">
        <f t="array" ref="T123">IF($G123=0, INDEX(LS_previous!$D$4:$AY$137, MATCH('Staging Table'!$A123, LS_previous!$B$4:$B$137, 0), MATCH(T$4&amp;T$5, LS_previous!$D$2:$AY$2&amp;LS_previous!$D$3:$AY$3, 0)),SUM(VLOOKUP($A123, LS_previous!$B$4:$AY$137, LS_previous!L$148, FALSE), VLOOKUP('Staging Table'!$A123, LS_previous!$B$4:$AY$137,LS_previous!AJ$148, FALSE))/2)</f>
        <v>-987.09481667559885</v>
      </c>
      <c r="U123" s="102">
        <f t="array" ref="U123">IF($G123=0, INDEX(LS_previous!$D$4:$AY$137, MATCH('Staging Table'!$A123, LS_previous!$B$4:$B$137, 0), MATCH(U$4&amp;U$5, LS_previous!$D$2:$AY$2&amp;LS_previous!$D$3:$AY$3, 0)),SUM(VLOOKUP($A123, LS_previous!$B$4:$AY$137, LS_previous!M$148, FALSE), VLOOKUP('Staging Table'!$A123, LS_previous!$B$4:$AY$137,LS_previous!AK$148, FALSE))/2)</f>
        <v>478.27484841239948</v>
      </c>
      <c r="V123" s="102">
        <f t="array" ref="V123">IF($G123=0, INDEX(LS_previous!$D$4:$AY$137, MATCH('Staging Table'!$A123, LS_previous!$B$4:$B$137, 0), MATCH(V$4&amp;V$5, LS_previous!$D$2:$AY$2&amp;LS_previous!$D$3:$AY$3, 0)),SUM(VLOOKUP($A123, LS_previous!$B$4:$AY$137, LS_previous!N$148, FALSE), VLOOKUP('Staging Table'!$A123, LS_previous!$B$4:$AY$137,LS_previous!AL$148, FALSE))/2)</f>
        <v>-958.1408656732001</v>
      </c>
      <c r="W123" s="102">
        <f t="array" ref="W123">IF($G123=0, INDEX(LS_previous!$D$4:$AY$137, MATCH('Staging Table'!$A123, LS_previous!$B$4:$B$137, 0), MATCH(W$4&amp;W$5, LS_previous!$D$2:$AY$2&amp;LS_previous!$D$3:$AY$3, 0)),SUM(VLOOKUP($A123, LS_previous!$B$4:$AY$137, LS_previous!O$148, FALSE), VLOOKUP('Staging Table'!$A123, LS_previous!$B$4:$AY$137,LS_previous!AM$148, FALSE))/2)</f>
        <v>-23.026344479198997</v>
      </c>
      <c r="X123" s="102">
        <f t="array" ref="X123">IF($G123=0, INDEX(LS_previous!$D$4:$AY$137, MATCH('Staging Table'!$A123, LS_previous!$B$4:$B$137, 0), MATCH(X$4&amp;X$5, LS_previous!$D$2:$AY$2&amp;LS_previous!$D$3:$AY$3, 0)),SUM(VLOOKUP($A123, LS_previous!$B$4:$AY$137, LS_previous!P$148, FALSE), VLOOKUP('Staging Table'!$A123, LS_previous!$B$4:$AY$137,LS_previous!AN$148, FALSE))/2)</f>
        <v>707.99964659899979</v>
      </c>
      <c r="Y123" s="102">
        <f t="array" ref="Y123">IF($G123=0, INDEX(LS_previous!$D$4:$AY$137, MATCH('Staging Table'!$A123, LS_previous!$B$4:$B$137, 0), MATCH(Y$4&amp;Y$5, LS_previous!$D$2:$AY$2&amp;LS_previous!$D$3:$AY$3, 0)),SUM(VLOOKUP($A123, LS_previous!$B$4:$AY$137, LS_previous!Q$148, FALSE), VLOOKUP('Staging Table'!$A123, LS_previous!$B$4:$AY$137,LS_previous!AO$148, FALSE))/2)</f>
        <v>770.59292168230058</v>
      </c>
      <c r="Z123" s="102">
        <f t="array" ref="Z123">IF($G123=0, INDEX(LS_previous!$D$4:$AY$137, MATCH('Staging Table'!$A123, LS_previous!$B$4:$B$137, 0), MATCH(Z$4&amp;Z$5, LS_previous!$D$2:$AY$2&amp;LS_previous!$D$3:$AY$3, 0)),SUM(VLOOKUP($A123, LS_previous!$B$4:$AY$137, LS_previous!R$148, FALSE), VLOOKUP('Staging Table'!$A123, LS_previous!$B$4:$AY$137,LS_previous!AP$148, FALSE))/2)</f>
        <v>-2317.1533294272012</v>
      </c>
      <c r="AA123" s="102">
        <f t="array" ref="AA123">IF($G123=0, INDEX(LS_previous!$D$4:$AY$137, MATCH('Staging Table'!$A123, LS_previous!$B$4:$B$137, 0), MATCH(AA$4&amp;AA$5, LS_previous!$D$2:$AY$2&amp;LS_previous!$D$3:$AY$3, 0)),SUM(VLOOKUP($A123, LS_previous!$B$4:$AY$137, LS_previous!S$148, FALSE), VLOOKUP('Staging Table'!$A123, LS_previous!$B$4:$AY$137,LS_previous!AQ$148, FALSE))/2)</f>
        <v>-242.16326018939981</v>
      </c>
      <c r="AB123" s="102">
        <f t="array" ref="AB123">IF($G123=0, INDEX(LS_previous!$D$4:$AY$137, MATCH('Staging Table'!$A123, LS_previous!$B$4:$B$137, 0), MATCH(AB$4&amp;AB$5, LS_previous!$D$2:$AY$2&amp;LS_previous!$D$3:$AY$3, 0)),SUM(VLOOKUP($A123, LS_previous!$B$4:$AY$137, LS_previous!T$148, FALSE), VLOOKUP('Staging Table'!$A123, LS_previous!$B$4:$AY$137,LS_previous!AR$148, FALSE))/2)</f>
        <v>-2336.3584324263993</v>
      </c>
      <c r="AC123" s="102">
        <f t="array" ref="AC123">IF($G123=0, INDEX(LS_previous!$D$4:$AY$137, MATCH('Staging Table'!$A123, LS_previous!$B$4:$B$137, 0), MATCH(AC$4&amp;AC$5, LS_previous!$D$2:$AY$2&amp;LS_previous!$D$3:$AY$3, 0)),SUM(VLOOKUP($A123, LS_previous!$B$4:$AY$137, LS_previous!U$148, FALSE), VLOOKUP('Staging Table'!$A123, LS_previous!$B$4:$AY$137,LS_previous!AS$148, FALSE))/2)</f>
        <v>-1043.0717711238003</v>
      </c>
      <c r="AD123" s="102">
        <f t="array" ref="AD123">IF($G123=0, INDEX(LS_previous!$D$4:$AY$137, MATCH('Staging Table'!$A123, LS_previous!$B$4:$B$137, 0), MATCH(AD$4&amp;AD$5, LS_previous!$D$2:$AY$2&amp;LS_previous!$D$3:$AY$3, 0)),SUM(VLOOKUP($A123, LS_previous!$B$4:$AY$137, LS_previous!V$148, FALSE), VLOOKUP('Staging Table'!$A123, LS_previous!$B$4:$AY$137,LS_previous!AT$148, FALSE))/2)</f>
        <v>-950.17070708959909</v>
      </c>
      <c r="AE123" s="102">
        <f t="array" ref="AE123">IF($G123=0, INDEX(LS_previous!$D$4:$AY$137, MATCH('Staging Table'!$A123, LS_previous!$B$4:$B$137, 0), MATCH(AE$4&amp;AE$5, LS_previous!$D$2:$AY$2&amp;LS_previous!$D$3:$AY$3, 0)),SUM(VLOOKUP($A123, LS_previous!$B$4:$AY$137, LS_previous!W$148, FALSE), VLOOKUP('Staging Table'!$A123, LS_previous!$B$4:$AY$137,LS_previous!AU$148, FALSE))/2)</f>
        <v>159.09002405899992</v>
      </c>
      <c r="AF123" s="102">
        <f t="array" ref="AF123">IF($G123=0, INDEX(LS_previous!$D$4:$AY$137, MATCH('Staging Table'!$A123, LS_previous!$B$4:$B$137, 0), MATCH(AF$4&amp;AF$5, LS_previous!$D$2:$AY$2&amp;LS_previous!$D$3:$AY$3, 0)),SUM(VLOOKUP($A123, LS_previous!$B$4:$AY$137, LS_previous!X$148, FALSE), VLOOKUP('Staging Table'!$A123, LS_previous!$B$4:$AY$137,LS_previous!AV$148, FALSE))/2)</f>
        <v>-793.51006302260157</v>
      </c>
      <c r="AG123" s="102">
        <f t="array" ref="AG123">IF($G123=0, INDEX(LS_previous!$D$4:$AY$137, MATCH('Staging Table'!$A123, LS_previous!$B$4:$B$137, 0), MATCH(AG$4&amp;AG$5, LS_previous!$D$2:$AY$2&amp;LS_previous!$D$3:$AY$3, 0)),SUM(VLOOKUP($A123, LS_previous!$B$4:$AY$137, LS_previous!Y$148, FALSE), VLOOKUP('Staging Table'!$A123, LS_previous!$B$4:$AY$137,LS_previous!AW$148, FALSE))/2)</f>
        <v>672.86234073146079</v>
      </c>
      <c r="AH123" s="102">
        <f t="array" ref="AH123">IF($G123=0, INDEX(LS_previous!$D$4:$AY$137, MATCH('Staging Table'!$A123, LS_previous!$B$4:$B$137, 0), MATCH(AH$4&amp;AH$5, LS_previous!$D$2:$AY$2&amp;LS_previous!$D$3:$AY$3, 0)),SUM(VLOOKUP($A123, LS_previous!$B$4:$AY$137, LS_previous!Z$148, FALSE), VLOOKUP('Staging Table'!$A123, LS_previous!$B$4:$AY$137,LS_previous!AX$148, FALSE))/2)</f>
        <v>132.91348674639812</v>
      </c>
      <c r="AI123" s="102">
        <f t="array" ref="AI123">IF($G123=0, INDEX(LS_previous!$D$4:$AY$137, MATCH('Staging Table'!$A123, LS_previous!$B$4:$B$137, 0), MATCH(AI$4&amp;AI$5, LS_previous!$D$2:$AY$2&amp;LS_previous!$D$3:$AY$3, 0)),SUM(VLOOKUP($A123, LS_previous!$B$4:$AY$137, LS_previous!AA$148, FALSE), VLOOKUP('Staging Table'!$A123, LS_previous!$B$4:$AY$137,LS_previous!AY$148, FALSE))/2)</f>
        <v>148.75958093439931</v>
      </c>
      <c r="AJ123" s="103">
        <f t="array" ref="AJ123">INDEX(Demand_previous!$D$4:$AY$137, MATCH('Staging Table'!$A123, Demand_previous!$B$4:$B$137, 0), MATCH(AJ$4&amp;AJ$5,Demand_previous!$D$2:$AY$2&amp;Demand_previous!$D$3:$AY$3, 0))/1000</f>
        <v>5.2568918269230753</v>
      </c>
      <c r="AK123" s="103">
        <f t="array" ref="AK123">INDEX(Demand_previous!$D$4:$AY$137, MATCH('Staging Table'!$A123, Demand_previous!$B$4:$B$137, 0), MATCH(AK$4&amp;AK$5,Demand_previous!$D$2:$AY$2&amp;Demand_previous!$D$3:$AY$3, 0))/1000</f>
        <v>5.7084899999999967</v>
      </c>
      <c r="AL123" s="103">
        <f t="array" ref="AL123">INDEX(Demand_previous!$D$4:$AY$137, MATCH('Staging Table'!$A123, Demand_previous!$B$4:$B$137, 0), MATCH(AL$4&amp;AL$5,Demand_previous!$D$2:$AY$2&amp;Demand_previous!$D$3:$AY$3, 0))/1000</f>
        <v>5.4879475000000042</v>
      </c>
      <c r="AM123" s="103">
        <f t="array" ref="AM123">INDEX(Demand_previous!$D$4:$AY$137, MATCH('Staging Table'!$A123, Demand_previous!$B$4:$B$137, 0), MATCH(AM$4&amp;AM$5,Demand_previous!$D$2:$AY$2&amp;Demand_previous!$D$3:$AY$3, 0))/1000</f>
        <v>6.9953677884615431</v>
      </c>
      <c r="AN123" s="103">
        <f t="array" ref="AN123">INDEX(Demand_previous!$D$4:$AY$137, MATCH('Staging Table'!$A123, Demand_previous!$B$4:$B$137, 0), MATCH(AN$4&amp;AN$5,Demand_previous!$D$2:$AY$2&amp;Demand_previous!$D$3:$AY$3, 0))/1000</f>
        <v>8.5894674999999943</v>
      </c>
      <c r="AO123" s="103">
        <f t="array" ref="AO123">INDEX(Demand_previous!$D$4:$AY$137, MATCH('Staging Table'!$A123, Demand_previous!$B$4:$B$137, 0), MATCH(AO$4&amp;AO$5,Demand_previous!$D$2:$AY$2&amp;Demand_previous!$D$3:$AY$3, 0))/1000</f>
        <v>6.2955769230769238</v>
      </c>
      <c r="AP123" s="103">
        <f t="array" ref="AP123">INDEX(Demand_previous!$D$4:$AY$137, MATCH('Staging Table'!$A123, Demand_previous!$B$4:$B$137, 0), MATCH(AP$4&amp;AP$5,Demand_previous!$D$2:$AY$2&amp;Demand_previous!$D$3:$AY$3, 0))/1000</f>
        <v>5.6596586538461544</v>
      </c>
      <c r="AQ123" s="103">
        <f t="array" ref="AQ123">INDEX(Demand_previous!$D$4:$AY$137, MATCH('Staging Table'!$A123, Demand_previous!$B$4:$B$137, 0), MATCH(AQ$4&amp;AQ$5,Demand_previous!$D$2:$AY$2&amp;Demand_previous!$D$3:$AY$3, 0))/1000</f>
        <v>6.2244855769230796</v>
      </c>
      <c r="AR123" s="103">
        <f t="array" ref="AR123">INDEX(Demand_previous!$D$4:$AY$137, MATCH('Staging Table'!$A123, Demand_previous!$B$4:$B$137, 0), MATCH(AR$4&amp;AR$5,Demand_previous!$D$2:$AY$2&amp;Demand_previous!$D$3:$AY$3, 0))/1000</f>
        <v>5.8028775000000028</v>
      </c>
      <c r="AS123" s="103">
        <f t="array" ref="AS123">INDEX(Demand_previous!$D$4:$AY$137, MATCH('Staging Table'!$A123, Demand_previous!$B$4:$B$137, 0), MATCH(AS$4&amp;AS$5,Demand_previous!$D$2:$AY$2&amp;Demand_previous!$D$3:$AY$3, 0))/1000</f>
        <v>6.1484951923076885</v>
      </c>
      <c r="AT123" s="103">
        <f t="array" ref="AT123">INDEX(Demand_previous!$D$4:$AY$137, MATCH('Staging Table'!$A123, Demand_previous!$B$4:$B$137, 0), MATCH(AT$4&amp;AT$5,Demand_previous!$D$2:$AY$2&amp;Demand_previous!$D$3:$AY$3, 0))/1000</f>
        <v>7.2571041666666636</v>
      </c>
      <c r="AU123" s="103">
        <f t="array" ref="AU123">INDEX(Demand_previous!$D$4:$AY$137, MATCH('Staging Table'!$A123, Demand_previous!$B$4:$B$137, 0), MATCH(AU$4&amp;AU$5,Demand_previous!$D$2:$AY$2&amp;Demand_previous!$D$3:$AY$3, 0))/1000</f>
        <v>4.518570312500005</v>
      </c>
      <c r="AV123" s="102">
        <f>$F123*(VLOOKUP(AV$4, Rates_previous!$G$6:$Q$29, 10, FALSE)+VLOOKUP(AV$4, Rates_previous!$G$6:$Q$29, 11, FALSE))</f>
        <v>12472.471440498601</v>
      </c>
      <c r="AW123" s="102">
        <f>$F123*(VLOOKUP(AW$4, Rates_previous!$G$6:$Q$29, 10, FALSE)+VLOOKUP(AW$4, Rates_previous!$G$6:$Q$29, 11, FALSE))</f>
        <v>15906.513921187603</v>
      </c>
      <c r="AX123" s="102">
        <f>$F123*(VLOOKUP(AX$4, Rates_previous!$G$6:$Q$29, 10, FALSE)+VLOOKUP(AX$4, Rates_previous!$G$6:$Q$29, 11, FALSE))</f>
        <v>17166.275801634001</v>
      </c>
      <c r="AY123" s="102">
        <f>$F123*(VLOOKUP(AY$4, Rates_previous!$G$6:$Q$29, 10, FALSE)+VLOOKUP(AY$4, Rates_previous!$G$6:$Q$29, 11, FALSE))</f>
        <v>17838.414255161599</v>
      </c>
      <c r="AZ123" s="102">
        <f>$F123*(VLOOKUP(AZ$4, Rates_previous!$G$6:$Q$29, 10, FALSE)+VLOOKUP(AZ$4, Rates_previous!$G$6:$Q$29, 11, FALSE))</f>
        <v>15343.413968263199</v>
      </c>
      <c r="BA123" s="102">
        <f>$F123*(VLOOKUP(BA$4, Rates_previous!$G$6:$Q$29, 10, FALSE)+VLOOKUP(BA$4, Rates_previous!$G$6:$Q$29, 11, FALSE))</f>
        <v>16751.970210152402</v>
      </c>
      <c r="BB123" s="102">
        <f>$F123*(VLOOKUP(BB$4, Rates_previous!$G$6:$Q$29, 10, FALSE)+VLOOKUP(BB$4, Rates_previous!$G$6:$Q$29, 11, FALSE))</f>
        <v>13222.857431718699</v>
      </c>
      <c r="BC123" s="102">
        <f>$F123*(VLOOKUP(BC$4, Rates_previous!$G$6:$Q$29, 10, FALSE)+VLOOKUP(BC$4, Rates_previous!$G$6:$Q$29, 11, FALSE))</f>
        <v>16404.726589616599</v>
      </c>
      <c r="BD123" s="102">
        <f>$F123*(VLOOKUP(BD$4, Rates_previous!$G$6:$Q$29, 10, FALSE)+VLOOKUP(BD$4, Rates_previous!$G$6:$Q$29, 11, FALSE))</f>
        <v>16760.668203550198</v>
      </c>
      <c r="BE123" s="102">
        <f>$F123*(VLOOKUP(BE$4, Rates_previous!$G$6:$Q$29, 10, FALSE)+VLOOKUP(BE$4, Rates_previous!$G$6:$Q$29, 11, FALSE))</f>
        <v>14550.6746830306</v>
      </c>
      <c r="BF123" s="102">
        <f>$F123*(VLOOKUP(BF$4, Rates_previous!$G$6:$Q$29, 10, FALSE)+VLOOKUP(BF$4, Rates_previous!$G$6:$Q$29, 11, FALSE))</f>
        <v>14066.634722291143</v>
      </c>
      <c r="BG123" s="102">
        <f>$F123*(VLOOKUP(BG$4, Rates_previous!$G$6:$Q$29, 10, FALSE)+VLOOKUP(BG$4, Rates_previous!$G$6:$Q$29, 11, FALSE))</f>
        <v>12944.027932319203</v>
      </c>
      <c r="BH123" s="103">
        <f>IF($D123=0,IF(C123=0, MAX(BJ123 - (VLOOKUP($A123,TOCA_previous!$A$2:$AJ$136,MATCH("RHWM "&amp;Init!$D$1-2,TOCA_previous!$A$2:$AJ$2,0),FALSE)*$F$2*TOCA_previous!C120),0),0), 0)</f>
        <v>20.917840800189879</v>
      </c>
      <c r="BI123" s="109">
        <f>MIN(VLOOKUP($A123,TOCA_previous!$A$2:$AJ$136,MATCH("TRL - NLSL - Existing Resource "&amp;$F$1,TOCA_previous!$A$2:$AJ$2,0),FALSE)*$F$2,(VLOOKUP($A123,TOCA_previous!$A$2:$AJ$136,MATCH("RHWM "&amp;Init!$D$1-2,TOCA_previous!$A$2:$AJ$2,0),FALSE)*$F$2))</f>
        <v>179378.06399999998</v>
      </c>
      <c r="BJ123" s="261">
        <f>SUM(L123:AI123)+(F123*RT1SC!$C$3*$F$2)</f>
        <v>179398.98184080017</v>
      </c>
      <c r="BK123" s="260">
        <f>VLOOKUP($A123,TOCA_previous!$A$2:$AJ$136,MATCH("Above RHWM Not Served with LS "&amp;$F$1,TOCA_previous!$A$2:$AJ$2,0),FALSE)*$F$2</f>
        <v>55207.44</v>
      </c>
      <c r="BL123" s="261">
        <f t="shared" si="36"/>
        <v>20.917840800189879</v>
      </c>
      <c r="BM123" s="260">
        <f>(VLOOKUP($A123,TOCA_previous!$A$2:$AJ$136,MATCH("RHWM "&amp;Init!$D$1-2,TOCA_previous!$A$2:$AJ$2,0),FALSE)*$F$2) - $BI123</f>
        <v>0</v>
      </c>
      <c r="BN123" s="261">
        <f t="shared" si="37"/>
        <v>0</v>
      </c>
      <c r="BO123" s="260">
        <f t="shared" si="38"/>
        <v>0</v>
      </c>
      <c r="BP123" s="261">
        <f t="shared" si="39"/>
        <v>0</v>
      </c>
      <c r="BQ123" s="260">
        <f t="shared" si="9"/>
        <v>0</v>
      </c>
      <c r="BR123" s="85">
        <f>VLOOKUP($A123,TOCA_current!$A$2:$ZZ$136,MATCH(BR$4,TOCA_current!$A$2:$ZZ$2,0),FALSE)</f>
        <v>2.8888999999999998E-3</v>
      </c>
      <c r="BS123" s="85">
        <f>VLOOKUP($A123,TOCA_current!$A$2:$ZZ$136,MATCH(BS$4,TOCA_current!$A$2:$ZZ$2,0),FALSE)</f>
        <v>2.8888999999999998E-3</v>
      </c>
      <c r="BT123" s="108">
        <f t="shared" si="40"/>
        <v>0</v>
      </c>
      <c r="BU123" s="85">
        <f>VLOOKUP($A123,TOCA_current!A120:BG254,MATCH(BU$4,TOCA_current!$A$2:$BG$2,0),FALSE)</f>
        <v>0</v>
      </c>
      <c r="BV123" s="85">
        <f t="shared" si="41"/>
        <v>0</v>
      </c>
      <c r="BW123" s="85">
        <f t="shared" si="42"/>
        <v>0</v>
      </c>
      <c r="BX123" s="101">
        <f>VLOOKUP($A123,IRD!$A$4:$G$138, 7, FALSE)</f>
        <v>0</v>
      </c>
      <c r="BY123" s="102">
        <f t="array" ref="BY123">IF($BT123=0, INDEX(LS_current!$D$4:$BW$137, MATCH('Staging Table'!$A123, LS_current!$B$4:$B$137, 0), MATCH(BY$4&amp;BY$5, LS_current!$D$2:$BW$2&amp;LS_current!$D$3:$BW$3, 0)),SUM(VLOOKUP($A123, LS_current!$B$4:$BW$137, LS_current!D$147, FALSE), VLOOKUP($A123, LS_current!$B$4:$BW$137,LS_current!AZ$147, FALSE))/2)</f>
        <v>1568.8581492214562</v>
      </c>
      <c r="BZ123" s="102">
        <f t="array" ref="BZ123">IF($BT123=0, INDEX(LS_current!$D$4:$BW$137, MATCH('Staging Table'!$A123, LS_current!$B$4:$B$137, 0), MATCH(BZ$4&amp;BZ$5, LS_current!$D$2:$BW$2&amp;LS_current!$D$3:$BW$3, 0)),SUM(VLOOKUP($A123, LS_current!$B$4:$BW$137, LS_current!E$147, FALSE), VLOOKUP($A123, LS_current!$B$4:$BW$137,LS_current!BA$147, FALSE))/2)</f>
        <v>1556.4959780703848</v>
      </c>
      <c r="CA123" s="102">
        <f t="array" ref="CA123">IF($BT123=0, INDEX(LS_current!$D$4:$BW$137, MATCH('Staging Table'!$A123, LS_current!$B$4:$B$137, 0), MATCH(CA$4&amp;CA$5, LS_current!$D$2:$BW$2&amp;LS_current!$D$3:$BW$3, 0)),SUM(VLOOKUP($A123, LS_current!$B$4:$BW$137, LS_current!F$147, FALSE), VLOOKUP($A123, LS_current!$B$4:$BW$137,LS_current!BB$147, FALSE))/2)</f>
        <v>-288.16354328627131</v>
      </c>
      <c r="CB123" s="102">
        <f t="array" ref="CB123">IF($BT123=0, INDEX(LS_current!$D$4:$BW$137, MATCH('Staging Table'!$A123, LS_current!$B$4:$B$137, 0), MATCH(CB$4&amp;CB$5, LS_current!$D$2:$BW$2&amp;LS_current!$D$3:$BW$3, 0)),SUM(VLOOKUP($A123, LS_current!$B$4:$BW$137, LS_current!G$147, FALSE), VLOOKUP($A123, LS_current!$B$4:$BW$137,LS_current!BC$147, FALSE))/2)</f>
        <v>580.17948316239836</v>
      </c>
      <c r="CC123" s="102">
        <f t="array" ref="CC123">IF($BT123=0, INDEX(LS_current!$D$4:$BW$137, MATCH('Staging Table'!$A123, LS_current!$B$4:$B$137, 0), MATCH(CC$4&amp;CC$5, LS_current!$D$2:$BW$2&amp;LS_current!$D$3:$BW$3, 0)),SUM(VLOOKUP($A123, LS_current!$B$4:$BW$137, LS_current!H$147, FALSE), VLOOKUP($A123, LS_current!$B$4:$BW$137,LS_current!BD$147, FALSE))/2)</f>
        <v>-1028.9501539584562</v>
      </c>
      <c r="CD123" s="102">
        <f t="array" ref="CD123">IF($BT123=0, INDEX(LS_current!$D$4:$BW$137, MATCH('Staging Table'!$A123, LS_current!$B$4:$B$137, 0), MATCH(CD$4&amp;CD$5, LS_current!$D$2:$BW$2&amp;LS_current!$D$3:$BW$3, 0)),SUM(VLOOKUP($A123, LS_current!$B$4:$BW$137, LS_current!I$147, FALSE), VLOOKUP($A123, LS_current!$B$4:$BW$137,LS_current!BE$147, FALSE))/2)</f>
        <v>1097.9137394005238</v>
      </c>
      <c r="CE123" s="102">
        <f t="array" ref="CE123">IF($BT123=0, INDEX(LS_current!$D$4:$BW$137, MATCH('Staging Table'!$A123, LS_current!$B$4:$B$137, 0), MATCH(CE$4&amp;CE$5, LS_current!$D$2:$BW$2&amp;LS_current!$D$3:$BW$3, 0)),SUM(VLOOKUP($A123, LS_current!$B$4:$BW$137, LS_current!J$147, FALSE), VLOOKUP($A123, LS_current!$B$4:$BW$137,LS_current!BF$147, FALSE))/2)</f>
        <v>-1361.9195206801378</v>
      </c>
      <c r="CF123" s="102">
        <f t="array" ref="CF123">IF($BT123=0, INDEX(LS_current!$D$4:$BW$137, MATCH('Staging Table'!$A123, LS_current!$B$4:$B$137, 0), MATCH(CF$4&amp;CF$5, LS_current!$D$2:$BW$2&amp;LS_current!$D$3:$BW$3, 0)),SUM(VLOOKUP($A123, LS_current!$B$4:$BW$137, LS_current!K$147, FALSE), VLOOKUP($A123, LS_current!$B$4:$BW$137,LS_current!BG$147, FALSE))/2)</f>
        <v>801.17720189194188</v>
      </c>
      <c r="CG123" s="102">
        <f t="array" ref="CG123">IF($BT123=0, INDEX(LS_current!$D$4:$BW$137, MATCH('Staging Table'!$A123, LS_current!$B$4:$B$137, 0), MATCH(CG$4&amp;CG$5, LS_current!$D$2:$BW$2&amp;LS_current!$D$3:$BW$3, 0)),SUM(VLOOKUP($A123, LS_current!$B$4:$BW$137, LS_current!L$147, FALSE), VLOOKUP($A123, LS_current!$B$4:$BW$137,LS_current!BH$147, FALSE))/2)</f>
        <v>-438.6306813793617</v>
      </c>
      <c r="CH123" s="102">
        <f t="array" ref="CH123">IF($BT123=0, INDEX(LS_current!$D$4:$BW$137, MATCH('Staging Table'!$A123, LS_current!$B$4:$B$137, 0), MATCH(CH$4&amp;CH$5, LS_current!$D$2:$BW$2&amp;LS_current!$D$3:$BW$3, 0)),SUM(VLOOKUP($A123, LS_current!$B$4:$BW$137, LS_current!M$147, FALSE), VLOOKUP($A123, LS_current!$B$4:$BW$137,LS_current!BI$147, FALSE))/2)</f>
        <v>799.42524199108539</v>
      </c>
      <c r="CI123" s="102">
        <f t="array" ref="CI123">IF($BT123=0, INDEX(LS_current!$D$4:$BW$137, MATCH('Staging Table'!$A123, LS_current!$B$4:$B$137, 0), MATCH(CI$4&amp;CI$5, LS_current!$D$2:$BW$2&amp;LS_current!$D$3:$BW$3, 0)),SUM(VLOOKUP($A123, LS_current!$B$4:$BW$137, LS_current!N$147, FALSE), VLOOKUP($A123, LS_current!$B$4:$BW$137,LS_current!BJ$147, FALSE))/2)</f>
        <v>-1159.308916982176</v>
      </c>
      <c r="CJ123" s="102">
        <f t="array" ref="CJ123">IF($BT123=0, INDEX(LS_current!$D$4:$BW$137, MATCH('Staging Table'!$A123, LS_current!$B$4:$B$137, 0), MATCH(CJ$4&amp;CJ$5, LS_current!$D$2:$BW$2&amp;LS_current!$D$3:$BW$3, 0)),SUM(VLOOKUP($A123, LS_current!$B$4:$BW$137, LS_current!O$147, FALSE), VLOOKUP($A123, LS_current!$B$4:$BW$137,LS_current!BK$147, FALSE))/2)</f>
        <v>942.72912801477469</v>
      </c>
      <c r="CK123" s="102">
        <f t="array" ref="CK123">IF($BT123=0, INDEX(LS_current!$D$4:$BW$137, MATCH('Staging Table'!$A123, LS_current!$B$4:$B$137, 0), MATCH(CK$4&amp;CK$5, LS_current!$D$2:$BW$2&amp;LS_current!$D$3:$BW$3, 0)),SUM(VLOOKUP($A123, LS_current!$B$4:$BW$137, LS_current!P$147, FALSE), VLOOKUP($A123, LS_current!$B$4:$BW$137,LS_current!BL$147, FALSE))/2)</f>
        <v>1130.2169057700057</v>
      </c>
      <c r="CL123" s="102">
        <f t="array" ref="CL123">IF($BT123=0, INDEX(LS_current!$D$4:$BW$137, MATCH('Staging Table'!$A123, LS_current!$B$4:$B$137, 0), MATCH(CL$4&amp;CL$5, LS_current!$D$2:$BW$2&amp;LS_current!$D$3:$BW$3, 0)),SUM(VLOOKUP($A123, LS_current!$B$4:$BW$137, LS_current!Q$147, FALSE), VLOOKUP($A123, LS_current!$B$4:$BW$137,LS_current!BM$147, FALSE))/2)</f>
        <v>1186.9056506415864</v>
      </c>
      <c r="CM123" s="102">
        <f t="array" ref="CM123">IF($BT123=0, INDEX(LS_current!$D$4:$BW$137, MATCH('Staging Table'!$A123, LS_current!$B$4:$B$137, 0), MATCH(CM$4&amp;CM$5, LS_current!$D$2:$BW$2&amp;LS_current!$D$3:$BW$3, 0)),SUM(VLOOKUP($A123, LS_current!$B$4:$BW$137, LS_current!R$147, FALSE), VLOOKUP($A123, LS_current!$B$4:$BW$137,LS_current!BN$147, FALSE))/2)</f>
        <v>-1960.0755693099836</v>
      </c>
      <c r="CN123" s="102">
        <f t="array" ref="CN123">IF($BT123=0, INDEX(LS_current!$D$4:$BW$137, MATCH('Staging Table'!$A123, LS_current!$B$4:$B$137, 0), MATCH(CN$4&amp;CN$5, LS_current!$D$2:$BW$2&amp;LS_current!$D$3:$BW$3, 0)),SUM(VLOOKUP($A123, LS_current!$B$4:$BW$137, LS_current!S$147, FALSE), VLOOKUP($A123, LS_current!$B$4:$BW$137,LS_current!BO$147, FALSE))/2)</f>
        <v>-229.76079039362321</v>
      </c>
      <c r="CO123" s="102">
        <f t="array" ref="CO123">IF($BT123=0, INDEX(LS_current!$D$4:$BW$137, MATCH('Staging Table'!$A123, LS_current!$B$4:$B$137, 0), MATCH(CO$4&amp;CO$5, LS_current!$D$2:$BW$2&amp;LS_current!$D$3:$BW$3, 0)),SUM(VLOOKUP($A123, LS_current!$B$4:$BW$137, LS_current!T$147, FALSE), VLOOKUP($A123, LS_current!$B$4:$BW$137,LS_current!BP$147, FALSE))/2)</f>
        <v>-2589.4651173753646</v>
      </c>
      <c r="CP123" s="102">
        <f t="array" ref="CP123">IF($BT123=0, INDEX(LS_current!$D$4:$BW$137, MATCH('Staging Table'!$A123, LS_current!$B$4:$B$137, 0), MATCH(CP$4&amp;CP$5, LS_current!$D$2:$BW$2&amp;LS_current!$D$3:$BW$3, 0)),SUM(VLOOKUP($A123, LS_current!$B$4:$BW$137, LS_current!U$147, FALSE), VLOOKUP($A123, LS_current!$B$4:$BW$137,LS_current!BQ$147, FALSE))/2)</f>
        <v>-408.61766646041633</v>
      </c>
      <c r="CQ123" s="102">
        <f t="array" ref="CQ123">IF($BT123=0, INDEX(LS_current!$D$4:$BW$137, MATCH('Staging Table'!$A123, LS_current!$B$4:$B$137, 0), MATCH(CQ$4&amp;CQ$5, LS_current!$D$2:$BW$2&amp;LS_current!$D$3:$BW$3, 0)),SUM(VLOOKUP($A123, LS_current!$B$4:$BW$137, LS_current!V$147, FALSE), VLOOKUP($A123, LS_current!$B$4:$BW$137,LS_current!BR$147, FALSE))/2)</f>
        <v>-1120.4195193491814</v>
      </c>
      <c r="CR123" s="102">
        <f t="array" ref="CR123">IF($BT123=0, INDEX(LS_current!$D$4:$BW$137, MATCH('Staging Table'!$A123, LS_current!$B$4:$B$137, 0), MATCH(CR$4&amp;CR$5, LS_current!$D$2:$BW$2&amp;LS_current!$D$3:$BW$3, 0)),SUM(VLOOKUP($A123, LS_current!$B$4:$BW$137, LS_current!W$147, FALSE), VLOOKUP($A123, LS_current!$B$4:$BW$137,LS_current!BS$147, FALSE))/2)</f>
        <v>305.33324526082106</v>
      </c>
      <c r="CS123" s="102">
        <f t="array" ref="CS123">IF($BT123=0, INDEX(LS_current!$D$4:$BW$137, MATCH('Staging Table'!$A123, LS_current!$B$4:$B$137, 0), MATCH(CS$4&amp;CS$5, LS_current!$D$2:$BW$2&amp;LS_current!$D$3:$BW$3, 0)),SUM(VLOOKUP($A123, LS_current!$B$4:$BW$137, LS_current!X$147, FALSE), VLOOKUP($A123, LS_current!$B$4:$BW$137,LS_current!BT$147, FALSE))/2)</f>
        <v>-1711.5915218654754</v>
      </c>
      <c r="CT123" s="102">
        <f t="array" ref="CT123">IF($BT123=0, INDEX(LS_current!$D$4:$BW$137, MATCH('Staging Table'!$A123, LS_current!$B$4:$B$137, 0), MATCH(CT$4&amp;CT$5, LS_current!$D$2:$BW$2&amp;LS_current!$D$3:$BW$3, 0)),SUM(VLOOKUP($A123, LS_current!$B$4:$BW$137, LS_current!Y$147, FALSE), VLOOKUP($A123, LS_current!$B$4:$BW$137,LS_current!BU$147, FALSE))/2)</f>
        <v>705.82275221303826</v>
      </c>
      <c r="CU123" s="102">
        <f t="array" ref="CU123">IF($BT123=0, INDEX(LS_current!$D$4:$BW$137, MATCH('Staging Table'!$A123, LS_current!$B$4:$B$137, 0), MATCH(CU$4&amp;CU$5, LS_current!$D$2:$BW$2&amp;LS_current!$D$3:$BW$3, 0)),SUM(VLOOKUP($A123, LS_current!$B$4:$BW$137, LS_current!Z$147, FALSE), VLOOKUP($A123, LS_current!$B$4:$BW$137,LS_current!BV$147, FALSE))/2)</f>
        <v>537.35616798330648</v>
      </c>
      <c r="CV123" s="102">
        <f t="array" ref="CV123">IF($BT123=0, INDEX(LS_current!$D$4:$BW$137, MATCH('Staging Table'!$A123, LS_current!$B$4:$B$137, 0), MATCH(CV$4&amp;CV$5, LS_current!$D$2:$BW$2&amp;LS_current!$D$3:$BW$3, 0)),SUM(VLOOKUP($A123, LS_current!$B$4:$BW$137, LS_current!AA$147, FALSE), VLOOKUP($A123, LS_current!$B$4:$BW$137,LS_current!BW$147, FALSE))/2)</f>
        <v>1082.4863683131061</v>
      </c>
      <c r="CW123" s="103">
        <f t="array" ref="CW123">INDEX(Demand_current!$D$4:$BW$137, MATCH($A123, Demand_current!$B$4:$B$137, 0), MATCH(CW$4&amp;CW$5,Demand_current!$D$2:$BW$2&amp;Demand_current!$D$3:$BW$3, 0))/1000</f>
        <v>6.3018217592592602</v>
      </c>
      <c r="CX123" s="103">
        <f t="array" ref="CX123">INDEX(Demand_current!$D$4:$BW$137, MATCH($A123, Demand_current!$B$4:$B$137, 0), MATCH(CX$4&amp;CX$5,Demand_current!$D$2:$BW$2&amp;Demand_current!$D$3:$BW$3, 0))/1000</f>
        <v>4.5241354166666659</v>
      </c>
      <c r="CY123" s="103">
        <f t="array" ref="CY123">INDEX(Demand_current!$D$4:$BW$137, MATCH($A123, Demand_current!$B$4:$B$137, 0), MATCH(CY$4&amp;CY$5,Demand_current!$D$2:$BW$2&amp;Demand_current!$D$3:$BW$3, 0))/1000</f>
        <v>6.7128725961538507</v>
      </c>
      <c r="CZ123" s="103">
        <f t="array" ref="CZ123">INDEX(Demand_current!$D$4:$BW$137, MATCH($A123, Demand_current!$B$4:$B$137, 0), MATCH(CZ$4&amp;CZ$5,Demand_current!$D$2:$BW$2&amp;Demand_current!$D$3:$BW$3, 0))/1000</f>
        <v>6.9953677884615431</v>
      </c>
      <c r="DA123" s="103">
        <f t="array" ref="DA123">INDEX(Demand_current!$D$4:$BW$137, MATCH($A123, Demand_current!$B$4:$B$137, 0), MATCH(DA$4&amp;DA$5,Demand_current!$D$2:$BW$2&amp;Demand_current!$D$3:$BW$3, 0))/1000</f>
        <v>7.414153645833327</v>
      </c>
      <c r="DB123" s="103">
        <f t="array" ref="DB123">INDEX(Demand_current!$D$4:$BW$137, MATCH($A123, Demand_current!$B$4:$B$137, 0), MATCH(DB$4&amp;DB$5,Demand_current!$D$2:$BW$2&amp;Demand_current!$D$3:$BW$3, 0))/1000</f>
        <v>6.2955769230769238</v>
      </c>
      <c r="DC123" s="103">
        <f t="array" ref="DC123">INDEX(Demand_current!$D$4:$BW$137, MATCH($A123, Demand_current!$B$4:$B$137, 0), MATCH(DC$4&amp;DC$5,Demand_current!$D$2:$BW$2&amp;Demand_current!$D$3:$BW$3, 0))/1000</f>
        <v>5.6596586538461544</v>
      </c>
      <c r="DD123" s="103">
        <f t="array" ref="DD123">INDEX(Demand_current!$D$4:$BW$137, MATCH($A123, Demand_current!$B$4:$B$137, 0), MATCH(DD$4&amp;DD$5,Demand_current!$D$2:$BW$2&amp;Demand_current!$D$3:$BW$3, 0))/1000</f>
        <v>5.2373850000000033</v>
      </c>
      <c r="DE123" s="103">
        <f t="array" ref="DE123">INDEX(Demand_current!$D$4:$BW$137, MATCH($A123, Demand_current!$B$4:$B$137, 0), MATCH(DE$4&amp;DE$5,Demand_current!$D$2:$BW$2&amp;Demand_current!$D$3:$BW$3, 0))/1000</f>
        <v>6.8319591346153867</v>
      </c>
      <c r="DF123" s="103">
        <f t="array" ref="DF123">INDEX(Demand_current!$D$4:$BW$137, MATCH($A123, Demand_current!$B$4:$B$137, 0), MATCH(DF$4&amp;DF$5,Demand_current!$D$2:$BW$2&amp;Demand_current!$D$3:$BW$3, 0))/1000</f>
        <v>6.1484951923076885</v>
      </c>
      <c r="DG123" s="103">
        <f t="array" ref="DG123">INDEX(Demand_current!$D$4:$BW$137, MATCH($A123, Demand_current!$B$4:$B$137, 0), MATCH(DG$4&amp;DG$5,Demand_current!$D$2:$BW$2&amp;Demand_current!$D$3:$BW$3, 0))/1000</f>
        <v>6.2915697115384566</v>
      </c>
      <c r="DH123" s="103">
        <f t="array" ref="DH123">INDEX(Demand_current!$D$4:$BW$137, MATCH($A123, Demand_current!$B$4:$B$137, 0), MATCH(DH$4&amp;DH$5,Demand_current!$D$2:$BW$2&amp;Demand_current!$D$3:$BW$3, 0))/1000</f>
        <v>5.5891075000000026</v>
      </c>
      <c r="DI123" s="102">
        <f>$BS123*(VLOOKUP(DI$4, Rates_current!$H$6:$R$41, 10, FALSE)+VLOOKUP(DI$4, Rates_current!$H$6:$R$41, 11, FALSE))</f>
        <v>11989.76587270816</v>
      </c>
      <c r="DJ123" s="102">
        <f>$BS123*(VLOOKUP(DJ$4, Rates_current!$H$6:$R$41, 10, FALSE)+VLOOKUP(DJ$4, Rates_current!$H$6:$R$41, 11, FALSE))</f>
        <v>15328.521060123874</v>
      </c>
      <c r="DK123" s="102">
        <f>$BS123*(VLOOKUP(DK$4, Rates_current!$H$6:$R$41, 10, FALSE)+VLOOKUP(DK$4, Rates_current!$H$6:$R$41, 11, FALSE))</f>
        <v>17427.246414557932</v>
      </c>
      <c r="DL123" s="102">
        <f>$BS123*(VLOOKUP(DL$4, Rates_current!$H$6:$R$41, 10, FALSE)+VLOOKUP(DL$4, Rates_current!$H$6:$R$41, 11, FALSE))</f>
        <v>18387.105318788195</v>
      </c>
      <c r="DM123" s="102">
        <f>$BS123*(VLOOKUP(DM$4, Rates_current!$H$6:$R$41, 10, FALSE)+VLOOKUP(DM$4, Rates_current!$H$6:$R$41, 11, FALSE))</f>
        <v>14652.863439388277</v>
      </c>
      <c r="DN123" s="102">
        <f>$BS123*(VLOOKUP(DN$4, Rates_current!$H$6:$R$41, 10, FALSE)+VLOOKUP(DN$4, Rates_current!$H$6:$R$41, 11, FALSE))</f>
        <v>16018.588788967401</v>
      </c>
      <c r="DO123" s="102">
        <f>$BS123*(VLOOKUP(DO$4, Rates_current!$H$6:$R$41, 10, FALSE)+VLOOKUP(DO$4, Rates_current!$H$6:$R$41, 11, FALSE))</f>
        <v>12414.567443588408</v>
      </c>
      <c r="DP123" s="102">
        <f>$BS123*(VLOOKUP(DP$4, Rates_current!$H$6:$R$41, 10, FALSE)+VLOOKUP(DP$4, Rates_current!$H$6:$R$41, 11, FALSE))</f>
        <v>16066.494359703604</v>
      </c>
      <c r="DQ123" s="102">
        <f>$BS123*(VLOOKUP(DQ$4, Rates_current!$H$6:$R$41, 10, FALSE)+VLOOKUP(DQ$4, Rates_current!$H$6:$R$41, 11, FALSE))</f>
        <v>16409.560783835783</v>
      </c>
      <c r="DR123" s="102">
        <f>$BS123*(VLOOKUP(DR$4, Rates_current!$H$6:$R$41, 10, FALSE)+VLOOKUP(DR$4, Rates_current!$H$6:$R$41, 11, FALSE))</f>
        <v>14605.928274088361</v>
      </c>
      <c r="DS123" s="102">
        <f>$BS123*(VLOOKUP(DS$4, Rates_current!$H$6:$R$41, 10, FALSE)+VLOOKUP(DS$4, Rates_current!$H$6:$R$41, 11, FALSE))</f>
        <v>14983.003769652438</v>
      </c>
      <c r="DT123" s="102">
        <f>$BS123*(VLOOKUP(DT$4, Rates_current!$H$6:$R$41, 10, FALSE)+VLOOKUP(DT$4, Rates_current!$H$6:$R$41, 11, FALSE))</f>
        <v>11636.098463703587</v>
      </c>
      <c r="DU123" s="261">
        <f>IF(D123=0,IF(C123=0,MAX(0,DW123 - (VLOOKUP($A123,TOCA_current!$A$2:$AV$136,MATCH("RHWM "&amp;Init!$D$1,TOCA_current!$A$2:$AV$2,0),FALSE)*$BS$2)), 0),0)</f>
        <v>0</v>
      </c>
      <c r="DV123" s="262">
        <f>MIN(VLOOKUP($A123,TOCA_current!$A$2:$AV$136,MATCH("TRL - NLSL - Existing Resource "&amp;$BS$1,TOCA_current!$A$2:$AV$2,0),FALSE)*$BS$2, VLOOKUP($A123,TOCA_current!$A$2:$AV$136,MATCH("RHWM "&amp;Init!$D$1,TOCA_current!$A$2:$AV$2,0),FALSE)*$BS$2)</f>
        <v>179921.64</v>
      </c>
      <c r="DW123" s="262">
        <f>SUM(BY123:CV123)+(BS123*RT1SC!$C$4*$BS$2)</f>
        <v>179917.75162062197</v>
      </c>
      <c r="DX123" s="262">
        <f>VLOOKUP($A123,TOCA_current!$A$2:$AV$136,MATCH("Above RHWM Not Served with LS "&amp;$BS$1,TOCA_current!$A$2:$AV$2,0),FALSE)*$BS$2</f>
        <v>54688.68</v>
      </c>
      <c r="DY123" s="262">
        <f t="shared" si="43"/>
        <v>-3.888379378040554</v>
      </c>
      <c r="DZ123" s="262">
        <f>(VLOOKUP($A123,TOCA_current!$A$2:$AV$136,MATCH("RHWM "&amp;Init!$D$1,TOCA_current!$A$2:$AV$2,0),FALSE)*$BS$2) - $DV123</f>
        <v>0</v>
      </c>
      <c r="EA123" s="262">
        <f t="shared" si="44"/>
        <v>0</v>
      </c>
      <c r="EB123" s="262">
        <f t="shared" si="45"/>
        <v>0</v>
      </c>
      <c r="EC123" s="262">
        <f t="shared" si="46"/>
        <v>0</v>
      </c>
      <c r="ED123" s="262">
        <f t="shared" si="47"/>
        <v>0</v>
      </c>
    </row>
    <row r="124" spans="1:134">
      <c r="A124" s="2">
        <v>10426</v>
      </c>
      <c r="B124" s="3" t="s">
        <v>126</v>
      </c>
      <c r="C124">
        <f>VLOOKUP(A124, TOCA_current!$A$3:$D$136, 4, FALSE)</f>
        <v>0</v>
      </c>
      <c r="D124">
        <v>0</v>
      </c>
      <c r="E124" s="84">
        <f>VLOOKUP($A124,TOCA_previous!$A$2:$AJ$136,MATCH(E$4,TOCA_previous!$A$2:$AJ$2,0),FALSE)</f>
        <v>4.5887000000000002E-3</v>
      </c>
      <c r="F124" s="85">
        <f>VLOOKUP($A124,TOCA_previous!$A$2:$AJ$136,MATCH(F$4,TOCA_previous!$A$2:$AJ$2,0),FALSE)</f>
        <v>4.5887000000000002E-3</v>
      </c>
      <c r="G124" s="85">
        <f t="shared" si="33"/>
        <v>0</v>
      </c>
      <c r="H124" s="85">
        <f>VLOOKUP($A124,TOCA_previous!$A$2:$AJ$136,MATCH(H$4,TOCA_previous!$A$2:$AJ$2,0),FALSE)</f>
        <v>0</v>
      </c>
      <c r="I124" s="85">
        <f t="shared" si="34"/>
        <v>0</v>
      </c>
      <c r="J124" s="85">
        <f t="shared" si="35"/>
        <v>0</v>
      </c>
      <c r="K124" s="101">
        <f>VLOOKUP(A124, IRD!$A$5:$C$138, 3, FALSE)</f>
        <v>0</v>
      </c>
      <c r="L124" s="102">
        <f t="array" ref="L124">IF($G124=0, INDEX(LS_previous!$D$4:$AY$137, MATCH('Staging Table'!$A124, LS_previous!$B$4:$B$137, 0), MATCH(L$4&amp;L$5, LS_previous!$D$2:$AY$2&amp;LS_previous!$D$3:$AY$3, 0)),SUM(VLOOKUP($A124, LS_previous!$B$4:$AY$137, LS_previous!D$148, FALSE), VLOOKUP('Staging Table'!$A124, LS_previous!$B$4:$AY$137,LS_previous!AB$148, FALSE))/2)</f>
        <v>2138.6670520067964</v>
      </c>
      <c r="M124" s="102">
        <f t="array" ref="M124">IF($G124=0, INDEX(LS_previous!$D$4:$AY$137, MATCH('Staging Table'!$A124, LS_previous!$B$4:$B$137, 0), MATCH(M$4&amp;M$5, LS_previous!$D$2:$AY$2&amp;LS_previous!$D$3:$AY$3, 0)),SUM(VLOOKUP($A124, LS_previous!$B$4:$AY$137, LS_previous!E$148, FALSE), VLOOKUP('Staging Table'!$A124, LS_previous!$B$4:$AY$137,LS_previous!AC$148, FALSE))/2)</f>
        <v>2951.5081275981511</v>
      </c>
      <c r="N124" s="102">
        <f t="array" ref="N124">IF($G124=0, INDEX(LS_previous!$D$4:$AY$137, MATCH('Staging Table'!$A124, LS_previous!$B$4:$B$137, 0), MATCH(N$4&amp;N$5, LS_previous!$D$2:$AY$2&amp;LS_previous!$D$3:$AY$3, 0)),SUM(VLOOKUP($A124, LS_previous!$B$4:$AY$137, LS_previous!F$148, FALSE), VLOOKUP('Staging Table'!$A124, LS_previous!$B$4:$AY$137,LS_previous!AD$148, FALSE))/2)</f>
        <v>2277.0219980063994</v>
      </c>
      <c r="O124" s="102">
        <f t="array" ref="O124">IF($G124=0, INDEX(LS_previous!$D$4:$AY$137, MATCH('Staging Table'!$A124, LS_previous!$B$4:$B$137, 0), MATCH(O$4&amp;O$5, LS_previous!$D$2:$AY$2&amp;LS_previous!$D$3:$AY$3, 0)),SUM(VLOOKUP($A124, LS_previous!$B$4:$AY$137, LS_previous!G$148, FALSE), VLOOKUP('Staging Table'!$A124, LS_previous!$B$4:$AY$137,LS_previous!AE$148, FALSE))/2)</f>
        <v>4950.0927259302989</v>
      </c>
      <c r="P124" s="102">
        <f t="array" ref="P124">IF($G124=0, INDEX(LS_previous!$D$4:$AY$137, MATCH('Staging Table'!$A124, LS_previous!$B$4:$B$137, 0), MATCH(P$4&amp;P$5, LS_previous!$D$2:$AY$2&amp;LS_previous!$D$3:$AY$3, 0)),SUM(VLOOKUP($A124, LS_previous!$B$4:$AY$137, LS_previous!H$148, FALSE), VLOOKUP('Staging Table'!$A124, LS_previous!$B$4:$AY$137,LS_previous!AF$148, FALSE))/2)</f>
        <v>4646.2420894506977</v>
      </c>
      <c r="Q124" s="102">
        <f t="array" ref="Q124">IF($G124=0, INDEX(LS_previous!$D$4:$AY$137, MATCH('Staging Table'!$A124, LS_previous!$B$4:$B$137, 0), MATCH(Q$4&amp;Q$5, LS_previous!$D$2:$AY$2&amp;LS_previous!$D$3:$AY$3, 0)),SUM(VLOOKUP($A124, LS_previous!$B$4:$AY$137, LS_previous!I$148, FALSE), VLOOKUP('Staging Table'!$A124, LS_previous!$B$4:$AY$137,LS_previous!AG$148, FALSE))/2)</f>
        <v>7104.5657271647997</v>
      </c>
      <c r="R124" s="102">
        <f t="array" ref="R124">IF($G124=0, INDEX(LS_previous!$D$4:$AY$137, MATCH('Staging Table'!$A124, LS_previous!$B$4:$B$137, 0), MATCH(R$4&amp;R$5, LS_previous!$D$2:$AY$2&amp;LS_previous!$D$3:$AY$3, 0)),SUM(VLOOKUP($A124, LS_previous!$B$4:$AY$137, LS_previous!J$148, FALSE), VLOOKUP('Staging Table'!$A124, LS_previous!$B$4:$AY$137,LS_previous!AH$148, FALSE))/2)</f>
        <v>4252.5784273794998</v>
      </c>
      <c r="S124" s="102">
        <f t="array" ref="S124">IF($G124=0, INDEX(LS_previous!$D$4:$AY$137, MATCH('Staging Table'!$A124, LS_previous!$B$4:$B$137, 0), MATCH(S$4&amp;S$5, LS_previous!$D$2:$AY$2&amp;LS_previous!$D$3:$AY$3, 0)),SUM(VLOOKUP($A124, LS_previous!$B$4:$AY$137, LS_previous!K$148, FALSE), VLOOKUP('Staging Table'!$A124, LS_previous!$B$4:$AY$137,LS_previous!AI$148, FALSE))/2)</f>
        <v>7416.9870263277007</v>
      </c>
      <c r="T124" s="102">
        <f t="array" ref="T124">IF($G124=0, INDEX(LS_previous!$D$4:$AY$137, MATCH('Staging Table'!$A124, LS_previous!$B$4:$B$137, 0), MATCH(T$4&amp;T$5, LS_previous!$D$2:$AY$2&amp;LS_previous!$D$3:$AY$3, 0)),SUM(VLOOKUP($A124, LS_previous!$B$4:$AY$137, LS_previous!L$148, FALSE), VLOOKUP('Staging Table'!$A124, LS_previous!$B$4:$AY$137,LS_previous!AJ$148, FALSE))/2)</f>
        <v>4058.1289100326994</v>
      </c>
      <c r="U124" s="102">
        <f t="array" ref="U124">IF($G124=0, INDEX(LS_previous!$D$4:$AY$137, MATCH('Staging Table'!$A124, LS_previous!$B$4:$B$137, 0), MATCH(U$4&amp;U$5, LS_previous!$D$2:$AY$2&amp;LS_previous!$D$3:$AY$3, 0)),SUM(VLOOKUP($A124, LS_previous!$B$4:$AY$137, LS_previous!M$148, FALSE), VLOOKUP('Staging Table'!$A124, LS_previous!$B$4:$AY$137,LS_previous!AK$148, FALSE))/2)</f>
        <v>6655.9868807367002</v>
      </c>
      <c r="V124" s="102">
        <f t="array" ref="V124">IF($G124=0, INDEX(LS_previous!$D$4:$AY$137, MATCH('Staging Table'!$A124, LS_previous!$B$4:$B$137, 0), MATCH(V$4&amp;V$5, LS_previous!$D$2:$AY$2&amp;LS_previous!$D$3:$AY$3, 0)),SUM(VLOOKUP($A124, LS_previous!$B$4:$AY$137, LS_previous!N$148, FALSE), VLOOKUP('Staging Table'!$A124, LS_previous!$B$4:$AY$137,LS_previous!AL$148, FALSE))/2)</f>
        <v>1133.5861661768995</v>
      </c>
      <c r="W124" s="102">
        <f t="array" ref="W124">IF($G124=0, INDEX(LS_previous!$D$4:$AY$137, MATCH('Staging Table'!$A124, LS_previous!$B$4:$B$137, 0), MATCH(W$4&amp;W$5, LS_previous!$D$2:$AY$2&amp;LS_previous!$D$3:$AY$3, 0)),SUM(VLOOKUP($A124, LS_previous!$B$4:$AY$137, LS_previous!O$148, FALSE), VLOOKUP('Staging Table'!$A124, LS_previous!$B$4:$AY$137,LS_previous!AM$148, FALSE))/2)</f>
        <v>3530.2753872914</v>
      </c>
      <c r="X124" s="102">
        <f t="array" ref="X124">IF($G124=0, INDEX(LS_previous!$D$4:$AY$137, MATCH('Staging Table'!$A124, LS_previous!$B$4:$B$137, 0), MATCH(X$4&amp;X$5, LS_previous!$D$2:$AY$2&amp;LS_previous!$D$3:$AY$3, 0)),SUM(VLOOKUP($A124, LS_previous!$B$4:$AY$137, LS_previous!P$148, FALSE), VLOOKUP('Staging Table'!$A124, LS_previous!$B$4:$AY$137,LS_previous!AN$148, FALSE))/2)</f>
        <v>1078.4284313857497</v>
      </c>
      <c r="Y124" s="102">
        <f t="array" ref="Y124">IF($G124=0, INDEX(LS_previous!$D$4:$AY$137, MATCH('Staging Table'!$A124, LS_previous!$B$4:$B$137, 0), MATCH(Y$4&amp;Y$5, LS_previous!$D$2:$AY$2&amp;LS_previous!$D$3:$AY$3, 0)),SUM(VLOOKUP($A124, LS_previous!$B$4:$AY$137, LS_previous!Q$148, FALSE), VLOOKUP('Staging Table'!$A124, LS_previous!$B$4:$AY$137,LS_previous!AO$148, FALSE))/2)</f>
        <v>2721.0544880677753</v>
      </c>
      <c r="Z124" s="102">
        <f t="array" ref="Z124">IF($G124=0, INDEX(LS_previous!$D$4:$AY$137, MATCH('Staging Table'!$A124, LS_previous!$B$4:$B$137, 0), MATCH(Z$4&amp;Z$5, LS_previous!$D$2:$AY$2&amp;LS_previous!$D$3:$AY$3, 0)),SUM(VLOOKUP($A124, LS_previous!$B$4:$AY$137, LS_previous!R$148, FALSE), VLOOKUP('Staging Table'!$A124, LS_previous!$B$4:$AY$137,LS_previous!AP$148, FALSE))/2)</f>
        <v>-3035.0109704176011</v>
      </c>
      <c r="AA124" s="102">
        <f t="array" ref="AA124">IF($G124=0, INDEX(LS_previous!$D$4:$AY$137, MATCH('Staging Table'!$A124, LS_previous!$B$4:$B$137, 0), MATCH(AA$4&amp;AA$5, LS_previous!$D$2:$AY$2&amp;LS_previous!$D$3:$AY$3, 0)),SUM(VLOOKUP($A124, LS_previous!$B$4:$AY$137, LS_previous!S$148, FALSE), VLOOKUP('Staging Table'!$A124, LS_previous!$B$4:$AY$137,LS_previous!AQ$148, FALSE))/2)</f>
        <v>181.83775239104943</v>
      </c>
      <c r="AB124" s="102">
        <f t="array" ref="AB124">IF($G124=0, INDEX(LS_previous!$D$4:$AY$137, MATCH('Staging Table'!$A124, LS_previous!$B$4:$B$137, 0), MATCH(AB$4&amp;AB$5, LS_previous!$D$2:$AY$2&amp;LS_previous!$D$3:$AY$3, 0)),SUM(VLOOKUP($A124, LS_previous!$B$4:$AY$137, LS_previous!T$148, FALSE), VLOOKUP('Staging Table'!$A124, LS_previous!$B$4:$AY$137,LS_previous!AR$148, FALSE))/2)</f>
        <v>-3042.4073700362005</v>
      </c>
      <c r="AC124" s="102">
        <f t="array" ref="AC124">IF($G124=0, INDEX(LS_previous!$D$4:$AY$137, MATCH('Staging Table'!$A124, LS_previous!$B$4:$B$137, 0), MATCH(AC$4&amp;AC$5, LS_previous!$D$2:$AY$2&amp;LS_previous!$D$3:$AY$3, 0)),SUM(VLOOKUP($A124, LS_previous!$B$4:$AY$137, LS_previous!U$148, FALSE), VLOOKUP('Staging Table'!$A124, LS_previous!$B$4:$AY$137,LS_previous!AS$148, FALSE))/2)</f>
        <v>-501.2314425841505</v>
      </c>
      <c r="AD124" s="102">
        <f t="array" ref="AD124">IF($G124=0, INDEX(LS_previous!$D$4:$AY$137, MATCH('Staging Table'!$A124, LS_previous!$B$4:$B$137, 0), MATCH(AD$4&amp;AD$5, LS_previous!$D$2:$AY$2&amp;LS_previous!$D$3:$AY$3, 0)),SUM(VLOOKUP($A124, LS_previous!$B$4:$AY$137, LS_previous!V$148, FALSE), VLOOKUP('Staging Table'!$A124, LS_previous!$B$4:$AY$137,LS_previous!AT$148, FALSE))/2)</f>
        <v>752.54034453319946</v>
      </c>
      <c r="AE124" s="102">
        <f t="array" ref="AE124">IF($G124=0, INDEX(LS_previous!$D$4:$AY$137, MATCH('Staging Table'!$A124, LS_previous!$B$4:$B$137, 0), MATCH(AE$4&amp;AE$5, LS_previous!$D$2:$AY$2&amp;LS_previous!$D$3:$AY$3, 0)),SUM(VLOOKUP($A124, LS_previous!$B$4:$AY$137, LS_previous!W$148, FALSE), VLOOKUP('Staging Table'!$A124, LS_previous!$B$4:$AY$137,LS_previous!AU$148, FALSE))/2)</f>
        <v>2235.005279190751</v>
      </c>
      <c r="AF124" s="102">
        <f t="array" ref="AF124">IF($G124=0, INDEX(LS_previous!$D$4:$AY$137, MATCH('Staging Table'!$A124, LS_previous!$B$4:$B$137, 0), MATCH(AF$4&amp;AF$5, LS_previous!$D$2:$AY$2&amp;LS_previous!$D$3:$AY$3, 0)),SUM(VLOOKUP($A124, LS_previous!$B$4:$AY$137, LS_previous!X$148, FALSE), VLOOKUP('Staging Table'!$A124, LS_previous!$B$4:$AY$137,LS_previous!AV$148, FALSE))/2)</f>
        <v>1514.8198900379484</v>
      </c>
      <c r="AG124" s="102">
        <f t="array" ref="AG124">IF($G124=0, INDEX(LS_previous!$D$4:$AY$137, MATCH('Staging Table'!$A124, LS_previous!$B$4:$B$137, 0), MATCH(AG$4&amp;AG$5, LS_previous!$D$2:$AY$2&amp;LS_previous!$D$3:$AY$3, 0)),SUM(VLOOKUP($A124, LS_previous!$B$4:$AY$137, LS_previous!Y$148, FALSE), VLOOKUP('Staging Table'!$A124, LS_previous!$B$4:$AY$137,LS_previous!AW$148, FALSE))/2)</f>
        <v>2240.015872992305</v>
      </c>
      <c r="AH124" s="102">
        <f t="array" ref="AH124">IF($G124=0, INDEX(LS_previous!$D$4:$AY$137, MATCH('Staging Table'!$A124, LS_previous!$B$4:$B$137, 0), MATCH(AH$4&amp;AH$5, LS_previous!$D$2:$AY$2&amp;LS_previous!$D$3:$AY$3, 0)),SUM(VLOOKUP($A124, LS_previous!$B$4:$AY$137, LS_previous!Z$148, FALSE), VLOOKUP('Staging Table'!$A124, LS_previous!$B$4:$AY$137,LS_previous!AX$148, FALSE))/2)</f>
        <v>366.87374209619702</v>
      </c>
      <c r="AI124" s="102">
        <f t="array" ref="AI124">IF($G124=0, INDEX(LS_previous!$D$4:$AY$137, MATCH('Staging Table'!$A124, LS_previous!$B$4:$B$137, 0), MATCH(AI$4&amp;AI$5, LS_previous!$D$2:$AY$2&amp;LS_previous!$D$3:$AY$3, 0)),SUM(VLOOKUP($A124, LS_previous!$B$4:$AY$137, LS_previous!AA$148, FALSE), VLOOKUP('Staging Table'!$A124, LS_previous!$B$4:$AY$137,LS_previous!AY$148, FALSE))/2)</f>
        <v>1619.3871924752002</v>
      </c>
      <c r="AJ124" s="103">
        <f t="array" ref="AJ124">INDEX(Demand_previous!$D$4:$AY$137, MATCH('Staging Table'!$A124, Demand_previous!$B$4:$B$137, 0), MATCH(AJ$4&amp;AJ$5,Demand_previous!$D$2:$AY$2&amp;Demand_previous!$D$3:$AY$3, 0))/1000</f>
        <v>2.2591658653846176</v>
      </c>
      <c r="AK124" s="103">
        <f t="array" ref="AK124">INDEX(Demand_previous!$D$4:$AY$137, MATCH('Staging Table'!$A124, Demand_previous!$B$4:$B$137, 0), MATCH(AK$4&amp;AK$5,Demand_previous!$D$2:$AY$2&amp;Demand_previous!$D$3:$AY$3, 0))/1000</f>
        <v>0</v>
      </c>
      <c r="AL124" s="103">
        <f t="array" ref="AL124">INDEX(Demand_previous!$D$4:$AY$137, MATCH('Staging Table'!$A124, Demand_previous!$B$4:$B$137, 0), MATCH(AL$4&amp;AL$5,Demand_previous!$D$2:$AY$2&amp;Demand_previous!$D$3:$AY$3, 0))/1000</f>
        <v>0.74126250000000482</v>
      </c>
      <c r="AM124" s="103">
        <f t="array" ref="AM124">INDEX(Demand_previous!$D$4:$AY$137, MATCH('Staging Table'!$A124, Demand_previous!$B$4:$B$137, 0), MATCH(AM$4&amp;AM$5,Demand_previous!$D$2:$AY$2&amp;Demand_previous!$D$3:$AY$3, 0))/1000</f>
        <v>5.9258004807692375</v>
      </c>
      <c r="AN124" s="103">
        <f t="array" ref="AN124">INDEX(Demand_previous!$D$4:$AY$137, MATCH('Staging Table'!$A124, Demand_previous!$B$4:$B$137, 0), MATCH(AN$4&amp;AN$5,Demand_previous!$D$2:$AY$2&amp;Demand_previous!$D$3:$AY$3, 0))/1000</f>
        <v>2.3579500000000007</v>
      </c>
      <c r="AO124" s="103">
        <f t="array" ref="AO124">INDEX(Demand_previous!$D$4:$AY$137, MATCH('Staging Table'!$A124, Demand_previous!$B$4:$B$137, 0), MATCH(AO$4&amp;AO$5,Demand_previous!$D$2:$AY$2&amp;Demand_previous!$D$3:$AY$3, 0))/1000</f>
        <v>3.5336009615384665</v>
      </c>
      <c r="AP124" s="103">
        <f t="array" ref="AP124">INDEX(Demand_previous!$D$4:$AY$137, MATCH('Staging Table'!$A124, Demand_previous!$B$4:$B$137, 0), MATCH(AP$4&amp;AP$5,Demand_previous!$D$2:$AY$2&amp;Demand_previous!$D$3:$AY$3, 0))/1000</f>
        <v>5.6830264423076962</v>
      </c>
      <c r="AQ124" s="103">
        <f t="array" ref="AQ124">INDEX(Demand_previous!$D$4:$AY$137, MATCH('Staging Table'!$A124, Demand_previous!$B$4:$B$137, 0), MATCH(AQ$4&amp;AQ$5,Demand_previous!$D$2:$AY$2&amp;Demand_previous!$D$3:$AY$3, 0))/1000</f>
        <v>0</v>
      </c>
      <c r="AR124" s="103">
        <f t="array" ref="AR124">INDEX(Demand_previous!$D$4:$AY$137, MATCH('Staging Table'!$A124, Demand_previous!$B$4:$B$137, 0), MATCH(AR$4&amp;AR$5,Demand_previous!$D$2:$AY$2&amp;Demand_previous!$D$3:$AY$3, 0))/1000</f>
        <v>0</v>
      </c>
      <c r="AS124" s="103">
        <f t="array" ref="AS124">INDEX(Demand_previous!$D$4:$AY$137, MATCH('Staging Table'!$A124, Demand_previous!$B$4:$B$137, 0), MATCH(AS$4&amp;AS$5,Demand_previous!$D$2:$AY$2&amp;Demand_previous!$D$3:$AY$3, 0))/1000</f>
        <v>0</v>
      </c>
      <c r="AT124" s="103">
        <f t="array" ref="AT124">INDEX(Demand_previous!$D$4:$AY$137, MATCH('Staging Table'!$A124, Demand_previous!$B$4:$B$137, 0), MATCH(AT$4&amp;AT$5,Demand_previous!$D$2:$AY$2&amp;Demand_previous!$D$3:$AY$3, 0))/1000</f>
        <v>0.32322222222222008</v>
      </c>
      <c r="AU124" s="103">
        <f t="array" ref="AU124">INDEX(Demand_previous!$D$4:$AY$137, MATCH('Staging Table'!$A124, Demand_previous!$B$4:$B$137, 0), MATCH(AU$4&amp;AU$5,Demand_previous!$D$2:$AY$2&amp;Demand_previous!$D$3:$AY$3, 0))/1000</f>
        <v>1.8007682291666689</v>
      </c>
      <c r="AV124" s="102">
        <f>$F124*(VLOOKUP(AV$4, Rates_previous!$G$6:$Q$29, 10, FALSE)+VLOOKUP(AV$4, Rates_previous!$G$6:$Q$29, 11, FALSE))</f>
        <v>19358.82482039505</v>
      </c>
      <c r="AW124" s="102">
        <f>$F124*(VLOOKUP(AW$4, Rates_previous!$G$6:$Q$29, 10, FALSE)+VLOOKUP(AW$4, Rates_previous!$G$6:$Q$29, 11, FALSE))</f>
        <v>24688.885276063305</v>
      </c>
      <c r="AX124" s="102">
        <f>$F124*(VLOOKUP(AX$4, Rates_previous!$G$6:$Q$29, 10, FALSE)+VLOOKUP(AX$4, Rates_previous!$G$6:$Q$29, 11, FALSE))</f>
        <v>26644.192183384504</v>
      </c>
      <c r="AY124" s="102">
        <f>$F124*(VLOOKUP(AY$4, Rates_previous!$G$6:$Q$29, 10, FALSE)+VLOOKUP(AY$4, Rates_previous!$G$6:$Q$29, 11, FALSE))</f>
        <v>27687.434546292799</v>
      </c>
      <c r="AZ124" s="102">
        <f>$F124*(VLOOKUP(AZ$4, Rates_previous!$G$6:$Q$29, 10, FALSE)+VLOOKUP(AZ$4, Rates_previous!$G$6:$Q$29, 11, FALSE))</f>
        <v>23814.8842092306</v>
      </c>
      <c r="BA124" s="102">
        <f>$F124*(VLOOKUP(BA$4, Rates_previous!$G$6:$Q$29, 10, FALSE)+VLOOKUP(BA$4, Rates_previous!$G$6:$Q$29, 11, FALSE))</f>
        <v>26001.138446531702</v>
      </c>
      <c r="BB124" s="102">
        <f>$F124*(VLOOKUP(BB$4, Rates_previous!$G$6:$Q$29, 10, FALSE)+VLOOKUP(BB$4, Rates_previous!$G$6:$Q$29, 11, FALSE))</f>
        <v>20523.517080546473</v>
      </c>
      <c r="BC124" s="102">
        <f>$F124*(VLOOKUP(BC$4, Rates_previous!$G$6:$Q$29, 10, FALSE)+VLOOKUP(BC$4, Rates_previous!$G$6:$Q$29, 11, FALSE))</f>
        <v>25462.173218026554</v>
      </c>
      <c r="BD124" s="102">
        <f>$F124*(VLOOKUP(BD$4, Rates_previous!$G$6:$Q$29, 10, FALSE)+VLOOKUP(BD$4, Rates_previous!$G$6:$Q$29, 11, FALSE))</f>
        <v>26014.638812620349</v>
      </c>
      <c r="BE124" s="102">
        <f>$F124*(VLOOKUP(BE$4, Rates_previous!$G$6:$Q$29, 10, FALSE)+VLOOKUP(BE$4, Rates_previous!$G$6:$Q$29, 11, FALSE))</f>
        <v>22584.454376276051</v>
      </c>
      <c r="BF124" s="102">
        <f>$F124*(VLOOKUP(BF$4, Rates_previous!$G$6:$Q$29, 10, FALSE)+VLOOKUP(BF$4, Rates_previous!$G$6:$Q$29, 11, FALSE))</f>
        <v>21833.164236969747</v>
      </c>
      <c r="BG124" s="102">
        <f>$F124*(VLOOKUP(BG$4, Rates_previous!$G$6:$Q$29, 10, FALSE)+VLOOKUP(BG$4, Rates_previous!$G$6:$Q$29, 11, FALSE))</f>
        <v>20090.739065428603</v>
      </c>
      <c r="BH124" s="103">
        <f>IF($D124=0,IF(C124=0, MAX(BJ124 - (VLOOKUP($A124,TOCA_previous!$A$2:$AJ$136,MATCH("RHWM "&amp;Init!$D$1-2,TOCA_previous!$A$2:$AJ$2,0),FALSE)*$F$2*TOCA_previous!C121),0),0), 0)</f>
        <v>20992.425305026292</v>
      </c>
      <c r="BI124" s="109">
        <f>MIN(VLOOKUP($A124,TOCA_previous!$A$2:$AJ$136,MATCH("TRL - NLSL - Existing Resource "&amp;$F$1,TOCA_previous!$A$2:$AJ$2,0),FALSE)*$F$2,(VLOOKUP($A124,TOCA_previous!$A$2:$AJ$136,MATCH("RHWM "&amp;Init!$D$1-2,TOCA_previous!$A$2:$AJ$2,0),FALSE)*$F$2))</f>
        <v>278417.66399999999</v>
      </c>
      <c r="BJ124" s="261">
        <f>SUM(L124:AI124)+(F124*RT1SC!$C$3*$F$2)</f>
        <v>341951.00130502629</v>
      </c>
      <c r="BK124" s="260">
        <f>VLOOKUP($A124,TOCA_previous!$A$2:$AJ$136,MATCH("Above RHWM Not Served with LS "&amp;$F$1,TOCA_previous!$A$2:$AJ$2,0),FALSE)*$F$2</f>
        <v>0</v>
      </c>
      <c r="BL124" s="261">
        <f t="shared" si="36"/>
        <v>63533.337305026304</v>
      </c>
      <c r="BM124" s="260">
        <f>(VLOOKUP($A124,TOCA_previous!$A$2:$AJ$136,MATCH("RHWM "&amp;Init!$D$1-2,TOCA_previous!$A$2:$AJ$2,0),FALSE)*$F$2) - $BI124</f>
        <v>42540.912000000011</v>
      </c>
      <c r="BN124" s="261">
        <f t="shared" si="37"/>
        <v>-42540.912000000011</v>
      </c>
      <c r="BO124" s="260">
        <f t="shared" si="38"/>
        <v>0</v>
      </c>
      <c r="BP124" s="261">
        <f t="shared" si="39"/>
        <v>0</v>
      </c>
      <c r="BQ124" s="260">
        <f t="shared" si="9"/>
        <v>-42540.912000000011</v>
      </c>
      <c r="BR124" s="85">
        <f>VLOOKUP($A124,TOCA_current!$A$2:$ZZ$136,MATCH(BR$4,TOCA_current!$A$2:$ZZ$2,0),FALSE)</f>
        <v>5.4906E-3</v>
      </c>
      <c r="BS124" s="85">
        <f>VLOOKUP($A124,TOCA_current!$A$2:$ZZ$136,MATCH(BS$4,TOCA_current!$A$2:$ZZ$2,0),FALSE)</f>
        <v>5.4906E-3</v>
      </c>
      <c r="BT124" s="108">
        <f t="shared" si="40"/>
        <v>0</v>
      </c>
      <c r="BU124" s="85">
        <f>VLOOKUP($A124,TOCA_current!A121:BG255,MATCH(BU$4,TOCA_current!$A$2:$BG$2,0),FALSE)</f>
        <v>0</v>
      </c>
      <c r="BV124" s="85">
        <f t="shared" si="41"/>
        <v>0</v>
      </c>
      <c r="BW124" s="85">
        <f t="shared" si="42"/>
        <v>0</v>
      </c>
      <c r="BX124" s="101">
        <f>VLOOKUP($A124,IRD!$A$4:$G$138, 7, FALSE)</f>
        <v>0</v>
      </c>
      <c r="BY124" s="102">
        <f t="array" ref="BY124">IF($BT124=0, INDEX(LS_current!$D$4:$BW$137, MATCH('Staging Table'!$A124, LS_current!$B$4:$B$137, 0), MATCH(BY$4&amp;BY$5, LS_current!$D$2:$BW$2&amp;LS_current!$D$3:$BW$3, 0)),SUM(VLOOKUP($A124, LS_current!$B$4:$BW$137, LS_current!D$147, FALSE), VLOOKUP($A124, LS_current!$B$4:$BW$137,LS_current!AZ$147, FALSE))/2)</f>
        <v>-347.85922869766182</v>
      </c>
      <c r="BZ124" s="102">
        <f t="array" ref="BZ124">IF($BT124=0, INDEX(LS_current!$D$4:$BW$137, MATCH('Staging Table'!$A124, LS_current!$B$4:$B$137, 0), MATCH(BZ$4&amp;BZ$5, LS_current!$D$2:$BW$2&amp;LS_current!$D$3:$BW$3, 0)),SUM(VLOOKUP($A124, LS_current!$B$4:$BW$137, LS_current!E$147, FALSE), VLOOKUP($A124, LS_current!$B$4:$BW$137,LS_current!BA$147, FALSE))/2)</f>
        <v>2009.2900844934939</v>
      </c>
      <c r="CA124" s="102">
        <f t="array" ref="CA124">IF($BT124=0, INDEX(LS_current!$D$4:$BW$137, MATCH('Staging Table'!$A124, LS_current!$B$4:$B$137, 0), MATCH(CA$4&amp;CA$5, LS_current!$D$2:$BW$2&amp;LS_current!$D$3:$BW$3, 0)),SUM(VLOOKUP($A124, LS_current!$B$4:$BW$137, LS_current!F$147, FALSE), VLOOKUP($A124, LS_current!$B$4:$BW$137,LS_current!BB$147, FALSE))/2)</f>
        <v>-343.88799490034216</v>
      </c>
      <c r="CB124" s="102">
        <f t="array" ref="CB124">IF($BT124=0, INDEX(LS_current!$D$4:$BW$137, MATCH('Staging Table'!$A124, LS_current!$B$4:$B$137, 0), MATCH(CB$4&amp;CB$5, LS_current!$D$2:$BW$2&amp;LS_current!$D$3:$BW$3, 0)),SUM(VLOOKUP($A124, LS_current!$B$4:$BW$137, LS_current!G$147, FALSE), VLOOKUP($A124, LS_current!$B$4:$BW$137,LS_current!BC$147, FALSE))/2)</f>
        <v>3126.7308303338523</v>
      </c>
      <c r="CC124" s="102">
        <f t="array" ref="CC124">IF($BT124=0, INDEX(LS_current!$D$4:$BW$137, MATCH('Staging Table'!$A124, LS_current!$B$4:$B$137, 0), MATCH(CC$4&amp;CC$5, LS_current!$D$2:$BW$2&amp;LS_current!$D$3:$BW$3, 0)),SUM(VLOOKUP($A124, LS_current!$B$4:$BW$137, LS_current!H$147, FALSE), VLOOKUP($A124, LS_current!$B$4:$BW$137,LS_current!BD$147, FALSE))/2)</f>
        <v>-430.89805103129402</v>
      </c>
      <c r="CD124" s="102">
        <f t="array" ref="CD124">IF($BT124=0, INDEX(LS_current!$D$4:$BW$137, MATCH('Staging Table'!$A124, LS_current!$B$4:$B$137, 0), MATCH(CD$4&amp;CD$5, LS_current!$D$2:$BW$2&amp;LS_current!$D$3:$BW$3, 0)),SUM(VLOOKUP($A124, LS_current!$B$4:$BW$137, LS_current!I$147, FALSE), VLOOKUP($A124, LS_current!$B$4:$BW$137,LS_current!BE$147, FALSE))/2)</f>
        <v>5703.9349634298542</v>
      </c>
      <c r="CE124" s="102">
        <f t="array" ref="CE124">IF($BT124=0, INDEX(LS_current!$D$4:$BW$137, MATCH('Staging Table'!$A124, LS_current!$B$4:$B$137, 0), MATCH(CE$4&amp;CE$5, LS_current!$D$2:$BW$2&amp;LS_current!$D$3:$BW$3, 0)),SUM(VLOOKUP($A124, LS_current!$B$4:$BW$137, LS_current!J$147, FALSE), VLOOKUP($A124, LS_current!$B$4:$BW$137,LS_current!BF$147, FALSE))/2)</f>
        <v>-632.36364559048889</v>
      </c>
      <c r="CF124" s="102">
        <f t="array" ref="CF124">IF($BT124=0, INDEX(LS_current!$D$4:$BW$137, MATCH('Staging Table'!$A124, LS_current!$B$4:$B$137, 0), MATCH(CF$4&amp;CF$5, LS_current!$D$2:$BW$2&amp;LS_current!$D$3:$BW$3, 0)),SUM(VLOOKUP($A124, LS_current!$B$4:$BW$137, LS_current!K$147, FALSE), VLOOKUP($A124, LS_current!$B$4:$BW$137,LS_current!BG$147, FALSE))/2)</f>
        <v>5043.1071246522552</v>
      </c>
      <c r="CG124" s="102">
        <f t="array" ref="CG124">IF($BT124=0, INDEX(LS_current!$D$4:$BW$137, MATCH('Staging Table'!$A124, LS_current!$B$4:$B$137, 0), MATCH(CG$4&amp;CG$5, LS_current!$D$2:$BW$2&amp;LS_current!$D$3:$BW$3, 0)),SUM(VLOOKUP($A124, LS_current!$B$4:$BW$137, LS_current!L$147, FALSE), VLOOKUP($A124, LS_current!$B$4:$BW$137,LS_current!BH$147, FALSE))/2)</f>
        <v>1479.1350923252685</v>
      </c>
      <c r="CH124" s="102">
        <f t="array" ref="CH124">IF($BT124=0, INDEX(LS_current!$D$4:$BW$137, MATCH('Staging Table'!$A124, LS_current!$B$4:$B$137, 0), MATCH(CH$4&amp;CH$5, LS_current!$D$2:$BW$2&amp;LS_current!$D$3:$BW$3, 0)),SUM(VLOOKUP($A124, LS_current!$B$4:$BW$137, LS_current!M$147, FALSE), VLOOKUP($A124, LS_current!$B$4:$BW$137,LS_current!BI$147, FALSE))/2)</f>
        <v>5200.8524806937785</v>
      </c>
      <c r="CI124" s="102">
        <f t="array" ref="CI124">IF($BT124=0, INDEX(LS_current!$D$4:$BW$137, MATCH('Staging Table'!$A124, LS_current!$B$4:$B$137, 0), MATCH(CI$4&amp;CI$5, LS_current!$D$2:$BW$2&amp;LS_current!$D$3:$BW$3, 0)),SUM(VLOOKUP($A124, LS_current!$B$4:$BW$137, LS_current!N$147, FALSE), VLOOKUP($A124, LS_current!$B$4:$BW$137,LS_current!BJ$147, FALSE))/2)</f>
        <v>-2836.0282376622054</v>
      </c>
      <c r="CJ124" s="102">
        <f t="array" ref="CJ124">IF($BT124=0, INDEX(LS_current!$D$4:$BW$137, MATCH('Staging Table'!$A124, LS_current!$B$4:$B$137, 0), MATCH(CJ$4&amp;CJ$5, LS_current!$D$2:$BW$2&amp;LS_current!$D$3:$BW$3, 0)),SUM(VLOOKUP($A124, LS_current!$B$4:$BW$137, LS_current!O$147, FALSE), VLOOKUP($A124, LS_current!$B$4:$BW$137,LS_current!BK$147, FALSE))/2)</f>
        <v>3056.3387002242798</v>
      </c>
      <c r="CK124" s="102">
        <f t="array" ref="CK124">IF($BT124=0, INDEX(LS_current!$D$4:$BW$137, MATCH('Staging Table'!$A124, LS_current!$B$4:$B$137, 0), MATCH(CK$4&amp;CK$5, LS_current!$D$2:$BW$2&amp;LS_current!$D$3:$BW$3, 0)),SUM(VLOOKUP($A124, LS_current!$B$4:$BW$137, LS_current!P$147, FALSE), VLOOKUP($A124, LS_current!$B$4:$BW$137,LS_current!BL$147, FALSE))/2)</f>
        <v>-956.9146737786723</v>
      </c>
      <c r="CL124" s="102">
        <f t="array" ref="CL124">IF($BT124=0, INDEX(LS_current!$D$4:$BW$137, MATCH('Staging Table'!$A124, LS_current!$B$4:$B$137, 0), MATCH(CL$4&amp;CL$5, LS_current!$D$2:$BW$2&amp;LS_current!$D$3:$BW$3, 0)),SUM(VLOOKUP($A124, LS_current!$B$4:$BW$137, LS_current!Q$147, FALSE), VLOOKUP($A124, LS_current!$B$4:$BW$137,LS_current!BM$147, FALSE))/2)</f>
        <v>1684.9740369388655</v>
      </c>
      <c r="CM124" s="102">
        <f t="array" ref="CM124">IF($BT124=0, INDEX(LS_current!$D$4:$BW$137, MATCH('Staging Table'!$A124, LS_current!$B$4:$B$137, 0), MATCH(CM$4&amp;CM$5, LS_current!$D$2:$BW$2&amp;LS_current!$D$3:$BW$3, 0)),SUM(VLOOKUP($A124, LS_current!$B$4:$BW$137, LS_current!R$147, FALSE), VLOOKUP($A124, LS_current!$B$4:$BW$137,LS_current!BN$147, FALSE))/2)</f>
        <v>-6053.0172619174755</v>
      </c>
      <c r="CN124" s="102">
        <f t="array" ref="CN124">IF($BT124=0, INDEX(LS_current!$D$4:$BW$137, MATCH('Staging Table'!$A124, LS_current!$B$4:$B$137, 0), MATCH(CN$4&amp;CN$5, LS_current!$D$2:$BW$2&amp;LS_current!$D$3:$BW$3, 0)),SUM(VLOOKUP($A124, LS_current!$B$4:$BW$137, LS_current!S$147, FALSE), VLOOKUP($A124, LS_current!$B$4:$BW$137,LS_current!BO$147, FALSE))/2)</f>
        <v>-1873.7208845703299</v>
      </c>
      <c r="CO124" s="102">
        <f t="array" ref="CO124">IF($BT124=0, INDEX(LS_current!$D$4:$BW$137, MATCH('Staging Table'!$A124, LS_current!$B$4:$B$137, 0), MATCH(CO$4&amp;CO$5, LS_current!$D$2:$BW$2&amp;LS_current!$D$3:$BW$3, 0)),SUM(VLOOKUP($A124, LS_current!$B$4:$BW$137, LS_current!T$147, FALSE), VLOOKUP($A124, LS_current!$B$4:$BW$137,LS_current!BP$147, FALSE))/2)</f>
        <v>-7033.0250722285946</v>
      </c>
      <c r="CP124" s="102">
        <f t="array" ref="CP124">IF($BT124=0, INDEX(LS_current!$D$4:$BW$137, MATCH('Staging Table'!$A124, LS_current!$B$4:$B$137, 0), MATCH(CP$4&amp;CP$5, LS_current!$D$2:$BW$2&amp;LS_current!$D$3:$BW$3, 0)),SUM(VLOOKUP($A124, LS_current!$B$4:$BW$137, LS_current!U$147, FALSE), VLOOKUP($A124, LS_current!$B$4:$BW$137,LS_current!BQ$147, FALSE))/2)</f>
        <v>-1683.7399731965652</v>
      </c>
      <c r="CQ124" s="102">
        <f t="array" ref="CQ124">IF($BT124=0, INDEX(LS_current!$D$4:$BW$137, MATCH('Staging Table'!$A124, LS_current!$B$4:$B$137, 0), MATCH(CQ$4&amp;CQ$5, LS_current!$D$2:$BW$2&amp;LS_current!$D$3:$BW$3, 0)),SUM(VLOOKUP($A124, LS_current!$B$4:$BW$137, LS_current!V$147, FALSE), VLOOKUP($A124, LS_current!$B$4:$BW$137,LS_current!BR$147, FALSE))/2)</f>
        <v>-2763.8628956483881</v>
      </c>
      <c r="CR124" s="102">
        <f t="array" ref="CR124">IF($BT124=0, INDEX(LS_current!$D$4:$BW$137, MATCH('Staging Table'!$A124, LS_current!$B$4:$B$137, 0), MATCH(CR$4&amp;CR$5, LS_current!$D$2:$BW$2&amp;LS_current!$D$3:$BW$3, 0)),SUM(VLOOKUP($A124, LS_current!$B$4:$BW$137, LS_current!W$147, FALSE), VLOOKUP($A124, LS_current!$B$4:$BW$137,LS_current!BS$147, FALSE))/2)</f>
        <v>576.05473970337152</v>
      </c>
      <c r="CS124" s="102">
        <f t="array" ref="CS124">IF($BT124=0, INDEX(LS_current!$D$4:$BW$137, MATCH('Staging Table'!$A124, LS_current!$B$4:$B$137, 0), MATCH(CS$4&amp;CS$5, LS_current!$D$2:$BW$2&amp;LS_current!$D$3:$BW$3, 0)),SUM(VLOOKUP($A124, LS_current!$B$4:$BW$137, LS_current!X$147, FALSE), VLOOKUP($A124, LS_current!$B$4:$BW$137,LS_current!BT$147, FALSE))/2)</f>
        <v>-3563.8126102511615</v>
      </c>
      <c r="CT124" s="102">
        <f t="array" ref="CT124">IF($BT124=0, INDEX(LS_current!$D$4:$BW$137, MATCH('Staging Table'!$A124, LS_current!$B$4:$B$137, 0), MATCH(CT$4&amp;CT$5, LS_current!$D$2:$BW$2&amp;LS_current!$D$3:$BW$3, 0)),SUM(VLOOKUP($A124, LS_current!$B$4:$BW$137, LS_current!Y$147, FALSE), VLOOKUP($A124, LS_current!$B$4:$BW$137,LS_current!BU$147, FALSE))/2)</f>
        <v>675.34042441791098</v>
      </c>
      <c r="CU124" s="102">
        <f t="array" ref="CU124">IF($BT124=0, INDEX(LS_current!$D$4:$BW$137, MATCH('Staging Table'!$A124, LS_current!$B$4:$B$137, 0), MATCH(CU$4&amp;CU$5, LS_current!$D$2:$BW$2&amp;LS_current!$D$3:$BW$3, 0)),SUM(VLOOKUP($A124, LS_current!$B$4:$BW$137, LS_current!Z$147, FALSE), VLOOKUP($A124, LS_current!$B$4:$BW$137,LS_current!BV$147, FALSE))/2)</f>
        <v>-1399.137486022657</v>
      </c>
      <c r="CV124" s="102">
        <f t="array" ref="CV124">IF($BT124=0, INDEX(LS_current!$D$4:$BW$137, MATCH('Staging Table'!$A124, LS_current!$B$4:$B$137, 0), MATCH(CV$4&amp;CV$5, LS_current!$D$2:$BW$2&amp;LS_current!$D$3:$BW$3, 0)),SUM(VLOOKUP($A124, LS_current!$B$4:$BW$137, LS_current!AA$147, FALSE), VLOOKUP($A124, LS_current!$B$4:$BW$137,LS_current!BW$147, FALSE))/2)</f>
        <v>1360.7433135656975</v>
      </c>
      <c r="CW124" s="103">
        <f t="array" ref="CW124">INDEX(Demand_current!$D$4:$BW$137, MATCH($A124, Demand_current!$B$4:$B$137, 0), MATCH(CW$4&amp;CW$5,Demand_current!$D$2:$BW$2&amp;Demand_current!$D$3:$BW$3, 0))/1000</f>
        <v>3.492344907407408</v>
      </c>
      <c r="CX124" s="103">
        <f t="array" ref="CX124">INDEX(Demand_current!$D$4:$BW$137, MATCH($A124, Demand_current!$B$4:$B$137, 0), MATCH(CX$4&amp;CX$5,Demand_current!$D$2:$BW$2&amp;Demand_current!$D$3:$BW$3, 0))/1000</f>
        <v>0</v>
      </c>
      <c r="CY124" s="103">
        <f t="array" ref="CY124">INDEX(Demand_current!$D$4:$BW$137, MATCH($A124, Demand_current!$B$4:$B$137, 0), MATCH(CY$4&amp;CY$5,Demand_current!$D$2:$BW$2&amp;Demand_current!$D$3:$BW$3, 0))/1000</f>
        <v>2.7413293269230787</v>
      </c>
      <c r="CZ124" s="103">
        <f t="array" ref="CZ124">INDEX(Demand_current!$D$4:$BW$137, MATCH($A124, Demand_current!$B$4:$B$137, 0), MATCH(CZ$4&amp;CZ$5,Demand_current!$D$2:$BW$2&amp;Demand_current!$D$3:$BW$3, 0))/1000</f>
        <v>5.9258004807692375</v>
      </c>
      <c r="DA124" s="103">
        <f t="array" ref="DA124">INDEX(Demand_current!$D$4:$BW$137, MATCH($A124, Demand_current!$B$4:$B$137, 0), MATCH(DA$4&amp;DA$5,Demand_current!$D$2:$BW$2&amp;Demand_current!$D$3:$BW$3, 0))/1000</f>
        <v>0.35786458333332938</v>
      </c>
      <c r="DB124" s="103">
        <f t="array" ref="DB124">INDEX(Demand_current!$D$4:$BW$137, MATCH($A124, Demand_current!$B$4:$B$137, 0), MATCH(DB$4&amp;DB$5,Demand_current!$D$2:$BW$2&amp;Demand_current!$D$3:$BW$3, 0))/1000</f>
        <v>3.5336009615384665</v>
      </c>
      <c r="DC124" s="103">
        <f t="array" ref="DC124">INDEX(Demand_current!$D$4:$BW$137, MATCH($A124, Demand_current!$B$4:$B$137, 0), MATCH(DC$4&amp;DC$5,Demand_current!$D$2:$BW$2&amp;Demand_current!$D$3:$BW$3, 0))/1000</f>
        <v>5.6830264423076962</v>
      </c>
      <c r="DD124" s="103">
        <f t="array" ref="DD124">INDEX(Demand_current!$D$4:$BW$137, MATCH($A124, Demand_current!$B$4:$B$137, 0), MATCH(DD$4&amp;DD$5,Demand_current!$D$2:$BW$2&amp;Demand_current!$D$3:$BW$3, 0))/1000</f>
        <v>0</v>
      </c>
      <c r="DE124" s="103">
        <f t="array" ref="DE124">INDEX(Demand_current!$D$4:$BW$137, MATCH($A124, Demand_current!$B$4:$B$137, 0), MATCH(DE$4&amp;DE$5,Demand_current!$D$2:$BW$2&amp;Demand_current!$D$3:$BW$3, 0))/1000</f>
        <v>0.38770913461538781</v>
      </c>
      <c r="DF124" s="103">
        <f t="array" ref="DF124">INDEX(Demand_current!$D$4:$BW$137, MATCH($A124, Demand_current!$B$4:$B$137, 0), MATCH(DF$4&amp;DF$5,Demand_current!$D$2:$BW$2&amp;Demand_current!$D$3:$BW$3, 0))/1000</f>
        <v>0</v>
      </c>
      <c r="DG124" s="103">
        <f t="array" ref="DG124">INDEX(Demand_current!$D$4:$BW$137, MATCH($A124, Demand_current!$B$4:$B$137, 0), MATCH(DG$4&amp;DG$5,Demand_current!$D$2:$BW$2&amp;Demand_current!$D$3:$BW$3, 0))/1000</f>
        <v>0</v>
      </c>
      <c r="DH124" s="103">
        <f t="array" ref="DH124">INDEX(Demand_current!$D$4:$BW$137, MATCH($A124, Demand_current!$B$4:$B$137, 0), MATCH(DH$4&amp;DH$5,Demand_current!$D$2:$BW$2&amp;Demand_current!$D$3:$BW$3, 0))/1000</f>
        <v>3.088897500000003</v>
      </c>
      <c r="DI124" s="102">
        <f>$BS124*(VLOOKUP(DI$4, Rates_current!$H$6:$R$41, 10, FALSE)+VLOOKUP(DI$4, Rates_current!$H$6:$R$41, 11, FALSE))</f>
        <v>22787.569144204168</v>
      </c>
      <c r="DJ124" s="102">
        <f>$BS124*(VLOOKUP(DJ$4, Rates_current!$H$6:$R$41, 10, FALSE)+VLOOKUP(DJ$4, Rates_current!$H$6:$R$41, 11, FALSE))</f>
        <v>29133.157164566495</v>
      </c>
      <c r="DK124" s="102">
        <f>$BS124*(VLOOKUP(DK$4, Rates_current!$H$6:$R$41, 10, FALSE)+VLOOKUP(DK$4, Rates_current!$H$6:$R$41, 11, FALSE))</f>
        <v>33121.963087601434</v>
      </c>
      <c r="DL124" s="102">
        <f>$BS124*(VLOOKUP(DL$4, Rates_current!$H$6:$R$41, 10, FALSE)+VLOOKUP(DL$4, Rates_current!$H$6:$R$41, 11, FALSE))</f>
        <v>34946.256520938237</v>
      </c>
      <c r="DM124" s="102">
        <f>$BS124*(VLOOKUP(DM$4, Rates_current!$H$6:$R$41, 10, FALSE)+VLOOKUP(DM$4, Rates_current!$H$6:$R$41, 11, FALSE))</f>
        <v>27849.012426980953</v>
      </c>
      <c r="DN124" s="102">
        <f>$BS124*(VLOOKUP(DN$4, Rates_current!$H$6:$R$41, 10, FALSE)+VLOOKUP(DN$4, Rates_current!$H$6:$R$41, 11, FALSE))</f>
        <v>30444.689537437924</v>
      </c>
      <c r="DO124" s="102">
        <f>$BS124*(VLOOKUP(DO$4, Rates_current!$H$6:$R$41, 10, FALSE)+VLOOKUP(DO$4, Rates_current!$H$6:$R$41, 11, FALSE))</f>
        <v>23594.940636839809</v>
      </c>
      <c r="DP124" s="102">
        <f>$BS124*(VLOOKUP(DP$4, Rates_current!$H$6:$R$41, 10, FALSE)+VLOOKUP(DP$4, Rates_current!$H$6:$R$41, 11, FALSE))</f>
        <v>30535.738146487802</v>
      </c>
      <c r="DQ124" s="102">
        <f>$BS124*(VLOOKUP(DQ$4, Rates_current!$H$6:$R$41, 10, FALSE)+VLOOKUP(DQ$4, Rates_current!$H$6:$R$41, 11, FALSE))</f>
        <v>31187.76504542516</v>
      </c>
      <c r="DR124" s="102">
        <f>$BS124*(VLOOKUP(DR$4, Rates_current!$H$6:$R$41, 10, FALSE)+VLOOKUP(DR$4, Rates_current!$H$6:$R$41, 11, FALSE))</f>
        <v>27759.808155945015</v>
      </c>
      <c r="DS124" s="102">
        <f>$BS124*(VLOOKUP(DS$4, Rates_current!$H$6:$R$41, 10, FALSE)+VLOOKUP(DS$4, Rates_current!$H$6:$R$41, 11, FALSE))</f>
        <v>28476.472185833252</v>
      </c>
      <c r="DT124" s="102">
        <f>$BS124*(VLOOKUP(DT$4, Rates_current!$H$6:$R$41, 10, FALSE)+VLOOKUP(DT$4, Rates_current!$H$6:$R$41, 11, FALSE))</f>
        <v>22115.394172456963</v>
      </c>
      <c r="DU124" s="261">
        <f>IF(D124=0,IF(C124=0,MAX(0,DW124 - (VLOOKUP($A124,TOCA_current!$A$2:$AV$136,MATCH("RHWM "&amp;Init!$D$1,TOCA_current!$A$2:$AV$2,0),FALSE)*$BS$2)), 0),0)</f>
        <v>0</v>
      </c>
      <c r="DV124" s="262">
        <f>MIN(VLOOKUP($A124,TOCA_current!$A$2:$AV$136,MATCH("TRL - NLSL - Existing Resource "&amp;$BS$1,TOCA_current!$A$2:$AV$2,0),FALSE)*$BS$2, VLOOKUP($A124,TOCA_current!$A$2:$AV$136,MATCH("RHWM "&amp;Init!$D$1,TOCA_current!$A$2:$AV$2,0),FALSE)*$BS$2)</f>
        <v>341955.36</v>
      </c>
      <c r="DW124" s="262">
        <f>SUM(BY124:CV124)+(BS124*RT1SC!$C$4*$BS$2)</f>
        <v>341951.02018539479</v>
      </c>
      <c r="DX124" s="262">
        <f>VLOOKUP($A124,TOCA_current!$A$2:$AV$136,MATCH("Above RHWM Not Served with LS "&amp;$BS$1,TOCA_current!$A$2:$AV$2,0),FALSE)*$BS$2</f>
        <v>0</v>
      </c>
      <c r="DY124" s="262">
        <f t="shared" si="43"/>
        <v>-4.33981460519135</v>
      </c>
      <c r="DZ124" s="262">
        <f>(VLOOKUP($A124,TOCA_current!$A$2:$AV$136,MATCH("RHWM "&amp;Init!$D$1,TOCA_current!$A$2:$AV$2,0),FALSE)*$BS$2) - $DV124</f>
        <v>27944.400000000023</v>
      </c>
      <c r="EA124" s="262">
        <f t="shared" si="44"/>
        <v>0</v>
      </c>
      <c r="EB124" s="262">
        <f t="shared" si="45"/>
        <v>4.33981460519135</v>
      </c>
      <c r="EC124" s="262">
        <f t="shared" si="46"/>
        <v>0</v>
      </c>
      <c r="ED124" s="262">
        <f t="shared" si="47"/>
        <v>4.33981460519135</v>
      </c>
    </row>
    <row r="125" spans="1:134">
      <c r="A125" s="2">
        <v>10434</v>
      </c>
      <c r="B125" s="3" t="s">
        <v>127</v>
      </c>
      <c r="C125">
        <f>VLOOKUP(A125, TOCA_current!$A$3:$D$136, 4, FALSE)</f>
        <v>0</v>
      </c>
      <c r="D125">
        <v>0</v>
      </c>
      <c r="E125" s="84">
        <f>VLOOKUP($A125,TOCA_previous!$A$2:$AJ$136,MATCH(E$4,TOCA_previous!$A$2:$AJ$2,0),FALSE)</f>
        <v>3.9315000000000001E-3</v>
      </c>
      <c r="F125" s="85">
        <f>VLOOKUP($A125,TOCA_previous!$A$2:$AJ$136,MATCH(F$4,TOCA_previous!$A$2:$AJ$2,0),FALSE)</f>
        <v>3.9315000000000001E-3</v>
      </c>
      <c r="G125" s="85">
        <f t="shared" si="33"/>
        <v>0</v>
      </c>
      <c r="H125" s="85">
        <f>VLOOKUP($A125,TOCA_previous!$A$2:$AJ$136,MATCH(H$4,TOCA_previous!$A$2:$AJ$2,0),FALSE)</f>
        <v>0</v>
      </c>
      <c r="I125" s="85">
        <f t="shared" si="34"/>
        <v>0</v>
      </c>
      <c r="J125" s="85">
        <f t="shared" si="35"/>
        <v>0</v>
      </c>
      <c r="K125" s="101">
        <f>VLOOKUP(A125, IRD!$A$5:$C$138, 3, FALSE)</f>
        <v>0</v>
      </c>
      <c r="L125" s="102">
        <f t="array" ref="L125">IF($G125=0, INDEX(LS_previous!$D$4:$AY$137, MATCH('Staging Table'!$A125, LS_previous!$B$4:$B$137, 0), MATCH(L$4&amp;L$5, LS_previous!$D$2:$AY$2&amp;LS_previous!$D$3:$AY$3, 0)),SUM(VLOOKUP($A125, LS_previous!$B$4:$AY$137, LS_previous!D$148, FALSE), VLOOKUP('Staging Table'!$A125, LS_previous!$B$4:$AY$137,LS_previous!AB$148, FALSE))/2)</f>
        <v>1944.3132724659972</v>
      </c>
      <c r="M125" s="102">
        <f t="array" ref="M125">IF($G125=0, INDEX(LS_previous!$D$4:$AY$137, MATCH('Staging Table'!$A125, LS_previous!$B$4:$B$137, 0), MATCH(M$4&amp;M$5, LS_previous!$D$2:$AY$2&amp;LS_previous!$D$3:$AY$3, 0)),SUM(VLOOKUP($A125, LS_previous!$B$4:$AY$137, LS_previous!E$148, FALSE), VLOOKUP('Staging Table'!$A125, LS_previous!$B$4:$AY$137,LS_previous!AC$148, FALSE))/2)</f>
        <v>425.7837391967505</v>
      </c>
      <c r="N125" s="102">
        <f t="array" ref="N125">IF($G125=0, INDEX(LS_previous!$D$4:$AY$137, MATCH('Staging Table'!$A125, LS_previous!$B$4:$B$137, 0), MATCH(N$4&amp;N$5, LS_previous!$D$2:$AY$2&amp;LS_previous!$D$3:$AY$3, 0)),SUM(VLOOKUP($A125, LS_previous!$B$4:$AY$137, LS_previous!F$148, FALSE), VLOOKUP('Staging Table'!$A125, LS_previous!$B$4:$AY$137,LS_previous!AD$148, FALSE))/2)</f>
        <v>237.37306996799816</v>
      </c>
      <c r="O125" s="102">
        <f t="array" ref="O125">IF($G125=0, INDEX(LS_previous!$D$4:$AY$137, MATCH('Staging Table'!$A125, LS_previous!$B$4:$B$137, 0), MATCH(O$4&amp;O$5, LS_previous!$D$2:$AY$2&amp;LS_previous!$D$3:$AY$3, 0)),SUM(VLOOKUP($A125, LS_previous!$B$4:$AY$137, LS_previous!G$148, FALSE), VLOOKUP('Staging Table'!$A125, LS_previous!$B$4:$AY$137,LS_previous!AE$148, FALSE))/2)</f>
        <v>616.85116222350007</v>
      </c>
      <c r="P125" s="102">
        <f t="array" ref="P125">IF($G125=0, INDEX(LS_previous!$D$4:$AY$137, MATCH('Staging Table'!$A125, LS_previous!$B$4:$B$137, 0), MATCH(P$4&amp;P$5, LS_previous!$D$2:$AY$2&amp;LS_previous!$D$3:$AY$3, 0)),SUM(VLOOKUP($A125, LS_previous!$B$4:$AY$137, LS_previous!H$148, FALSE), VLOOKUP('Staging Table'!$A125, LS_previous!$B$4:$AY$137,LS_previous!AF$148, FALSE))/2)</f>
        <v>2874.5853171214985</v>
      </c>
      <c r="Q125" s="102">
        <f t="array" ref="Q125">IF($G125=0, INDEX(LS_previous!$D$4:$AY$137, MATCH('Staging Table'!$A125, LS_previous!$B$4:$B$137, 0), MATCH(Q$4&amp;Q$5, LS_previous!$D$2:$AY$2&amp;LS_previous!$D$3:$AY$3, 0)),SUM(VLOOKUP($A125, LS_previous!$B$4:$AY$137, LS_previous!I$148, FALSE), VLOOKUP('Staging Table'!$A125, LS_previous!$B$4:$AY$137,LS_previous!AG$148, FALSE))/2)</f>
        <v>2256.7497841759996</v>
      </c>
      <c r="R125" s="102">
        <f t="array" ref="R125">IF($G125=0, INDEX(LS_previous!$D$4:$AY$137, MATCH('Staging Table'!$A125, LS_previous!$B$4:$B$137, 0), MATCH(R$4&amp;R$5, LS_previous!$D$2:$AY$2&amp;LS_previous!$D$3:$AY$3, 0)),SUM(VLOOKUP($A125, LS_previous!$B$4:$AY$137, LS_previous!J$148, FALSE), VLOOKUP('Staging Table'!$A125, LS_previous!$B$4:$AY$137,LS_previous!AH$148, FALSE))/2)</f>
        <v>1707.9870224775004</v>
      </c>
      <c r="S125" s="102">
        <f t="array" ref="S125">IF($G125=0, INDEX(LS_previous!$D$4:$AY$137, MATCH('Staging Table'!$A125, LS_previous!$B$4:$B$137, 0), MATCH(S$4&amp;S$5, LS_previous!$D$2:$AY$2&amp;LS_previous!$D$3:$AY$3, 0)),SUM(VLOOKUP($A125, LS_previous!$B$4:$AY$137, LS_previous!K$148, FALSE), VLOOKUP('Staging Table'!$A125, LS_previous!$B$4:$AY$137,LS_previous!AI$148, FALSE))/2)</f>
        <v>2034.9423389864987</v>
      </c>
      <c r="T125" s="102">
        <f t="array" ref="T125">IF($G125=0, INDEX(LS_previous!$D$4:$AY$137, MATCH('Staging Table'!$A125, LS_previous!$B$4:$B$137, 0), MATCH(T$4&amp;T$5, LS_previous!$D$2:$AY$2&amp;LS_previous!$D$3:$AY$3, 0)),SUM(VLOOKUP($A125, LS_previous!$B$4:$AY$137, LS_previous!L$148, FALSE), VLOOKUP('Staging Table'!$A125, LS_previous!$B$4:$AY$137,LS_previous!AJ$148, FALSE))/2)</f>
        <v>998.94020171150078</v>
      </c>
      <c r="U125" s="102">
        <f t="array" ref="U125">IF($G125=0, INDEX(LS_previous!$D$4:$AY$137, MATCH('Staging Table'!$A125, LS_previous!$B$4:$B$137, 0), MATCH(U$4&amp;U$5, LS_previous!$D$2:$AY$2&amp;LS_previous!$D$3:$AY$3, 0)),SUM(VLOOKUP($A125, LS_previous!$B$4:$AY$137, LS_previous!M$148, FALSE), VLOOKUP('Staging Table'!$A125, LS_previous!$B$4:$AY$137,LS_previous!AK$148, FALSE))/2)</f>
        <v>1285.2704481914998</v>
      </c>
      <c r="V125" s="102">
        <f t="array" ref="V125">IF($G125=0, INDEX(LS_previous!$D$4:$AY$137, MATCH('Staging Table'!$A125, LS_previous!$B$4:$B$137, 0), MATCH(V$4&amp;V$5, LS_previous!$D$2:$AY$2&amp;LS_previous!$D$3:$AY$3, 0)),SUM(VLOOKUP($A125, LS_previous!$B$4:$AY$137, LS_previous!N$148, FALSE), VLOOKUP('Staging Table'!$A125, LS_previous!$B$4:$AY$137,LS_previous!AL$148, FALSE))/2)</f>
        <v>193.82800724049957</v>
      </c>
      <c r="W125" s="102">
        <f t="array" ref="W125">IF($G125=0, INDEX(LS_previous!$D$4:$AY$137, MATCH('Staging Table'!$A125, LS_previous!$B$4:$B$137, 0), MATCH(W$4&amp;W$5, LS_previous!$D$2:$AY$2&amp;LS_previous!$D$3:$AY$3, 0)),SUM(VLOOKUP($A125, LS_previous!$B$4:$AY$137, LS_previous!O$148, FALSE), VLOOKUP('Staging Table'!$A125, LS_previous!$B$4:$AY$137,LS_previous!AM$148, FALSE))/2)</f>
        <v>-47.956220206999205</v>
      </c>
      <c r="X125" s="102">
        <f t="array" ref="X125">IF($G125=0, INDEX(LS_previous!$D$4:$AY$137, MATCH('Staging Table'!$A125, LS_previous!$B$4:$B$137, 0), MATCH(X$4&amp;X$5, LS_previous!$D$2:$AY$2&amp;LS_previous!$D$3:$AY$3, 0)),SUM(VLOOKUP($A125, LS_previous!$B$4:$AY$137, LS_previous!P$148, FALSE), VLOOKUP('Staging Table'!$A125, LS_previous!$B$4:$AY$137,LS_previous!AN$148, FALSE))/2)</f>
        <v>1170.1338227587512</v>
      </c>
      <c r="Y125" s="102">
        <f t="array" ref="Y125">IF($G125=0, INDEX(LS_previous!$D$4:$AY$137, MATCH('Staging Table'!$A125, LS_previous!$B$4:$B$137, 0), MATCH(Y$4&amp;Y$5, LS_previous!$D$2:$AY$2&amp;LS_previous!$D$3:$AY$3, 0)),SUM(VLOOKUP($A125, LS_previous!$B$4:$AY$137, LS_previous!Q$148, FALSE), VLOOKUP('Staging Table'!$A125, LS_previous!$B$4:$AY$137,LS_previous!AO$148, FALSE))/2)</f>
        <v>343.73177512987604</v>
      </c>
      <c r="Z125" s="102">
        <f t="array" ref="Z125">IF($G125=0, INDEX(LS_previous!$D$4:$AY$137, MATCH('Staging Table'!$A125, LS_previous!$B$4:$B$137, 0), MATCH(Z$4&amp;Z$5, LS_previous!$D$2:$AY$2&amp;LS_previous!$D$3:$AY$3, 0)),SUM(VLOOKUP($A125, LS_previous!$B$4:$AY$137, LS_previous!R$148, FALSE), VLOOKUP('Staging Table'!$A125, LS_previous!$B$4:$AY$137,LS_previous!AP$148, FALSE))/2)</f>
        <v>-2380.3619379120009</v>
      </c>
      <c r="AA125" s="102">
        <f t="array" ref="AA125">IF($G125=0, INDEX(LS_previous!$D$4:$AY$137, MATCH('Staging Table'!$A125, LS_previous!$B$4:$B$137, 0), MATCH(AA$4&amp;AA$5, LS_previous!$D$2:$AY$2&amp;LS_previous!$D$3:$AY$3, 0)),SUM(VLOOKUP($A125, LS_previous!$B$4:$AY$137, LS_previous!S$148, FALSE), VLOOKUP('Staging Table'!$A125, LS_previous!$B$4:$AY$137,LS_previous!AQ$148, FALSE))/2)</f>
        <v>-1522.8613966427492</v>
      </c>
      <c r="AB125" s="102">
        <f t="array" ref="AB125">IF($G125=0, INDEX(LS_previous!$D$4:$AY$137, MATCH('Staging Table'!$A125, LS_previous!$B$4:$B$137, 0), MATCH(AB$4&amp;AB$5, LS_previous!$D$2:$AY$2&amp;LS_previous!$D$3:$AY$3, 0)),SUM(VLOOKUP($A125, LS_previous!$B$4:$AY$137, LS_previous!T$148, FALSE), VLOOKUP('Staging Table'!$A125, LS_previous!$B$4:$AY$137,LS_previous!AR$148, FALSE))/2)</f>
        <v>-2074.2721610690005</v>
      </c>
      <c r="AC125" s="102">
        <f t="array" ref="AC125">IF($G125=0, INDEX(LS_previous!$D$4:$AY$137, MATCH('Staging Table'!$A125, LS_previous!$B$4:$B$137, 0), MATCH(AC$4&amp;AC$5, LS_previous!$D$2:$AY$2&amp;LS_previous!$D$3:$AY$3, 0)),SUM(VLOOKUP($A125, LS_previous!$B$4:$AY$137, LS_previous!U$148, FALSE), VLOOKUP('Staging Table'!$A125, LS_previous!$B$4:$AY$137,LS_previous!AS$148, FALSE))/2)</f>
        <v>-1584.458876766751</v>
      </c>
      <c r="AD125" s="102">
        <f t="array" ref="AD125">IF($G125=0, INDEX(LS_previous!$D$4:$AY$137, MATCH('Staging Table'!$A125, LS_previous!$B$4:$B$137, 0), MATCH(AD$4&amp;AD$5, LS_previous!$D$2:$AY$2&amp;LS_previous!$D$3:$AY$3, 0)),SUM(VLOOKUP($A125, LS_previous!$B$4:$AY$137, LS_previous!V$148, FALSE), VLOOKUP('Staging Table'!$A125, LS_previous!$B$4:$AY$137,LS_previous!AT$148, FALSE))/2)</f>
        <v>1841.0016198339999</v>
      </c>
      <c r="AE125" s="102">
        <f t="array" ref="AE125">IF($G125=0, INDEX(LS_previous!$D$4:$AY$137, MATCH('Staging Table'!$A125, LS_previous!$B$4:$B$137, 0), MATCH(AE$4&amp;AE$5, LS_previous!$D$2:$AY$2&amp;LS_previous!$D$3:$AY$3, 0)),SUM(VLOOKUP($A125, LS_previous!$B$4:$AY$137, LS_previous!W$148, FALSE), VLOOKUP('Staging Table'!$A125, LS_previous!$B$4:$AY$137,LS_previous!AU$148, FALSE))/2)</f>
        <v>925.7419899837505</v>
      </c>
      <c r="AF125" s="102">
        <f t="array" ref="AF125">IF($G125=0, INDEX(LS_previous!$D$4:$AY$137, MATCH('Staging Table'!$A125, LS_previous!$B$4:$B$137, 0), MATCH(AF$4&amp;AF$5, LS_previous!$D$2:$AY$2&amp;LS_previous!$D$3:$AY$3, 0)),SUM(VLOOKUP($A125, LS_previous!$B$4:$AY$137, LS_previous!X$148, FALSE), VLOOKUP('Staging Table'!$A125, LS_previous!$B$4:$AY$137,LS_previous!AV$148, FALSE))/2)</f>
        <v>1814.2721907477498</v>
      </c>
      <c r="AG125" s="102">
        <f t="array" ref="AG125">IF($G125=0, INDEX(LS_previous!$D$4:$AY$137, MATCH('Staging Table'!$A125, LS_previous!$B$4:$B$137, 0), MATCH(AG$4&amp;AG$5, LS_previous!$D$2:$AY$2&amp;LS_previous!$D$3:$AY$3, 0)),SUM(VLOOKUP($A125, LS_previous!$B$4:$AY$137, LS_previous!Y$148, FALSE), VLOOKUP('Staging Table'!$A125, LS_previous!$B$4:$AY$137,LS_previous!AW$148, FALSE))/2)</f>
        <v>642.72973906972584</v>
      </c>
      <c r="AH125" s="102">
        <f t="array" ref="AH125">IF($G125=0, INDEX(LS_previous!$D$4:$AY$137, MATCH('Staging Table'!$A125, LS_previous!$B$4:$B$137, 0), MATCH(AH$4&amp;AH$5, LS_previous!$D$2:$AY$2&amp;LS_previous!$D$3:$AY$3, 0)),SUM(VLOOKUP($A125, LS_previous!$B$4:$AY$137, LS_previous!Z$148, FALSE), VLOOKUP('Staging Table'!$A125, LS_previous!$B$4:$AY$137,LS_previous!AX$148, FALSE))/2)</f>
        <v>310.3611757689996</v>
      </c>
      <c r="AI125" s="102">
        <f t="array" ref="AI125">IF($G125=0, INDEX(LS_previous!$D$4:$AY$137, MATCH('Staging Table'!$A125, LS_previous!$B$4:$B$137, 0), MATCH(AI$4&amp;AI$5, LS_previous!$D$2:$AY$2&amp;LS_previous!$D$3:$AY$3, 0)),SUM(VLOOKUP($A125, LS_previous!$B$4:$AY$137, LS_previous!AA$148, FALSE), VLOOKUP('Staging Table'!$A125, LS_previous!$B$4:$AY$137,LS_previous!AY$148, FALSE))/2)</f>
        <v>-150.89463237600012</v>
      </c>
      <c r="AJ125" s="103">
        <f t="array" ref="AJ125">INDEX(Demand_previous!$D$4:$AY$137, MATCH('Staging Table'!$A125, Demand_previous!$B$4:$B$137, 0), MATCH(AJ$4&amp;AJ$5,Demand_previous!$D$2:$AY$2&amp;Demand_previous!$D$3:$AY$3, 0))/1000</f>
        <v>2.0157331730769235</v>
      </c>
      <c r="AK125" s="103">
        <f t="array" ref="AK125">INDEX(Demand_previous!$D$4:$AY$137, MATCH('Staging Table'!$A125, Demand_previous!$B$4:$B$137, 0), MATCH(AK$4&amp;AK$5,Demand_previous!$D$2:$AY$2&amp;Demand_previous!$D$3:$AY$3, 0))/1000</f>
        <v>3.3077375</v>
      </c>
      <c r="AL125" s="103">
        <f t="array" ref="AL125">INDEX(Demand_previous!$D$4:$AY$137, MATCH('Staging Table'!$A125, Demand_previous!$B$4:$B$137, 0), MATCH(AL$4&amp;AL$5,Demand_previous!$D$2:$AY$2&amp;Demand_previous!$D$3:$AY$3, 0))/1000</f>
        <v>4.4055625000000003</v>
      </c>
      <c r="AM125" s="103">
        <f t="array" ref="AM125">INDEX(Demand_previous!$D$4:$AY$137, MATCH('Staging Table'!$A125, Demand_previous!$B$4:$B$137, 0), MATCH(AM$4&amp;AM$5,Demand_previous!$D$2:$AY$2&amp;Demand_previous!$D$3:$AY$3, 0))/1000</f>
        <v>11.678281249999998</v>
      </c>
      <c r="AN125" s="103">
        <f t="array" ref="AN125">INDEX(Demand_previous!$D$4:$AY$137, MATCH('Staging Table'!$A125, Demand_previous!$B$4:$B$137, 0), MATCH(AN$4&amp;AN$5,Demand_previous!$D$2:$AY$2&amp;Demand_previous!$D$3:$AY$3, 0))/1000</f>
        <v>5.6438150000000018</v>
      </c>
      <c r="AO125" s="103">
        <f t="array" ref="AO125">INDEX(Demand_previous!$D$4:$AY$137, MATCH('Staging Table'!$A125, Demand_previous!$B$4:$B$137, 0), MATCH(AO$4&amp;AO$5,Demand_previous!$D$2:$AY$2&amp;Demand_previous!$D$3:$AY$3, 0))/1000</f>
        <v>3.5708437500000061</v>
      </c>
      <c r="AP125" s="103">
        <f t="array" ref="AP125">INDEX(Demand_previous!$D$4:$AY$137, MATCH('Staging Table'!$A125, Demand_previous!$B$4:$B$137, 0), MATCH(AP$4&amp;AP$5,Demand_previous!$D$2:$AY$2&amp;Demand_previous!$D$3:$AY$3, 0))/1000</f>
        <v>6.3234615384615349</v>
      </c>
      <c r="AQ125" s="103">
        <f t="array" ref="AQ125">INDEX(Demand_previous!$D$4:$AY$137, MATCH('Staging Table'!$A125, Demand_previous!$B$4:$B$137, 0), MATCH(AQ$4&amp;AQ$5,Demand_previous!$D$2:$AY$2&amp;Demand_previous!$D$3:$AY$3, 0))/1000</f>
        <v>8.5729230769230735</v>
      </c>
      <c r="AR125" s="103">
        <f t="array" ref="AR125">INDEX(Demand_previous!$D$4:$AY$137, MATCH('Staging Table'!$A125, Demand_previous!$B$4:$B$137, 0), MATCH(AR$4&amp;AR$5,Demand_previous!$D$2:$AY$2&amp;Demand_previous!$D$3:$AY$3, 0))/1000</f>
        <v>10.797252499999999</v>
      </c>
      <c r="AS125" s="103">
        <f t="array" ref="AS125">INDEX(Demand_previous!$D$4:$AY$137, MATCH('Staging Table'!$A125, Demand_previous!$B$4:$B$137, 0), MATCH(AS$4&amp;AS$5,Demand_previous!$D$2:$AY$2&amp;Demand_previous!$D$3:$AY$3, 0))/1000</f>
        <v>13.318853365384619</v>
      </c>
      <c r="AT125" s="103">
        <f t="array" ref="AT125">INDEX(Demand_previous!$D$4:$AY$137, MATCH('Staging Table'!$A125, Demand_previous!$B$4:$B$137, 0), MATCH(AT$4&amp;AT$5,Demand_previous!$D$2:$AY$2&amp;Demand_previous!$D$3:$AY$3, 0))/1000</f>
        <v>18.007759259259259</v>
      </c>
      <c r="AU125" s="103">
        <f t="array" ref="AU125">INDEX(Demand_previous!$D$4:$AY$137, MATCH('Staging Table'!$A125, Demand_previous!$B$4:$B$137, 0), MATCH(AU$4&amp;AU$5,Demand_previous!$D$2:$AY$2&amp;Demand_previous!$D$3:$AY$3, 0))/1000</f>
        <v>11.030294270833338</v>
      </c>
      <c r="AV125" s="102">
        <f>$F125*(VLOOKUP(AV$4, Rates_previous!$G$6:$Q$29, 10, FALSE)+VLOOKUP(AV$4, Rates_previous!$G$6:$Q$29, 11, FALSE))</f>
        <v>16586.22698833725</v>
      </c>
      <c r="AW125" s="102">
        <f>$F125*(VLOOKUP(AW$4, Rates_previous!$G$6:$Q$29, 10, FALSE)+VLOOKUP(AW$4, Rates_previous!$G$6:$Q$29, 11, FALSE))</f>
        <v>21152.908767808505</v>
      </c>
      <c r="AX125" s="102">
        <f>$F125*(VLOOKUP(AX$4, Rates_previous!$G$6:$Q$29, 10, FALSE)+VLOOKUP(AX$4, Rates_previous!$G$6:$Q$29, 11, FALSE))</f>
        <v>22828.173898702502</v>
      </c>
      <c r="AY125" s="102">
        <f>$F125*(VLOOKUP(AY$4, Rates_previous!$G$6:$Q$29, 10, FALSE)+VLOOKUP(AY$4, Rates_previous!$G$6:$Q$29, 11, FALSE))</f>
        <v>23722.001638536</v>
      </c>
      <c r="AZ125" s="102">
        <f>$F125*(VLOOKUP(AZ$4, Rates_previous!$G$6:$Q$29, 10, FALSE)+VLOOKUP(AZ$4, Rates_previous!$G$6:$Q$29, 11, FALSE))</f>
        <v>20404.083350097</v>
      </c>
      <c r="BA125" s="102">
        <f>$F125*(VLOOKUP(BA$4, Rates_previous!$G$6:$Q$29, 10, FALSE)+VLOOKUP(BA$4, Rates_previous!$G$6:$Q$29, 11, FALSE))</f>
        <v>22277.219212966498</v>
      </c>
      <c r="BB125" s="102">
        <f>$F125*(VLOOKUP(BB$4, Rates_previous!$G$6:$Q$29, 10, FALSE)+VLOOKUP(BB$4, Rates_previous!$G$6:$Q$29, 11, FALSE))</f>
        <v>17584.110402111375</v>
      </c>
      <c r="BC125" s="102">
        <f>$F125*(VLOOKUP(BC$4, Rates_previous!$G$6:$Q$29, 10, FALSE)+VLOOKUP(BC$4, Rates_previous!$G$6:$Q$29, 11, FALSE))</f>
        <v>21815.445334554752</v>
      </c>
      <c r="BD125" s="102">
        <f>$F125*(VLOOKUP(BD$4, Rates_previous!$G$6:$Q$29, 10, FALSE)+VLOOKUP(BD$4, Rates_previous!$G$6:$Q$29, 11, FALSE))</f>
        <v>22288.786037835747</v>
      </c>
      <c r="BE125" s="102">
        <f>$F125*(VLOOKUP(BE$4, Rates_previous!$G$6:$Q$29, 10, FALSE)+VLOOKUP(BE$4, Rates_previous!$G$6:$Q$29, 11, FALSE))</f>
        <v>19349.87739018225</v>
      </c>
      <c r="BF125" s="102">
        <f>$F125*(VLOOKUP(BF$4, Rates_previous!$G$6:$Q$29, 10, FALSE)+VLOOKUP(BF$4, Rates_previous!$G$6:$Q$29, 11, FALSE))</f>
        <v>18706.188070182528</v>
      </c>
      <c r="BG125" s="102">
        <f>$F125*(VLOOKUP(BG$4, Rates_previous!$G$6:$Q$29, 10, FALSE)+VLOOKUP(BG$4, Rates_previous!$G$6:$Q$29, 11, FALSE))</f>
        <v>17213.315456607001</v>
      </c>
      <c r="BH125" s="103">
        <f>IF($D125=0,IF(C125=0, MAX(BJ125 - (VLOOKUP($A125,TOCA_previous!$A$2:$AJ$136,MATCH("RHWM "&amp;Init!$D$1-2,TOCA_previous!$A$2:$AJ$2,0),FALSE)*$F$2*TOCA_previous!C122),0),0), 0)</f>
        <v>19245.041118118592</v>
      </c>
      <c r="BI125" s="109">
        <f>MIN(VLOOKUP($A125,TOCA_previous!$A$2:$AJ$136,MATCH("TRL - NLSL - Existing Resource "&amp;$F$1,TOCA_previous!$A$2:$AJ$2,0),FALSE)*$F$2,(VLOOKUP($A125,TOCA_previous!$A$2:$AJ$136,MATCH("RHWM "&amp;Init!$D$1-2,TOCA_previous!$A$2:$AJ$2,0),FALSE)*$F$2))</f>
        <v>238547.08799999999</v>
      </c>
      <c r="BJ125" s="261">
        <f>SUM(L125:AI125)+(F125*RT1SC!$C$3*$F$2)</f>
        <v>257792.12911811858</v>
      </c>
      <c r="BK125" s="260">
        <f>VLOOKUP($A125,TOCA_previous!$A$2:$AJ$136,MATCH("Above RHWM Not Served with LS "&amp;$F$1,TOCA_previous!$A$2:$AJ$2,0),FALSE)*$F$2</f>
        <v>0</v>
      </c>
      <c r="BL125" s="261">
        <f t="shared" si="36"/>
        <v>19245.041118118592</v>
      </c>
      <c r="BM125" s="260">
        <f>(VLOOKUP($A125,TOCA_previous!$A$2:$AJ$136,MATCH("RHWM "&amp;Init!$D$1-2,TOCA_previous!$A$2:$AJ$2,0),FALSE)*$F$2) - $BI125</f>
        <v>0</v>
      </c>
      <c r="BN125" s="261">
        <f t="shared" si="37"/>
        <v>0</v>
      </c>
      <c r="BO125" s="260">
        <f t="shared" si="38"/>
        <v>0</v>
      </c>
      <c r="BP125" s="261">
        <f t="shared" si="39"/>
        <v>0</v>
      </c>
      <c r="BQ125" s="260">
        <f t="shared" si="9"/>
        <v>0</v>
      </c>
      <c r="BR125" s="85">
        <f>VLOOKUP($A125,TOCA_current!$A$2:$ZZ$136,MATCH(BR$4,TOCA_current!$A$2:$ZZ$2,0),FALSE)</f>
        <v>3.8417E-3</v>
      </c>
      <c r="BS125" s="85">
        <f>VLOOKUP($A125,TOCA_current!$A$2:$ZZ$136,MATCH(BS$4,TOCA_current!$A$2:$ZZ$2,0),FALSE)</f>
        <v>3.8417E-3</v>
      </c>
      <c r="BT125" s="108">
        <f t="shared" si="40"/>
        <v>0</v>
      </c>
      <c r="BU125" s="85">
        <f>VLOOKUP($A125,TOCA_current!A122:BG256,MATCH(BU$4,TOCA_current!$A$2:$BG$2,0),FALSE)</f>
        <v>0</v>
      </c>
      <c r="BV125" s="85">
        <f t="shared" si="41"/>
        <v>0</v>
      </c>
      <c r="BW125" s="85">
        <f t="shared" si="42"/>
        <v>0</v>
      </c>
      <c r="BX125" s="101">
        <f>VLOOKUP($A125,IRD!$A$4:$G$138, 7, FALSE)</f>
        <v>0</v>
      </c>
      <c r="BY125" s="102">
        <f t="array" ref="BY125">IF($BT125=0, INDEX(LS_current!$D$4:$BW$137, MATCH('Staging Table'!$A125, LS_current!$B$4:$B$137, 0), MATCH(BY$4&amp;BY$5, LS_current!$D$2:$BW$2&amp;LS_current!$D$3:$BW$3, 0)),SUM(VLOOKUP($A125, LS_current!$B$4:$BW$137, LS_current!D$147, FALSE), VLOOKUP($A125, LS_current!$B$4:$BW$137,LS_current!AZ$147, FALSE))/2)</f>
        <v>1130.7666334120477</v>
      </c>
      <c r="BZ125" s="102">
        <f t="array" ref="BZ125">IF($BT125=0, INDEX(LS_current!$D$4:$BW$137, MATCH('Staging Table'!$A125, LS_current!$B$4:$B$137, 0), MATCH(BZ$4&amp;BZ$5, LS_current!$D$2:$BW$2&amp;LS_current!$D$3:$BW$3, 0)),SUM(VLOOKUP($A125, LS_current!$B$4:$BW$137, LS_current!E$147, FALSE), VLOOKUP($A125, LS_current!$B$4:$BW$137,LS_current!BA$147, FALSE))/2)</f>
        <v>307.83746033195803</v>
      </c>
      <c r="CA125" s="102">
        <f t="array" ref="CA125">IF($BT125=0, INDEX(LS_current!$D$4:$BW$137, MATCH('Staging Table'!$A125, LS_current!$B$4:$B$137, 0), MATCH(CA$4&amp;CA$5, LS_current!$D$2:$BW$2&amp;LS_current!$D$3:$BW$3, 0)),SUM(VLOOKUP($A125, LS_current!$B$4:$BW$137, LS_current!F$147, FALSE), VLOOKUP($A125, LS_current!$B$4:$BW$137,LS_current!BB$147, FALSE))/2)</f>
        <v>-55.405465797664874</v>
      </c>
      <c r="CB125" s="102">
        <f t="array" ref="CB125">IF($BT125=0, INDEX(LS_current!$D$4:$BW$137, MATCH('Staging Table'!$A125, LS_current!$B$4:$B$137, 0), MATCH(CB$4&amp;CB$5, LS_current!$D$2:$BW$2&amp;LS_current!$D$3:$BW$3, 0)),SUM(VLOOKUP($A125, LS_current!$B$4:$BW$137, LS_current!G$147, FALSE), VLOOKUP($A125, LS_current!$B$4:$BW$137,LS_current!BC$147, FALSE))/2)</f>
        <v>153.53978111564265</v>
      </c>
      <c r="CC125" s="102">
        <f t="array" ref="CC125">IF($BT125=0, INDEX(LS_current!$D$4:$BW$137, MATCH('Staging Table'!$A125, LS_current!$B$4:$B$137, 0), MATCH(CC$4&amp;CC$5, LS_current!$D$2:$BW$2&amp;LS_current!$D$3:$BW$3, 0)),SUM(VLOOKUP($A125, LS_current!$B$4:$BW$137, LS_current!H$147, FALSE), VLOOKUP($A125, LS_current!$B$4:$BW$137,LS_current!BD$147, FALSE))/2)</f>
        <v>980.07092974412262</v>
      </c>
      <c r="CD125" s="102">
        <f t="array" ref="CD125">IF($BT125=0, INDEX(LS_current!$D$4:$BW$137, MATCH('Staging Table'!$A125, LS_current!$B$4:$B$137, 0), MATCH(CD$4&amp;CD$5, LS_current!$D$2:$BW$2&amp;LS_current!$D$3:$BW$3, 0)),SUM(VLOOKUP($A125, LS_current!$B$4:$BW$137, LS_current!I$147, FALSE), VLOOKUP($A125, LS_current!$B$4:$BW$137,LS_current!BE$147, FALSE))/2)</f>
        <v>2230.8797834314064</v>
      </c>
      <c r="CE125" s="102">
        <f t="array" ref="CE125">IF($BT125=0, INDEX(LS_current!$D$4:$BW$137, MATCH('Staging Table'!$A125, LS_current!$B$4:$B$137, 0), MATCH(CE$4&amp;CE$5, LS_current!$D$2:$BW$2&amp;LS_current!$D$3:$BW$3, 0)),SUM(VLOOKUP($A125, LS_current!$B$4:$BW$137, LS_current!J$147, FALSE), VLOOKUP($A125, LS_current!$B$4:$BW$137,LS_current!BF$147, FALSE))/2)</f>
        <v>103.08175686355207</v>
      </c>
      <c r="CF125" s="102">
        <f t="array" ref="CF125">IF($BT125=0, INDEX(LS_current!$D$4:$BW$137, MATCH('Staging Table'!$A125, LS_current!$B$4:$B$137, 0), MATCH(CF$4&amp;CF$5, LS_current!$D$2:$BW$2&amp;LS_current!$D$3:$BW$3, 0)),SUM(VLOOKUP($A125, LS_current!$B$4:$BW$137, LS_current!K$147, FALSE), VLOOKUP($A125, LS_current!$B$4:$BW$137,LS_current!BG$147, FALSE))/2)</f>
        <v>1336.8570360027261</v>
      </c>
      <c r="CG125" s="102">
        <f t="array" ref="CG125">IF($BT125=0, INDEX(LS_current!$D$4:$BW$137, MATCH('Staging Table'!$A125, LS_current!$B$4:$B$137, 0), MATCH(CG$4&amp;CG$5, LS_current!$D$2:$BW$2&amp;LS_current!$D$3:$BW$3, 0)),SUM(VLOOKUP($A125, LS_current!$B$4:$BW$137, LS_current!L$147, FALSE), VLOOKUP($A125, LS_current!$B$4:$BW$137,LS_current!BH$147, FALSE))/2)</f>
        <v>761.0861069074399</v>
      </c>
      <c r="CH125" s="102">
        <f t="array" ref="CH125">IF($BT125=0, INDEX(LS_current!$D$4:$BW$137, MATCH('Staging Table'!$A125, LS_current!$B$4:$B$137, 0), MATCH(CH$4&amp;CH$5, LS_current!$D$2:$BW$2&amp;LS_current!$D$3:$BW$3, 0)),SUM(VLOOKUP($A125, LS_current!$B$4:$BW$137, LS_current!M$147, FALSE), VLOOKUP($A125, LS_current!$B$4:$BW$137,LS_current!BI$147, FALSE))/2)</f>
        <v>1020.3432501149764</v>
      </c>
      <c r="CI125" s="102">
        <f t="array" ref="CI125">IF($BT125=0, INDEX(LS_current!$D$4:$BW$137, MATCH('Staging Table'!$A125, LS_current!$B$4:$B$137, 0), MATCH(CI$4&amp;CI$5, LS_current!$D$2:$BW$2&amp;LS_current!$D$3:$BW$3, 0)),SUM(VLOOKUP($A125, LS_current!$B$4:$BW$137, LS_current!N$147, FALSE), VLOOKUP($A125, LS_current!$B$4:$BW$137,LS_current!BJ$147, FALSE))/2)</f>
        <v>-976.63308465866976</v>
      </c>
      <c r="CJ125" s="102">
        <f t="array" ref="CJ125">IF($BT125=0, INDEX(LS_current!$D$4:$BW$137, MATCH('Staging Table'!$A125, LS_current!$B$4:$B$137, 0), MATCH(CJ$4&amp;CJ$5, LS_current!$D$2:$BW$2&amp;LS_current!$D$3:$BW$3, 0)),SUM(VLOOKUP($A125, LS_current!$B$4:$BW$137, LS_current!O$147, FALSE), VLOOKUP($A125, LS_current!$B$4:$BW$137,LS_current!BK$147, FALSE))/2)</f>
        <v>526.53359309576717</v>
      </c>
      <c r="CK125" s="102">
        <f t="array" ref="CK125">IF($BT125=0, INDEX(LS_current!$D$4:$BW$137, MATCH('Staging Table'!$A125, LS_current!$B$4:$B$137, 0), MATCH(CK$4&amp;CK$5, LS_current!$D$2:$BW$2&amp;LS_current!$D$3:$BW$3, 0)),SUM(VLOOKUP($A125, LS_current!$B$4:$BW$137, LS_current!P$147, FALSE), VLOOKUP($A125, LS_current!$B$4:$BW$137,LS_current!BL$147, FALSE))/2)</f>
        <v>828.63200051806234</v>
      </c>
      <c r="CL125" s="102">
        <f t="array" ref="CL125">IF($BT125=0, INDEX(LS_current!$D$4:$BW$137, MATCH('Staging Table'!$A125, LS_current!$B$4:$B$137, 0), MATCH(CL$4&amp;CL$5, LS_current!$D$2:$BW$2&amp;LS_current!$D$3:$BW$3, 0)),SUM(VLOOKUP($A125, LS_current!$B$4:$BW$137, LS_current!Q$147, FALSE), VLOOKUP($A125, LS_current!$B$4:$BW$137,LS_current!BM$147, FALSE))/2)</f>
        <v>237.47696772812469</v>
      </c>
      <c r="CM125" s="102">
        <f t="array" ref="CM125">IF($BT125=0, INDEX(LS_current!$D$4:$BW$137, MATCH('Staging Table'!$A125, LS_current!$B$4:$B$137, 0), MATCH(CM$4&amp;CM$5, LS_current!$D$2:$BW$2&amp;LS_current!$D$3:$BW$3, 0)),SUM(VLOOKUP($A125, LS_current!$B$4:$BW$137, LS_current!R$147, FALSE), VLOOKUP($A125, LS_current!$B$4:$BW$137,LS_current!BN$147, FALSE))/2)</f>
        <v>-2907.4552744706161</v>
      </c>
      <c r="CN125" s="102">
        <f t="array" ref="CN125">IF($BT125=0, INDEX(LS_current!$D$4:$BW$137, MATCH('Staging Table'!$A125, LS_current!$B$4:$B$137, 0), MATCH(CN$4&amp;CN$5, LS_current!$D$2:$BW$2&amp;LS_current!$D$3:$BW$3, 0)),SUM(VLOOKUP($A125, LS_current!$B$4:$BW$137, LS_current!S$147, FALSE), VLOOKUP($A125, LS_current!$B$4:$BW$137,LS_current!BO$147, FALSE))/2)</f>
        <v>-2119.3337212970955</v>
      </c>
      <c r="CO125" s="102">
        <f t="array" ref="CO125">IF($BT125=0, INDEX(LS_current!$D$4:$BW$137, MATCH('Staging Table'!$A125, LS_current!$B$4:$B$137, 0), MATCH(CO$4&amp;CO$5, LS_current!$D$2:$BW$2&amp;LS_current!$D$3:$BW$3, 0)),SUM(VLOOKUP($A125, LS_current!$B$4:$BW$137, LS_current!T$147, FALSE), VLOOKUP($A125, LS_current!$B$4:$BW$137,LS_current!BP$147, FALSE))/2)</f>
        <v>-3180.0717401159418</v>
      </c>
      <c r="CP125" s="102">
        <f t="array" ref="CP125">IF($BT125=0, INDEX(LS_current!$D$4:$BW$137, MATCH('Staging Table'!$A125, LS_current!$B$4:$B$137, 0), MATCH(CP$4&amp;CP$5, LS_current!$D$2:$BW$2&amp;LS_current!$D$3:$BW$3, 0)),SUM(VLOOKUP($A125, LS_current!$B$4:$BW$137, LS_current!U$147, FALSE), VLOOKUP($A125, LS_current!$B$4:$BW$137,LS_current!BQ$147, FALSE))/2)</f>
        <v>-1534.3388292225345</v>
      </c>
      <c r="CQ125" s="102">
        <f t="array" ref="CQ125">IF($BT125=0, INDEX(LS_current!$D$4:$BW$137, MATCH('Staging Table'!$A125, LS_current!$B$4:$B$137, 0), MATCH(CQ$4&amp;CQ$5, LS_current!$D$2:$BW$2&amp;LS_current!$D$3:$BW$3, 0)),SUM(VLOOKUP($A125, LS_current!$B$4:$BW$137, LS_current!V$147, FALSE), VLOOKUP($A125, LS_current!$B$4:$BW$137,LS_current!BR$147, FALSE))/2)</f>
        <v>711.64299214796119</v>
      </c>
      <c r="CR125" s="102">
        <f t="array" ref="CR125">IF($BT125=0, INDEX(LS_current!$D$4:$BW$137, MATCH('Staging Table'!$A125, LS_current!$B$4:$B$137, 0), MATCH(CR$4&amp;CR$5, LS_current!$D$2:$BW$2&amp;LS_current!$D$3:$BW$3, 0)),SUM(VLOOKUP($A125, LS_current!$B$4:$BW$137, LS_current!W$147, FALSE), VLOOKUP($A125, LS_current!$B$4:$BW$137,LS_current!BS$147, FALSE))/2)</f>
        <v>408.24841023174849</v>
      </c>
      <c r="CS125" s="102">
        <f t="array" ref="CS125">IF($BT125=0, INDEX(LS_current!$D$4:$BW$137, MATCH('Staging Table'!$A125, LS_current!$B$4:$B$137, 0), MATCH(CS$4&amp;CS$5, LS_current!$D$2:$BW$2&amp;LS_current!$D$3:$BW$3, 0)),SUM(VLOOKUP($A125, LS_current!$B$4:$BW$137, LS_current!X$147, FALSE), VLOOKUP($A125, LS_current!$B$4:$BW$137,LS_current!BT$147, FALSE))/2)</f>
        <v>-443.2927844683436</v>
      </c>
      <c r="CT125" s="102">
        <f t="array" ref="CT125">IF($BT125=0, INDEX(LS_current!$D$4:$BW$137, MATCH('Staging Table'!$A125, LS_current!$B$4:$B$137, 0), MATCH(CT$4&amp;CT$5, LS_current!$D$2:$BW$2&amp;LS_current!$D$3:$BW$3, 0)),SUM(VLOOKUP($A125, LS_current!$B$4:$BW$137, LS_current!Y$147, FALSE), VLOOKUP($A125, LS_current!$B$4:$BW$137,LS_current!BU$147, FALSE))/2)</f>
        <v>108.31287001170858</v>
      </c>
      <c r="CU125" s="102">
        <f t="array" ref="CU125">IF($BT125=0, INDEX(LS_current!$D$4:$BW$137, MATCH('Staging Table'!$A125, LS_current!$B$4:$B$137, 0), MATCH(CU$4&amp;CU$5, LS_current!$D$2:$BW$2&amp;LS_current!$D$3:$BW$3, 0)),SUM(VLOOKUP($A125, LS_current!$B$4:$BW$137, LS_current!Z$147, FALSE), VLOOKUP($A125, LS_current!$B$4:$BW$137,LS_current!BV$147, FALSE))/2)</f>
        <v>113.67817630983154</v>
      </c>
      <c r="CV125" s="102">
        <f t="array" ref="CV125">IF($BT125=0, INDEX(LS_current!$D$4:$BW$137, MATCH('Staging Table'!$A125, LS_current!$B$4:$B$137, 0), MATCH(CV$4&amp;CV$5, LS_current!$D$2:$BW$2&amp;LS_current!$D$3:$BW$3, 0)),SUM(VLOOKUP($A125, LS_current!$B$4:$BW$137, LS_current!AA$147, FALSE), VLOOKUP($A125, LS_current!$B$4:$BW$137,LS_current!BW$147, FALSE))/2)</f>
        <v>262.45583033281218</v>
      </c>
      <c r="CW125" s="103">
        <f t="array" ref="CW125">INDEX(Demand_current!$D$4:$BW$137, MATCH($A125, Demand_current!$B$4:$B$137, 0), MATCH(CW$4&amp;CW$5,Demand_current!$D$2:$BW$2&amp;Demand_current!$D$3:$BW$3, 0))/1000</f>
        <v>3.0822615740740771</v>
      </c>
      <c r="CX125" s="103">
        <f t="array" ref="CX125">INDEX(Demand_current!$D$4:$BW$137, MATCH($A125, Demand_current!$B$4:$B$137, 0), MATCH(CX$4&amp;CX$5,Demand_current!$D$2:$BW$2&amp;Demand_current!$D$3:$BW$3, 0))/1000</f>
        <v>1.9461015625000027</v>
      </c>
      <c r="CY125" s="103">
        <f t="array" ref="CY125">INDEX(Demand_current!$D$4:$BW$137, MATCH($A125, Demand_current!$B$4:$B$137, 0), MATCH(CY$4&amp;CY$5,Demand_current!$D$2:$BW$2&amp;Demand_current!$D$3:$BW$3, 0))/1000</f>
        <v>6.0128100961538475</v>
      </c>
      <c r="CZ125" s="103">
        <f t="array" ref="CZ125">INDEX(Demand_current!$D$4:$BW$137, MATCH($A125, Demand_current!$B$4:$B$137, 0), MATCH(CZ$4&amp;CZ$5,Demand_current!$D$2:$BW$2&amp;Demand_current!$D$3:$BW$3, 0))/1000</f>
        <v>11.678281249999998</v>
      </c>
      <c r="DA125" s="103">
        <f t="array" ref="DA125">INDEX(Demand_current!$D$4:$BW$137, MATCH($A125, Demand_current!$B$4:$B$137, 0), MATCH(DA$4&amp;DA$5,Demand_current!$D$2:$BW$2&amp;Demand_current!$D$3:$BW$3, 0))/1000</f>
        <v>4.1883072916666659</v>
      </c>
      <c r="DB125" s="103">
        <f t="array" ref="DB125">INDEX(Demand_current!$D$4:$BW$137, MATCH($A125, Demand_current!$B$4:$B$137, 0), MATCH(DB$4&amp;DB$5,Demand_current!$D$2:$BW$2&amp;Demand_current!$D$3:$BW$3, 0))/1000</f>
        <v>3.5708437500000061</v>
      </c>
      <c r="DC125" s="103">
        <f t="array" ref="DC125">INDEX(Demand_current!$D$4:$BW$137, MATCH($A125, Demand_current!$B$4:$B$137, 0), MATCH(DC$4&amp;DC$5,Demand_current!$D$2:$BW$2&amp;Demand_current!$D$3:$BW$3, 0))/1000</f>
        <v>6.3234615384615349</v>
      </c>
      <c r="DD125" s="103">
        <f t="array" ref="DD125">INDEX(Demand_current!$D$4:$BW$137, MATCH($A125, Demand_current!$B$4:$B$137, 0), MATCH(DD$4&amp;DD$5,Demand_current!$D$2:$BW$2&amp;Demand_current!$D$3:$BW$3, 0))/1000</f>
        <v>7.5271599999999976</v>
      </c>
      <c r="DE125" s="103">
        <f t="array" ref="DE125">INDEX(Demand_current!$D$4:$BW$137, MATCH($A125, Demand_current!$B$4:$B$137, 0), MATCH(DE$4&amp;DE$5,Demand_current!$D$2:$BW$2&amp;Demand_current!$D$3:$BW$3, 0))/1000</f>
        <v>11.943588942307692</v>
      </c>
      <c r="DF125" s="103">
        <f t="array" ref="DF125">INDEX(Demand_current!$D$4:$BW$137, MATCH($A125, Demand_current!$B$4:$B$137, 0), MATCH(DF$4&amp;DF$5,Demand_current!$D$2:$BW$2&amp;Demand_current!$D$3:$BW$3, 0))/1000</f>
        <v>13.318853365384619</v>
      </c>
      <c r="DG125" s="103">
        <f t="array" ref="DG125">INDEX(Demand_current!$D$4:$BW$137, MATCH($A125, Demand_current!$B$4:$B$137, 0), MATCH(DG$4&amp;DG$5,Demand_current!$D$2:$BW$2&amp;Demand_current!$D$3:$BW$3, 0))/1000</f>
        <v>16.789749999999998</v>
      </c>
      <c r="DH125" s="103">
        <f t="array" ref="DH125">INDEX(Demand_current!$D$4:$BW$137, MATCH($A125, Demand_current!$B$4:$B$137, 0), MATCH(DH$4&amp;DH$5,Demand_current!$D$2:$BW$2&amp;Demand_current!$D$3:$BW$3, 0))/1000</f>
        <v>12.133522500000005</v>
      </c>
      <c r="DI125" s="102">
        <f>$BS125*(VLOOKUP(DI$4, Rates_current!$H$6:$R$41, 10, FALSE)+VLOOKUP(DI$4, Rates_current!$H$6:$R$41, 11, FALSE))</f>
        <v>15944.159906255994</v>
      </c>
      <c r="DJ125" s="102">
        <f>$BS125*(VLOOKUP(DJ$4, Rates_current!$H$6:$R$41, 10, FALSE)+VLOOKUP(DJ$4, Rates_current!$H$6:$R$41, 11, FALSE))</f>
        <v>20384.08368468202</v>
      </c>
      <c r="DK125" s="102">
        <f>$BS125*(VLOOKUP(DK$4, Rates_current!$H$6:$R$41, 10, FALSE)+VLOOKUP(DK$4, Rates_current!$H$6:$R$41, 11, FALSE))</f>
        <v>23174.99828682447</v>
      </c>
      <c r="DL125" s="102">
        <f>$BS125*(VLOOKUP(DL$4, Rates_current!$H$6:$R$41, 10, FALSE)+VLOOKUP(DL$4, Rates_current!$H$6:$R$41, 11, FALSE))</f>
        <v>24451.432207133723</v>
      </c>
      <c r="DM125" s="102">
        <f>$BS125*(VLOOKUP(DM$4, Rates_current!$H$6:$R$41, 10, FALSE)+VLOOKUP(DM$4, Rates_current!$H$6:$R$41, 11, FALSE))</f>
        <v>19485.584642977585</v>
      </c>
      <c r="DN125" s="102">
        <f>$BS125*(VLOOKUP(DN$4, Rates_current!$H$6:$R$41, 10, FALSE)+VLOOKUP(DN$4, Rates_current!$H$6:$R$41, 11, FALSE))</f>
        <v>21301.745491562902</v>
      </c>
      <c r="DO125" s="102">
        <f>$BS125*(VLOOKUP(DO$4, Rates_current!$H$6:$R$41, 10, FALSE)+VLOOKUP(DO$4, Rates_current!$H$6:$R$41, 11, FALSE))</f>
        <v>16509.067031753813</v>
      </c>
      <c r="DP125" s="102">
        <f>$BS125*(VLOOKUP(DP$4, Rates_current!$H$6:$R$41, 10, FALSE)+VLOOKUP(DP$4, Rates_current!$H$6:$R$41, 11, FALSE))</f>
        <v>21365.450995767711</v>
      </c>
      <c r="DQ125" s="102">
        <f>$BS125*(VLOOKUP(DQ$4, Rates_current!$H$6:$R$41, 10, FALSE)+VLOOKUP(DQ$4, Rates_current!$H$6:$R$41, 11, FALSE))</f>
        <v>21821.665569338478</v>
      </c>
      <c r="DR125" s="102">
        <f>$BS125*(VLOOKUP(DR$4, Rates_current!$H$6:$R$41, 10, FALSE)+VLOOKUP(DR$4, Rates_current!$H$6:$R$41, 11, FALSE))</f>
        <v>19423.16959762029</v>
      </c>
      <c r="DS125" s="102">
        <f>$BS125*(VLOOKUP(DS$4, Rates_current!$H$6:$R$41, 10, FALSE)+VLOOKUP(DS$4, Rates_current!$H$6:$R$41, 11, FALSE))</f>
        <v>19924.609914456636</v>
      </c>
      <c r="DT125" s="102">
        <f>$BS125*(VLOOKUP(DT$4, Rates_current!$H$6:$R$41, 10, FALSE)+VLOOKUP(DT$4, Rates_current!$H$6:$R$41, 11, FALSE))</f>
        <v>15473.847993357358</v>
      </c>
      <c r="DU125" s="261">
        <f>IF(D125=0,IF(C125=0,MAX(0,DW125 - (VLOOKUP($A125,TOCA_current!$A$2:$AV$136,MATCH("RHWM "&amp;Init!$D$1,TOCA_current!$A$2:$AV$2,0),FALSE)*$BS$2)), 0),0)</f>
        <v>2.8621234530874062</v>
      </c>
      <c r="DV125" s="262">
        <f>MIN(VLOOKUP($A125,TOCA_current!$A$2:$AV$136,MATCH("TRL - NLSL - Existing Resource "&amp;$BS$1,TOCA_current!$A$2:$AV$2,0),FALSE)*$BS$2, VLOOKUP($A125,TOCA_current!$A$2:$AV$136,MATCH("RHWM "&amp;Init!$D$1,TOCA_current!$A$2:$AV$2,0),FALSE)*$BS$2)</f>
        <v>239261.87999999998</v>
      </c>
      <c r="DW125" s="262">
        <f>SUM(BY125:CV125)+(BS125*RT1SC!$C$4*$BS$2)</f>
        <v>239264.74212345306</v>
      </c>
      <c r="DX125" s="262">
        <f>VLOOKUP($A125,TOCA_current!$A$2:$AV$136,MATCH("Above RHWM Not Served with LS "&amp;$BS$1,TOCA_current!$A$2:$AV$2,0),FALSE)*$BS$2</f>
        <v>18527.400000000001</v>
      </c>
      <c r="DY125" s="262">
        <f t="shared" si="43"/>
        <v>2.8621234530874062</v>
      </c>
      <c r="DZ125" s="262">
        <f>(VLOOKUP($A125,TOCA_current!$A$2:$AV$136,MATCH("RHWM "&amp;Init!$D$1,TOCA_current!$A$2:$AV$2,0),FALSE)*$BS$2) - $DV125</f>
        <v>0</v>
      </c>
      <c r="EA125" s="262">
        <f t="shared" si="44"/>
        <v>0</v>
      </c>
      <c r="EB125" s="262">
        <f t="shared" si="45"/>
        <v>0</v>
      </c>
      <c r="EC125" s="262">
        <f t="shared" si="46"/>
        <v>0</v>
      </c>
      <c r="ED125" s="262">
        <f t="shared" si="47"/>
        <v>0</v>
      </c>
    </row>
    <row r="126" spans="1:134">
      <c r="A126" s="2">
        <v>10436</v>
      </c>
      <c r="B126" s="3" t="s">
        <v>128</v>
      </c>
      <c r="C126">
        <f>VLOOKUP(A126, TOCA_current!$A$3:$D$136, 4, FALSE)</f>
        <v>0</v>
      </c>
      <c r="D126">
        <v>0</v>
      </c>
      <c r="E126" s="84">
        <f>VLOOKUP($A126,TOCA_previous!$A$2:$AJ$136,MATCH(E$4,TOCA_previous!$A$2:$AJ$2,0),FALSE)</f>
        <v>2.7726000000000001E-3</v>
      </c>
      <c r="F126" s="85">
        <f>VLOOKUP($A126,TOCA_previous!$A$2:$AJ$136,MATCH(F$4,TOCA_previous!$A$2:$AJ$2,0),FALSE)</f>
        <v>2.7726000000000001E-3</v>
      </c>
      <c r="G126" s="85">
        <f t="shared" si="33"/>
        <v>0</v>
      </c>
      <c r="H126" s="85">
        <f>VLOOKUP($A126,TOCA_previous!$A$2:$AJ$136,MATCH(H$4,TOCA_previous!$A$2:$AJ$2,0),FALSE)</f>
        <v>9.1001461988304097E-2</v>
      </c>
      <c r="I126" s="85">
        <f t="shared" si="34"/>
        <v>0</v>
      </c>
      <c r="J126" s="85">
        <f t="shared" si="35"/>
        <v>0</v>
      </c>
      <c r="K126" s="101">
        <f>VLOOKUP(A126, IRD!$A$5:$C$138, 3, FALSE)</f>
        <v>38863.257999999994</v>
      </c>
      <c r="L126" s="102">
        <f t="array" ref="L126">IF($G126=0, INDEX(LS_previous!$D$4:$AY$137, MATCH('Staging Table'!$A126, LS_previous!$B$4:$B$137, 0), MATCH(L$4&amp;L$5, LS_previous!$D$2:$AY$2&amp;LS_previous!$D$3:$AY$3, 0)),SUM(VLOOKUP($A126, LS_previous!$B$4:$AY$137, LS_previous!D$148, FALSE), VLOOKUP('Staging Table'!$A126, LS_previous!$B$4:$AY$137,LS_previous!AB$148, FALSE))/2)</f>
        <v>-927.15833421360094</v>
      </c>
      <c r="M126" s="102">
        <f t="array" ref="M126">IF($G126=0, INDEX(LS_previous!$D$4:$AY$137, MATCH('Staging Table'!$A126, LS_previous!$B$4:$B$137, 0), MATCH(M$4&amp;M$5, LS_previous!$D$2:$AY$2&amp;LS_previous!$D$3:$AY$3, 0)),SUM(VLOOKUP($A126, LS_previous!$B$4:$AY$137, LS_previous!E$148, FALSE), VLOOKUP('Staging Table'!$A126, LS_previous!$B$4:$AY$137,LS_previous!AC$148, FALSE))/2)</f>
        <v>-715.97597492129989</v>
      </c>
      <c r="N126" s="102">
        <f t="array" ref="N126">IF($G126=0, INDEX(LS_previous!$D$4:$AY$137, MATCH('Staging Table'!$A126, LS_previous!$B$4:$B$137, 0), MATCH(N$4&amp;N$5, LS_previous!$D$2:$AY$2&amp;LS_previous!$D$3:$AY$3, 0)),SUM(VLOOKUP($A126, LS_previous!$B$4:$AY$137, LS_previous!F$148, FALSE), VLOOKUP('Staging Table'!$A126, LS_previous!$B$4:$AY$137,LS_previous!AD$148, FALSE))/2)</f>
        <v>-2814.5115656128019</v>
      </c>
      <c r="O126" s="102">
        <f t="array" ref="O126">IF($G126=0, INDEX(LS_previous!$D$4:$AY$137, MATCH('Staging Table'!$A126, LS_previous!$B$4:$B$137, 0), MATCH(O$4&amp;O$5, LS_previous!$D$2:$AY$2&amp;LS_previous!$D$3:$AY$3, 0)),SUM(VLOOKUP($A126, LS_previous!$B$4:$AY$137, LS_previous!G$148, FALSE), VLOOKUP('Staging Table'!$A126, LS_previous!$B$4:$AY$137,LS_previous!AE$148, FALSE))/2)</f>
        <v>-992.42209231060042</v>
      </c>
      <c r="P126" s="102">
        <f t="array" ref="P126">IF($G126=0, INDEX(LS_previous!$D$4:$AY$137, MATCH('Staging Table'!$A126, LS_previous!$B$4:$B$137, 0), MATCH(P$4&amp;P$5, LS_previous!$D$2:$AY$2&amp;LS_previous!$D$3:$AY$3, 0)),SUM(VLOOKUP($A126, LS_previous!$B$4:$AY$137, LS_previous!H$148, FALSE), VLOOKUP('Staging Table'!$A126, LS_previous!$B$4:$AY$137,LS_previous!AF$148, FALSE))/2)</f>
        <v>-465.68675995140075</v>
      </c>
      <c r="Q126" s="102">
        <f t="array" ref="Q126">IF($G126=0, INDEX(LS_previous!$D$4:$AY$137, MATCH('Staging Table'!$A126, LS_previous!$B$4:$B$137, 0), MATCH(Q$4&amp;Q$5, LS_previous!$D$2:$AY$2&amp;LS_previous!$D$3:$AY$3, 0)),SUM(VLOOKUP($A126, LS_previous!$B$4:$AY$137, LS_previous!I$148, FALSE), VLOOKUP('Staging Table'!$A126, LS_previous!$B$4:$AY$137,LS_previous!AG$148, FALSE))/2)</f>
        <v>649.77787847040054</v>
      </c>
      <c r="R126" s="102">
        <f t="array" ref="R126">IF($G126=0, INDEX(LS_previous!$D$4:$AY$137, MATCH('Staging Table'!$A126, LS_previous!$B$4:$B$137, 0), MATCH(R$4&amp;R$5, LS_previous!$D$2:$AY$2&amp;LS_previous!$D$3:$AY$3, 0)),SUM(VLOOKUP($A126, LS_previous!$B$4:$AY$137, LS_previous!J$148, FALSE), VLOOKUP('Staging Table'!$A126, LS_previous!$B$4:$AY$137,LS_previous!AH$148, FALSE))/2)</f>
        <v>-1462.7878490089988</v>
      </c>
      <c r="S126" s="102">
        <f t="array" ref="S126">IF($G126=0, INDEX(LS_previous!$D$4:$AY$137, MATCH('Staging Table'!$A126, LS_previous!$B$4:$B$137, 0), MATCH(S$4&amp;S$5, LS_previous!$D$2:$AY$2&amp;LS_previous!$D$3:$AY$3, 0)),SUM(VLOOKUP($A126, LS_previous!$B$4:$AY$137, LS_previous!K$148, FALSE), VLOOKUP('Staging Table'!$A126, LS_previous!$B$4:$AY$137,LS_previous!AI$148, FALSE))/2)</f>
        <v>597.37150079460025</v>
      </c>
      <c r="T126" s="102">
        <f t="array" ref="T126">IF($G126=0, INDEX(LS_previous!$D$4:$AY$137, MATCH('Staging Table'!$A126, LS_previous!$B$4:$B$137, 0), MATCH(T$4&amp;T$5, LS_previous!$D$2:$AY$2&amp;LS_previous!$D$3:$AY$3, 0)),SUM(VLOOKUP($A126, LS_previous!$B$4:$AY$137, LS_previous!L$148, FALSE), VLOOKUP('Staging Table'!$A126, LS_previous!$B$4:$AY$137,LS_previous!AJ$148, FALSE))/2)</f>
        <v>-2232.5215741153988</v>
      </c>
      <c r="U126" s="102">
        <f t="array" ref="U126">IF($G126=0, INDEX(LS_previous!$D$4:$AY$137, MATCH('Staging Table'!$A126, LS_previous!$B$4:$B$137, 0), MATCH(U$4&amp;U$5, LS_previous!$D$2:$AY$2&amp;LS_previous!$D$3:$AY$3, 0)),SUM(VLOOKUP($A126, LS_previous!$B$4:$AY$137, LS_previous!M$148, FALSE), VLOOKUP('Staging Table'!$A126, LS_previous!$B$4:$AY$137,LS_previous!AK$148, FALSE))/2)</f>
        <v>-238.70117152340026</v>
      </c>
      <c r="V126" s="102">
        <f t="array" ref="V126">IF($G126=0, INDEX(LS_previous!$D$4:$AY$137, MATCH('Staging Table'!$A126, LS_previous!$B$4:$B$137, 0), MATCH(V$4&amp;V$5, LS_previous!$D$2:$AY$2&amp;LS_previous!$D$3:$AY$3, 0)),SUM(VLOOKUP($A126, LS_previous!$B$4:$AY$137, LS_previous!N$148, FALSE), VLOOKUP('Staging Table'!$A126, LS_previous!$B$4:$AY$137,LS_previous!AL$148, FALSE))/2)</f>
        <v>-2589.0777327037986</v>
      </c>
      <c r="W126" s="102">
        <f t="array" ref="W126">IF($G126=0, INDEX(LS_previous!$D$4:$AY$137, MATCH('Staging Table'!$A126, LS_previous!$B$4:$B$137, 0), MATCH(W$4&amp;W$5, LS_previous!$D$2:$AY$2&amp;LS_previous!$D$3:$AY$3, 0)),SUM(VLOOKUP($A126, LS_previous!$B$4:$AY$137, LS_previous!O$148, FALSE), VLOOKUP('Staging Table'!$A126, LS_previous!$B$4:$AY$137,LS_previous!AM$148, FALSE))/2)</f>
        <v>-1190.2240216827995</v>
      </c>
      <c r="X126" s="102">
        <f t="array" ref="X126">IF($G126=0, INDEX(LS_previous!$D$4:$AY$137, MATCH('Staging Table'!$A126, LS_previous!$B$4:$B$137, 0), MATCH(X$4&amp;X$5, LS_previous!$D$2:$AY$2&amp;LS_previous!$D$3:$AY$3, 0)),SUM(VLOOKUP($A126, LS_previous!$B$4:$AY$137, LS_previous!P$148, FALSE), VLOOKUP('Staging Table'!$A126, LS_previous!$B$4:$AY$137,LS_previous!AN$148, FALSE))/2)</f>
        <v>-1593.7188038965005</v>
      </c>
      <c r="Y126" s="102">
        <f t="array" ref="Y126">IF($G126=0, INDEX(LS_previous!$D$4:$AY$137, MATCH('Staging Table'!$A126, LS_previous!$B$4:$B$137, 0), MATCH(Y$4&amp;Y$5, LS_previous!$D$2:$AY$2&amp;LS_previous!$D$3:$AY$3, 0)),SUM(VLOOKUP($A126, LS_previous!$B$4:$AY$137, LS_previous!Q$148, FALSE), VLOOKUP('Staging Table'!$A126, LS_previous!$B$4:$AY$137,LS_previous!AO$148, FALSE))/2)</f>
        <v>-727.74384404805005</v>
      </c>
      <c r="Z126" s="102">
        <f t="array" ref="Z126">IF($G126=0, INDEX(LS_previous!$D$4:$AY$137, MATCH('Staging Table'!$A126, LS_previous!$B$4:$B$137, 0), MATCH(Z$4&amp;Z$5, LS_previous!$D$2:$AY$2&amp;LS_previous!$D$3:$AY$3, 0)),SUM(VLOOKUP($A126, LS_previous!$B$4:$AY$137, LS_previous!R$148, FALSE), VLOOKUP('Staging Table'!$A126, LS_previous!$B$4:$AY$137,LS_previous!AP$148, FALSE))/2)</f>
        <v>-1356.7703927648008</v>
      </c>
      <c r="AA126" s="102">
        <f t="array" ref="AA126">IF($G126=0, INDEX(LS_previous!$D$4:$AY$137, MATCH('Staging Table'!$A126, LS_previous!$B$4:$B$137, 0), MATCH(AA$4&amp;AA$5, LS_previous!$D$2:$AY$2&amp;LS_previous!$D$3:$AY$3, 0)),SUM(VLOOKUP($A126, LS_previous!$B$4:$AY$137, LS_previous!S$148, FALSE), VLOOKUP('Staging Table'!$A126, LS_previous!$B$4:$AY$137,LS_previous!AQ$148, FALSE))/2)</f>
        <v>134.10605114289956</v>
      </c>
      <c r="AB126" s="102">
        <f t="array" ref="AB126">IF($G126=0, INDEX(LS_previous!$D$4:$AY$137, MATCH('Staging Table'!$A126, LS_previous!$B$4:$B$137, 0), MATCH(AB$4&amp;AB$5, LS_previous!$D$2:$AY$2&amp;LS_previous!$D$3:$AY$3, 0)),SUM(VLOOKUP($A126, LS_previous!$B$4:$AY$137, LS_previous!T$148, FALSE), VLOOKUP('Staging Table'!$A126, LS_previous!$B$4:$AY$137,LS_previous!AR$148, FALSE))/2)</f>
        <v>1773.8650243724005</v>
      </c>
      <c r="AC126" s="102">
        <f t="array" ref="AC126">IF($G126=0, INDEX(LS_previous!$D$4:$AY$137, MATCH('Staging Table'!$A126, LS_previous!$B$4:$B$137, 0), MATCH(AC$4&amp;AC$5, LS_previous!$D$2:$AY$2&amp;LS_previous!$D$3:$AY$3, 0)),SUM(VLOOKUP($A126, LS_previous!$B$4:$AY$137, LS_previous!U$148, FALSE), VLOOKUP('Staging Table'!$A126, LS_previous!$B$4:$AY$137,LS_previous!AS$148, FALSE))/2)</f>
        <v>1892.941983893299</v>
      </c>
      <c r="AD126" s="102">
        <f t="array" ref="AD126">IF($G126=0, INDEX(LS_previous!$D$4:$AY$137, MATCH('Staging Table'!$A126, LS_previous!$B$4:$B$137, 0), MATCH(AD$4&amp;AD$5, LS_previous!$D$2:$AY$2&amp;LS_previous!$D$3:$AY$3, 0)),SUM(VLOOKUP($A126, LS_previous!$B$4:$AY$137, LS_previous!V$148, FALSE), VLOOKUP('Staging Table'!$A126, LS_previous!$B$4:$AY$137,LS_previous!AT$148, FALSE))/2)</f>
        <v>4577.6337311335992</v>
      </c>
      <c r="AE126" s="102">
        <f t="array" ref="AE126">IF($G126=0, INDEX(LS_previous!$D$4:$AY$137, MATCH('Staging Table'!$A126, LS_previous!$B$4:$B$137, 0), MATCH(AE$4&amp;AE$5, LS_previous!$D$2:$AY$2&amp;LS_previous!$D$3:$AY$3, 0)),SUM(VLOOKUP($A126, LS_previous!$B$4:$AY$137, LS_previous!W$148, FALSE), VLOOKUP('Staging Table'!$A126, LS_previous!$B$4:$AY$137,LS_previous!AU$148, FALSE))/2)</f>
        <v>4445.0950429935001</v>
      </c>
      <c r="AF126" s="102">
        <f t="array" ref="AF126">IF($G126=0, INDEX(LS_previous!$D$4:$AY$137, MATCH('Staging Table'!$A126, LS_previous!$B$4:$B$137, 0), MATCH(AF$4&amp;AF$5, LS_previous!$D$2:$AY$2&amp;LS_previous!$D$3:$AY$3, 0)),SUM(VLOOKUP($A126, LS_previous!$B$4:$AY$137, LS_previous!X$148, FALSE), VLOOKUP('Staging Table'!$A126, LS_previous!$B$4:$AY$137,LS_previous!AV$148, FALSE))/2)</f>
        <v>2768.6776704990971</v>
      </c>
      <c r="AG126" s="102">
        <f t="array" ref="AG126">IF($G126=0, INDEX(LS_previous!$D$4:$AY$137, MATCH('Staging Table'!$A126, LS_previous!$B$4:$B$137, 0), MATCH(AG$4&amp;AG$5, LS_previous!$D$2:$AY$2&amp;LS_previous!$D$3:$AY$3, 0)),SUM(VLOOKUP($A126, LS_previous!$B$4:$AY$137, LS_previous!Y$148, FALSE), VLOOKUP('Staging Table'!$A126, LS_previous!$B$4:$AY$137,LS_previous!AW$148, FALSE))/2)</f>
        <v>2728.0191998078908</v>
      </c>
      <c r="AH126" s="102">
        <f t="array" ref="AH126">IF($G126=0, INDEX(LS_previous!$D$4:$AY$137, MATCH('Staging Table'!$A126, LS_previous!$B$4:$B$137, 0), MATCH(AH$4&amp;AH$5, LS_previous!$D$2:$AY$2&amp;LS_previous!$D$3:$AY$3, 0)),SUM(VLOOKUP($A126, LS_previous!$B$4:$AY$137, LS_previous!Z$148, FALSE), VLOOKUP('Staging Table'!$A126, LS_previous!$B$4:$AY$137,LS_previous!AX$148, FALSE))/2)</f>
        <v>283.80914150759872</v>
      </c>
      <c r="AI126" s="102">
        <f t="array" ref="AI126">IF($G126=0, INDEX(LS_previous!$D$4:$AY$137, MATCH('Staging Table'!$A126, LS_previous!$B$4:$B$137, 0), MATCH(AI$4&amp;AI$5, LS_previous!$D$2:$AY$2&amp;LS_previous!$D$3:$AY$3, 0)),SUM(VLOOKUP($A126, LS_previous!$B$4:$AY$137, LS_previous!AA$148, FALSE), VLOOKUP('Staging Table'!$A126, LS_previous!$B$4:$AY$137,LS_previous!AY$148, FALSE))/2)</f>
        <v>597.85382224959994</v>
      </c>
      <c r="AJ126" s="103">
        <f t="array" ref="AJ126">INDEX(Demand_previous!$D$4:$AY$137, MATCH('Staging Table'!$A126, Demand_previous!$B$4:$B$137, 0), MATCH(AJ$4&amp;AJ$5,Demand_previous!$D$2:$AY$2&amp;Demand_previous!$D$3:$AY$3, 0))/1000</f>
        <v>5.2999519230769225</v>
      </c>
      <c r="AK126" s="103">
        <f t="array" ref="AK126">INDEX(Demand_previous!$D$4:$AY$137, MATCH('Staging Table'!$A126, Demand_previous!$B$4:$B$137, 0), MATCH(AK$4&amp;AK$5,Demand_previous!$D$2:$AY$2&amp;Demand_previous!$D$3:$AY$3, 0))/1000</f>
        <v>5.2044850000000009</v>
      </c>
      <c r="AL126" s="103">
        <f t="array" ref="AL126">INDEX(Demand_previous!$D$4:$AY$137, MATCH('Staging Table'!$A126, Demand_previous!$B$4:$B$137, 0), MATCH(AL$4&amp;AL$5,Demand_previous!$D$2:$AY$2&amp;Demand_previous!$D$3:$AY$3, 0))/1000</f>
        <v>3.6089700000000002</v>
      </c>
      <c r="AM126" s="103">
        <f t="array" ref="AM126">INDEX(Demand_previous!$D$4:$AY$137, MATCH('Staging Table'!$A126, Demand_previous!$B$4:$B$137, 0), MATCH(AM$4&amp;AM$5,Demand_previous!$D$2:$AY$2&amp;Demand_previous!$D$3:$AY$3, 0))/1000</f>
        <v>5.8702908653846162</v>
      </c>
      <c r="AN126" s="103">
        <f t="array" ref="AN126">INDEX(Demand_previous!$D$4:$AY$137, MATCH('Staging Table'!$A126, Demand_previous!$B$4:$B$137, 0), MATCH(AN$4&amp;AN$5,Demand_previous!$D$2:$AY$2&amp;Demand_previous!$D$3:$AY$3, 0))/1000</f>
        <v>6.0973825000000019</v>
      </c>
      <c r="AO126" s="103">
        <f t="array" ref="AO126">INDEX(Demand_previous!$D$4:$AY$137, MATCH('Staging Table'!$A126, Demand_previous!$B$4:$B$137, 0), MATCH(AO$4&amp;AO$5,Demand_previous!$D$2:$AY$2&amp;Demand_previous!$D$3:$AY$3, 0))/1000</f>
        <v>5.0203653846153804</v>
      </c>
      <c r="AP126" s="103">
        <f t="array" ref="AP126">INDEX(Demand_previous!$D$4:$AY$137, MATCH('Staging Table'!$A126, Demand_previous!$B$4:$B$137, 0), MATCH(AP$4&amp;AP$5,Demand_previous!$D$2:$AY$2&amp;Demand_previous!$D$3:$AY$3, 0))/1000</f>
        <v>7.560468750000001</v>
      </c>
      <c r="AQ126" s="103">
        <f t="array" ref="AQ126">INDEX(Demand_previous!$D$4:$AY$137, MATCH('Staging Table'!$A126, Demand_previous!$B$4:$B$137, 0), MATCH(AQ$4&amp;AQ$5,Demand_previous!$D$2:$AY$2&amp;Demand_previous!$D$3:$AY$3, 0))/1000</f>
        <v>4.1456322115384623</v>
      </c>
      <c r="AR126" s="103">
        <f t="array" ref="AR126">INDEX(Demand_previous!$D$4:$AY$137, MATCH('Staging Table'!$A126, Demand_previous!$B$4:$B$137, 0), MATCH(AR$4&amp;AR$5,Demand_previous!$D$2:$AY$2&amp;Demand_previous!$D$3:$AY$3, 0))/1000</f>
        <v>4.6031424999999944</v>
      </c>
      <c r="AS126" s="103">
        <f t="array" ref="AS126">INDEX(Demand_previous!$D$4:$AY$137, MATCH('Staging Table'!$A126, Demand_previous!$B$4:$B$137, 0), MATCH(AS$4&amp;AS$5,Demand_previous!$D$2:$AY$2&amp;Demand_previous!$D$3:$AY$3, 0))/1000</f>
        <v>7.6576009615384582</v>
      </c>
      <c r="AT126" s="103">
        <f t="array" ref="AT126">INDEX(Demand_previous!$D$4:$AY$137, MATCH('Staging Table'!$A126, Demand_previous!$B$4:$B$137, 0), MATCH(AT$4&amp;AT$5,Demand_previous!$D$2:$AY$2&amp;Demand_previous!$D$3:$AY$3, 0))/1000</f>
        <v>6.2214699074074122</v>
      </c>
      <c r="AU126" s="103">
        <f t="array" ref="AU126">INDEX(Demand_previous!$D$4:$AY$137, MATCH('Staging Table'!$A126, Demand_previous!$B$4:$B$137, 0), MATCH(AU$4&amp;AU$5,Demand_previous!$D$2:$AY$2&amp;Demand_previous!$D$3:$AY$3, 0))/1000</f>
        <v>5.2992421875000044</v>
      </c>
      <c r="AV126" s="102">
        <f>$F126*(VLOOKUP(AV$4, Rates_previous!$G$6:$Q$29, 10, FALSE)+VLOOKUP(AV$4, Rates_previous!$G$6:$Q$29, 11, FALSE))</f>
        <v>11697.055309134901</v>
      </c>
      <c r="AW126" s="102">
        <f>$F126*(VLOOKUP(AW$4, Rates_previous!$G$6:$Q$29, 10, FALSE)+VLOOKUP(AW$4, Rates_previous!$G$6:$Q$29, 11, FALSE))</f>
        <v>14917.602657923402</v>
      </c>
      <c r="AX126" s="102">
        <f>$F126*(VLOOKUP(AX$4, Rates_previous!$G$6:$Q$29, 10, FALSE)+VLOOKUP(AX$4, Rates_previous!$G$6:$Q$29, 11, FALSE))</f>
        <v>16099.044881481002</v>
      </c>
      <c r="AY126" s="102">
        <f>$F126*(VLOOKUP(AY$4, Rates_previous!$G$6:$Q$29, 10, FALSE)+VLOOKUP(AY$4, Rates_previous!$G$6:$Q$29, 11, FALSE))</f>
        <v>16729.396348214399</v>
      </c>
      <c r="AZ126" s="102">
        <f>$F126*(VLOOKUP(AZ$4, Rates_previous!$G$6:$Q$29, 10, FALSE)+VLOOKUP(AZ$4, Rates_previous!$G$6:$Q$29, 11, FALSE))</f>
        <v>14389.5107456388</v>
      </c>
      <c r="BA126" s="102">
        <f>$F126*(VLOOKUP(BA$4, Rates_previous!$G$6:$Q$29, 10, FALSE)+VLOOKUP(BA$4, Rates_previous!$G$6:$Q$29, 11, FALSE))</f>
        <v>15710.496754386601</v>
      </c>
      <c r="BB126" s="102">
        <f>$F126*(VLOOKUP(BB$4, Rates_previous!$G$6:$Q$29, 10, FALSE)+VLOOKUP(BB$4, Rates_previous!$G$6:$Q$29, 11, FALSE))</f>
        <v>12400.78964794455</v>
      </c>
      <c r="BC126" s="102">
        <f>$F126*(VLOOKUP(BC$4, Rates_previous!$G$6:$Q$29, 10, FALSE)+VLOOKUP(BC$4, Rates_previous!$G$6:$Q$29, 11, FALSE))</f>
        <v>15384.841341621901</v>
      </c>
      <c r="BD126" s="102">
        <f>$F126*(VLOOKUP(BD$4, Rates_previous!$G$6:$Q$29, 10, FALSE)+VLOOKUP(BD$4, Rates_previous!$G$6:$Q$29, 11, FALSE))</f>
        <v>15718.6539917343</v>
      </c>
      <c r="BE126" s="102">
        <f>$F126*(VLOOKUP(BE$4, Rates_previous!$G$6:$Q$29, 10, FALSE)+VLOOKUP(BE$4, Rates_previous!$G$6:$Q$29, 11, FALSE))</f>
        <v>13646.056225872901</v>
      </c>
      <c r="BF126" s="102">
        <f>$F126*(VLOOKUP(BF$4, Rates_previous!$G$6:$Q$29, 10, FALSE)+VLOOKUP(BF$4, Rates_previous!$G$6:$Q$29, 11, FALSE))</f>
        <v>13192.109129693012</v>
      </c>
      <c r="BG126" s="102">
        <f>$F126*(VLOOKUP(BG$4, Rates_previous!$G$6:$Q$29, 10, FALSE)+VLOOKUP(BG$4, Rates_previous!$G$6:$Q$29, 11, FALSE))</f>
        <v>12139.295036242802</v>
      </c>
      <c r="BH126" s="103">
        <f>IF($D126=0,IF(C126=0, MAX(BJ126 - (VLOOKUP($A126,TOCA_previous!$A$2:$AJ$136,MATCH("RHWM "&amp;Init!$D$1-2,TOCA_previous!$A$2:$AJ$2,0),FALSE)*$F$2*TOCA_previous!C123),0),0), 0)</f>
        <v>6935.5357885274279</v>
      </c>
      <c r="BI126" s="109">
        <f>MIN(VLOOKUP($A126,TOCA_previous!$A$2:$AJ$136,MATCH("TRL - NLSL - Existing Resource "&amp;$F$1,TOCA_previous!$A$2:$AJ$2,0),FALSE)*$F$2,(VLOOKUP($A126,TOCA_previous!$A$2:$AJ$136,MATCH("RHWM "&amp;Init!$D$1-2,TOCA_previous!$A$2:$AJ$2,0),FALSE)*$F$2))</f>
        <v>168231.16800000001</v>
      </c>
      <c r="BJ126" s="261">
        <f>SUM(L126:AI126)+(F126*RT1SC!$C$3*$F$2)</f>
        <v>175166.70378852743</v>
      </c>
      <c r="BK126" s="260">
        <f>VLOOKUP($A126,TOCA_previous!$A$2:$AJ$136,MATCH("Above RHWM Not Served with LS "&amp;$F$1,TOCA_previous!$A$2:$AJ$2,0),FALSE)*$F$2</f>
        <v>50472.864000000001</v>
      </c>
      <c r="BL126" s="261">
        <f t="shared" si="36"/>
        <v>6935.5357885274279</v>
      </c>
      <c r="BM126" s="260">
        <f>(VLOOKUP($A126,TOCA_previous!$A$2:$AJ$136,MATCH("RHWM "&amp;Init!$D$1-2,TOCA_previous!$A$2:$AJ$2,0),FALSE)*$F$2) - $BI126</f>
        <v>0</v>
      </c>
      <c r="BN126" s="261">
        <f t="shared" si="37"/>
        <v>0</v>
      </c>
      <c r="BO126" s="260">
        <f t="shared" si="38"/>
        <v>0</v>
      </c>
      <c r="BP126" s="261">
        <f t="shared" si="39"/>
        <v>0</v>
      </c>
      <c r="BQ126" s="260">
        <f t="shared" si="9"/>
        <v>0</v>
      </c>
      <c r="BR126" s="85">
        <f>VLOOKUP($A126,TOCA_current!$A$2:$ZZ$136,MATCH(BR$4,TOCA_current!$A$2:$ZZ$2,0),FALSE)</f>
        <v>2.7095000000000001E-3</v>
      </c>
      <c r="BS126" s="85">
        <f>VLOOKUP($A126,TOCA_current!$A$2:$ZZ$136,MATCH(BS$4,TOCA_current!$A$2:$ZZ$2,0),FALSE)</f>
        <v>2.7095000000000001E-3</v>
      </c>
      <c r="BT126" s="108">
        <f t="shared" si="40"/>
        <v>0</v>
      </c>
      <c r="BU126" s="85">
        <f>VLOOKUP($A126,TOCA_current!A123:BG257,MATCH(BU$4,TOCA_current!$A$2:$BG$2,0),FALSE)</f>
        <v>9.3602242641333114E-2</v>
      </c>
      <c r="BV126" s="85">
        <f t="shared" si="41"/>
        <v>0</v>
      </c>
      <c r="BW126" s="85">
        <f t="shared" si="42"/>
        <v>0</v>
      </c>
      <c r="BX126" s="101">
        <f>VLOOKUP($A126,IRD!$A$4:$G$138, 7, FALSE)</f>
        <v>38863.257999999994</v>
      </c>
      <c r="BY126" s="102">
        <f t="array" ref="BY126">IF($BT126=0, INDEX(LS_current!$D$4:$BW$137, MATCH('Staging Table'!$A126, LS_current!$B$4:$B$137, 0), MATCH(BY$4&amp;BY$5, LS_current!$D$2:$BW$2&amp;LS_current!$D$3:$BW$3, 0)),SUM(VLOOKUP($A126, LS_current!$B$4:$BW$137, LS_current!D$147, FALSE), VLOOKUP($A126, LS_current!$B$4:$BW$137,LS_current!AZ$147, FALSE))/2)</f>
        <v>-1272.638784514681</v>
      </c>
      <c r="BZ126" s="102">
        <f t="array" ref="BZ126">IF($BT126=0, INDEX(LS_current!$D$4:$BW$137, MATCH('Staging Table'!$A126, LS_current!$B$4:$B$137, 0), MATCH(BZ$4&amp;BZ$5, LS_current!$D$2:$BW$2&amp;LS_current!$D$3:$BW$3, 0)),SUM(VLOOKUP($A126, LS_current!$B$4:$BW$137, LS_current!E$147, FALSE), VLOOKUP($A126, LS_current!$B$4:$BW$137,LS_current!BA$147, FALSE))/2)</f>
        <v>-475.90049119675177</v>
      </c>
      <c r="CA126" s="102">
        <f t="array" ref="CA126">IF($BT126=0, INDEX(LS_current!$D$4:$BW$137, MATCH('Staging Table'!$A126, LS_current!$B$4:$B$137, 0), MATCH(CA$4&amp;CA$5, LS_current!$D$2:$BW$2&amp;LS_current!$D$3:$BW$3, 0)),SUM(VLOOKUP($A126, LS_current!$B$4:$BW$137, LS_current!F$147, FALSE), VLOOKUP($A126, LS_current!$B$4:$BW$137,LS_current!BB$147, FALSE))/2)</f>
        <v>-2644.6450459116477</v>
      </c>
      <c r="CB126" s="102">
        <f t="array" ref="CB126">IF($BT126=0, INDEX(LS_current!$D$4:$BW$137, MATCH('Staging Table'!$A126, LS_current!$B$4:$B$137, 0), MATCH(CB$4&amp;CB$5, LS_current!$D$2:$BW$2&amp;LS_current!$D$3:$BW$3, 0)),SUM(VLOOKUP($A126, LS_current!$B$4:$BW$137, LS_current!G$147, FALSE), VLOOKUP($A126, LS_current!$B$4:$BW$137,LS_current!BC$147, FALSE))/2)</f>
        <v>-1161.338517522754</v>
      </c>
      <c r="CC126" s="102">
        <f t="array" ref="CC126">IF($BT126=0, INDEX(LS_current!$D$4:$BW$137, MATCH('Staging Table'!$A126, LS_current!$B$4:$B$137, 0), MATCH(CC$4&amp;CC$5, LS_current!$D$2:$BW$2&amp;LS_current!$D$3:$BW$3, 0)),SUM(VLOOKUP($A126, LS_current!$B$4:$BW$137, LS_current!H$147, FALSE), VLOOKUP($A126, LS_current!$B$4:$BW$137,LS_current!BD$147, FALSE))/2)</f>
        <v>-1585.6695582576212</v>
      </c>
      <c r="CD126" s="102">
        <f t="array" ref="CD126">IF($BT126=0, INDEX(LS_current!$D$4:$BW$137, MATCH('Staging Table'!$A126, LS_current!$B$4:$B$137, 0), MATCH(CD$4&amp;CD$5, LS_current!$D$2:$BW$2&amp;LS_current!$D$3:$BW$3, 0)),SUM(VLOOKUP($A126, LS_current!$B$4:$BW$137, LS_current!I$147, FALSE), VLOOKUP($A126, LS_current!$B$4:$BW$137,LS_current!BE$147, FALSE))/2)</f>
        <v>966.53098362896435</v>
      </c>
      <c r="CE126" s="102">
        <f t="array" ref="CE126">IF($BT126=0, INDEX(LS_current!$D$4:$BW$137, MATCH('Staging Table'!$A126, LS_current!$B$4:$B$137, 0), MATCH(CE$4&amp;CE$5, LS_current!$D$2:$BW$2&amp;LS_current!$D$3:$BW$3, 0)),SUM(VLOOKUP($A126, LS_current!$B$4:$BW$137, LS_current!J$147, FALSE), VLOOKUP($A126, LS_current!$B$4:$BW$137,LS_current!BF$147, FALSE))/2)</f>
        <v>-2286.6276982529107</v>
      </c>
      <c r="CF126" s="102">
        <f t="array" ref="CF126">IF($BT126=0, INDEX(LS_current!$D$4:$BW$137, MATCH('Staging Table'!$A126, LS_current!$B$4:$B$137, 0), MATCH(CF$4&amp;CF$5, LS_current!$D$2:$BW$2&amp;LS_current!$D$3:$BW$3, 0)),SUM(VLOOKUP($A126, LS_current!$B$4:$BW$137, LS_current!K$147, FALSE), VLOOKUP($A126, LS_current!$B$4:$BW$137,LS_current!BG$147, FALSE))/2)</f>
        <v>348.08122808896678</v>
      </c>
      <c r="CG126" s="102">
        <f t="array" ref="CG126">IF($BT126=0, INDEX(LS_current!$D$4:$BW$137, MATCH('Staging Table'!$A126, LS_current!$B$4:$B$137, 0), MATCH(CG$4&amp;CG$5, LS_current!$D$2:$BW$2&amp;LS_current!$D$3:$BW$3, 0)),SUM(VLOOKUP($A126, LS_current!$B$4:$BW$137, LS_current!L$147, FALSE), VLOOKUP($A126, LS_current!$B$4:$BW$137,LS_current!BH$147, FALSE))/2)</f>
        <v>-2023.9259110378989</v>
      </c>
      <c r="CH126" s="102">
        <f t="array" ref="CH126">IF($BT126=0, INDEX(LS_current!$D$4:$BW$137, MATCH('Staging Table'!$A126, LS_current!$B$4:$B$137, 0), MATCH(CH$4&amp;CH$5, LS_current!$D$2:$BW$2&amp;LS_current!$D$3:$BW$3, 0)),SUM(VLOOKUP($A126, LS_current!$B$4:$BW$137, LS_current!M$147, FALSE), VLOOKUP($A126, LS_current!$B$4:$BW$137,LS_current!BI$147, FALSE))/2)</f>
        <v>-166.13420853098251</v>
      </c>
      <c r="CI126" s="102">
        <f t="array" ref="CI126">IF($BT126=0, INDEX(LS_current!$D$4:$BW$137, MATCH('Staging Table'!$A126, LS_current!$B$4:$B$137, 0), MATCH(CI$4&amp;CI$5, LS_current!$D$2:$BW$2&amp;LS_current!$D$3:$BW$3, 0)),SUM(VLOOKUP($A126, LS_current!$B$4:$BW$137, LS_current!N$147, FALSE), VLOOKUP($A126, LS_current!$B$4:$BW$137,LS_current!BJ$147, FALSE))/2)</f>
        <v>-3106.4427903226861</v>
      </c>
      <c r="CJ126" s="102">
        <f t="array" ref="CJ126">IF($BT126=0, INDEX(LS_current!$D$4:$BW$137, MATCH('Staging Table'!$A126, LS_current!$B$4:$B$137, 0), MATCH(CJ$4&amp;CJ$5, LS_current!$D$2:$BW$2&amp;LS_current!$D$3:$BW$3, 0)),SUM(VLOOKUP($A126, LS_current!$B$4:$BW$137, LS_current!O$147, FALSE), VLOOKUP($A126, LS_current!$B$4:$BW$137,LS_current!BK$147, FALSE))/2)</f>
        <v>-542.70746081344896</v>
      </c>
      <c r="CK126" s="102">
        <f t="array" ref="CK126">IF($BT126=0, INDEX(LS_current!$D$4:$BW$137, MATCH('Staging Table'!$A126, LS_current!$B$4:$B$137, 0), MATCH(CK$4&amp;CK$5, LS_current!$D$2:$BW$2&amp;LS_current!$D$3:$BW$3, 0)),SUM(VLOOKUP($A126, LS_current!$B$4:$BW$137, LS_current!P$147, FALSE), VLOOKUP($A126, LS_current!$B$4:$BW$137,LS_current!BL$147, FALSE))/2)</f>
        <v>-1526.2591139590058</v>
      </c>
      <c r="CL126" s="102">
        <f t="array" ref="CL126">IF($BT126=0, INDEX(LS_current!$D$4:$BW$137, MATCH('Staging Table'!$A126, LS_current!$B$4:$B$137, 0), MATCH(CL$4&amp;CL$5, LS_current!$D$2:$BW$2&amp;LS_current!$D$3:$BW$3, 0)),SUM(VLOOKUP($A126, LS_current!$B$4:$BW$137, LS_current!Q$147, FALSE), VLOOKUP($A126, LS_current!$B$4:$BW$137,LS_current!BM$147, FALSE))/2)</f>
        <v>-577.31965654284477</v>
      </c>
      <c r="CM126" s="102">
        <f t="array" ref="CM126">IF($BT126=0, INDEX(LS_current!$D$4:$BW$137, MATCH('Staging Table'!$A126, LS_current!$B$4:$B$137, 0), MATCH(CM$4&amp;CM$5, LS_current!$D$2:$BW$2&amp;LS_current!$D$3:$BW$3, 0)),SUM(VLOOKUP($A126, LS_current!$B$4:$BW$137, LS_current!R$147, FALSE), VLOOKUP($A126, LS_current!$B$4:$BW$137,LS_current!BN$147, FALSE))/2)</f>
        <v>-1340.3052835146264</v>
      </c>
      <c r="CN126" s="102">
        <f t="array" ref="CN126">IF($BT126=0, INDEX(LS_current!$D$4:$BW$137, MATCH('Staging Table'!$A126, LS_current!$B$4:$B$137, 0), MATCH(CN$4&amp;CN$5, LS_current!$D$2:$BW$2&amp;LS_current!$D$3:$BW$3, 0)),SUM(VLOOKUP($A126, LS_current!$B$4:$BW$137, LS_current!S$147, FALSE), VLOOKUP($A126, LS_current!$B$4:$BW$137,LS_current!BO$147, FALSE))/2)</f>
        <v>-123.54261385701193</v>
      </c>
      <c r="CO126" s="102">
        <f t="array" ref="CO126">IF($BT126=0, INDEX(LS_current!$D$4:$BW$137, MATCH('Staging Table'!$A126, LS_current!$B$4:$B$137, 0), MATCH(CO$4&amp;CO$5, LS_current!$D$2:$BW$2&amp;LS_current!$D$3:$BW$3, 0)),SUM(VLOOKUP($A126, LS_current!$B$4:$BW$137, LS_current!T$147, FALSE), VLOOKUP($A126, LS_current!$B$4:$BW$137,LS_current!BP$147, FALSE))/2)</f>
        <v>1210.1430301053842</v>
      </c>
      <c r="CP126" s="102">
        <f t="array" ref="CP126">IF($BT126=0, INDEX(LS_current!$D$4:$BW$137, MATCH('Staging Table'!$A126, LS_current!$B$4:$B$137, 0), MATCH(CP$4&amp;CP$5, LS_current!$D$2:$BW$2&amp;LS_current!$D$3:$BW$3, 0)),SUM(VLOOKUP($A126, LS_current!$B$4:$BW$137, LS_current!U$147, FALSE), VLOOKUP($A126, LS_current!$B$4:$BW$137,LS_current!BQ$147, FALSE))/2)</f>
        <v>2245.5069913896305</v>
      </c>
      <c r="CQ126" s="102">
        <f t="array" ref="CQ126">IF($BT126=0, INDEX(LS_current!$D$4:$BW$137, MATCH('Staging Table'!$A126, LS_current!$B$4:$B$137, 0), MATCH(CQ$4&amp;CQ$5, LS_current!$D$2:$BW$2&amp;LS_current!$D$3:$BW$3, 0)),SUM(VLOOKUP($A126, LS_current!$B$4:$BW$137, LS_current!V$147, FALSE), VLOOKUP($A126, LS_current!$B$4:$BW$137,LS_current!BR$147, FALSE))/2)</f>
        <v>4089.3475776674113</v>
      </c>
      <c r="CR126" s="102">
        <f t="array" ref="CR126">IF($BT126=0, INDEX(LS_current!$D$4:$BW$137, MATCH('Staging Table'!$A126, LS_current!$B$4:$B$137, 0), MATCH(CR$4&amp;CR$5, LS_current!$D$2:$BW$2&amp;LS_current!$D$3:$BW$3, 0)),SUM(VLOOKUP($A126, LS_current!$B$4:$BW$137, LS_current!W$147, FALSE), VLOOKUP($A126, LS_current!$B$4:$BW$137,LS_current!BS$147, FALSE))/2)</f>
        <v>4323.2778055087383</v>
      </c>
      <c r="CS126" s="102">
        <f t="array" ref="CS126">IF($BT126=0, INDEX(LS_current!$D$4:$BW$137, MATCH('Staging Table'!$A126, LS_current!$B$4:$B$137, 0), MATCH(CS$4&amp;CS$5, LS_current!$D$2:$BW$2&amp;LS_current!$D$3:$BW$3, 0)),SUM(VLOOKUP($A126, LS_current!$B$4:$BW$137, LS_current!X$147, FALSE), VLOOKUP($A126, LS_current!$B$4:$BW$137,LS_current!BT$147, FALSE))/2)</f>
        <v>1576.6300023903532</v>
      </c>
      <c r="CT126" s="102">
        <f t="array" ref="CT126">IF($BT126=0, INDEX(LS_current!$D$4:$BW$137, MATCH('Staging Table'!$A126, LS_current!$B$4:$B$137, 0), MATCH(CT$4&amp;CT$5, LS_current!$D$2:$BW$2&amp;LS_current!$D$3:$BW$3, 0)),SUM(VLOOKUP($A126, LS_current!$B$4:$BW$137, LS_current!Y$147, FALSE), VLOOKUP($A126, LS_current!$B$4:$BW$137,LS_current!BU$147, FALSE))/2)</f>
        <v>2502.3571834335644</v>
      </c>
      <c r="CU126" s="102">
        <f t="array" ref="CU126">IF($BT126=0, INDEX(LS_current!$D$4:$BW$137, MATCH('Staging Table'!$A126, LS_current!$B$4:$B$137, 0), MATCH(CU$4&amp;CU$5, LS_current!$D$2:$BW$2&amp;LS_current!$D$3:$BW$3, 0)),SUM(VLOOKUP($A126, LS_current!$B$4:$BW$137, LS_current!Z$147, FALSE), VLOOKUP($A126, LS_current!$B$4:$BW$137,LS_current!BV$147, FALSE))/2)</f>
        <v>349.61394979084344</v>
      </c>
      <c r="CV126" s="102">
        <f t="array" ref="CV126">IF($BT126=0, INDEX(LS_current!$D$4:$BW$137, MATCH('Staging Table'!$A126, LS_current!$B$4:$B$137, 0), MATCH(CV$4&amp;CV$5, LS_current!$D$2:$BW$2&amp;LS_current!$D$3:$BW$3, 0)),SUM(VLOOKUP($A126, LS_current!$B$4:$BW$137, LS_current!AA$147, FALSE), VLOOKUP($A126, LS_current!$B$4:$BW$137,LS_current!BW$147, FALSE))/2)</f>
        <v>1218.5645218748878</v>
      </c>
      <c r="CW126" s="103">
        <f t="array" ref="CW126">INDEX(Demand_current!$D$4:$BW$137, MATCH($A126, Demand_current!$B$4:$B$137, 0), MATCH(CW$4&amp;CW$5,Demand_current!$D$2:$BW$2&amp;Demand_current!$D$3:$BW$3, 0))/1000</f>
        <v>6.0602870370370363</v>
      </c>
      <c r="CX126" s="103">
        <f t="array" ref="CX126">INDEX(Demand_current!$D$4:$BW$137, MATCH($A126, Demand_current!$B$4:$B$137, 0), MATCH(CX$4&amp;CX$5,Demand_current!$D$2:$BW$2&amp;Demand_current!$D$3:$BW$3, 0))/1000</f>
        <v>4.3154218750000011</v>
      </c>
      <c r="CY126" s="103">
        <f t="array" ref="CY126">INDEX(Demand_current!$D$4:$BW$137, MATCH($A126, Demand_current!$B$4:$B$137, 0), MATCH(CY$4&amp;CY$5,Demand_current!$D$2:$BW$2&amp;Demand_current!$D$3:$BW$3, 0))/1000</f>
        <v>4.7237403846153834</v>
      </c>
      <c r="CZ126" s="103">
        <f t="array" ref="CZ126">INDEX(Demand_current!$D$4:$BW$137, MATCH($A126, Demand_current!$B$4:$B$137, 0), MATCH(CZ$4&amp;CZ$5,Demand_current!$D$2:$BW$2&amp;Demand_current!$D$3:$BW$3, 0))/1000</f>
        <v>5.8702908653846162</v>
      </c>
      <c r="DA126" s="103">
        <f t="array" ref="DA126">INDEX(Demand_current!$D$4:$BW$137, MATCH($A126, Demand_current!$B$4:$B$137, 0), MATCH(DA$4&amp;DA$5,Demand_current!$D$2:$BW$2&amp;Demand_current!$D$3:$BW$3, 0))/1000</f>
        <v>5.137440104166668</v>
      </c>
      <c r="DB126" s="103">
        <f t="array" ref="DB126">INDEX(Demand_current!$D$4:$BW$137, MATCH($A126, Demand_current!$B$4:$B$137, 0), MATCH(DB$4&amp;DB$5,Demand_current!$D$2:$BW$2&amp;Demand_current!$D$3:$BW$3, 0))/1000</f>
        <v>5.0203653846153804</v>
      </c>
      <c r="DC126" s="103">
        <f t="array" ref="DC126">INDEX(Demand_current!$D$4:$BW$137, MATCH($A126, Demand_current!$B$4:$B$137, 0), MATCH(DC$4&amp;DC$5,Demand_current!$D$2:$BW$2&amp;Demand_current!$D$3:$BW$3, 0))/1000</f>
        <v>7.560468750000001</v>
      </c>
      <c r="DD126" s="103">
        <f t="array" ref="DD126">INDEX(Demand_current!$D$4:$BW$137, MATCH($A126, Demand_current!$B$4:$B$137, 0), MATCH(DD$4&amp;DD$5,Demand_current!$D$2:$BW$2&amp;Demand_current!$D$3:$BW$3, 0))/1000</f>
        <v>3.147337499999999</v>
      </c>
      <c r="DE126" s="103">
        <f t="array" ref="DE126">INDEX(Demand_current!$D$4:$BW$137, MATCH($A126, Demand_current!$B$4:$B$137, 0), MATCH(DE$4&amp;DE$5,Demand_current!$D$2:$BW$2&amp;Demand_current!$D$3:$BW$3, 0))/1000</f>
        <v>5.943790865384611</v>
      </c>
      <c r="DF126" s="103">
        <f t="array" ref="DF126">INDEX(Demand_current!$D$4:$BW$137, MATCH($A126, Demand_current!$B$4:$B$137, 0), MATCH(DF$4&amp;DF$5,Demand_current!$D$2:$BW$2&amp;Demand_current!$D$3:$BW$3, 0))/1000</f>
        <v>7.6576009615384582</v>
      </c>
      <c r="DG126" s="103">
        <f t="array" ref="DG126">INDEX(Demand_current!$D$4:$BW$137, MATCH($A126, Demand_current!$B$4:$B$137, 0), MATCH(DG$4&amp;DG$5,Demand_current!$D$2:$BW$2&amp;Demand_current!$D$3:$BW$3, 0))/1000</f>
        <v>5.0089110576923144</v>
      </c>
      <c r="DH126" s="103">
        <f t="array" ref="DH126">INDEX(Demand_current!$D$4:$BW$137, MATCH($A126, Demand_current!$B$4:$B$137, 0), MATCH(DH$4&amp;DH$5,Demand_current!$D$2:$BW$2&amp;Demand_current!$D$3:$BW$3, 0))/1000</f>
        <v>6.313872500000004</v>
      </c>
      <c r="DI126" s="102">
        <f>$BS126*(VLOOKUP(DI$4, Rates_current!$H$6:$R$41, 10, FALSE)+VLOOKUP(DI$4, Rates_current!$H$6:$R$41, 11, FALSE))</f>
        <v>11245.204275711434</v>
      </c>
      <c r="DJ126" s="102">
        <f>$BS126*(VLOOKUP(DJ$4, Rates_current!$H$6:$R$41, 10, FALSE)+VLOOKUP(DJ$4, Rates_current!$H$6:$R$41, 11, FALSE))</f>
        <v>14376.623563434401</v>
      </c>
      <c r="DK126" s="102">
        <f>$BS126*(VLOOKUP(DK$4, Rates_current!$H$6:$R$41, 10, FALSE)+VLOOKUP(DK$4, Rates_current!$H$6:$R$41, 11, FALSE))</f>
        <v>16345.018574628655</v>
      </c>
      <c r="DL126" s="102">
        <f>$BS126*(VLOOKUP(DL$4, Rates_current!$H$6:$R$41, 10, FALSE)+VLOOKUP(DL$4, Rates_current!$H$6:$R$41, 11, FALSE))</f>
        <v>17245.270470163945</v>
      </c>
      <c r="DM126" s="102">
        <f>$BS126*(VLOOKUP(DM$4, Rates_current!$H$6:$R$41, 10, FALSE)+VLOOKUP(DM$4, Rates_current!$H$6:$R$41, 11, FALSE))</f>
        <v>13742.924119568881</v>
      </c>
      <c r="DN126" s="102">
        <f>$BS126*(VLOOKUP(DN$4, Rates_current!$H$6:$R$41, 10, FALSE)+VLOOKUP(DN$4, Rates_current!$H$6:$R$41, 11, FALSE))</f>
        <v>15023.838251136134</v>
      </c>
      <c r="DO126" s="102">
        <f>$BS126*(VLOOKUP(DO$4, Rates_current!$H$6:$R$41, 10, FALSE)+VLOOKUP(DO$4, Rates_current!$H$6:$R$41, 11, FALSE))</f>
        <v>11643.625770501851</v>
      </c>
      <c r="DP126" s="102">
        <f>$BS126*(VLOOKUP(DP$4, Rates_current!$H$6:$R$41, 10, FALSE)+VLOOKUP(DP$4, Rates_current!$H$6:$R$41, 11, FALSE))</f>
        <v>15068.768897371636</v>
      </c>
      <c r="DQ126" s="102">
        <f>$BS126*(VLOOKUP(DQ$4, Rates_current!$H$6:$R$41, 10, FALSE)+VLOOKUP(DQ$4, Rates_current!$H$6:$R$41, 11, FALSE))</f>
        <v>15390.530978504987</v>
      </c>
      <c r="DR126" s="102">
        <f>$BS126*(VLOOKUP(DR$4, Rates_current!$H$6:$R$41, 10, FALSE)+VLOOKUP(DR$4, Rates_current!$H$6:$R$41, 11, FALSE))</f>
        <v>13698.903616823849</v>
      </c>
      <c r="DS126" s="102">
        <f>$BS126*(VLOOKUP(DS$4, Rates_current!$H$6:$R$41, 10, FALSE)+VLOOKUP(DS$4, Rates_current!$H$6:$R$41, 11, FALSE))</f>
        <v>14052.562814176083</v>
      </c>
      <c r="DT126" s="102">
        <f>$BS126*(VLOOKUP(DT$4, Rates_current!$H$6:$R$41, 10, FALSE)+VLOOKUP(DT$4, Rates_current!$H$6:$R$41, 11, FALSE))</f>
        <v>10913.499528334269</v>
      </c>
      <c r="DU126" s="261">
        <f>IF(D126=0,IF(C126=0,MAX(0,DW126 - (VLOOKUP($A126,TOCA_current!$A$2:$AV$136,MATCH("RHWM "&amp;Init!$D$1,TOCA_current!$A$2:$AV$2,0),FALSE)*$BS$2)), 0),0)</f>
        <v>0</v>
      </c>
      <c r="DV126" s="262">
        <f>MIN(VLOOKUP($A126,TOCA_current!$A$2:$AV$136,MATCH("TRL - NLSL - Existing Resource "&amp;$BS$1,TOCA_current!$A$2:$AV$2,0),FALSE)*$BS$2, VLOOKUP($A126,TOCA_current!$A$2:$AV$136,MATCH("RHWM "&amp;Init!$D$1,TOCA_current!$A$2:$AV$2,0),FALSE)*$BS$2)</f>
        <v>168743.88</v>
      </c>
      <c r="DW126" s="262">
        <f>SUM(BY126:CV126)+(BS126*RT1SC!$C$4*$BS$2)</f>
        <v>168743.37696108388</v>
      </c>
      <c r="DX126" s="262">
        <f>VLOOKUP($A126,TOCA_current!$A$2:$AV$136,MATCH("Above RHWM Not Served with LS "&amp;$BS$1,TOCA_current!$A$2:$AV$2,0),FALSE)*$BS$2</f>
        <v>56896.200000000004</v>
      </c>
      <c r="DY126" s="262">
        <f t="shared" si="43"/>
        <v>-0.50303891612566076</v>
      </c>
      <c r="DZ126" s="262">
        <f>(VLOOKUP($A126,TOCA_current!$A$2:$AV$136,MATCH("RHWM "&amp;Init!$D$1,TOCA_current!$A$2:$AV$2,0),FALSE)*$BS$2) - $DV126</f>
        <v>0</v>
      </c>
      <c r="EA126" s="262">
        <f t="shared" si="44"/>
        <v>0</v>
      </c>
      <c r="EB126" s="262">
        <f t="shared" si="45"/>
        <v>0</v>
      </c>
      <c r="EC126" s="262">
        <f t="shared" si="46"/>
        <v>0</v>
      </c>
      <c r="ED126" s="262">
        <f t="shared" si="47"/>
        <v>0</v>
      </c>
    </row>
    <row r="127" spans="1:134">
      <c r="A127" s="2">
        <v>10440</v>
      </c>
      <c r="B127" s="3" t="s">
        <v>129</v>
      </c>
      <c r="C127">
        <f>VLOOKUP(A127, TOCA_current!$A$3:$D$136, 4, FALSE)</f>
        <v>0</v>
      </c>
      <c r="D127">
        <v>0</v>
      </c>
      <c r="E127" s="84">
        <f>VLOOKUP($A127,TOCA_previous!$A$2:$AJ$136,MATCH(E$4,TOCA_previous!$A$2:$AJ$2,0),FALSE)</f>
        <v>7.2460000000000005E-4</v>
      </c>
      <c r="F127" s="85">
        <f>VLOOKUP($A127,TOCA_previous!$A$2:$AJ$136,MATCH(F$4,TOCA_previous!$A$2:$AJ$2,0),FALSE)</f>
        <v>7.2460000000000005E-4</v>
      </c>
      <c r="G127" s="85">
        <f t="shared" si="33"/>
        <v>0</v>
      </c>
      <c r="H127" s="85">
        <f>VLOOKUP($A127,TOCA_previous!$A$2:$AJ$136,MATCH(H$4,TOCA_previous!$A$2:$AJ$2,0),FALSE)</f>
        <v>5.7714285714285711E-2</v>
      </c>
      <c r="I127" s="85">
        <f t="shared" si="34"/>
        <v>0</v>
      </c>
      <c r="J127" s="85">
        <f t="shared" si="35"/>
        <v>0</v>
      </c>
      <c r="K127" s="101">
        <f>VLOOKUP(A127, IRD!$A$5:$C$138, 3, FALSE)</f>
        <v>0</v>
      </c>
      <c r="L127" s="102">
        <f t="array" ref="L127">IF($G127=0, INDEX(LS_previous!$D$4:$AY$137, MATCH('Staging Table'!$A127, LS_previous!$B$4:$B$137, 0), MATCH(L$4&amp;L$5, LS_previous!$D$2:$AY$2&amp;LS_previous!$D$3:$AY$3, 0)),SUM(VLOOKUP($A127, LS_previous!$B$4:$AY$137, LS_previous!D$148, FALSE), VLOOKUP('Staging Table'!$A127, LS_previous!$B$4:$AY$137,LS_previous!AB$148, FALSE))/2)</f>
        <v>278.85705151439993</v>
      </c>
      <c r="M127" s="102">
        <f t="array" ref="M127">IF($G127=0, INDEX(LS_previous!$D$4:$AY$137, MATCH('Staging Table'!$A127, LS_previous!$B$4:$B$137, 0), MATCH(M$4&amp;M$5, LS_previous!$D$2:$AY$2&amp;LS_previous!$D$3:$AY$3, 0)),SUM(VLOOKUP($A127, LS_previous!$B$4:$AY$137, LS_previous!E$148, FALSE), VLOOKUP('Staging Table'!$A127, LS_previous!$B$4:$AY$137,LS_previous!AC$148, FALSE))/2)</f>
        <v>178.69874290269991</v>
      </c>
      <c r="N127" s="102">
        <f t="array" ref="N127">IF($G127=0, INDEX(LS_previous!$D$4:$AY$137, MATCH('Staging Table'!$A127, LS_previous!$B$4:$B$137, 0), MATCH(N$4&amp;N$5, LS_previous!$D$2:$AY$2&amp;LS_previous!$D$3:$AY$3, 0)),SUM(VLOOKUP($A127, LS_previous!$B$4:$AY$137, LS_previous!F$148, FALSE), VLOOKUP('Staging Table'!$A127, LS_previous!$B$4:$AY$137,LS_previous!AD$148, FALSE))/2)</f>
        <v>187.0114821311995</v>
      </c>
      <c r="O127" s="102">
        <f t="array" ref="O127">IF($G127=0, INDEX(LS_previous!$D$4:$AY$137, MATCH('Staging Table'!$A127, LS_previous!$B$4:$B$137, 0), MATCH(O$4&amp;O$5, LS_previous!$D$2:$AY$2&amp;LS_previous!$D$3:$AY$3, 0)),SUM(VLOOKUP($A127, LS_previous!$B$4:$AY$137, LS_previous!G$148, FALSE), VLOOKUP('Staging Table'!$A127, LS_previous!$B$4:$AY$137,LS_previous!AE$148, FALSE))/2)</f>
        <v>260.64534397739976</v>
      </c>
      <c r="P127" s="102">
        <f t="array" ref="P127">IF($G127=0, INDEX(LS_previous!$D$4:$AY$137, MATCH('Staging Table'!$A127, LS_previous!$B$4:$B$137, 0), MATCH(P$4&amp;P$5, LS_previous!$D$2:$AY$2&amp;LS_previous!$D$3:$AY$3, 0)),SUM(VLOOKUP($A127, LS_previous!$B$4:$AY$137, LS_previous!H$148, FALSE), VLOOKUP('Staging Table'!$A127, LS_previous!$B$4:$AY$137,LS_previous!AF$148, FALSE))/2)</f>
        <v>1122.6060335205998</v>
      </c>
      <c r="Q127" s="102">
        <f t="array" ref="Q127">IF($G127=0, INDEX(LS_previous!$D$4:$AY$137, MATCH('Staging Table'!$A127, LS_previous!$B$4:$B$137, 0), MATCH(Q$4&amp;Q$5, LS_previous!$D$2:$AY$2&amp;LS_previous!$D$3:$AY$3, 0)),SUM(VLOOKUP($A127, LS_previous!$B$4:$AY$137, LS_previous!I$148, FALSE), VLOOKUP('Staging Table'!$A127, LS_previous!$B$4:$AY$137,LS_previous!AG$148, FALSE))/2)</f>
        <v>939.06296787840006</v>
      </c>
      <c r="R127" s="102">
        <f t="array" ref="R127">IF($G127=0, INDEX(LS_previous!$D$4:$AY$137, MATCH('Staging Table'!$A127, LS_previous!$B$4:$B$137, 0), MATCH(R$4&amp;R$5, LS_previous!$D$2:$AY$2&amp;LS_previous!$D$3:$AY$3, 0)),SUM(VLOOKUP($A127, LS_previous!$B$4:$AY$137, LS_previous!J$148, FALSE), VLOOKUP('Staging Table'!$A127, LS_previous!$B$4:$AY$137,LS_previous!AH$148, FALSE))/2)</f>
        <v>546.20278331100008</v>
      </c>
      <c r="S127" s="102">
        <f t="array" ref="S127">IF($G127=0, INDEX(LS_previous!$D$4:$AY$137, MATCH('Staging Table'!$A127, LS_previous!$B$4:$B$137, 0), MATCH(S$4&amp;S$5, LS_previous!$D$2:$AY$2&amp;LS_previous!$D$3:$AY$3, 0)),SUM(VLOOKUP($A127, LS_previous!$B$4:$AY$137, LS_previous!K$148, FALSE), VLOOKUP('Staging Table'!$A127, LS_previous!$B$4:$AY$137,LS_previous!AI$148, FALSE))/2)</f>
        <v>778.95318418660008</v>
      </c>
      <c r="T127" s="102">
        <f t="array" ref="T127">IF($G127=0, INDEX(LS_previous!$D$4:$AY$137, MATCH('Staging Table'!$A127, LS_previous!$B$4:$B$137, 0), MATCH(T$4&amp;T$5, LS_previous!$D$2:$AY$2&amp;LS_previous!$D$3:$AY$3, 0)),SUM(VLOOKUP($A127, LS_previous!$B$4:$AY$137, LS_previous!L$148, FALSE), VLOOKUP('Staging Table'!$A127, LS_previous!$B$4:$AY$137,LS_previous!AJ$148, FALSE))/2)</f>
        <v>842.75298607659988</v>
      </c>
      <c r="U127" s="102">
        <f t="array" ref="U127">IF($G127=0, INDEX(LS_previous!$D$4:$AY$137, MATCH('Staging Table'!$A127, LS_previous!$B$4:$B$137, 0), MATCH(U$4&amp;U$5, LS_previous!$D$2:$AY$2&amp;LS_previous!$D$3:$AY$3, 0)),SUM(VLOOKUP($A127, LS_previous!$B$4:$AY$137, LS_previous!M$148, FALSE), VLOOKUP('Staging Table'!$A127, LS_previous!$B$4:$AY$137,LS_previous!AK$148, FALSE))/2)</f>
        <v>809.88304050859983</v>
      </c>
      <c r="V127" s="102">
        <f t="array" ref="V127">IF($G127=0, INDEX(LS_previous!$D$4:$AY$137, MATCH('Staging Table'!$A127, LS_previous!$B$4:$B$137, 0), MATCH(V$4&amp;V$5, LS_previous!$D$2:$AY$2&amp;LS_previous!$D$3:$AY$3, 0)),SUM(VLOOKUP($A127, LS_previous!$B$4:$AY$137, LS_previous!N$148, FALSE), VLOOKUP('Staging Table'!$A127, LS_previous!$B$4:$AY$137,LS_previous!AL$148, FALSE))/2)</f>
        <v>743.20961072020009</v>
      </c>
      <c r="W127" s="102">
        <f t="array" ref="W127">IF($G127=0, INDEX(LS_previous!$D$4:$AY$137, MATCH('Staging Table'!$A127, LS_previous!$B$4:$B$137, 0), MATCH(W$4&amp;W$5, LS_previous!$D$2:$AY$2&amp;LS_previous!$D$3:$AY$3, 0)),SUM(VLOOKUP($A127, LS_previous!$B$4:$AY$137, LS_previous!O$148, FALSE), VLOOKUP('Staging Table'!$A127, LS_previous!$B$4:$AY$137,LS_previous!AM$148, FALSE))/2)</f>
        <v>545.1677796611998</v>
      </c>
      <c r="X127" s="102">
        <f t="array" ref="X127">IF($G127=0, INDEX(LS_previous!$D$4:$AY$137, MATCH('Staging Table'!$A127, LS_previous!$B$4:$B$137, 0), MATCH(X$4&amp;X$5, LS_previous!$D$2:$AY$2&amp;LS_previous!$D$3:$AY$3, 0)),SUM(VLOOKUP($A127, LS_previous!$B$4:$AY$137, LS_previous!P$148, FALSE), VLOOKUP('Staging Table'!$A127, LS_previous!$B$4:$AY$137,LS_previous!AN$148, FALSE))/2)</f>
        <v>368.04132442349987</v>
      </c>
      <c r="Y127" s="102">
        <f t="array" ref="Y127">IF($G127=0, INDEX(LS_previous!$D$4:$AY$137, MATCH('Staging Table'!$A127, LS_previous!$B$4:$B$137, 0), MATCH(Y$4&amp;Y$5, LS_previous!$D$2:$AY$2&amp;LS_previous!$D$3:$AY$3, 0)),SUM(VLOOKUP($A127, LS_previous!$B$4:$AY$137, LS_previous!Q$148, FALSE), VLOOKUP('Staging Table'!$A127, LS_previous!$B$4:$AY$137,LS_previous!AO$148, FALSE))/2)</f>
        <v>308.9643256159502</v>
      </c>
      <c r="Z127" s="102">
        <f t="array" ref="Z127">IF($G127=0, INDEX(LS_previous!$D$4:$AY$137, MATCH('Staging Table'!$A127, LS_previous!$B$4:$B$137, 0), MATCH(Z$4&amp;Z$5, LS_previous!$D$2:$AY$2&amp;LS_previous!$D$3:$AY$3, 0)),SUM(VLOOKUP($A127, LS_previous!$B$4:$AY$137, LS_previous!R$148, FALSE), VLOOKUP('Staging Table'!$A127, LS_previous!$B$4:$AY$137,LS_previous!AP$148, FALSE))/2)</f>
        <v>-680.41348806080009</v>
      </c>
      <c r="AA127" s="102">
        <f t="array" ref="AA127">IF($G127=0, INDEX(LS_previous!$D$4:$AY$137, MATCH('Staging Table'!$A127, LS_previous!$B$4:$B$137, 0), MATCH(AA$4&amp;AA$5, LS_previous!$D$2:$AY$2&amp;LS_previous!$D$3:$AY$3, 0)),SUM(VLOOKUP($A127, LS_previous!$B$4:$AY$137, LS_previous!S$148, FALSE), VLOOKUP('Staging Table'!$A127, LS_previous!$B$4:$AY$137,LS_previous!AQ$148, FALSE))/2)</f>
        <v>-352.20031224909985</v>
      </c>
      <c r="AB127" s="102">
        <f t="array" ref="AB127">IF($G127=0, INDEX(LS_previous!$D$4:$AY$137, MATCH('Staging Table'!$A127, LS_previous!$B$4:$B$137, 0), MATCH(AB$4&amp;AB$5, LS_previous!$D$2:$AY$2&amp;LS_previous!$D$3:$AY$3, 0)),SUM(VLOOKUP($A127, LS_previous!$B$4:$AY$137, LS_previous!T$148, FALSE), VLOOKUP('Staging Table'!$A127, LS_previous!$B$4:$AY$137,LS_previous!AR$148, FALSE))/2)</f>
        <v>-910.51074317960047</v>
      </c>
      <c r="AC127" s="102">
        <f t="array" ref="AC127">IF($G127=0, INDEX(LS_previous!$D$4:$AY$137, MATCH('Staging Table'!$A127, LS_previous!$B$4:$B$137, 0), MATCH(AC$4&amp;AC$5, LS_previous!$D$2:$AY$2&amp;LS_previous!$D$3:$AY$3, 0)),SUM(VLOOKUP($A127, LS_previous!$B$4:$AY$137, LS_previous!U$148, FALSE), VLOOKUP('Staging Table'!$A127, LS_previous!$B$4:$AY$137,LS_previous!AS$148, FALSE))/2)</f>
        <v>-485.86970449070009</v>
      </c>
      <c r="AD127" s="102">
        <f t="array" ref="AD127">IF($G127=0, INDEX(LS_previous!$D$4:$AY$137, MATCH('Staging Table'!$A127, LS_previous!$B$4:$B$137, 0), MATCH(AD$4&amp;AD$5, LS_previous!$D$2:$AY$2&amp;LS_previous!$D$3:$AY$3, 0)),SUM(VLOOKUP($A127, LS_previous!$B$4:$AY$137, LS_previous!V$148, FALSE), VLOOKUP('Staging Table'!$A127, LS_previous!$B$4:$AY$137,LS_previous!AT$148, FALSE))/2)</f>
        <v>-636.06721619439986</v>
      </c>
      <c r="AE127" s="102">
        <f t="array" ref="AE127">IF($G127=0, INDEX(LS_previous!$D$4:$AY$137, MATCH('Staging Table'!$A127, LS_previous!$B$4:$B$137, 0), MATCH(AE$4&amp;AE$5, LS_previous!$D$2:$AY$2&amp;LS_previous!$D$3:$AY$3, 0)),SUM(VLOOKUP($A127, LS_previous!$B$4:$AY$137, LS_previous!W$148, FALSE), VLOOKUP('Staging Table'!$A127, LS_previous!$B$4:$AY$137,LS_previous!AU$148, FALSE))/2)</f>
        <v>-310.07401588650009</v>
      </c>
      <c r="AF127" s="102">
        <f t="array" ref="AF127">IF($G127=0, INDEX(LS_previous!$D$4:$AY$137, MATCH('Staging Table'!$A127, LS_previous!$B$4:$B$137, 0), MATCH(AF$4&amp;AF$5, LS_previous!$D$2:$AY$2&amp;LS_previous!$D$3:$AY$3, 0)),SUM(VLOOKUP($A127, LS_previous!$B$4:$AY$137, LS_previous!X$148, FALSE), VLOOKUP('Staging Table'!$A127, LS_previous!$B$4:$AY$137,LS_previous!AV$148, FALSE))/2)</f>
        <v>-465.43405826890034</v>
      </c>
      <c r="AG127" s="102">
        <f t="array" ref="AG127">IF($G127=0, INDEX(LS_previous!$D$4:$AY$137, MATCH('Staging Table'!$A127, LS_previous!$B$4:$B$137, 0), MATCH(AG$4&amp;AG$5, LS_previous!$D$2:$AY$2&amp;LS_previous!$D$3:$AY$3, 0)),SUM(VLOOKUP($A127, LS_previous!$B$4:$AY$137, LS_previous!Y$148, FALSE), VLOOKUP('Staging Table'!$A127, LS_previous!$B$4:$AY$137,LS_previous!AW$148, FALSE))/2)</f>
        <v>-314.8082126593099</v>
      </c>
      <c r="AH127" s="102">
        <f t="array" ref="AH127">IF($G127=0, INDEX(LS_previous!$D$4:$AY$137, MATCH('Staging Table'!$A127, LS_previous!$B$4:$B$137, 0), MATCH(AH$4&amp;AH$5, LS_previous!$D$2:$AY$2&amp;LS_previous!$D$3:$AY$3, 0)),SUM(VLOOKUP($A127, LS_previous!$B$4:$AY$137, LS_previous!Z$148, FALSE), VLOOKUP('Staging Table'!$A127, LS_previous!$B$4:$AY$137,LS_previous!AX$148, FALSE))/2)</f>
        <v>-290.06927334040029</v>
      </c>
      <c r="AI127" s="102">
        <f t="array" ref="AI127">IF($G127=0, INDEX(LS_previous!$D$4:$AY$137, MATCH('Staging Table'!$A127, LS_previous!$B$4:$B$137, 0), MATCH(AI$4&amp;AI$5, LS_previous!$D$2:$AY$2&amp;LS_previous!$D$3:$AY$3, 0)),SUM(VLOOKUP($A127, LS_previous!$B$4:$AY$137, LS_previous!AA$148, FALSE), VLOOKUP('Staging Table'!$A127, LS_previous!$B$4:$AY$137,LS_previous!AY$148, FALSE))/2)</f>
        <v>-263.74725275840001</v>
      </c>
      <c r="AJ127" s="103">
        <f t="array" ref="AJ127">INDEX(Demand_previous!$D$4:$AY$137, MATCH('Staging Table'!$A127, Demand_previous!$B$4:$B$137, 0), MATCH(AJ$4&amp;AJ$5,Demand_previous!$D$2:$AY$2&amp;Demand_previous!$D$3:$AY$3, 0))/1000</f>
        <v>0.5827548076923077</v>
      </c>
      <c r="AK127" s="103">
        <f t="array" ref="AK127">INDEX(Demand_previous!$D$4:$AY$137, MATCH('Staging Table'!$A127, Demand_previous!$B$4:$B$137, 0), MATCH(AK$4&amp;AK$5,Demand_previous!$D$2:$AY$2&amp;Demand_previous!$D$3:$AY$3, 0))/1000</f>
        <v>1.2418524999999998</v>
      </c>
      <c r="AL127" s="103">
        <f t="array" ref="AL127">INDEX(Demand_previous!$D$4:$AY$137, MATCH('Staging Table'!$A127, Demand_previous!$B$4:$B$137, 0), MATCH(AL$4&amp;AL$5,Demand_previous!$D$2:$AY$2&amp;Demand_previous!$D$3:$AY$3, 0))/1000</f>
        <v>1.0741249999999996</v>
      </c>
      <c r="AM127" s="103">
        <f t="array" ref="AM127">INDEX(Demand_previous!$D$4:$AY$137, MATCH('Staging Table'!$A127, Demand_previous!$B$4:$B$137, 0), MATCH(AM$4&amp;AM$5,Demand_previous!$D$2:$AY$2&amp;Demand_previous!$D$3:$AY$3, 0))/1000</f>
        <v>2.4890841346153847</v>
      </c>
      <c r="AN127" s="103">
        <f t="array" ref="AN127">INDEX(Demand_previous!$D$4:$AY$137, MATCH('Staging Table'!$A127, Demand_previous!$B$4:$B$137, 0), MATCH(AN$4&amp;AN$5,Demand_previous!$D$2:$AY$2&amp;Demand_previous!$D$3:$AY$3, 0))/1000</f>
        <v>2.7551749999999986</v>
      </c>
      <c r="AO127" s="103">
        <f t="array" ref="AO127">INDEX(Demand_previous!$D$4:$AY$137, MATCH('Staging Table'!$A127, Demand_previous!$B$4:$B$137, 0), MATCH(AO$4&amp;AO$5,Demand_previous!$D$2:$AY$2&amp;Demand_previous!$D$3:$AY$3, 0))/1000</f>
        <v>1.2962764423076911</v>
      </c>
      <c r="AP127" s="103">
        <f t="array" ref="AP127">INDEX(Demand_previous!$D$4:$AY$137, MATCH('Staging Table'!$A127, Demand_previous!$B$4:$B$137, 0), MATCH(AP$4&amp;AP$5,Demand_previous!$D$2:$AY$2&amp;Demand_previous!$D$3:$AY$3, 0))/1000</f>
        <v>1.5203221153846149</v>
      </c>
      <c r="AQ127" s="103">
        <f t="array" ref="AQ127">INDEX(Demand_previous!$D$4:$AY$137, MATCH('Staging Table'!$A127, Demand_previous!$B$4:$B$137, 0), MATCH(AQ$4&amp;AQ$5,Demand_previous!$D$2:$AY$2&amp;Demand_previous!$D$3:$AY$3, 0))/1000</f>
        <v>1.2154879807692307</v>
      </c>
      <c r="AR127" s="103">
        <f t="array" ref="AR127">INDEX(Demand_previous!$D$4:$AY$137, MATCH('Staging Table'!$A127, Demand_previous!$B$4:$B$137, 0), MATCH(AR$4&amp;AR$5,Demand_previous!$D$2:$AY$2&amp;Demand_previous!$D$3:$AY$3, 0))/1000</f>
        <v>0.41932250000000026</v>
      </c>
      <c r="AS127" s="103">
        <f t="array" ref="AS127">INDEX(Demand_previous!$D$4:$AY$137, MATCH('Staging Table'!$A127, Demand_previous!$B$4:$B$137, 0), MATCH(AS$4&amp;AS$5,Demand_previous!$D$2:$AY$2&amp;Demand_previous!$D$3:$AY$3, 0))/1000</f>
        <v>1.3177692307692306</v>
      </c>
      <c r="AT127" s="103">
        <f t="array" ref="AT127">INDEX(Demand_previous!$D$4:$AY$137, MATCH('Staging Table'!$A127, Demand_previous!$B$4:$B$137, 0), MATCH(AT$4&amp;AT$5,Demand_previous!$D$2:$AY$2&amp;Demand_previous!$D$3:$AY$3, 0))/1000</f>
        <v>2.0807708333333332</v>
      </c>
      <c r="AU127" s="103">
        <f t="array" ref="AU127">INDEX(Demand_previous!$D$4:$AY$137, MATCH('Staging Table'!$A127, Demand_previous!$B$4:$B$137, 0), MATCH(AU$4&amp;AU$5,Demand_previous!$D$2:$AY$2&amp;Demand_previous!$D$3:$AY$3, 0))/1000</f>
        <v>0</v>
      </c>
      <c r="AV127" s="102">
        <f>$F127*(VLOOKUP(AV$4, Rates_previous!$G$6:$Q$29, 10, FALSE)+VLOOKUP(AV$4, Rates_previous!$G$6:$Q$29, 11, FALSE))</f>
        <v>3056.9452055829001</v>
      </c>
      <c r="AW127" s="102">
        <f>$F127*(VLOOKUP(AW$4, Rates_previous!$G$6:$Q$29, 10, FALSE)+VLOOKUP(AW$4, Rates_previous!$G$6:$Q$29, 11, FALSE))</f>
        <v>3898.6131738914009</v>
      </c>
      <c r="AX127" s="102">
        <f>$F127*(VLOOKUP(AX$4, Rates_previous!$G$6:$Q$29, 10, FALSE)+VLOOKUP(AX$4, Rates_previous!$G$6:$Q$29, 11, FALSE))</f>
        <v>4207.3749986010007</v>
      </c>
      <c r="AY127" s="102">
        <f>$F127*(VLOOKUP(AY$4, Rates_previous!$G$6:$Q$29, 10, FALSE)+VLOOKUP(AY$4, Rates_previous!$G$6:$Q$29, 11, FALSE))</f>
        <v>4372.1130325024005</v>
      </c>
      <c r="AZ127" s="102">
        <f>$F127*(VLOOKUP(AZ$4, Rates_previous!$G$6:$Q$29, 10, FALSE)+VLOOKUP(AZ$4, Rates_previous!$G$6:$Q$29, 11, FALSE))</f>
        <v>3760.5999734147999</v>
      </c>
      <c r="BA127" s="102">
        <f>$F127*(VLOOKUP(BA$4, Rates_previous!$G$6:$Q$29, 10, FALSE)+VLOOKUP(BA$4, Rates_previous!$G$6:$Q$29, 11, FALSE))</f>
        <v>4105.8306096185997</v>
      </c>
      <c r="BB127" s="102">
        <f>$F127*(VLOOKUP(BB$4, Rates_previous!$G$6:$Q$29, 10, FALSE)+VLOOKUP(BB$4, Rates_previous!$G$6:$Q$29, 11, FALSE))</f>
        <v>3240.8613499605499</v>
      </c>
      <c r="BC127" s="102">
        <f>$F127*(VLOOKUP(BC$4, Rates_previous!$G$6:$Q$29, 10, FALSE)+VLOOKUP(BC$4, Rates_previous!$G$6:$Q$29, 11, FALSE))</f>
        <v>4020.7228003099003</v>
      </c>
      <c r="BD127" s="102">
        <f>$F127*(VLOOKUP(BD$4, Rates_previous!$G$6:$Q$29, 10, FALSE)+VLOOKUP(BD$4, Rates_previous!$G$6:$Q$29, 11, FALSE))</f>
        <v>4107.9624476703002</v>
      </c>
      <c r="BE127" s="102">
        <f>$F127*(VLOOKUP(BE$4, Rates_previous!$G$6:$Q$29, 10, FALSE)+VLOOKUP(BE$4, Rates_previous!$G$6:$Q$29, 11, FALSE))</f>
        <v>3566.3032320809002</v>
      </c>
      <c r="BF127" s="102">
        <f>$F127*(VLOOKUP(BF$4, Rates_previous!$G$6:$Q$29, 10, FALSE)+VLOOKUP(BF$4, Rates_previous!$G$6:$Q$29, 11, FALSE))</f>
        <v>3447.6672709282107</v>
      </c>
      <c r="BG127" s="102">
        <f>$F127*(VLOOKUP(BG$4, Rates_previous!$G$6:$Q$29, 10, FALSE)+VLOOKUP(BG$4, Rates_previous!$G$6:$Q$29, 11, FALSE))</f>
        <v>3172.5215260988007</v>
      </c>
      <c r="BH127" s="103">
        <f>IF($D127=0,IF(C127=0, MAX(BJ127 - (VLOOKUP($A127,TOCA_previous!$A$2:$AJ$136,MATCH("RHWM "&amp;Init!$D$1-2,TOCA_previous!$A$2:$AJ$2,0),FALSE)*$F$2*TOCA_previous!C124),0),0), 0)</f>
        <v>4194.4582060762405</v>
      </c>
      <c r="BI127" s="109">
        <f>MIN(VLOOKUP($A127,TOCA_previous!$A$2:$AJ$136,MATCH("TRL - NLSL - Existing Resource "&amp;$F$1,TOCA_previous!$A$2:$AJ$2,0),FALSE)*$F$2,(VLOOKUP($A127,TOCA_previous!$A$2:$AJ$136,MATCH("RHWM "&amp;Init!$D$1-2,TOCA_previous!$A$2:$AJ$2,0),FALSE)*$F$2))</f>
        <v>43963.92</v>
      </c>
      <c r="BJ127" s="261">
        <f>SUM(L127:AI127)+(F127*RT1SC!$C$3*$F$2)</f>
        <v>48158.378206076239</v>
      </c>
      <c r="BK127" s="260">
        <f>VLOOKUP($A127,TOCA_previous!$A$2:$AJ$136,MATCH("Above RHWM Not Served with LS "&amp;$F$1,TOCA_previous!$A$2:$AJ$2,0),FALSE)*$F$2</f>
        <v>0</v>
      </c>
      <c r="BL127" s="261">
        <f t="shared" si="36"/>
        <v>4194.4582060762405</v>
      </c>
      <c r="BM127" s="260">
        <f>(VLOOKUP($A127,TOCA_previous!$A$2:$AJ$136,MATCH("RHWM "&amp;Init!$D$1-2,TOCA_previous!$A$2:$AJ$2,0),FALSE)*$F$2) - $BI127</f>
        <v>0</v>
      </c>
      <c r="BN127" s="261">
        <f t="shared" si="37"/>
        <v>0</v>
      </c>
      <c r="BO127" s="260">
        <f t="shared" si="38"/>
        <v>0</v>
      </c>
      <c r="BP127" s="261">
        <f t="shared" si="39"/>
        <v>0</v>
      </c>
      <c r="BQ127" s="260">
        <f t="shared" si="9"/>
        <v>0</v>
      </c>
      <c r="BR127" s="85">
        <f>VLOOKUP($A127,TOCA_current!$A$2:$ZZ$136,MATCH(BR$4,TOCA_current!$A$2:$ZZ$2,0),FALSE)</f>
        <v>7.0810000000000003E-4</v>
      </c>
      <c r="BS127" s="85">
        <f>VLOOKUP($A127,TOCA_current!$A$2:$ZZ$136,MATCH(BS$4,TOCA_current!$A$2:$ZZ$2,0),FALSE)</f>
        <v>7.0810000000000003E-4</v>
      </c>
      <c r="BT127" s="108">
        <f t="shared" si="40"/>
        <v>0</v>
      </c>
      <c r="BU127" s="85">
        <f>VLOOKUP($A127,TOCA_current!A124:BG258,MATCH(BU$4,TOCA_current!$A$2:$BG$2,0),FALSE)</f>
        <v>6.0069527214938426E-2</v>
      </c>
      <c r="BV127" s="85">
        <f t="shared" si="41"/>
        <v>0</v>
      </c>
      <c r="BW127" s="85">
        <f t="shared" si="42"/>
        <v>0</v>
      </c>
      <c r="BX127" s="101">
        <f>VLOOKUP($A127,IRD!$A$4:$G$138, 7, FALSE)</f>
        <v>0</v>
      </c>
      <c r="BY127" s="102">
        <f t="array" ref="BY127">IF($BT127=0, INDEX(LS_current!$D$4:$BW$137, MATCH('Staging Table'!$A127, LS_current!$B$4:$B$137, 0), MATCH(BY$4&amp;BY$5, LS_current!$D$2:$BW$2&amp;LS_current!$D$3:$BW$3, 0)),SUM(VLOOKUP($A127, LS_current!$B$4:$BW$137, LS_current!D$147, FALSE), VLOOKUP($A127, LS_current!$B$4:$BW$137,LS_current!AZ$147, FALSE))/2)</f>
        <v>297.18114090612812</v>
      </c>
      <c r="BZ127" s="102">
        <f t="array" ref="BZ127">IF($BT127=0, INDEX(LS_current!$D$4:$BW$137, MATCH('Staging Table'!$A127, LS_current!$B$4:$B$137, 0), MATCH(BZ$4&amp;BZ$5, LS_current!$D$2:$BW$2&amp;LS_current!$D$3:$BW$3, 0)),SUM(VLOOKUP($A127, LS_current!$B$4:$BW$137, LS_current!E$147, FALSE), VLOOKUP($A127, LS_current!$B$4:$BW$137,LS_current!BA$147, FALSE))/2)</f>
        <v>278.50120338940042</v>
      </c>
      <c r="CA127" s="102">
        <f t="array" ref="CA127">IF($BT127=0, INDEX(LS_current!$D$4:$BW$137, MATCH('Staging Table'!$A127, LS_current!$B$4:$B$137, 0), MATCH(CA$4&amp;CA$5, LS_current!$D$2:$BW$2&amp;LS_current!$D$3:$BW$3, 0)),SUM(VLOOKUP($A127, LS_current!$B$4:$BW$137, LS_current!F$147, FALSE), VLOOKUP($A127, LS_current!$B$4:$BW$137,LS_current!BB$147, FALSE))/2)</f>
        <v>282.5742029488697</v>
      </c>
      <c r="CB127" s="102">
        <f t="array" ref="CB127">IF($BT127=0, INDEX(LS_current!$D$4:$BW$137, MATCH('Staging Table'!$A127, LS_current!$B$4:$B$137, 0), MATCH(CB$4&amp;CB$5, LS_current!$D$2:$BW$2&amp;LS_current!$D$3:$BW$3, 0)),SUM(VLOOKUP($A127, LS_current!$B$4:$BW$137, LS_current!G$147, FALSE), VLOOKUP($A127, LS_current!$B$4:$BW$137,LS_current!BC$147, FALSE))/2)</f>
        <v>306.51286836764643</v>
      </c>
      <c r="CC127" s="102">
        <f t="array" ref="CC127">IF($BT127=0, INDEX(LS_current!$D$4:$BW$137, MATCH('Staging Table'!$A127, LS_current!$B$4:$B$137, 0), MATCH(CC$4&amp;CC$5, LS_current!$D$2:$BW$2&amp;LS_current!$D$3:$BW$3, 0)),SUM(VLOOKUP($A127, LS_current!$B$4:$BW$137, LS_current!H$147, FALSE), VLOOKUP($A127, LS_current!$B$4:$BW$137,LS_current!BD$147, FALSE))/2)</f>
        <v>935.39915320087812</v>
      </c>
      <c r="CD127" s="102">
        <f t="array" ref="CD127">IF($BT127=0, INDEX(LS_current!$D$4:$BW$137, MATCH('Staging Table'!$A127, LS_current!$B$4:$B$137, 0), MATCH(CD$4&amp;CD$5, LS_current!$D$2:$BW$2&amp;LS_current!$D$3:$BW$3, 0)),SUM(VLOOKUP($A127, LS_current!$B$4:$BW$137, LS_current!I$147, FALSE), VLOOKUP($A127, LS_current!$B$4:$BW$137,LS_current!BE$147, FALSE))/2)</f>
        <v>1062.0420962198448</v>
      </c>
      <c r="CE127" s="102">
        <f t="array" ref="CE127">IF($BT127=0, INDEX(LS_current!$D$4:$BW$137, MATCH('Staging Table'!$A127, LS_current!$B$4:$B$137, 0), MATCH(CE$4&amp;CE$5, LS_current!$D$2:$BW$2&amp;LS_current!$D$3:$BW$3, 0)),SUM(VLOOKUP($A127, LS_current!$B$4:$BW$137, LS_current!J$147, FALSE), VLOOKUP($A127, LS_current!$B$4:$BW$137,LS_current!BF$147, FALSE))/2)</f>
        <v>412.36532853556537</v>
      </c>
      <c r="CF127" s="102">
        <f t="array" ref="CF127">IF($BT127=0, INDEX(LS_current!$D$4:$BW$137, MATCH('Staging Table'!$A127, LS_current!$B$4:$B$137, 0), MATCH(CF$4&amp;CF$5, LS_current!$D$2:$BW$2&amp;LS_current!$D$3:$BW$3, 0)),SUM(VLOOKUP($A127, LS_current!$B$4:$BW$137, LS_current!K$147, FALSE), VLOOKUP($A127, LS_current!$B$4:$BW$137,LS_current!BG$147, FALSE))/2)</f>
        <v>778.02933305399438</v>
      </c>
      <c r="CG127" s="102">
        <f t="array" ref="CG127">IF($BT127=0, INDEX(LS_current!$D$4:$BW$137, MATCH('Staging Table'!$A127, LS_current!$B$4:$B$137, 0), MATCH(CG$4&amp;CG$5, LS_current!$D$2:$BW$2&amp;LS_current!$D$3:$BW$3, 0)),SUM(VLOOKUP($A127, LS_current!$B$4:$BW$137, LS_current!L$147, FALSE), VLOOKUP($A127, LS_current!$B$4:$BW$137,LS_current!BH$147, FALSE))/2)</f>
        <v>948.43750680718358</v>
      </c>
      <c r="CH127" s="102">
        <f t="array" ref="CH127">IF($BT127=0, INDEX(LS_current!$D$4:$BW$137, MATCH('Staging Table'!$A127, LS_current!$B$4:$B$137, 0), MATCH(CH$4&amp;CH$5, LS_current!$D$2:$BW$2&amp;LS_current!$D$3:$BW$3, 0)),SUM(VLOOKUP($A127, LS_current!$B$4:$BW$137, LS_current!M$147, FALSE), VLOOKUP($A127, LS_current!$B$4:$BW$137,LS_current!BI$147, FALSE))/2)</f>
        <v>873.22640643632099</v>
      </c>
      <c r="CI127" s="102">
        <f t="array" ref="CI127">IF($BT127=0, INDEX(LS_current!$D$4:$BW$137, MATCH('Staging Table'!$A127, LS_current!$B$4:$B$137, 0), MATCH(CI$4&amp;CI$5, LS_current!$D$2:$BW$2&amp;LS_current!$D$3:$BW$3, 0)),SUM(VLOOKUP($A127, LS_current!$B$4:$BW$137, LS_current!N$147, FALSE), VLOOKUP($A127, LS_current!$B$4:$BW$137,LS_current!BJ$147, FALSE))/2)</f>
        <v>689.46349115058365</v>
      </c>
      <c r="CJ127" s="102">
        <f t="array" ref="CJ127">IF($BT127=0, INDEX(LS_current!$D$4:$BW$137, MATCH('Staging Table'!$A127, LS_current!$B$4:$B$137, 0), MATCH(CJ$4&amp;CJ$5, LS_current!$D$2:$BW$2&amp;LS_current!$D$3:$BW$3, 0)),SUM(VLOOKUP($A127, LS_current!$B$4:$BW$137, LS_current!O$147, FALSE), VLOOKUP($A127, LS_current!$B$4:$BW$137,LS_current!BK$147, FALSE))/2)</f>
        <v>778.41866805609789</v>
      </c>
      <c r="CK127" s="102">
        <f t="array" ref="CK127">IF($BT127=0, INDEX(LS_current!$D$4:$BW$137, MATCH('Staging Table'!$A127, LS_current!$B$4:$B$137, 0), MATCH(CK$4&amp;CK$5, LS_current!$D$2:$BW$2&amp;LS_current!$D$3:$BW$3, 0)),SUM(VLOOKUP($A127, LS_current!$B$4:$BW$137, LS_current!P$147, FALSE), VLOOKUP($A127, LS_current!$B$4:$BW$137,LS_current!BL$147, FALSE))/2)</f>
        <v>467.12626237520863</v>
      </c>
      <c r="CL127" s="102">
        <f t="array" ref="CL127">IF($BT127=0, INDEX(LS_current!$D$4:$BW$137, MATCH('Staging Table'!$A127, LS_current!$B$4:$B$137, 0), MATCH(CL$4&amp;CL$5, LS_current!$D$2:$BW$2&amp;LS_current!$D$3:$BW$3, 0)),SUM(VLOOKUP($A127, LS_current!$B$4:$BW$137, LS_current!Q$147, FALSE), VLOOKUP($A127, LS_current!$B$4:$BW$137,LS_current!BM$147, FALSE))/2)</f>
        <v>407.79871581546854</v>
      </c>
      <c r="CM127" s="102">
        <f t="array" ref="CM127">IF($BT127=0, INDEX(LS_current!$D$4:$BW$137, MATCH('Staging Table'!$A127, LS_current!$B$4:$B$137, 0), MATCH(CM$4&amp;CM$5, LS_current!$D$2:$BW$2&amp;LS_current!$D$3:$BW$3, 0)),SUM(VLOOKUP($A127, LS_current!$B$4:$BW$137, LS_current!R$147, FALSE), VLOOKUP($A127, LS_current!$B$4:$BW$137,LS_current!BN$147, FALSE))/2)</f>
        <v>-621.80773953006315</v>
      </c>
      <c r="CN127" s="102">
        <f t="array" ref="CN127">IF($BT127=0, INDEX(LS_current!$D$4:$BW$137, MATCH('Staging Table'!$A127, LS_current!$B$4:$B$137, 0), MATCH(CN$4&amp;CN$5, LS_current!$D$2:$BW$2&amp;LS_current!$D$3:$BW$3, 0)),SUM(VLOOKUP($A127, LS_current!$B$4:$BW$137, LS_current!S$147, FALSE), VLOOKUP($A127, LS_current!$B$4:$BW$137,LS_current!BO$147, FALSE))/2)</f>
        <v>-328.15126424511891</v>
      </c>
      <c r="CO127" s="102">
        <f t="array" ref="CO127">IF($BT127=0, INDEX(LS_current!$D$4:$BW$137, MATCH('Staging Table'!$A127, LS_current!$B$4:$B$137, 0), MATCH(CO$4&amp;CO$5, LS_current!$D$2:$BW$2&amp;LS_current!$D$3:$BW$3, 0)),SUM(VLOOKUP($A127, LS_current!$B$4:$BW$137, LS_current!T$147, FALSE), VLOOKUP($A127, LS_current!$B$4:$BW$137,LS_current!BP$147, FALSE))/2)</f>
        <v>-952.34420084236126</v>
      </c>
      <c r="CP127" s="102">
        <f t="array" ref="CP127">IF($BT127=0, INDEX(LS_current!$D$4:$BW$137, MATCH('Staging Table'!$A127, LS_current!$B$4:$B$137, 0), MATCH(CP$4&amp;CP$5, LS_current!$D$2:$BW$2&amp;LS_current!$D$3:$BW$3, 0)),SUM(VLOOKUP($A127, LS_current!$B$4:$BW$137, LS_current!U$147, FALSE), VLOOKUP($A127, LS_current!$B$4:$BW$137,LS_current!BQ$147, FALSE))/2)</f>
        <v>-358.23101852629748</v>
      </c>
      <c r="CQ127" s="102">
        <f t="array" ref="CQ127">IF($BT127=0, INDEX(LS_current!$D$4:$BW$137, MATCH('Staging Table'!$A127, LS_current!$B$4:$B$137, 0), MATCH(CQ$4&amp;CQ$5, LS_current!$D$2:$BW$2&amp;LS_current!$D$3:$BW$3, 0)),SUM(VLOOKUP($A127, LS_current!$B$4:$BW$137, LS_current!V$147, FALSE), VLOOKUP($A127, LS_current!$B$4:$BW$137,LS_current!BR$147, FALSE))/2)</f>
        <v>-682.21748605045423</v>
      </c>
      <c r="CR127" s="102">
        <f t="array" ref="CR127">IF($BT127=0, INDEX(LS_current!$D$4:$BW$137, MATCH('Staging Table'!$A127, LS_current!$B$4:$B$137, 0), MATCH(CR$4&amp;CR$5, LS_current!$D$2:$BW$2&amp;LS_current!$D$3:$BW$3, 0)),SUM(VLOOKUP($A127, LS_current!$B$4:$BW$137, LS_current!W$147, FALSE), VLOOKUP($A127, LS_current!$B$4:$BW$137,LS_current!BS$147, FALSE))/2)</f>
        <v>-277.68829437876457</v>
      </c>
      <c r="CS127" s="102">
        <f t="array" ref="CS127">IF($BT127=0, INDEX(LS_current!$D$4:$BW$137, MATCH('Staging Table'!$A127, LS_current!$B$4:$B$137, 0), MATCH(CS$4&amp;CS$5, LS_current!$D$2:$BW$2&amp;LS_current!$D$3:$BW$3, 0)),SUM(VLOOKUP($A127, LS_current!$B$4:$BW$137, LS_current!X$147, FALSE), VLOOKUP($A127, LS_current!$B$4:$BW$137,LS_current!BT$147, FALSE))/2)</f>
        <v>-719.53216346462136</v>
      </c>
      <c r="CT127" s="102">
        <f t="array" ref="CT127">IF($BT127=0, INDEX(LS_current!$D$4:$BW$137, MATCH('Staging Table'!$A127, LS_current!$B$4:$B$137, 0), MATCH(CT$4&amp;CT$5, LS_current!$D$2:$BW$2&amp;LS_current!$D$3:$BW$3, 0)),SUM(VLOOKUP($A127, LS_current!$B$4:$BW$137, LS_current!Y$147, FALSE), VLOOKUP($A127, LS_current!$B$4:$BW$137,LS_current!BU$147, FALSE))/2)</f>
        <v>-285.53581631691941</v>
      </c>
      <c r="CU127" s="102">
        <f t="array" ref="CU127">IF($BT127=0, INDEX(LS_current!$D$4:$BW$137, MATCH('Staging Table'!$A127, LS_current!$B$4:$B$137, 0), MATCH(CU$4&amp;CU$5, LS_current!$D$2:$BW$2&amp;LS_current!$D$3:$BW$3, 0)),SUM(VLOOKUP($A127, LS_current!$B$4:$BW$137, LS_current!Z$147, FALSE), VLOOKUP($A127, LS_current!$B$4:$BW$137,LS_current!BV$147, FALSE))/2)</f>
        <v>-170.52320455918198</v>
      </c>
      <c r="CV127" s="102">
        <f t="array" ref="CV127">IF($BT127=0, INDEX(LS_current!$D$4:$BW$137, MATCH('Staging Table'!$A127, LS_current!$B$4:$B$137, 0), MATCH(CV$4&amp;CV$5, LS_current!$D$2:$BW$2&amp;LS_current!$D$3:$BW$3, 0)),SUM(VLOOKUP($A127, LS_current!$B$4:$BW$137, LS_current!AA$147, FALSE), VLOOKUP($A127, LS_current!$B$4:$BW$137,LS_current!BW$147, FALSE))/2)</f>
        <v>-62.902821834431734</v>
      </c>
      <c r="CW127" s="103">
        <f t="array" ref="CW127">INDEX(Demand_current!$D$4:$BW$137, MATCH($A127, Demand_current!$B$4:$B$137, 0), MATCH(CW$4&amp;CW$5,Demand_current!$D$2:$BW$2&amp;Demand_current!$D$3:$BW$3, 0))/1000</f>
        <v>0.77224537037037022</v>
      </c>
      <c r="CX127" s="103">
        <f t="array" ref="CX127">INDEX(Demand_current!$D$4:$BW$137, MATCH($A127, Demand_current!$B$4:$B$137, 0), MATCH(CX$4&amp;CX$5,Demand_current!$D$2:$BW$2&amp;Demand_current!$D$3:$BW$3, 0))/1000</f>
        <v>0.97597135416666658</v>
      </c>
      <c r="CY127" s="103">
        <f t="array" ref="CY127">INDEX(Demand_current!$D$4:$BW$137, MATCH($A127, Demand_current!$B$4:$B$137, 0), MATCH(CY$4&amp;CY$5,Demand_current!$D$2:$BW$2&amp;Demand_current!$D$3:$BW$3, 0))/1000</f>
        <v>1.427350961538461</v>
      </c>
      <c r="CZ127" s="103">
        <f t="array" ref="CZ127">INDEX(Demand_current!$D$4:$BW$137, MATCH($A127, Demand_current!$B$4:$B$137, 0), MATCH(CZ$4&amp;CZ$5,Demand_current!$D$2:$BW$2&amp;Demand_current!$D$3:$BW$3, 0))/1000</f>
        <v>2.4890841346153847</v>
      </c>
      <c r="DA127" s="103">
        <f t="array" ref="DA127">INDEX(Demand_current!$D$4:$BW$137, MATCH($A127, Demand_current!$B$4:$B$137, 0), MATCH(DA$4&amp;DA$5,Demand_current!$D$2:$BW$2&amp;Demand_current!$D$3:$BW$3, 0))/1000</f>
        <v>2.4183072916666659</v>
      </c>
      <c r="DB127" s="103">
        <f t="array" ref="DB127">INDEX(Demand_current!$D$4:$BW$137, MATCH($A127, Demand_current!$B$4:$B$137, 0), MATCH(DB$4&amp;DB$5,Demand_current!$D$2:$BW$2&amp;Demand_current!$D$3:$BW$3, 0))/1000</f>
        <v>1.2962764423076911</v>
      </c>
      <c r="DC127" s="103">
        <f t="array" ref="DC127">INDEX(Demand_current!$D$4:$BW$137, MATCH($A127, Demand_current!$B$4:$B$137, 0), MATCH(DC$4&amp;DC$5,Demand_current!$D$2:$BW$2&amp;Demand_current!$D$3:$BW$3, 0))/1000</f>
        <v>1.5203221153846149</v>
      </c>
      <c r="DD127" s="103">
        <f t="array" ref="DD127">INDEX(Demand_current!$D$4:$BW$137, MATCH($A127, Demand_current!$B$4:$B$137, 0), MATCH(DD$4&amp;DD$5,Demand_current!$D$2:$BW$2&amp;Demand_current!$D$3:$BW$3, 0))/1000</f>
        <v>1.0459874999999998</v>
      </c>
      <c r="DE127" s="103">
        <f t="array" ref="DE127">INDEX(Demand_current!$D$4:$BW$137, MATCH($A127, Demand_current!$B$4:$B$137, 0), MATCH(DE$4&amp;DE$5,Demand_current!$D$2:$BW$2&amp;Demand_current!$D$3:$BW$3, 0))/1000</f>
        <v>0.57981009615384638</v>
      </c>
      <c r="DF127" s="103">
        <f t="array" ref="DF127">INDEX(Demand_current!$D$4:$BW$137, MATCH($A127, Demand_current!$B$4:$B$137, 0), MATCH(DF$4&amp;DF$5,Demand_current!$D$2:$BW$2&amp;Demand_current!$D$3:$BW$3, 0))/1000</f>
        <v>1.3177692307692306</v>
      </c>
      <c r="DG127" s="103">
        <f t="array" ref="DG127">INDEX(Demand_current!$D$4:$BW$137, MATCH($A127, Demand_current!$B$4:$B$137, 0), MATCH(DG$4&amp;DG$5,Demand_current!$D$2:$BW$2&amp;Demand_current!$D$3:$BW$3, 0))/1000</f>
        <v>1.9274927884615385</v>
      </c>
      <c r="DH127" s="103">
        <f t="array" ref="DH127">INDEX(Demand_current!$D$4:$BW$137, MATCH($A127, Demand_current!$B$4:$B$137, 0), MATCH(DH$4&amp;DH$5,Demand_current!$D$2:$BW$2&amp;Demand_current!$D$3:$BW$3, 0))/1000</f>
        <v>0.14921250000000019</v>
      </c>
      <c r="DI127" s="102">
        <f>$BS127*(VLOOKUP(DI$4, Rates_current!$H$6:$R$41, 10, FALSE)+VLOOKUP(DI$4, Rates_current!$H$6:$R$41, 11, FALSE))</f>
        <v>2938.8186557044719</v>
      </c>
      <c r="DJ127" s="102">
        <f>$BS127*(VLOOKUP(DJ$4, Rates_current!$H$6:$R$41, 10, FALSE)+VLOOKUP(DJ$4, Rates_current!$H$6:$R$41, 11, FALSE))</f>
        <v>3757.1829286834841</v>
      </c>
      <c r="DK127" s="102">
        <f>$BS127*(VLOOKUP(DK$4, Rates_current!$H$6:$R$41, 10, FALSE)+VLOOKUP(DK$4, Rates_current!$H$6:$R$41, 11, FALSE))</f>
        <v>4271.6027505792772</v>
      </c>
      <c r="DL127" s="102">
        <f>$BS127*(VLOOKUP(DL$4, Rates_current!$H$6:$R$41, 10, FALSE)+VLOOKUP(DL$4, Rates_current!$H$6:$R$41, 11, FALSE))</f>
        <v>4506.8743384104409</v>
      </c>
      <c r="DM127" s="102">
        <f>$BS127*(VLOOKUP(DM$4, Rates_current!$H$6:$R$41, 10, FALSE)+VLOOKUP(DM$4, Rates_current!$H$6:$R$41, 11, FALSE))</f>
        <v>3591.5720867564955</v>
      </c>
      <c r="DN127" s="102">
        <f>$BS127*(VLOOKUP(DN$4, Rates_current!$H$6:$R$41, 10, FALSE)+VLOOKUP(DN$4, Rates_current!$H$6:$R$41, 11, FALSE))</f>
        <v>3926.3258407933185</v>
      </c>
      <c r="DO127" s="102">
        <f>$BS127*(VLOOKUP(DO$4, Rates_current!$H$6:$R$41, 10, FALSE)+VLOOKUP(DO$4, Rates_current!$H$6:$R$41, 11, FALSE))</f>
        <v>3042.9420218093228</v>
      </c>
      <c r="DP127" s="102">
        <f>$BS127*(VLOOKUP(DP$4, Rates_current!$H$6:$R$41, 10, FALSE)+VLOOKUP(DP$4, Rates_current!$H$6:$R$41, 11, FALSE))</f>
        <v>3938.0680037751818</v>
      </c>
      <c r="DQ127" s="102">
        <f>$BS127*(VLOOKUP(DQ$4, Rates_current!$H$6:$R$41, 10, FALSE)+VLOOKUP(DQ$4, Rates_current!$H$6:$R$41, 11, FALSE))</f>
        <v>4022.1572193686588</v>
      </c>
      <c r="DR127" s="102">
        <f>$BS127*(VLOOKUP(DR$4, Rates_current!$H$6:$R$41, 10, FALSE)+VLOOKUP(DR$4, Rates_current!$H$6:$R$41, 11, FALSE))</f>
        <v>3580.0677804292186</v>
      </c>
      <c r="DS127" s="102">
        <f>$BS127*(VLOOKUP(DS$4, Rates_current!$H$6:$R$41, 10, FALSE)+VLOOKUP(DS$4, Rates_current!$H$6:$R$41, 11, FALSE))</f>
        <v>3672.4929797815407</v>
      </c>
      <c r="DT127" s="102">
        <f>$BS127*(VLOOKUP(DT$4, Rates_current!$H$6:$R$41, 10, FALSE)+VLOOKUP(DT$4, Rates_current!$H$6:$R$41, 11, FALSE))</f>
        <v>2852.1310263936134</v>
      </c>
      <c r="DU127" s="261">
        <f>IF(D127=0,IF(C127=0,MAX(0,DW127 - (VLOOKUP($A127,TOCA_current!$A$2:$AV$136,MATCH("RHWM "&amp;Init!$D$1,TOCA_current!$A$2:$AV$2,0),FALSE)*$BS$2)), 0),0)</f>
        <v>4060.5406032269893</v>
      </c>
      <c r="DV127" s="262">
        <f>MIN(VLOOKUP($A127,TOCA_current!$A$2:$AV$136,MATCH("TRL - NLSL - Existing Resource "&amp;$BS$1,TOCA_current!$A$2:$AV$2,0),FALSE)*$BS$2, VLOOKUP($A127,TOCA_current!$A$2:$AV$136,MATCH("RHWM "&amp;Init!$D$1,TOCA_current!$A$2:$AV$2,0),FALSE)*$BS$2)</f>
        <v>44097.84</v>
      </c>
      <c r="DW127" s="262">
        <f>SUM(BY127:CV127)+(BS127*RT1SC!$C$4*$BS$2)</f>
        <v>48158.380603226986</v>
      </c>
      <c r="DX127" s="262">
        <f>VLOOKUP($A127,TOCA_current!$A$2:$AV$136,MATCH("Above RHWM Not Served with LS "&amp;$BS$1,TOCA_current!$A$2:$AV$2,0),FALSE)*$BS$2</f>
        <v>0</v>
      </c>
      <c r="DY127" s="262">
        <f t="shared" si="43"/>
        <v>4060.5406032269893</v>
      </c>
      <c r="DZ127" s="262">
        <f>(VLOOKUP($A127,TOCA_current!$A$2:$AV$136,MATCH("RHWM "&amp;Init!$D$1,TOCA_current!$A$2:$AV$2,0),FALSE)*$BS$2) - $DV127</f>
        <v>0</v>
      </c>
      <c r="EA127" s="262">
        <f t="shared" si="44"/>
        <v>0</v>
      </c>
      <c r="EB127" s="262">
        <f t="shared" si="45"/>
        <v>0</v>
      </c>
      <c r="EC127" s="262">
        <f t="shared" si="46"/>
        <v>0</v>
      </c>
      <c r="ED127" s="262">
        <f t="shared" si="47"/>
        <v>0</v>
      </c>
    </row>
    <row r="128" spans="1:134">
      <c r="A128" s="2">
        <v>10442</v>
      </c>
      <c r="B128" s="3" t="s">
        <v>130</v>
      </c>
      <c r="C128">
        <f>VLOOKUP(A128, TOCA_current!$A$3:$D$136, 4, FALSE)</f>
        <v>0</v>
      </c>
      <c r="D128">
        <v>0</v>
      </c>
      <c r="E128" s="84">
        <f>VLOOKUP($A128,TOCA_previous!$A$2:$AJ$136,MATCH(E$4,TOCA_previous!$A$2:$AJ$2,0),FALSE)</f>
        <v>1.8219E-3</v>
      </c>
      <c r="F128" s="85">
        <f>VLOOKUP($A128,TOCA_previous!$A$2:$AJ$136,MATCH(F$4,TOCA_previous!$A$2:$AJ$2,0),FALSE)</f>
        <v>1.8219E-3</v>
      </c>
      <c r="G128" s="85">
        <f t="shared" si="33"/>
        <v>0</v>
      </c>
      <c r="H128" s="85">
        <f>VLOOKUP($A128,TOCA_previous!$A$2:$AJ$136,MATCH(H$4,TOCA_previous!$A$2:$AJ$2,0),FALSE)</f>
        <v>7.0000000000000007E-2</v>
      </c>
      <c r="I128" s="85">
        <f t="shared" si="34"/>
        <v>0</v>
      </c>
      <c r="J128" s="85">
        <f t="shared" si="35"/>
        <v>0</v>
      </c>
      <c r="K128" s="101">
        <f>VLOOKUP(A128, IRD!$A$5:$C$138, 3, FALSE)</f>
        <v>9733.33</v>
      </c>
      <c r="L128" s="102">
        <f t="array" ref="L128">IF($G128=0, INDEX(LS_previous!$D$4:$AY$137, MATCH('Staging Table'!$A128, LS_previous!$B$4:$B$137, 0), MATCH(L$4&amp;L$5, LS_previous!$D$2:$AY$2&amp;LS_previous!$D$3:$AY$3, 0)),SUM(VLOOKUP($A128, LS_previous!$B$4:$AY$137, LS_previous!D$148, FALSE), VLOOKUP('Staging Table'!$A128, LS_previous!$B$4:$AY$137,LS_previous!AB$148, FALSE))/2)</f>
        <v>-123.91178918839978</v>
      </c>
      <c r="M128" s="102">
        <f t="array" ref="M128">IF($G128=0, INDEX(LS_previous!$D$4:$AY$137, MATCH('Staging Table'!$A128, LS_previous!$B$4:$B$137, 0), MATCH(M$4&amp;M$5, LS_previous!$D$2:$AY$2&amp;LS_previous!$D$3:$AY$3, 0)),SUM(VLOOKUP($A128, LS_previous!$B$4:$AY$137, LS_previous!E$148, FALSE), VLOOKUP('Staging Table'!$A128, LS_previous!$B$4:$AY$137,LS_previous!AC$148, FALSE))/2)</f>
        <v>-144.70678388844999</v>
      </c>
      <c r="N128" s="102">
        <f t="array" ref="N128">IF($G128=0, INDEX(LS_previous!$D$4:$AY$137, MATCH('Staging Table'!$A128, LS_previous!$B$4:$B$137, 0), MATCH(N$4&amp;N$5, LS_previous!$D$2:$AY$2&amp;LS_previous!$D$3:$AY$3, 0)),SUM(VLOOKUP($A128, LS_previous!$B$4:$AY$137, LS_previous!F$148, FALSE), VLOOKUP('Staging Table'!$A128, LS_previous!$B$4:$AY$137,LS_previous!AD$148, FALSE))/2)</f>
        <v>-999.5784628832007</v>
      </c>
      <c r="O128" s="102">
        <f t="array" ref="O128">IF($G128=0, INDEX(LS_previous!$D$4:$AY$137, MATCH('Staging Table'!$A128, LS_previous!$B$4:$B$137, 0), MATCH(O$4&amp;O$5, LS_previous!$D$2:$AY$2&amp;LS_previous!$D$3:$AY$3, 0)),SUM(VLOOKUP($A128, LS_previous!$B$4:$AY$137, LS_previous!G$148, FALSE), VLOOKUP('Staging Table'!$A128, LS_previous!$B$4:$AY$137,LS_previous!AE$148, FALSE))/2)</f>
        <v>254.88372218109998</v>
      </c>
      <c r="P128" s="102">
        <f t="array" ref="P128">IF($G128=0, INDEX(LS_previous!$D$4:$AY$137, MATCH('Staging Table'!$A128, LS_previous!$B$4:$B$137, 0), MATCH(P$4&amp;P$5, LS_previous!$D$2:$AY$2&amp;LS_previous!$D$3:$AY$3, 0)),SUM(VLOOKUP($A128, LS_previous!$B$4:$AY$137, LS_previous!H$148, FALSE), VLOOKUP('Staging Table'!$A128, LS_previous!$B$4:$AY$137,LS_previous!AF$148, FALSE))/2)</f>
        <v>338.04903211589954</v>
      </c>
      <c r="Q128" s="102">
        <f t="array" ref="Q128">IF($G128=0, INDEX(LS_previous!$D$4:$AY$137, MATCH('Staging Table'!$A128, LS_previous!$B$4:$B$137, 0), MATCH(Q$4&amp;Q$5, LS_previous!$D$2:$AY$2&amp;LS_previous!$D$3:$AY$3, 0)),SUM(VLOOKUP($A128, LS_previous!$B$4:$AY$137, LS_previous!I$148, FALSE), VLOOKUP('Staging Table'!$A128, LS_previous!$B$4:$AY$137,LS_previous!AG$148, FALSE))/2)</f>
        <v>759.4450852575992</v>
      </c>
      <c r="R128" s="102">
        <f t="array" ref="R128">IF($G128=0, INDEX(LS_previous!$D$4:$AY$137, MATCH('Staging Table'!$A128, LS_previous!$B$4:$B$137, 0), MATCH(R$4&amp;R$5, LS_previous!$D$2:$AY$2&amp;LS_previous!$D$3:$AY$3, 0)),SUM(VLOOKUP($A128, LS_previous!$B$4:$AY$137, LS_previous!J$148, FALSE), VLOOKUP('Staging Table'!$A128, LS_previous!$B$4:$AY$137,LS_previous!AH$148, FALSE))/2)</f>
        <v>-194.07373555849972</v>
      </c>
      <c r="S128" s="102">
        <f t="array" ref="S128">IF($G128=0, INDEX(LS_previous!$D$4:$AY$137, MATCH('Staging Table'!$A128, LS_previous!$B$4:$B$137, 0), MATCH(S$4&amp;S$5, LS_previous!$D$2:$AY$2&amp;LS_previous!$D$3:$AY$3, 0)),SUM(VLOOKUP($A128, LS_previous!$B$4:$AY$137, LS_previous!K$148, FALSE), VLOOKUP('Staging Table'!$A128, LS_previous!$B$4:$AY$137,LS_previous!AI$148, FALSE))/2)</f>
        <v>677.7843249648995</v>
      </c>
      <c r="T128" s="102">
        <f t="array" ref="T128">IF($G128=0, INDEX(LS_previous!$D$4:$AY$137, MATCH('Staging Table'!$A128, LS_previous!$B$4:$B$137, 0), MATCH(T$4&amp;T$5, LS_previous!$D$2:$AY$2&amp;LS_previous!$D$3:$AY$3, 0)),SUM(VLOOKUP($A128, LS_previous!$B$4:$AY$137, LS_previous!L$148, FALSE), VLOOKUP('Staging Table'!$A128, LS_previous!$B$4:$AY$137,LS_previous!AJ$148, FALSE))/2)</f>
        <v>-358.20349195009931</v>
      </c>
      <c r="U128" s="102">
        <f t="array" ref="U128">IF($G128=0, INDEX(LS_previous!$D$4:$AY$137, MATCH('Staging Table'!$A128, LS_previous!$B$4:$B$137, 0), MATCH(U$4&amp;U$5, LS_previous!$D$2:$AY$2&amp;LS_previous!$D$3:$AY$3, 0)),SUM(VLOOKUP($A128, LS_previous!$B$4:$AY$137, LS_previous!M$148, FALSE), VLOOKUP('Staging Table'!$A128, LS_previous!$B$4:$AY$137,LS_previous!AK$148, FALSE))/2)</f>
        <v>556.34262089789991</v>
      </c>
      <c r="V128" s="102">
        <f t="array" ref="V128">IF($G128=0, INDEX(LS_previous!$D$4:$AY$137, MATCH('Staging Table'!$A128, LS_previous!$B$4:$B$137, 0), MATCH(V$4&amp;V$5, LS_previous!$D$2:$AY$2&amp;LS_previous!$D$3:$AY$3, 0)),SUM(VLOOKUP($A128, LS_previous!$B$4:$AY$137, LS_previous!N$148, FALSE), VLOOKUP('Staging Table'!$A128, LS_previous!$B$4:$AY$137,LS_previous!AL$148, FALSE))/2)</f>
        <v>-1189.3886319746998</v>
      </c>
      <c r="W128" s="102">
        <f t="array" ref="W128">IF($G128=0, INDEX(LS_previous!$D$4:$AY$137, MATCH('Staging Table'!$A128, LS_previous!$B$4:$B$137, 0), MATCH(W$4&amp;W$5, LS_previous!$D$2:$AY$2&amp;LS_previous!$D$3:$AY$3, 0)),SUM(VLOOKUP($A128, LS_previous!$B$4:$AY$137, LS_previous!O$148, FALSE), VLOOKUP('Staging Table'!$A128, LS_previous!$B$4:$AY$137,LS_previous!AM$148, FALSE))/2)</f>
        <v>-200.39083733819962</v>
      </c>
      <c r="X128" s="102">
        <f t="array" ref="X128">IF($G128=0, INDEX(LS_previous!$D$4:$AY$137, MATCH('Staging Table'!$A128, LS_previous!$B$4:$B$137, 0), MATCH(X$4&amp;X$5, LS_previous!$D$2:$AY$2&amp;LS_previous!$D$3:$AY$3, 0)),SUM(VLOOKUP($A128, LS_previous!$B$4:$AY$137, LS_previous!P$148, FALSE), VLOOKUP('Staging Table'!$A128, LS_previous!$B$4:$AY$137,LS_previous!AN$148, FALSE))/2)</f>
        <v>-122.40472982724987</v>
      </c>
      <c r="Y128" s="102">
        <f t="array" ref="Y128">IF($G128=0, INDEX(LS_previous!$D$4:$AY$137, MATCH('Staging Table'!$A128, LS_previous!$B$4:$B$137, 0), MATCH(Y$4&amp;Y$5, LS_previous!$D$2:$AY$2&amp;LS_previous!$D$3:$AY$3, 0)),SUM(VLOOKUP($A128, LS_previous!$B$4:$AY$137, LS_previous!Q$148, FALSE), VLOOKUP('Staging Table'!$A128, LS_previous!$B$4:$AY$137,LS_previous!AO$148, FALSE))/2)</f>
        <v>18.216094037675248</v>
      </c>
      <c r="Z128" s="102">
        <f t="array" ref="Z128">IF($G128=0, INDEX(LS_previous!$D$4:$AY$137, MATCH('Staging Table'!$A128, LS_previous!$B$4:$B$137, 0), MATCH(Z$4&amp;Z$5, LS_previous!$D$2:$AY$2&amp;LS_previous!$D$3:$AY$3, 0)),SUM(VLOOKUP($A128, LS_previous!$B$4:$AY$137, LS_previous!R$148, FALSE), VLOOKUP('Staging Table'!$A128, LS_previous!$B$4:$AY$137,LS_previous!AP$148, FALSE))/2)</f>
        <v>-1260.8201153712007</v>
      </c>
      <c r="AA128" s="102">
        <f t="array" ref="AA128">IF($G128=0, INDEX(LS_previous!$D$4:$AY$137, MATCH('Staging Table'!$A128, LS_previous!$B$4:$B$137, 0), MATCH(AA$4&amp;AA$5, LS_previous!$D$2:$AY$2&amp;LS_previous!$D$3:$AY$3, 0)),SUM(VLOOKUP($A128, LS_previous!$B$4:$AY$137, LS_previous!S$148, FALSE), VLOOKUP('Staging Table'!$A128, LS_previous!$B$4:$AY$137,LS_previous!AQ$148, FALSE))/2)</f>
        <v>-278.94229987114977</v>
      </c>
      <c r="AB128" s="102">
        <f t="array" ref="AB128">IF($G128=0, INDEX(LS_previous!$D$4:$AY$137, MATCH('Staging Table'!$A128, LS_previous!$B$4:$B$137, 0), MATCH(AB$4&amp;AB$5, LS_previous!$D$2:$AY$2&amp;LS_previous!$D$3:$AY$3, 0)),SUM(VLOOKUP($A128, LS_previous!$B$4:$AY$137, LS_previous!T$148, FALSE), VLOOKUP('Staging Table'!$A128, LS_previous!$B$4:$AY$137,LS_previous!AR$148, FALSE))/2)</f>
        <v>-513.31344037940016</v>
      </c>
      <c r="AC128" s="102">
        <f t="array" ref="AC128">IF($G128=0, INDEX(LS_previous!$D$4:$AY$137, MATCH('Staging Table'!$A128, LS_previous!$B$4:$B$137, 0), MATCH(AC$4&amp;AC$5, LS_previous!$D$2:$AY$2&amp;LS_previous!$D$3:$AY$3, 0)),SUM(VLOOKUP($A128, LS_previous!$B$4:$AY$137, LS_previous!U$148, FALSE), VLOOKUP('Staging Table'!$A128, LS_previous!$B$4:$AY$137,LS_previous!AS$148, FALSE))/2)</f>
        <v>-252.13022179355039</v>
      </c>
      <c r="AD128" s="102">
        <f t="array" ref="AD128">IF($G128=0, INDEX(LS_previous!$D$4:$AY$137, MATCH('Staging Table'!$A128, LS_previous!$B$4:$B$137, 0), MATCH(AD$4&amp;AD$5, LS_previous!$D$2:$AY$2&amp;LS_previous!$D$3:$AY$3, 0)),SUM(VLOOKUP($A128, LS_previous!$B$4:$AY$137, LS_previous!V$148, FALSE), VLOOKUP('Staging Table'!$A128, LS_previous!$B$4:$AY$137,LS_previous!AT$148, FALSE))/2)</f>
        <v>1492.7298291684001</v>
      </c>
      <c r="AE128" s="102">
        <f t="array" ref="AE128">IF($G128=0, INDEX(LS_previous!$D$4:$AY$137, MATCH('Staging Table'!$A128, LS_previous!$B$4:$B$137, 0), MATCH(AE$4&amp;AE$5, LS_previous!$D$2:$AY$2&amp;LS_previous!$D$3:$AY$3, 0)),SUM(VLOOKUP($A128, LS_previous!$B$4:$AY$137, LS_previous!W$148, FALSE), VLOOKUP('Staging Table'!$A128, LS_previous!$B$4:$AY$137,LS_previous!AU$148, FALSE))/2)</f>
        <v>1079.3828449577504</v>
      </c>
      <c r="AF128" s="102">
        <f t="array" ref="AF128">IF($G128=0, INDEX(LS_previous!$D$4:$AY$137, MATCH('Staging Table'!$A128, LS_previous!$B$4:$B$137, 0), MATCH(AF$4&amp;AF$5, LS_previous!$D$2:$AY$2&amp;LS_previous!$D$3:$AY$3, 0)),SUM(VLOOKUP($A128, LS_previous!$B$4:$AY$137, LS_previous!X$148, FALSE), VLOOKUP('Staging Table'!$A128, LS_previous!$B$4:$AY$137,LS_previous!AV$148, FALSE))/2)</f>
        <v>1077.0501365441496</v>
      </c>
      <c r="AG128" s="102">
        <f t="array" ref="AG128">IF($G128=0, INDEX(LS_previous!$D$4:$AY$137, MATCH('Staging Table'!$A128, LS_previous!$B$4:$B$137, 0), MATCH(AG$4&amp;AG$5, LS_previous!$D$2:$AY$2&amp;LS_previous!$D$3:$AY$3, 0)),SUM(VLOOKUP($A128, LS_previous!$B$4:$AY$137, LS_previous!Y$148, FALSE), VLOOKUP('Staging Table'!$A128, LS_previous!$B$4:$AY$137,LS_previous!AW$148, FALSE))/2)</f>
        <v>1026.5671923212853</v>
      </c>
      <c r="AH128" s="102">
        <f t="array" ref="AH128">IF($G128=0, INDEX(LS_previous!$D$4:$AY$137, MATCH('Staging Table'!$A128, LS_previous!$B$4:$B$137, 0), MATCH(AH$4&amp;AH$5, LS_previous!$D$2:$AY$2&amp;LS_previous!$D$3:$AY$3, 0)),SUM(VLOOKUP($A128, LS_previous!$B$4:$AY$137, LS_previous!Z$148, FALSE), VLOOKUP('Staging Table'!$A128, LS_previous!$B$4:$AY$137,LS_previous!AX$148, FALSE))/2)</f>
        <v>104.23295859939935</v>
      </c>
      <c r="AI128" s="102">
        <f t="array" ref="AI128">IF($G128=0, INDEX(LS_previous!$D$4:$AY$137, MATCH('Staging Table'!$A128, LS_previous!$B$4:$B$137, 0), MATCH(AI$4&amp;AI$5, LS_previous!$D$2:$AY$2&amp;LS_previous!$D$3:$AY$3, 0)),SUM(VLOOKUP($A128, LS_previous!$B$4:$AY$137, LS_previous!AA$148, FALSE), VLOOKUP('Staging Table'!$A128, LS_previous!$B$4:$AY$137,LS_previous!AY$148, FALSE))/2)</f>
        <v>131.99582942239977</v>
      </c>
      <c r="AJ128" s="103">
        <f t="array" ref="AJ128">INDEX(Demand_previous!$D$4:$AY$137, MATCH('Staging Table'!$A128, Demand_previous!$B$4:$B$137, 0), MATCH(AJ$4&amp;AJ$5,Demand_previous!$D$2:$AY$2&amp;Demand_previous!$D$3:$AY$3, 0))/1000</f>
        <v>7.0302644230769236</v>
      </c>
      <c r="AK128" s="103">
        <f t="array" ref="AK128">INDEX(Demand_previous!$D$4:$AY$137, MATCH('Staging Table'!$A128, Demand_previous!$B$4:$B$137, 0), MATCH(AK$4&amp;AK$5,Demand_previous!$D$2:$AY$2&amp;Demand_previous!$D$3:$AY$3, 0))/1000</f>
        <v>4.0690225000000027</v>
      </c>
      <c r="AL128" s="103">
        <f t="array" ref="AL128">INDEX(Demand_previous!$D$4:$AY$137, MATCH('Staging Table'!$A128, Demand_previous!$B$4:$B$137, 0), MATCH(AL$4&amp;AL$5,Demand_previous!$D$2:$AY$2&amp;Demand_previous!$D$3:$AY$3, 0))/1000</f>
        <v>3.0749450000000005</v>
      </c>
      <c r="AM128" s="103">
        <f t="array" ref="AM128">INDEX(Demand_previous!$D$4:$AY$137, MATCH('Staging Table'!$A128, Demand_previous!$B$4:$B$137, 0), MATCH(AM$4&amp;AM$5,Demand_previous!$D$2:$AY$2&amp;Demand_previous!$D$3:$AY$3, 0))/1000</f>
        <v>2.8318100961538457</v>
      </c>
      <c r="AN128" s="103">
        <f t="array" ref="AN128">INDEX(Demand_previous!$D$4:$AY$137, MATCH('Staging Table'!$A128, Demand_previous!$B$4:$B$137, 0), MATCH(AN$4&amp;AN$5,Demand_previous!$D$2:$AY$2&amp;Demand_previous!$D$3:$AY$3, 0))/1000</f>
        <v>6.2268524999999997</v>
      </c>
      <c r="AO128" s="103">
        <f t="array" ref="AO128">INDEX(Demand_previous!$D$4:$AY$137, MATCH('Staging Table'!$A128, Demand_previous!$B$4:$B$137, 0), MATCH(AO$4&amp;AO$5,Demand_previous!$D$2:$AY$2&amp;Demand_previous!$D$3:$AY$3, 0))/1000</f>
        <v>3.1189543269230739</v>
      </c>
      <c r="AP128" s="103">
        <f t="array" ref="AP128">INDEX(Demand_previous!$D$4:$AY$137, MATCH('Staging Table'!$A128, Demand_previous!$B$4:$B$137, 0), MATCH(AP$4&amp;AP$5,Demand_previous!$D$2:$AY$2&amp;Demand_previous!$D$3:$AY$3, 0))/1000</f>
        <v>2.6432740384615361</v>
      </c>
      <c r="AQ128" s="103">
        <f t="array" ref="AQ128">INDEX(Demand_previous!$D$4:$AY$137, MATCH('Staging Table'!$A128, Demand_previous!$B$4:$B$137, 0), MATCH(AQ$4&amp;AQ$5,Demand_previous!$D$2:$AY$2&amp;Demand_previous!$D$3:$AY$3, 0))/1000</f>
        <v>3.4907187500000014</v>
      </c>
      <c r="AR128" s="103">
        <f t="array" ref="AR128">INDEX(Demand_previous!$D$4:$AY$137, MATCH('Staging Table'!$A128, Demand_previous!$B$4:$B$137, 0), MATCH(AR$4&amp;AR$5,Demand_previous!$D$2:$AY$2&amp;Demand_previous!$D$3:$AY$3, 0))/1000</f>
        <v>2.6543375000000005</v>
      </c>
      <c r="AS128" s="103">
        <f t="array" ref="AS128">INDEX(Demand_previous!$D$4:$AY$137, MATCH('Staging Table'!$A128, Demand_previous!$B$4:$B$137, 0), MATCH(AS$4&amp;AS$5,Demand_previous!$D$2:$AY$2&amp;Demand_previous!$D$3:$AY$3, 0))/1000</f>
        <v>2.690435096153847</v>
      </c>
      <c r="AT128" s="103">
        <f t="array" ref="AT128">INDEX(Demand_previous!$D$4:$AY$137, MATCH('Staging Table'!$A128, Demand_previous!$B$4:$B$137, 0), MATCH(AT$4&amp;AT$5,Demand_previous!$D$2:$AY$2&amp;Demand_previous!$D$3:$AY$3, 0))/1000</f>
        <v>3.2896087962962954</v>
      </c>
      <c r="AU128" s="103">
        <f t="array" ref="AU128">INDEX(Demand_previous!$D$4:$AY$137, MATCH('Staging Table'!$A128, Demand_previous!$B$4:$B$137, 0), MATCH(AU$4&amp;AU$5,Demand_previous!$D$2:$AY$2&amp;Demand_previous!$D$3:$AY$3, 0))/1000</f>
        <v>5.7189036458333344</v>
      </c>
      <c r="AV128" s="102">
        <f>$F128*(VLOOKUP(AV$4, Rates_previous!$G$6:$Q$29, 10, FALSE)+VLOOKUP(AV$4, Rates_previous!$G$6:$Q$29, 11, FALSE))</f>
        <v>7686.2385730768501</v>
      </c>
      <c r="AW128" s="102">
        <f>$F128*(VLOOKUP(AW$4, Rates_previous!$G$6:$Q$29, 10, FALSE)+VLOOKUP(AW$4, Rates_previous!$G$6:$Q$29, 11, FALSE))</f>
        <v>9802.4887407021015</v>
      </c>
      <c r="AX128" s="102">
        <f>$F128*(VLOOKUP(AX$4, Rates_previous!$G$6:$Q$29, 10, FALSE)+VLOOKUP(AX$4, Rates_previous!$G$6:$Q$29, 11, FALSE))</f>
        <v>10578.824882626501</v>
      </c>
      <c r="AY128" s="102">
        <f>$F128*(VLOOKUP(AY$4, Rates_previous!$G$6:$Q$29, 10, FALSE)+VLOOKUP(AY$4, Rates_previous!$G$6:$Q$29, 11, FALSE))</f>
        <v>10993.0344105936</v>
      </c>
      <c r="AZ128" s="102">
        <f>$F128*(VLOOKUP(AZ$4, Rates_previous!$G$6:$Q$29, 10, FALSE)+VLOOKUP(AZ$4, Rates_previous!$G$6:$Q$29, 11, FALSE))</f>
        <v>9455.4748710521999</v>
      </c>
      <c r="BA128" s="102">
        <f>$F128*(VLOOKUP(BA$4, Rates_previous!$G$6:$Q$29, 10, FALSE)+VLOOKUP(BA$4, Rates_previous!$G$6:$Q$29, 11, FALSE))</f>
        <v>10323.506469312899</v>
      </c>
      <c r="BB128" s="102">
        <f>$F128*(VLOOKUP(BB$4, Rates_previous!$G$6:$Q$29, 10, FALSE)+VLOOKUP(BB$4, Rates_previous!$G$6:$Q$29, 11, FALSE))</f>
        <v>8148.6686357895742</v>
      </c>
      <c r="BC128" s="102">
        <f>$F128*(VLOOKUP(BC$4, Rates_previous!$G$6:$Q$29, 10, FALSE)+VLOOKUP(BC$4, Rates_previous!$G$6:$Q$29, 11, FALSE))</f>
        <v>10109.515415242351</v>
      </c>
      <c r="BD128" s="102">
        <f>$F128*(VLOOKUP(BD$4, Rates_previous!$G$6:$Q$29, 10, FALSE)+VLOOKUP(BD$4, Rates_previous!$G$6:$Q$29, 11, FALSE))</f>
        <v>10328.86666217295</v>
      </c>
      <c r="BE128" s="102">
        <f>$F128*(VLOOKUP(BE$4, Rates_previous!$G$6:$Q$29, 10, FALSE)+VLOOKUP(BE$4, Rates_previous!$G$6:$Q$29, 11, FALSE))</f>
        <v>8966.9443258738502</v>
      </c>
      <c r="BF128" s="102">
        <f>$F128*(VLOOKUP(BF$4, Rates_previous!$G$6:$Q$29, 10, FALSE)+VLOOKUP(BF$4, Rates_previous!$G$6:$Q$29, 11, FALSE))</f>
        <v>8668.6516711345666</v>
      </c>
      <c r="BG128" s="102">
        <f>$F128*(VLOOKUP(BG$4, Rates_previous!$G$6:$Q$29, 10, FALSE)+VLOOKUP(BG$4, Rates_previous!$G$6:$Q$29, 11, FALSE))</f>
        <v>7976.8382119782009</v>
      </c>
      <c r="BH128" s="103">
        <f>IF($D128=0,IF(C128=0, MAX(BJ128 - (VLOOKUP($A128,TOCA_previous!$A$2:$AJ$136,MATCH("RHWM "&amp;Init!$D$1-2,TOCA_previous!$A$2:$AJ$2,0),FALSE)*$F$2*TOCA_previous!C125),0),0), 0)</f>
        <v>0</v>
      </c>
      <c r="BI128" s="109">
        <f>MIN(VLOOKUP($A128,TOCA_previous!$A$2:$AJ$136,MATCH("TRL - NLSL - Existing Resource "&amp;$F$1,TOCA_previous!$A$2:$AJ$2,0),FALSE)*$F$2,(VLOOKUP($A128,TOCA_previous!$A$2:$AJ$136,MATCH("RHWM "&amp;Init!$D$1-2,TOCA_previous!$A$2:$AJ$2,0),FALSE)*$F$2))</f>
        <v>110546.64000000001</v>
      </c>
      <c r="BJ128" s="261">
        <f>SUM(L128:AI128)+(F128*RT1SC!$C$3*$F$2)</f>
        <v>114917.86851814836</v>
      </c>
      <c r="BK128" s="260">
        <f>VLOOKUP($A128,TOCA_previous!$A$2:$AJ$136,MATCH("Above RHWM Not Served with LS "&amp;$F$1,TOCA_previous!$A$2:$AJ$2,0),FALSE)*$F$2</f>
        <v>0</v>
      </c>
      <c r="BL128" s="261">
        <f t="shared" si="36"/>
        <v>4371.2285181483458</v>
      </c>
      <c r="BM128" s="260">
        <f>(VLOOKUP($A128,TOCA_previous!$A$2:$AJ$136,MATCH("RHWM "&amp;Init!$D$1-2,TOCA_previous!$A$2:$AJ$2,0),FALSE)*$F$2) - $BI128</f>
        <v>7123.8239999999932</v>
      </c>
      <c r="BN128" s="261">
        <f t="shared" si="37"/>
        <v>-4371.2285181483458</v>
      </c>
      <c r="BO128" s="260">
        <f t="shared" si="38"/>
        <v>0</v>
      </c>
      <c r="BP128" s="261">
        <f t="shared" si="39"/>
        <v>0</v>
      </c>
      <c r="BQ128" s="260">
        <f t="shared" si="9"/>
        <v>-4371.2285181483458</v>
      </c>
      <c r="BR128" s="85">
        <f>VLOOKUP($A128,TOCA_current!$A$2:$ZZ$136,MATCH(BR$4,TOCA_current!$A$2:$ZZ$2,0),FALSE)</f>
        <v>1.8450999999999999E-3</v>
      </c>
      <c r="BS128" s="85">
        <f>VLOOKUP($A128,TOCA_current!$A$2:$ZZ$136,MATCH(BS$4,TOCA_current!$A$2:$ZZ$2,0),FALSE)</f>
        <v>1.8450999999999999E-3</v>
      </c>
      <c r="BT128" s="108">
        <f t="shared" si="40"/>
        <v>0</v>
      </c>
      <c r="BU128" s="85">
        <f>VLOOKUP($A128,TOCA_current!A125:BG259,MATCH(BU$4,TOCA_current!$A$2:$BG$2,0),FALSE)</f>
        <v>7.0000000000000007E-2</v>
      </c>
      <c r="BV128" s="85">
        <f t="shared" si="41"/>
        <v>0</v>
      </c>
      <c r="BW128" s="85">
        <f t="shared" si="42"/>
        <v>0</v>
      </c>
      <c r="BX128" s="101">
        <f>VLOOKUP($A128,IRD!$A$4:$G$138, 7, FALSE)</f>
        <v>9733.33</v>
      </c>
      <c r="BY128" s="102">
        <f t="array" ref="BY128">IF($BT128=0, INDEX(LS_current!$D$4:$BW$137, MATCH('Staging Table'!$A128, LS_current!$B$4:$B$137, 0), MATCH(BY$4&amp;BY$5, LS_current!$D$2:$BW$2&amp;LS_current!$D$3:$BW$3, 0)),SUM(VLOOKUP($A128, LS_current!$B$4:$BW$137, LS_current!D$147, FALSE), VLOOKUP($A128, LS_current!$B$4:$BW$137,LS_current!AZ$147, FALSE))/2)</f>
        <v>-245.12144628456826</v>
      </c>
      <c r="BZ128" s="102">
        <f t="array" ref="BZ128">IF($BT128=0, INDEX(LS_current!$D$4:$BW$137, MATCH('Staging Table'!$A128, LS_current!$B$4:$B$137, 0), MATCH(BZ$4&amp;BZ$5, LS_current!$D$2:$BW$2&amp;LS_current!$D$3:$BW$3, 0)),SUM(VLOOKUP($A128, LS_current!$B$4:$BW$137, LS_current!E$147, FALSE), VLOOKUP($A128, LS_current!$B$4:$BW$137,LS_current!BA$147, FALSE))/2)</f>
        <v>5.0457795138859183</v>
      </c>
      <c r="CA128" s="102">
        <f t="array" ref="CA128">IF($BT128=0, INDEX(LS_current!$D$4:$BW$137, MATCH('Staging Table'!$A128, LS_current!$B$4:$B$137, 0), MATCH(CA$4&amp;CA$5, LS_current!$D$2:$BW$2&amp;LS_current!$D$3:$BW$3, 0)),SUM(VLOOKUP($A128, LS_current!$B$4:$BW$137, LS_current!F$147, FALSE), VLOOKUP($A128, LS_current!$B$4:$BW$137,LS_current!BB$147, FALSE))/2)</f>
        <v>-966.66009312108417</v>
      </c>
      <c r="CB128" s="102">
        <f t="array" ref="CB128">IF($BT128=0, INDEX(LS_current!$D$4:$BW$137, MATCH('Staging Table'!$A128, LS_current!$B$4:$B$137, 0), MATCH(CB$4&amp;CB$5, LS_current!$D$2:$BW$2&amp;LS_current!$D$3:$BW$3, 0)),SUM(VLOOKUP($A128, LS_current!$B$4:$BW$137, LS_current!G$147, FALSE), VLOOKUP($A128, LS_current!$B$4:$BW$137,LS_current!BC$147, FALSE))/2)</f>
        <v>234.34221384711873</v>
      </c>
      <c r="CC128" s="102">
        <f t="array" ref="CC128">IF($BT128=0, INDEX(LS_current!$D$4:$BW$137, MATCH('Staging Table'!$A128, LS_current!$B$4:$B$137, 0), MATCH(CC$4&amp;CC$5, LS_current!$D$2:$BW$2&amp;LS_current!$D$3:$BW$3, 0)),SUM(VLOOKUP($A128, LS_current!$B$4:$BW$137, LS_current!H$147, FALSE), VLOOKUP($A128, LS_current!$B$4:$BW$137,LS_current!BD$147, FALSE))/2)</f>
        <v>-382.79247172582927</v>
      </c>
      <c r="CD128" s="102">
        <f t="array" ref="CD128">IF($BT128=0, INDEX(LS_current!$D$4:$BW$137, MATCH('Staging Table'!$A128, LS_current!$B$4:$B$137, 0), MATCH(CD$4&amp;CD$5, LS_current!$D$2:$BW$2&amp;LS_current!$D$3:$BW$3, 0)),SUM(VLOOKUP($A128, LS_current!$B$4:$BW$137, LS_current!I$147, FALSE), VLOOKUP($A128, LS_current!$B$4:$BW$137,LS_current!BE$147, FALSE))/2)</f>
        <v>928.57308012319663</v>
      </c>
      <c r="CE128" s="102">
        <f t="array" ref="CE128">IF($BT128=0, INDEX(LS_current!$D$4:$BW$137, MATCH('Staging Table'!$A128, LS_current!$B$4:$B$137, 0), MATCH(CE$4&amp;CE$5, LS_current!$D$2:$BW$2&amp;LS_current!$D$3:$BW$3, 0)),SUM(VLOOKUP($A128, LS_current!$B$4:$BW$137, LS_current!J$147, FALSE), VLOOKUP($A128, LS_current!$B$4:$BW$137,LS_current!BF$147, FALSE))/2)</f>
        <v>-790.09561293465322</v>
      </c>
      <c r="CF128" s="102">
        <f t="array" ref="CF128">IF($BT128=0, INDEX(LS_current!$D$4:$BW$137, MATCH('Staging Table'!$A128, LS_current!$B$4:$B$137, 0), MATCH(CF$4&amp;CF$5, LS_current!$D$2:$BW$2&amp;LS_current!$D$3:$BW$3, 0)),SUM(VLOOKUP($A128, LS_current!$B$4:$BW$137, LS_current!K$147, FALSE), VLOOKUP($A128, LS_current!$B$4:$BW$137,LS_current!BG$147, FALSE))/2)</f>
        <v>523.25377237385237</v>
      </c>
      <c r="CG128" s="102">
        <f t="array" ref="CG128">IF($BT128=0, INDEX(LS_current!$D$4:$BW$137, MATCH('Staging Table'!$A128, LS_current!$B$4:$B$137, 0), MATCH(CG$4&amp;CG$5, LS_current!$D$2:$BW$2&amp;LS_current!$D$3:$BW$3, 0)),SUM(VLOOKUP($A128, LS_current!$B$4:$BW$137, LS_current!L$147, FALSE), VLOOKUP($A128, LS_current!$B$4:$BW$137,LS_current!BH$147, FALSE))/2)</f>
        <v>-301.26115137701527</v>
      </c>
      <c r="CH128" s="102">
        <f t="array" ref="CH128">IF($BT128=0, INDEX(LS_current!$D$4:$BW$137, MATCH('Staging Table'!$A128, LS_current!$B$4:$B$137, 0), MATCH(CH$4&amp;CH$5, LS_current!$D$2:$BW$2&amp;LS_current!$D$3:$BW$3, 0)),SUM(VLOOKUP($A128, LS_current!$B$4:$BW$137, LS_current!M$147, FALSE), VLOOKUP($A128, LS_current!$B$4:$BW$137,LS_current!BI$147, FALSE))/2)</f>
        <v>596.29633867484245</v>
      </c>
      <c r="CI128" s="102">
        <f t="array" ref="CI128">IF($BT128=0, INDEX(LS_current!$D$4:$BW$137, MATCH('Staging Table'!$A128, LS_current!$B$4:$B$137, 0), MATCH(CI$4&amp;CI$5, LS_current!$D$2:$BW$2&amp;LS_current!$D$3:$BW$3, 0)),SUM(VLOOKUP($A128, LS_current!$B$4:$BW$137, LS_current!N$147, FALSE), VLOOKUP($A128, LS_current!$B$4:$BW$137,LS_current!BJ$147, FALSE))/2)</f>
        <v>-1557.7996125943482</v>
      </c>
      <c r="CJ128" s="102">
        <f t="array" ref="CJ128">IF($BT128=0, INDEX(LS_current!$D$4:$BW$137, MATCH('Staging Table'!$A128, LS_current!$B$4:$B$137, 0), MATCH(CJ$4&amp;CJ$5, LS_current!$D$2:$BW$2&amp;LS_current!$D$3:$BW$3, 0)),SUM(VLOOKUP($A128, LS_current!$B$4:$BW$137, LS_current!O$147, FALSE), VLOOKUP($A128, LS_current!$B$4:$BW$137,LS_current!BK$147, FALSE))/2)</f>
        <v>260.67813236874235</v>
      </c>
      <c r="CK128" s="102">
        <f t="array" ref="CK128">IF($BT128=0, INDEX(LS_current!$D$4:$BW$137, MATCH('Staging Table'!$A128, LS_current!$B$4:$B$137, 0), MATCH(CK$4&amp;CK$5, LS_current!$D$2:$BW$2&amp;LS_current!$D$3:$BW$3, 0)),SUM(VLOOKUP($A128, LS_current!$B$4:$BW$137, LS_current!P$147, FALSE), VLOOKUP($A128, LS_current!$B$4:$BW$137,LS_current!BL$147, FALSE))/2)</f>
        <v>-44.42601057972297</v>
      </c>
      <c r="CL128" s="102">
        <f t="array" ref="CL128">IF($BT128=0, INDEX(LS_current!$D$4:$BW$137, MATCH('Staging Table'!$A128, LS_current!$B$4:$B$137, 0), MATCH(CL$4&amp;CL$5, LS_current!$D$2:$BW$2&amp;LS_current!$D$3:$BW$3, 0)),SUM(VLOOKUP($A128, LS_current!$B$4:$BW$137, LS_current!Q$147, FALSE), VLOOKUP($A128, LS_current!$B$4:$BW$137,LS_current!BM$147, FALSE))/2)</f>
        <v>159.89552556294439</v>
      </c>
      <c r="CM128" s="102">
        <f t="array" ref="CM128">IF($BT128=0, INDEX(LS_current!$D$4:$BW$137, MATCH('Staging Table'!$A128, LS_current!$B$4:$B$137, 0), MATCH(CM$4&amp;CM$5, LS_current!$D$2:$BW$2&amp;LS_current!$D$3:$BW$3, 0)),SUM(VLOOKUP($A128, LS_current!$B$4:$BW$137, LS_current!R$147, FALSE), VLOOKUP($A128, LS_current!$B$4:$BW$137,LS_current!BN$147, FALSE))/2)</f>
        <v>-1331.3053133835892</v>
      </c>
      <c r="CN128" s="102">
        <f t="array" ref="CN128">IF($BT128=0, INDEX(LS_current!$D$4:$BW$137, MATCH('Staging Table'!$A128, LS_current!$B$4:$B$137, 0), MATCH(CN$4&amp;CN$5, LS_current!$D$2:$BW$2&amp;LS_current!$D$3:$BW$3, 0)),SUM(VLOOKUP($A128, LS_current!$B$4:$BW$137, LS_current!S$147, FALSE), VLOOKUP($A128, LS_current!$B$4:$BW$137,LS_current!BO$147, FALSE))/2)</f>
        <v>-360.38678443534627</v>
      </c>
      <c r="CO128" s="102">
        <f t="array" ref="CO128">IF($BT128=0, INDEX(LS_current!$D$4:$BW$137, MATCH('Staging Table'!$A128, LS_current!$B$4:$B$137, 0), MATCH(CO$4&amp;CO$5, LS_current!$D$2:$BW$2&amp;LS_current!$D$3:$BW$3, 0)),SUM(VLOOKUP($A128, LS_current!$B$4:$BW$137, LS_current!T$147, FALSE), VLOOKUP($A128, LS_current!$B$4:$BW$137,LS_current!BP$147, FALSE))/2)</f>
        <v>-857.970767651801</v>
      </c>
      <c r="CP128" s="102">
        <f t="array" ref="CP128">IF($BT128=0, INDEX(LS_current!$D$4:$BW$137, MATCH('Staging Table'!$A128, LS_current!$B$4:$B$137, 0), MATCH(CP$4&amp;CP$5, LS_current!$D$2:$BW$2&amp;LS_current!$D$3:$BW$3, 0)),SUM(VLOOKUP($A128, LS_current!$B$4:$BW$137, LS_current!U$147, FALSE), VLOOKUP($A128, LS_current!$B$4:$BW$137,LS_current!BQ$147, FALSE))/2)</f>
        <v>-59.163054064215885</v>
      </c>
      <c r="CQ128" s="102">
        <f t="array" ref="CQ128">IF($BT128=0, INDEX(LS_current!$D$4:$BW$137, MATCH('Staging Table'!$A128, LS_current!$B$4:$B$137, 0), MATCH(CQ$4&amp;CQ$5, LS_current!$D$2:$BW$2&amp;LS_current!$D$3:$BW$3, 0)),SUM(VLOOKUP($A128, LS_current!$B$4:$BW$137, LS_current!V$147, FALSE), VLOOKUP($A128, LS_current!$B$4:$BW$137,LS_current!BR$147, FALSE))/2)</f>
        <v>1169.4562937273095</v>
      </c>
      <c r="CR128" s="102">
        <f t="array" ref="CR128">IF($BT128=0, INDEX(LS_current!$D$4:$BW$137, MATCH('Staging Table'!$A128, LS_current!$B$4:$B$137, 0), MATCH(CR$4&amp;CR$5, LS_current!$D$2:$BW$2&amp;LS_current!$D$3:$BW$3, 0)),SUM(VLOOKUP($A128, LS_current!$B$4:$BW$137, LS_current!W$147, FALSE), VLOOKUP($A128, LS_current!$B$4:$BW$137,LS_current!BS$147, FALSE))/2)</f>
        <v>1040.9987267924616</v>
      </c>
      <c r="CS128" s="102">
        <f t="array" ref="CS128">IF($BT128=0, INDEX(LS_current!$D$4:$BW$137, MATCH('Staging Table'!$A128, LS_current!$B$4:$B$137, 0), MATCH(CS$4&amp;CS$5, LS_current!$D$2:$BW$2&amp;LS_current!$D$3:$BW$3, 0)),SUM(VLOOKUP($A128, LS_current!$B$4:$BW$137, LS_current!X$147, FALSE), VLOOKUP($A128, LS_current!$B$4:$BW$137,LS_current!BT$147, FALSE))/2)</f>
        <v>215.15220956281337</v>
      </c>
      <c r="CT128" s="102">
        <f t="array" ref="CT128">IF($BT128=0, INDEX(LS_current!$D$4:$BW$137, MATCH('Staging Table'!$A128, LS_current!$B$4:$B$137, 0), MATCH(CT$4&amp;CT$5, LS_current!$D$2:$BW$2&amp;LS_current!$D$3:$BW$3, 0)),SUM(VLOOKUP($A128, LS_current!$B$4:$BW$137, LS_current!Y$147, FALSE), VLOOKUP($A128, LS_current!$B$4:$BW$137,LS_current!BU$147, FALSE))/2)</f>
        <v>987.6819690914449</v>
      </c>
      <c r="CU128" s="102">
        <f t="array" ref="CU128">IF($BT128=0, INDEX(LS_current!$D$4:$BW$137, MATCH('Staging Table'!$A128, LS_current!$B$4:$B$137, 0), MATCH(CU$4&amp;CU$5, LS_current!$D$2:$BW$2&amp;LS_current!$D$3:$BW$3, 0)),SUM(VLOOKUP($A128, LS_current!$B$4:$BW$137, LS_current!Z$147, FALSE), VLOOKUP($A128, LS_current!$B$4:$BW$137,LS_current!BV$147, FALSE))/2)</f>
        <v>242.64120839973748</v>
      </c>
      <c r="CV128" s="102">
        <f t="array" ref="CV128">IF($BT128=0, INDEX(LS_current!$D$4:$BW$137, MATCH('Staging Table'!$A128, LS_current!$B$4:$B$137, 0), MATCH(CV$4&amp;CV$5, LS_current!$D$2:$BW$2&amp;LS_current!$D$3:$BW$3, 0)),SUM(VLOOKUP($A128, LS_current!$B$4:$BW$137, LS_current!AA$147, FALSE), VLOOKUP($A128, LS_current!$B$4:$BW$137,LS_current!BW$147, FALSE))/2)</f>
        <v>538.6125494044486</v>
      </c>
      <c r="CW128" s="103">
        <f t="array" ref="CW128">INDEX(Demand_current!$D$4:$BW$137, MATCH($A128, Demand_current!$B$4:$B$137, 0), MATCH(CW$4&amp;CW$5,Demand_current!$D$2:$BW$2&amp;Demand_current!$D$3:$BW$3, 0))/1000</f>
        <v>7.4332546296296291</v>
      </c>
      <c r="CX128" s="103">
        <f t="array" ref="CX128">INDEX(Demand_current!$D$4:$BW$137, MATCH($A128, Demand_current!$B$4:$B$137, 0), MATCH(CX$4&amp;CX$5,Demand_current!$D$2:$BW$2&amp;Demand_current!$D$3:$BW$3, 0))/1000</f>
        <v>3.5536067708333352</v>
      </c>
      <c r="CY128" s="103">
        <f t="array" ref="CY128">INDEX(Demand_current!$D$4:$BW$137, MATCH($A128, Demand_current!$B$4:$B$137, 0), MATCH(CY$4&amp;CY$5,Demand_current!$D$2:$BW$2&amp;Demand_current!$D$3:$BW$3, 0))/1000</f>
        <v>3.7241778846153837</v>
      </c>
      <c r="CZ128" s="103">
        <f t="array" ref="CZ128">INDEX(Demand_current!$D$4:$BW$137, MATCH($A128, Demand_current!$B$4:$B$137, 0), MATCH(CZ$4&amp;CZ$5,Demand_current!$D$2:$BW$2&amp;Demand_current!$D$3:$BW$3, 0))/1000</f>
        <v>2.8318100961538457</v>
      </c>
      <c r="DA128" s="103">
        <f t="array" ref="DA128">INDEX(Demand_current!$D$4:$BW$137, MATCH($A128, Demand_current!$B$4:$B$137, 0), MATCH(DA$4&amp;DA$5,Demand_current!$D$2:$BW$2&amp;Demand_current!$D$3:$BW$3, 0))/1000</f>
        <v>5.6378880208333335</v>
      </c>
      <c r="DB128" s="103">
        <f t="array" ref="DB128">INDEX(Demand_current!$D$4:$BW$137, MATCH($A128, Demand_current!$B$4:$B$137, 0), MATCH(DB$4&amp;DB$5,Demand_current!$D$2:$BW$2&amp;Demand_current!$D$3:$BW$3, 0))/1000</f>
        <v>3.1189543269230739</v>
      </c>
      <c r="DC128" s="103">
        <f t="array" ref="DC128">INDEX(Demand_current!$D$4:$BW$137, MATCH($A128, Demand_current!$B$4:$B$137, 0), MATCH(DC$4&amp;DC$5,Demand_current!$D$2:$BW$2&amp;Demand_current!$D$3:$BW$3, 0))/1000</f>
        <v>2.6432740384615361</v>
      </c>
      <c r="DD128" s="103">
        <f t="array" ref="DD128">INDEX(Demand_current!$D$4:$BW$137, MATCH($A128, Demand_current!$B$4:$B$137, 0), MATCH(DD$4&amp;DD$5,Demand_current!$D$2:$BW$2&amp;Demand_current!$D$3:$BW$3, 0))/1000</f>
        <v>3.0212675000000009</v>
      </c>
      <c r="DE128" s="103">
        <f t="array" ref="DE128">INDEX(Demand_current!$D$4:$BW$137, MATCH($A128, Demand_current!$B$4:$B$137, 0), MATCH(DE$4&amp;DE$5,Demand_current!$D$2:$BW$2&amp;Demand_current!$D$3:$BW$3, 0))/1000</f>
        <v>3.2286322115384625</v>
      </c>
      <c r="DF128" s="103">
        <f t="array" ref="DF128">INDEX(Demand_current!$D$4:$BW$137, MATCH($A128, Demand_current!$B$4:$B$137, 0), MATCH(DF$4&amp;DF$5,Demand_current!$D$2:$BW$2&amp;Demand_current!$D$3:$BW$3, 0))/1000</f>
        <v>2.690435096153847</v>
      </c>
      <c r="DG128" s="103">
        <f t="array" ref="DG128">INDEX(Demand_current!$D$4:$BW$137, MATCH($A128, Demand_current!$B$4:$B$137, 0), MATCH(DG$4&amp;DG$5,Demand_current!$D$2:$BW$2&amp;Demand_current!$D$3:$BW$3, 0))/1000</f>
        <v>2.7041322115384605</v>
      </c>
      <c r="DH128" s="103">
        <f t="array" ref="DH128">INDEX(Demand_current!$D$4:$BW$137, MATCH($A128, Demand_current!$B$4:$B$137, 0), MATCH(DH$4&amp;DH$5,Demand_current!$D$2:$BW$2&amp;Demand_current!$D$3:$BW$3, 0))/1000</f>
        <v>6.2260275000000025</v>
      </c>
      <c r="DI128" s="102">
        <f>$BS128*(VLOOKUP(DI$4, Rates_current!$H$6:$R$41, 10, FALSE)+VLOOKUP(DI$4, Rates_current!$H$6:$R$41, 11, FALSE))</f>
        <v>7657.6956667706827</v>
      </c>
      <c r="DJ128" s="102">
        <f>$BS128*(VLOOKUP(DJ$4, Rates_current!$H$6:$R$41, 10, FALSE)+VLOOKUP(DJ$4, Rates_current!$H$6:$R$41, 11, FALSE))</f>
        <v>9790.1118792739671</v>
      </c>
      <c r="DK128" s="102">
        <f>$BS128*(VLOOKUP(DK$4, Rates_current!$H$6:$R$41, 10, FALSE)+VLOOKUP(DK$4, Rates_current!$H$6:$R$41, 11, FALSE))</f>
        <v>11130.538391602631</v>
      </c>
      <c r="DL128" s="102">
        <f>$BS128*(VLOOKUP(DL$4, Rates_current!$H$6:$R$41, 10, FALSE)+VLOOKUP(DL$4, Rates_current!$H$6:$R$41, 11, FALSE))</f>
        <v>11743.586840560802</v>
      </c>
      <c r="DM128" s="102">
        <f>$BS128*(VLOOKUP(DM$4, Rates_current!$H$6:$R$41, 10, FALSE)+VLOOKUP(DM$4, Rates_current!$H$6:$R$41, 11, FALSE))</f>
        <v>9358.5788127021733</v>
      </c>
      <c r="DN128" s="102">
        <f>$BS128*(VLOOKUP(DN$4, Rates_current!$H$6:$R$41, 10, FALSE)+VLOOKUP(DN$4, Rates_current!$H$6:$R$41, 11, FALSE))</f>
        <v>10230.848480225606</v>
      </c>
      <c r="DO128" s="102">
        <f>$BS128*(VLOOKUP(DO$4, Rates_current!$H$6:$R$41, 10, FALSE)+VLOOKUP(DO$4, Rates_current!$H$6:$R$41, 11, FALSE))</f>
        <v>7929.0104850167791</v>
      </c>
      <c r="DP128" s="102">
        <f>$BS128*(VLOOKUP(DP$4, Rates_current!$H$6:$R$41, 10, FALSE)+VLOOKUP(DP$4, Rates_current!$H$6:$R$41, 11, FALSE))</f>
        <v>10261.445097818934</v>
      </c>
      <c r="DQ128" s="102">
        <f>$BS128*(VLOOKUP(DQ$4, Rates_current!$H$6:$R$41, 10, FALSE)+VLOOKUP(DQ$4, Rates_current!$H$6:$R$41, 11, FALSE))</f>
        <v>10480.556821716016</v>
      </c>
      <c r="DR128" s="102">
        <f>$BS128*(VLOOKUP(DR$4, Rates_current!$H$6:$R$41, 10, FALSE)+VLOOKUP(DR$4, Rates_current!$H$6:$R$41, 11, FALSE))</f>
        <v>9328.6019794802287</v>
      </c>
      <c r="DS128" s="102">
        <f>$BS128*(VLOOKUP(DS$4, Rates_current!$H$6:$R$41, 10, FALSE)+VLOOKUP(DS$4, Rates_current!$H$6:$R$41, 11, FALSE))</f>
        <v>9569.4348213457415</v>
      </c>
      <c r="DT128" s="102">
        <f>$BS128*(VLOOKUP(DT$4, Rates_current!$H$6:$R$41, 10, FALSE)+VLOOKUP(DT$4, Rates_current!$H$6:$R$41, 11, FALSE))</f>
        <v>7431.8132421958144</v>
      </c>
      <c r="DU128" s="261">
        <f>IF(D128=0,IF(C128=0,MAX(0,DW128 - (VLOOKUP($A128,TOCA_current!$A$2:$AV$136,MATCH("RHWM "&amp;Init!$D$1,TOCA_current!$A$2:$AV$2,0),FALSE)*$BS$2)), 0),0)</f>
        <v>0</v>
      </c>
      <c r="DV128" s="262">
        <f>MIN(VLOOKUP($A128,TOCA_current!$A$2:$AV$136,MATCH("TRL - NLSL - Existing Resource "&amp;$BS$1,TOCA_current!$A$2:$AV$2,0),FALSE)*$BS$2, VLOOKUP($A128,TOCA_current!$A$2:$AV$136,MATCH("RHWM "&amp;Init!$D$1,TOCA_current!$A$2:$AV$2,0),FALSE)*$BS$2)</f>
        <v>114913.68000000001</v>
      </c>
      <c r="DW128" s="262">
        <f>SUM(BY128:CV128)+(BS128*RT1SC!$C$4*$BS$2)</f>
        <v>114917.87478324265</v>
      </c>
      <c r="DX128" s="262">
        <f>VLOOKUP($A128,TOCA_current!$A$2:$AV$136,MATCH("Above RHWM Not Served with LS "&amp;$BS$1,TOCA_current!$A$2:$AV$2,0),FALSE)*$BS$2</f>
        <v>0</v>
      </c>
      <c r="DY128" s="262">
        <f t="shared" si="43"/>
        <v>4.1947832426376408</v>
      </c>
      <c r="DZ128" s="262">
        <f>(VLOOKUP($A128,TOCA_current!$A$2:$AV$136,MATCH("RHWM "&amp;Init!$D$1,TOCA_current!$A$2:$AV$2,0),FALSE)*$BS$2) - $DV128</f>
        <v>3109.8000000000029</v>
      </c>
      <c r="EA128" s="262">
        <f t="shared" si="44"/>
        <v>-4.1947832426376408</v>
      </c>
      <c r="EB128" s="262">
        <f t="shared" si="45"/>
        <v>0</v>
      </c>
      <c r="EC128" s="262">
        <f t="shared" si="46"/>
        <v>0</v>
      </c>
      <c r="ED128" s="262">
        <f t="shared" si="47"/>
        <v>-4.1947832426376408</v>
      </c>
    </row>
    <row r="129" spans="1:134">
      <c r="A129" s="2">
        <v>10446</v>
      </c>
      <c r="B129" s="3" t="s">
        <v>131</v>
      </c>
      <c r="C129">
        <f>VLOOKUP(A129, TOCA_current!$A$3:$D$136, 4, FALSE)</f>
        <v>0</v>
      </c>
      <c r="D129">
        <v>0</v>
      </c>
      <c r="E129" s="84">
        <f>VLOOKUP($A129,TOCA_previous!$A$2:$AJ$136,MATCH(E$4,TOCA_previous!$A$2:$AJ$2,0),FALSE)</f>
        <v>1.38648E-2</v>
      </c>
      <c r="F129" s="85">
        <f>VLOOKUP($A129,TOCA_previous!$A$2:$AJ$136,MATCH(F$4,TOCA_previous!$A$2:$AJ$2,0),FALSE)</f>
        <v>1.38648E-2</v>
      </c>
      <c r="G129" s="85">
        <f t="shared" si="33"/>
        <v>0</v>
      </c>
      <c r="H129" s="85">
        <f>VLOOKUP($A129,TOCA_previous!$A$2:$AJ$136,MATCH(H$4,TOCA_previous!$A$2:$AJ$2,0),FALSE)</f>
        <v>6.5840233473598478E-2</v>
      </c>
      <c r="I129" s="85">
        <f t="shared" si="34"/>
        <v>0</v>
      </c>
      <c r="J129" s="85">
        <f t="shared" si="35"/>
        <v>0</v>
      </c>
      <c r="K129" s="101">
        <f>VLOOKUP(A129, IRD!$A$5:$C$138, 3, FALSE)</f>
        <v>7171.34</v>
      </c>
      <c r="L129" s="102">
        <f t="array" ref="L129">IF($G129=0, INDEX(LS_previous!$D$4:$AY$137, MATCH('Staging Table'!$A129, LS_previous!$B$4:$B$137, 0), MATCH(L$4&amp;L$5, LS_previous!$D$2:$AY$2&amp;LS_previous!$D$3:$AY$3, 0)),SUM(VLOOKUP($A129, LS_previous!$B$4:$AY$137, LS_previous!D$148, FALSE), VLOOKUP('Staging Table'!$A129, LS_previous!$B$4:$AY$137,LS_previous!AB$148, FALSE))/2)</f>
        <v>-1064.4150703328123</v>
      </c>
      <c r="M129" s="102">
        <f t="array" ref="M129">IF($G129=0, INDEX(LS_previous!$D$4:$AY$137, MATCH('Staging Table'!$A129, LS_previous!$B$4:$B$137, 0), MATCH(M$4&amp;M$5, LS_previous!$D$2:$AY$2&amp;LS_previous!$D$3:$AY$3, 0)),SUM(VLOOKUP($A129, LS_previous!$B$4:$AY$137, LS_previous!E$148, FALSE), VLOOKUP('Staging Table'!$A129, LS_previous!$B$4:$AY$137,LS_previous!AC$148, FALSE))/2)</f>
        <v>1782.6276778876054</v>
      </c>
      <c r="N129" s="102">
        <f t="array" ref="N129">IF($G129=0, INDEX(LS_previous!$D$4:$AY$137, MATCH('Staging Table'!$A129, LS_previous!$B$4:$B$137, 0), MATCH(N$4&amp;N$5, LS_previous!$D$2:$AY$2&amp;LS_previous!$D$3:$AY$3, 0)),SUM(VLOOKUP($A129, LS_previous!$B$4:$AY$137, LS_previous!F$148, FALSE), VLOOKUP('Staging Table'!$A129, LS_previous!$B$4:$AY$137,LS_previous!AD$148, FALSE))/2)</f>
        <v>-14149.671905254403</v>
      </c>
      <c r="O129" s="102">
        <f t="array" ref="O129">IF($G129=0, INDEX(LS_previous!$D$4:$AY$137, MATCH('Staging Table'!$A129, LS_previous!$B$4:$B$137, 0), MATCH(O$4&amp;O$5, LS_previous!$D$2:$AY$2&amp;LS_previous!$D$3:$AY$3, 0)),SUM(VLOOKUP($A129, LS_previous!$B$4:$AY$137, LS_previous!G$148, FALSE), VLOOKUP('Staging Table'!$A129, LS_previous!$B$4:$AY$137,LS_previous!AE$148, FALSE))/2)</f>
        <v>-1298.2630430888021</v>
      </c>
      <c r="P129" s="102">
        <f t="array" ref="P129">IF($G129=0, INDEX(LS_previous!$D$4:$AY$137, MATCH('Staging Table'!$A129, LS_previous!$B$4:$B$137, 0), MATCH(P$4&amp;P$5, LS_previous!$D$2:$AY$2&amp;LS_previous!$D$3:$AY$3, 0)),SUM(VLOOKUP($A129, LS_previous!$B$4:$AY$137, LS_previous!H$148, FALSE), VLOOKUP('Staging Table'!$A129, LS_previous!$B$4:$AY$137,LS_previous!AF$148, FALSE))/2)</f>
        <v>-12256.069674087194</v>
      </c>
      <c r="Q129" s="102">
        <f t="array" ref="Q129">IF($G129=0, INDEX(LS_previous!$D$4:$AY$137, MATCH('Staging Table'!$A129, LS_previous!$B$4:$B$137, 0), MATCH(Q$4&amp;Q$5, LS_previous!$D$2:$AY$2&amp;LS_previous!$D$3:$AY$3, 0)),SUM(VLOOKUP($A129, LS_previous!$B$4:$AY$137, LS_previous!I$148, FALSE), VLOOKUP('Staging Table'!$A129, LS_previous!$B$4:$AY$137,LS_previous!AG$148, FALSE))/2)</f>
        <v>-2637.7443963007972</v>
      </c>
      <c r="R129" s="102">
        <f t="array" ref="R129">IF($G129=0, INDEX(LS_previous!$D$4:$AY$137, MATCH('Staging Table'!$A129, LS_previous!$B$4:$B$137, 0), MATCH(R$4&amp;R$5, LS_previous!$D$2:$AY$2&amp;LS_previous!$D$3:$AY$3, 0)),SUM(VLOOKUP($A129, LS_previous!$B$4:$AY$137, LS_previous!J$148, FALSE), VLOOKUP('Staging Table'!$A129, LS_previous!$B$4:$AY$137,LS_previous!AH$148, FALSE))/2)</f>
        <v>-15264.997490132002</v>
      </c>
      <c r="S129" s="102">
        <f t="array" ref="S129">IF($G129=0, INDEX(LS_previous!$D$4:$AY$137, MATCH('Staging Table'!$A129, LS_previous!$B$4:$B$137, 0), MATCH(S$4&amp;S$5, LS_previous!$D$2:$AY$2&amp;LS_previous!$D$3:$AY$3, 0)),SUM(VLOOKUP($A129, LS_previous!$B$4:$AY$137, LS_previous!K$148, FALSE), VLOOKUP('Staging Table'!$A129, LS_previous!$B$4:$AY$137,LS_previous!AI$148, FALSE))/2)</f>
        <v>-2612.8021444791993</v>
      </c>
      <c r="T129" s="102">
        <f t="array" ref="T129">IF($G129=0, INDEX(LS_previous!$D$4:$AY$137, MATCH('Staging Table'!$A129, LS_previous!$B$4:$B$137, 0), MATCH(T$4&amp;T$5, LS_previous!$D$2:$AY$2&amp;LS_previous!$D$3:$AY$3, 0)),SUM(VLOOKUP($A129, LS_previous!$B$4:$AY$137, LS_previous!L$148, FALSE), VLOOKUP('Staging Table'!$A129, LS_previous!$B$4:$AY$137,LS_previous!AJ$148, FALSE))/2)</f>
        <v>-13312.990863159201</v>
      </c>
      <c r="U129" s="102">
        <f t="array" ref="U129">IF($G129=0, INDEX(LS_previous!$D$4:$AY$137, MATCH('Staging Table'!$A129, LS_previous!$B$4:$B$137, 0), MATCH(U$4&amp;U$5, LS_previous!$D$2:$AY$2&amp;LS_previous!$D$3:$AY$3, 0)),SUM(VLOOKUP($A129, LS_previous!$B$4:$AY$137, LS_previous!M$148, FALSE), VLOOKUP('Staging Table'!$A129, LS_previous!$B$4:$AY$137,LS_previous!AK$148, FALSE))/2)</f>
        <v>-1367.1226811432025</v>
      </c>
      <c r="V129" s="102">
        <f t="array" ref="V129">IF($G129=0, INDEX(LS_previous!$D$4:$AY$137, MATCH('Staging Table'!$A129, LS_previous!$B$4:$B$137, 0), MATCH(V$4&amp;V$5, LS_previous!$D$2:$AY$2&amp;LS_previous!$D$3:$AY$3, 0)),SUM(VLOOKUP($A129, LS_previous!$B$4:$AY$137, LS_previous!N$148, FALSE), VLOOKUP('Staging Table'!$A129, LS_previous!$B$4:$AY$137,LS_previous!AL$148, FALSE))/2)</f>
        <v>-14019.481517922402</v>
      </c>
      <c r="W129" s="102">
        <f t="array" ref="W129">IF($G129=0, INDEX(LS_previous!$D$4:$AY$137, MATCH('Staging Table'!$A129, LS_previous!$B$4:$B$137, 0), MATCH(W$4&amp;W$5, LS_previous!$D$2:$AY$2&amp;LS_previous!$D$3:$AY$3, 0)),SUM(VLOOKUP($A129, LS_previous!$B$4:$AY$137, LS_previous!O$148, FALSE), VLOOKUP('Staging Table'!$A129, LS_previous!$B$4:$AY$137,LS_previous!AM$148, FALSE))/2)</f>
        <v>-3497.6996676144008</v>
      </c>
      <c r="X129" s="102">
        <f t="array" ref="X129">IF($G129=0, INDEX(LS_previous!$D$4:$AY$137, MATCH('Staging Table'!$A129, LS_previous!$B$4:$B$137, 0), MATCH(X$4&amp;X$5, LS_previous!$D$2:$AY$2&amp;LS_previous!$D$3:$AY$3, 0)),SUM(VLOOKUP($A129, LS_previous!$B$4:$AY$137, LS_previous!P$148, FALSE), VLOOKUP('Staging Table'!$A129, LS_previous!$B$4:$AY$137,LS_previous!AN$148, FALSE))/2)</f>
        <v>-5872.7923534819929</v>
      </c>
      <c r="Y129" s="102">
        <f t="array" ref="Y129">IF($G129=0, INDEX(LS_previous!$D$4:$AY$137, MATCH('Staging Table'!$A129, LS_previous!$B$4:$B$137, 0), MATCH(Y$4&amp;Y$5, LS_previous!$D$2:$AY$2&amp;LS_previous!$D$3:$AY$3, 0)),SUM(VLOOKUP($A129, LS_previous!$B$4:$AY$137, LS_previous!Q$148, FALSE), VLOOKUP('Staging Table'!$A129, LS_previous!$B$4:$AY$137,LS_previous!AO$148, FALSE))/2)</f>
        <v>-811.29960447139456</v>
      </c>
      <c r="Z129" s="102">
        <f t="array" ref="Z129">IF($G129=0, INDEX(LS_previous!$D$4:$AY$137, MATCH('Staging Table'!$A129, LS_previous!$B$4:$B$137, 0), MATCH(Z$4&amp;Z$5, LS_previous!$D$2:$AY$2&amp;LS_previous!$D$3:$AY$3, 0)),SUM(VLOOKUP($A129, LS_previous!$B$4:$AY$137, LS_previous!R$148, FALSE), VLOOKUP('Staging Table'!$A129, LS_previous!$B$4:$AY$137,LS_previous!AP$148, FALSE))/2)</f>
        <v>-13197.469234150405</v>
      </c>
      <c r="AA129" s="102">
        <f t="array" ref="AA129">IF($G129=0, INDEX(LS_previous!$D$4:$AY$137, MATCH('Staging Table'!$A129, LS_previous!$B$4:$B$137, 0), MATCH(AA$4&amp;AA$5, LS_previous!$D$2:$AY$2&amp;LS_previous!$D$3:$AY$3, 0)),SUM(VLOOKUP($A129, LS_previous!$B$4:$AY$137, LS_previous!S$148, FALSE), VLOOKUP('Staging Table'!$A129, LS_previous!$B$4:$AY$137,LS_previous!AQ$148, FALSE))/2)</f>
        <v>-239.75846877079675</v>
      </c>
      <c r="AB129" s="102">
        <f t="array" ref="AB129">IF($G129=0, INDEX(LS_previous!$D$4:$AY$137, MATCH('Staging Table'!$A129, LS_previous!$B$4:$B$137, 0), MATCH(AB$4&amp;AB$5, LS_previous!$D$2:$AY$2&amp;LS_previous!$D$3:$AY$3, 0)),SUM(VLOOKUP($A129, LS_previous!$B$4:$AY$137, LS_previous!T$148, FALSE), VLOOKUP('Staging Table'!$A129, LS_previous!$B$4:$AY$137,LS_previous!AR$148, FALSE))/2)</f>
        <v>-11858.204892404799</v>
      </c>
      <c r="AC129" s="102">
        <f t="array" ref="AC129">IF($G129=0, INDEX(LS_previous!$D$4:$AY$137, MATCH('Staging Table'!$A129, LS_previous!$B$4:$B$137, 0), MATCH(AC$4&amp;AC$5, LS_previous!$D$2:$AY$2&amp;LS_previous!$D$3:$AY$3, 0)),SUM(VLOOKUP($A129, LS_previous!$B$4:$AY$137, LS_previous!U$148, FALSE), VLOOKUP('Staging Table'!$A129, LS_previous!$B$4:$AY$137,LS_previous!AS$148, FALSE))/2)</f>
        <v>-1979.5277756315991</v>
      </c>
      <c r="AD129" s="102">
        <f t="array" ref="AD129">IF($G129=0, INDEX(LS_previous!$D$4:$AY$137, MATCH('Staging Table'!$A129, LS_previous!$B$4:$B$137, 0), MATCH(AD$4&amp;AD$5, LS_previous!$D$2:$AY$2&amp;LS_previous!$D$3:$AY$3, 0)),SUM(VLOOKUP($A129, LS_previous!$B$4:$AY$137, LS_previous!V$148, FALSE), VLOOKUP('Staging Table'!$A129, LS_previous!$B$4:$AY$137,LS_previous!AT$148, FALSE))/2)</f>
        <v>-8101.4150015072009</v>
      </c>
      <c r="AE129" s="102">
        <f t="array" ref="AE129">IF($G129=0, INDEX(LS_previous!$D$4:$AY$137, MATCH('Staging Table'!$A129, LS_previous!$B$4:$B$137, 0), MATCH(AE$4&amp;AE$5, LS_previous!$D$2:$AY$2&amp;LS_previous!$D$3:$AY$3, 0)),SUM(VLOOKUP($A129, LS_previous!$B$4:$AY$137, LS_previous!W$148, FALSE), VLOOKUP('Staging Table'!$A129, LS_previous!$B$4:$AY$137,LS_previous!AU$148, FALSE))/2)</f>
        <v>1058.8317142380038</v>
      </c>
      <c r="AF129" s="102">
        <f t="array" ref="AF129">IF($G129=0, INDEX(LS_previous!$D$4:$AY$137, MATCH('Staging Table'!$A129, LS_previous!$B$4:$B$137, 0), MATCH(AF$4&amp;AF$5, LS_previous!$D$2:$AY$2&amp;LS_previous!$D$3:$AY$3, 0)),SUM(VLOOKUP($A129, LS_previous!$B$4:$AY$137, LS_previous!X$148, FALSE), VLOOKUP('Staging Table'!$A129, LS_previous!$B$4:$AY$137,LS_previous!AV$148, FALSE))/2)</f>
        <v>-5277.8405698132046</v>
      </c>
      <c r="AG129" s="102">
        <f t="array" ref="AG129">IF($G129=0, INDEX(LS_previous!$D$4:$AY$137, MATCH('Staging Table'!$A129, LS_previous!$B$4:$B$137, 0), MATCH(AG$4&amp;AG$5, LS_previous!$D$2:$AY$2&amp;LS_previous!$D$3:$AY$3, 0)),SUM(VLOOKUP($A129, LS_previous!$B$4:$AY$137, LS_previous!Y$148, FALSE), VLOOKUP('Staging Table'!$A129, LS_previous!$B$4:$AY$137,LS_previous!AW$148, FALSE))/2)</f>
        <v>4560.0474704957196</v>
      </c>
      <c r="AH129" s="102">
        <f t="array" ref="AH129">IF($G129=0, INDEX(LS_previous!$D$4:$AY$137, MATCH('Staging Table'!$A129, LS_previous!$B$4:$B$137, 0), MATCH(AH$4&amp;AH$5, LS_previous!$D$2:$AY$2&amp;LS_previous!$D$3:$AY$3, 0)),SUM(VLOOKUP($A129, LS_previous!$B$4:$AY$137, LS_previous!Z$148, FALSE), VLOOKUP('Staging Table'!$A129, LS_previous!$B$4:$AY$137,LS_previous!AX$148, FALSE))/2)</f>
        <v>-311.99618135520723</v>
      </c>
      <c r="AI129" s="102">
        <f t="array" ref="AI129">IF($G129=0, INDEX(LS_previous!$D$4:$AY$137, MATCH('Staging Table'!$A129, LS_previous!$B$4:$B$137, 0), MATCH(AI$4&amp;AI$5, LS_previous!$D$2:$AY$2&amp;LS_previous!$D$3:$AY$3, 0)),SUM(VLOOKUP($A129, LS_previous!$B$4:$AY$137, LS_previous!AA$148, FALSE), VLOOKUP('Staging Table'!$A129, LS_previous!$B$4:$AY$137,LS_previous!AY$148, FALSE))/2)</f>
        <v>4199.3440468607987</v>
      </c>
      <c r="AJ129" s="103">
        <f t="array" ref="AJ129">INDEX(Demand_previous!$D$4:$AY$137, MATCH('Staging Table'!$A129, Demand_previous!$B$4:$B$137, 0), MATCH(AJ$4&amp;AJ$5,Demand_previous!$D$2:$AY$2&amp;Demand_previous!$D$3:$AY$3, 0))/1000</f>
        <v>6.8286754807692374</v>
      </c>
      <c r="AK129" s="103">
        <f t="array" ref="AK129">INDEX(Demand_previous!$D$4:$AY$137, MATCH('Staging Table'!$A129, Demand_previous!$B$4:$B$137, 0), MATCH(AK$4&amp;AK$5,Demand_previous!$D$2:$AY$2&amp;Demand_previous!$D$3:$AY$3, 0))/1000</f>
        <v>14.21052000000001</v>
      </c>
      <c r="AL129" s="103">
        <f t="array" ref="AL129">INDEX(Demand_previous!$D$4:$AY$137, MATCH('Staging Table'!$A129, Demand_previous!$B$4:$B$137, 0), MATCH(AL$4&amp;AL$5,Demand_previous!$D$2:$AY$2&amp;Demand_previous!$D$3:$AY$3, 0))/1000</f>
        <v>10.876097499999991</v>
      </c>
      <c r="AM129" s="103">
        <f t="array" ref="AM129">INDEX(Demand_previous!$D$4:$AY$137, MATCH('Staging Table'!$A129, Demand_previous!$B$4:$B$137, 0), MATCH(AM$4&amp;AM$5,Demand_previous!$D$2:$AY$2&amp;Demand_previous!$D$3:$AY$3, 0))/1000</f>
        <v>14.050411057692301</v>
      </c>
      <c r="AN129" s="103">
        <f t="array" ref="AN129">INDEX(Demand_previous!$D$4:$AY$137, MATCH('Staging Table'!$A129, Demand_previous!$B$4:$B$137, 0), MATCH(AN$4&amp;AN$5,Demand_previous!$D$2:$AY$2&amp;Demand_previous!$D$3:$AY$3, 0))/1000</f>
        <v>18.819019999999998</v>
      </c>
      <c r="AO129" s="103">
        <f t="array" ref="AO129">INDEX(Demand_previous!$D$4:$AY$137, MATCH('Staging Table'!$A129, Demand_previous!$B$4:$B$137, 0), MATCH(AO$4&amp;AO$5,Demand_previous!$D$2:$AY$2&amp;Demand_previous!$D$3:$AY$3, 0))/1000</f>
        <v>16.191853365384617</v>
      </c>
      <c r="AP129" s="103">
        <f t="array" ref="AP129">INDEX(Demand_previous!$D$4:$AY$137, MATCH('Staging Table'!$A129, Demand_previous!$B$4:$B$137, 0), MATCH(AP$4&amp;AP$5,Demand_previous!$D$2:$AY$2&amp;Demand_previous!$D$3:$AY$3, 0))/1000</f>
        <v>8.9505793269230676</v>
      </c>
      <c r="AQ129" s="103">
        <f t="array" ref="AQ129">INDEX(Demand_previous!$D$4:$AY$137, MATCH('Staging Table'!$A129, Demand_previous!$B$4:$B$137, 0), MATCH(AQ$4&amp;AQ$5,Demand_previous!$D$2:$AY$2&amp;Demand_previous!$D$3:$AY$3, 0))/1000</f>
        <v>0</v>
      </c>
      <c r="AR129" s="103">
        <f t="array" ref="AR129">INDEX(Demand_previous!$D$4:$AY$137, MATCH('Staging Table'!$A129, Demand_previous!$B$4:$B$137, 0), MATCH(AR$4&amp;AR$5,Demand_previous!$D$2:$AY$2&amp;Demand_previous!$D$3:$AY$3, 0))/1000</f>
        <v>3.3935174999999989</v>
      </c>
      <c r="AS129" s="103">
        <f t="array" ref="AS129">INDEX(Demand_previous!$D$4:$AY$137, MATCH('Staging Table'!$A129, Demand_previous!$B$4:$B$137, 0), MATCH(AS$4&amp;AS$5,Demand_previous!$D$2:$AY$2&amp;Demand_previous!$D$3:$AY$3, 0))/1000</f>
        <v>18.086925480769224</v>
      </c>
      <c r="AT129" s="103">
        <f t="array" ref="AT129">INDEX(Demand_previous!$D$4:$AY$137, MATCH('Staging Table'!$A129, Demand_previous!$B$4:$B$137, 0), MATCH(AT$4&amp;AT$5,Demand_previous!$D$2:$AY$2&amp;Demand_previous!$D$3:$AY$3, 0))/1000</f>
        <v>16.744877314814815</v>
      </c>
      <c r="AU129" s="103">
        <f t="array" ref="AU129">INDEX(Demand_previous!$D$4:$AY$137, MATCH('Staging Table'!$A129, Demand_previous!$B$4:$B$137, 0), MATCH(AU$4&amp;AU$5,Demand_previous!$D$2:$AY$2&amp;Demand_previous!$D$3:$AY$3, 0))/1000</f>
        <v>4.7598750000000054</v>
      </c>
      <c r="AV129" s="102">
        <f>$F129*(VLOOKUP(AV$4, Rates_previous!$G$6:$Q$29, 10, FALSE)+VLOOKUP(AV$4, Rates_previous!$G$6:$Q$29, 11, FALSE))</f>
        <v>58492.870392445198</v>
      </c>
      <c r="AW129" s="102">
        <f>$F129*(VLOOKUP(AW$4, Rates_previous!$G$6:$Q$29, 10, FALSE)+VLOOKUP(AW$4, Rates_previous!$G$6:$Q$29, 11, FALSE))</f>
        <v>74597.697948343208</v>
      </c>
      <c r="AX129" s="102">
        <f>$F129*(VLOOKUP(AX$4, Rates_previous!$G$6:$Q$29, 10, FALSE)+VLOOKUP(AX$4, Rates_previous!$G$6:$Q$29, 11, FALSE))</f>
        <v>80505.676070388014</v>
      </c>
      <c r="AY129" s="102">
        <f>$F129*(VLOOKUP(AY$4, Rates_previous!$G$6:$Q$29, 10, FALSE)+VLOOKUP(AY$4, Rates_previous!$G$6:$Q$29, 11, FALSE))</f>
        <v>83657.842634611196</v>
      </c>
      <c r="AZ129" s="102">
        <f>$F129*(VLOOKUP(AZ$4, Rates_previous!$G$6:$Q$29, 10, FALSE)+VLOOKUP(AZ$4, Rates_previous!$G$6:$Q$29, 11, FALSE))</f>
        <v>71956.895544302388</v>
      </c>
      <c r="BA129" s="102">
        <f>$F129*(VLOOKUP(BA$4, Rates_previous!$G$6:$Q$29, 10, FALSE)+VLOOKUP(BA$4, Rates_previous!$G$6:$Q$29, 11, FALSE))</f>
        <v>78562.683185536793</v>
      </c>
      <c r="BB129" s="102">
        <f>$F129*(VLOOKUP(BB$4, Rates_previous!$G$6:$Q$29, 10, FALSE)+VLOOKUP(BB$4, Rates_previous!$G$6:$Q$29, 11, FALSE))</f>
        <v>62011.998957953394</v>
      </c>
      <c r="BC129" s="102">
        <f>$F129*(VLOOKUP(BC$4, Rates_previous!$G$6:$Q$29, 10, FALSE)+VLOOKUP(BC$4, Rates_previous!$G$6:$Q$29, 11, FALSE))</f>
        <v>76934.194702921202</v>
      </c>
      <c r="BD129" s="102">
        <f>$F129*(VLOOKUP(BD$4, Rates_previous!$G$6:$Q$29, 10, FALSE)+VLOOKUP(BD$4, Rates_previous!$G$6:$Q$29, 11, FALSE))</f>
        <v>78603.47466803639</v>
      </c>
      <c r="BE129" s="102">
        <f>$F129*(VLOOKUP(BE$4, Rates_previous!$G$6:$Q$29, 10, FALSE)+VLOOKUP(BE$4, Rates_previous!$G$6:$Q$29, 11, FALSE))</f>
        <v>68239.140287269198</v>
      </c>
      <c r="BF129" s="102">
        <f>$F129*(VLOOKUP(BF$4, Rates_previous!$G$6:$Q$29, 10, FALSE)+VLOOKUP(BF$4, Rates_previous!$G$6:$Q$29, 11, FALSE))</f>
        <v>65969.110099317491</v>
      </c>
      <c r="BG129" s="102">
        <f>$F129*(VLOOKUP(BG$4, Rates_previous!$G$6:$Q$29, 10, FALSE)+VLOOKUP(BG$4, Rates_previous!$G$6:$Q$29, 11, FALSE))</f>
        <v>60704.35613449441</v>
      </c>
      <c r="BH129" s="103">
        <f>IF($D129=0,IF(C129=0, MAX(BJ129 - (VLOOKUP($A129,TOCA_previous!$A$2:$AJ$136,MATCH("RHWM "&amp;Init!$D$1-2,TOCA_previous!$A$2:$AJ$2,0),FALSE)*$F$2*TOCA_previous!C126),0),0), 0)</f>
        <v>0</v>
      </c>
      <c r="BI129" s="109">
        <f>MIN(VLOOKUP($A129,TOCA_previous!$A$2:$AJ$136,MATCH("TRL - NLSL - Existing Resource "&amp;$F$1,TOCA_previous!$A$2:$AJ$2,0),FALSE)*$F$2,(VLOOKUP($A129,TOCA_previous!$A$2:$AJ$136,MATCH("RHWM "&amp;Init!$D$1-2,TOCA_previous!$A$2:$AJ$2,0),FALSE)*$F$2))</f>
        <v>841252.46400000004</v>
      </c>
      <c r="BJ129" s="261">
        <f>SUM(L129:AI129)+(F129*RT1SC!$C$3*$F$2)</f>
        <v>742705.23294314917</v>
      </c>
      <c r="BK129" s="260">
        <f>VLOOKUP($A129,TOCA_previous!$A$2:$AJ$136,MATCH("Above RHWM Not Served with LS "&amp;$F$1,TOCA_previous!$A$2:$AJ$2,0),FALSE)*$F$2</f>
        <v>10874.591999999997</v>
      </c>
      <c r="BL129" s="261">
        <f t="shared" si="36"/>
        <v>-98547.231056850869</v>
      </c>
      <c r="BM129" s="260">
        <f>(VLOOKUP($A129,TOCA_previous!$A$2:$AJ$136,MATCH("RHWM "&amp;Init!$D$1-2,TOCA_previous!$A$2:$AJ$2,0),FALSE)*$F$2) - $BI129</f>
        <v>0</v>
      </c>
      <c r="BN129" s="261">
        <f t="shared" si="37"/>
        <v>0</v>
      </c>
      <c r="BO129" s="260">
        <f t="shared" si="38"/>
        <v>87672.639056850865</v>
      </c>
      <c r="BP129" s="261">
        <f t="shared" si="39"/>
        <v>0</v>
      </c>
      <c r="BQ129" s="260">
        <f t="shared" si="9"/>
        <v>87672.639056850865</v>
      </c>
      <c r="BR129" s="85">
        <f>VLOOKUP($A129,TOCA_current!$A$2:$ZZ$136,MATCH(BR$4,TOCA_current!$A$2:$ZZ$2,0),FALSE)</f>
        <v>1.20999E-2</v>
      </c>
      <c r="BS129" s="85">
        <f>VLOOKUP($A129,TOCA_current!$A$2:$ZZ$136,MATCH(BS$4,TOCA_current!$A$2:$ZZ$2,0),FALSE)</f>
        <v>1.20999E-2</v>
      </c>
      <c r="BT129" s="108">
        <f t="shared" si="40"/>
        <v>0</v>
      </c>
      <c r="BU129" s="85">
        <f>VLOOKUP($A129,TOCA_current!A126:BG260,MATCH(BU$4,TOCA_current!$A$2:$BG$2,0),FALSE)</f>
        <v>6.5000000000000002E-2</v>
      </c>
      <c r="BV129" s="85">
        <f t="shared" si="41"/>
        <v>0</v>
      </c>
      <c r="BW129" s="85">
        <f t="shared" si="42"/>
        <v>0</v>
      </c>
      <c r="BX129" s="101">
        <f>VLOOKUP($A129,IRD!$A$4:$G$138, 7, FALSE)</f>
        <v>7171.34</v>
      </c>
      <c r="BY129" s="102">
        <f t="array" ref="BY129">IF($BT129=0, INDEX(LS_current!$D$4:$BW$137, MATCH('Staging Table'!$A129, LS_current!$B$4:$B$137, 0), MATCH(BY$4&amp;BY$5, LS_current!$D$2:$BW$2&amp;LS_current!$D$3:$BW$3, 0)),SUM(VLOOKUP($A129, LS_current!$B$4:$BW$137, LS_current!D$147, FALSE), VLOOKUP($A129, LS_current!$B$4:$BW$137,LS_current!AZ$147, FALSE))/2)</f>
        <v>3548.8605374241706</v>
      </c>
      <c r="BZ129" s="102">
        <f t="array" ref="BZ129">IF($BT129=0, INDEX(LS_current!$D$4:$BW$137, MATCH('Staging Table'!$A129, LS_current!$B$4:$B$137, 0), MATCH(BZ$4&amp;BZ$5, LS_current!$D$2:$BW$2&amp;LS_current!$D$3:$BW$3, 0)),SUM(VLOOKUP($A129, LS_current!$B$4:$BW$137, LS_current!E$147, FALSE), VLOOKUP($A129, LS_current!$B$4:$BW$137,LS_current!BA$147, FALSE))/2)</f>
        <v>6365.2294263400727</v>
      </c>
      <c r="CA129" s="102">
        <f t="array" ref="CA129">IF($BT129=0, INDEX(LS_current!$D$4:$BW$137, MATCH('Staging Table'!$A129, LS_current!$B$4:$B$137, 0), MATCH(CA$4&amp;CA$5, LS_current!$D$2:$BW$2&amp;LS_current!$D$3:$BW$3, 0)),SUM(VLOOKUP($A129, LS_current!$B$4:$BW$137, LS_current!F$147, FALSE), VLOOKUP($A129, LS_current!$B$4:$BW$137,LS_current!BB$147, FALSE))/2)</f>
        <v>-7180.4378204193854</v>
      </c>
      <c r="CB129" s="102">
        <f t="array" ref="CB129">IF($BT129=0, INDEX(LS_current!$D$4:$BW$137, MATCH('Staging Table'!$A129, LS_current!$B$4:$B$137, 0), MATCH(CB$4&amp;CB$5, LS_current!$D$2:$BW$2&amp;LS_current!$D$3:$BW$3, 0)),SUM(VLOOKUP($A129, LS_current!$B$4:$BW$137, LS_current!G$147, FALSE), VLOOKUP($A129, LS_current!$B$4:$BW$137,LS_current!BC$147, FALSE))/2)</f>
        <v>3020.6554525655774</v>
      </c>
      <c r="CC129" s="102">
        <f t="array" ref="CC129">IF($BT129=0, INDEX(LS_current!$D$4:$BW$137, MATCH('Staging Table'!$A129, LS_current!$B$4:$B$137, 0), MATCH(CC$4&amp;CC$5, LS_current!$D$2:$BW$2&amp;LS_current!$D$3:$BW$3, 0)),SUM(VLOOKUP($A129, LS_current!$B$4:$BW$137, LS_current!H$147, FALSE), VLOOKUP($A129, LS_current!$B$4:$BW$137,LS_current!BD$147, FALSE))/2)</f>
        <v>-9739.1244839495703</v>
      </c>
      <c r="CD129" s="102">
        <f t="array" ref="CD129">IF($BT129=0, INDEX(LS_current!$D$4:$BW$137, MATCH('Staging Table'!$A129, LS_current!$B$4:$B$137, 0), MATCH(CD$4&amp;CD$5, LS_current!$D$2:$BW$2&amp;LS_current!$D$3:$BW$3, 0)),SUM(VLOOKUP($A129, LS_current!$B$4:$BW$137, LS_current!I$147, FALSE), VLOOKUP($A129, LS_current!$B$4:$BW$137,LS_current!BE$147, FALSE))/2)</f>
        <v>3279.5911463783377</v>
      </c>
      <c r="CE129" s="102">
        <f t="array" ref="CE129">IF($BT129=0, INDEX(LS_current!$D$4:$BW$137, MATCH('Staging Table'!$A129, LS_current!$B$4:$B$137, 0), MATCH(CE$4&amp;CE$5, LS_current!$D$2:$BW$2&amp;LS_current!$D$3:$BW$3, 0)),SUM(VLOOKUP($A129, LS_current!$B$4:$BW$137, LS_current!J$147, FALSE), VLOOKUP($A129, LS_current!$B$4:$BW$137,LS_current!BF$147, FALSE))/2)</f>
        <v>-11497.136220664477</v>
      </c>
      <c r="CF129" s="102">
        <f t="array" ref="CF129">IF($BT129=0, INDEX(LS_current!$D$4:$BW$137, MATCH('Staging Table'!$A129, LS_current!$B$4:$B$137, 0), MATCH(CF$4&amp;CF$5, LS_current!$D$2:$BW$2&amp;LS_current!$D$3:$BW$3, 0)),SUM(VLOOKUP($A129, LS_current!$B$4:$BW$137, LS_current!K$147, FALSE), VLOOKUP($A129, LS_current!$B$4:$BW$137,LS_current!BG$147, FALSE))/2)</f>
        <v>1185.5004688886111</v>
      </c>
      <c r="CG129" s="102">
        <f t="array" ref="CG129">IF($BT129=0, INDEX(LS_current!$D$4:$BW$137, MATCH('Staging Table'!$A129, LS_current!$B$4:$B$137, 0), MATCH(CG$4&amp;CG$5, LS_current!$D$2:$BW$2&amp;LS_current!$D$3:$BW$3, 0)),SUM(VLOOKUP($A129, LS_current!$B$4:$BW$137, LS_current!L$147, FALSE), VLOOKUP($A129, LS_current!$B$4:$BW$137,LS_current!BH$147, FALSE))/2)</f>
        <v>-6118.1396457898009</v>
      </c>
      <c r="CH129" s="102">
        <f t="array" ref="CH129">IF($BT129=0, INDEX(LS_current!$D$4:$BW$137, MATCH('Staging Table'!$A129, LS_current!$B$4:$B$137, 0), MATCH(CH$4&amp;CH$5, LS_current!$D$2:$BW$2&amp;LS_current!$D$3:$BW$3, 0)),SUM(VLOOKUP($A129, LS_current!$B$4:$BW$137, LS_current!M$147, FALSE), VLOOKUP($A129, LS_current!$B$4:$BW$137,LS_current!BI$147, FALSE))/2)</f>
        <v>2884.3579630544264</v>
      </c>
      <c r="CI129" s="102">
        <f t="array" ref="CI129">IF($BT129=0, INDEX(LS_current!$D$4:$BW$137, MATCH('Staging Table'!$A129, LS_current!$B$4:$B$137, 0), MATCH(CI$4&amp;CI$5, LS_current!$D$2:$BW$2&amp;LS_current!$D$3:$BW$3, 0)),SUM(VLOOKUP($A129, LS_current!$B$4:$BW$137, LS_current!N$147, FALSE), VLOOKUP($A129, LS_current!$B$4:$BW$137,LS_current!BJ$147, FALSE))/2)</f>
        <v>-9306.818930697722</v>
      </c>
      <c r="CJ129" s="102">
        <f t="array" ref="CJ129">IF($BT129=0, INDEX(LS_current!$D$4:$BW$137, MATCH('Staging Table'!$A129, LS_current!$B$4:$B$137, 0), MATCH(CJ$4&amp;CJ$5, LS_current!$D$2:$BW$2&amp;LS_current!$D$3:$BW$3, 0)),SUM(VLOOKUP($A129, LS_current!$B$4:$BW$137, LS_current!O$147, FALSE), VLOOKUP($A129, LS_current!$B$4:$BW$137,LS_current!BK$147, FALSE))/2)</f>
        <v>4179.7244250981203</v>
      </c>
      <c r="CK129" s="102">
        <f t="array" ref="CK129">IF($BT129=0, INDEX(LS_current!$D$4:$BW$137, MATCH('Staging Table'!$A129, LS_current!$B$4:$B$137, 0), MATCH(CK$4&amp;CK$5, LS_current!$D$2:$BW$2&amp;LS_current!$D$3:$BW$3, 0)),SUM(VLOOKUP($A129, LS_current!$B$4:$BW$137, LS_current!P$147, FALSE), VLOOKUP($A129, LS_current!$B$4:$BW$137,LS_current!BL$147, FALSE))/2)</f>
        <v>372.55960657222022</v>
      </c>
      <c r="CL129" s="102">
        <f t="array" ref="CL129">IF($BT129=0, INDEX(LS_current!$D$4:$BW$137, MATCH('Staging Table'!$A129, LS_current!$B$4:$B$137, 0), MATCH(CL$4&amp;CL$5, LS_current!$D$2:$BW$2&amp;LS_current!$D$3:$BW$3, 0)),SUM(VLOOKUP($A129, LS_current!$B$4:$BW$137, LS_current!Q$147, FALSE), VLOOKUP($A129, LS_current!$B$4:$BW$137,LS_current!BM$147, FALSE))/2)</f>
        <v>3849.3988639960262</v>
      </c>
      <c r="CM129" s="102">
        <f t="array" ref="CM129">IF($BT129=0, INDEX(LS_current!$D$4:$BW$137, MATCH('Staging Table'!$A129, LS_current!$B$4:$B$137, 0), MATCH(CM$4&amp;CM$5, LS_current!$D$2:$BW$2&amp;LS_current!$D$3:$BW$3, 0)),SUM(VLOOKUP($A129, LS_current!$B$4:$BW$137, LS_current!R$147, FALSE), VLOOKUP($A129, LS_current!$B$4:$BW$137,LS_current!BN$147, FALSE))/2)</f>
        <v>-6680.7776253916236</v>
      </c>
      <c r="CN129" s="102">
        <f t="array" ref="CN129">IF($BT129=0, INDEX(LS_current!$D$4:$BW$137, MATCH('Staging Table'!$A129, LS_current!$B$4:$B$137, 0), MATCH(CN$4&amp;CN$5, LS_current!$D$2:$BW$2&amp;LS_current!$D$3:$BW$3, 0)),SUM(VLOOKUP($A129, LS_current!$B$4:$BW$137, LS_current!S$147, FALSE), VLOOKUP($A129, LS_current!$B$4:$BW$137,LS_current!BO$147, FALSE))/2)</f>
        <v>3805.7379092790397</v>
      </c>
      <c r="CO129" s="102">
        <f t="array" ref="CO129">IF($BT129=0, INDEX(LS_current!$D$4:$BW$137, MATCH('Staging Table'!$A129, LS_current!$B$4:$B$137, 0), MATCH(CO$4&amp;CO$5, LS_current!$D$2:$BW$2&amp;LS_current!$D$3:$BW$3, 0)),SUM(VLOOKUP($A129, LS_current!$B$4:$BW$137, LS_current!T$147, FALSE), VLOOKUP($A129, LS_current!$B$4:$BW$137,LS_current!BP$147, FALSE))/2)</f>
        <v>-6798.5323617744507</v>
      </c>
      <c r="CP129" s="102">
        <f t="array" ref="CP129">IF($BT129=0, INDEX(LS_current!$D$4:$BW$137, MATCH('Staging Table'!$A129, LS_current!$B$4:$B$137, 0), MATCH(CP$4&amp;CP$5, LS_current!$D$2:$BW$2&amp;LS_current!$D$3:$BW$3, 0)),SUM(VLOOKUP($A129, LS_current!$B$4:$BW$137, LS_current!U$147, FALSE), VLOOKUP($A129, LS_current!$B$4:$BW$137,LS_current!BQ$147, FALSE))/2)</f>
        <v>3725.6525249733859</v>
      </c>
      <c r="CQ129" s="102">
        <f t="array" ref="CQ129">IF($BT129=0, INDEX(LS_current!$D$4:$BW$137, MATCH('Staging Table'!$A129, LS_current!$B$4:$B$137, 0), MATCH(CQ$4&amp;CQ$5, LS_current!$D$2:$BW$2&amp;LS_current!$D$3:$BW$3, 0)),SUM(VLOOKUP($A129, LS_current!$B$4:$BW$137, LS_current!V$147, FALSE), VLOOKUP($A129, LS_current!$B$4:$BW$137,LS_current!BR$147, FALSE))/2)</f>
        <v>-3826.7587792146442</v>
      </c>
      <c r="CR129" s="102">
        <f t="array" ref="CR129">IF($BT129=0, INDEX(LS_current!$D$4:$BW$137, MATCH('Staging Table'!$A129, LS_current!$B$4:$B$137, 0), MATCH(CR$4&amp;CR$5, LS_current!$D$2:$BW$2&amp;LS_current!$D$3:$BW$3, 0)),SUM(VLOOKUP($A129, LS_current!$B$4:$BW$137, LS_current!W$147, FALSE), VLOOKUP($A129, LS_current!$B$4:$BW$137,LS_current!BS$147, FALSE))/2)</f>
        <v>4768.7598503691406</v>
      </c>
      <c r="CS129" s="102">
        <f t="array" ref="CS129">IF($BT129=0, INDEX(LS_current!$D$4:$BW$137, MATCH('Staging Table'!$A129, LS_current!$B$4:$B$137, 0), MATCH(CS$4&amp;CS$5, LS_current!$D$2:$BW$2&amp;LS_current!$D$3:$BW$3, 0)),SUM(VLOOKUP($A129, LS_current!$B$4:$BW$137, LS_current!X$147, FALSE), VLOOKUP($A129, LS_current!$B$4:$BW$137,LS_current!BT$147, FALSE))/2)</f>
        <v>-4609.0372070407684</v>
      </c>
      <c r="CT129" s="102">
        <f t="array" ref="CT129">IF($BT129=0, INDEX(LS_current!$D$4:$BW$137, MATCH('Staging Table'!$A129, LS_current!$B$4:$B$137, 0), MATCH(CT$4&amp;CT$5, LS_current!$D$2:$BW$2&amp;LS_current!$D$3:$BW$3, 0)),SUM(VLOOKUP($A129, LS_current!$B$4:$BW$137, LS_current!Y$147, FALSE), VLOOKUP($A129, LS_current!$B$4:$BW$137,LS_current!BU$147, FALSE))/2)</f>
        <v>8026.4511949539701</v>
      </c>
      <c r="CU129" s="102">
        <f t="array" ref="CU129">IF($BT129=0, INDEX(LS_current!$D$4:$BW$137, MATCH('Staging Table'!$A129, LS_current!$B$4:$B$137, 0), MATCH(CU$4&amp;CU$5, LS_current!$D$2:$BW$2&amp;LS_current!$D$3:$BW$3, 0)),SUM(VLOOKUP($A129, LS_current!$B$4:$BW$137, LS_current!Z$147, FALSE), VLOOKUP($A129, LS_current!$B$4:$BW$137,LS_current!BV$147, FALSE))/2)</f>
        <v>6084.0043551113631</v>
      </c>
      <c r="CV129" s="102">
        <f t="array" ref="CV129">IF($BT129=0, INDEX(LS_current!$D$4:$BW$137, MATCH('Staging Table'!$A129, LS_current!$B$4:$B$137, 0), MATCH(CV$4&amp;CV$5, LS_current!$D$2:$BW$2&amp;LS_current!$D$3:$BW$3, 0)),SUM(VLOOKUP($A129, LS_current!$B$4:$BW$137, LS_current!AA$147, FALSE), VLOOKUP($A129, LS_current!$B$4:$BW$137,LS_current!BW$147, FALSE))/2)</f>
        <v>10662.299009017879</v>
      </c>
      <c r="CW129" s="103">
        <f t="array" ref="CW129">INDEX(Demand_current!$D$4:$BW$137, MATCH($A129, Demand_current!$B$4:$B$137, 0), MATCH(CW$4&amp;CW$5,Demand_current!$D$2:$BW$2&amp;Demand_current!$D$3:$BW$3, 0))/1000</f>
        <v>9.9305023148148344</v>
      </c>
      <c r="CX129" s="103">
        <f t="array" ref="CX129">INDEX(Demand_current!$D$4:$BW$137, MATCH($A129, Demand_current!$B$4:$B$137, 0), MATCH(CX$4&amp;CX$5,Demand_current!$D$2:$BW$2&amp;Demand_current!$D$3:$BW$3, 0))/1000</f>
        <v>10.918125000000011</v>
      </c>
      <c r="CY129" s="103">
        <f t="array" ref="CY129">INDEX(Demand_current!$D$4:$BW$137, MATCH($A129, Demand_current!$B$4:$B$137, 0), MATCH(CY$4&amp;CY$5,Demand_current!$D$2:$BW$2&amp;Demand_current!$D$3:$BW$3, 0))/1000</f>
        <v>14.438593749999987</v>
      </c>
      <c r="CZ129" s="103">
        <f t="array" ref="CZ129">INDEX(Demand_current!$D$4:$BW$137, MATCH($A129, Demand_current!$B$4:$B$137, 0), MATCH(CZ$4&amp;CZ$5,Demand_current!$D$2:$BW$2&amp;Demand_current!$D$3:$BW$3, 0))/1000</f>
        <v>14.050411057692301</v>
      </c>
      <c r="DA129" s="103">
        <f t="array" ref="DA129">INDEX(Demand_current!$D$4:$BW$137, MATCH($A129, Demand_current!$B$4:$B$137, 0), MATCH(DA$4&amp;DA$5,Demand_current!$D$2:$BW$2&amp;Demand_current!$D$3:$BW$3, 0))/1000</f>
        <v>15.388187500000004</v>
      </c>
      <c r="DB129" s="103">
        <f t="array" ref="DB129">INDEX(Demand_current!$D$4:$BW$137, MATCH($A129, Demand_current!$B$4:$B$137, 0), MATCH(DB$4&amp;DB$5,Demand_current!$D$2:$BW$2&amp;Demand_current!$D$3:$BW$3, 0))/1000</f>
        <v>16.191853365384617</v>
      </c>
      <c r="DC129" s="103">
        <f t="array" ref="DC129">INDEX(Demand_current!$D$4:$BW$137, MATCH($A129, Demand_current!$B$4:$B$137, 0), MATCH(DC$4&amp;DC$5,Demand_current!$D$2:$BW$2&amp;Demand_current!$D$3:$BW$3, 0))/1000</f>
        <v>8.9505793269230818</v>
      </c>
      <c r="DD129" s="103">
        <f t="array" ref="DD129">INDEX(Demand_current!$D$4:$BW$137, MATCH($A129, Demand_current!$B$4:$B$137, 0), MATCH(DD$4&amp;DD$5,Demand_current!$D$2:$BW$2&amp;Demand_current!$D$3:$BW$3, 0))/1000</f>
        <v>0</v>
      </c>
      <c r="DE129" s="103">
        <f t="array" ref="DE129">INDEX(Demand_current!$D$4:$BW$137, MATCH($A129, Demand_current!$B$4:$B$137, 0), MATCH(DE$4&amp;DE$5,Demand_current!$D$2:$BW$2&amp;Demand_current!$D$3:$BW$3, 0))/1000</f>
        <v>7.0469591346153893</v>
      </c>
      <c r="DF129" s="103">
        <f t="array" ref="DF129">INDEX(Demand_current!$D$4:$BW$137, MATCH($A129, Demand_current!$B$4:$B$137, 0), MATCH(DF$4&amp;DF$5,Demand_current!$D$2:$BW$2&amp;Demand_current!$D$3:$BW$3, 0))/1000</f>
        <v>18.086925480769224</v>
      </c>
      <c r="DG129" s="103">
        <f t="array" ref="DG129">INDEX(Demand_current!$D$4:$BW$137, MATCH($A129, Demand_current!$B$4:$B$137, 0), MATCH(DG$4&amp;DG$5,Demand_current!$D$2:$BW$2&amp;Demand_current!$D$3:$BW$3, 0))/1000</f>
        <v>13.441372596153855</v>
      </c>
      <c r="DH129" s="103">
        <f t="array" ref="DH129">INDEX(Demand_current!$D$4:$BW$137, MATCH($A129, Demand_current!$B$4:$B$137, 0), MATCH(DH$4&amp;DH$5,Demand_current!$D$2:$BW$2&amp;Demand_current!$D$3:$BW$3, 0))/1000</f>
        <v>8.5535200000000042</v>
      </c>
      <c r="DI129" s="102">
        <f>$BS129*(VLOOKUP(DI$4, Rates_current!$H$6:$R$41, 10, FALSE)+VLOOKUP(DI$4, Rates_current!$H$6:$R$41, 11, FALSE))</f>
        <v>50218.065036235756</v>
      </c>
      <c r="DJ129" s="102">
        <f>$BS129*(VLOOKUP(DJ$4, Rates_current!$H$6:$R$41, 10, FALSE)+VLOOKUP(DJ$4, Rates_current!$H$6:$R$41, 11, FALSE))</f>
        <v>64202.143367853816</v>
      </c>
      <c r="DK129" s="102">
        <f>$BS129*(VLOOKUP(DK$4, Rates_current!$H$6:$R$41, 10, FALSE)+VLOOKUP(DK$4, Rates_current!$H$6:$R$41, 11, FALSE))</f>
        <v>72992.46733757123</v>
      </c>
      <c r="DL129" s="102">
        <f>$BS129*(VLOOKUP(DL$4, Rates_current!$H$6:$R$41, 10, FALSE)+VLOOKUP(DL$4, Rates_current!$H$6:$R$41, 11, FALSE))</f>
        <v>77012.750751775864</v>
      </c>
      <c r="DM129" s="102">
        <f>$BS129*(VLOOKUP(DM$4, Rates_current!$H$6:$R$41, 10, FALSE)+VLOOKUP(DM$4, Rates_current!$H$6:$R$41, 11, FALSE))</f>
        <v>61372.211682735375</v>
      </c>
      <c r="DN129" s="102">
        <f>$BS129*(VLOOKUP(DN$4, Rates_current!$H$6:$R$41, 10, FALSE)+VLOOKUP(DN$4, Rates_current!$H$6:$R$41, 11, FALSE))</f>
        <v>67092.430505599594</v>
      </c>
      <c r="DO129" s="102">
        <f>$BS129*(VLOOKUP(DO$4, Rates_current!$H$6:$R$41, 10, FALSE)+VLOOKUP(DO$4, Rates_current!$H$6:$R$41, 11, FALSE))</f>
        <v>51997.308529431757</v>
      </c>
      <c r="DP129" s="102">
        <f>$BS129*(VLOOKUP(DP$4, Rates_current!$H$6:$R$41, 10, FALSE)+VLOOKUP(DP$4, Rates_current!$H$6:$R$41, 11, FALSE))</f>
        <v>67293.078716112592</v>
      </c>
      <c r="DQ129" s="102">
        <f>$BS129*(VLOOKUP(DQ$4, Rates_current!$H$6:$R$41, 10, FALSE)+VLOOKUP(DQ$4, Rates_current!$H$6:$R$41, 11, FALSE))</f>
        <v>68729.98183680106</v>
      </c>
      <c r="DR129" s="102">
        <f>$BS129*(VLOOKUP(DR$4, Rates_current!$H$6:$R$41, 10, FALSE)+VLOOKUP(DR$4, Rates_current!$H$6:$R$41, 11, FALSE))</f>
        <v>61175.627928845497</v>
      </c>
      <c r="DS129" s="102">
        <f>$BS129*(VLOOKUP(DS$4, Rates_current!$H$6:$R$41, 10, FALSE)+VLOOKUP(DS$4, Rates_current!$H$6:$R$41, 11, FALSE))</f>
        <v>62754.975012086798</v>
      </c>
      <c r="DT129" s="102">
        <f>$BS129*(VLOOKUP(DT$4, Rates_current!$H$6:$R$41, 10, FALSE)+VLOOKUP(DT$4, Rates_current!$H$6:$R$41, 11, FALSE))</f>
        <v>48736.760635870756</v>
      </c>
      <c r="DU129" s="261">
        <f>IF(D129=0,IF(C129=0,MAX(0,DW129 - (VLOOKUP($A129,TOCA_current!$A$2:$AV$136,MATCH("RHWM "&amp;Init!$D$1,TOCA_current!$A$2:$AV$2,0),FALSE)*$BS$2)), 0),0)</f>
        <v>0</v>
      </c>
      <c r="DV129" s="262">
        <f>MIN(VLOOKUP($A129,TOCA_current!$A$2:$AV$136,MATCH("TRL - NLSL - Existing Resource "&amp;$BS$1,TOCA_current!$A$2:$AV$2,0),FALSE)*$BS$2, VLOOKUP($A129,TOCA_current!$A$2:$AV$136,MATCH("RHWM "&amp;Init!$D$1,TOCA_current!$A$2:$AV$2,0),FALSE)*$BS$2)</f>
        <v>753579</v>
      </c>
      <c r="DW129" s="262">
        <f>SUM(BY129:CV129)+(BS129*RT1SC!$C$4*$BS$2)</f>
        <v>753579.86548352789</v>
      </c>
      <c r="DX129" s="262">
        <f>VLOOKUP($A129,TOCA_current!$A$2:$AV$136,MATCH("Above RHWM Not Served with LS "&amp;$BS$1,TOCA_current!$A$2:$AV$2,0),FALSE)*$BS$2</f>
        <v>0</v>
      </c>
      <c r="DY129" s="262">
        <f t="shared" si="43"/>
        <v>0.86548352788668126</v>
      </c>
      <c r="DZ129" s="262">
        <f>(VLOOKUP($A129,TOCA_current!$A$2:$AV$136,MATCH("RHWM "&amp;Init!$D$1,TOCA_current!$A$2:$AV$2,0),FALSE)*$BS$2) - $DV129</f>
        <v>90210.479999999981</v>
      </c>
      <c r="EA129" s="262">
        <f t="shared" si="44"/>
        <v>-0.86548352788668126</v>
      </c>
      <c r="EB129" s="262">
        <f t="shared" si="45"/>
        <v>0</v>
      </c>
      <c r="EC129" s="262">
        <f t="shared" si="46"/>
        <v>0</v>
      </c>
      <c r="ED129" s="262">
        <f t="shared" si="47"/>
        <v>-0.86548352788668126</v>
      </c>
    </row>
    <row r="130" spans="1:134">
      <c r="A130" s="2">
        <v>10448</v>
      </c>
      <c r="B130" s="3" t="s">
        <v>132</v>
      </c>
      <c r="C130">
        <f>VLOOKUP(A130, TOCA_current!$A$3:$D$136, 4, FALSE)</f>
        <v>1</v>
      </c>
      <c r="D130">
        <v>0</v>
      </c>
      <c r="E130" s="84">
        <f>VLOOKUP($A130,TOCA_previous!$A$2:$AJ$136,MATCH(E$4,TOCA_previous!$A$2:$AJ$2,0),FALSE)</f>
        <v>1.1931000000000001E-3</v>
      </c>
      <c r="F130" s="85">
        <f>VLOOKUP($A130,TOCA_previous!$A$2:$AJ$136,MATCH(F$4,TOCA_previous!$A$2:$AJ$2,0),FALSE)</f>
        <v>1.1931000000000001E-3</v>
      </c>
      <c r="G130" s="85">
        <f t="shared" si="33"/>
        <v>0</v>
      </c>
      <c r="H130" s="85">
        <f>VLOOKUP($A130,TOCA_previous!$A$2:$AJ$136,MATCH(H$4,TOCA_previous!$A$2:$AJ$2,0),FALSE)</f>
        <v>7.0000000000000007E-2</v>
      </c>
      <c r="I130" s="85">
        <f t="shared" si="34"/>
        <v>7.0000000000000007E-2</v>
      </c>
      <c r="J130" s="85">
        <f t="shared" si="35"/>
        <v>1.1931000000000001E-3</v>
      </c>
      <c r="K130" s="101">
        <f>VLOOKUP(A130, IRD!$A$5:$C$138, 3, FALSE)</f>
        <v>0</v>
      </c>
      <c r="L130" s="102">
        <f t="array" ref="L130">IF($G130=0, INDEX(LS_previous!$D$4:$AY$137, MATCH('Staging Table'!$A130, LS_previous!$B$4:$B$137, 0), MATCH(L$4&amp;L$5, LS_previous!$D$2:$AY$2&amp;LS_previous!$D$3:$AY$3, 0)),SUM(VLOOKUP($A130, LS_previous!$B$4:$AY$137, LS_previous!D$148, FALSE), VLOOKUP('Staging Table'!$A130, LS_previous!$B$4:$AY$137,LS_previous!AB$148, FALSE))/2)</f>
        <v>0</v>
      </c>
      <c r="M130" s="102">
        <f t="array" ref="M130">IF($G130=0, INDEX(LS_previous!$D$4:$AY$137, MATCH('Staging Table'!$A130, LS_previous!$B$4:$B$137, 0), MATCH(M$4&amp;M$5, LS_previous!$D$2:$AY$2&amp;LS_previous!$D$3:$AY$3, 0)),SUM(VLOOKUP($A130, LS_previous!$B$4:$AY$137, LS_previous!E$148, FALSE), VLOOKUP('Staging Table'!$A130, LS_previous!$B$4:$AY$137,LS_previous!AC$148, FALSE))/2)</f>
        <v>0</v>
      </c>
      <c r="N130" s="102">
        <f t="array" ref="N130">IF($G130=0, INDEX(LS_previous!$D$4:$AY$137, MATCH('Staging Table'!$A130, LS_previous!$B$4:$B$137, 0), MATCH(N$4&amp;N$5, LS_previous!$D$2:$AY$2&amp;LS_previous!$D$3:$AY$3, 0)),SUM(VLOOKUP($A130, LS_previous!$B$4:$AY$137, LS_previous!F$148, FALSE), VLOOKUP('Staging Table'!$A130, LS_previous!$B$4:$AY$137,LS_previous!AD$148, FALSE))/2)</f>
        <v>0</v>
      </c>
      <c r="O130" s="102">
        <f t="array" ref="O130">IF($G130=0, INDEX(LS_previous!$D$4:$AY$137, MATCH('Staging Table'!$A130, LS_previous!$B$4:$B$137, 0), MATCH(O$4&amp;O$5, LS_previous!$D$2:$AY$2&amp;LS_previous!$D$3:$AY$3, 0)),SUM(VLOOKUP($A130, LS_previous!$B$4:$AY$137, LS_previous!G$148, FALSE), VLOOKUP('Staging Table'!$A130, LS_previous!$B$4:$AY$137,LS_previous!AE$148, FALSE))/2)</f>
        <v>0</v>
      </c>
      <c r="P130" s="102">
        <f t="array" ref="P130">IF($G130=0, INDEX(LS_previous!$D$4:$AY$137, MATCH('Staging Table'!$A130, LS_previous!$B$4:$B$137, 0), MATCH(P$4&amp;P$5, LS_previous!$D$2:$AY$2&amp;LS_previous!$D$3:$AY$3, 0)),SUM(VLOOKUP($A130, LS_previous!$B$4:$AY$137, LS_previous!H$148, FALSE), VLOOKUP('Staging Table'!$A130, LS_previous!$B$4:$AY$137,LS_previous!AF$148, FALSE))/2)</f>
        <v>0</v>
      </c>
      <c r="Q130" s="102">
        <f t="array" ref="Q130">IF($G130=0, INDEX(LS_previous!$D$4:$AY$137, MATCH('Staging Table'!$A130, LS_previous!$B$4:$B$137, 0), MATCH(Q$4&amp;Q$5, LS_previous!$D$2:$AY$2&amp;LS_previous!$D$3:$AY$3, 0)),SUM(VLOOKUP($A130, LS_previous!$B$4:$AY$137, LS_previous!I$148, FALSE), VLOOKUP('Staging Table'!$A130, LS_previous!$B$4:$AY$137,LS_previous!AG$148, FALSE))/2)</f>
        <v>0</v>
      </c>
      <c r="R130" s="102">
        <f t="array" ref="R130">IF($G130=0, INDEX(LS_previous!$D$4:$AY$137, MATCH('Staging Table'!$A130, LS_previous!$B$4:$B$137, 0), MATCH(R$4&amp;R$5, LS_previous!$D$2:$AY$2&amp;LS_previous!$D$3:$AY$3, 0)),SUM(VLOOKUP($A130, LS_previous!$B$4:$AY$137, LS_previous!J$148, FALSE), VLOOKUP('Staging Table'!$A130, LS_previous!$B$4:$AY$137,LS_previous!AH$148, FALSE))/2)</f>
        <v>0</v>
      </c>
      <c r="S130" s="102">
        <f t="array" ref="S130">IF($G130=0, INDEX(LS_previous!$D$4:$AY$137, MATCH('Staging Table'!$A130, LS_previous!$B$4:$B$137, 0), MATCH(S$4&amp;S$5, LS_previous!$D$2:$AY$2&amp;LS_previous!$D$3:$AY$3, 0)),SUM(VLOOKUP($A130, LS_previous!$B$4:$AY$137, LS_previous!K$148, FALSE), VLOOKUP('Staging Table'!$A130, LS_previous!$B$4:$AY$137,LS_previous!AI$148, FALSE))/2)</f>
        <v>0</v>
      </c>
      <c r="T130" s="102">
        <f t="array" ref="T130">IF($G130=0, INDEX(LS_previous!$D$4:$AY$137, MATCH('Staging Table'!$A130, LS_previous!$B$4:$B$137, 0), MATCH(T$4&amp;T$5, LS_previous!$D$2:$AY$2&amp;LS_previous!$D$3:$AY$3, 0)),SUM(VLOOKUP($A130, LS_previous!$B$4:$AY$137, LS_previous!L$148, FALSE), VLOOKUP('Staging Table'!$A130, LS_previous!$B$4:$AY$137,LS_previous!AJ$148, FALSE))/2)</f>
        <v>0</v>
      </c>
      <c r="U130" s="102">
        <f t="array" ref="U130">IF($G130=0, INDEX(LS_previous!$D$4:$AY$137, MATCH('Staging Table'!$A130, LS_previous!$B$4:$B$137, 0), MATCH(U$4&amp;U$5, LS_previous!$D$2:$AY$2&amp;LS_previous!$D$3:$AY$3, 0)),SUM(VLOOKUP($A130, LS_previous!$B$4:$AY$137, LS_previous!M$148, FALSE), VLOOKUP('Staging Table'!$A130, LS_previous!$B$4:$AY$137,LS_previous!AK$148, FALSE))/2)</f>
        <v>0</v>
      </c>
      <c r="V130" s="102">
        <f t="array" ref="V130">IF($G130=0, INDEX(LS_previous!$D$4:$AY$137, MATCH('Staging Table'!$A130, LS_previous!$B$4:$B$137, 0), MATCH(V$4&amp;V$5, LS_previous!$D$2:$AY$2&amp;LS_previous!$D$3:$AY$3, 0)),SUM(VLOOKUP($A130, LS_previous!$B$4:$AY$137, LS_previous!N$148, FALSE), VLOOKUP('Staging Table'!$A130, LS_previous!$B$4:$AY$137,LS_previous!AL$148, FALSE))/2)</f>
        <v>0</v>
      </c>
      <c r="W130" s="102">
        <f t="array" ref="W130">IF($G130=0, INDEX(LS_previous!$D$4:$AY$137, MATCH('Staging Table'!$A130, LS_previous!$B$4:$B$137, 0), MATCH(W$4&amp;W$5, LS_previous!$D$2:$AY$2&amp;LS_previous!$D$3:$AY$3, 0)),SUM(VLOOKUP($A130, LS_previous!$B$4:$AY$137, LS_previous!O$148, FALSE), VLOOKUP('Staging Table'!$A130, LS_previous!$B$4:$AY$137,LS_previous!AM$148, FALSE))/2)</f>
        <v>0</v>
      </c>
      <c r="X130" s="102">
        <f t="array" ref="X130">IF($G130=0, INDEX(LS_previous!$D$4:$AY$137, MATCH('Staging Table'!$A130, LS_previous!$B$4:$B$137, 0), MATCH(X$4&amp;X$5, LS_previous!$D$2:$AY$2&amp;LS_previous!$D$3:$AY$3, 0)),SUM(VLOOKUP($A130, LS_previous!$B$4:$AY$137, LS_previous!P$148, FALSE), VLOOKUP('Staging Table'!$A130, LS_previous!$B$4:$AY$137,LS_previous!AN$148, FALSE))/2)</f>
        <v>0</v>
      </c>
      <c r="Y130" s="102">
        <f t="array" ref="Y130">IF($G130=0, INDEX(LS_previous!$D$4:$AY$137, MATCH('Staging Table'!$A130, LS_previous!$B$4:$B$137, 0), MATCH(Y$4&amp;Y$5, LS_previous!$D$2:$AY$2&amp;LS_previous!$D$3:$AY$3, 0)),SUM(VLOOKUP($A130, LS_previous!$B$4:$AY$137, LS_previous!Q$148, FALSE), VLOOKUP('Staging Table'!$A130, LS_previous!$B$4:$AY$137,LS_previous!AO$148, FALSE))/2)</f>
        <v>0</v>
      </c>
      <c r="Z130" s="102">
        <f t="array" ref="Z130">IF($G130=0, INDEX(LS_previous!$D$4:$AY$137, MATCH('Staging Table'!$A130, LS_previous!$B$4:$B$137, 0), MATCH(Z$4&amp;Z$5, LS_previous!$D$2:$AY$2&amp;LS_previous!$D$3:$AY$3, 0)),SUM(VLOOKUP($A130, LS_previous!$B$4:$AY$137, LS_previous!R$148, FALSE), VLOOKUP('Staging Table'!$A130, LS_previous!$B$4:$AY$137,LS_previous!AP$148, FALSE))/2)</f>
        <v>0</v>
      </c>
      <c r="AA130" s="102">
        <f t="array" ref="AA130">IF($G130=0, INDEX(LS_previous!$D$4:$AY$137, MATCH('Staging Table'!$A130, LS_previous!$B$4:$B$137, 0), MATCH(AA$4&amp;AA$5, LS_previous!$D$2:$AY$2&amp;LS_previous!$D$3:$AY$3, 0)),SUM(VLOOKUP($A130, LS_previous!$B$4:$AY$137, LS_previous!S$148, FALSE), VLOOKUP('Staging Table'!$A130, LS_previous!$B$4:$AY$137,LS_previous!AQ$148, FALSE))/2)</f>
        <v>0</v>
      </c>
      <c r="AB130" s="102">
        <f t="array" ref="AB130">IF($G130=0, INDEX(LS_previous!$D$4:$AY$137, MATCH('Staging Table'!$A130, LS_previous!$B$4:$B$137, 0), MATCH(AB$4&amp;AB$5, LS_previous!$D$2:$AY$2&amp;LS_previous!$D$3:$AY$3, 0)),SUM(VLOOKUP($A130, LS_previous!$B$4:$AY$137, LS_previous!T$148, FALSE), VLOOKUP('Staging Table'!$A130, LS_previous!$B$4:$AY$137,LS_previous!AR$148, FALSE))/2)</f>
        <v>0</v>
      </c>
      <c r="AC130" s="102">
        <f t="array" ref="AC130">IF($G130=0, INDEX(LS_previous!$D$4:$AY$137, MATCH('Staging Table'!$A130, LS_previous!$B$4:$B$137, 0), MATCH(AC$4&amp;AC$5, LS_previous!$D$2:$AY$2&amp;LS_previous!$D$3:$AY$3, 0)),SUM(VLOOKUP($A130, LS_previous!$B$4:$AY$137, LS_previous!U$148, FALSE), VLOOKUP('Staging Table'!$A130, LS_previous!$B$4:$AY$137,LS_previous!AS$148, FALSE))/2)</f>
        <v>0</v>
      </c>
      <c r="AD130" s="102">
        <f t="array" ref="AD130">IF($G130=0, INDEX(LS_previous!$D$4:$AY$137, MATCH('Staging Table'!$A130, LS_previous!$B$4:$B$137, 0), MATCH(AD$4&amp;AD$5, LS_previous!$D$2:$AY$2&amp;LS_previous!$D$3:$AY$3, 0)),SUM(VLOOKUP($A130, LS_previous!$B$4:$AY$137, LS_previous!V$148, FALSE), VLOOKUP('Staging Table'!$A130, LS_previous!$B$4:$AY$137,LS_previous!AT$148, FALSE))/2)</f>
        <v>0</v>
      </c>
      <c r="AE130" s="102">
        <f t="array" ref="AE130">IF($G130=0, INDEX(LS_previous!$D$4:$AY$137, MATCH('Staging Table'!$A130, LS_previous!$B$4:$B$137, 0), MATCH(AE$4&amp;AE$5, LS_previous!$D$2:$AY$2&amp;LS_previous!$D$3:$AY$3, 0)),SUM(VLOOKUP($A130, LS_previous!$B$4:$AY$137, LS_previous!W$148, FALSE), VLOOKUP('Staging Table'!$A130, LS_previous!$B$4:$AY$137,LS_previous!AU$148, FALSE))/2)</f>
        <v>0</v>
      </c>
      <c r="AF130" s="102">
        <f t="array" ref="AF130">IF($G130=0, INDEX(LS_previous!$D$4:$AY$137, MATCH('Staging Table'!$A130, LS_previous!$B$4:$B$137, 0), MATCH(AF$4&amp;AF$5, LS_previous!$D$2:$AY$2&amp;LS_previous!$D$3:$AY$3, 0)),SUM(VLOOKUP($A130, LS_previous!$B$4:$AY$137, LS_previous!X$148, FALSE), VLOOKUP('Staging Table'!$A130, LS_previous!$B$4:$AY$137,LS_previous!AV$148, FALSE))/2)</f>
        <v>0</v>
      </c>
      <c r="AG130" s="102">
        <f t="array" ref="AG130">IF($G130=0, INDEX(LS_previous!$D$4:$AY$137, MATCH('Staging Table'!$A130, LS_previous!$B$4:$B$137, 0), MATCH(AG$4&amp;AG$5, LS_previous!$D$2:$AY$2&amp;LS_previous!$D$3:$AY$3, 0)),SUM(VLOOKUP($A130, LS_previous!$B$4:$AY$137, LS_previous!Y$148, FALSE), VLOOKUP('Staging Table'!$A130, LS_previous!$B$4:$AY$137,LS_previous!AW$148, FALSE))/2)</f>
        <v>0</v>
      </c>
      <c r="AH130" s="102">
        <f t="array" ref="AH130">IF($G130=0, INDEX(LS_previous!$D$4:$AY$137, MATCH('Staging Table'!$A130, LS_previous!$B$4:$B$137, 0), MATCH(AH$4&amp;AH$5, LS_previous!$D$2:$AY$2&amp;LS_previous!$D$3:$AY$3, 0)),SUM(VLOOKUP($A130, LS_previous!$B$4:$AY$137, LS_previous!Z$148, FALSE), VLOOKUP('Staging Table'!$A130, LS_previous!$B$4:$AY$137,LS_previous!AX$148, FALSE))/2)</f>
        <v>0</v>
      </c>
      <c r="AI130" s="102">
        <f t="array" ref="AI130">IF($G130=0, INDEX(LS_previous!$D$4:$AY$137, MATCH('Staging Table'!$A130, LS_previous!$B$4:$B$137, 0), MATCH(AI$4&amp;AI$5, LS_previous!$D$2:$AY$2&amp;LS_previous!$D$3:$AY$3, 0)),SUM(VLOOKUP($A130, LS_previous!$B$4:$AY$137, LS_previous!AA$148, FALSE), VLOOKUP('Staging Table'!$A130, LS_previous!$B$4:$AY$137,LS_previous!AY$148, FALSE))/2)</f>
        <v>0</v>
      </c>
      <c r="AJ130" s="103">
        <f t="array" ref="AJ130">INDEX(Demand_previous!$D$4:$AY$137, MATCH('Staging Table'!$A130, Demand_previous!$B$4:$B$137, 0), MATCH(AJ$4&amp;AJ$5,Demand_previous!$D$2:$AY$2&amp;Demand_previous!$D$3:$AY$3, 0))/1000</f>
        <v>0</v>
      </c>
      <c r="AK130" s="103">
        <f t="array" ref="AK130">INDEX(Demand_previous!$D$4:$AY$137, MATCH('Staging Table'!$A130, Demand_previous!$B$4:$B$137, 0), MATCH(AK$4&amp;AK$5,Demand_previous!$D$2:$AY$2&amp;Demand_previous!$D$3:$AY$3, 0))/1000</f>
        <v>0</v>
      </c>
      <c r="AL130" s="103">
        <f t="array" ref="AL130">INDEX(Demand_previous!$D$4:$AY$137, MATCH('Staging Table'!$A130, Demand_previous!$B$4:$B$137, 0), MATCH(AL$4&amp;AL$5,Demand_previous!$D$2:$AY$2&amp;Demand_previous!$D$3:$AY$3, 0))/1000</f>
        <v>0</v>
      </c>
      <c r="AM130" s="103">
        <f t="array" ref="AM130">INDEX(Demand_previous!$D$4:$AY$137, MATCH('Staging Table'!$A130, Demand_previous!$B$4:$B$137, 0), MATCH(AM$4&amp;AM$5,Demand_previous!$D$2:$AY$2&amp;Demand_previous!$D$3:$AY$3, 0))/1000</f>
        <v>0</v>
      </c>
      <c r="AN130" s="103">
        <f t="array" ref="AN130">INDEX(Demand_previous!$D$4:$AY$137, MATCH('Staging Table'!$A130, Demand_previous!$B$4:$B$137, 0), MATCH(AN$4&amp;AN$5,Demand_previous!$D$2:$AY$2&amp;Demand_previous!$D$3:$AY$3, 0))/1000</f>
        <v>0</v>
      </c>
      <c r="AO130" s="103">
        <f t="array" ref="AO130">INDEX(Demand_previous!$D$4:$AY$137, MATCH('Staging Table'!$A130, Demand_previous!$B$4:$B$137, 0), MATCH(AO$4&amp;AO$5,Demand_previous!$D$2:$AY$2&amp;Demand_previous!$D$3:$AY$3, 0))/1000</f>
        <v>0</v>
      </c>
      <c r="AP130" s="103">
        <f t="array" ref="AP130">INDEX(Demand_previous!$D$4:$AY$137, MATCH('Staging Table'!$A130, Demand_previous!$B$4:$B$137, 0), MATCH(AP$4&amp;AP$5,Demand_previous!$D$2:$AY$2&amp;Demand_previous!$D$3:$AY$3, 0))/1000</f>
        <v>0</v>
      </c>
      <c r="AQ130" s="103">
        <f t="array" ref="AQ130">INDEX(Demand_previous!$D$4:$AY$137, MATCH('Staging Table'!$A130, Demand_previous!$B$4:$B$137, 0), MATCH(AQ$4&amp;AQ$5,Demand_previous!$D$2:$AY$2&amp;Demand_previous!$D$3:$AY$3, 0))/1000</f>
        <v>0</v>
      </c>
      <c r="AR130" s="103">
        <f t="array" ref="AR130">INDEX(Demand_previous!$D$4:$AY$137, MATCH('Staging Table'!$A130, Demand_previous!$B$4:$B$137, 0), MATCH(AR$4&amp;AR$5,Demand_previous!$D$2:$AY$2&amp;Demand_previous!$D$3:$AY$3, 0))/1000</f>
        <v>0</v>
      </c>
      <c r="AS130" s="103">
        <f t="array" ref="AS130">INDEX(Demand_previous!$D$4:$AY$137, MATCH('Staging Table'!$A130, Demand_previous!$B$4:$B$137, 0), MATCH(AS$4&amp;AS$5,Demand_previous!$D$2:$AY$2&amp;Demand_previous!$D$3:$AY$3, 0))/1000</f>
        <v>0</v>
      </c>
      <c r="AT130" s="103">
        <f t="array" ref="AT130">INDEX(Demand_previous!$D$4:$AY$137, MATCH('Staging Table'!$A130, Demand_previous!$B$4:$B$137, 0), MATCH(AT$4&amp;AT$5,Demand_previous!$D$2:$AY$2&amp;Demand_previous!$D$3:$AY$3, 0))/1000</f>
        <v>0</v>
      </c>
      <c r="AU130" s="103">
        <f t="array" ref="AU130">INDEX(Demand_previous!$D$4:$AY$137, MATCH('Staging Table'!$A130, Demand_previous!$B$4:$B$137, 0), MATCH(AU$4&amp;AU$5,Demand_previous!$D$2:$AY$2&amp;Demand_previous!$D$3:$AY$3, 0))/1000</f>
        <v>0</v>
      </c>
      <c r="AV130" s="102">
        <f>$F130*(VLOOKUP(AV$4, Rates_previous!$G$6:$Q$29, 10, FALSE)+VLOOKUP(AV$4, Rates_previous!$G$6:$Q$29, 11, FALSE))</f>
        <v>5033.4547678456502</v>
      </c>
      <c r="AW130" s="102">
        <f>$F130*(VLOOKUP(AW$4, Rates_previous!$G$6:$Q$29, 10, FALSE)+VLOOKUP(AW$4, Rates_previous!$G$6:$Q$29, 11, FALSE))</f>
        <v>6419.3146256829014</v>
      </c>
      <c r="AX130" s="102">
        <f>$F130*(VLOOKUP(AX$4, Rates_previous!$G$6:$Q$29, 10, FALSE)+VLOOKUP(AX$4, Rates_previous!$G$6:$Q$29, 11, FALSE))</f>
        <v>6927.7106138985009</v>
      </c>
      <c r="AY130" s="102">
        <f>$F130*(VLOOKUP(AY$4, Rates_previous!$G$6:$Q$29, 10, FALSE)+VLOOKUP(AY$4, Rates_previous!$G$6:$Q$29, 11, FALSE))</f>
        <v>7198.9622675664004</v>
      </c>
      <c r="AZ130" s="102">
        <f>$F130*(VLOOKUP(AZ$4, Rates_previous!$G$6:$Q$29, 10, FALSE)+VLOOKUP(AZ$4, Rates_previous!$G$6:$Q$29, 11, FALSE))</f>
        <v>6192.0671105177998</v>
      </c>
      <c r="BA130" s="102">
        <f>$F130*(VLOOKUP(BA$4, Rates_previous!$G$6:$Q$29, 10, FALSE)+VLOOKUP(BA$4, Rates_previous!$G$6:$Q$29, 11, FALSE))</f>
        <v>6760.5113170521008</v>
      </c>
      <c r="BB130" s="102">
        <f>$F130*(VLOOKUP(BB$4, Rates_previous!$G$6:$Q$29, 10, FALSE)+VLOOKUP(BB$4, Rates_previous!$G$6:$Q$29, 11, FALSE))</f>
        <v>5336.2844005491752</v>
      </c>
      <c r="BC130" s="102">
        <f>$F130*(VLOOKUP(BC$4, Rates_previous!$G$6:$Q$29, 10, FALSE)+VLOOKUP(BC$4, Rates_previous!$G$6:$Q$29, 11, FALSE))</f>
        <v>6620.3758943551511</v>
      </c>
      <c r="BD130" s="102">
        <f>$F130*(VLOOKUP(BD$4, Rates_previous!$G$6:$Q$29, 10, FALSE)+VLOOKUP(BD$4, Rates_previous!$G$6:$Q$29, 11, FALSE))</f>
        <v>6764.0215240345506</v>
      </c>
      <c r="BE130" s="102">
        <f>$F130*(VLOOKUP(BE$4, Rates_previous!$G$6:$Q$29, 10, FALSE)+VLOOKUP(BE$4, Rates_previous!$G$6:$Q$29, 11, FALSE))</f>
        <v>5872.14516449865</v>
      </c>
      <c r="BF130" s="102">
        <f>$F130*(VLOOKUP(BF$4, Rates_previous!$G$6:$Q$29, 10, FALSE)+VLOOKUP(BF$4, Rates_previous!$G$6:$Q$29, 11, FALSE))</f>
        <v>5676.8035066856864</v>
      </c>
      <c r="BG130" s="102">
        <f>$F130*(VLOOKUP(BG$4, Rates_previous!$G$6:$Q$29, 10, FALSE)+VLOOKUP(BG$4, Rates_previous!$G$6:$Q$29, 11, FALSE))</f>
        <v>5223.7585326918006</v>
      </c>
      <c r="BH130" s="103">
        <f>IF($D130=0,IF(C130=0, MAX(BJ130 - (VLOOKUP($A130,TOCA_previous!$A$2:$AJ$136,MATCH("RHWM "&amp;Init!$D$1-2,TOCA_previous!$A$2:$AJ$2,0),FALSE)*$F$2*TOCA_previous!C127),0),0), 0)</f>
        <v>0</v>
      </c>
      <c r="BI130" s="109">
        <f>MIN(VLOOKUP($A130,TOCA_previous!$A$2:$AJ$136,MATCH("TRL - NLSL - Existing Resource "&amp;$F$1,TOCA_previous!$A$2:$AJ$2,0),FALSE)*$F$2,(VLOOKUP($A130,TOCA_previous!$A$2:$AJ$136,MATCH("RHWM "&amp;Init!$D$1-2,TOCA_previous!$A$2:$AJ$2,0),FALSE)*$F$2))</f>
        <v>72388.944000000003</v>
      </c>
      <c r="BJ130" s="261">
        <f>SUM(L130:AI130)+(F130*RT1SC!$C$3*$F$2)</f>
        <v>74025.410064696</v>
      </c>
      <c r="BK130" s="260">
        <f>VLOOKUP($A130,TOCA_previous!$A$2:$AJ$136,MATCH("Above RHWM Not Served with LS "&amp;$F$1,TOCA_previous!$A$2:$AJ$2,0),FALSE)*$F$2</f>
        <v>0</v>
      </c>
      <c r="BL130" s="261">
        <f t="shared" si="36"/>
        <v>1636.4660646959965</v>
      </c>
      <c r="BM130" s="260">
        <f>(VLOOKUP($A130,TOCA_previous!$A$2:$AJ$136,MATCH("RHWM "&amp;Init!$D$1-2,TOCA_previous!$A$2:$AJ$2,0),FALSE)*$F$2) - $BI130</f>
        <v>2108.1599999999889</v>
      </c>
      <c r="BN130" s="261">
        <f t="shared" si="37"/>
        <v>-1636.4660646959965</v>
      </c>
      <c r="BO130" s="260">
        <f t="shared" si="38"/>
        <v>0</v>
      </c>
      <c r="BP130" s="261">
        <f t="shared" si="39"/>
        <v>0</v>
      </c>
      <c r="BQ130" s="260">
        <f t="shared" si="9"/>
        <v>-1636.4660646959965</v>
      </c>
      <c r="BR130" s="85">
        <f>VLOOKUP($A130,TOCA_current!$A$2:$ZZ$136,MATCH(BR$4,TOCA_current!$A$2:$ZZ$2,0),FALSE)</f>
        <v>1.1998E-3</v>
      </c>
      <c r="BS130" s="85">
        <f>VLOOKUP($A130,TOCA_current!$A$2:$ZZ$136,MATCH(BS$4,TOCA_current!$A$2:$ZZ$2,0),FALSE)</f>
        <v>1.1998E-3</v>
      </c>
      <c r="BT130" s="108">
        <f t="shared" si="40"/>
        <v>0</v>
      </c>
      <c r="BU130" s="85">
        <f>VLOOKUP($A130,TOCA_current!A127:BG261,MATCH(BU$4,TOCA_current!$A$2:$BG$2,0),FALSE)</f>
        <v>7.4677608440797197E-2</v>
      </c>
      <c r="BV130" s="85">
        <f t="shared" si="41"/>
        <v>7.4677608440797197E-2</v>
      </c>
      <c r="BW130" s="85">
        <f t="shared" si="42"/>
        <v>1.1998E-3</v>
      </c>
      <c r="BX130" s="101">
        <f>VLOOKUP($A130,IRD!$A$4:$G$138, 7, FALSE)</f>
        <v>0</v>
      </c>
      <c r="BY130" s="102">
        <f t="array" ref="BY130">IF($BT130=0, INDEX(LS_current!$D$4:$BW$137, MATCH('Staging Table'!$A130, LS_current!$B$4:$B$137, 0), MATCH(BY$4&amp;BY$5, LS_current!$D$2:$BW$2&amp;LS_current!$D$3:$BW$3, 0)),SUM(VLOOKUP($A130, LS_current!$B$4:$BW$137, LS_current!D$147, FALSE), VLOOKUP($A130, LS_current!$B$4:$BW$137,LS_current!AZ$147, FALSE))/2)</f>
        <v>0</v>
      </c>
      <c r="BZ130" s="102">
        <f t="array" ref="BZ130">IF($BT130=0, INDEX(LS_current!$D$4:$BW$137, MATCH('Staging Table'!$A130, LS_current!$B$4:$B$137, 0), MATCH(BZ$4&amp;BZ$5, LS_current!$D$2:$BW$2&amp;LS_current!$D$3:$BW$3, 0)),SUM(VLOOKUP($A130, LS_current!$B$4:$BW$137, LS_current!E$147, FALSE), VLOOKUP($A130, LS_current!$B$4:$BW$137,LS_current!BA$147, FALSE))/2)</f>
        <v>0</v>
      </c>
      <c r="CA130" s="102">
        <f t="array" ref="CA130">IF($BT130=0, INDEX(LS_current!$D$4:$BW$137, MATCH('Staging Table'!$A130, LS_current!$B$4:$B$137, 0), MATCH(CA$4&amp;CA$5, LS_current!$D$2:$BW$2&amp;LS_current!$D$3:$BW$3, 0)),SUM(VLOOKUP($A130, LS_current!$B$4:$BW$137, LS_current!F$147, FALSE), VLOOKUP($A130, LS_current!$B$4:$BW$137,LS_current!BB$147, FALSE))/2)</f>
        <v>0</v>
      </c>
      <c r="CB130" s="102">
        <f t="array" ref="CB130">IF($BT130=0, INDEX(LS_current!$D$4:$BW$137, MATCH('Staging Table'!$A130, LS_current!$B$4:$B$137, 0), MATCH(CB$4&amp;CB$5, LS_current!$D$2:$BW$2&amp;LS_current!$D$3:$BW$3, 0)),SUM(VLOOKUP($A130, LS_current!$B$4:$BW$137, LS_current!G$147, FALSE), VLOOKUP($A130, LS_current!$B$4:$BW$137,LS_current!BC$147, FALSE))/2)</f>
        <v>0</v>
      </c>
      <c r="CC130" s="102">
        <f t="array" ref="CC130">IF($BT130=0, INDEX(LS_current!$D$4:$BW$137, MATCH('Staging Table'!$A130, LS_current!$B$4:$B$137, 0), MATCH(CC$4&amp;CC$5, LS_current!$D$2:$BW$2&amp;LS_current!$D$3:$BW$3, 0)),SUM(VLOOKUP($A130, LS_current!$B$4:$BW$137, LS_current!H$147, FALSE), VLOOKUP($A130, LS_current!$B$4:$BW$137,LS_current!BD$147, FALSE))/2)</f>
        <v>0</v>
      </c>
      <c r="CD130" s="102">
        <f t="array" ref="CD130">IF($BT130=0, INDEX(LS_current!$D$4:$BW$137, MATCH('Staging Table'!$A130, LS_current!$B$4:$B$137, 0), MATCH(CD$4&amp;CD$5, LS_current!$D$2:$BW$2&amp;LS_current!$D$3:$BW$3, 0)),SUM(VLOOKUP($A130, LS_current!$B$4:$BW$137, LS_current!I$147, FALSE), VLOOKUP($A130, LS_current!$B$4:$BW$137,LS_current!BE$147, FALSE))/2)</f>
        <v>0</v>
      </c>
      <c r="CE130" s="102">
        <f t="array" ref="CE130">IF($BT130=0, INDEX(LS_current!$D$4:$BW$137, MATCH('Staging Table'!$A130, LS_current!$B$4:$B$137, 0), MATCH(CE$4&amp;CE$5, LS_current!$D$2:$BW$2&amp;LS_current!$D$3:$BW$3, 0)),SUM(VLOOKUP($A130, LS_current!$B$4:$BW$137, LS_current!J$147, FALSE), VLOOKUP($A130, LS_current!$B$4:$BW$137,LS_current!BF$147, FALSE))/2)</f>
        <v>0</v>
      </c>
      <c r="CF130" s="102">
        <f t="array" ref="CF130">IF($BT130=0, INDEX(LS_current!$D$4:$BW$137, MATCH('Staging Table'!$A130, LS_current!$B$4:$B$137, 0), MATCH(CF$4&amp;CF$5, LS_current!$D$2:$BW$2&amp;LS_current!$D$3:$BW$3, 0)),SUM(VLOOKUP($A130, LS_current!$B$4:$BW$137, LS_current!K$147, FALSE), VLOOKUP($A130, LS_current!$B$4:$BW$137,LS_current!BG$147, FALSE))/2)</f>
        <v>0</v>
      </c>
      <c r="CG130" s="102">
        <f t="array" ref="CG130">IF($BT130=0, INDEX(LS_current!$D$4:$BW$137, MATCH('Staging Table'!$A130, LS_current!$B$4:$B$137, 0), MATCH(CG$4&amp;CG$5, LS_current!$D$2:$BW$2&amp;LS_current!$D$3:$BW$3, 0)),SUM(VLOOKUP($A130, LS_current!$B$4:$BW$137, LS_current!L$147, FALSE), VLOOKUP($A130, LS_current!$B$4:$BW$137,LS_current!BH$147, FALSE))/2)</f>
        <v>0</v>
      </c>
      <c r="CH130" s="102">
        <f t="array" ref="CH130">IF($BT130=0, INDEX(LS_current!$D$4:$BW$137, MATCH('Staging Table'!$A130, LS_current!$B$4:$B$137, 0), MATCH(CH$4&amp;CH$5, LS_current!$D$2:$BW$2&amp;LS_current!$D$3:$BW$3, 0)),SUM(VLOOKUP($A130, LS_current!$B$4:$BW$137, LS_current!M$147, FALSE), VLOOKUP($A130, LS_current!$B$4:$BW$137,LS_current!BI$147, FALSE))/2)</f>
        <v>0</v>
      </c>
      <c r="CI130" s="102">
        <f t="array" ref="CI130">IF($BT130=0, INDEX(LS_current!$D$4:$BW$137, MATCH('Staging Table'!$A130, LS_current!$B$4:$B$137, 0), MATCH(CI$4&amp;CI$5, LS_current!$D$2:$BW$2&amp;LS_current!$D$3:$BW$3, 0)),SUM(VLOOKUP($A130, LS_current!$B$4:$BW$137, LS_current!N$147, FALSE), VLOOKUP($A130, LS_current!$B$4:$BW$137,LS_current!BJ$147, FALSE))/2)</f>
        <v>0</v>
      </c>
      <c r="CJ130" s="102">
        <f t="array" ref="CJ130">IF($BT130=0, INDEX(LS_current!$D$4:$BW$137, MATCH('Staging Table'!$A130, LS_current!$B$4:$B$137, 0), MATCH(CJ$4&amp;CJ$5, LS_current!$D$2:$BW$2&amp;LS_current!$D$3:$BW$3, 0)),SUM(VLOOKUP($A130, LS_current!$B$4:$BW$137, LS_current!O$147, FALSE), VLOOKUP($A130, LS_current!$B$4:$BW$137,LS_current!BK$147, FALSE))/2)</f>
        <v>0</v>
      </c>
      <c r="CK130" s="102">
        <f t="array" ref="CK130">IF($BT130=0, INDEX(LS_current!$D$4:$BW$137, MATCH('Staging Table'!$A130, LS_current!$B$4:$B$137, 0), MATCH(CK$4&amp;CK$5, LS_current!$D$2:$BW$2&amp;LS_current!$D$3:$BW$3, 0)),SUM(VLOOKUP($A130, LS_current!$B$4:$BW$137, LS_current!P$147, FALSE), VLOOKUP($A130, LS_current!$B$4:$BW$137,LS_current!BL$147, FALSE))/2)</f>
        <v>0</v>
      </c>
      <c r="CL130" s="102">
        <f t="array" ref="CL130">IF($BT130=0, INDEX(LS_current!$D$4:$BW$137, MATCH('Staging Table'!$A130, LS_current!$B$4:$B$137, 0), MATCH(CL$4&amp;CL$5, LS_current!$D$2:$BW$2&amp;LS_current!$D$3:$BW$3, 0)),SUM(VLOOKUP($A130, LS_current!$B$4:$BW$137, LS_current!Q$147, FALSE), VLOOKUP($A130, LS_current!$B$4:$BW$137,LS_current!BM$147, FALSE))/2)</f>
        <v>0</v>
      </c>
      <c r="CM130" s="102">
        <f t="array" ref="CM130">IF($BT130=0, INDEX(LS_current!$D$4:$BW$137, MATCH('Staging Table'!$A130, LS_current!$B$4:$B$137, 0), MATCH(CM$4&amp;CM$5, LS_current!$D$2:$BW$2&amp;LS_current!$D$3:$BW$3, 0)),SUM(VLOOKUP($A130, LS_current!$B$4:$BW$137, LS_current!R$147, FALSE), VLOOKUP($A130, LS_current!$B$4:$BW$137,LS_current!BN$147, FALSE))/2)</f>
        <v>0</v>
      </c>
      <c r="CN130" s="102">
        <f t="array" ref="CN130">IF($BT130=0, INDEX(LS_current!$D$4:$BW$137, MATCH('Staging Table'!$A130, LS_current!$B$4:$B$137, 0), MATCH(CN$4&amp;CN$5, LS_current!$D$2:$BW$2&amp;LS_current!$D$3:$BW$3, 0)),SUM(VLOOKUP($A130, LS_current!$B$4:$BW$137, LS_current!S$147, FALSE), VLOOKUP($A130, LS_current!$B$4:$BW$137,LS_current!BO$147, FALSE))/2)</f>
        <v>0</v>
      </c>
      <c r="CO130" s="102">
        <f t="array" ref="CO130">IF($BT130=0, INDEX(LS_current!$D$4:$BW$137, MATCH('Staging Table'!$A130, LS_current!$B$4:$B$137, 0), MATCH(CO$4&amp;CO$5, LS_current!$D$2:$BW$2&amp;LS_current!$D$3:$BW$3, 0)),SUM(VLOOKUP($A130, LS_current!$B$4:$BW$137, LS_current!T$147, FALSE), VLOOKUP($A130, LS_current!$B$4:$BW$137,LS_current!BP$147, FALSE))/2)</f>
        <v>0</v>
      </c>
      <c r="CP130" s="102">
        <f t="array" ref="CP130">IF($BT130=0, INDEX(LS_current!$D$4:$BW$137, MATCH('Staging Table'!$A130, LS_current!$B$4:$B$137, 0), MATCH(CP$4&amp;CP$5, LS_current!$D$2:$BW$2&amp;LS_current!$D$3:$BW$3, 0)),SUM(VLOOKUP($A130, LS_current!$B$4:$BW$137, LS_current!U$147, FALSE), VLOOKUP($A130, LS_current!$B$4:$BW$137,LS_current!BQ$147, FALSE))/2)</f>
        <v>0</v>
      </c>
      <c r="CQ130" s="102">
        <f t="array" ref="CQ130">IF($BT130=0, INDEX(LS_current!$D$4:$BW$137, MATCH('Staging Table'!$A130, LS_current!$B$4:$B$137, 0), MATCH(CQ$4&amp;CQ$5, LS_current!$D$2:$BW$2&amp;LS_current!$D$3:$BW$3, 0)),SUM(VLOOKUP($A130, LS_current!$B$4:$BW$137, LS_current!V$147, FALSE), VLOOKUP($A130, LS_current!$B$4:$BW$137,LS_current!BR$147, FALSE))/2)</f>
        <v>0</v>
      </c>
      <c r="CR130" s="102">
        <f t="array" ref="CR130">IF($BT130=0, INDEX(LS_current!$D$4:$BW$137, MATCH('Staging Table'!$A130, LS_current!$B$4:$B$137, 0), MATCH(CR$4&amp;CR$5, LS_current!$D$2:$BW$2&amp;LS_current!$D$3:$BW$3, 0)),SUM(VLOOKUP($A130, LS_current!$B$4:$BW$137, LS_current!W$147, FALSE), VLOOKUP($A130, LS_current!$B$4:$BW$137,LS_current!BS$147, FALSE))/2)</f>
        <v>0</v>
      </c>
      <c r="CS130" s="102">
        <f t="array" ref="CS130">IF($BT130=0, INDEX(LS_current!$D$4:$BW$137, MATCH('Staging Table'!$A130, LS_current!$B$4:$B$137, 0), MATCH(CS$4&amp;CS$5, LS_current!$D$2:$BW$2&amp;LS_current!$D$3:$BW$3, 0)),SUM(VLOOKUP($A130, LS_current!$B$4:$BW$137, LS_current!X$147, FALSE), VLOOKUP($A130, LS_current!$B$4:$BW$137,LS_current!BT$147, FALSE))/2)</f>
        <v>0</v>
      </c>
      <c r="CT130" s="102">
        <f t="array" ref="CT130">IF($BT130=0, INDEX(LS_current!$D$4:$BW$137, MATCH('Staging Table'!$A130, LS_current!$B$4:$B$137, 0), MATCH(CT$4&amp;CT$5, LS_current!$D$2:$BW$2&amp;LS_current!$D$3:$BW$3, 0)),SUM(VLOOKUP($A130, LS_current!$B$4:$BW$137, LS_current!Y$147, FALSE), VLOOKUP($A130, LS_current!$B$4:$BW$137,LS_current!BU$147, FALSE))/2)</f>
        <v>0</v>
      </c>
      <c r="CU130" s="102">
        <f t="array" ref="CU130">IF($BT130=0, INDEX(LS_current!$D$4:$BW$137, MATCH('Staging Table'!$A130, LS_current!$B$4:$B$137, 0), MATCH(CU$4&amp;CU$5, LS_current!$D$2:$BW$2&amp;LS_current!$D$3:$BW$3, 0)),SUM(VLOOKUP($A130, LS_current!$B$4:$BW$137, LS_current!Z$147, FALSE), VLOOKUP($A130, LS_current!$B$4:$BW$137,LS_current!BV$147, FALSE))/2)</f>
        <v>0</v>
      </c>
      <c r="CV130" s="102">
        <f t="array" ref="CV130">IF($BT130=0, INDEX(LS_current!$D$4:$BW$137, MATCH('Staging Table'!$A130, LS_current!$B$4:$B$137, 0), MATCH(CV$4&amp;CV$5, LS_current!$D$2:$BW$2&amp;LS_current!$D$3:$BW$3, 0)),SUM(VLOOKUP($A130, LS_current!$B$4:$BW$137, LS_current!AA$147, FALSE), VLOOKUP($A130, LS_current!$B$4:$BW$137,LS_current!BW$147, FALSE))/2)</f>
        <v>0</v>
      </c>
      <c r="CW130" s="103">
        <f t="array" ref="CW130">INDEX(Demand_current!$D$4:$BW$137, MATCH($A130, Demand_current!$B$4:$B$137, 0), MATCH(CW$4&amp;CW$5,Demand_current!$D$2:$BW$2&amp;Demand_current!$D$3:$BW$3, 0))/1000</f>
        <v>0</v>
      </c>
      <c r="CX130" s="103">
        <f t="array" ref="CX130">INDEX(Demand_current!$D$4:$BW$137, MATCH($A130, Demand_current!$B$4:$B$137, 0), MATCH(CX$4&amp;CX$5,Demand_current!$D$2:$BW$2&amp;Demand_current!$D$3:$BW$3, 0))/1000</f>
        <v>0</v>
      </c>
      <c r="CY130" s="103">
        <f t="array" ref="CY130">INDEX(Demand_current!$D$4:$BW$137, MATCH($A130, Demand_current!$B$4:$B$137, 0), MATCH(CY$4&amp;CY$5,Demand_current!$D$2:$BW$2&amp;Demand_current!$D$3:$BW$3, 0))/1000</f>
        <v>0</v>
      </c>
      <c r="CZ130" s="103">
        <f t="array" ref="CZ130">INDEX(Demand_current!$D$4:$BW$137, MATCH($A130, Demand_current!$B$4:$B$137, 0), MATCH(CZ$4&amp;CZ$5,Demand_current!$D$2:$BW$2&amp;Demand_current!$D$3:$BW$3, 0))/1000</f>
        <v>0</v>
      </c>
      <c r="DA130" s="103">
        <f t="array" ref="DA130">INDEX(Demand_current!$D$4:$BW$137, MATCH($A130, Demand_current!$B$4:$B$137, 0), MATCH(DA$4&amp;DA$5,Demand_current!$D$2:$BW$2&amp;Demand_current!$D$3:$BW$3, 0))/1000</f>
        <v>0</v>
      </c>
      <c r="DB130" s="103">
        <f t="array" ref="DB130">INDEX(Demand_current!$D$4:$BW$137, MATCH($A130, Demand_current!$B$4:$B$137, 0), MATCH(DB$4&amp;DB$5,Demand_current!$D$2:$BW$2&amp;Demand_current!$D$3:$BW$3, 0))/1000</f>
        <v>0</v>
      </c>
      <c r="DC130" s="103">
        <f t="array" ref="DC130">INDEX(Demand_current!$D$4:$BW$137, MATCH($A130, Demand_current!$B$4:$B$137, 0), MATCH(DC$4&amp;DC$5,Demand_current!$D$2:$BW$2&amp;Demand_current!$D$3:$BW$3, 0))/1000</f>
        <v>0</v>
      </c>
      <c r="DD130" s="103">
        <f t="array" ref="DD130">INDEX(Demand_current!$D$4:$BW$137, MATCH($A130, Demand_current!$B$4:$B$137, 0), MATCH(DD$4&amp;DD$5,Demand_current!$D$2:$BW$2&amp;Demand_current!$D$3:$BW$3, 0))/1000</f>
        <v>0</v>
      </c>
      <c r="DE130" s="103">
        <f t="array" ref="DE130">INDEX(Demand_current!$D$4:$BW$137, MATCH($A130, Demand_current!$B$4:$B$137, 0), MATCH(DE$4&amp;DE$5,Demand_current!$D$2:$BW$2&amp;Demand_current!$D$3:$BW$3, 0))/1000</f>
        <v>0</v>
      </c>
      <c r="DF130" s="103">
        <f t="array" ref="DF130">INDEX(Demand_current!$D$4:$BW$137, MATCH($A130, Demand_current!$B$4:$B$137, 0), MATCH(DF$4&amp;DF$5,Demand_current!$D$2:$BW$2&amp;Demand_current!$D$3:$BW$3, 0))/1000</f>
        <v>0</v>
      </c>
      <c r="DG130" s="103">
        <f t="array" ref="DG130">INDEX(Demand_current!$D$4:$BW$137, MATCH($A130, Demand_current!$B$4:$B$137, 0), MATCH(DG$4&amp;DG$5,Demand_current!$D$2:$BW$2&amp;Demand_current!$D$3:$BW$3, 0))/1000</f>
        <v>0</v>
      </c>
      <c r="DH130" s="103">
        <f t="array" ref="DH130">INDEX(Demand_current!$D$4:$BW$137, MATCH($A130, Demand_current!$B$4:$B$137, 0), MATCH(DH$4&amp;DH$5,Demand_current!$D$2:$BW$2&amp;Demand_current!$D$3:$BW$3, 0))/1000</f>
        <v>0</v>
      </c>
      <c r="DI130" s="102">
        <f>$BS130*(VLOOKUP(DI$4, Rates_current!$H$6:$R$41, 10, FALSE)+VLOOKUP(DI$4, Rates_current!$H$6:$R$41, 11, FALSE))</f>
        <v>4979.5150728911531</v>
      </c>
      <c r="DJ130" s="102">
        <f>$BS130*(VLOOKUP(DJ$4, Rates_current!$H$6:$R$41, 10, FALSE)+VLOOKUP(DJ$4, Rates_current!$H$6:$R$41, 11, FALSE))</f>
        <v>6366.1461344929303</v>
      </c>
      <c r="DK130" s="102">
        <f>$BS130*(VLOOKUP(DK$4, Rates_current!$H$6:$R$41, 10, FALSE)+VLOOKUP(DK$4, Rates_current!$H$6:$R$41, 11, FALSE))</f>
        <v>7237.7757098503262</v>
      </c>
      <c r="DL130" s="102">
        <f>$BS130*(VLOOKUP(DL$4, Rates_current!$H$6:$R$41, 10, FALSE)+VLOOKUP(DL$4, Rates_current!$H$6:$R$41, 11, FALSE))</f>
        <v>7636.4183465963088</v>
      </c>
      <c r="DM130" s="102">
        <f>$BS130*(VLOOKUP(DM$4, Rates_current!$H$6:$R$41, 10, FALSE)+VLOOKUP(DM$4, Rates_current!$H$6:$R$41, 11, FALSE))</f>
        <v>6085.5362091377538</v>
      </c>
      <c r="DN130" s="102">
        <f>$BS130*(VLOOKUP(DN$4, Rates_current!$H$6:$R$41, 10, FALSE)+VLOOKUP(DN$4, Rates_current!$H$6:$R$41, 11, FALSE))</f>
        <v>6652.7407764211594</v>
      </c>
      <c r="DO130" s="102">
        <f>$BS130*(VLOOKUP(DO$4, Rates_current!$H$6:$R$41, 10, FALSE)+VLOOKUP(DO$4, Rates_current!$H$6:$R$41, 11, FALSE))</f>
        <v>5155.9410221251592</v>
      </c>
      <c r="DP130" s="102">
        <f>$BS130*(VLOOKUP(DP$4, Rates_current!$H$6:$R$41, 10, FALSE)+VLOOKUP(DP$4, Rates_current!$H$6:$R$41, 11, FALSE))</f>
        <v>6672.6366204342085</v>
      </c>
      <c r="DQ130" s="102">
        <f>$BS130*(VLOOKUP(DQ$4, Rates_current!$H$6:$R$41, 10, FALSE)+VLOOKUP(DQ$4, Rates_current!$H$6:$R$41, 11, FALSE))</f>
        <v>6815.1168363204588</v>
      </c>
      <c r="DR130" s="102">
        <f>$BS130*(VLOOKUP(DR$4, Rates_current!$H$6:$R$41, 10, FALSE)+VLOOKUP(DR$4, Rates_current!$H$6:$R$41, 11, FALSE))</f>
        <v>6066.0433878816211</v>
      </c>
      <c r="DS130" s="102">
        <f>$BS130*(VLOOKUP(DS$4, Rates_current!$H$6:$R$41, 10, FALSE)+VLOOKUP(DS$4, Rates_current!$H$6:$R$41, 11, FALSE))</f>
        <v>6222.6480400252676</v>
      </c>
      <c r="DT130" s="102">
        <f>$BS130*(VLOOKUP(DT$4, Rates_current!$H$6:$R$41, 10, FALSE)+VLOOKUP(DT$4, Rates_current!$H$6:$R$41, 11, FALSE))</f>
        <v>4832.6321218289186</v>
      </c>
      <c r="DU130" s="261">
        <f>IF(D130=0,IF(C130=0,MAX(0,DW130 - (VLOOKUP($A130,TOCA_current!$A$2:$AV$136,MATCH("RHWM "&amp;Init!$D$1,TOCA_current!$A$2:$AV$2,0),FALSE)*$BS$2)), 0),0)</f>
        <v>0</v>
      </c>
      <c r="DV130" s="262">
        <f>MIN(VLOOKUP($A130,TOCA_current!$A$2:$AV$136,MATCH("TRL - NLSL - Existing Resource "&amp;$BS$1,TOCA_current!$A$2:$AV$2,0),FALSE)*$BS$2, VLOOKUP($A130,TOCA_current!$A$2:$AV$136,MATCH("RHWM "&amp;Init!$D$1,TOCA_current!$A$2:$AV$2,0),FALSE)*$BS$2)</f>
        <v>74722.799999999988</v>
      </c>
      <c r="DW130" s="262">
        <f>SUM(BY130:CV130)+(BS130*RT1SC!$C$4*$BS$2)</f>
        <v>74723.154688896015</v>
      </c>
      <c r="DX130" s="262">
        <f>VLOOKUP($A130,TOCA_current!$A$2:$AV$136,MATCH("Above RHWM Not Served with LS "&amp;$BS$1,TOCA_current!$A$2:$AV$2,0),FALSE)*$BS$2</f>
        <v>4993.2</v>
      </c>
      <c r="DY130" s="262">
        <f t="shared" si="43"/>
        <v>0.3546888960263459</v>
      </c>
      <c r="DZ130" s="262">
        <f>(VLOOKUP($A130,TOCA_current!$A$2:$AV$136,MATCH("RHWM "&amp;Init!$D$1,TOCA_current!$A$2:$AV$2,0),FALSE)*$BS$2) - $DV130</f>
        <v>0</v>
      </c>
      <c r="EA130" s="262">
        <f t="shared" si="44"/>
        <v>0</v>
      </c>
      <c r="EB130" s="262">
        <f t="shared" si="45"/>
        <v>0</v>
      </c>
      <c r="EC130" s="262">
        <f t="shared" si="46"/>
        <v>0</v>
      </c>
      <c r="ED130" s="262">
        <f t="shared" si="47"/>
        <v>0</v>
      </c>
    </row>
    <row r="131" spans="1:134">
      <c r="A131" s="2">
        <v>10451</v>
      </c>
      <c r="B131" s="3" t="s">
        <v>133</v>
      </c>
      <c r="C131">
        <f>VLOOKUP(A131, TOCA_current!$A$3:$D$136, 4, FALSE)</f>
        <v>0</v>
      </c>
      <c r="D131">
        <v>0</v>
      </c>
      <c r="E131" s="84">
        <f>VLOOKUP($A131,TOCA_previous!$A$2:$AJ$136,MATCH(E$4,TOCA_previous!$A$2:$AJ$2,0),FALSE)</f>
        <v>3.7991000000000001E-3</v>
      </c>
      <c r="F131" s="85">
        <f>VLOOKUP($A131,TOCA_previous!$A$2:$AJ$136,MATCH(F$4,TOCA_previous!$A$2:$AJ$2,0),FALSE)</f>
        <v>3.7991000000000001E-3</v>
      </c>
      <c r="G131" s="85">
        <f t="shared" si="33"/>
        <v>0</v>
      </c>
      <c r="H131" s="85">
        <f>VLOOKUP($A131,TOCA_previous!$A$2:$AJ$136,MATCH(H$4,TOCA_previous!$A$2:$AJ$2,0),FALSE)</f>
        <v>0</v>
      </c>
      <c r="I131" s="85">
        <f t="shared" si="34"/>
        <v>0</v>
      </c>
      <c r="J131" s="85">
        <f t="shared" si="35"/>
        <v>0</v>
      </c>
      <c r="K131" s="101">
        <f>VLOOKUP(A131, IRD!$A$5:$C$138, 3, FALSE)</f>
        <v>0</v>
      </c>
      <c r="L131" s="102">
        <f t="array" ref="L131">IF($G131=0, INDEX(LS_previous!$D$4:$AY$137, MATCH('Staging Table'!$A131, LS_previous!$B$4:$B$137, 0), MATCH(L$4&amp;L$5, LS_previous!$D$2:$AY$2&amp;LS_previous!$D$3:$AY$3, 0)),SUM(VLOOKUP($A131, LS_previous!$B$4:$AY$137, LS_previous!D$148, FALSE), VLOOKUP('Staging Table'!$A131, LS_previous!$B$4:$AY$137,LS_previous!AB$148, FALSE))/2)</f>
        <v>3959.8138628323977</v>
      </c>
      <c r="M131" s="102">
        <f t="array" ref="M131">IF($G131=0, INDEX(LS_previous!$D$4:$AY$137, MATCH('Staging Table'!$A131, LS_previous!$B$4:$B$137, 0), MATCH(M$4&amp;M$5, LS_previous!$D$2:$AY$2&amp;LS_previous!$D$3:$AY$3, 0)),SUM(VLOOKUP($A131, LS_previous!$B$4:$AY$137, LS_previous!E$148, FALSE), VLOOKUP('Staging Table'!$A131, LS_previous!$B$4:$AY$137,LS_previous!AC$148, FALSE))/2)</f>
        <v>3604.9267668529492</v>
      </c>
      <c r="N131" s="102">
        <f t="array" ref="N131">IF($G131=0, INDEX(LS_previous!$D$4:$AY$137, MATCH('Staging Table'!$A131, LS_previous!$B$4:$B$137, 0), MATCH(N$4&amp;N$5, LS_previous!$D$2:$AY$2&amp;LS_previous!$D$3:$AY$3, 0)),SUM(VLOOKUP($A131, LS_previous!$B$4:$AY$137, LS_previous!F$148, FALSE), VLOOKUP('Staging Table'!$A131, LS_previous!$B$4:$AY$137,LS_previous!AD$148, FALSE))/2)</f>
        <v>141.6871921951988</v>
      </c>
      <c r="O131" s="102">
        <f t="array" ref="O131">IF($G131=0, INDEX(LS_previous!$D$4:$AY$137, MATCH('Staging Table'!$A131, LS_previous!$B$4:$B$137, 0), MATCH(O$4&amp;O$5, LS_previous!$D$2:$AY$2&amp;LS_previous!$D$3:$AY$3, 0)),SUM(VLOOKUP($A131, LS_previous!$B$4:$AY$137, LS_previous!G$148, FALSE), VLOOKUP('Staging Table'!$A131, LS_previous!$B$4:$AY$137,LS_previous!AE$148, FALSE))/2)</f>
        <v>2674.9674929678995</v>
      </c>
      <c r="P131" s="102">
        <f t="array" ref="P131">IF($G131=0, INDEX(LS_previous!$D$4:$AY$137, MATCH('Staging Table'!$A131, LS_previous!$B$4:$B$137, 0), MATCH(P$4&amp;P$5, LS_previous!$D$2:$AY$2&amp;LS_previous!$D$3:$AY$3, 0)),SUM(VLOOKUP($A131, LS_previous!$B$4:$AY$137, LS_previous!H$148, FALSE), VLOOKUP('Staging Table'!$A131, LS_previous!$B$4:$AY$137,LS_previous!AF$148, FALSE))/2)</f>
        <v>101.36162896509995</v>
      </c>
      <c r="Q131" s="102">
        <f t="array" ref="Q131">IF($G131=0, INDEX(LS_previous!$D$4:$AY$137, MATCH('Staging Table'!$A131, LS_previous!$B$4:$B$137, 0), MATCH(Q$4&amp;Q$5, LS_previous!$D$2:$AY$2&amp;LS_previous!$D$3:$AY$3, 0)),SUM(VLOOKUP($A131, LS_previous!$B$4:$AY$137, LS_previous!I$148, FALSE), VLOOKUP('Staging Table'!$A131, LS_previous!$B$4:$AY$137,LS_previous!AG$148, FALSE))/2)</f>
        <v>1845.1143495264005</v>
      </c>
      <c r="R131" s="102">
        <f t="array" ref="R131">IF($G131=0, INDEX(LS_previous!$D$4:$AY$137, MATCH('Staging Table'!$A131, LS_previous!$B$4:$B$137, 0), MATCH(R$4&amp;R$5, LS_previous!$D$2:$AY$2&amp;LS_previous!$D$3:$AY$3, 0)),SUM(VLOOKUP($A131, LS_previous!$B$4:$AY$137, LS_previous!J$148, FALSE), VLOOKUP('Staging Table'!$A131, LS_previous!$B$4:$AY$137,LS_previous!AH$148, FALSE))/2)</f>
        <v>-714.42039445649971</v>
      </c>
      <c r="S131" s="102">
        <f t="array" ref="S131">IF($G131=0, INDEX(LS_previous!$D$4:$AY$137, MATCH('Staging Table'!$A131, LS_previous!$B$4:$B$137, 0), MATCH(S$4&amp;S$5, LS_previous!$D$2:$AY$2&amp;LS_previous!$D$3:$AY$3, 0)),SUM(VLOOKUP($A131, LS_previous!$B$4:$AY$137, LS_previous!K$148, FALSE), VLOOKUP('Staging Table'!$A131, LS_previous!$B$4:$AY$137,LS_previous!AI$148, FALSE))/2)</f>
        <v>1974.3858140261</v>
      </c>
      <c r="T131" s="102">
        <f t="array" ref="T131">IF($G131=0, INDEX(LS_previous!$D$4:$AY$137, MATCH('Staging Table'!$A131, LS_previous!$B$4:$B$137, 0), MATCH(T$4&amp;T$5, LS_previous!$D$2:$AY$2&amp;LS_previous!$D$3:$AY$3, 0)),SUM(VLOOKUP($A131, LS_previous!$B$4:$AY$137, LS_previous!L$148, FALSE), VLOOKUP('Staging Table'!$A131, LS_previous!$B$4:$AY$137,LS_previous!AJ$148, FALSE))/2)</f>
        <v>-144.33934390889954</v>
      </c>
      <c r="U131" s="102">
        <f t="array" ref="U131">IF($G131=0, INDEX(LS_previous!$D$4:$AY$137, MATCH('Staging Table'!$A131, LS_previous!$B$4:$B$137, 0), MATCH(U$4&amp;U$5, LS_previous!$D$2:$AY$2&amp;LS_previous!$D$3:$AY$3, 0)),SUM(VLOOKUP($A131, LS_previous!$B$4:$AY$137, LS_previous!M$148, FALSE), VLOOKUP('Staging Table'!$A131, LS_previous!$B$4:$AY$137,LS_previous!AK$148, FALSE))/2)</f>
        <v>2055.4854675630995</v>
      </c>
      <c r="V131" s="102">
        <f t="array" ref="V131">IF($G131=0, INDEX(LS_previous!$D$4:$AY$137, MATCH('Staging Table'!$A131, LS_previous!$B$4:$B$137, 0), MATCH(V$4&amp;V$5, LS_previous!$D$2:$AY$2&amp;LS_previous!$D$3:$AY$3, 0)),SUM(VLOOKUP($A131, LS_previous!$B$4:$AY$137, LS_previous!N$148, FALSE), VLOOKUP('Staging Table'!$A131, LS_previous!$B$4:$AY$137,LS_previous!AL$148, FALSE))/2)</f>
        <v>515.84429780170103</v>
      </c>
      <c r="W131" s="102">
        <f t="array" ref="W131">IF($G131=0, INDEX(LS_previous!$D$4:$AY$137, MATCH('Staging Table'!$A131, LS_previous!$B$4:$B$137, 0), MATCH(W$4&amp;W$5, LS_previous!$D$2:$AY$2&amp;LS_previous!$D$3:$AY$3, 0)),SUM(VLOOKUP($A131, LS_previous!$B$4:$AY$137, LS_previous!O$148, FALSE), VLOOKUP('Staging Table'!$A131, LS_previous!$B$4:$AY$137,LS_previous!AM$148, FALSE))/2)</f>
        <v>2076.8150232002008</v>
      </c>
      <c r="X131" s="102">
        <f t="array" ref="X131">IF($G131=0, INDEX(LS_previous!$D$4:$AY$137, MATCH('Staging Table'!$A131, LS_previous!$B$4:$B$137, 0), MATCH(X$4&amp;X$5, LS_previous!$D$2:$AY$2&amp;LS_previous!$D$3:$AY$3, 0)),SUM(VLOOKUP($A131, LS_previous!$B$4:$AY$137, LS_previous!P$148, FALSE), VLOOKUP('Staging Table'!$A131, LS_previous!$B$4:$AY$137,LS_previous!AN$148, FALSE))/2)</f>
        <v>2899.6076124997508</v>
      </c>
      <c r="Y131" s="102">
        <f t="array" ref="Y131">IF($G131=0, INDEX(LS_previous!$D$4:$AY$137, MATCH('Staging Table'!$A131, LS_previous!$B$4:$B$137, 0), MATCH(Y$4&amp;Y$5, LS_previous!$D$2:$AY$2&amp;LS_previous!$D$3:$AY$3, 0)),SUM(VLOOKUP($A131, LS_previous!$B$4:$AY$137, LS_previous!Q$148, FALSE), VLOOKUP('Staging Table'!$A131, LS_previous!$B$4:$AY$137,LS_previous!AO$148, FALSE))/2)</f>
        <v>3157.0840374655754</v>
      </c>
      <c r="Z131" s="102">
        <f t="array" ref="Z131">IF($G131=0, INDEX(LS_previous!$D$4:$AY$137, MATCH('Staging Table'!$A131, LS_previous!$B$4:$B$137, 0), MATCH(Z$4&amp;Z$5, LS_previous!$D$2:$AY$2&amp;LS_previous!$D$3:$AY$3, 0)),SUM(VLOOKUP($A131, LS_previous!$B$4:$AY$137, LS_previous!R$148, FALSE), VLOOKUP('Staging Table'!$A131, LS_previous!$B$4:$AY$137,LS_previous!AP$148, FALSE))/2)</f>
        <v>65.240612763198442</v>
      </c>
      <c r="AA131" s="102">
        <f t="array" ref="AA131">IF($G131=0, INDEX(LS_previous!$D$4:$AY$137, MATCH('Staging Table'!$A131, LS_previous!$B$4:$B$137, 0), MATCH(AA$4&amp;AA$5, LS_previous!$D$2:$AY$2&amp;LS_previous!$D$3:$AY$3, 0)),SUM(VLOOKUP($A131, LS_previous!$B$4:$AY$137, LS_previous!S$148, FALSE), VLOOKUP('Staging Table'!$A131, LS_previous!$B$4:$AY$137,LS_previous!AQ$148, FALSE))/2)</f>
        <v>2621.08355994265</v>
      </c>
      <c r="AB131" s="102">
        <f t="array" ref="AB131">IF($G131=0, INDEX(LS_previous!$D$4:$AY$137, MATCH('Staging Table'!$A131, LS_previous!$B$4:$B$137, 0), MATCH(AB$4&amp;AB$5, LS_previous!$D$2:$AY$2&amp;LS_previous!$D$3:$AY$3, 0)),SUM(VLOOKUP($A131, LS_previous!$B$4:$AY$137, LS_previous!T$148, FALSE), VLOOKUP('Staging Table'!$A131, LS_previous!$B$4:$AY$137,LS_previous!AR$148, FALSE))/2)</f>
        <v>-260.52711166659901</v>
      </c>
      <c r="AC131" s="102">
        <f t="array" ref="AC131">IF($G131=0, INDEX(LS_previous!$D$4:$AY$137, MATCH('Staging Table'!$A131, LS_previous!$B$4:$B$137, 0), MATCH(AC$4&amp;AC$5, LS_previous!$D$2:$AY$2&amp;LS_previous!$D$3:$AY$3, 0)),SUM(VLOOKUP($A131, LS_previous!$B$4:$AY$137, LS_previous!U$148, FALSE), VLOOKUP('Staging Table'!$A131, LS_previous!$B$4:$AY$137,LS_previous!AS$148, FALSE))/2)</f>
        <v>1638.6221404490489</v>
      </c>
      <c r="AD131" s="102">
        <f t="array" ref="AD131">IF($G131=0, INDEX(LS_previous!$D$4:$AY$137, MATCH('Staging Table'!$A131, LS_previous!$B$4:$B$137, 0), MATCH(AD$4&amp;AD$5, LS_previous!$D$2:$AY$2&amp;LS_previous!$D$3:$AY$3, 0)),SUM(VLOOKUP($A131, LS_previous!$B$4:$AY$137, LS_previous!V$148, FALSE), VLOOKUP('Staging Table'!$A131, LS_previous!$B$4:$AY$137,LS_previous!AT$148, FALSE))/2)</f>
        <v>1586.407625387601</v>
      </c>
      <c r="AE131" s="102">
        <f t="array" ref="AE131">IF($G131=0, INDEX(LS_previous!$D$4:$AY$137, MATCH('Staging Table'!$A131, LS_previous!$B$4:$B$137, 0), MATCH(AE$4&amp;AE$5, LS_previous!$D$2:$AY$2&amp;LS_previous!$D$3:$AY$3, 0)),SUM(VLOOKUP($A131, LS_previous!$B$4:$AY$137, LS_previous!W$148, FALSE), VLOOKUP('Staging Table'!$A131, LS_previous!$B$4:$AY$137,LS_previous!AU$148, FALSE))/2)</f>
        <v>3433.5212658647506</v>
      </c>
      <c r="AF131" s="102">
        <f t="array" ref="AF131">IF($G131=0, INDEX(LS_previous!$D$4:$AY$137, MATCH('Staging Table'!$A131, LS_previous!$B$4:$B$137, 0), MATCH(AF$4&amp;AF$5, LS_previous!$D$2:$AY$2&amp;LS_previous!$D$3:$AY$3, 0)),SUM(VLOOKUP($A131, LS_previous!$B$4:$AY$137, LS_previous!X$148, FALSE), VLOOKUP('Staging Table'!$A131, LS_previous!$B$4:$AY$137,LS_previous!AV$148, FALSE))/2)</f>
        <v>2050.5348094543497</v>
      </c>
      <c r="AG131" s="102">
        <f t="array" ref="AG131">IF($G131=0, INDEX(LS_previous!$D$4:$AY$137, MATCH('Staging Table'!$A131, LS_previous!$B$4:$B$137, 0), MATCH(AG$4&amp;AG$5, LS_previous!$D$2:$AY$2&amp;LS_previous!$D$3:$AY$3, 0)),SUM(VLOOKUP($A131, LS_previous!$B$4:$AY$137, LS_previous!Y$148, FALSE), VLOOKUP('Staging Table'!$A131, LS_previous!$B$4:$AY$137,LS_previous!AW$148, FALSE))/2)</f>
        <v>3793.1470608418649</v>
      </c>
      <c r="AH131" s="102">
        <f t="array" ref="AH131">IF($G131=0, INDEX(LS_previous!$D$4:$AY$137, MATCH('Staging Table'!$A131, LS_previous!$B$4:$B$137, 0), MATCH(AH$4&amp;AH$5, LS_previous!$D$2:$AY$2&amp;LS_previous!$D$3:$AY$3, 0)),SUM(VLOOKUP($A131, LS_previous!$B$4:$AY$137, LS_previous!Z$148, FALSE), VLOOKUP('Staging Table'!$A131, LS_previous!$B$4:$AY$137,LS_previous!AX$148, FALSE))/2)</f>
        <v>2786.3330032466001</v>
      </c>
      <c r="AI131" s="102">
        <f t="array" ref="AI131">IF($G131=0, INDEX(LS_previous!$D$4:$AY$137, MATCH('Staging Table'!$A131, LS_previous!$B$4:$B$137, 0), MATCH(AI$4&amp;AI$5, LS_previous!$D$2:$AY$2&amp;LS_previous!$D$3:$AY$3, 0)),SUM(VLOOKUP($A131, LS_previous!$B$4:$AY$137, LS_previous!AA$148, FALSE), VLOOKUP('Staging Table'!$A131, LS_previous!$B$4:$AY$137,LS_previous!AY$148, FALSE))/2)</f>
        <v>3413.0564369936001</v>
      </c>
      <c r="AJ131" s="103">
        <f t="array" ref="AJ131">INDEX(Demand_previous!$D$4:$AY$137, MATCH('Staging Table'!$A131, Demand_previous!$B$4:$B$137, 0), MATCH(AJ$4&amp;AJ$5,Demand_previous!$D$2:$AY$2&amp;Demand_previous!$D$3:$AY$3, 0))/1000</f>
        <v>1.4571442307692311</v>
      </c>
      <c r="AK131" s="103">
        <f t="array" ref="AK131">INDEX(Demand_previous!$D$4:$AY$137, MATCH('Staging Table'!$A131, Demand_previous!$B$4:$B$137, 0), MATCH(AK$4&amp;AK$5,Demand_previous!$D$2:$AY$2&amp;Demand_previous!$D$3:$AY$3, 0))/1000</f>
        <v>3.4504975000000044</v>
      </c>
      <c r="AL131" s="103">
        <f t="array" ref="AL131">INDEX(Demand_previous!$D$4:$AY$137, MATCH('Staging Table'!$A131, Demand_previous!$B$4:$B$137, 0), MATCH(AL$4&amp;AL$5,Demand_previous!$D$2:$AY$2&amp;Demand_previous!$D$3:$AY$3, 0))/1000</f>
        <v>0.98990249999999946</v>
      </c>
      <c r="AM131" s="103">
        <f t="array" ref="AM131">INDEX(Demand_previous!$D$4:$AY$137, MATCH('Staging Table'!$A131, Demand_previous!$B$4:$B$137, 0), MATCH(AM$4&amp;AM$5,Demand_previous!$D$2:$AY$2&amp;Demand_previous!$D$3:$AY$3, 0))/1000</f>
        <v>2.5353317307692298</v>
      </c>
      <c r="AN131" s="103">
        <f t="array" ref="AN131">INDEX(Demand_previous!$D$4:$AY$137, MATCH('Staging Table'!$A131, Demand_previous!$B$4:$B$137, 0), MATCH(AN$4&amp;AN$5,Demand_previous!$D$2:$AY$2&amp;Demand_previous!$D$3:$AY$3, 0))/1000</f>
        <v>0</v>
      </c>
      <c r="AO131" s="103">
        <f t="array" ref="AO131">INDEX(Demand_previous!$D$4:$AY$137, MATCH('Staging Table'!$A131, Demand_previous!$B$4:$B$137, 0), MATCH(AO$4&amp;AO$5,Demand_previous!$D$2:$AY$2&amp;Demand_previous!$D$3:$AY$3, 0))/1000</f>
        <v>0</v>
      </c>
      <c r="AP131" s="103">
        <f t="array" ref="AP131">INDEX(Demand_previous!$D$4:$AY$137, MATCH('Staging Table'!$A131, Demand_previous!$B$4:$B$137, 0), MATCH(AP$4&amp;AP$5,Demand_previous!$D$2:$AY$2&amp;Demand_previous!$D$3:$AY$3, 0))/1000</f>
        <v>2.345531249999997</v>
      </c>
      <c r="AQ131" s="103">
        <f t="array" ref="AQ131">INDEX(Demand_previous!$D$4:$AY$137, MATCH('Staging Table'!$A131, Demand_previous!$B$4:$B$137, 0), MATCH(AQ$4&amp;AQ$5,Demand_previous!$D$2:$AY$2&amp;Demand_previous!$D$3:$AY$3, 0))/1000</f>
        <v>2.9402163461538469</v>
      </c>
      <c r="AR131" s="103">
        <f t="array" ref="AR131">INDEX(Demand_previous!$D$4:$AY$137, MATCH('Staging Table'!$A131, Demand_previous!$B$4:$B$137, 0), MATCH(AR$4&amp;AR$5,Demand_previous!$D$2:$AY$2&amp;Demand_previous!$D$3:$AY$3, 0))/1000</f>
        <v>1.4452525000000023</v>
      </c>
      <c r="AS131" s="103">
        <f t="array" ref="AS131">INDEX(Demand_previous!$D$4:$AY$137, MATCH('Staging Table'!$A131, Demand_previous!$B$4:$B$137, 0), MATCH(AS$4&amp;AS$5,Demand_previous!$D$2:$AY$2&amp;Demand_previous!$D$3:$AY$3, 0))/1000</f>
        <v>2.7379999999999995</v>
      </c>
      <c r="AT131" s="103">
        <f t="array" ref="AT131">INDEX(Demand_previous!$D$4:$AY$137, MATCH('Staging Table'!$A131, Demand_previous!$B$4:$B$137, 0), MATCH(AT$4&amp;AT$5,Demand_previous!$D$2:$AY$2&amp;Demand_previous!$D$3:$AY$3, 0))/1000</f>
        <v>2.7499050925925914</v>
      </c>
      <c r="AU131" s="103">
        <f t="array" ref="AU131">INDEX(Demand_previous!$D$4:$AY$137, MATCH('Staging Table'!$A131, Demand_previous!$B$4:$B$137, 0), MATCH(AU$4&amp;AU$5,Demand_previous!$D$2:$AY$2&amp;Demand_previous!$D$3:$AY$3, 0))/1000</f>
        <v>1.0850598958333322</v>
      </c>
      <c r="AV131" s="102">
        <f>$F131*(VLOOKUP(AV$4, Rates_previous!$G$6:$Q$29, 10, FALSE)+VLOOKUP(AV$4, Rates_previous!$G$6:$Q$29, 11, FALSE))</f>
        <v>16027.657370314651</v>
      </c>
      <c r="AW131" s="102">
        <f>$F131*(VLOOKUP(AW$4, Rates_previous!$G$6:$Q$29, 10, FALSE)+VLOOKUP(AW$4, Rates_previous!$G$6:$Q$29, 11, FALSE))</f>
        <v>20440.548314836902</v>
      </c>
      <c r="AX131" s="102">
        <f>$F131*(VLOOKUP(AX$4, Rates_previous!$G$6:$Q$29, 10, FALSE)+VLOOKUP(AX$4, Rates_previous!$G$6:$Q$29, 11, FALSE))</f>
        <v>22059.396021508503</v>
      </c>
      <c r="AY131" s="102">
        <f>$F131*(VLOOKUP(AY$4, Rates_previous!$G$6:$Q$29, 10, FALSE)+VLOOKUP(AY$4, Rates_previous!$G$6:$Q$29, 11, FALSE))</f>
        <v>22923.122580430401</v>
      </c>
      <c r="AZ131" s="102">
        <f>$F131*(VLOOKUP(AZ$4, Rates_previous!$G$6:$Q$29, 10, FALSE)+VLOOKUP(AZ$4, Rates_previous!$G$6:$Q$29, 11, FALSE))</f>
        <v>19716.940876345798</v>
      </c>
      <c r="BA131" s="102">
        <f>$F131*(VLOOKUP(BA$4, Rates_previous!$G$6:$Q$29, 10, FALSE)+VLOOKUP(BA$4, Rates_previous!$G$6:$Q$29, 11, FALSE))</f>
        <v>21526.995678998101</v>
      </c>
      <c r="BB131" s="102">
        <f>$F131*(VLOOKUP(BB$4, Rates_previous!$G$6:$Q$29, 10, FALSE)+VLOOKUP(BB$4, Rates_previous!$G$6:$Q$29, 11, FALSE))</f>
        <v>16991.935350034673</v>
      </c>
      <c r="BC131" s="102">
        <f>$F131*(VLOOKUP(BC$4, Rates_previous!$G$6:$Q$29, 10, FALSE)+VLOOKUP(BC$4, Rates_previous!$G$6:$Q$29, 11, FALSE))</f>
        <v>21080.772827294149</v>
      </c>
      <c r="BD131" s="102">
        <f>$F131*(VLOOKUP(BD$4, Rates_previous!$G$6:$Q$29, 10, FALSE)+VLOOKUP(BD$4, Rates_previous!$G$6:$Q$29, 11, FALSE))</f>
        <v>21538.172971217547</v>
      </c>
      <c r="BE131" s="102">
        <f>$F131*(VLOOKUP(BE$4, Rates_previous!$G$6:$Q$29, 10, FALSE)+VLOOKUP(BE$4, Rates_previous!$G$6:$Q$29, 11, FALSE))</f>
        <v>18698.237108747649</v>
      </c>
      <c r="BF131" s="102">
        <f>$F131*(VLOOKUP(BF$4, Rates_previous!$G$6:$Q$29, 10, FALSE)+VLOOKUP(BF$4, Rates_previous!$G$6:$Q$29, 11, FALSE))</f>
        <v>18076.225129703787</v>
      </c>
      <c r="BG131" s="102">
        <f>$F131*(VLOOKUP(BG$4, Rates_previous!$G$6:$Q$29, 10, FALSE)+VLOOKUP(BG$4, Rates_previous!$G$6:$Q$29, 11, FALSE))</f>
        <v>16633.627559759803</v>
      </c>
      <c r="BH131" s="103">
        <f>IF($D131=0,IF(C131=0, MAX(BJ131 - (VLOOKUP($A131,TOCA_previous!$A$2:$AJ$136,MATCH("RHWM "&amp;Init!$D$1-2,TOCA_previous!$A$2:$AJ$2,0),FALSE)*$F$2*TOCA_previous!C128),0),0), 0)</f>
        <v>45288.314080464072</v>
      </c>
      <c r="BI131" s="109">
        <f>MIN(VLOOKUP($A131,TOCA_previous!$A$2:$AJ$136,MATCH("TRL - NLSL - Existing Resource "&amp;$F$1,TOCA_previous!$A$2:$AJ$2,0),FALSE)*$F$2,(VLOOKUP($A131,TOCA_previous!$A$2:$AJ$136,MATCH("RHWM "&amp;Init!$D$1-2,TOCA_previous!$A$2:$AJ$2,0),FALSE)*$F$2))</f>
        <v>230509.728</v>
      </c>
      <c r="BJ131" s="261">
        <f>SUM(L131:AI131)+(F131*RT1SC!$C$3*$F$2)</f>
        <v>280989.38608046406</v>
      </c>
      <c r="BK131" s="260">
        <f>VLOOKUP($A131,TOCA_previous!$A$2:$AJ$136,MATCH("Above RHWM Not Served with LS "&amp;$F$1,TOCA_previous!$A$2:$AJ$2,0),FALSE)*$F$2</f>
        <v>0</v>
      </c>
      <c r="BL131" s="261">
        <f t="shared" si="36"/>
        <v>50479.658080464054</v>
      </c>
      <c r="BM131" s="260">
        <f>(VLOOKUP($A131,TOCA_previous!$A$2:$AJ$136,MATCH("RHWM "&amp;Init!$D$1-2,TOCA_previous!$A$2:$AJ$2,0),FALSE)*$F$2) - $BI131</f>
        <v>5191.3439999999828</v>
      </c>
      <c r="BN131" s="261">
        <f t="shared" si="37"/>
        <v>-5191.3439999999828</v>
      </c>
      <c r="BO131" s="260">
        <f t="shared" si="38"/>
        <v>0</v>
      </c>
      <c r="BP131" s="261">
        <f t="shared" si="39"/>
        <v>0</v>
      </c>
      <c r="BQ131" s="260">
        <f t="shared" si="9"/>
        <v>-5191.3439999999828</v>
      </c>
      <c r="BR131" s="85">
        <f>VLOOKUP($A131,TOCA_current!$A$2:$ZZ$136,MATCH(BR$4,TOCA_current!$A$2:$ZZ$2,0),FALSE)</f>
        <v>3.7959000000000001E-3</v>
      </c>
      <c r="BS131" s="85">
        <f>VLOOKUP($A131,TOCA_current!$A$2:$ZZ$136,MATCH(BS$4,TOCA_current!$A$2:$ZZ$2,0),FALSE)</f>
        <v>3.7959000000000001E-3</v>
      </c>
      <c r="BT131" s="108">
        <f t="shared" si="40"/>
        <v>0</v>
      </c>
      <c r="BU131" s="85">
        <f>VLOOKUP($A131,TOCA_current!A128:BG262,MATCH(BU$4,TOCA_current!$A$2:$BG$2,0),FALSE)</f>
        <v>0</v>
      </c>
      <c r="BV131" s="85">
        <f t="shared" si="41"/>
        <v>0</v>
      </c>
      <c r="BW131" s="85">
        <f t="shared" si="42"/>
        <v>0</v>
      </c>
      <c r="BX131" s="101">
        <f>VLOOKUP($A131,IRD!$A$4:$G$138, 7, FALSE)</f>
        <v>0</v>
      </c>
      <c r="BY131" s="102">
        <f t="array" ref="BY131">IF($BT131=0, INDEX(LS_current!$D$4:$BW$137, MATCH('Staging Table'!$A131, LS_current!$B$4:$B$137, 0), MATCH(BY$4&amp;BY$5, LS_current!$D$2:$BW$2&amp;LS_current!$D$3:$BW$3, 0)),SUM(VLOOKUP($A131, LS_current!$B$4:$BW$137, LS_current!D$147, FALSE), VLOOKUP($A131, LS_current!$B$4:$BW$137,LS_current!AZ$147, FALSE))/2)</f>
        <v>1641.9963905741715</v>
      </c>
      <c r="BZ131" s="102">
        <f t="array" ref="BZ131">IF($BT131=0, INDEX(LS_current!$D$4:$BW$137, MATCH('Staging Table'!$A131, LS_current!$B$4:$B$137, 0), MATCH(BZ$4&amp;BZ$5, LS_current!$D$2:$BW$2&amp;LS_current!$D$3:$BW$3, 0)),SUM(VLOOKUP($A131, LS_current!$B$4:$BW$137, LS_current!E$147, FALSE), VLOOKUP($A131, LS_current!$B$4:$BW$137,LS_current!BA$147, FALSE))/2)</f>
        <v>2410.1088756472591</v>
      </c>
      <c r="CA131" s="102">
        <f t="array" ref="CA131">IF($BT131=0, INDEX(LS_current!$D$4:$BW$137, MATCH('Staging Table'!$A131, LS_current!$B$4:$B$137, 0), MATCH(CA$4&amp;CA$5, LS_current!$D$2:$BW$2&amp;LS_current!$D$3:$BW$3, 0)),SUM(VLOOKUP($A131, LS_current!$B$4:$BW$137, LS_current!F$147, FALSE), VLOOKUP($A131, LS_current!$B$4:$BW$137,LS_current!BB$147, FALSE))/2)</f>
        <v>-1578.5090222092713</v>
      </c>
      <c r="CB131" s="102">
        <f t="array" ref="CB131">IF($BT131=0, INDEX(LS_current!$D$4:$BW$137, MATCH('Staging Table'!$A131, LS_current!$B$4:$B$137, 0), MATCH(CB$4&amp;CB$5, LS_current!$D$2:$BW$2&amp;LS_current!$D$3:$BW$3, 0)),SUM(VLOOKUP($A131, LS_current!$B$4:$BW$137, LS_current!G$147, FALSE), VLOOKUP($A131, LS_current!$B$4:$BW$137,LS_current!BC$147, FALSE))/2)</f>
        <v>1025.47441750706</v>
      </c>
      <c r="CC131" s="102">
        <f t="array" ref="CC131">IF($BT131=0, INDEX(LS_current!$D$4:$BW$137, MATCH('Staging Table'!$A131, LS_current!$B$4:$B$137, 0), MATCH(CC$4&amp;CC$5, LS_current!$D$2:$BW$2&amp;LS_current!$D$3:$BW$3, 0)),SUM(VLOOKUP($A131, LS_current!$B$4:$BW$137, LS_current!H$147, FALSE), VLOOKUP($A131, LS_current!$B$4:$BW$137,LS_current!BD$147, FALSE))/2)</f>
        <v>-3319.3451177302468</v>
      </c>
      <c r="CD131" s="102">
        <f t="array" ref="CD131">IF($BT131=0, INDEX(LS_current!$D$4:$BW$137, MATCH('Staging Table'!$A131, LS_current!$B$4:$B$137, 0), MATCH(CD$4&amp;CD$5, LS_current!$D$2:$BW$2&amp;LS_current!$D$3:$BW$3, 0)),SUM(VLOOKUP($A131, LS_current!$B$4:$BW$137, LS_current!I$147, FALSE), VLOOKUP($A131, LS_current!$B$4:$BW$137,LS_current!BE$147, FALSE))/2)</f>
        <v>640.29065180187536</v>
      </c>
      <c r="CE131" s="102">
        <f t="array" ref="CE131">IF($BT131=0, INDEX(LS_current!$D$4:$BW$137, MATCH('Staging Table'!$A131, LS_current!$B$4:$B$137, 0), MATCH(CE$4&amp;CE$5, LS_current!$D$2:$BW$2&amp;LS_current!$D$3:$BW$3, 0)),SUM(VLOOKUP($A131, LS_current!$B$4:$BW$137, LS_current!J$147, FALSE), VLOOKUP($A131, LS_current!$B$4:$BW$137,LS_current!BF$147, FALSE))/2)</f>
        <v>-3867.377125705194</v>
      </c>
      <c r="CF131" s="102">
        <f t="array" ref="CF131">IF($BT131=0, INDEX(LS_current!$D$4:$BW$137, MATCH('Staging Table'!$A131, LS_current!$B$4:$B$137, 0), MATCH(CF$4&amp;CF$5, LS_current!$D$2:$BW$2&amp;LS_current!$D$3:$BW$3, 0)),SUM(VLOOKUP($A131, LS_current!$B$4:$BW$137, LS_current!K$147, FALSE), VLOOKUP($A131, LS_current!$B$4:$BW$137,LS_current!BG$147, FALSE))/2)</f>
        <v>104.32213633618994</v>
      </c>
      <c r="CG131" s="102">
        <f t="array" ref="CG131">IF($BT131=0, INDEX(LS_current!$D$4:$BW$137, MATCH('Staging Table'!$A131, LS_current!$B$4:$B$137, 0), MATCH(CG$4&amp;CG$5, LS_current!$D$2:$BW$2&amp;LS_current!$D$3:$BW$3, 0)),SUM(VLOOKUP($A131, LS_current!$B$4:$BW$137, LS_current!L$147, FALSE), VLOOKUP($A131, LS_current!$B$4:$BW$137,LS_current!BH$147, FALSE))/2)</f>
        <v>-1813.3029416898898</v>
      </c>
      <c r="CH131" s="102">
        <f t="array" ref="CH131">IF($BT131=0, INDEX(LS_current!$D$4:$BW$137, MATCH('Staging Table'!$A131, LS_current!$B$4:$B$137, 0), MATCH(CH$4&amp;CH$5, LS_current!$D$2:$BW$2&amp;LS_current!$D$3:$BW$3, 0)),SUM(VLOOKUP($A131, LS_current!$B$4:$BW$137, LS_current!M$147, FALSE), VLOOKUP($A131, LS_current!$B$4:$BW$137,LS_current!BI$147, FALSE))/2)</f>
        <v>768.30064791926543</v>
      </c>
      <c r="CI131" s="102">
        <f t="array" ref="CI131">IF($BT131=0, INDEX(LS_current!$D$4:$BW$137, MATCH('Staging Table'!$A131, LS_current!$B$4:$B$137, 0), MATCH(CI$4&amp;CI$5, LS_current!$D$2:$BW$2&amp;LS_current!$D$3:$BW$3, 0)),SUM(VLOOKUP($A131, LS_current!$B$4:$BW$137, LS_current!N$147, FALSE), VLOOKUP($A131, LS_current!$B$4:$BW$137,LS_current!BJ$147, FALSE))/2)</f>
        <v>-2183.4056532149425</v>
      </c>
      <c r="CJ131" s="102">
        <f t="array" ref="CJ131">IF($BT131=0, INDEX(LS_current!$D$4:$BW$137, MATCH('Staging Table'!$A131, LS_current!$B$4:$B$137, 0), MATCH(CJ$4&amp;CJ$5, LS_current!$D$2:$BW$2&amp;LS_current!$D$3:$BW$3, 0)),SUM(VLOOKUP($A131, LS_current!$B$4:$BW$137, LS_current!O$147, FALSE), VLOOKUP($A131, LS_current!$B$4:$BW$137,LS_current!BK$147, FALSE))/2)</f>
        <v>1474.1434271630305</v>
      </c>
      <c r="CK131" s="102">
        <f t="array" ref="CK131">IF($BT131=0, INDEX(LS_current!$D$4:$BW$137, MATCH('Staging Table'!$A131, LS_current!$B$4:$B$137, 0), MATCH(CK$4&amp;CK$5, LS_current!$D$2:$BW$2&amp;LS_current!$D$3:$BW$3, 0)),SUM(VLOOKUP($A131, LS_current!$B$4:$BW$137, LS_current!P$147, FALSE), VLOOKUP($A131, LS_current!$B$4:$BW$137,LS_current!BL$147, FALSE))/2)</f>
        <v>1081.6578639317249</v>
      </c>
      <c r="CL131" s="102">
        <f t="array" ref="CL131">IF($BT131=0, INDEX(LS_current!$D$4:$BW$137, MATCH('Staging Table'!$A131, LS_current!$B$4:$B$137, 0), MATCH(CL$4&amp;CL$5, LS_current!$D$2:$BW$2&amp;LS_current!$D$3:$BW$3, 0)),SUM(VLOOKUP($A131, LS_current!$B$4:$BW$137, LS_current!Q$147, FALSE), VLOOKUP($A131, LS_current!$B$4:$BW$137,LS_current!BM$147, FALSE))/2)</f>
        <v>1990.6399896397916</v>
      </c>
      <c r="CM131" s="102">
        <f t="array" ref="CM131">IF($BT131=0, INDEX(LS_current!$D$4:$BW$137, MATCH('Staging Table'!$A131, LS_current!$B$4:$B$137, 0), MATCH(CM$4&amp;CM$5, LS_current!$D$2:$BW$2&amp;LS_current!$D$3:$BW$3, 0)),SUM(VLOOKUP($A131, LS_current!$B$4:$BW$137, LS_current!R$147, FALSE), VLOOKUP($A131, LS_current!$B$4:$BW$137,LS_current!BN$147, FALSE))/2)</f>
        <v>-1943.6442126566399</v>
      </c>
      <c r="CN131" s="102">
        <f t="array" ref="CN131">IF($BT131=0, INDEX(LS_current!$D$4:$BW$137, MATCH('Staging Table'!$A131, LS_current!$B$4:$B$137, 0), MATCH(CN$4&amp;CN$5, LS_current!$D$2:$BW$2&amp;LS_current!$D$3:$BW$3, 0)),SUM(VLOOKUP($A131, LS_current!$B$4:$BW$137, LS_current!S$147, FALSE), VLOOKUP($A131, LS_current!$B$4:$BW$137,LS_current!BO$147, FALSE))/2)</f>
        <v>813.78896702718885</v>
      </c>
      <c r="CO131" s="102">
        <f t="array" ref="CO131">IF($BT131=0, INDEX(LS_current!$D$4:$BW$137, MATCH('Staging Table'!$A131, LS_current!$B$4:$B$137, 0), MATCH(CO$4&amp;CO$5, LS_current!$D$2:$BW$2&amp;LS_current!$D$3:$BW$3, 0)),SUM(VLOOKUP($A131, LS_current!$B$4:$BW$137, LS_current!T$147, FALSE), VLOOKUP($A131, LS_current!$B$4:$BW$137,LS_current!BP$147, FALSE))/2)</f>
        <v>-2905.302264337688</v>
      </c>
      <c r="CP131" s="102">
        <f t="array" ref="CP131">IF($BT131=0, INDEX(LS_current!$D$4:$BW$137, MATCH('Staging Table'!$A131, LS_current!$B$4:$B$137, 0), MATCH(CP$4&amp;CP$5, LS_current!$D$2:$BW$2&amp;LS_current!$D$3:$BW$3, 0)),SUM(VLOOKUP($A131, LS_current!$B$4:$BW$137, LS_current!U$147, FALSE), VLOOKUP($A131, LS_current!$B$4:$BW$137,LS_current!BQ$147, FALSE))/2)</f>
        <v>595.97834652736401</v>
      </c>
      <c r="CQ131" s="102">
        <f t="array" ref="CQ131">IF($BT131=0, INDEX(LS_current!$D$4:$BW$137, MATCH('Staging Table'!$A131, LS_current!$B$4:$B$137, 0), MATCH(CQ$4&amp;CQ$5, LS_current!$D$2:$BW$2&amp;LS_current!$D$3:$BW$3, 0)),SUM(VLOOKUP($A131, LS_current!$B$4:$BW$137, LS_current!V$147, FALSE), VLOOKUP($A131, LS_current!$B$4:$BW$137,LS_current!BR$147, FALSE))/2)</f>
        <v>-1039.4817433962962</v>
      </c>
      <c r="CR131" s="102">
        <f t="array" ref="CR131">IF($BT131=0, INDEX(LS_current!$D$4:$BW$137, MATCH('Staging Table'!$A131, LS_current!$B$4:$B$137, 0), MATCH(CR$4&amp;CR$5, LS_current!$D$2:$BW$2&amp;LS_current!$D$3:$BW$3, 0)),SUM(VLOOKUP($A131, LS_current!$B$4:$BW$137, LS_current!W$147, FALSE), VLOOKUP($A131, LS_current!$B$4:$BW$137,LS_current!BS$147, FALSE))/2)</f>
        <v>1779.8213949550181</v>
      </c>
      <c r="CS131" s="102">
        <f t="array" ref="CS131">IF($BT131=0, INDEX(LS_current!$D$4:$BW$137, MATCH('Staging Table'!$A131, LS_current!$B$4:$B$137, 0), MATCH(CS$4&amp;CS$5, LS_current!$D$2:$BW$2&amp;LS_current!$D$3:$BW$3, 0)),SUM(VLOOKUP($A131, LS_current!$B$4:$BW$137, LS_current!X$147, FALSE), VLOOKUP($A131, LS_current!$B$4:$BW$137,LS_current!BT$147, FALSE))/2)</f>
        <v>-1685.9418100485182</v>
      </c>
      <c r="CT131" s="102">
        <f t="array" ref="CT131">IF($BT131=0, INDEX(LS_current!$D$4:$BW$137, MATCH('Staging Table'!$A131, LS_current!$B$4:$B$137, 0), MATCH(CT$4&amp;CT$5, LS_current!$D$2:$BW$2&amp;LS_current!$D$3:$BW$3, 0)),SUM(VLOOKUP($A131, LS_current!$B$4:$BW$137, LS_current!Y$147, FALSE), VLOOKUP($A131, LS_current!$B$4:$BW$137,LS_current!BU$147, FALSE))/2)</f>
        <v>2132.5602186733577</v>
      </c>
      <c r="CU131" s="102">
        <f t="array" ref="CU131">IF($BT131=0, INDEX(LS_current!$D$4:$BW$137, MATCH('Staging Table'!$A131, LS_current!$B$4:$B$137, 0), MATCH(CU$4&amp;CU$5, LS_current!$D$2:$BW$2&amp;LS_current!$D$3:$BW$3, 0)),SUM(VLOOKUP($A131, LS_current!$B$4:$BW$137, LS_current!Z$147, FALSE), VLOOKUP($A131, LS_current!$B$4:$BW$137,LS_current!BV$147, FALSE))/2)</f>
        <v>1168.6548140288123</v>
      </c>
      <c r="CV131" s="102">
        <f t="array" ref="CV131">IF($BT131=0, INDEX(LS_current!$D$4:$BW$137, MATCH('Staging Table'!$A131, LS_current!$B$4:$B$137, 0), MATCH(CV$4&amp;CV$5, LS_current!$D$2:$BW$2&amp;LS_current!$D$3:$BW$3, 0)),SUM(VLOOKUP($A131, LS_current!$B$4:$BW$137, LS_current!AA$147, FALSE), VLOOKUP($A131, LS_current!$B$4:$BW$137,LS_current!BW$147, FALSE))/2)</f>
        <v>2710.910397964527</v>
      </c>
      <c r="CW131" s="103">
        <f t="array" ref="CW131">INDEX(Demand_current!$D$4:$BW$137, MATCH($A131, Demand_current!$B$4:$B$137, 0), MATCH(CW$4&amp;CW$5,Demand_current!$D$2:$BW$2&amp;Demand_current!$D$3:$BW$3, 0))/1000</f>
        <v>2.6730277777777793</v>
      </c>
      <c r="CX131" s="103">
        <f t="array" ref="CX131">INDEX(Demand_current!$D$4:$BW$137, MATCH($A131, Demand_current!$B$4:$B$137, 0), MATCH(CX$4&amp;CX$5,Demand_current!$D$2:$BW$2&amp;Demand_current!$D$3:$BW$3, 0))/1000</f>
        <v>2.1438515625000036</v>
      </c>
      <c r="CY131" s="103">
        <f t="array" ref="CY131">INDEX(Demand_current!$D$4:$BW$137, MATCH($A131, Demand_current!$B$4:$B$137, 0), MATCH(CY$4&amp;CY$5,Demand_current!$D$2:$BW$2&amp;Demand_current!$D$3:$BW$3, 0))/1000</f>
        <v>2.2856754807692283</v>
      </c>
      <c r="CZ131" s="103">
        <f t="array" ref="CZ131">INDEX(Demand_current!$D$4:$BW$137, MATCH($A131, Demand_current!$B$4:$B$137, 0), MATCH(CZ$4&amp;CZ$5,Demand_current!$D$2:$BW$2&amp;Demand_current!$D$3:$BW$3, 0))/1000</f>
        <v>2.5353317307692222</v>
      </c>
      <c r="DA131" s="103">
        <f t="array" ref="DA131">INDEX(Demand_current!$D$4:$BW$137, MATCH($A131, Demand_current!$B$4:$B$137, 0), MATCH(DA$4&amp;DA$5,Demand_current!$D$2:$BW$2&amp;Demand_current!$D$3:$BW$3, 0))/1000</f>
        <v>0</v>
      </c>
      <c r="DB131" s="103">
        <f t="array" ref="DB131">INDEX(Demand_current!$D$4:$BW$137, MATCH($A131, Demand_current!$B$4:$B$137, 0), MATCH(DB$4&amp;DB$5,Demand_current!$D$2:$BW$2&amp;Demand_current!$D$3:$BW$3, 0))/1000</f>
        <v>0</v>
      </c>
      <c r="DC131" s="103">
        <f t="array" ref="DC131">INDEX(Demand_current!$D$4:$BW$137, MATCH($A131, Demand_current!$B$4:$B$137, 0), MATCH(DC$4&amp;DC$5,Demand_current!$D$2:$BW$2&amp;Demand_current!$D$3:$BW$3, 0))/1000</f>
        <v>2.345531249999997</v>
      </c>
      <c r="DD131" s="103">
        <f t="array" ref="DD131">INDEX(Demand_current!$D$4:$BW$137, MATCH($A131, Demand_current!$B$4:$B$137, 0), MATCH(DD$4&amp;DD$5,Demand_current!$D$2:$BW$2&amp;Demand_current!$D$3:$BW$3, 0))/1000</f>
        <v>1.7022249999999985</v>
      </c>
      <c r="DE131" s="103">
        <f t="array" ref="DE131">INDEX(Demand_current!$D$4:$BW$137, MATCH($A131, Demand_current!$B$4:$B$137, 0), MATCH(DE$4&amp;DE$5,Demand_current!$D$2:$BW$2&amp;Demand_current!$D$3:$BW$3, 0))/1000</f>
        <v>2.7206658653846105</v>
      </c>
      <c r="DF131" s="103">
        <f t="array" ref="DF131">INDEX(Demand_current!$D$4:$BW$137, MATCH($A131, Demand_current!$B$4:$B$137, 0), MATCH(DF$4&amp;DF$5,Demand_current!$D$2:$BW$2&amp;Demand_current!$D$3:$BW$3, 0))/1000</f>
        <v>2.737999999999996</v>
      </c>
      <c r="DG131" s="103">
        <f t="array" ref="DG131">INDEX(Demand_current!$D$4:$BW$137, MATCH($A131, Demand_current!$B$4:$B$137, 0), MATCH(DG$4&amp;DG$5,Demand_current!$D$2:$BW$2&amp;Demand_current!$D$3:$BW$3, 0))/1000</f>
        <v>1.5464399038461565</v>
      </c>
      <c r="DH131" s="103">
        <f t="array" ref="DH131">INDEX(Demand_current!$D$4:$BW$137, MATCH($A131, Demand_current!$B$4:$B$137, 0), MATCH(DH$4&amp;DH$5,Demand_current!$D$2:$BW$2&amp;Demand_current!$D$3:$BW$3, 0))/1000</f>
        <v>2.4101375000000012</v>
      </c>
      <c r="DI131" s="102">
        <f>$BS131*(VLOOKUP(DI$4, Rates_current!$H$6:$R$41, 10, FALSE)+VLOOKUP(DI$4, Rates_current!$H$6:$R$41, 11, FALSE))</f>
        <v>15754.076733778569</v>
      </c>
      <c r="DJ131" s="102">
        <f>$BS131*(VLOOKUP(DJ$4, Rates_current!$H$6:$R$41, 10, FALSE)+VLOOKUP(DJ$4, Rates_current!$H$6:$R$41, 11, FALSE))</f>
        <v>20141.068604702214</v>
      </c>
      <c r="DK131" s="102">
        <f>$BS131*(VLOOKUP(DK$4, Rates_current!$H$6:$R$41, 10, FALSE)+VLOOKUP(DK$4, Rates_current!$H$6:$R$41, 11, FALSE))</f>
        <v>22898.710465928369</v>
      </c>
      <c r="DL131" s="102">
        <f>$BS131*(VLOOKUP(DL$4, Rates_current!$H$6:$R$41, 10, FALSE)+VLOOKUP(DL$4, Rates_current!$H$6:$R$41, 11, FALSE))</f>
        <v>24159.926989369003</v>
      </c>
      <c r="DM131" s="102">
        <f>$BS131*(VLOOKUP(DM$4, Rates_current!$H$6:$R$41, 10, FALSE)+VLOOKUP(DM$4, Rates_current!$H$6:$R$41, 11, FALSE))</f>
        <v>19253.281293770626</v>
      </c>
      <c r="DN131" s="102">
        <f>$BS131*(VLOOKUP(DN$4, Rates_current!$H$6:$R$41, 10, FALSE)+VLOOKUP(DN$4, Rates_current!$H$6:$R$41, 11, FALSE))</f>
        <v>21047.790226051908</v>
      </c>
      <c r="DO131" s="102">
        <f>$BS131*(VLOOKUP(DO$4, Rates_current!$H$6:$R$41, 10, FALSE)+VLOOKUP(DO$4, Rates_current!$H$6:$R$41, 11, FALSE))</f>
        <v>16312.249146428483</v>
      </c>
      <c r="DP131" s="102">
        <f>$BS131*(VLOOKUP(DP$4, Rates_current!$H$6:$R$41, 10, FALSE)+VLOOKUP(DP$4, Rates_current!$H$6:$R$41, 11, FALSE))</f>
        <v>21110.736245629447</v>
      </c>
      <c r="DQ131" s="102">
        <f>$BS131*(VLOOKUP(DQ$4, Rates_current!$H$6:$R$41, 10, FALSE)+VLOOKUP(DQ$4, Rates_current!$H$6:$R$41, 11, FALSE))</f>
        <v>21561.511917810327</v>
      </c>
      <c r="DR131" s="102">
        <f>$BS131*(VLOOKUP(DR$4, Rates_current!$H$6:$R$41, 10, FALSE)+VLOOKUP(DR$4, Rates_current!$H$6:$R$41, 11, FALSE))</f>
        <v>19191.610348441278</v>
      </c>
      <c r="DS131" s="102">
        <f>$BS131*(VLOOKUP(DS$4, Rates_current!$H$6:$R$41, 10, FALSE)+VLOOKUP(DS$4, Rates_current!$H$6:$R$41, 11, FALSE))</f>
        <v>19687.072591375159</v>
      </c>
      <c r="DT131" s="102">
        <f>$BS131*(VLOOKUP(DT$4, Rates_current!$H$6:$R$41, 10, FALSE)+VLOOKUP(DT$4, Rates_current!$H$6:$R$41, 11, FALSE))</f>
        <v>15289.371788006663</v>
      </c>
      <c r="DU131" s="261">
        <f>IF(D131=0,IF(C131=0,MAX(0,DW131 - (VLOOKUP($A131,TOCA_current!$A$2:$AV$136,MATCH("RHWM "&amp;Init!$D$1,TOCA_current!$A$2:$AV$2,0),FALSE)*$BS$2)), 0),0)</f>
        <v>3.6389550759631675</v>
      </c>
      <c r="DV131" s="262">
        <f>MIN(VLOOKUP($A131,TOCA_current!$A$2:$AV$136,MATCH("TRL - NLSL - Existing Resource "&amp;$BS$1,TOCA_current!$A$2:$AV$2,0),FALSE)*$BS$2, VLOOKUP($A131,TOCA_current!$A$2:$AV$136,MATCH("RHWM "&amp;Init!$D$1,TOCA_current!$A$2:$AV$2,0),FALSE)*$BS$2)</f>
        <v>236406.12</v>
      </c>
      <c r="DW131" s="262">
        <f>SUM(BY131:CV131)+(BS131*RT1SC!$C$4*$BS$2)</f>
        <v>236409.75895507596</v>
      </c>
      <c r="DX131" s="262">
        <f>VLOOKUP($A131,TOCA_current!$A$2:$AV$136,MATCH("Above RHWM Not Served with LS "&amp;$BS$1,TOCA_current!$A$2:$AV$2,0),FALSE)*$BS$2</f>
        <v>44579.640000000007</v>
      </c>
      <c r="DY131" s="262">
        <f t="shared" si="43"/>
        <v>3.6389550759631675</v>
      </c>
      <c r="DZ131" s="262">
        <f>(VLOOKUP($A131,TOCA_current!$A$2:$AV$136,MATCH("RHWM "&amp;Init!$D$1,TOCA_current!$A$2:$AV$2,0),FALSE)*$BS$2) - $DV131</f>
        <v>0</v>
      </c>
      <c r="EA131" s="262">
        <f t="shared" si="44"/>
        <v>0</v>
      </c>
      <c r="EB131" s="262">
        <f t="shared" si="45"/>
        <v>0</v>
      </c>
      <c r="EC131" s="262">
        <f t="shared" si="46"/>
        <v>0</v>
      </c>
      <c r="ED131" s="262">
        <f t="shared" si="47"/>
        <v>0</v>
      </c>
    </row>
    <row r="132" spans="1:134">
      <c r="A132" s="2">
        <v>10482</v>
      </c>
      <c r="B132" s="3" t="s">
        <v>134</v>
      </c>
      <c r="C132">
        <f>VLOOKUP(A132, TOCA_current!$A$3:$D$136, 4, FALSE)</f>
        <v>0</v>
      </c>
      <c r="D132">
        <v>0</v>
      </c>
      <c r="E132" s="84">
        <f>VLOOKUP($A132,TOCA_previous!$A$2:$AJ$136,MATCH(E$4,TOCA_previous!$A$2:$AJ$2,0),FALSE)</f>
        <v>4.0170000000000001E-4</v>
      </c>
      <c r="F132" s="85">
        <f>VLOOKUP($A132,TOCA_previous!$A$2:$AJ$136,MATCH(F$4,TOCA_previous!$A$2:$AJ$2,0),FALSE)</f>
        <v>4.0170000000000001E-4</v>
      </c>
      <c r="G132" s="85">
        <f t="shared" si="33"/>
        <v>0</v>
      </c>
      <c r="H132" s="85">
        <f>VLOOKUP($A132,TOCA_previous!$A$2:$AJ$136,MATCH(H$4,TOCA_previous!$A$2:$AJ$2,0),FALSE)</f>
        <v>0</v>
      </c>
      <c r="I132" s="85">
        <f t="shared" si="34"/>
        <v>0</v>
      </c>
      <c r="J132" s="85">
        <f t="shared" si="35"/>
        <v>0</v>
      </c>
      <c r="K132" s="101">
        <f>VLOOKUP(A132, IRD!$A$5:$C$138, 3, FALSE)</f>
        <v>0</v>
      </c>
      <c r="L132" s="102">
        <f t="array" ref="L132">IF($G132=0, INDEX(LS_previous!$D$4:$AY$137, MATCH('Staging Table'!$A132, LS_previous!$B$4:$B$137, 0), MATCH(L$4&amp;L$5, LS_previous!$D$2:$AY$2&amp;LS_previous!$D$3:$AY$3, 0)),SUM(VLOOKUP($A132, LS_previous!$B$4:$AY$137, LS_previous!D$148, FALSE), VLOOKUP('Staging Table'!$A132, LS_previous!$B$4:$AY$137,LS_previous!AB$148, FALSE))/2)</f>
        <v>106.08323073880001</v>
      </c>
      <c r="M132" s="102">
        <f t="array" ref="M132">IF($G132=0, INDEX(LS_previous!$D$4:$AY$137, MATCH('Staging Table'!$A132, LS_previous!$B$4:$B$137, 0), MATCH(M$4&amp;M$5, LS_previous!$D$2:$AY$2&amp;LS_previous!$D$3:$AY$3, 0)),SUM(VLOOKUP($A132, LS_previous!$B$4:$AY$137, LS_previous!E$148, FALSE), VLOOKUP('Staging Table'!$A132, LS_previous!$B$4:$AY$137,LS_previous!AC$148, FALSE))/2)</f>
        <v>116.28929826665012</v>
      </c>
      <c r="N132" s="102">
        <f t="array" ref="N132">IF($G132=0, INDEX(LS_previous!$D$4:$AY$137, MATCH('Staging Table'!$A132, LS_previous!$B$4:$B$137, 0), MATCH(N$4&amp;N$5, LS_previous!$D$2:$AY$2&amp;LS_previous!$D$3:$AY$3, 0)),SUM(VLOOKUP($A132, LS_previous!$B$4:$AY$137, LS_previous!F$148, FALSE), VLOOKUP('Staging Table'!$A132, LS_previous!$B$4:$AY$137,LS_previous!AD$148, FALSE))/2)</f>
        <v>-266.09255965760008</v>
      </c>
      <c r="O132" s="102">
        <f t="array" ref="O132">IF($G132=0, INDEX(LS_previous!$D$4:$AY$137, MATCH('Staging Table'!$A132, LS_previous!$B$4:$B$137, 0), MATCH(O$4&amp;O$5, LS_previous!$D$2:$AY$2&amp;LS_previous!$D$3:$AY$3, 0)),SUM(VLOOKUP($A132, LS_previous!$B$4:$AY$137, LS_previous!G$148, FALSE), VLOOKUP('Staging Table'!$A132, LS_previous!$B$4:$AY$137,LS_previous!AE$148, FALSE))/2)</f>
        <v>54.230553927299979</v>
      </c>
      <c r="P132" s="102">
        <f t="array" ref="P132">IF($G132=0, INDEX(LS_previous!$D$4:$AY$137, MATCH('Staging Table'!$A132, LS_previous!$B$4:$B$137, 0), MATCH(P$4&amp;P$5, LS_previous!$D$2:$AY$2&amp;LS_previous!$D$3:$AY$3, 0)),SUM(VLOOKUP($A132, LS_previous!$B$4:$AY$137, LS_previous!H$148, FALSE), VLOOKUP('Staging Table'!$A132, LS_previous!$B$4:$AY$137,LS_previous!AF$148, FALSE))/2)</f>
        <v>-219.79812135630004</v>
      </c>
      <c r="Q132" s="102">
        <f t="array" ref="Q132">IF($G132=0, INDEX(LS_previous!$D$4:$AY$137, MATCH('Staging Table'!$A132, LS_previous!$B$4:$B$137, 0), MATCH(Q$4&amp;Q$5, LS_previous!$D$2:$AY$2&amp;LS_previous!$D$3:$AY$3, 0)),SUM(VLOOKUP($A132, LS_previous!$B$4:$AY$137, LS_previous!I$148, FALSE), VLOOKUP('Staging Table'!$A132, LS_previous!$B$4:$AY$137,LS_previous!AG$148, FALSE))/2)</f>
        <v>-13.333667683200019</v>
      </c>
      <c r="R132" s="102">
        <f t="array" ref="R132">IF($G132=0, INDEX(LS_previous!$D$4:$AY$137, MATCH('Staging Table'!$A132, LS_previous!$B$4:$B$137, 0), MATCH(R$4&amp;R$5, LS_previous!$D$2:$AY$2&amp;LS_previous!$D$3:$AY$3, 0)),SUM(VLOOKUP($A132, LS_previous!$B$4:$AY$137, LS_previous!J$148, FALSE), VLOOKUP('Staging Table'!$A132, LS_previous!$B$4:$AY$137,LS_previous!AH$148, FALSE))/2)</f>
        <v>-304.78436191549986</v>
      </c>
      <c r="S132" s="102">
        <f t="array" ref="S132">IF($G132=0, INDEX(LS_previous!$D$4:$AY$137, MATCH('Staging Table'!$A132, LS_previous!$B$4:$B$137, 0), MATCH(S$4&amp;S$5, LS_previous!$D$2:$AY$2&amp;LS_previous!$D$3:$AY$3, 0)),SUM(VLOOKUP($A132, LS_previous!$B$4:$AY$137, LS_previous!K$148, FALSE), VLOOKUP('Staging Table'!$A132, LS_previous!$B$4:$AY$137,LS_previous!AI$148, FALSE))/2)</f>
        <v>0.14795375069991223</v>
      </c>
      <c r="T132" s="102">
        <f t="array" ref="T132">IF($G132=0, INDEX(LS_previous!$D$4:$AY$137, MATCH('Staging Table'!$A132, LS_previous!$B$4:$B$137, 0), MATCH(T$4&amp;T$5, LS_previous!$D$2:$AY$2&amp;LS_previous!$D$3:$AY$3, 0)),SUM(VLOOKUP($A132, LS_previous!$B$4:$AY$137, LS_previous!L$148, FALSE), VLOOKUP('Staging Table'!$A132, LS_previous!$B$4:$AY$137,LS_previous!AJ$148, FALSE))/2)</f>
        <v>-255.02434459429992</v>
      </c>
      <c r="U132" s="102">
        <f t="array" ref="U132">IF($G132=0, INDEX(LS_previous!$D$4:$AY$137, MATCH('Staging Table'!$A132, LS_previous!$B$4:$B$137, 0), MATCH(U$4&amp;U$5, LS_previous!$D$2:$AY$2&amp;LS_previous!$D$3:$AY$3, 0)),SUM(VLOOKUP($A132, LS_previous!$B$4:$AY$137, LS_previous!M$148, FALSE), VLOOKUP('Staging Table'!$A132, LS_previous!$B$4:$AY$137,LS_previous!AK$148, FALSE))/2)</f>
        <v>34.221383069699982</v>
      </c>
      <c r="V132" s="102">
        <f t="array" ref="V132">IF($G132=0, INDEX(LS_previous!$D$4:$AY$137, MATCH('Staging Table'!$A132, LS_previous!$B$4:$B$137, 0), MATCH(V$4&amp;V$5, LS_previous!$D$2:$AY$2&amp;LS_previous!$D$3:$AY$3, 0)),SUM(VLOOKUP($A132, LS_previous!$B$4:$AY$137, LS_previous!N$148, FALSE), VLOOKUP('Staging Table'!$A132, LS_previous!$B$4:$AY$137,LS_previous!AL$148, FALSE))/2)</f>
        <v>-241.38250769210003</v>
      </c>
      <c r="W132" s="102">
        <f t="array" ref="W132">IF($G132=0, INDEX(LS_previous!$D$4:$AY$137, MATCH('Staging Table'!$A132, LS_previous!$B$4:$B$137, 0), MATCH(W$4&amp;W$5, LS_previous!$D$2:$AY$2&amp;LS_previous!$D$3:$AY$3, 0)),SUM(VLOOKUP($A132, LS_previous!$B$4:$AY$137, LS_previous!O$148, FALSE), VLOOKUP('Staging Table'!$A132, LS_previous!$B$4:$AY$137,LS_previous!AM$148, FALSE))/2)</f>
        <v>12.984371777400042</v>
      </c>
      <c r="X132" s="102">
        <f t="array" ref="X132">IF($G132=0, INDEX(LS_previous!$D$4:$AY$137, MATCH('Staging Table'!$A132, LS_previous!$B$4:$B$137, 0), MATCH(X$4&amp;X$5, LS_previous!$D$2:$AY$2&amp;LS_previous!$D$3:$AY$3, 0)),SUM(VLOOKUP($A132, LS_previous!$B$4:$AY$137, LS_previous!P$148, FALSE), VLOOKUP('Staging Table'!$A132, LS_previous!$B$4:$AY$137,LS_previous!AN$148, FALSE))/2)</f>
        <v>27.49379577825016</v>
      </c>
      <c r="Y132" s="102">
        <f t="array" ref="Y132">IF($G132=0, INDEX(LS_previous!$D$4:$AY$137, MATCH('Staging Table'!$A132, LS_previous!$B$4:$B$137, 0), MATCH(Y$4&amp;Y$5, LS_previous!$D$2:$AY$2&amp;LS_previous!$D$3:$AY$3, 0)),SUM(VLOOKUP($A132, LS_previous!$B$4:$AY$137, LS_previous!Q$148, FALSE), VLOOKUP('Staging Table'!$A132, LS_previous!$B$4:$AY$137,LS_previous!AO$148, FALSE))/2)</f>
        <v>97.985252415025116</v>
      </c>
      <c r="Z132" s="102">
        <f t="array" ref="Z132">IF($G132=0, INDEX(LS_previous!$D$4:$AY$137, MATCH('Staging Table'!$A132, LS_previous!$B$4:$B$137, 0), MATCH(Z$4&amp;Z$5, LS_previous!$D$2:$AY$2&amp;LS_previous!$D$3:$AY$3, 0)),SUM(VLOOKUP($A132, LS_previous!$B$4:$AY$137, LS_previous!R$148, FALSE), VLOOKUP('Staging Table'!$A132, LS_previous!$B$4:$AY$137,LS_previous!AP$148, FALSE))/2)</f>
        <v>-300.42982784160017</v>
      </c>
      <c r="AA132" s="102">
        <f t="array" ref="AA132">IF($G132=0, INDEX(LS_previous!$D$4:$AY$137, MATCH('Staging Table'!$A132, LS_previous!$B$4:$B$137, 0), MATCH(AA$4&amp;AA$5, LS_previous!$D$2:$AY$2&amp;LS_previous!$D$3:$AY$3, 0)),SUM(VLOOKUP($A132, LS_previous!$B$4:$AY$137, LS_previous!S$148, FALSE), VLOOKUP('Staging Table'!$A132, LS_previous!$B$4:$AY$137,LS_previous!AQ$148, FALSE))/2)</f>
        <v>-0.75868096944998342</v>
      </c>
      <c r="AB132" s="102">
        <f t="array" ref="AB132">IF($G132=0, INDEX(LS_previous!$D$4:$AY$137, MATCH('Staging Table'!$A132, LS_previous!$B$4:$B$137, 0), MATCH(AB$4&amp;AB$5, LS_previous!$D$2:$AY$2&amp;LS_previous!$D$3:$AY$3, 0)),SUM(VLOOKUP($A132, LS_previous!$B$4:$AY$137, LS_previous!T$148, FALSE), VLOOKUP('Staging Table'!$A132, LS_previous!$B$4:$AY$137,LS_previous!AR$148, FALSE))/2)</f>
        <v>-284.5651838742001</v>
      </c>
      <c r="AC132" s="102">
        <f t="array" ref="AC132">IF($G132=0, INDEX(LS_previous!$D$4:$AY$137, MATCH('Staging Table'!$A132, LS_previous!$B$4:$B$137, 0), MATCH(AC$4&amp;AC$5, LS_previous!$D$2:$AY$2&amp;LS_previous!$D$3:$AY$3, 0)),SUM(VLOOKUP($A132, LS_previous!$B$4:$AY$137, LS_previous!U$148, FALSE), VLOOKUP('Staging Table'!$A132, LS_previous!$B$4:$AY$137,LS_previous!AS$148, FALSE))/2)</f>
        <v>-85.878789392649992</v>
      </c>
      <c r="AD132" s="102">
        <f t="array" ref="AD132">IF($G132=0, INDEX(LS_previous!$D$4:$AY$137, MATCH('Staging Table'!$A132, LS_previous!$B$4:$B$137, 0), MATCH(AD$4&amp;AD$5, LS_previous!$D$2:$AY$2&amp;LS_previous!$D$3:$AY$3, 0)),SUM(VLOOKUP($A132, LS_previous!$B$4:$AY$137, LS_previous!V$148, FALSE), VLOOKUP('Staging Table'!$A132, LS_previous!$B$4:$AY$137,LS_previous!AT$148, FALSE))/2)</f>
        <v>-46.358659598800159</v>
      </c>
      <c r="AE132" s="102">
        <f t="array" ref="AE132">IF($G132=0, INDEX(LS_previous!$D$4:$AY$137, MATCH('Staging Table'!$A132, LS_previous!$B$4:$B$137, 0), MATCH(AE$4&amp;AE$5, LS_previous!$D$2:$AY$2&amp;LS_previous!$D$3:$AY$3, 0)),SUM(VLOOKUP($A132, LS_previous!$B$4:$AY$137, LS_previous!W$148, FALSE), VLOOKUP('Staging Table'!$A132, LS_previous!$B$4:$AY$137,LS_previous!AU$148, FALSE))/2)</f>
        <v>77.922920533250021</v>
      </c>
      <c r="AF132" s="102">
        <f t="array" ref="AF132">IF($G132=0, INDEX(LS_previous!$D$4:$AY$137, MATCH('Staging Table'!$A132, LS_previous!$B$4:$B$137, 0), MATCH(AF$4&amp;AF$5, LS_previous!$D$2:$AY$2&amp;LS_previous!$D$3:$AY$3, 0)),SUM(VLOOKUP($A132, LS_previous!$B$4:$AY$137, LS_previous!X$148, FALSE), VLOOKUP('Staging Table'!$A132, LS_previous!$B$4:$AY$137,LS_previous!AV$148, FALSE))/2)</f>
        <v>-57.376161891550282</v>
      </c>
      <c r="AG132" s="102">
        <f t="array" ref="AG132">IF($G132=0, INDEX(LS_previous!$D$4:$AY$137, MATCH('Staging Table'!$A132, LS_previous!$B$4:$B$137, 0), MATCH(AG$4&amp;AG$5, LS_previous!$D$2:$AY$2&amp;LS_previous!$D$3:$AY$3, 0)),SUM(VLOOKUP($A132, LS_previous!$B$4:$AY$137, LS_previous!Y$148, FALSE), VLOOKUP('Staging Table'!$A132, LS_previous!$B$4:$AY$137,LS_previous!AW$148, FALSE))/2)</f>
        <v>105.22021332425504</v>
      </c>
      <c r="AH132" s="102">
        <f t="array" ref="AH132">IF($G132=0, INDEX(LS_previous!$D$4:$AY$137, MATCH('Staging Table'!$A132, LS_previous!$B$4:$B$137, 0), MATCH(AH$4&amp;AH$5, LS_previous!$D$2:$AY$2&amp;LS_previous!$D$3:$AY$3, 0)),SUM(VLOOKUP($A132, LS_previous!$B$4:$AY$137, LS_previous!Z$148, FALSE), VLOOKUP('Staging Table'!$A132, LS_previous!$B$4:$AY$137,LS_previous!AX$148, FALSE))/2)</f>
        <v>7.4352953341999637</v>
      </c>
      <c r="AI132" s="102">
        <f t="array" ref="AI132">IF($G132=0, INDEX(LS_previous!$D$4:$AY$137, MATCH('Staging Table'!$A132, LS_previous!$B$4:$B$137, 0), MATCH(AI$4&amp;AI$5, LS_previous!$D$2:$AY$2&amp;LS_previous!$D$3:$AY$3, 0)),SUM(VLOOKUP($A132, LS_previous!$B$4:$AY$137, LS_previous!AA$148, FALSE), VLOOKUP('Staging Table'!$A132, LS_previous!$B$4:$AY$137,LS_previous!AY$148, FALSE))/2)</f>
        <v>70.958630923199962</v>
      </c>
      <c r="AJ132" s="103">
        <f t="array" ref="AJ132">INDEX(Demand_previous!$D$4:$AY$137, MATCH('Staging Table'!$A132, Demand_previous!$B$4:$B$137, 0), MATCH(AJ$4&amp;AJ$5,Demand_previous!$D$2:$AY$2&amp;Demand_previous!$D$3:$AY$3, 0))/1000</f>
        <v>7.9288461538461252E-2</v>
      </c>
      <c r="AK132" s="103">
        <f t="array" ref="AK132">INDEX(Demand_previous!$D$4:$AY$137, MATCH('Staging Table'!$A132, Demand_previous!$B$4:$B$137, 0), MATCH(AK$4&amp;AK$5,Demand_previous!$D$2:$AY$2&amp;Demand_previous!$D$3:$AY$3, 0))/1000</f>
        <v>0.40787000000000007</v>
      </c>
      <c r="AL132" s="103">
        <f t="array" ref="AL132">INDEX(Demand_previous!$D$4:$AY$137, MATCH('Staging Table'!$A132, Demand_previous!$B$4:$B$137, 0), MATCH(AL$4&amp;AL$5,Demand_previous!$D$2:$AY$2&amp;Demand_previous!$D$3:$AY$3, 0))/1000</f>
        <v>7.7047499999999602E-2</v>
      </c>
      <c r="AM132" s="103">
        <f t="array" ref="AM132">INDEX(Demand_previous!$D$4:$AY$137, MATCH('Staging Table'!$A132, Demand_previous!$B$4:$B$137, 0), MATCH(AM$4&amp;AM$5,Demand_previous!$D$2:$AY$2&amp;Demand_previous!$D$3:$AY$3, 0))/1000</f>
        <v>0.22837740384615382</v>
      </c>
      <c r="AN132" s="103">
        <f t="array" ref="AN132">INDEX(Demand_previous!$D$4:$AY$137, MATCH('Staging Table'!$A132, Demand_previous!$B$4:$B$137, 0), MATCH(AN$4&amp;AN$5,Demand_previous!$D$2:$AY$2&amp;Demand_previous!$D$3:$AY$3, 0))/1000</f>
        <v>0.31254000000000004</v>
      </c>
      <c r="AO132" s="103">
        <f t="array" ref="AO132">INDEX(Demand_previous!$D$4:$AY$137, MATCH('Staging Table'!$A132, Demand_previous!$B$4:$B$137, 0), MATCH(AO$4&amp;AO$5,Demand_previous!$D$2:$AY$2&amp;Demand_previous!$D$3:$AY$3, 0))/1000</f>
        <v>0.260918269230769</v>
      </c>
      <c r="AP132" s="103">
        <f t="array" ref="AP132">INDEX(Demand_previous!$D$4:$AY$137, MATCH('Staging Table'!$A132, Demand_previous!$B$4:$B$137, 0), MATCH(AP$4&amp;AP$5,Demand_previous!$D$2:$AY$2&amp;Demand_previous!$D$3:$AY$3, 0))/1000</f>
        <v>0.10008413461538457</v>
      </c>
      <c r="AQ132" s="103">
        <f t="array" ref="AQ132">INDEX(Demand_previous!$D$4:$AY$137, MATCH('Staging Table'!$A132, Demand_previous!$B$4:$B$137, 0), MATCH(AQ$4&amp;AQ$5,Demand_previous!$D$2:$AY$2&amp;Demand_previous!$D$3:$AY$3, 0))/1000</f>
        <v>0.31027644230769236</v>
      </c>
      <c r="AR132" s="103">
        <f t="array" ref="AR132">INDEX(Demand_previous!$D$4:$AY$137, MATCH('Staging Table'!$A132, Demand_previous!$B$4:$B$137, 0), MATCH(AR$4&amp;AR$5,Demand_previous!$D$2:$AY$2&amp;Demand_previous!$D$3:$AY$3, 0))/1000</f>
        <v>0.54327500000000017</v>
      </c>
      <c r="AS132" s="103">
        <f t="array" ref="AS132">INDEX(Demand_previous!$D$4:$AY$137, MATCH('Staging Table'!$A132, Demand_previous!$B$4:$B$137, 0), MATCH(AS$4&amp;AS$5,Demand_previous!$D$2:$AY$2&amp;Demand_previous!$D$3:$AY$3, 0))/1000</f>
        <v>0.54083653846153856</v>
      </c>
      <c r="AT132" s="103">
        <f t="array" ref="AT132">INDEX(Demand_previous!$D$4:$AY$137, MATCH('Staging Table'!$A132, Demand_previous!$B$4:$B$137, 0), MATCH(AT$4&amp;AT$5,Demand_previous!$D$2:$AY$2&amp;Demand_previous!$D$3:$AY$3, 0))/1000</f>
        <v>0.89822453703703753</v>
      </c>
      <c r="AU132" s="103">
        <f t="array" ref="AU132">INDEX(Demand_previous!$D$4:$AY$137, MATCH('Staging Table'!$A132, Demand_previous!$B$4:$B$137, 0), MATCH(AU$4&amp;AU$5,Demand_previous!$D$2:$AY$2&amp;Demand_previous!$D$3:$AY$3, 0))/1000</f>
        <v>0.46716666666666651</v>
      </c>
      <c r="AV132" s="102">
        <f>$F132*(VLOOKUP(AV$4, Rates_previous!$G$6:$Q$29, 10, FALSE)+VLOOKUP(AV$4, Rates_previous!$G$6:$Q$29, 11, FALSE))</f>
        <v>1694.6934709945501</v>
      </c>
      <c r="AW132" s="102">
        <f>$F132*(VLOOKUP(AW$4, Rates_previous!$G$6:$Q$29, 10, FALSE)+VLOOKUP(AW$4, Rates_previous!$G$6:$Q$29, 11, FALSE))</f>
        <v>2161.2930057303001</v>
      </c>
      <c r="AX132" s="102">
        <f>$F132*(VLOOKUP(AX$4, Rates_previous!$G$6:$Q$29, 10, FALSE)+VLOOKUP(AX$4, Rates_previous!$G$6:$Q$29, 11, FALSE))</f>
        <v>2332.4627890395004</v>
      </c>
      <c r="AY132" s="102">
        <f>$F132*(VLOOKUP(AY$4, Rates_previous!$G$6:$Q$29, 10, FALSE)+VLOOKUP(AY$4, Rates_previous!$G$6:$Q$29, 11, FALSE))</f>
        <v>2423.7894081648001</v>
      </c>
      <c r="AZ132" s="102">
        <f>$F132*(VLOOKUP(AZ$4, Rates_previous!$G$6:$Q$29, 10, FALSE)+VLOOKUP(AZ$4, Rates_previous!$G$6:$Q$29, 11, FALSE))</f>
        <v>2084.7819615245999</v>
      </c>
      <c r="BA132" s="102">
        <f>$F132*(VLOOKUP(BA$4, Rates_previous!$G$6:$Q$29, 10, FALSE)+VLOOKUP(BA$4, Rates_previous!$G$6:$Q$29, 11, FALSE))</f>
        <v>2276.1691359146998</v>
      </c>
      <c r="BB132" s="102">
        <f>$F132*(VLOOKUP(BB$4, Rates_previous!$G$6:$Q$29, 10, FALSE)+VLOOKUP(BB$4, Rates_previous!$G$6:$Q$29, 11, FALSE))</f>
        <v>1796.6519518067248</v>
      </c>
      <c r="BC132" s="102">
        <f>$F132*(VLOOKUP(BC$4, Rates_previous!$G$6:$Q$29, 10, FALSE)+VLOOKUP(BC$4, Rates_previous!$G$6:$Q$29, 11, FALSE))</f>
        <v>2228.9875088110502</v>
      </c>
      <c r="BD132" s="102">
        <f>$F132*(VLOOKUP(BD$4, Rates_previous!$G$6:$Q$29, 10, FALSE)+VLOOKUP(BD$4, Rates_previous!$G$6:$Q$29, 11, FALSE))</f>
        <v>2277.3509732668499</v>
      </c>
      <c r="BE132" s="102">
        <f>$F132*(VLOOKUP(BE$4, Rates_previous!$G$6:$Q$29, 10, FALSE)+VLOOKUP(BE$4, Rates_previous!$G$6:$Q$29, 11, FALSE))</f>
        <v>1977.0687390655501</v>
      </c>
      <c r="BF132" s="102">
        <f>$F132*(VLOOKUP(BF$4, Rates_previous!$G$6:$Q$29, 10, FALSE)+VLOOKUP(BF$4, Rates_previous!$G$6:$Q$29, 11, FALSE))</f>
        <v>1911.2999485672951</v>
      </c>
      <c r="BG132" s="102">
        <f>$F132*(VLOOKUP(BG$4, Rates_previous!$G$6:$Q$29, 10, FALSE)+VLOOKUP(BG$4, Rates_previous!$G$6:$Q$29, 11, FALSE))</f>
        <v>1758.7660737426002</v>
      </c>
      <c r="BH132" s="103">
        <f>IF($D132=0,IF(C132=0, MAX(BJ132 - (VLOOKUP($A132,TOCA_previous!$A$2:$AJ$136,MATCH("RHWM "&amp;Init!$D$1-2,TOCA_previous!$A$2:$AJ$2,0),FALSE)*$F$2*TOCA_previous!C129),0),0), 0)</f>
        <v>0</v>
      </c>
      <c r="BI132" s="109">
        <f>MIN(VLOOKUP($A132,TOCA_previous!$A$2:$AJ$136,MATCH("TRL - NLSL - Existing Resource "&amp;$F$1,TOCA_previous!$A$2:$AJ$2,0),FALSE)*$F$2,(VLOOKUP($A132,TOCA_previous!$A$2:$AJ$136,MATCH("RHWM "&amp;Init!$D$1-2,TOCA_previous!$A$2:$AJ$2,0),FALSE)*$F$2))</f>
        <v>24375.599999999999</v>
      </c>
      <c r="BJ132" s="261">
        <f>SUM(L132:AI132)+(F132*RT1SC!$C$3*$F$2)</f>
        <v>23558.505114243479</v>
      </c>
      <c r="BK132" s="260">
        <f>VLOOKUP($A132,TOCA_previous!$A$2:$AJ$136,MATCH("Above RHWM Not Served with LS "&amp;$F$1,TOCA_previous!$A$2:$AJ$2,0),FALSE)*$F$2</f>
        <v>0</v>
      </c>
      <c r="BL132" s="261">
        <f t="shared" si="36"/>
        <v>-817.09488575651994</v>
      </c>
      <c r="BM132" s="260">
        <f>(VLOOKUP($A132,TOCA_previous!$A$2:$AJ$136,MATCH("RHWM "&amp;Init!$D$1-2,TOCA_previous!$A$2:$AJ$2,0),FALSE)*$F$2) - $BI132</f>
        <v>11761.775999999998</v>
      </c>
      <c r="BN132" s="261">
        <f t="shared" si="37"/>
        <v>0</v>
      </c>
      <c r="BO132" s="260">
        <f t="shared" si="38"/>
        <v>817.09488575651994</v>
      </c>
      <c r="BP132" s="261">
        <f t="shared" si="39"/>
        <v>0</v>
      </c>
      <c r="BQ132" s="260">
        <f t="shared" si="9"/>
        <v>817.09488575651994</v>
      </c>
      <c r="BR132" s="85">
        <f>VLOOKUP($A132,TOCA_current!$A$2:$ZZ$136,MATCH(BR$4,TOCA_current!$A$2:$ZZ$2,0),FALSE)</f>
        <v>3.7819999999999998E-4</v>
      </c>
      <c r="BS132" s="85">
        <f>VLOOKUP($A132,TOCA_current!$A$2:$ZZ$136,MATCH(BS$4,TOCA_current!$A$2:$ZZ$2,0),FALSE)</f>
        <v>3.7819999999999998E-4</v>
      </c>
      <c r="BT132" s="108">
        <f t="shared" si="40"/>
        <v>0</v>
      </c>
      <c r="BU132" s="85">
        <f>VLOOKUP($A132,TOCA_current!A129:BG263,MATCH(BU$4,TOCA_current!$A$2:$BG$2,0),FALSE)</f>
        <v>0</v>
      </c>
      <c r="BV132" s="85">
        <f t="shared" si="41"/>
        <v>0</v>
      </c>
      <c r="BW132" s="85">
        <f t="shared" si="42"/>
        <v>0</v>
      </c>
      <c r="BX132" s="101">
        <f>VLOOKUP($A132,IRD!$A$4:$G$138, 7, FALSE)</f>
        <v>0</v>
      </c>
      <c r="BY132" s="102">
        <f t="array" ref="BY132">IF($BT132=0, INDEX(LS_current!$D$4:$BW$137, MATCH('Staging Table'!$A132, LS_current!$B$4:$B$137, 0), MATCH(BY$4&amp;BY$5, LS_current!$D$2:$BW$2&amp;LS_current!$D$3:$BW$3, 0)),SUM(VLOOKUP($A132, LS_current!$B$4:$BW$137, LS_current!D$147, FALSE), VLOOKUP($A132, LS_current!$B$4:$BW$137,LS_current!AZ$147, FALSE))/2)</f>
        <v>153.35863845600579</v>
      </c>
      <c r="BZ132" s="102">
        <f t="array" ref="BZ132">IF($BT132=0, INDEX(LS_current!$D$4:$BW$137, MATCH('Staging Table'!$A132, LS_current!$B$4:$B$137, 0), MATCH(BZ$4&amp;BZ$5, LS_current!$D$2:$BW$2&amp;LS_current!$D$3:$BW$3, 0)),SUM(VLOOKUP($A132, LS_current!$B$4:$BW$137, LS_current!E$147, FALSE), VLOOKUP($A132, LS_current!$B$4:$BW$137,LS_current!BA$147, FALSE))/2)</f>
        <v>194.0685879421992</v>
      </c>
      <c r="CA132" s="102">
        <f t="array" ref="CA132">IF($BT132=0, INDEX(LS_current!$D$4:$BW$137, MATCH('Staging Table'!$A132, LS_current!$B$4:$B$137, 0), MATCH(CA$4&amp;CA$5, LS_current!$D$2:$BW$2&amp;LS_current!$D$3:$BW$3, 0)),SUM(VLOOKUP($A132, LS_current!$B$4:$BW$137, LS_current!F$147, FALSE), VLOOKUP($A132, LS_current!$B$4:$BW$137,LS_current!BB$147, FALSE))/2)</f>
        <v>-167.10561932599535</v>
      </c>
      <c r="CB132" s="102">
        <f t="array" ref="CB132">IF($BT132=0, INDEX(LS_current!$D$4:$BW$137, MATCH('Staging Table'!$A132, LS_current!$B$4:$B$137, 0), MATCH(CB$4&amp;CB$5, LS_current!$D$2:$BW$2&amp;LS_current!$D$3:$BW$3, 0)),SUM(VLOOKUP($A132, LS_current!$B$4:$BW$137, LS_current!G$147, FALSE), VLOOKUP($A132, LS_current!$B$4:$BW$137,LS_current!BC$147, FALSE))/2)</f>
        <v>109.80510735297833</v>
      </c>
      <c r="CC132" s="102">
        <f t="array" ref="CC132">IF($BT132=0, INDEX(LS_current!$D$4:$BW$137, MATCH('Staging Table'!$A132, LS_current!$B$4:$B$137, 0), MATCH(CC$4&amp;CC$5, LS_current!$D$2:$BW$2&amp;LS_current!$D$3:$BW$3, 0)),SUM(VLOOKUP($A132, LS_current!$B$4:$BW$137, LS_current!H$147, FALSE), VLOOKUP($A132, LS_current!$B$4:$BW$137,LS_current!BD$147, FALSE))/2)</f>
        <v>-268.08002282082725</v>
      </c>
      <c r="CD132" s="102">
        <f t="array" ref="CD132">IF($BT132=0, INDEX(LS_current!$D$4:$BW$137, MATCH('Staging Table'!$A132, LS_current!$B$4:$B$137, 0), MATCH(CD$4&amp;CD$5, LS_current!$D$2:$BW$2&amp;LS_current!$D$3:$BW$3, 0)),SUM(VLOOKUP($A132, LS_current!$B$4:$BW$137, LS_current!I$147, FALSE), VLOOKUP($A132, LS_current!$B$4:$BW$137,LS_current!BE$147, FALSE))/2)</f>
        <v>85.925130617632249</v>
      </c>
      <c r="CE132" s="102">
        <f t="array" ref="CE132">IF($BT132=0, INDEX(LS_current!$D$4:$BW$137, MATCH('Staging Table'!$A132, LS_current!$B$4:$B$137, 0), MATCH(CE$4&amp;CE$5, LS_current!$D$2:$BW$2&amp;LS_current!$D$3:$BW$3, 0)),SUM(VLOOKUP($A132, LS_current!$B$4:$BW$137, LS_current!J$147, FALSE), VLOOKUP($A132, LS_current!$B$4:$BW$137,LS_current!BF$147, FALSE))/2)</f>
        <v>-321.40058105895923</v>
      </c>
      <c r="CF132" s="102">
        <f t="array" ref="CF132">IF($BT132=0, INDEX(LS_current!$D$4:$BW$137, MATCH('Staging Table'!$A132, LS_current!$B$4:$B$137, 0), MATCH(CF$4&amp;CF$5, LS_current!$D$2:$BW$2&amp;LS_current!$D$3:$BW$3, 0)),SUM(VLOOKUP($A132, LS_current!$B$4:$BW$137, LS_current!K$147, FALSE), VLOOKUP($A132, LS_current!$B$4:$BW$137,LS_current!BG$147, FALSE))/2)</f>
        <v>33.407874538936085</v>
      </c>
      <c r="CG132" s="102">
        <f t="array" ref="CG132">IF($BT132=0, INDEX(LS_current!$D$4:$BW$137, MATCH('Staging Table'!$A132, LS_current!$B$4:$B$137, 0), MATCH(CG$4&amp;CG$5, LS_current!$D$2:$BW$2&amp;LS_current!$D$3:$BW$3, 0)),SUM(VLOOKUP($A132, LS_current!$B$4:$BW$137, LS_current!L$147, FALSE), VLOOKUP($A132, LS_current!$B$4:$BW$137,LS_current!BH$147, FALSE))/2)</f>
        <v>-150.10977337314353</v>
      </c>
      <c r="CH132" s="102">
        <f t="array" ref="CH132">IF($BT132=0, INDEX(LS_current!$D$4:$BW$137, MATCH('Staging Table'!$A132, LS_current!$B$4:$B$137, 0), MATCH(CH$4&amp;CH$5, LS_current!$D$2:$BW$2&amp;LS_current!$D$3:$BW$3, 0)),SUM(VLOOKUP($A132, LS_current!$B$4:$BW$137, LS_current!M$147, FALSE), VLOOKUP($A132, LS_current!$B$4:$BW$137,LS_current!BI$147, FALSE))/2)</f>
        <v>95.810898480746573</v>
      </c>
      <c r="CI132" s="102">
        <f t="array" ref="CI132">IF($BT132=0, INDEX(LS_current!$D$4:$BW$137, MATCH('Staging Table'!$A132, LS_current!$B$4:$B$137, 0), MATCH(CI$4&amp;CI$5, LS_current!$D$2:$BW$2&amp;LS_current!$D$3:$BW$3, 0)),SUM(VLOOKUP($A132, LS_current!$B$4:$BW$137, LS_current!N$147, FALSE), VLOOKUP($A132, LS_current!$B$4:$BW$137,LS_current!BJ$147, FALSE))/2)</f>
        <v>-219.41873301348573</v>
      </c>
      <c r="CJ132" s="102">
        <f t="array" ref="CJ132">IF($BT132=0, INDEX(LS_current!$D$4:$BW$137, MATCH('Staging Table'!$A132, LS_current!$B$4:$B$137, 0), MATCH(CJ$4&amp;CJ$5, LS_current!$D$2:$BW$2&amp;LS_current!$D$3:$BW$3, 0)),SUM(VLOOKUP($A132, LS_current!$B$4:$BW$137, LS_current!O$147, FALSE), VLOOKUP($A132, LS_current!$B$4:$BW$137,LS_current!BK$147, FALSE))/2)</f>
        <v>170.1180863703097</v>
      </c>
      <c r="CK132" s="102">
        <f t="array" ref="CK132">IF($BT132=0, INDEX(LS_current!$D$4:$BW$137, MATCH('Staging Table'!$A132, LS_current!$B$4:$B$137, 0), MATCH(CK$4&amp;CK$5, LS_current!$D$2:$BW$2&amp;LS_current!$D$3:$BW$3, 0)),SUM(VLOOKUP($A132, LS_current!$B$4:$BW$137, LS_current!P$147, FALSE), VLOOKUP($A132, LS_current!$B$4:$BW$137,LS_current!BL$147, FALSE))/2)</f>
        <v>120.400306920356</v>
      </c>
      <c r="CL132" s="102">
        <f t="array" ref="CL132">IF($BT132=0, INDEX(LS_current!$D$4:$BW$137, MATCH('Staging Table'!$A132, LS_current!$B$4:$B$137, 0), MATCH(CL$4&amp;CL$5, LS_current!$D$2:$BW$2&amp;LS_current!$D$3:$BW$3, 0)),SUM(VLOOKUP($A132, LS_current!$B$4:$BW$137, LS_current!Q$147, FALSE), VLOOKUP($A132, LS_current!$B$4:$BW$137,LS_current!BM$147, FALSE))/2)</f>
        <v>176.47907233640763</v>
      </c>
      <c r="CM132" s="102">
        <f t="array" ref="CM132">IF($BT132=0, INDEX(LS_current!$D$4:$BW$137, MATCH('Staging Table'!$A132, LS_current!$B$4:$B$137, 0), MATCH(CM$4&amp;CM$5, LS_current!$D$2:$BW$2&amp;LS_current!$D$3:$BW$3, 0)),SUM(VLOOKUP($A132, LS_current!$B$4:$BW$137, LS_current!R$147, FALSE), VLOOKUP($A132, LS_current!$B$4:$BW$137,LS_current!BN$147, FALSE))/2)</f>
        <v>-219.60542746825286</v>
      </c>
      <c r="CN132" s="102">
        <f t="array" ref="CN132">IF($BT132=0, INDEX(LS_current!$D$4:$BW$137, MATCH('Staging Table'!$A132, LS_current!$B$4:$B$137, 0), MATCH(CN$4&amp;CN$5, LS_current!$D$2:$BW$2&amp;LS_current!$D$3:$BW$3, 0)),SUM(VLOOKUP($A132, LS_current!$B$4:$BW$137, LS_current!S$147, FALSE), VLOOKUP($A132, LS_current!$B$4:$BW$137,LS_current!BO$147, FALSE))/2)</f>
        <v>44.061228728281435</v>
      </c>
      <c r="CO132" s="102">
        <f t="array" ref="CO132">IF($BT132=0, INDEX(LS_current!$D$4:$BW$137, MATCH('Staging Table'!$A132, LS_current!$B$4:$B$137, 0), MATCH(CO$4&amp;CO$5, LS_current!$D$2:$BW$2&amp;LS_current!$D$3:$BW$3, 0)),SUM(VLOOKUP($A132, LS_current!$B$4:$BW$137, LS_current!T$147, FALSE), VLOOKUP($A132, LS_current!$B$4:$BW$137,LS_current!BP$147, FALSE))/2)</f>
        <v>-254.62188950512768</v>
      </c>
      <c r="CP132" s="102">
        <f t="array" ref="CP132">IF($BT132=0, INDEX(LS_current!$D$4:$BW$137, MATCH('Staging Table'!$A132, LS_current!$B$4:$B$137, 0), MATCH(CP$4&amp;CP$5, LS_current!$D$2:$BW$2&amp;LS_current!$D$3:$BW$3, 0)),SUM(VLOOKUP($A132, LS_current!$B$4:$BW$137, LS_current!U$147, FALSE), VLOOKUP($A132, LS_current!$B$4:$BW$137,LS_current!BQ$147, FALSE))/2)</f>
        <v>13.273190641652832</v>
      </c>
      <c r="CQ132" s="102">
        <f t="array" ref="CQ132">IF($BT132=0, INDEX(LS_current!$D$4:$BW$137, MATCH('Staging Table'!$A132, LS_current!$B$4:$B$137, 0), MATCH(CQ$4&amp;CQ$5, LS_current!$D$2:$BW$2&amp;LS_current!$D$3:$BW$3, 0)),SUM(VLOOKUP($A132, LS_current!$B$4:$BW$137, LS_current!V$147, FALSE), VLOOKUP($A132, LS_current!$B$4:$BW$137,LS_current!BR$147, FALSE))/2)</f>
        <v>-25.961467623614908</v>
      </c>
      <c r="CR132" s="102">
        <f t="array" ref="CR132">IF($BT132=0, INDEX(LS_current!$D$4:$BW$137, MATCH('Staging Table'!$A132, LS_current!$B$4:$B$137, 0), MATCH(CR$4&amp;CR$5, LS_current!$D$2:$BW$2&amp;LS_current!$D$3:$BW$3, 0)),SUM(VLOOKUP($A132, LS_current!$B$4:$BW$137, LS_current!W$147, FALSE), VLOOKUP($A132, LS_current!$B$4:$BW$137,LS_current!BS$147, FALSE))/2)</f>
        <v>122.46110431570594</v>
      </c>
      <c r="CS132" s="102">
        <f t="array" ref="CS132">IF($BT132=0, INDEX(LS_current!$D$4:$BW$137, MATCH('Staging Table'!$A132, LS_current!$B$4:$B$137, 0), MATCH(CS$4&amp;CS$5, LS_current!$D$2:$BW$2&amp;LS_current!$D$3:$BW$3, 0)),SUM(VLOOKUP($A132, LS_current!$B$4:$BW$137, LS_current!X$147, FALSE), VLOOKUP($A132, LS_current!$B$4:$BW$137,LS_current!BT$147, FALSE))/2)</f>
        <v>-148.76090230521072</v>
      </c>
      <c r="CT132" s="102">
        <f t="array" ref="CT132">IF($BT132=0, INDEX(LS_current!$D$4:$BW$137, MATCH('Staging Table'!$A132, LS_current!$B$4:$B$137, 0), MATCH(CT$4&amp;CT$5, LS_current!$D$2:$BW$2&amp;LS_current!$D$3:$BW$3, 0)),SUM(VLOOKUP($A132, LS_current!$B$4:$BW$137, LS_current!Y$147, FALSE), VLOOKUP($A132, LS_current!$B$4:$BW$137,LS_current!BU$147, FALSE))/2)</f>
        <v>146.40674533108484</v>
      </c>
      <c r="CU132" s="102">
        <f t="array" ref="CU132">IF($BT132=0, INDEX(LS_current!$D$4:$BW$137, MATCH('Staging Table'!$A132, LS_current!$B$4:$B$137, 0), MATCH(CU$4&amp;CU$5, LS_current!$D$2:$BW$2&amp;LS_current!$D$3:$BW$3, 0)),SUM(VLOOKUP($A132, LS_current!$B$4:$BW$137, LS_current!Z$147, FALSE), VLOOKUP($A132, LS_current!$B$4:$BW$137,LS_current!BV$147, FALSE))/2)</f>
        <v>109.69177324631767</v>
      </c>
      <c r="CV132" s="102">
        <f t="array" ref="CV132">IF($BT132=0, INDEX(LS_current!$D$4:$BW$137, MATCH('Staging Table'!$A132, LS_current!$B$4:$B$137, 0), MATCH(CV$4&amp;CV$5, LS_current!$D$2:$BW$2&amp;LS_current!$D$3:$BW$3, 0)),SUM(VLOOKUP($A132, LS_current!$B$4:$BW$137, LS_current!AA$147, FALSE), VLOOKUP($A132, LS_current!$B$4:$BW$137,LS_current!BW$147, FALSE))/2)</f>
        <v>204.12977994946755</v>
      </c>
      <c r="CW132" s="103">
        <f t="array" ref="CW132">INDEX(Demand_current!$D$4:$BW$137, MATCH($A132, Demand_current!$B$4:$B$137, 0), MATCH(CW$4&amp;CW$5,Demand_current!$D$2:$BW$2&amp;Demand_current!$D$3:$BW$3, 0))/1000</f>
        <v>0.18001851851851836</v>
      </c>
      <c r="CX132" s="103">
        <f t="array" ref="CX132">INDEX(Demand_current!$D$4:$BW$137, MATCH($A132, Demand_current!$B$4:$B$137, 0), MATCH(CX$4&amp;CX$5,Demand_current!$D$2:$BW$2&amp;Demand_current!$D$3:$BW$3, 0))/1000</f>
        <v>0.29898958333333348</v>
      </c>
      <c r="CY132" s="103">
        <f t="array" ref="CY132">INDEX(Demand_current!$D$4:$BW$137, MATCH($A132, Demand_current!$B$4:$B$137, 0), MATCH(CY$4&amp;CY$5,Demand_current!$D$2:$BW$2&amp;Demand_current!$D$3:$BW$3, 0))/1000</f>
        <v>0.19189182692307638</v>
      </c>
      <c r="CZ132" s="103">
        <f t="array" ref="CZ132">INDEX(Demand_current!$D$4:$BW$137, MATCH($A132, Demand_current!$B$4:$B$137, 0), MATCH(CZ$4&amp;CZ$5,Demand_current!$D$2:$BW$2&amp;Demand_current!$D$3:$BW$3, 0))/1000</f>
        <v>0.22837740384615382</v>
      </c>
      <c r="DA132" s="103">
        <f t="array" ref="DA132">INDEX(Demand_current!$D$4:$BW$137, MATCH($A132, Demand_current!$B$4:$B$137, 0), MATCH(DA$4&amp;DA$5,Demand_current!$D$2:$BW$2&amp;Demand_current!$D$3:$BW$3, 0))/1000</f>
        <v>0.20102083333333343</v>
      </c>
      <c r="DB132" s="103">
        <f t="array" ref="DB132">INDEX(Demand_current!$D$4:$BW$137, MATCH($A132, Demand_current!$B$4:$B$137, 0), MATCH(DB$4&amp;DB$5,Demand_current!$D$2:$BW$2&amp;Demand_current!$D$3:$BW$3, 0))/1000</f>
        <v>0.260918269230769</v>
      </c>
      <c r="DC132" s="103">
        <f t="array" ref="DC132">INDEX(Demand_current!$D$4:$BW$137, MATCH($A132, Demand_current!$B$4:$B$137, 0), MATCH(DC$4&amp;DC$5,Demand_current!$D$2:$BW$2&amp;Demand_current!$D$3:$BW$3, 0))/1000</f>
        <v>0.10008413461538457</v>
      </c>
      <c r="DD132" s="103">
        <f t="array" ref="DD132">INDEX(Demand_current!$D$4:$BW$137, MATCH($A132, Demand_current!$B$4:$B$137, 0), MATCH(DD$4&amp;DD$5,Demand_current!$D$2:$BW$2&amp;Demand_current!$D$3:$BW$3, 0))/1000</f>
        <v>0.20892749999999982</v>
      </c>
      <c r="DE132" s="103">
        <f t="array" ref="DE132">INDEX(Demand_current!$D$4:$BW$137, MATCH($A132, Demand_current!$B$4:$B$137, 0), MATCH(DE$4&amp;DE$5,Demand_current!$D$2:$BW$2&amp;Demand_current!$D$3:$BW$3, 0))/1000</f>
        <v>0.65341826923076929</v>
      </c>
      <c r="DF132" s="103">
        <f t="array" ref="DF132">INDEX(Demand_current!$D$4:$BW$137, MATCH($A132, Demand_current!$B$4:$B$137, 0), MATCH(DF$4&amp;DF$5,Demand_current!$D$2:$BW$2&amp;Demand_current!$D$3:$BW$3, 0))/1000</f>
        <v>0.54083653846153856</v>
      </c>
      <c r="DG132" s="103">
        <f t="array" ref="DG132">INDEX(Demand_current!$D$4:$BW$137, MATCH($A132, Demand_current!$B$4:$B$137, 0), MATCH(DG$4&amp;DG$5,Demand_current!$D$2:$BW$2&amp;Demand_current!$D$3:$BW$3, 0))/1000</f>
        <v>0.79538701923076982</v>
      </c>
      <c r="DH132" s="103">
        <f t="array" ref="DH132">INDEX(Demand_current!$D$4:$BW$137, MATCH($A132, Demand_current!$B$4:$B$137, 0), MATCH(DH$4&amp;DH$5,Demand_current!$D$2:$BW$2&amp;Demand_current!$D$3:$BW$3, 0))/1000</f>
        <v>0.5773600000000001</v>
      </c>
      <c r="DI132" s="102">
        <f>$BS132*(VLOOKUP(DI$4, Rates_current!$H$6:$R$41, 10, FALSE)+VLOOKUP(DI$4, Rates_current!$H$6:$R$41, 11, FALSE))</f>
        <v>1569.6387736017953</v>
      </c>
      <c r="DJ132" s="102">
        <f>$BS132*(VLOOKUP(DJ$4, Rates_current!$H$6:$R$41, 10, FALSE)+VLOOKUP(DJ$4, Rates_current!$H$6:$R$41, 11, FALSE))</f>
        <v>2006.7315119730172</v>
      </c>
      <c r="DK132" s="102">
        <f>$BS132*(VLOOKUP(DK$4, Rates_current!$H$6:$R$41, 10, FALSE)+VLOOKUP(DK$4, Rates_current!$H$6:$R$41, 11, FALSE))</f>
        <v>2281.4858922031949</v>
      </c>
      <c r="DL132" s="102">
        <f>$BS132*(VLOOKUP(DL$4, Rates_current!$H$6:$R$41, 10, FALSE)+VLOOKUP(DL$4, Rates_current!$H$6:$R$41, 11, FALSE))</f>
        <v>2407.1457065200234</v>
      </c>
      <c r="DM132" s="102">
        <f>$BS132*(VLOOKUP(DM$4, Rates_current!$H$6:$R$41, 10, FALSE)+VLOOKUP(DM$4, Rates_current!$H$6:$R$41, 11, FALSE))</f>
        <v>1918.2778748923972</v>
      </c>
      <c r="DN132" s="102">
        <f>$BS132*(VLOOKUP(DN$4, Rates_current!$H$6:$R$41, 10, FALSE)+VLOOKUP(DN$4, Rates_current!$H$6:$R$41, 11, FALSE))</f>
        <v>2097.0716466431759</v>
      </c>
      <c r="DO132" s="102">
        <f>$BS132*(VLOOKUP(DO$4, Rates_current!$H$6:$R$41, 10, FALSE)+VLOOKUP(DO$4, Rates_current!$H$6:$R$41, 11, FALSE))</f>
        <v>1625.2516207432366</v>
      </c>
      <c r="DP132" s="102">
        <f>$BS132*(VLOOKUP(DP$4, Rates_current!$H$6:$R$41, 10, FALSE)+VLOOKUP(DP$4, Rates_current!$H$6:$R$41, 11, FALSE))</f>
        <v>2103.3431987399713</v>
      </c>
      <c r="DQ132" s="102">
        <f>$BS132*(VLOOKUP(DQ$4, Rates_current!$H$6:$R$41, 10, FALSE)+VLOOKUP(DQ$4, Rates_current!$H$6:$R$41, 11, FALSE))</f>
        <v>2148.2556988634751</v>
      </c>
      <c r="DR132" s="102">
        <f>$BS132*(VLOOKUP(DR$4, Rates_current!$H$6:$R$41, 10, FALSE)+VLOOKUP(DR$4, Rates_current!$H$6:$R$41, 11, FALSE))</f>
        <v>1912.1333633079089</v>
      </c>
      <c r="DS132" s="102">
        <f>$BS132*(VLOOKUP(DS$4, Rates_current!$H$6:$R$41, 10, FALSE)+VLOOKUP(DS$4, Rates_current!$H$6:$R$41, 11, FALSE))</f>
        <v>1961.4981569741258</v>
      </c>
      <c r="DT132" s="102">
        <f>$BS132*(VLOOKUP(DT$4, Rates_current!$H$6:$R$41, 10, FALSE)+VLOOKUP(DT$4, Rates_current!$H$6:$R$41, 11, FALSE))</f>
        <v>1523.338446804215</v>
      </c>
      <c r="DU132" s="261">
        <f>IF(D132=0,IF(C132=0,MAX(0,DW132 - (VLOOKUP($A132,TOCA_current!$A$2:$AV$136,MATCH("RHWM "&amp;Init!$D$1,TOCA_current!$A$2:$AV$2,0),FALSE)*$BS$2)), 0),0)</f>
        <v>0</v>
      </c>
      <c r="DV132" s="262">
        <f>MIN(VLOOKUP($A132,TOCA_current!$A$2:$AV$136,MATCH("TRL - NLSL - Existing Resource "&amp;$BS$1,TOCA_current!$A$2:$AV$2,0),FALSE)*$BS$2, VLOOKUP($A132,TOCA_current!$A$2:$AV$136,MATCH("RHWM "&amp;Init!$D$1,TOCA_current!$A$2:$AV$2,0),FALSE)*$BS$2)</f>
        <v>23555.64</v>
      </c>
      <c r="DW132" s="262">
        <f>SUM(BY132:CV132)+(BS132*RT1SC!$C$4*$BS$2)</f>
        <v>23558.506390397466</v>
      </c>
      <c r="DX132" s="262">
        <f>VLOOKUP($A132,TOCA_current!$A$2:$AV$136,MATCH("Above RHWM Not Served with LS "&amp;$BS$1,TOCA_current!$A$2:$AV$2,0),FALSE)*$BS$2</f>
        <v>0</v>
      </c>
      <c r="DY132" s="262">
        <f t="shared" si="43"/>
        <v>2.8663903974666027</v>
      </c>
      <c r="DZ132" s="262">
        <f>(VLOOKUP($A132,TOCA_current!$A$2:$AV$136,MATCH("RHWM "&amp;Init!$D$1,TOCA_current!$A$2:$AV$2,0),FALSE)*$BS$2) - $DV132</f>
        <v>12684.479999999996</v>
      </c>
      <c r="EA132" s="262">
        <f t="shared" si="44"/>
        <v>-2.8663903974666027</v>
      </c>
      <c r="EB132" s="262">
        <f t="shared" si="45"/>
        <v>0</v>
      </c>
      <c r="EC132" s="262">
        <f t="shared" si="46"/>
        <v>0</v>
      </c>
      <c r="ED132" s="262">
        <f t="shared" si="47"/>
        <v>-2.8663903974666027</v>
      </c>
    </row>
    <row r="133" spans="1:134">
      <c r="A133" s="2">
        <v>10502</v>
      </c>
      <c r="B133" s="3" t="s">
        <v>135</v>
      </c>
      <c r="C133">
        <f>VLOOKUP(A133, TOCA_current!$A$3:$D$136, 4, FALSE)</f>
        <v>0</v>
      </c>
      <c r="D133">
        <v>0</v>
      </c>
      <c r="E133" s="84">
        <f>VLOOKUP($A133,TOCA_previous!$A$2:$AJ$136,MATCH(E$4,TOCA_previous!$A$2:$AJ$2,0),FALSE)</f>
        <v>2.6949000000000001E-3</v>
      </c>
      <c r="F133" s="85">
        <f>VLOOKUP($A133,TOCA_previous!$A$2:$AJ$136,MATCH(F$4,TOCA_previous!$A$2:$AJ$2,0),FALSE)</f>
        <v>2.6949000000000001E-3</v>
      </c>
      <c r="G133" s="85">
        <f t="shared" si="33"/>
        <v>0</v>
      </c>
      <c r="H133" s="85">
        <f>VLOOKUP($A133,TOCA_previous!$A$2:$AJ$136,MATCH(H$4,TOCA_previous!$A$2:$AJ$2,0),FALSE)</f>
        <v>7.0000000000000007E-2</v>
      </c>
      <c r="I133" s="85">
        <f t="shared" si="34"/>
        <v>0</v>
      </c>
      <c r="J133" s="85">
        <f t="shared" si="35"/>
        <v>0</v>
      </c>
      <c r="K133" s="101">
        <f>VLOOKUP(A133, IRD!$A$5:$C$138, 3, FALSE)</f>
        <v>7189.6969999999992</v>
      </c>
      <c r="L133" s="102">
        <f t="array" ref="L133">IF($G133=0, INDEX(LS_previous!$D$4:$AY$137, MATCH('Staging Table'!$A133, LS_previous!$B$4:$B$137, 0), MATCH(L$4&amp;L$5, LS_previous!$D$2:$AY$2&amp;LS_previous!$D$3:$AY$3, 0)),SUM(VLOOKUP($A133, LS_previous!$B$4:$AY$137, LS_previous!D$148, FALSE), VLOOKUP('Staging Table'!$A133, LS_previous!$B$4:$AY$137,LS_previous!AB$148, FALSE))/2)</f>
        <v>-281.12343261640126</v>
      </c>
      <c r="M133" s="102">
        <f t="array" ref="M133">IF($G133=0, INDEX(LS_previous!$D$4:$AY$137, MATCH('Staging Table'!$A133, LS_previous!$B$4:$B$137, 0), MATCH(M$4&amp;M$5, LS_previous!$D$2:$AY$2&amp;LS_previous!$D$3:$AY$3, 0)),SUM(VLOOKUP($A133, LS_previous!$B$4:$AY$137, LS_previous!E$148, FALSE), VLOOKUP('Staging Table'!$A133, LS_previous!$B$4:$AY$137,LS_previous!AC$148, FALSE))/2)</f>
        <v>-373.9988242499503</v>
      </c>
      <c r="N133" s="102">
        <f t="array" ref="N133">IF($G133=0, INDEX(LS_previous!$D$4:$AY$137, MATCH('Staging Table'!$A133, LS_previous!$B$4:$B$137, 0), MATCH(N$4&amp;N$5, LS_previous!$D$2:$AY$2&amp;LS_previous!$D$3:$AY$3, 0)),SUM(VLOOKUP($A133, LS_previous!$B$4:$AY$137, LS_previous!F$148, FALSE), VLOOKUP('Staging Table'!$A133, LS_previous!$B$4:$AY$137,LS_previous!AD$148, FALSE))/2)</f>
        <v>-3559.6239002272005</v>
      </c>
      <c r="O133" s="102">
        <f t="array" ref="O133">IF($G133=0, INDEX(LS_previous!$D$4:$AY$137, MATCH('Staging Table'!$A133, LS_previous!$B$4:$B$137, 0), MATCH(O$4&amp;O$5, LS_previous!$D$2:$AY$2&amp;LS_previous!$D$3:$AY$3, 0)),SUM(VLOOKUP($A133, LS_previous!$B$4:$AY$137, LS_previous!G$148, FALSE), VLOOKUP('Staging Table'!$A133, LS_previous!$B$4:$AY$137,LS_previous!AE$148, FALSE))/2)</f>
        <v>-1974.0223226818998</v>
      </c>
      <c r="P133" s="102">
        <f t="array" ref="P133">IF($G133=0, INDEX(LS_previous!$D$4:$AY$137, MATCH('Staging Table'!$A133, LS_previous!$B$4:$B$137, 0), MATCH(P$4&amp;P$5, LS_previous!$D$2:$AY$2&amp;LS_previous!$D$3:$AY$3, 0)),SUM(VLOOKUP($A133, LS_previous!$B$4:$AY$137, LS_previous!H$148, FALSE), VLOOKUP('Staging Table'!$A133, LS_previous!$B$4:$AY$137,LS_previous!AF$148, FALSE))/2)</f>
        <v>-3209.6140180310995</v>
      </c>
      <c r="Q133" s="102">
        <f t="array" ref="Q133">IF($G133=0, INDEX(LS_previous!$D$4:$AY$137, MATCH('Staging Table'!$A133, LS_previous!$B$4:$B$137, 0), MATCH(Q$4&amp;Q$5, LS_previous!$D$2:$AY$2&amp;LS_previous!$D$3:$AY$3, 0)),SUM(VLOOKUP($A133, LS_previous!$B$4:$AY$137, LS_previous!I$148, FALSE), VLOOKUP('Staging Table'!$A133, LS_previous!$B$4:$AY$137,LS_previous!AG$148, FALSE))/2)</f>
        <v>-1627.0304113504008</v>
      </c>
      <c r="R133" s="102">
        <f t="array" ref="R133">IF($G133=0, INDEX(LS_previous!$D$4:$AY$137, MATCH('Staging Table'!$A133, LS_previous!$B$4:$B$137, 0), MATCH(R$4&amp;R$5, LS_previous!$D$2:$AY$2&amp;LS_previous!$D$3:$AY$3, 0)),SUM(VLOOKUP($A133, LS_previous!$B$4:$AY$137, LS_previous!J$148, FALSE), VLOOKUP('Staging Table'!$A133, LS_previous!$B$4:$AY$137,LS_previous!AH$148, FALSE))/2)</f>
        <v>-4064.6826027535008</v>
      </c>
      <c r="S133" s="102">
        <f t="array" ref="S133">IF($G133=0, INDEX(LS_previous!$D$4:$AY$137, MATCH('Staging Table'!$A133, LS_previous!$B$4:$B$137, 0), MATCH(S$4&amp;S$5, LS_previous!$D$2:$AY$2&amp;LS_previous!$D$3:$AY$3, 0)),SUM(VLOOKUP($A133, LS_previous!$B$4:$AY$137, LS_previous!K$148, FALSE), VLOOKUP('Staging Table'!$A133, LS_previous!$B$4:$AY$137,LS_previous!AI$148, FALSE))/2)</f>
        <v>-1911.7851743521005</v>
      </c>
      <c r="T133" s="102">
        <f t="array" ref="T133">IF($G133=0, INDEX(LS_previous!$D$4:$AY$137, MATCH('Staging Table'!$A133, LS_previous!$B$4:$B$137, 0), MATCH(T$4&amp;T$5, LS_previous!$D$2:$AY$2&amp;LS_previous!$D$3:$AY$3, 0)),SUM(VLOOKUP($A133, LS_previous!$B$4:$AY$137, LS_previous!L$148, FALSE), VLOOKUP('Staging Table'!$A133, LS_previous!$B$4:$AY$137,LS_previous!AJ$148, FALSE))/2)</f>
        <v>-3240.1758943170989</v>
      </c>
      <c r="U133" s="102">
        <f t="array" ref="U133">IF($G133=0, INDEX(LS_previous!$D$4:$AY$137, MATCH('Staging Table'!$A133, LS_previous!$B$4:$B$137, 0), MATCH(U$4&amp;U$5, LS_previous!$D$2:$AY$2&amp;LS_previous!$D$3:$AY$3, 0)),SUM(VLOOKUP($A133, LS_previous!$B$4:$AY$137, LS_previous!M$148, FALSE), VLOOKUP('Staging Table'!$A133, LS_previous!$B$4:$AY$137,LS_previous!AK$148, FALSE))/2)</f>
        <v>-1339.4547893091003</v>
      </c>
      <c r="V133" s="102">
        <f t="array" ref="V133">IF($G133=0, INDEX(LS_previous!$D$4:$AY$137, MATCH('Staging Table'!$A133, LS_previous!$B$4:$B$137, 0), MATCH(V$4&amp;V$5, LS_previous!$D$2:$AY$2&amp;LS_previous!$D$3:$AY$3, 0)),SUM(VLOOKUP($A133, LS_previous!$B$4:$AY$137, LS_previous!N$148, FALSE), VLOOKUP('Staging Table'!$A133, LS_previous!$B$4:$AY$137,LS_previous!AL$148, FALSE))/2)</f>
        <v>-3924.8020176237005</v>
      </c>
      <c r="W133" s="102">
        <f t="array" ref="W133">IF($G133=0, INDEX(LS_previous!$D$4:$AY$137, MATCH('Staging Table'!$A133, LS_previous!$B$4:$B$137, 0), MATCH(W$4&amp;W$5, LS_previous!$D$2:$AY$2&amp;LS_previous!$D$3:$AY$3, 0)),SUM(VLOOKUP($A133, LS_previous!$B$4:$AY$137, LS_previous!O$148, FALSE), VLOOKUP('Staging Table'!$A133, LS_previous!$B$4:$AY$137,LS_previous!AM$148, FALSE))/2)</f>
        <v>-2448.4810495321999</v>
      </c>
      <c r="X133" s="102">
        <f t="array" ref="X133">IF($G133=0, INDEX(LS_previous!$D$4:$AY$137, MATCH('Staging Table'!$A133, LS_previous!$B$4:$B$137, 0), MATCH(X$4&amp;X$5, LS_previous!$D$2:$AY$2&amp;LS_previous!$D$3:$AY$3, 0)),SUM(VLOOKUP($A133, LS_previous!$B$4:$AY$137, LS_previous!P$148, FALSE), VLOOKUP('Staging Table'!$A133, LS_previous!$B$4:$AY$137,LS_previous!AN$148, FALSE))/2)</f>
        <v>-706.12971958475009</v>
      </c>
      <c r="Y133" s="102">
        <f t="array" ref="Y133">IF($G133=0, INDEX(LS_previous!$D$4:$AY$137, MATCH('Staging Table'!$A133, LS_previous!$B$4:$B$137, 0), MATCH(Y$4&amp;Y$5, LS_previous!$D$2:$AY$2&amp;LS_previous!$D$3:$AY$3, 0)),SUM(VLOOKUP($A133, LS_previous!$B$4:$AY$137, LS_previous!Q$148, FALSE), VLOOKUP('Staging Table'!$A133, LS_previous!$B$4:$AY$137,LS_previous!AO$148, FALSE))/2)</f>
        <v>-509.31325807007397</v>
      </c>
      <c r="Z133" s="102">
        <f t="array" ref="Z133">IF($G133=0, INDEX(LS_previous!$D$4:$AY$137, MATCH('Staging Table'!$A133, LS_previous!$B$4:$B$137, 0), MATCH(Z$4&amp;Z$5, LS_previous!$D$2:$AY$2&amp;LS_previous!$D$3:$AY$3, 0)),SUM(VLOOKUP($A133, LS_previous!$B$4:$AY$137, LS_previous!R$148, FALSE), VLOOKUP('Staging Table'!$A133, LS_previous!$B$4:$AY$137,LS_previous!AP$148, FALSE))/2)</f>
        <v>-150.53622367520074</v>
      </c>
      <c r="AA133" s="102">
        <f t="array" ref="AA133">IF($G133=0, INDEX(LS_previous!$D$4:$AY$137, MATCH('Staging Table'!$A133, LS_previous!$B$4:$B$137, 0), MATCH(AA$4&amp;AA$5, LS_previous!$D$2:$AY$2&amp;LS_previous!$D$3:$AY$3, 0)),SUM(VLOOKUP($A133, LS_previous!$B$4:$AY$137, LS_previous!S$148, FALSE), VLOOKUP('Staging Table'!$A133, LS_previous!$B$4:$AY$137,LS_previous!AQ$148, FALSE))/2)</f>
        <v>294.27532475835051</v>
      </c>
      <c r="AB133" s="102">
        <f t="array" ref="AB133">IF($G133=0, INDEX(LS_previous!$D$4:$AY$137, MATCH('Staging Table'!$A133, LS_previous!$B$4:$B$137, 0), MATCH(AB$4&amp;AB$5, LS_previous!$D$2:$AY$2&amp;LS_previous!$D$3:$AY$3, 0)),SUM(VLOOKUP($A133, LS_previous!$B$4:$AY$137, LS_previous!T$148, FALSE), VLOOKUP('Staging Table'!$A133, LS_previous!$B$4:$AY$137,LS_previous!AR$148, FALSE))/2)</f>
        <v>1868.5296402225995</v>
      </c>
      <c r="AC133" s="102">
        <f t="array" ref="AC133">IF($G133=0, INDEX(LS_previous!$D$4:$AY$137, MATCH('Staging Table'!$A133, LS_previous!$B$4:$B$137, 0), MATCH(AC$4&amp;AC$5, LS_previous!$D$2:$AY$2&amp;LS_previous!$D$3:$AY$3, 0)),SUM(VLOOKUP($A133, LS_previous!$B$4:$AY$137, LS_previous!U$148, FALSE), VLOOKUP('Staging Table'!$A133, LS_previous!$B$4:$AY$137,LS_previous!AS$148, FALSE))/2)</f>
        <v>1519.5176556279494</v>
      </c>
      <c r="AD133" s="102">
        <f t="array" ref="AD133">IF($G133=0, INDEX(LS_previous!$D$4:$AY$137, MATCH('Staging Table'!$A133, LS_previous!$B$4:$B$137, 0), MATCH(AD$4&amp;AD$5, LS_previous!$D$2:$AY$2&amp;LS_previous!$D$3:$AY$3, 0)),SUM(VLOOKUP($A133, LS_previous!$B$4:$AY$137, LS_previous!V$148, FALSE), VLOOKUP('Staging Table'!$A133, LS_previous!$B$4:$AY$137,LS_previous!AT$148, FALSE))/2)</f>
        <v>5181.1660991964</v>
      </c>
      <c r="AE133" s="102">
        <f t="array" ref="AE133">IF($G133=0, INDEX(LS_previous!$D$4:$AY$137, MATCH('Staging Table'!$A133, LS_previous!$B$4:$B$137, 0), MATCH(AE$4&amp;AE$5, LS_previous!$D$2:$AY$2&amp;LS_previous!$D$3:$AY$3, 0)),SUM(VLOOKUP($A133, LS_previous!$B$4:$AY$137, LS_previous!W$148, FALSE), VLOOKUP('Staging Table'!$A133, LS_previous!$B$4:$AY$137,LS_previous!AU$148, FALSE))/2)</f>
        <v>4356.2429911502495</v>
      </c>
      <c r="AF133" s="102">
        <f t="array" ref="AF133">IF($G133=0, INDEX(LS_previous!$D$4:$AY$137, MATCH('Staging Table'!$A133, LS_previous!$B$4:$B$137, 0), MATCH(AF$4&amp;AF$5, LS_previous!$D$2:$AY$2&amp;LS_previous!$D$3:$AY$3, 0)),SUM(VLOOKUP($A133, LS_previous!$B$4:$AY$137, LS_previous!X$148, FALSE), VLOOKUP('Staging Table'!$A133, LS_previous!$B$4:$AY$137,LS_previous!AV$148, FALSE))/2)</f>
        <v>5973.94981682465</v>
      </c>
      <c r="AG133" s="102">
        <f t="array" ref="AG133">IF($G133=0, INDEX(LS_previous!$D$4:$AY$137, MATCH('Staging Table'!$A133, LS_previous!$B$4:$B$137, 0), MATCH(AG$4&amp;AG$5, LS_previous!$D$2:$AY$2&amp;LS_previous!$D$3:$AY$3, 0)),SUM(VLOOKUP($A133, LS_previous!$B$4:$AY$137, LS_previous!Y$148, FALSE), VLOOKUP('Staging Table'!$A133, LS_previous!$B$4:$AY$137,LS_previous!AW$148, FALSE))/2)</f>
        <v>4160.0868486122345</v>
      </c>
      <c r="AH133" s="102">
        <f t="array" ref="AH133">IF($G133=0, INDEX(LS_previous!$D$4:$AY$137, MATCH('Staging Table'!$A133, LS_previous!$B$4:$B$137, 0), MATCH(AH$4&amp;AH$5, LS_previous!$D$2:$AY$2&amp;LS_previous!$D$3:$AY$3, 0)),SUM(VLOOKUP($A133, LS_previous!$B$4:$AY$137, LS_previous!Z$148, FALSE), VLOOKUP('Staging Table'!$A133, LS_previous!$B$4:$AY$137,LS_previous!AX$148, FALSE))/2)</f>
        <v>1960.3448453973997</v>
      </c>
      <c r="AI133" s="102">
        <f t="array" ref="AI133">IF($G133=0, INDEX(LS_previous!$D$4:$AY$137, MATCH('Staging Table'!$A133, LS_previous!$B$4:$B$137, 0), MATCH(AI$4&amp;AI$5, LS_previous!$D$2:$AY$2&amp;LS_previous!$D$3:$AY$3, 0)),SUM(VLOOKUP($A133, LS_previous!$B$4:$AY$137, LS_previous!AA$148, FALSE), VLOOKUP('Staging Table'!$A133, LS_previous!$B$4:$AY$137,LS_previous!AY$148, FALSE))/2)</f>
        <v>1589.3426016303993</v>
      </c>
      <c r="AJ133" s="103">
        <f t="array" ref="AJ133">INDEX(Demand_previous!$D$4:$AY$137, MATCH('Staging Table'!$A133, Demand_previous!$B$4:$B$137, 0), MATCH(AJ$4&amp;AJ$5,Demand_previous!$D$2:$AY$2&amp;Demand_previous!$D$3:$AY$3, 0))/1000</f>
        <v>3.0637259615384629</v>
      </c>
      <c r="AK133" s="103">
        <f t="array" ref="AK133">INDEX(Demand_previous!$D$4:$AY$137, MATCH('Staging Table'!$A133, Demand_previous!$B$4:$B$137, 0), MATCH(AK$4&amp;AK$5,Demand_previous!$D$2:$AY$2&amp;Demand_previous!$D$3:$AY$3, 0))/1000</f>
        <v>3.3373924999999995</v>
      </c>
      <c r="AL133" s="103">
        <f t="array" ref="AL133">INDEX(Demand_previous!$D$4:$AY$137, MATCH('Staging Table'!$A133, Demand_previous!$B$4:$B$137, 0), MATCH(AL$4&amp;AL$5,Demand_previous!$D$2:$AY$2&amp;Demand_previous!$D$3:$AY$3, 0))/1000</f>
        <v>0.87764249999999855</v>
      </c>
      <c r="AM133" s="103">
        <f t="array" ref="AM133">INDEX(Demand_previous!$D$4:$AY$137, MATCH('Staging Table'!$A133, Demand_previous!$B$4:$B$137, 0), MATCH(AM$4&amp;AM$5,Demand_previous!$D$2:$AY$2&amp;Demand_previous!$D$3:$AY$3, 0))/1000</f>
        <v>2.342593750000002</v>
      </c>
      <c r="AN133" s="103">
        <f t="array" ref="AN133">INDEX(Demand_previous!$D$4:$AY$137, MATCH('Staging Table'!$A133, Demand_previous!$B$4:$B$137, 0), MATCH(AN$4&amp;AN$5,Demand_previous!$D$2:$AY$2&amp;Demand_previous!$D$3:$AY$3, 0))/1000</f>
        <v>2.1785425000000003</v>
      </c>
      <c r="AO133" s="103">
        <f t="array" ref="AO133">INDEX(Demand_previous!$D$4:$AY$137, MATCH('Staging Table'!$A133, Demand_previous!$B$4:$B$137, 0), MATCH(AO$4&amp;AO$5,Demand_previous!$D$2:$AY$2&amp;Demand_previous!$D$3:$AY$3, 0))/1000</f>
        <v>1.4856129807692322</v>
      </c>
      <c r="AP133" s="103">
        <f t="array" ref="AP133">INDEX(Demand_previous!$D$4:$AY$137, MATCH('Staging Table'!$A133, Demand_previous!$B$4:$B$137, 0), MATCH(AP$4&amp;AP$5,Demand_previous!$D$2:$AY$2&amp;Demand_previous!$D$3:$AY$3, 0))/1000</f>
        <v>3.8953293269230764</v>
      </c>
      <c r="AQ133" s="103">
        <f t="array" ref="AQ133">INDEX(Demand_previous!$D$4:$AY$137, MATCH('Staging Table'!$A133, Demand_previous!$B$4:$B$137, 0), MATCH(AQ$4&amp;AQ$5,Demand_previous!$D$2:$AY$2&amp;Demand_previous!$D$3:$AY$3, 0))/1000</f>
        <v>3.5238149038461533</v>
      </c>
      <c r="AR133" s="103">
        <f t="array" ref="AR133">INDEX(Demand_previous!$D$4:$AY$137, MATCH('Staging Table'!$A133, Demand_previous!$B$4:$B$137, 0), MATCH(AR$4&amp;AR$5,Demand_previous!$D$2:$AY$2&amp;Demand_previous!$D$3:$AY$3, 0))/1000</f>
        <v>2.9460124999999997</v>
      </c>
      <c r="AS133" s="103">
        <f t="array" ref="AS133">INDEX(Demand_previous!$D$4:$AY$137, MATCH('Staging Table'!$A133, Demand_previous!$B$4:$B$137, 0), MATCH(AS$4&amp;AS$5,Demand_previous!$D$2:$AY$2&amp;Demand_previous!$D$3:$AY$3, 0))/1000</f>
        <v>2.7126586538461543</v>
      </c>
      <c r="AT133" s="103">
        <f t="array" ref="AT133">INDEX(Demand_previous!$D$4:$AY$137, MATCH('Staging Table'!$A133, Demand_previous!$B$4:$B$137, 0), MATCH(AT$4&amp;AT$5,Demand_previous!$D$2:$AY$2&amp;Demand_previous!$D$3:$AY$3, 0))/1000</f>
        <v>0.69873148148148179</v>
      </c>
      <c r="AU133" s="103">
        <f t="array" ref="AU133">INDEX(Demand_previous!$D$4:$AY$137, MATCH('Staging Table'!$A133, Demand_previous!$B$4:$B$137, 0), MATCH(AU$4&amp;AU$5,Demand_previous!$D$2:$AY$2&amp;Demand_previous!$D$3:$AY$3, 0))/1000</f>
        <v>4.3823802083333323</v>
      </c>
      <c r="AV133" s="102">
        <f>$F133*(VLOOKUP(AV$4, Rates_previous!$G$6:$Q$29, 10, FALSE)+VLOOKUP(AV$4, Rates_previous!$G$6:$Q$29, 11, FALSE))</f>
        <v>11369.25425686635</v>
      </c>
      <c r="AW133" s="102">
        <f>$F133*(VLOOKUP(AW$4, Rates_previous!$G$6:$Q$29, 10, FALSE)+VLOOKUP(AW$4, Rates_previous!$G$6:$Q$29, 11, FALSE))</f>
        <v>14499.548222909103</v>
      </c>
      <c r="AX133" s="102">
        <f>$F133*(VLOOKUP(AX$4, Rates_previous!$G$6:$Q$29, 10, FALSE)+VLOOKUP(AX$4, Rates_previous!$G$6:$Q$29, 11, FALSE))</f>
        <v>15647.881429381501</v>
      </c>
      <c r="AY133" s="102">
        <f>$F133*(VLOOKUP(AY$4, Rates_previous!$G$6:$Q$29, 10, FALSE)+VLOOKUP(AY$4, Rates_previous!$G$6:$Q$29, 11, FALSE))</f>
        <v>16260.5677771056</v>
      </c>
      <c r="AZ133" s="102">
        <f>$F133*(VLOOKUP(AZ$4, Rates_previous!$G$6:$Q$29, 10, FALSE)+VLOOKUP(AZ$4, Rates_previous!$G$6:$Q$29, 11, FALSE))</f>
        <v>13986.255683626199</v>
      </c>
      <c r="BA133" s="102">
        <f>$F133*(VLOOKUP(BA$4, Rates_previous!$G$6:$Q$29, 10, FALSE)+VLOOKUP(BA$4, Rates_previous!$G$6:$Q$29, 11, FALSE))</f>
        <v>15270.222067155901</v>
      </c>
      <c r="BB133" s="102">
        <f>$F133*(VLOOKUP(BB$4, Rates_previous!$G$6:$Q$29, 10, FALSE)+VLOOKUP(BB$4, Rates_previous!$G$6:$Q$29, 11, FALSE))</f>
        <v>12053.266977654825</v>
      </c>
      <c r="BC133" s="102">
        <f>$F133*(VLOOKUP(BC$4, Rates_previous!$G$6:$Q$29, 10, FALSE)+VLOOKUP(BC$4, Rates_previous!$G$6:$Q$29, 11, FALSE))</f>
        <v>14953.69289891685</v>
      </c>
      <c r="BD133" s="102">
        <f>$F133*(VLOOKUP(BD$4, Rates_previous!$G$6:$Q$29, 10, FALSE)+VLOOKUP(BD$4, Rates_previous!$G$6:$Q$29, 11, FALSE))</f>
        <v>15278.15070414945</v>
      </c>
      <c r="BE133" s="102">
        <f>$F133*(VLOOKUP(BE$4, Rates_previous!$G$6:$Q$29, 10, FALSE)+VLOOKUP(BE$4, Rates_previous!$G$6:$Q$29, 11, FALSE))</f>
        <v>13263.635909653351</v>
      </c>
      <c r="BF133" s="102">
        <f>$F133*(VLOOKUP(BF$4, Rates_previous!$G$6:$Q$29, 10, FALSE)+VLOOKUP(BF$4, Rates_previous!$G$6:$Q$29, 11, FALSE))</f>
        <v>12822.410334563117</v>
      </c>
      <c r="BG133" s="102">
        <f>$F133*(VLOOKUP(BG$4, Rates_previous!$G$6:$Q$29, 10, FALSE)+VLOOKUP(BG$4, Rates_previous!$G$6:$Q$29, 11, FALSE))</f>
        <v>11799.100552972202</v>
      </c>
      <c r="BH133" s="103">
        <f>IF($D133=0,IF(C133=0, MAX(BJ133 - (VLOOKUP($A133,TOCA_previous!$A$2:$AJ$136,MATCH("RHWM "&amp;Init!$D$1-2,TOCA_previous!$A$2:$AJ$2,0),FALSE)*$F$2*TOCA_previous!C130),0),0), 0)</f>
        <v>464.38176642957842</v>
      </c>
      <c r="BI133" s="109">
        <f>MIN(VLOOKUP($A133,TOCA_previous!$A$2:$AJ$136,MATCH("TRL - NLSL - Existing Resource "&amp;$F$1,TOCA_previous!$A$2:$AJ$2,0),FALSE)*$F$2,(VLOOKUP($A133,TOCA_previous!$A$2:$AJ$136,MATCH("RHWM "&amp;Init!$D$1-2,TOCA_previous!$A$2:$AJ$2,0),FALSE)*$F$2))</f>
        <v>163514.15999999997</v>
      </c>
      <c r="BJ133" s="261">
        <f>SUM(L133:AI133)+(F133*RT1SC!$C$3*$F$2)</f>
        <v>164786.66976642958</v>
      </c>
      <c r="BK133" s="260">
        <f>VLOOKUP($A133,TOCA_previous!$A$2:$AJ$136,MATCH("Above RHWM Not Served with LS "&amp;$F$1,TOCA_previous!$A$2:$AJ$2,0),FALSE)*$F$2</f>
        <v>0</v>
      </c>
      <c r="BL133" s="261">
        <f t="shared" si="36"/>
        <v>1272.5097664296045</v>
      </c>
      <c r="BM133" s="260">
        <f>(VLOOKUP($A133,TOCA_previous!$A$2:$AJ$136,MATCH("RHWM "&amp;Init!$D$1-2,TOCA_previous!$A$2:$AJ$2,0),FALSE)*$F$2) - $BI133</f>
        <v>808.12800000002608</v>
      </c>
      <c r="BN133" s="261">
        <f t="shared" si="37"/>
        <v>-808.12800000002608</v>
      </c>
      <c r="BO133" s="260">
        <f t="shared" si="38"/>
        <v>0</v>
      </c>
      <c r="BP133" s="261">
        <f t="shared" si="39"/>
        <v>0</v>
      </c>
      <c r="BQ133" s="260">
        <f t="shared" si="9"/>
        <v>-808.12800000002608</v>
      </c>
      <c r="BR133" s="85">
        <f>VLOOKUP($A133,TOCA_current!$A$2:$ZZ$136,MATCH(BR$4,TOCA_current!$A$2:$ZZ$2,0),FALSE)</f>
        <v>2.6459000000000001E-3</v>
      </c>
      <c r="BS133" s="85">
        <f>VLOOKUP($A133,TOCA_current!$A$2:$ZZ$136,MATCH(BS$4,TOCA_current!$A$2:$ZZ$2,0),FALSE)</f>
        <v>2.6459000000000001E-3</v>
      </c>
      <c r="BT133" s="108">
        <f t="shared" si="40"/>
        <v>0</v>
      </c>
      <c r="BU133" s="85">
        <f>VLOOKUP($A133,TOCA_current!A130:BG264,MATCH(BU$4,TOCA_current!$A$2:$BG$2,0),FALSE)</f>
        <v>7.0000000000000007E-2</v>
      </c>
      <c r="BV133" s="85">
        <f t="shared" si="41"/>
        <v>0</v>
      </c>
      <c r="BW133" s="85">
        <f t="shared" si="42"/>
        <v>0</v>
      </c>
      <c r="BX133" s="101">
        <f>VLOOKUP($A133,IRD!$A$4:$G$138, 7, FALSE)</f>
        <v>7189.6969999999992</v>
      </c>
      <c r="BY133" s="102">
        <f t="array" ref="BY133">IF($BT133=0, INDEX(LS_current!$D$4:$BW$137, MATCH('Staging Table'!$A133, LS_current!$B$4:$B$137, 0), MATCH(BY$4&amp;BY$5, LS_current!$D$2:$BW$2&amp;LS_current!$D$3:$BW$3, 0)),SUM(VLOOKUP($A133, LS_current!$B$4:$BW$137, LS_current!D$147, FALSE), VLOOKUP($A133, LS_current!$B$4:$BW$137,LS_current!AZ$147, FALSE))/2)</f>
        <v>-244.9524667087644</v>
      </c>
      <c r="BZ133" s="102">
        <f t="array" ref="BZ133">IF($BT133=0, INDEX(LS_current!$D$4:$BW$137, MATCH('Staging Table'!$A133, LS_current!$B$4:$B$137, 0), MATCH(BZ$4&amp;BZ$5, LS_current!$D$2:$BW$2&amp;LS_current!$D$3:$BW$3, 0)),SUM(VLOOKUP($A133, LS_current!$B$4:$BW$137, LS_current!E$147, FALSE), VLOOKUP($A133, LS_current!$B$4:$BW$137,LS_current!BA$147, FALSE))/2)</f>
        <v>-22.161517090786219</v>
      </c>
      <c r="CA133" s="102">
        <f t="array" ref="CA133">IF($BT133=0, INDEX(LS_current!$D$4:$BW$137, MATCH('Staging Table'!$A133, LS_current!$B$4:$B$137, 0), MATCH(CA$4&amp;CA$5, LS_current!$D$2:$BW$2&amp;LS_current!$D$3:$BW$3, 0)),SUM(VLOOKUP($A133, LS_current!$B$4:$BW$137, LS_current!F$147, FALSE), VLOOKUP($A133, LS_current!$B$4:$BW$137,LS_current!BB$147, FALSE))/2)</f>
        <v>-3243.8519364744889</v>
      </c>
      <c r="CB133" s="102">
        <f t="array" ref="CB133">IF($BT133=0, INDEX(LS_current!$D$4:$BW$137, MATCH('Staging Table'!$A133, LS_current!$B$4:$B$137, 0), MATCH(CB$4&amp;CB$5, LS_current!$D$2:$BW$2&amp;LS_current!$D$3:$BW$3, 0)),SUM(VLOOKUP($A133, LS_current!$B$4:$BW$137, LS_current!G$147, FALSE), VLOOKUP($A133, LS_current!$B$4:$BW$137,LS_current!BC$147, FALSE))/2)</f>
        <v>-1829.4076381669875</v>
      </c>
      <c r="CC133" s="102">
        <f t="array" ref="CC133">IF($BT133=0, INDEX(LS_current!$D$4:$BW$137, MATCH('Staging Table'!$A133, LS_current!$B$4:$B$137, 0), MATCH(CC$4&amp;CC$5, LS_current!$D$2:$BW$2&amp;LS_current!$D$3:$BW$3, 0)),SUM(VLOOKUP($A133, LS_current!$B$4:$BW$137, LS_current!H$147, FALSE), VLOOKUP($A133, LS_current!$B$4:$BW$137,LS_current!BD$147, FALSE))/2)</f>
        <v>-3953.6838119556505</v>
      </c>
      <c r="CD133" s="102">
        <f t="array" ref="CD133">IF($BT133=0, INDEX(LS_current!$D$4:$BW$137, MATCH('Staging Table'!$A133, LS_current!$B$4:$B$137, 0), MATCH(CD$4&amp;CD$5, LS_current!$D$2:$BW$2&amp;LS_current!$D$3:$BW$3, 0)),SUM(VLOOKUP($A133, LS_current!$B$4:$BW$137, LS_current!I$147, FALSE), VLOOKUP($A133, LS_current!$B$4:$BW$137,LS_current!BE$147, FALSE))/2)</f>
        <v>-1196.4317057081107</v>
      </c>
      <c r="CE133" s="102">
        <f t="array" ref="CE133">IF($BT133=0, INDEX(LS_current!$D$4:$BW$137, MATCH('Staging Table'!$A133, LS_current!$B$4:$B$137, 0), MATCH(CE$4&amp;CE$5, LS_current!$D$2:$BW$2&amp;LS_current!$D$3:$BW$3, 0)),SUM(VLOOKUP($A133, LS_current!$B$4:$BW$137, LS_current!J$147, FALSE), VLOOKUP($A133, LS_current!$B$4:$BW$137,LS_current!BF$147, FALSE))/2)</f>
        <v>-4612.0544434793792</v>
      </c>
      <c r="CF133" s="102">
        <f t="array" ref="CF133">IF($BT133=0, INDEX(LS_current!$D$4:$BW$137, MATCH('Staging Table'!$A133, LS_current!$B$4:$B$137, 0), MATCH(CF$4&amp;CF$5, LS_current!$D$2:$BW$2&amp;LS_current!$D$3:$BW$3, 0)),SUM(VLOOKUP($A133, LS_current!$B$4:$BW$137, LS_current!K$147, FALSE), VLOOKUP($A133, LS_current!$B$4:$BW$137,LS_current!BG$147, FALSE))/2)</f>
        <v>-1944.3183880418546</v>
      </c>
      <c r="CG133" s="102">
        <f t="array" ref="CG133">IF($BT133=0, INDEX(LS_current!$D$4:$BW$137, MATCH('Staging Table'!$A133, LS_current!$B$4:$B$137, 0), MATCH(CG$4&amp;CG$5, LS_current!$D$2:$BW$2&amp;LS_current!$D$3:$BW$3, 0)),SUM(VLOOKUP($A133, LS_current!$B$4:$BW$137, LS_current!L$147, FALSE), VLOOKUP($A133, LS_current!$B$4:$BW$137,LS_current!BH$147, FALSE))/2)</f>
        <v>-2887.0319523215258</v>
      </c>
      <c r="CH133" s="102">
        <f t="array" ref="CH133">IF($BT133=0, INDEX(LS_current!$D$4:$BW$137, MATCH('Staging Table'!$A133, LS_current!$B$4:$B$137, 0), MATCH(CH$4&amp;CH$5, LS_current!$D$2:$BW$2&amp;LS_current!$D$3:$BW$3, 0)),SUM(VLOOKUP($A133, LS_current!$B$4:$BW$137, LS_current!M$147, FALSE), VLOOKUP($A133, LS_current!$B$4:$BW$137,LS_current!BI$147, FALSE))/2)</f>
        <v>-1126.6799836324508</v>
      </c>
      <c r="CI133" s="102">
        <f t="array" ref="CI133">IF($BT133=0, INDEX(LS_current!$D$4:$BW$137, MATCH('Staging Table'!$A133, LS_current!$B$4:$B$137, 0), MATCH(CI$4&amp;CI$5, LS_current!$D$2:$BW$2&amp;LS_current!$D$3:$BW$3, 0)),SUM(VLOOKUP($A133, LS_current!$B$4:$BW$137, LS_current!N$147, FALSE), VLOOKUP($A133, LS_current!$B$4:$BW$137,LS_current!BJ$147, FALSE))/2)</f>
        <v>-4169.2868156541044</v>
      </c>
      <c r="CJ133" s="102">
        <f t="array" ref="CJ133">IF($BT133=0, INDEX(LS_current!$D$4:$BW$137, MATCH('Staging Table'!$A133, LS_current!$B$4:$B$137, 0), MATCH(CJ$4&amp;CJ$5, LS_current!$D$2:$BW$2&amp;LS_current!$D$3:$BW$3, 0)),SUM(VLOOKUP($A133, LS_current!$B$4:$BW$137, LS_current!O$147, FALSE), VLOOKUP($A133, LS_current!$B$4:$BW$137,LS_current!BK$147, FALSE))/2)</f>
        <v>-1604.9583986589041</v>
      </c>
      <c r="CK133" s="102">
        <f t="array" ref="CK133">IF($BT133=0, INDEX(LS_current!$D$4:$BW$137, MATCH('Staging Table'!$A133, LS_current!$B$4:$B$137, 0), MATCH(CK$4&amp;CK$5, LS_current!$D$2:$BW$2&amp;LS_current!$D$3:$BW$3, 0)),SUM(VLOOKUP($A133, LS_current!$B$4:$BW$137, LS_current!P$147, FALSE), VLOOKUP($A133, LS_current!$B$4:$BW$137,LS_current!BL$147, FALSE))/2)</f>
        <v>-370.33698048500901</v>
      </c>
      <c r="CL133" s="102">
        <f t="array" ref="CL133">IF($BT133=0, INDEX(LS_current!$D$4:$BW$137, MATCH('Staging Table'!$A133, LS_current!$B$4:$B$137, 0), MATCH(CL$4&amp;CL$5, LS_current!$D$2:$BW$2&amp;LS_current!$D$3:$BW$3, 0)),SUM(VLOOKUP($A133, LS_current!$B$4:$BW$137, LS_current!Q$147, FALSE), VLOOKUP($A133, LS_current!$B$4:$BW$137,LS_current!BM$147, FALSE))/2)</f>
        <v>-162.15436410655548</v>
      </c>
      <c r="CM133" s="102">
        <f t="array" ref="CM133">IF($BT133=0, INDEX(LS_current!$D$4:$BW$137, MATCH('Staging Table'!$A133, LS_current!$B$4:$B$137, 0), MATCH(CM$4&amp;CM$5, LS_current!$D$2:$BW$2&amp;LS_current!$D$3:$BW$3, 0)),SUM(VLOOKUP($A133, LS_current!$B$4:$BW$137, LS_current!R$147, FALSE), VLOOKUP($A133, LS_current!$B$4:$BW$137,LS_current!BN$147, FALSE))/2)</f>
        <v>25.783439877710407</v>
      </c>
      <c r="CN133" s="102">
        <f t="array" ref="CN133">IF($BT133=0, INDEX(LS_current!$D$4:$BW$137, MATCH('Staging Table'!$A133, LS_current!$B$4:$B$137, 0), MATCH(CN$4&amp;CN$5, LS_current!$D$2:$BW$2&amp;LS_current!$D$3:$BW$3, 0)),SUM(VLOOKUP($A133, LS_current!$B$4:$BW$137, LS_current!S$147, FALSE), VLOOKUP($A133, LS_current!$B$4:$BW$137,LS_current!BO$147, FALSE))/2)</f>
        <v>356.58835508238917</v>
      </c>
      <c r="CO133" s="102">
        <f t="array" ref="CO133">IF($BT133=0, INDEX(LS_current!$D$4:$BW$137, MATCH('Staging Table'!$A133, LS_current!$B$4:$B$137, 0), MATCH(CO$4&amp;CO$5, LS_current!$D$2:$BW$2&amp;LS_current!$D$3:$BW$3, 0)),SUM(VLOOKUP($A133, LS_current!$B$4:$BW$137, LS_current!T$147, FALSE), VLOOKUP($A133, LS_current!$B$4:$BW$137,LS_current!BP$147, FALSE))/2)</f>
        <v>1667.1648348978924</v>
      </c>
      <c r="CP133" s="102">
        <f t="array" ref="CP133">IF($BT133=0, INDEX(LS_current!$D$4:$BW$137, MATCH('Staging Table'!$A133, LS_current!$B$4:$B$137, 0), MATCH(CP$4&amp;CP$5, LS_current!$D$2:$BW$2&amp;LS_current!$D$3:$BW$3, 0)),SUM(VLOOKUP($A133, LS_current!$B$4:$BW$137, LS_current!U$147, FALSE), VLOOKUP($A133, LS_current!$B$4:$BW$137,LS_current!BQ$147, FALSE))/2)</f>
        <v>1969.7635891558675</v>
      </c>
      <c r="CQ133" s="102">
        <f t="array" ref="CQ133">IF($BT133=0, INDEX(LS_current!$D$4:$BW$137, MATCH('Staging Table'!$A133, LS_current!$B$4:$B$137, 0), MATCH(CQ$4&amp;CQ$5, LS_current!$D$2:$BW$2&amp;LS_current!$D$3:$BW$3, 0)),SUM(VLOOKUP($A133, LS_current!$B$4:$BW$137, LS_current!V$147, FALSE), VLOOKUP($A133, LS_current!$B$4:$BW$137,LS_current!BR$147, FALSE))/2)</f>
        <v>4969.9092374793163</v>
      </c>
      <c r="CR133" s="102">
        <f t="array" ref="CR133">IF($BT133=0, INDEX(LS_current!$D$4:$BW$137, MATCH('Staging Table'!$A133, LS_current!$B$4:$B$137, 0), MATCH(CR$4&amp;CR$5, LS_current!$D$2:$BW$2&amp;LS_current!$D$3:$BW$3, 0)),SUM(VLOOKUP($A133, LS_current!$B$4:$BW$137, LS_current!W$147, FALSE), VLOOKUP($A133, LS_current!$B$4:$BW$137,LS_current!BS$147, FALSE))/2)</f>
        <v>4453.7860375698729</v>
      </c>
      <c r="CS133" s="102">
        <f t="array" ref="CS133">IF($BT133=0, INDEX(LS_current!$D$4:$BW$137, MATCH('Staging Table'!$A133, LS_current!$B$4:$B$137, 0), MATCH(CS$4&amp;CS$5, LS_current!$D$2:$BW$2&amp;LS_current!$D$3:$BW$3, 0)),SUM(VLOOKUP($A133, LS_current!$B$4:$BW$137, LS_current!X$147, FALSE), VLOOKUP($A133, LS_current!$B$4:$BW$137,LS_current!BT$147, FALSE))/2)</f>
        <v>4986.2878838991091</v>
      </c>
      <c r="CT133" s="102">
        <f t="array" ref="CT133">IF($BT133=0, INDEX(LS_current!$D$4:$BW$137, MATCH('Staging Table'!$A133, LS_current!$B$4:$B$137, 0), MATCH(CT$4&amp;CT$5, LS_current!$D$2:$BW$2&amp;LS_current!$D$3:$BW$3, 0)),SUM(VLOOKUP($A133, LS_current!$B$4:$BW$137, LS_current!Y$147, FALSE), VLOOKUP($A133, LS_current!$B$4:$BW$137,LS_current!BU$147, FALSE))/2)</f>
        <v>4247.4516239331488</v>
      </c>
      <c r="CU133" s="102">
        <f t="array" ref="CU133">IF($BT133=0, INDEX(LS_current!$D$4:$BW$137, MATCH('Staging Table'!$A133, LS_current!$B$4:$B$137, 0), MATCH(CU$4&amp;CU$5, LS_current!$D$2:$BW$2&amp;LS_current!$D$3:$BW$3, 0)),SUM(VLOOKUP($A133, LS_current!$B$4:$BW$137, LS_current!Z$147, FALSE), VLOOKUP($A133, LS_current!$B$4:$BW$137,LS_current!BV$147, FALSE))/2)</f>
        <v>2373.9529794617447</v>
      </c>
      <c r="CV133" s="102">
        <f t="array" ref="CV133">IF($BT133=0, INDEX(LS_current!$D$4:$BW$137, MATCH('Staging Table'!$A133, LS_current!$B$4:$B$137, 0), MATCH(CV$4&amp;CV$5, LS_current!$D$2:$BW$2&amp;LS_current!$D$3:$BW$3, 0)),SUM(VLOOKUP($A133, LS_current!$B$4:$BW$137, LS_current!AA$147, FALSE), VLOOKUP($A133, LS_current!$B$4:$BW$137,LS_current!BW$147, FALSE))/2)</f>
        <v>2317.5076900272238</v>
      </c>
      <c r="CW133" s="103">
        <f t="array" ref="CW133">INDEX(Demand_current!$D$4:$BW$137, MATCH($A133, Demand_current!$B$4:$B$137, 0), MATCH(CW$4&amp;CW$5,Demand_current!$D$2:$BW$2&amp;Demand_current!$D$3:$BW$3, 0))/1000</f>
        <v>3.6511064814814826</v>
      </c>
      <c r="CX133" s="103">
        <f t="array" ref="CX133">INDEX(Demand_current!$D$4:$BW$137, MATCH($A133, Demand_current!$B$4:$B$137, 0), MATCH(CX$4&amp;CX$5,Demand_current!$D$2:$BW$2&amp;Demand_current!$D$3:$BW$3, 0))/1000</f>
        <v>2.7917838541666664</v>
      </c>
      <c r="CY133" s="103">
        <f t="array" ref="CY133">INDEX(Demand_current!$D$4:$BW$137, MATCH($A133, Demand_current!$B$4:$B$137, 0), MATCH(CY$4&amp;CY$5,Demand_current!$D$2:$BW$2&amp;Demand_current!$D$3:$BW$3, 0))/1000</f>
        <v>1.481271634615382</v>
      </c>
      <c r="CZ133" s="103">
        <f t="array" ref="CZ133">INDEX(Demand_current!$D$4:$BW$137, MATCH($A133, Demand_current!$B$4:$B$137, 0), MATCH(CZ$4&amp;CZ$5,Demand_current!$D$2:$BW$2&amp;Demand_current!$D$3:$BW$3, 0))/1000</f>
        <v>2.342593750000002</v>
      </c>
      <c r="DA133" s="103">
        <f t="array" ref="DA133">INDEX(Demand_current!$D$4:$BW$137, MATCH($A133, Demand_current!$B$4:$B$137, 0), MATCH(DA$4&amp;DA$5,Demand_current!$D$2:$BW$2&amp;Demand_current!$D$3:$BW$3, 0))/1000</f>
        <v>1.5896901041666669</v>
      </c>
      <c r="DB133" s="103">
        <f t="array" ref="DB133">INDEX(Demand_current!$D$4:$BW$137, MATCH($A133, Demand_current!$B$4:$B$137, 0), MATCH(DB$4&amp;DB$5,Demand_current!$D$2:$BW$2&amp;Demand_current!$D$3:$BW$3, 0))/1000</f>
        <v>1.4856129807692322</v>
      </c>
      <c r="DC133" s="103">
        <f t="array" ref="DC133">INDEX(Demand_current!$D$4:$BW$137, MATCH($A133, Demand_current!$B$4:$B$137, 0), MATCH(DC$4&amp;DC$5,Demand_current!$D$2:$BW$2&amp;Demand_current!$D$3:$BW$3, 0))/1000</f>
        <v>3.8953293269230764</v>
      </c>
      <c r="DD133" s="103">
        <f t="array" ref="DD133">INDEX(Demand_current!$D$4:$BW$137, MATCH($A133, Demand_current!$B$4:$B$137, 0), MATCH(DD$4&amp;DD$5,Demand_current!$D$2:$BW$2&amp;Demand_current!$D$3:$BW$3, 0))/1000</f>
        <v>2.6645674999999986</v>
      </c>
      <c r="DE133" s="103">
        <f t="array" ref="DE133">INDEX(Demand_current!$D$4:$BW$137, MATCH($A133, Demand_current!$B$4:$B$137, 0), MATCH(DE$4&amp;DE$5,Demand_current!$D$2:$BW$2&amp;Demand_current!$D$3:$BW$3, 0))/1000</f>
        <v>4.0481658653846164</v>
      </c>
      <c r="DF133" s="103">
        <f t="array" ref="DF133">INDEX(Demand_current!$D$4:$BW$137, MATCH($A133, Demand_current!$B$4:$B$137, 0), MATCH(DF$4&amp;DF$5,Demand_current!$D$2:$BW$2&amp;Demand_current!$D$3:$BW$3, 0))/1000</f>
        <v>2.7126586538461543</v>
      </c>
      <c r="DG133" s="103">
        <f t="array" ref="DG133">INDEX(Demand_current!$D$4:$BW$137, MATCH($A133, Demand_current!$B$4:$B$137, 0), MATCH(DG$4&amp;DG$5,Demand_current!$D$2:$BW$2&amp;Demand_current!$D$3:$BW$3, 0))/1000</f>
        <v>0</v>
      </c>
      <c r="DH133" s="103">
        <f t="array" ref="DH133">INDEX(Demand_current!$D$4:$BW$137, MATCH($A133, Demand_current!$B$4:$B$137, 0), MATCH(DH$4&amp;DH$5,Demand_current!$D$2:$BW$2&amp;Demand_current!$D$3:$BW$3, 0))/1000</f>
        <v>5.3206450000000007</v>
      </c>
      <c r="DI133" s="102">
        <f>$BS133*(VLOOKUP(DI$4, Rates_current!$H$6:$R$41, 10, FALSE)+VLOOKUP(DI$4, Rates_current!$H$6:$R$41, 11, FALSE))</f>
        <v>10981.24598379955</v>
      </c>
      <c r="DJ133" s="102">
        <f>$BS133*(VLOOKUP(DJ$4, Rates_current!$H$6:$R$41, 10, FALSE)+VLOOKUP(DJ$4, Rates_current!$H$6:$R$41, 11, FALSE))</f>
        <v>14039.161574641477</v>
      </c>
      <c r="DK133" s="102">
        <f>$BS133*(VLOOKUP(DK$4, Rates_current!$H$6:$R$41, 10, FALSE)+VLOOKUP(DK$4, Rates_current!$H$6:$R$41, 11, FALSE))</f>
        <v>15961.352517663759</v>
      </c>
      <c r="DL133" s="102">
        <f>$BS133*(VLOOKUP(DL$4, Rates_current!$H$6:$R$41, 10, FALSE)+VLOOKUP(DL$4, Rates_current!$H$6:$R$41, 11, FALSE))</f>
        <v>16840.472831521234</v>
      </c>
      <c r="DM133" s="102">
        <f>$BS133*(VLOOKUP(DM$4, Rates_current!$H$6:$R$41, 10, FALSE)+VLOOKUP(DM$4, Rates_current!$H$6:$R$41, 11, FALSE))</f>
        <v>13420.336935953977</v>
      </c>
      <c r="DN133" s="102">
        <f>$BS133*(VLOOKUP(DN$4, Rates_current!$H$6:$R$41, 10, FALSE)+VLOOKUP(DN$4, Rates_current!$H$6:$R$41, 11, FALSE))</f>
        <v>14671.184214313009</v>
      </c>
      <c r="DO133" s="102">
        <f>$BS133*(VLOOKUP(DO$4, Rates_current!$H$6:$R$41, 10, FALSE)+VLOOKUP(DO$4, Rates_current!$H$6:$R$41, 11, FALSE))</f>
        <v>11370.315344591565</v>
      </c>
      <c r="DP133" s="102">
        <f>$BS133*(VLOOKUP(DP$4, Rates_current!$H$6:$R$41, 10, FALSE)+VLOOKUP(DP$4, Rates_current!$H$6:$R$41, 11, FALSE))</f>
        <v>14715.060205039901</v>
      </c>
      <c r="DQ133" s="102">
        <f>$BS133*(VLOOKUP(DQ$4, Rates_current!$H$6:$R$41, 10, FALSE)+VLOOKUP(DQ$4, Rates_current!$H$6:$R$41, 11, FALSE))</f>
        <v>15029.269575946242</v>
      </c>
      <c r="DR133" s="102">
        <f>$BS133*(VLOOKUP(DR$4, Rates_current!$H$6:$R$41, 10, FALSE)+VLOOKUP(DR$4, Rates_current!$H$6:$R$41, 11, FALSE))</f>
        <v>13377.349724950811</v>
      </c>
      <c r="DS133" s="102">
        <f>$BS133*(VLOOKUP(DS$4, Rates_current!$H$6:$R$41, 10, FALSE)+VLOOKUP(DS$4, Rates_current!$H$6:$R$41, 11, FALSE))</f>
        <v>13722.707492167741</v>
      </c>
      <c r="DT133" s="102">
        <f>$BS133*(VLOOKUP(DT$4, Rates_current!$H$6:$R$41, 10, FALSE)+VLOOKUP(DT$4, Rates_current!$H$6:$R$41, 11, FALSE))</f>
        <v>10657.327330511032</v>
      </c>
      <c r="DU133" s="261">
        <f>IF(D133=0,IF(C133=0,MAX(0,DW133 - (VLOOKUP($A133,TOCA_current!$A$2:$AV$136,MATCH("RHWM "&amp;Init!$D$1,TOCA_current!$A$2:$AV$2,0),FALSE)*$BS$2)), 0),0)</f>
        <v>0</v>
      </c>
      <c r="DV133" s="262">
        <f>MIN(VLOOKUP($A133,TOCA_current!$A$2:$AV$136,MATCH("TRL - NLSL - Existing Resource "&amp;$BS$1,TOCA_current!$A$2:$AV$2,0),FALSE)*$BS$2, VLOOKUP($A133,TOCA_current!$A$2:$AV$136,MATCH("RHWM "&amp;Init!$D$1,TOCA_current!$A$2:$AV$2,0),FALSE)*$BS$2)</f>
        <v>164784.35999999999</v>
      </c>
      <c r="DW133" s="262">
        <f>SUM(BY133:CV133)+(BS133*RT1SC!$C$4*$BS$2)</f>
        <v>164786.67872726772</v>
      </c>
      <c r="DX133" s="262">
        <f>VLOOKUP($A133,TOCA_current!$A$2:$AV$136,MATCH("Above RHWM Not Served with LS "&amp;$BS$1,TOCA_current!$A$2:$AV$2,0),FALSE)*$BS$2</f>
        <v>0</v>
      </c>
      <c r="DY133" s="262">
        <f t="shared" si="43"/>
        <v>2.3187272677314468</v>
      </c>
      <c r="DZ133" s="262">
        <f>(VLOOKUP($A133,TOCA_current!$A$2:$AV$136,MATCH("RHWM "&amp;Init!$D$1,TOCA_current!$A$2:$AV$2,0),FALSE)*$BS$2) - $DV133</f>
        <v>35.040000000037253</v>
      </c>
      <c r="EA133" s="262">
        <f t="shared" si="44"/>
        <v>-2.3187272677314468</v>
      </c>
      <c r="EB133" s="262">
        <f t="shared" si="45"/>
        <v>0</v>
      </c>
      <c r="EC133" s="262">
        <f t="shared" si="46"/>
        <v>0</v>
      </c>
      <c r="ED133" s="262">
        <f t="shared" si="47"/>
        <v>-2.3187272677314468</v>
      </c>
    </row>
    <row r="134" spans="1:134">
      <c r="A134" s="2">
        <v>13927</v>
      </c>
      <c r="B134" s="3" t="s">
        <v>238</v>
      </c>
      <c r="C134">
        <f>VLOOKUP(A134, TOCA_current!$A$3:$D$136, 4, FALSE)</f>
        <v>0</v>
      </c>
      <c r="D134">
        <v>0</v>
      </c>
      <c r="E134" s="84">
        <f>VLOOKUP($A134,TOCA_previous!$A$2:$AJ$136,MATCH(E$4,TOCA_previous!$A$2:$AJ$2,0),FALSE)</f>
        <v>5.1630000000000003E-4</v>
      </c>
      <c r="F134" s="85">
        <f>VLOOKUP($A134,TOCA_previous!$A$2:$AJ$136,MATCH(F$4,TOCA_previous!$A$2:$AJ$2,0),FALSE)</f>
        <v>5.1630000000000003E-4</v>
      </c>
      <c r="G134" s="85">
        <f t="shared" si="33"/>
        <v>0</v>
      </c>
      <c r="H134" s="85">
        <f>VLOOKUP($A134,TOCA_previous!$A$2:$AJ$136,MATCH(H$4,TOCA_previous!$A$2:$AJ$2,0),FALSE)</f>
        <v>0</v>
      </c>
      <c r="I134" s="85">
        <f t="shared" si="34"/>
        <v>0</v>
      </c>
      <c r="J134" s="85">
        <f t="shared" si="35"/>
        <v>0</v>
      </c>
      <c r="K134" s="101">
        <f>VLOOKUP(A134, IRD!$A$5:$C$138, 3, FALSE)</f>
        <v>0</v>
      </c>
      <c r="L134" s="102">
        <f t="array" ref="L134">IF($G134=0, INDEX(LS_previous!$D$4:$AY$137, MATCH('Staging Table'!$A134, LS_previous!$B$4:$B$137, 0), MATCH(L$4&amp;L$5, LS_previous!$D$2:$AY$2&amp;LS_previous!$D$3:$AY$3, 0)),SUM(VLOOKUP($A134, LS_previous!$B$4:$AY$137, LS_previous!D$148, FALSE), VLOOKUP('Staging Table'!$A134, LS_previous!$B$4:$AY$137,LS_previous!AB$148, FALSE))/2)</f>
        <v>559.19214421319975</v>
      </c>
      <c r="M134" s="102">
        <f t="array" ref="M134">IF($G134=0, INDEX(LS_previous!$D$4:$AY$137, MATCH('Staging Table'!$A134, LS_previous!$B$4:$B$137, 0), MATCH(M$4&amp;M$5, LS_previous!$D$2:$AY$2&amp;LS_previous!$D$3:$AY$3, 0)),SUM(VLOOKUP($A134, LS_previous!$B$4:$AY$137, LS_previous!E$148, FALSE), VLOOKUP('Staging Table'!$A134, LS_previous!$B$4:$AY$137,LS_previous!AC$148, FALSE))/2)</f>
        <v>472.19747372434995</v>
      </c>
      <c r="N134" s="102">
        <f t="array" ref="N134">IF($G134=0, INDEX(LS_previous!$D$4:$AY$137, MATCH('Staging Table'!$A134, LS_previous!$B$4:$B$137, 0), MATCH(N$4&amp;N$5, LS_previous!$D$2:$AY$2&amp;LS_previous!$D$3:$AY$3, 0)),SUM(VLOOKUP($A134, LS_previous!$B$4:$AY$137, LS_previous!F$148, FALSE), VLOOKUP('Staging Table'!$A134, LS_previous!$B$4:$AY$137,LS_previous!AD$148, FALSE))/2)</f>
        <v>154.28219255359977</v>
      </c>
      <c r="O134" s="102">
        <f t="array" ref="O134">IF($G134=0, INDEX(LS_previous!$D$4:$AY$137, MATCH('Staging Table'!$A134, LS_previous!$B$4:$B$137, 0), MATCH(O$4&amp;O$5, LS_previous!$D$2:$AY$2&amp;LS_previous!$D$3:$AY$3, 0)),SUM(VLOOKUP($A134, LS_previous!$B$4:$AY$137, LS_previous!G$148, FALSE), VLOOKUP('Staging Table'!$A134, LS_previous!$B$4:$AY$137,LS_previous!AE$148, FALSE))/2)</f>
        <v>332.7298628146998</v>
      </c>
      <c r="P134" s="102">
        <f t="array" ref="P134">IF($G134=0, INDEX(LS_previous!$D$4:$AY$137, MATCH('Staging Table'!$A134, LS_previous!$B$4:$B$137, 0), MATCH(P$4&amp;P$5, LS_previous!$D$2:$AY$2&amp;LS_previous!$D$3:$AY$3, 0)),SUM(VLOOKUP($A134, LS_previous!$B$4:$AY$137, LS_previous!H$148, FALSE), VLOOKUP('Staging Table'!$A134, LS_previous!$B$4:$AY$137,LS_previous!AF$148, FALSE))/2)</f>
        <v>161.90521295429971</v>
      </c>
      <c r="Q134" s="102">
        <f t="array" ref="Q134">IF($G134=0, INDEX(LS_previous!$D$4:$AY$137, MATCH('Staging Table'!$A134, LS_previous!$B$4:$B$137, 0), MATCH(Q$4&amp;Q$5, LS_previous!$D$2:$AY$2&amp;LS_previous!$D$3:$AY$3, 0)),SUM(VLOOKUP($A134, LS_previous!$B$4:$AY$137, LS_previous!I$148, FALSE), VLOOKUP('Staging Table'!$A134, LS_previous!$B$4:$AY$137,LS_previous!AG$148, FALSE))/2)</f>
        <v>362.99245475520001</v>
      </c>
      <c r="R134" s="102">
        <f t="array" ref="R134">IF($G134=0, INDEX(LS_previous!$D$4:$AY$137, MATCH('Staging Table'!$A134, LS_previous!$B$4:$B$137, 0), MATCH(R$4&amp;R$5, LS_previous!$D$2:$AY$2&amp;LS_previous!$D$3:$AY$3, 0)),SUM(VLOOKUP($A134, LS_previous!$B$4:$AY$137, LS_previous!J$148, FALSE), VLOOKUP('Staging Table'!$A134, LS_previous!$B$4:$AY$137,LS_previous!AH$148, FALSE))/2)</f>
        <v>-25.419632454500061</v>
      </c>
      <c r="S134" s="102">
        <f t="array" ref="S134">IF($G134=0, INDEX(LS_previous!$D$4:$AY$137, MATCH('Staging Table'!$A134, LS_previous!$B$4:$B$137, 0), MATCH(S$4&amp;S$5, LS_previous!$D$2:$AY$2&amp;LS_previous!$D$3:$AY$3, 0)),SUM(VLOOKUP($A134, LS_previous!$B$4:$AY$137, LS_previous!K$148, FALSE), VLOOKUP('Staging Table'!$A134, LS_previous!$B$4:$AY$137,LS_previous!AI$148, FALSE))/2)</f>
        <v>335.56733562729983</v>
      </c>
      <c r="T134" s="102">
        <f t="array" ref="T134">IF($G134=0, INDEX(LS_previous!$D$4:$AY$137, MATCH('Staging Table'!$A134, LS_previous!$B$4:$B$137, 0), MATCH(T$4&amp;T$5, LS_previous!$D$2:$AY$2&amp;LS_previous!$D$3:$AY$3, 0)),SUM(VLOOKUP($A134, LS_previous!$B$4:$AY$137, LS_previous!L$148, FALSE), VLOOKUP('Staging Table'!$A134, LS_previous!$B$4:$AY$137,LS_previous!AJ$148, FALSE))/2)</f>
        <v>118.50312767230002</v>
      </c>
      <c r="U134" s="102">
        <f t="array" ref="U134">IF($G134=0, INDEX(LS_previous!$D$4:$AY$137, MATCH('Staging Table'!$A134, LS_previous!$B$4:$B$137, 0), MATCH(U$4&amp;U$5, LS_previous!$D$2:$AY$2&amp;LS_previous!$D$3:$AY$3, 0)),SUM(VLOOKUP($A134, LS_previous!$B$4:$AY$137, LS_previous!M$148, FALSE), VLOOKUP('Staging Table'!$A134, LS_previous!$B$4:$AY$137,LS_previous!AK$148, FALSE))/2)</f>
        <v>367.12761856829991</v>
      </c>
      <c r="V134" s="102">
        <f t="array" ref="V134">IF($G134=0, INDEX(LS_previous!$D$4:$AY$137, MATCH('Staging Table'!$A134, LS_previous!$B$4:$B$137, 0), MATCH(V$4&amp;V$5, LS_previous!$D$2:$AY$2&amp;LS_previous!$D$3:$AY$3, 0)),SUM(VLOOKUP($A134, LS_previous!$B$4:$AY$137, LS_previous!N$148, FALSE), VLOOKUP('Staging Table'!$A134, LS_previous!$B$4:$AY$137,LS_previous!AL$148, FALSE))/2)</f>
        <v>80.892761958099982</v>
      </c>
      <c r="W134" s="102">
        <f t="array" ref="W134">IF($G134=0, INDEX(LS_previous!$D$4:$AY$137, MATCH('Staging Table'!$A134, LS_previous!$B$4:$B$137, 0), MATCH(W$4&amp;W$5, LS_previous!$D$2:$AY$2&amp;LS_previous!$D$3:$AY$3, 0)),SUM(VLOOKUP($A134, LS_previous!$B$4:$AY$137, LS_previous!O$148, FALSE), VLOOKUP('Staging Table'!$A134, LS_previous!$B$4:$AY$137,LS_previous!AM$148, FALSE))/2)</f>
        <v>187.16743601860003</v>
      </c>
      <c r="X134" s="102">
        <f t="array" ref="X134">IF($G134=0, INDEX(LS_previous!$D$4:$AY$137, MATCH('Staging Table'!$A134, LS_previous!$B$4:$B$137, 0), MATCH(X$4&amp;X$5, LS_previous!$D$2:$AY$2&amp;LS_previous!$D$3:$AY$3, 0)),SUM(VLOOKUP($A134, LS_previous!$B$4:$AY$137, LS_previous!P$148, FALSE), VLOOKUP('Staging Table'!$A134, LS_previous!$B$4:$AY$137,LS_previous!AN$148, FALSE))/2)</f>
        <v>349.02386447675008</v>
      </c>
      <c r="Y134" s="102">
        <f t="array" ref="Y134">IF($G134=0, INDEX(LS_previous!$D$4:$AY$137, MATCH('Staging Table'!$A134, LS_previous!$B$4:$B$137, 0), MATCH(Y$4&amp;Y$5, LS_previous!$D$2:$AY$2&amp;LS_previous!$D$3:$AY$3, 0)),SUM(VLOOKUP($A134, LS_previous!$B$4:$AY$137, LS_previous!Q$148, FALSE), VLOOKUP('Staging Table'!$A134, LS_previous!$B$4:$AY$137,LS_previous!AO$148, FALSE))/2)</f>
        <v>372.05978969847502</v>
      </c>
      <c r="Z134" s="102">
        <f t="array" ref="Z134">IF($G134=0, INDEX(LS_previous!$D$4:$AY$137, MATCH('Staging Table'!$A134, LS_previous!$B$4:$B$137, 0), MATCH(Z$4&amp;Z$5, LS_previous!$D$2:$AY$2&amp;LS_previous!$D$3:$AY$3, 0)),SUM(VLOOKUP($A134, LS_previous!$B$4:$AY$137, LS_previous!R$148, FALSE), VLOOKUP('Staging Table'!$A134, LS_previous!$B$4:$AY$137,LS_previous!AP$148, FALSE))/2)</f>
        <v>65.01896137759968</v>
      </c>
      <c r="AA134" s="102">
        <f t="array" ref="AA134">IF($G134=0, INDEX(LS_previous!$D$4:$AY$137, MATCH('Staging Table'!$A134, LS_previous!$B$4:$B$137, 0), MATCH(AA$4&amp;AA$5, LS_previous!$D$2:$AY$2&amp;LS_previous!$D$3:$AY$3, 0)),SUM(VLOOKUP($A134, LS_previous!$B$4:$AY$137, LS_previous!S$148, FALSE), VLOOKUP('Staging Table'!$A134, LS_previous!$B$4:$AY$137,LS_previous!AQ$148, FALSE))/2)</f>
        <v>255.2021934664499</v>
      </c>
      <c r="AB134" s="102">
        <f t="array" ref="AB134">IF($G134=0, INDEX(LS_previous!$D$4:$AY$137, MATCH('Staging Table'!$A134, LS_previous!$B$4:$B$137, 0), MATCH(AB$4&amp;AB$5, LS_previous!$D$2:$AY$2&amp;LS_previous!$D$3:$AY$3, 0)),SUM(VLOOKUP($A134, LS_previous!$B$4:$AY$137, LS_previous!T$148, FALSE), VLOOKUP('Staging Table'!$A134, LS_previous!$B$4:$AY$137,LS_previous!AR$148, FALSE))/2)</f>
        <v>94.745907806199966</v>
      </c>
      <c r="AC134" s="102">
        <f t="array" ref="AC134">IF($G134=0, INDEX(LS_previous!$D$4:$AY$137, MATCH('Staging Table'!$A134, LS_previous!$B$4:$B$137, 0), MATCH(AC$4&amp;AC$5, LS_previous!$D$2:$AY$2&amp;LS_previous!$D$3:$AY$3, 0)),SUM(VLOOKUP($A134, LS_previous!$B$4:$AY$137, LS_previous!U$148, FALSE), VLOOKUP('Staging Table'!$A134, LS_previous!$B$4:$AY$137,LS_previous!AS$148, FALSE))/2)</f>
        <v>194.96128936164996</v>
      </c>
      <c r="AD134" s="102">
        <f t="array" ref="AD134">IF($G134=0, INDEX(LS_previous!$D$4:$AY$137, MATCH('Staging Table'!$A134, LS_previous!$B$4:$B$137, 0), MATCH(AD$4&amp;AD$5, LS_previous!$D$2:$AY$2&amp;LS_previous!$D$3:$AY$3, 0)),SUM(VLOOKUP($A134, LS_previous!$B$4:$AY$137, LS_previous!V$148, FALSE), VLOOKUP('Staging Table'!$A134, LS_previous!$B$4:$AY$137,LS_previous!AT$148, FALSE))/2)</f>
        <v>438.09950024679983</v>
      </c>
      <c r="AE134" s="102">
        <f t="array" ref="AE134">IF($G134=0, INDEX(LS_previous!$D$4:$AY$137, MATCH('Staging Table'!$A134, LS_previous!$B$4:$B$137, 0), MATCH(AE$4&amp;AE$5, LS_previous!$D$2:$AY$2&amp;LS_previous!$D$3:$AY$3, 0)),SUM(VLOOKUP($A134, LS_previous!$B$4:$AY$137, LS_previous!W$148, FALSE), VLOOKUP('Staging Table'!$A134, LS_previous!$B$4:$AY$137,LS_previous!AU$148, FALSE))/2)</f>
        <v>516.63470742175002</v>
      </c>
      <c r="AF134" s="102">
        <f t="array" ref="AF134">IF($G134=0, INDEX(LS_previous!$D$4:$AY$137, MATCH('Staging Table'!$A134, LS_previous!$B$4:$B$137, 0), MATCH(AF$4&amp;AF$5, LS_previous!$D$2:$AY$2&amp;LS_previous!$D$3:$AY$3, 0)),SUM(VLOOKUP($A134, LS_previous!$B$4:$AY$137, LS_previous!X$148, FALSE), VLOOKUP('Staging Table'!$A134, LS_previous!$B$4:$AY$137,LS_previous!AV$148, FALSE))/2)</f>
        <v>548.90478445454983</v>
      </c>
      <c r="AG134" s="102">
        <f t="array" ref="AG134">IF($G134=0, INDEX(LS_previous!$D$4:$AY$137, MATCH('Staging Table'!$A134, LS_previous!$B$4:$B$137, 0), MATCH(AG$4&amp;AG$5, LS_previous!$D$2:$AY$2&amp;LS_previous!$D$3:$AY$3, 0)),SUM(VLOOKUP($A134, LS_previous!$B$4:$AY$137, LS_previous!Y$148, FALSE), VLOOKUP('Staging Table'!$A134, LS_previous!$B$4:$AY$137,LS_previous!AW$148, FALSE))/2)</f>
        <v>483.46522937344503</v>
      </c>
      <c r="AH134" s="102">
        <f t="array" ref="AH134">IF($G134=0, INDEX(LS_previous!$D$4:$AY$137, MATCH('Staging Table'!$A134, LS_previous!$B$4:$B$137, 0), MATCH(AH$4&amp;AH$5, LS_previous!$D$2:$AY$2&amp;LS_previous!$D$3:$AY$3, 0)),SUM(VLOOKUP($A134, LS_previous!$B$4:$AY$137, LS_previous!Z$148, FALSE), VLOOKUP('Staging Table'!$A134, LS_previous!$B$4:$AY$137,LS_previous!AX$148, FALSE))/2)</f>
        <v>419.15836913379985</v>
      </c>
      <c r="AI134" s="102">
        <f t="array" ref="AI134">IF($G134=0, INDEX(LS_previous!$D$4:$AY$137, MATCH('Staging Table'!$A134, LS_previous!$B$4:$B$137, 0), MATCH(AI$4&amp;AI$5, LS_previous!$D$2:$AY$2&amp;LS_previous!$D$3:$AY$3, 0)),SUM(VLOOKUP($A134, LS_previous!$B$4:$AY$137, LS_previous!AA$148, FALSE), VLOOKUP('Staging Table'!$A134, LS_previous!$B$4:$AY$137,LS_previous!AY$148, FALSE))/2)</f>
        <v>415.0535316047999</v>
      </c>
      <c r="AJ134" s="103">
        <f t="array" ref="AJ134">INDEX(Demand_previous!$D$4:$AY$137, MATCH('Staging Table'!$A134, Demand_previous!$B$4:$B$137, 0), MATCH(AJ$4&amp;AJ$5,Demand_previous!$D$2:$AY$2&amp;Demand_previous!$D$3:$AY$3, 0))/1000</f>
        <v>0</v>
      </c>
      <c r="AK134" s="103">
        <f t="array" ref="AK134">INDEX(Demand_previous!$D$4:$AY$137, MATCH('Staging Table'!$A134, Demand_previous!$B$4:$B$137, 0), MATCH(AK$4&amp;AK$5,Demand_previous!$D$2:$AY$2&amp;Demand_previous!$D$3:$AY$3, 0))/1000</f>
        <v>0</v>
      </c>
      <c r="AL134" s="103">
        <f t="array" ref="AL134">INDEX(Demand_previous!$D$4:$AY$137, MATCH('Staging Table'!$A134, Demand_previous!$B$4:$B$137, 0), MATCH(AL$4&amp;AL$5,Demand_previous!$D$2:$AY$2&amp;Demand_previous!$D$3:$AY$3, 0))/1000</f>
        <v>5.017000000000027E-2</v>
      </c>
      <c r="AM134" s="103">
        <f t="array" ref="AM134">INDEX(Demand_previous!$D$4:$AY$137, MATCH('Staging Table'!$A134, Demand_previous!$B$4:$B$137, 0), MATCH(AM$4&amp;AM$5,Demand_previous!$D$2:$AY$2&amp;Demand_previous!$D$3:$AY$3, 0))/1000</f>
        <v>0.15371634615384566</v>
      </c>
      <c r="AN134" s="103">
        <f t="array" ref="AN134">INDEX(Demand_previous!$D$4:$AY$137, MATCH('Staging Table'!$A134, Demand_previous!$B$4:$B$137, 0), MATCH(AN$4&amp;AN$5,Demand_previous!$D$2:$AY$2&amp;Demand_previous!$D$3:$AY$3, 0))/1000</f>
        <v>0.22227249999999987</v>
      </c>
      <c r="AO134" s="103">
        <f t="array" ref="AO134">INDEX(Demand_previous!$D$4:$AY$137, MATCH('Staging Table'!$A134, Demand_previous!$B$4:$B$137, 0), MATCH(AO$4&amp;AO$5,Demand_previous!$D$2:$AY$2&amp;Demand_previous!$D$3:$AY$3, 0))/1000</f>
        <v>0</v>
      </c>
      <c r="AP134" s="103">
        <f t="array" ref="AP134">INDEX(Demand_previous!$D$4:$AY$137, MATCH('Staging Table'!$A134, Demand_previous!$B$4:$B$137, 0), MATCH(AP$4&amp;AP$5,Demand_previous!$D$2:$AY$2&amp;Demand_previous!$D$3:$AY$3, 0))/1000</f>
        <v>0.10820432692307713</v>
      </c>
      <c r="AQ134" s="103">
        <f t="array" ref="AQ134">INDEX(Demand_previous!$D$4:$AY$137, MATCH('Staging Table'!$A134, Demand_previous!$B$4:$B$137, 0), MATCH(AQ$4&amp;AQ$5,Demand_previous!$D$2:$AY$2&amp;Demand_previous!$D$3:$AY$3, 0))/1000</f>
        <v>0.35992307692307735</v>
      </c>
      <c r="AR134" s="103">
        <f t="array" ref="AR134">INDEX(Demand_previous!$D$4:$AY$137, MATCH('Staging Table'!$A134, Demand_previous!$B$4:$B$137, 0), MATCH(AR$4&amp;AR$5,Demand_previous!$D$2:$AY$2&amp;Demand_previous!$D$3:$AY$3, 0))/1000</f>
        <v>9.505499999999989E-2</v>
      </c>
      <c r="AS134" s="103">
        <f t="array" ref="AS134">INDEX(Demand_previous!$D$4:$AY$137, MATCH('Staging Table'!$A134, Demand_previous!$B$4:$B$137, 0), MATCH(AS$4&amp;AS$5,Demand_previous!$D$2:$AY$2&amp;Demand_previous!$D$3:$AY$3, 0))/1000</f>
        <v>0.68336538461538521</v>
      </c>
      <c r="AT134" s="103">
        <f t="array" ref="AT134">INDEX(Demand_previous!$D$4:$AY$137, MATCH('Staging Table'!$A134, Demand_previous!$B$4:$B$137, 0), MATCH(AT$4&amp;AT$5,Demand_previous!$D$2:$AY$2&amp;Demand_previous!$D$3:$AY$3, 0))/1000</f>
        <v>1.2081111111111107</v>
      </c>
      <c r="AU134" s="103">
        <f t="array" ref="AU134">INDEX(Demand_previous!$D$4:$AY$137, MATCH('Staging Table'!$A134, Demand_previous!$B$4:$B$137, 0), MATCH(AU$4&amp;AU$5,Demand_previous!$D$2:$AY$2&amp;Demand_previous!$D$3:$AY$3, 0))/1000</f>
        <v>0.28557552083333382</v>
      </c>
      <c r="AV134" s="102">
        <f>$F134*(VLOOKUP(AV$4, Rates_previous!$G$6:$Q$29, 10, FALSE)+VLOOKUP(AV$4, Rates_previous!$G$6:$Q$29, 11, FALSE))</f>
        <v>2178.1683820624503</v>
      </c>
      <c r="AW134" s="102">
        <f>$F134*(VLOOKUP(AW$4, Rates_previous!$G$6:$Q$29, 10, FALSE)+VLOOKUP(AW$4, Rates_previous!$G$6:$Q$29, 11, FALSE))</f>
        <v>2777.8829446317004</v>
      </c>
      <c r="AX134" s="102">
        <f>$F134*(VLOOKUP(AX$4, Rates_previous!$G$6:$Q$29, 10, FALSE)+VLOOKUP(AX$4, Rates_previous!$G$6:$Q$29, 11, FALSE))</f>
        <v>2997.8853322905006</v>
      </c>
      <c r="AY134" s="102">
        <f>$F134*(VLOOKUP(AY$4, Rates_previous!$G$6:$Q$29, 10, FALSE)+VLOOKUP(AY$4, Rates_previous!$G$6:$Q$29, 11, FALSE))</f>
        <v>3115.2662968272002</v>
      </c>
      <c r="AZ134" s="102">
        <f>$F134*(VLOOKUP(AZ$4, Rates_previous!$G$6:$Q$29, 10, FALSE)+VLOOKUP(AZ$4, Rates_previous!$G$6:$Q$29, 11, FALSE))</f>
        <v>2679.5442537593999</v>
      </c>
      <c r="BA134" s="102">
        <f>$F134*(VLOOKUP(BA$4, Rates_previous!$G$6:$Q$29, 10, FALSE)+VLOOKUP(BA$4, Rates_previous!$G$6:$Q$29, 11, FALSE))</f>
        <v>2925.5318020232999</v>
      </c>
      <c r="BB134" s="102">
        <f>$F134*(VLOOKUP(BB$4, Rates_previous!$G$6:$Q$29, 10, FALSE)+VLOOKUP(BB$4, Rates_previous!$G$6:$Q$29, 11, FALSE))</f>
        <v>2309.2143458247751</v>
      </c>
      <c r="BC134" s="102">
        <f>$F134*(VLOOKUP(BC$4, Rates_previous!$G$6:$Q$29, 10, FALSE)+VLOOKUP(BC$4, Rates_previous!$G$6:$Q$29, 11, FALSE))</f>
        <v>2864.8898451559503</v>
      </c>
      <c r="BD134" s="102">
        <f>$F134*(VLOOKUP(BD$4, Rates_previous!$G$6:$Q$29, 10, FALSE)+VLOOKUP(BD$4, Rates_previous!$G$6:$Q$29, 11, FALSE))</f>
        <v>2927.0508028321501</v>
      </c>
      <c r="BE134" s="102">
        <f>$F134*(VLOOKUP(BE$4, Rates_previous!$G$6:$Q$29, 10, FALSE)+VLOOKUP(BE$4, Rates_previous!$G$6:$Q$29, 11, FALSE))</f>
        <v>2541.1017923314503</v>
      </c>
      <c r="BF134" s="102">
        <f>$F134*(VLOOKUP(BF$4, Rates_previous!$G$6:$Q$29, 10, FALSE)+VLOOKUP(BF$4, Rates_previous!$G$6:$Q$29, 11, FALSE))</f>
        <v>2456.5699861720054</v>
      </c>
      <c r="BG134" s="102">
        <f>$F134*(VLOOKUP(BG$4, Rates_previous!$G$6:$Q$29, 10, FALSE)+VLOOKUP(BG$4, Rates_previous!$G$6:$Q$29, 11, FALSE))</f>
        <v>2260.5200992614004</v>
      </c>
      <c r="BH134" s="103">
        <f>IF($D134=0,IF(C134=0, MAX(BJ134 - (VLOOKUP($A134,TOCA_previous!$A$2:$AJ$136,MATCH("RHWM "&amp;Init!$D$1-2,TOCA_previous!$A$2:$AJ$2,0),FALSE)*$F$2*TOCA_previous!C131),0),0), 0)</f>
        <v>3515.8601468357156</v>
      </c>
      <c r="BI134" s="109">
        <f>MIN(VLOOKUP($A134,TOCA_previous!$A$2:$AJ$136,MATCH("TRL - NLSL - Existing Resource "&amp;$F$1,TOCA_previous!$A$2:$AJ$2,0),FALSE)*$F$2,(VLOOKUP($A134,TOCA_previous!$A$2:$AJ$136,MATCH("RHWM "&amp;Init!$D$1-2,TOCA_previous!$A$2:$AJ$2,0),FALSE)*$F$2))</f>
        <v>31323.743999999999</v>
      </c>
      <c r="BJ134" s="261">
        <f>SUM(L134:AI134)+(F134*RT1SC!$C$3*$F$2)</f>
        <v>39293.092146835719</v>
      </c>
      <c r="BK134" s="260">
        <f>VLOOKUP($A134,TOCA_previous!$A$2:$AJ$136,MATCH("Above RHWM Not Served with LS "&amp;$F$1,TOCA_previous!$A$2:$AJ$2,0),FALSE)*$F$2</f>
        <v>0</v>
      </c>
      <c r="BL134" s="261">
        <f t="shared" si="36"/>
        <v>7969.3481468357204</v>
      </c>
      <c r="BM134" s="260">
        <f>(VLOOKUP($A134,TOCA_previous!$A$2:$AJ$136,MATCH("RHWM "&amp;Init!$D$1-2,TOCA_previous!$A$2:$AJ$2,0),FALSE)*$F$2) - $BI134</f>
        <v>4453.4880000000048</v>
      </c>
      <c r="BN134" s="261">
        <f t="shared" si="37"/>
        <v>-4453.4880000000048</v>
      </c>
      <c r="BO134" s="260">
        <f t="shared" si="38"/>
        <v>0</v>
      </c>
      <c r="BP134" s="261">
        <f t="shared" si="39"/>
        <v>0</v>
      </c>
      <c r="BQ134" s="260">
        <f t="shared" si="9"/>
        <v>-4453.4880000000048</v>
      </c>
      <c r="BR134" s="85">
        <f>VLOOKUP($A134,TOCA_current!$A$2:$ZZ$136,MATCH(BR$4,TOCA_current!$A$2:$ZZ$2,0),FALSE)</f>
        <v>5.7629999999999997E-4</v>
      </c>
      <c r="BS134" s="85">
        <f>VLOOKUP($A134,TOCA_current!$A$2:$ZZ$136,MATCH(BS$4,TOCA_current!$A$2:$ZZ$2,0),FALSE)</f>
        <v>5.7629999999999997E-4</v>
      </c>
      <c r="BT134" s="108">
        <f t="shared" si="40"/>
        <v>0</v>
      </c>
      <c r="BU134" s="85">
        <f>VLOOKUP($A134,TOCA_current!A131:BG265,MATCH(BU$4,TOCA_current!$A$2:$BG$2,0),FALSE)</f>
        <v>0</v>
      </c>
      <c r="BV134" s="85">
        <f t="shared" si="41"/>
        <v>0</v>
      </c>
      <c r="BW134" s="85">
        <f t="shared" si="42"/>
        <v>0</v>
      </c>
      <c r="BX134" s="101">
        <f>VLOOKUP($A134,IRD!$A$4:$G$138, 7, FALSE)</f>
        <v>0</v>
      </c>
      <c r="BY134" s="102">
        <f t="array" ref="BY134">IF($BT134=0, INDEX(LS_current!$D$4:$BW$137, MATCH('Staging Table'!$A134, LS_current!$B$4:$B$137, 0), MATCH(BY$4&amp;BY$5, LS_current!$D$2:$BW$2&amp;LS_current!$D$3:$BW$3, 0)),SUM(VLOOKUP($A134, LS_current!$B$4:$BW$137, LS_current!D$147, FALSE), VLOOKUP($A134, LS_current!$B$4:$BW$137,LS_current!AZ$147, FALSE))/2)</f>
        <v>386.68257308883153</v>
      </c>
      <c r="BZ134" s="102">
        <f t="array" ref="BZ134">IF($BT134=0, INDEX(LS_current!$D$4:$BW$137, MATCH('Staging Table'!$A134, LS_current!$B$4:$B$137, 0), MATCH(BZ$4&amp;BZ$5, LS_current!$D$2:$BW$2&amp;LS_current!$D$3:$BW$3, 0)),SUM(VLOOKUP($A134, LS_current!$B$4:$BW$137, LS_current!E$147, FALSE), VLOOKUP($A134, LS_current!$B$4:$BW$137,LS_current!BA$147, FALSE))/2)</f>
        <v>431.06467803037913</v>
      </c>
      <c r="CA134" s="102">
        <f t="array" ref="CA134">IF($BT134=0, INDEX(LS_current!$D$4:$BW$137, MATCH('Staging Table'!$A134, LS_current!$B$4:$B$137, 0), MATCH(CA$4&amp;CA$5, LS_current!$D$2:$BW$2&amp;LS_current!$D$3:$BW$3, 0)),SUM(VLOOKUP($A134, LS_current!$B$4:$BW$137, LS_current!F$147, FALSE), VLOOKUP($A134, LS_current!$B$4:$BW$137,LS_current!BB$147, FALSE))/2)</f>
        <v>-7.6498218338738297</v>
      </c>
      <c r="CB134" s="102">
        <f t="array" ref="CB134">IF($BT134=0, INDEX(LS_current!$D$4:$BW$137, MATCH('Staging Table'!$A134, LS_current!$B$4:$B$137, 0), MATCH(CB$4&amp;CB$5, LS_current!$D$2:$BW$2&amp;LS_current!$D$3:$BW$3, 0)),SUM(VLOOKUP($A134, LS_current!$B$4:$BW$137, LS_current!G$147, FALSE), VLOOKUP($A134, LS_current!$B$4:$BW$137,LS_current!BC$147, FALSE))/2)</f>
        <v>214.69349885648171</v>
      </c>
      <c r="CC134" s="102">
        <f t="array" ref="CC134">IF($BT134=0, INDEX(LS_current!$D$4:$BW$137, MATCH('Staging Table'!$A134, LS_current!$B$4:$B$137, 0), MATCH(CC$4&amp;CC$5, LS_current!$D$2:$BW$2&amp;LS_current!$D$3:$BW$3, 0)),SUM(VLOOKUP($A134, LS_current!$B$4:$BW$137, LS_current!H$147, FALSE), VLOOKUP($A134, LS_current!$B$4:$BW$137,LS_current!BD$147, FALSE))/2)</f>
        <v>-248.96162097208594</v>
      </c>
      <c r="CD134" s="102">
        <f t="array" ref="CD134">IF($BT134=0, INDEX(LS_current!$D$4:$BW$137, MATCH('Staging Table'!$A134, LS_current!$B$4:$B$137, 0), MATCH(CD$4&amp;CD$5, LS_current!$D$2:$BW$2&amp;LS_current!$D$3:$BW$3, 0)),SUM(VLOOKUP($A134, LS_current!$B$4:$BW$137, LS_current!I$147, FALSE), VLOOKUP($A134, LS_current!$B$4:$BW$137,LS_current!BE$147, FALSE))/2)</f>
        <v>295.22341611565685</v>
      </c>
      <c r="CE134" s="102">
        <f t="array" ref="CE134">IF($BT134=0, INDEX(LS_current!$D$4:$BW$137, MATCH('Staging Table'!$A134, LS_current!$B$4:$B$137, 0), MATCH(CE$4&amp;CE$5, LS_current!$D$2:$BW$2&amp;LS_current!$D$3:$BW$3, 0)),SUM(VLOOKUP($A134, LS_current!$B$4:$BW$137, LS_current!J$147, FALSE), VLOOKUP($A134, LS_current!$B$4:$BW$137,LS_current!BF$147, FALSE))/2)</f>
        <v>-408.65311518846715</v>
      </c>
      <c r="CF134" s="102">
        <f t="array" ref="CF134">IF($BT134=0, INDEX(LS_current!$D$4:$BW$137, MATCH('Staging Table'!$A134, LS_current!$B$4:$B$137, 0), MATCH(CF$4&amp;CF$5, LS_current!$D$2:$BW$2&amp;LS_current!$D$3:$BW$3, 0)),SUM(VLOOKUP($A134, LS_current!$B$4:$BW$137, LS_current!K$147, FALSE), VLOOKUP($A134, LS_current!$B$4:$BW$137,LS_current!BG$147, FALSE))/2)</f>
        <v>166.06587069484112</v>
      </c>
      <c r="CG134" s="102">
        <f t="array" ref="CG134">IF($BT134=0, INDEX(LS_current!$D$4:$BW$137, MATCH('Staging Table'!$A134, LS_current!$B$4:$B$137, 0), MATCH(CG$4&amp;CG$5, LS_current!$D$2:$BW$2&amp;LS_current!$D$3:$BW$3, 0)),SUM(VLOOKUP($A134, LS_current!$B$4:$BW$137, LS_current!L$147, FALSE), VLOOKUP($A134, LS_current!$B$4:$BW$137,LS_current!BH$147, FALSE))/2)</f>
        <v>-37.798427802598326</v>
      </c>
      <c r="CH134" s="102">
        <f t="array" ref="CH134">IF($BT134=0, INDEX(LS_current!$D$4:$BW$137, MATCH('Staging Table'!$A134, LS_current!$B$4:$B$137, 0), MATCH(CH$4&amp;CH$5, LS_current!$D$2:$BW$2&amp;LS_current!$D$3:$BW$3, 0)),SUM(VLOOKUP($A134, LS_current!$B$4:$BW$137, LS_current!M$147, FALSE), VLOOKUP($A134, LS_current!$B$4:$BW$137,LS_current!BI$147, FALSE))/2)</f>
        <v>279.90748570717687</v>
      </c>
      <c r="CI134" s="102">
        <f t="array" ref="CI134">IF($BT134=0, INDEX(LS_current!$D$4:$BW$137, MATCH('Staging Table'!$A134, LS_current!$B$4:$B$137, 0), MATCH(CI$4&amp;CI$5, LS_current!$D$2:$BW$2&amp;LS_current!$D$3:$BW$3, 0)),SUM(VLOOKUP($A134, LS_current!$B$4:$BW$137, LS_current!N$147, FALSE), VLOOKUP($A134, LS_current!$B$4:$BW$137,LS_current!BJ$147, FALSE))/2)</f>
        <v>-216.17299216200922</v>
      </c>
      <c r="CJ134" s="102">
        <f t="array" ref="CJ134">IF($BT134=0, INDEX(LS_current!$D$4:$BW$137, MATCH('Staging Table'!$A134, LS_current!$B$4:$B$137, 0), MATCH(CJ$4&amp;CJ$5, LS_current!$D$2:$BW$2&amp;LS_current!$D$3:$BW$3, 0)),SUM(VLOOKUP($A134, LS_current!$B$4:$BW$137, LS_current!O$147, FALSE), VLOOKUP($A134, LS_current!$B$4:$BW$137,LS_current!BK$147, FALSE))/2)</f>
        <v>214.25364906189725</v>
      </c>
      <c r="CK134" s="102">
        <f t="array" ref="CK134">IF($BT134=0, INDEX(LS_current!$D$4:$BW$137, MATCH('Staging Table'!$A134, LS_current!$B$4:$B$137, 0), MATCH(CK$4&amp;CK$5, LS_current!$D$2:$BW$2&amp;LS_current!$D$3:$BW$3, 0)),SUM(VLOOKUP($A134, LS_current!$B$4:$BW$137, LS_current!P$147, FALSE), VLOOKUP($A134, LS_current!$B$4:$BW$137,LS_current!BL$147, FALSE))/2)</f>
        <v>229.76273394553459</v>
      </c>
      <c r="CL134" s="102">
        <f t="array" ref="CL134">IF($BT134=0, INDEX(LS_current!$D$4:$BW$137, MATCH('Staging Table'!$A134, LS_current!$B$4:$B$137, 0), MATCH(CL$4&amp;CL$5, LS_current!$D$2:$BW$2&amp;LS_current!$D$3:$BW$3, 0)),SUM(VLOOKUP($A134, LS_current!$B$4:$BW$137, LS_current!Q$147, FALSE), VLOOKUP($A134, LS_current!$B$4:$BW$137,LS_current!BM$147, FALSE))/2)</f>
        <v>323.98183127306095</v>
      </c>
      <c r="CM134" s="102">
        <f t="array" ref="CM134">IF($BT134=0, INDEX(LS_current!$D$4:$BW$137, MATCH('Staging Table'!$A134, LS_current!$B$4:$B$137, 0), MATCH(CM$4&amp;CM$5, LS_current!$D$2:$BW$2&amp;LS_current!$D$3:$BW$3, 0)),SUM(VLOOKUP($A134, LS_current!$B$4:$BW$137, LS_current!R$147, FALSE), VLOOKUP($A134, LS_current!$B$4:$BW$137,LS_current!BN$147, FALSE))/2)</f>
        <v>-134.8722341352568</v>
      </c>
      <c r="CN134" s="102">
        <f t="array" ref="CN134">IF($BT134=0, INDEX(LS_current!$D$4:$BW$137, MATCH('Staging Table'!$A134, LS_current!$B$4:$B$137, 0), MATCH(CN$4&amp;CN$5, LS_current!$D$2:$BW$2&amp;LS_current!$D$3:$BW$3, 0)),SUM(VLOOKUP($A134, LS_current!$B$4:$BW$137, LS_current!S$147, FALSE), VLOOKUP($A134, LS_current!$B$4:$BW$137,LS_current!BO$147, FALSE))/2)</f>
        <v>114.91531918590317</v>
      </c>
      <c r="CO134" s="102">
        <f t="array" ref="CO134">IF($BT134=0, INDEX(LS_current!$D$4:$BW$137, MATCH('Staging Table'!$A134, LS_current!$B$4:$B$137, 0), MATCH(CO$4&amp;CO$5, LS_current!$D$2:$BW$2&amp;LS_current!$D$3:$BW$3, 0)),SUM(VLOOKUP($A134, LS_current!$B$4:$BW$137, LS_current!T$147, FALSE), VLOOKUP($A134, LS_current!$B$4:$BW$137,LS_current!BP$147, FALSE))/2)</f>
        <v>-200.70820286040475</v>
      </c>
      <c r="CP134" s="102">
        <f t="array" ref="CP134">IF($BT134=0, INDEX(LS_current!$D$4:$BW$137, MATCH('Staging Table'!$A134, LS_current!$B$4:$B$137, 0), MATCH(CP$4&amp;CP$5, LS_current!$D$2:$BW$2&amp;LS_current!$D$3:$BW$3, 0)),SUM(VLOOKUP($A134, LS_current!$B$4:$BW$137, LS_current!U$147, FALSE), VLOOKUP($A134, LS_current!$B$4:$BW$137,LS_current!BQ$147, FALSE))/2)</f>
        <v>143.96075797669096</v>
      </c>
      <c r="CQ134" s="102">
        <f t="array" ref="CQ134">IF($BT134=0, INDEX(LS_current!$D$4:$BW$137, MATCH('Staging Table'!$A134, LS_current!$B$4:$B$137, 0), MATCH(CQ$4&amp;CQ$5, LS_current!$D$2:$BW$2&amp;LS_current!$D$3:$BW$3, 0)),SUM(VLOOKUP($A134, LS_current!$B$4:$BW$137, LS_current!V$147, FALSE), VLOOKUP($A134, LS_current!$B$4:$BW$137,LS_current!BR$147, FALSE))/2)</f>
        <v>175.33073349685537</v>
      </c>
      <c r="CR134" s="102">
        <f t="array" ref="CR134">IF($BT134=0, INDEX(LS_current!$D$4:$BW$137, MATCH('Staging Table'!$A134, LS_current!$B$4:$B$137, 0), MATCH(CR$4&amp;CR$5, LS_current!$D$2:$BW$2&amp;LS_current!$D$3:$BW$3, 0)),SUM(VLOOKUP($A134, LS_current!$B$4:$BW$137, LS_current!W$147, FALSE), VLOOKUP($A134, LS_current!$B$4:$BW$137,LS_current!BS$147, FALSE))/2)</f>
        <v>406.80231231396442</v>
      </c>
      <c r="CS134" s="102">
        <f t="array" ref="CS134">IF($BT134=0, INDEX(LS_current!$D$4:$BW$137, MATCH('Staging Table'!$A134, LS_current!$B$4:$B$137, 0), MATCH(CS$4&amp;CS$5, LS_current!$D$2:$BW$2&amp;LS_current!$D$3:$BW$3, 0)),SUM(VLOOKUP($A134, LS_current!$B$4:$BW$137, LS_current!X$147, FALSE), VLOOKUP($A134, LS_current!$B$4:$BW$137,LS_current!BT$147, FALSE))/2)</f>
        <v>120.47294632868102</v>
      </c>
      <c r="CT134" s="102">
        <f t="array" ref="CT134">IF($BT134=0, INDEX(LS_current!$D$4:$BW$137, MATCH('Staging Table'!$A134, LS_current!$B$4:$B$137, 0), MATCH(CT$4&amp;CT$5, LS_current!$D$2:$BW$2&amp;LS_current!$D$3:$BW$3, 0)),SUM(VLOOKUP($A134, LS_current!$B$4:$BW$137, LS_current!Y$147, FALSE), VLOOKUP($A134, LS_current!$B$4:$BW$137,LS_current!BU$147, FALSE))/2)</f>
        <v>379.54217830328969</v>
      </c>
      <c r="CU134" s="102">
        <f t="array" ref="CU134">IF($BT134=0, INDEX(LS_current!$D$4:$BW$137, MATCH('Staging Table'!$A134, LS_current!$B$4:$B$137, 0), MATCH(CU$4&amp;CU$5, LS_current!$D$2:$BW$2&amp;LS_current!$D$3:$BW$3, 0)),SUM(VLOOKUP($A134, LS_current!$B$4:$BW$137, LS_current!Z$147, FALSE), VLOOKUP($A134, LS_current!$B$4:$BW$137,LS_current!BV$147, FALSE))/2)</f>
        <v>324.44125944434904</v>
      </c>
      <c r="CV134" s="102">
        <f t="array" ref="CV134">IF($BT134=0, INDEX(LS_current!$D$4:$BW$137, MATCH('Staging Table'!$A134, LS_current!$B$4:$B$137, 0), MATCH(CV$4&amp;CV$5, LS_current!$D$2:$BW$2&amp;LS_current!$D$3:$BW$3, 0)),SUM(VLOOKUP($A134, LS_current!$B$4:$BW$137, LS_current!AA$147, FALSE), VLOOKUP($A134, LS_current!$B$4:$BW$137,LS_current!BW$147, FALSE))/2)</f>
        <v>449.03228763849324</v>
      </c>
      <c r="CW134" s="103">
        <f t="array" ref="CW134">INDEX(Demand_current!$D$4:$BW$137, MATCH($A134, Demand_current!$B$4:$B$137, 0), MATCH(CW$4&amp;CW$5,Demand_current!$D$2:$BW$2&amp;Demand_current!$D$3:$BW$3, 0))/1000</f>
        <v>0</v>
      </c>
      <c r="CX134" s="103">
        <f t="array" ref="CX134">INDEX(Demand_current!$D$4:$BW$137, MATCH($A134, Demand_current!$B$4:$B$137, 0), MATCH(CX$4&amp;CX$5,Demand_current!$D$2:$BW$2&amp;Demand_current!$D$3:$BW$3, 0))/1000</f>
        <v>0</v>
      </c>
      <c r="CY134" s="103">
        <f t="array" ref="CY134">INDEX(Demand_current!$D$4:$BW$137, MATCH($A134, Demand_current!$B$4:$B$137, 0), MATCH(CY$4&amp;CY$5,Demand_current!$D$2:$BW$2&amp;Demand_current!$D$3:$BW$3, 0))/1000</f>
        <v>0.24050961538461624</v>
      </c>
      <c r="CZ134" s="103">
        <f t="array" ref="CZ134">INDEX(Demand_current!$D$4:$BW$137, MATCH($A134, Demand_current!$B$4:$B$137, 0), MATCH(CZ$4&amp;CZ$5,Demand_current!$D$2:$BW$2&amp;Demand_current!$D$3:$BW$3, 0))/1000</f>
        <v>0.15371634615384566</v>
      </c>
      <c r="DA134" s="103">
        <f t="array" ref="DA134">INDEX(Demand_current!$D$4:$BW$137, MATCH($A134, Demand_current!$B$4:$B$137, 0), MATCH(DA$4&amp;DA$5,Demand_current!$D$2:$BW$2&amp;Demand_current!$D$3:$BW$3, 0))/1000</f>
        <v>3.2450520833332774E-2</v>
      </c>
      <c r="DB134" s="103">
        <f t="array" ref="DB134">INDEX(Demand_current!$D$4:$BW$137, MATCH($A134, Demand_current!$B$4:$B$137, 0), MATCH(DB$4&amp;DB$5,Demand_current!$D$2:$BW$2&amp;Demand_current!$D$3:$BW$3, 0))/1000</f>
        <v>0</v>
      </c>
      <c r="DC134" s="103">
        <f t="array" ref="DC134">INDEX(Demand_current!$D$4:$BW$137, MATCH($A134, Demand_current!$B$4:$B$137, 0), MATCH(DC$4&amp;DC$5,Demand_current!$D$2:$BW$2&amp;Demand_current!$D$3:$BW$3, 0))/1000</f>
        <v>0.10820432692307713</v>
      </c>
      <c r="DD134" s="103">
        <f t="array" ref="DD134">INDEX(Demand_current!$D$4:$BW$137, MATCH($A134, Demand_current!$B$4:$B$137, 0), MATCH(DD$4&amp;DD$5,Demand_current!$D$2:$BW$2&amp;Demand_current!$D$3:$BW$3, 0))/1000</f>
        <v>0.18628000000000033</v>
      </c>
      <c r="DE134" s="103">
        <f t="array" ref="DE134">INDEX(Demand_current!$D$4:$BW$137, MATCH($A134, Demand_current!$B$4:$B$137, 0), MATCH(DE$4&amp;DE$5,Demand_current!$D$2:$BW$2&amp;Demand_current!$D$3:$BW$3, 0))/1000</f>
        <v>0.28089903846153819</v>
      </c>
      <c r="DF134" s="103">
        <f t="array" ref="DF134">INDEX(Demand_current!$D$4:$BW$137, MATCH($A134, Demand_current!$B$4:$B$137, 0), MATCH(DF$4&amp;DF$5,Demand_current!$D$2:$BW$2&amp;Demand_current!$D$3:$BW$3, 0))/1000</f>
        <v>0.68336538461538521</v>
      </c>
      <c r="DG134" s="103">
        <f t="array" ref="DG134">INDEX(Demand_current!$D$4:$BW$137, MATCH($A134, Demand_current!$B$4:$B$137, 0), MATCH(DG$4&amp;DG$5,Demand_current!$D$2:$BW$2&amp;Demand_current!$D$3:$BW$3, 0))/1000</f>
        <v>1.0204999999999997</v>
      </c>
      <c r="DH134" s="103">
        <f t="array" ref="DH134">INDEX(Demand_current!$D$4:$BW$137, MATCH($A134, Demand_current!$B$4:$B$137, 0), MATCH(DH$4&amp;DH$5,Demand_current!$D$2:$BW$2&amp;Demand_current!$D$3:$BW$3, 0))/1000</f>
        <v>0.46987250000000047</v>
      </c>
      <c r="DI134" s="102">
        <f>$BS134*(VLOOKUP(DI$4, Rates_current!$H$6:$R$41, 10, FALSE)+VLOOKUP(DI$4, Rates_current!$H$6:$R$41, 11, FALSE))</f>
        <v>2391.8107488807896</v>
      </c>
      <c r="DJ134" s="102">
        <f>$BS134*(VLOOKUP(DJ$4, Rates_current!$H$6:$R$41, 10, FALSE)+VLOOKUP(DJ$4, Rates_current!$H$6:$R$41, 11, FALSE))</f>
        <v>3057.8513229773926</v>
      </c>
      <c r="DK134" s="102">
        <f>$BS134*(VLOOKUP(DK$4, Rates_current!$H$6:$R$41, 10, FALSE)+VLOOKUP(DK$4, Rates_current!$H$6:$R$41, 11, FALSE))</f>
        <v>3476.5212048564285</v>
      </c>
      <c r="DL134" s="102">
        <f>$BS134*(VLOOKUP(DL$4, Rates_current!$H$6:$R$41, 10, FALSE)+VLOOKUP(DL$4, Rates_current!$H$6:$R$41, 11, FALSE))</f>
        <v>3668.001244493626</v>
      </c>
      <c r="DM134" s="102">
        <f>$BS134*(VLOOKUP(DM$4, Rates_current!$H$6:$R$41, 10, FALSE)+VLOOKUP(DM$4, Rates_current!$H$6:$R$41, 11, FALSE))</f>
        <v>2923.0659420954216</v>
      </c>
      <c r="DN134" s="102">
        <f>$BS134*(VLOOKUP(DN$4, Rates_current!$H$6:$R$41, 10, FALSE)+VLOOKUP(DN$4, Rates_current!$H$6:$R$41, 11, FALSE))</f>
        <v>3195.5113431001118</v>
      </c>
      <c r="DO134" s="102">
        <f>$BS134*(VLOOKUP(DO$4, Rates_current!$H$6:$R$41, 10, FALSE)+VLOOKUP(DO$4, Rates_current!$H$6:$R$41, 11, FALSE))</f>
        <v>2476.5534347814046</v>
      </c>
      <c r="DP134" s="102">
        <f>$BS134*(VLOOKUP(DP$4, Rates_current!$H$6:$R$41, 10, FALSE)+VLOOKUP(DP$4, Rates_current!$H$6:$R$41, 11, FALSE))</f>
        <v>3205.0679149493531</v>
      </c>
      <c r="DQ134" s="102">
        <f>$BS134*(VLOOKUP(DQ$4, Rates_current!$H$6:$R$41, 10, FALSE)+VLOOKUP(DQ$4, Rates_current!$H$6:$R$41, 11, FALSE))</f>
        <v>3273.5054448837141</v>
      </c>
      <c r="DR134" s="102">
        <f>$BS134*(VLOOKUP(DR$4, Rates_current!$H$6:$R$41, 10, FALSE)+VLOOKUP(DR$4, Rates_current!$H$6:$R$41, 11, FALSE))</f>
        <v>2913.7029541891802</v>
      </c>
      <c r="DS134" s="102">
        <f>$BS134*(VLOOKUP(DS$4, Rates_current!$H$6:$R$41, 10, FALSE)+VLOOKUP(DS$4, Rates_current!$H$6:$R$41, 11, FALSE))</f>
        <v>2988.9248753680295</v>
      </c>
      <c r="DT134" s="102">
        <f>$BS134*(VLOOKUP(DT$4, Rates_current!$H$6:$R$41, 10, FALSE)+VLOOKUP(DT$4, Rates_current!$H$6:$R$41, 11, FALSE))</f>
        <v>2321.2584529171577</v>
      </c>
      <c r="DU134" s="261">
        <f>IF(D134=0,IF(C134=0,MAX(0,DW134 - (VLOOKUP($A134,TOCA_current!$A$2:$AV$136,MATCH("RHWM "&amp;Init!$D$1,TOCA_current!$A$2:$AV$2,0),FALSE)*$BS$2)), 0),0)</f>
        <v>3403.374118683394</v>
      </c>
      <c r="DV134" s="262">
        <f>MIN(VLOOKUP($A134,TOCA_current!$A$2:$AV$136,MATCH("TRL - NLSL - Existing Resource "&amp;$BS$1,TOCA_current!$A$2:$AV$2,0),FALSE)*$BS$2, VLOOKUP($A134,TOCA_current!$A$2:$AV$136,MATCH("RHWM "&amp;Init!$D$1,TOCA_current!$A$2:$AV$2,0),FALSE)*$BS$2)</f>
        <v>35889.72</v>
      </c>
      <c r="DW134" s="262">
        <f>SUM(BY134:CV134)+(BS134*RT1SC!$C$4*$BS$2)</f>
        <v>39293.094118683395</v>
      </c>
      <c r="DX134" s="262">
        <f>VLOOKUP($A134,TOCA_current!$A$2:$AV$136,MATCH("Above RHWM Not Served with LS "&amp;$BS$1,TOCA_current!$A$2:$AV$2,0),FALSE)*$BS$2</f>
        <v>0</v>
      </c>
      <c r="DY134" s="262">
        <f t="shared" si="43"/>
        <v>3403.374118683394</v>
      </c>
      <c r="DZ134" s="262">
        <f>(VLOOKUP($A134,TOCA_current!$A$2:$AV$136,MATCH("RHWM "&amp;Init!$D$1,TOCA_current!$A$2:$AV$2,0),FALSE)*$BS$2) - $DV134</f>
        <v>0</v>
      </c>
      <c r="EA134" s="262">
        <f t="shared" si="44"/>
        <v>0</v>
      </c>
      <c r="EB134" s="262">
        <f t="shared" si="45"/>
        <v>0</v>
      </c>
      <c r="EC134" s="262">
        <f t="shared" si="46"/>
        <v>0</v>
      </c>
      <c r="ED134" s="262">
        <f t="shared" si="47"/>
        <v>0</v>
      </c>
    </row>
    <row r="135" spans="1:134">
      <c r="A135" s="2">
        <v>10597</v>
      </c>
      <c r="B135" s="3" t="s">
        <v>136</v>
      </c>
      <c r="C135">
        <f>VLOOKUP(A135, TOCA_current!$A$3:$D$136, 4, FALSE)</f>
        <v>0</v>
      </c>
      <c r="D135">
        <v>0</v>
      </c>
      <c r="E135" s="84">
        <f>VLOOKUP($A135,TOCA_previous!$A$2:$AJ$136,MATCH(E$4,TOCA_previous!$A$2:$AJ$2,0),FALSE)</f>
        <v>1.7829E-3</v>
      </c>
      <c r="F135" s="85">
        <f>VLOOKUP($A135,TOCA_previous!$A$2:$AJ$136,MATCH(F$4,TOCA_previous!$A$2:$AJ$2,0),FALSE)</f>
        <v>1.7829E-3</v>
      </c>
      <c r="G135" s="85">
        <f t="shared" ref="G135:G139" si="48">E135-F135</f>
        <v>0</v>
      </c>
      <c r="H135" s="85">
        <f>VLOOKUP($A135,TOCA_previous!$A$2:$AJ$136,MATCH(H$4,TOCA_previous!$A$2:$AJ$2,0),FALSE)</f>
        <v>0</v>
      </c>
      <c r="I135" s="85">
        <f t="shared" ref="I135:I139" si="49">IF(C135=0,0,H135)</f>
        <v>0</v>
      </c>
      <c r="J135" s="85">
        <f t="shared" ref="J135:J139" si="50">IF(C135=0,0,E135)</f>
        <v>0</v>
      </c>
      <c r="K135" s="101">
        <f>VLOOKUP(A135, IRD!$A$5:$C$138, 3, FALSE)</f>
        <v>0</v>
      </c>
      <c r="L135" s="102">
        <f t="array" ref="L135">IF($G135=0, INDEX(LS_previous!$D$4:$AY$137, MATCH('Staging Table'!$A135, LS_previous!$B$4:$B$137, 0), MATCH(L$4&amp;L$5, LS_previous!$D$2:$AY$2&amp;LS_previous!$D$3:$AY$3, 0)),SUM(VLOOKUP($A135, LS_previous!$B$4:$AY$137, LS_previous!D$148, FALSE), VLOOKUP('Staging Table'!$A135, LS_previous!$B$4:$AY$137,LS_previous!AB$148, FALSE))/2)</f>
        <v>773.34152821559928</v>
      </c>
      <c r="M135" s="102">
        <f t="array" ref="M135">IF($G135=0, INDEX(LS_previous!$D$4:$AY$137, MATCH('Staging Table'!$A135, LS_previous!$B$4:$B$137, 0), MATCH(M$4&amp;M$5, LS_previous!$D$2:$AY$2&amp;LS_previous!$D$3:$AY$3, 0)),SUM(VLOOKUP($A135, LS_previous!$B$4:$AY$137, LS_previous!E$148, FALSE), VLOOKUP('Staging Table'!$A135, LS_previous!$B$4:$AY$137,LS_previous!AC$148, FALSE))/2)</f>
        <v>246.80024540605018</v>
      </c>
      <c r="N135" s="102">
        <f t="array" ref="N135">IF($G135=0, INDEX(LS_previous!$D$4:$AY$137, MATCH('Staging Table'!$A135, LS_previous!$B$4:$B$137, 0), MATCH(N$4&amp;N$5, LS_previous!$D$2:$AY$2&amp;LS_previous!$D$3:$AY$3, 0)),SUM(VLOOKUP($A135, LS_previous!$B$4:$AY$137, LS_previous!F$148, FALSE), VLOOKUP('Staging Table'!$A135, LS_previous!$B$4:$AY$137,LS_previous!AD$148, FALSE))/2)</f>
        <v>-364.77145709120032</v>
      </c>
      <c r="O135" s="102">
        <f t="array" ref="O135">IF($G135=0, INDEX(LS_previous!$D$4:$AY$137, MATCH('Staging Table'!$A135, LS_previous!$B$4:$B$137, 0), MATCH(O$4&amp;O$5, LS_previous!$D$2:$AY$2&amp;LS_previous!$D$3:$AY$3, 0)),SUM(VLOOKUP($A135, LS_previous!$B$4:$AY$137, LS_previous!G$148, FALSE), VLOOKUP('Staging Table'!$A135, LS_previous!$B$4:$AY$137,LS_previous!AE$148, FALSE))/2)</f>
        <v>125.0609887900996</v>
      </c>
      <c r="P135" s="102">
        <f t="array" ref="P135">IF($G135=0, INDEX(LS_previous!$D$4:$AY$137, MATCH('Staging Table'!$A135, LS_previous!$B$4:$B$137, 0), MATCH(P$4&amp;P$5, LS_previous!$D$2:$AY$2&amp;LS_previous!$D$3:$AY$3, 0)),SUM(VLOOKUP($A135, LS_previous!$B$4:$AY$137, LS_previous!H$148, FALSE), VLOOKUP('Staging Table'!$A135, LS_previous!$B$4:$AY$137,LS_previous!AF$148, FALSE))/2)</f>
        <v>388.07897593689995</v>
      </c>
      <c r="Q135" s="102">
        <f t="array" ref="Q135">IF($G135=0, INDEX(LS_previous!$D$4:$AY$137, MATCH('Staging Table'!$A135, LS_previous!$B$4:$B$137, 0), MATCH(Q$4&amp;Q$5, LS_previous!$D$2:$AY$2&amp;LS_previous!$D$3:$AY$3, 0)),SUM(VLOOKUP($A135, LS_previous!$B$4:$AY$137, LS_previous!I$148, FALSE), VLOOKUP('Staging Table'!$A135, LS_previous!$B$4:$AY$137,LS_previous!AG$148, FALSE))/2)</f>
        <v>449.49083940160017</v>
      </c>
      <c r="R135" s="102">
        <f t="array" ref="R135">IF($G135=0, INDEX(LS_previous!$D$4:$AY$137, MATCH('Staging Table'!$A135, LS_previous!$B$4:$B$137, 0), MATCH(R$4&amp;R$5, LS_previous!$D$2:$AY$2&amp;LS_previous!$D$3:$AY$3, 0)),SUM(VLOOKUP($A135, LS_previous!$B$4:$AY$137, LS_previous!J$148, FALSE), VLOOKUP('Staging Table'!$A135, LS_previous!$B$4:$AY$137,LS_previous!AH$148, FALSE))/2)</f>
        <v>-503.64375867350009</v>
      </c>
      <c r="S135" s="102">
        <f t="array" ref="S135">IF($G135=0, INDEX(LS_previous!$D$4:$AY$137, MATCH('Staging Table'!$A135, LS_previous!$B$4:$B$137, 0), MATCH(S$4&amp;S$5, LS_previous!$D$2:$AY$2&amp;LS_previous!$D$3:$AY$3, 0)),SUM(VLOOKUP($A135, LS_previous!$B$4:$AY$137, LS_previous!K$148, FALSE), VLOOKUP('Staging Table'!$A135, LS_previous!$B$4:$AY$137,LS_previous!AI$148, FALSE))/2)</f>
        <v>567.65370809589967</v>
      </c>
      <c r="T135" s="102">
        <f t="array" ref="T135">IF($G135=0, INDEX(LS_previous!$D$4:$AY$137, MATCH('Staging Table'!$A135, LS_previous!$B$4:$B$137, 0), MATCH(T$4&amp;T$5, LS_previous!$D$2:$AY$2&amp;LS_previous!$D$3:$AY$3, 0)),SUM(VLOOKUP($A135, LS_previous!$B$4:$AY$137, LS_previous!L$148, FALSE), VLOOKUP('Staging Table'!$A135, LS_previous!$B$4:$AY$137,LS_previous!AJ$148, FALSE))/2)</f>
        <v>-102.52665266909935</v>
      </c>
      <c r="U135" s="102">
        <f t="array" ref="U135">IF($G135=0, INDEX(LS_previous!$D$4:$AY$137, MATCH('Staging Table'!$A135, LS_previous!$B$4:$B$137, 0), MATCH(U$4&amp;U$5, LS_previous!$D$2:$AY$2&amp;LS_previous!$D$3:$AY$3, 0)),SUM(VLOOKUP($A135, LS_previous!$B$4:$AY$137, LS_previous!M$148, FALSE), VLOOKUP('Staging Table'!$A135, LS_previous!$B$4:$AY$137,LS_previous!AK$148, FALSE))/2)</f>
        <v>410.46379729889986</v>
      </c>
      <c r="V135" s="102">
        <f t="array" ref="V135">IF($G135=0, INDEX(LS_previous!$D$4:$AY$137, MATCH('Staging Table'!$A135, LS_previous!$B$4:$B$137, 0), MATCH(V$4&amp;V$5, LS_previous!$D$2:$AY$2&amp;LS_previous!$D$3:$AY$3, 0)),SUM(VLOOKUP($A135, LS_previous!$B$4:$AY$137, LS_previous!N$148, FALSE), VLOOKUP('Staging Table'!$A135, LS_previous!$B$4:$AY$137,LS_previous!AL$148, FALSE))/2)</f>
        <v>-702.65678656769978</v>
      </c>
      <c r="W135" s="102">
        <f t="array" ref="W135">IF($G135=0, INDEX(LS_previous!$D$4:$AY$137, MATCH('Staging Table'!$A135, LS_previous!$B$4:$B$137, 0), MATCH(W$4&amp;W$5, LS_previous!$D$2:$AY$2&amp;LS_previous!$D$3:$AY$3, 0)),SUM(VLOOKUP($A135, LS_previous!$B$4:$AY$137, LS_previous!O$148, FALSE), VLOOKUP('Staging Table'!$A135, LS_previous!$B$4:$AY$137,LS_previous!AM$148, FALSE))/2)</f>
        <v>-597.30138799619999</v>
      </c>
      <c r="X135" s="102">
        <f t="array" ref="X135">IF($G135=0, INDEX(LS_previous!$D$4:$AY$137, MATCH('Staging Table'!$A135, LS_previous!$B$4:$B$137, 0), MATCH(X$4&amp;X$5, LS_previous!$D$2:$AY$2&amp;LS_previous!$D$3:$AY$3, 0)),SUM(VLOOKUP($A135, LS_previous!$B$4:$AY$137, LS_previous!P$148, FALSE), VLOOKUP('Staging Table'!$A135, LS_previous!$B$4:$AY$137,LS_previous!AN$148, FALSE))/2)</f>
        <v>-281.39282650474979</v>
      </c>
      <c r="Y135" s="102">
        <f t="array" ref="Y135">IF($G135=0, INDEX(LS_previous!$D$4:$AY$137, MATCH('Staging Table'!$A135, LS_previous!$B$4:$B$137, 0), MATCH(Y$4&amp;Y$5, LS_previous!$D$2:$AY$2&amp;LS_previous!$D$3:$AY$3, 0)),SUM(VLOOKUP($A135, LS_previous!$B$4:$AY$137, LS_previous!Q$148, FALSE), VLOOKUP('Staging Table'!$A135, LS_previous!$B$4:$AY$137,LS_previous!AO$148, FALSE))/2)</f>
        <v>-305.21658095407474</v>
      </c>
      <c r="Z135" s="102">
        <f t="array" ref="Z135">IF($G135=0, INDEX(LS_previous!$D$4:$AY$137, MATCH('Staging Table'!$A135, LS_previous!$B$4:$B$137, 0), MATCH(Z$4&amp;Z$5, LS_previous!$D$2:$AY$2&amp;LS_previous!$D$3:$AY$3, 0)),SUM(VLOOKUP($A135, LS_previous!$B$4:$AY$137, LS_previous!R$148, FALSE), VLOOKUP('Staging Table'!$A135, LS_previous!$B$4:$AY$137,LS_previous!AP$148, FALSE))/2)</f>
        <v>-1130.3462582992006</v>
      </c>
      <c r="AA135" s="102">
        <f t="array" ref="AA135">IF($G135=0, INDEX(LS_previous!$D$4:$AY$137, MATCH('Staging Table'!$A135, LS_previous!$B$4:$B$137, 0), MATCH(AA$4&amp;AA$5, LS_previous!$D$2:$AY$2&amp;LS_previous!$D$3:$AY$3, 0)),SUM(VLOOKUP($A135, LS_previous!$B$4:$AY$137, LS_previous!S$148, FALSE), VLOOKUP('Staging Table'!$A135, LS_previous!$B$4:$AY$137,LS_previous!AQ$148, FALSE))/2)</f>
        <v>-771.94360268965011</v>
      </c>
      <c r="AB135" s="102">
        <f t="array" ref="AB135">IF($G135=0, INDEX(LS_previous!$D$4:$AY$137, MATCH('Staging Table'!$A135, LS_previous!$B$4:$B$137, 0), MATCH(AB$4&amp;AB$5, LS_previous!$D$2:$AY$2&amp;LS_previous!$D$3:$AY$3, 0)),SUM(VLOOKUP($A135, LS_previous!$B$4:$AY$137, LS_previous!T$148, FALSE), VLOOKUP('Staging Table'!$A135, LS_previous!$B$4:$AY$137,LS_previous!AR$148, FALSE))/2)</f>
        <v>-260.03413126539999</v>
      </c>
      <c r="AC135" s="102">
        <f t="array" ref="AC135">IF($G135=0, INDEX(LS_previous!$D$4:$AY$137, MATCH('Staging Table'!$A135, LS_previous!$B$4:$B$137, 0), MATCH(AC$4&amp;AC$5, LS_previous!$D$2:$AY$2&amp;LS_previous!$D$3:$AY$3, 0)),SUM(VLOOKUP($A135, LS_previous!$B$4:$AY$137, LS_previous!U$148, FALSE), VLOOKUP('Staging Table'!$A135, LS_previous!$B$4:$AY$137,LS_previous!AS$148, FALSE))/2)</f>
        <v>-594.64749466805051</v>
      </c>
      <c r="AD135" s="102">
        <f t="array" ref="AD135">IF($G135=0, INDEX(LS_previous!$D$4:$AY$137, MATCH('Staging Table'!$A135, LS_previous!$B$4:$B$137, 0), MATCH(AD$4&amp;AD$5, LS_previous!$D$2:$AY$2&amp;LS_previous!$D$3:$AY$3, 0)),SUM(VLOOKUP($A135, LS_previous!$B$4:$AY$137, LS_previous!V$148, FALSE), VLOOKUP('Staging Table'!$A135, LS_previous!$B$4:$AY$137,LS_previous!AT$148, FALSE))/2)</f>
        <v>1545.5270679644</v>
      </c>
      <c r="AE135" s="102">
        <f t="array" ref="AE135">IF($G135=0, INDEX(LS_previous!$D$4:$AY$137, MATCH('Staging Table'!$A135, LS_previous!$B$4:$B$137, 0), MATCH(AE$4&amp;AE$5, LS_previous!$D$2:$AY$2&amp;LS_previous!$D$3:$AY$3, 0)),SUM(VLOOKUP($A135, LS_previous!$B$4:$AY$137, LS_previous!W$148, FALSE), VLOOKUP('Staging Table'!$A135, LS_previous!$B$4:$AY$137,LS_previous!AU$148, FALSE))/2)</f>
        <v>982.11502743024948</v>
      </c>
      <c r="AF135" s="102">
        <f t="array" ref="AF135">IF($G135=0, INDEX(LS_previous!$D$4:$AY$137, MATCH('Staging Table'!$A135, LS_previous!$B$4:$B$137, 0), MATCH(AF$4&amp;AF$5, LS_previous!$D$2:$AY$2&amp;LS_previous!$D$3:$AY$3, 0)),SUM(VLOOKUP($A135, LS_previous!$B$4:$AY$137, LS_previous!X$148, FALSE), VLOOKUP('Staging Table'!$A135, LS_previous!$B$4:$AY$137,LS_previous!AV$148, FALSE))/2)</f>
        <v>1712.70945323265</v>
      </c>
      <c r="AG135" s="102">
        <f t="array" ref="AG135">IF($G135=0, INDEX(LS_previous!$D$4:$AY$137, MATCH('Staging Table'!$A135, LS_previous!$B$4:$B$137, 0), MATCH(AG$4&amp;AG$5, LS_previous!$D$2:$AY$2&amp;LS_previous!$D$3:$AY$3, 0)),SUM(VLOOKUP($A135, LS_previous!$B$4:$AY$137, LS_previous!Y$148, FALSE), VLOOKUP('Staging Table'!$A135, LS_previous!$B$4:$AY$137,LS_previous!AW$148, FALSE))/2)</f>
        <v>692.42097743543491</v>
      </c>
      <c r="AH135" s="102">
        <f t="array" ref="AH135">IF($G135=0, INDEX(LS_previous!$D$4:$AY$137, MATCH('Staging Table'!$A135, LS_previous!$B$4:$B$137, 0), MATCH(AH$4&amp;AH$5, LS_previous!$D$2:$AY$2&amp;LS_previous!$D$3:$AY$3, 0)),SUM(VLOOKUP($A135, LS_previous!$B$4:$AY$137, LS_previous!Z$148, FALSE), VLOOKUP('Staging Table'!$A135, LS_previous!$B$4:$AY$137,LS_previous!AX$148, FALSE))/2)</f>
        <v>686.39555128539996</v>
      </c>
      <c r="AI135" s="102">
        <f t="array" ref="AI135">IF($G135=0, INDEX(LS_previous!$D$4:$AY$137, MATCH('Staging Table'!$A135, LS_previous!$B$4:$B$137, 0), MATCH(AI$4&amp;AI$5, LS_previous!$D$2:$AY$2&amp;LS_previous!$D$3:$AY$3, 0)),SUM(VLOOKUP($A135, LS_previous!$B$4:$AY$137, LS_previous!AA$148, FALSE), VLOOKUP('Staging Table'!$A135, LS_previous!$B$4:$AY$137,LS_previous!AY$148, FALSE))/2)</f>
        <v>91.11122447839989</v>
      </c>
      <c r="AJ135" s="103">
        <f t="array" ref="AJ135">INDEX(Demand_previous!$D$4:$AY$137, MATCH('Staging Table'!$A135, Demand_previous!$B$4:$B$137, 0), MATCH(AJ$4&amp;AJ$5,Demand_previous!$D$2:$AY$2&amp;Demand_previous!$D$3:$AY$3, 0))/1000</f>
        <v>1.8856971153846152</v>
      </c>
      <c r="AK135" s="103">
        <f t="array" ref="AK135">INDEX(Demand_previous!$D$4:$AY$137, MATCH('Staging Table'!$A135, Demand_previous!$B$4:$B$137, 0), MATCH(AK$4&amp;AK$5,Demand_previous!$D$2:$AY$2&amp;Demand_previous!$D$3:$AY$3, 0))/1000</f>
        <v>0.57529250000000021</v>
      </c>
      <c r="AL135" s="103">
        <f t="array" ref="AL135">INDEX(Demand_previous!$D$4:$AY$137, MATCH('Staging Table'!$A135, Demand_previous!$B$4:$B$137, 0), MATCH(AL$4&amp;AL$5,Demand_previous!$D$2:$AY$2&amp;Demand_previous!$D$3:$AY$3, 0))/1000</f>
        <v>2.9801174999999978</v>
      </c>
      <c r="AM135" s="103">
        <f t="array" ref="AM135">INDEX(Demand_previous!$D$4:$AY$137, MATCH('Staging Table'!$A135, Demand_previous!$B$4:$B$137, 0), MATCH(AM$4&amp;AM$5,Demand_previous!$D$2:$AY$2&amp;Demand_previous!$D$3:$AY$3, 0))/1000</f>
        <v>2.6651899038461546</v>
      </c>
      <c r="AN135" s="103">
        <f t="array" ref="AN135">INDEX(Demand_previous!$D$4:$AY$137, MATCH('Staging Table'!$A135, Demand_previous!$B$4:$B$137, 0), MATCH(AN$4&amp;AN$5,Demand_previous!$D$2:$AY$2&amp;Demand_previous!$D$3:$AY$3, 0))/1000</f>
        <v>2.7024099999999986</v>
      </c>
      <c r="AO135" s="103">
        <f t="array" ref="AO135">INDEX(Demand_previous!$D$4:$AY$137, MATCH('Staging Table'!$A135, Demand_previous!$B$4:$B$137, 0), MATCH(AO$4&amp;AO$5,Demand_previous!$D$2:$AY$2&amp;Demand_previous!$D$3:$AY$3, 0))/1000</f>
        <v>2.4193557692307692</v>
      </c>
      <c r="AP135" s="103">
        <f t="array" ref="AP135">INDEX(Demand_previous!$D$4:$AY$137, MATCH('Staging Table'!$A135, Demand_previous!$B$4:$B$137, 0), MATCH(AP$4&amp;AP$5,Demand_previous!$D$2:$AY$2&amp;Demand_previous!$D$3:$AY$3, 0))/1000</f>
        <v>2.3716826923076919</v>
      </c>
      <c r="AQ135" s="103">
        <f t="array" ref="AQ135">INDEX(Demand_previous!$D$4:$AY$137, MATCH('Staging Table'!$A135, Demand_previous!$B$4:$B$137, 0), MATCH(AQ$4&amp;AQ$5,Demand_previous!$D$2:$AY$2&amp;Demand_previous!$D$3:$AY$3, 0))/1000</f>
        <v>2.1291875000000013</v>
      </c>
      <c r="AR135" s="103">
        <f t="array" ref="AR135">INDEX(Demand_previous!$D$4:$AY$137, MATCH('Staging Table'!$A135, Demand_previous!$B$4:$B$137, 0), MATCH(AR$4&amp;AR$5,Demand_previous!$D$2:$AY$2&amp;Demand_previous!$D$3:$AY$3, 0))/1000</f>
        <v>2.6372400000000011</v>
      </c>
      <c r="AS135" s="103">
        <f t="array" ref="AS135">INDEX(Demand_previous!$D$4:$AY$137, MATCH('Staging Table'!$A135, Demand_previous!$B$4:$B$137, 0), MATCH(AS$4&amp;AS$5,Demand_previous!$D$2:$AY$2&amp;Demand_previous!$D$3:$AY$3, 0))/1000</f>
        <v>4.7410528846153817</v>
      </c>
      <c r="AT135" s="103">
        <f t="array" ref="AT135">INDEX(Demand_previous!$D$4:$AY$137, MATCH('Staging Table'!$A135, Demand_previous!$B$4:$B$137, 0), MATCH(AT$4&amp;AT$5,Demand_previous!$D$2:$AY$2&amp;Demand_previous!$D$3:$AY$3, 0))/1000</f>
        <v>3.7936597222222241</v>
      </c>
      <c r="AU135" s="103">
        <f t="array" ref="AU135">INDEX(Demand_previous!$D$4:$AY$137, MATCH('Staging Table'!$A135, Demand_previous!$B$4:$B$137, 0), MATCH(AU$4&amp;AU$5,Demand_previous!$D$2:$AY$2&amp;Demand_previous!$D$3:$AY$3, 0))/1000</f>
        <v>2.4534348958333316</v>
      </c>
      <c r="AV135" s="102">
        <f>$F135*(VLOOKUP(AV$4, Rates_previous!$G$6:$Q$29, 10, FALSE)+VLOOKUP(AV$4, Rates_previous!$G$6:$Q$29, 11, FALSE))</f>
        <v>7521.7052263783498</v>
      </c>
      <c r="AW135" s="102">
        <f>$F135*(VLOOKUP(AW$4, Rates_previous!$G$6:$Q$29, 10, FALSE)+VLOOKUP(AW$4, Rates_previous!$G$6:$Q$29, 11, FALSE))</f>
        <v>9592.6544683011016</v>
      </c>
      <c r="AX135" s="102">
        <f>$F135*(VLOOKUP(AX$4, Rates_previous!$G$6:$Q$29, 10, FALSE)+VLOOKUP(AX$4, Rates_previous!$G$6:$Q$29, 11, FALSE))</f>
        <v>10352.372184661501</v>
      </c>
      <c r="AY135" s="102">
        <f>$F135*(VLOOKUP(AY$4, Rates_previous!$G$6:$Q$29, 10, FALSE)+VLOOKUP(AY$4, Rates_previous!$G$6:$Q$29, 11, FALSE))</f>
        <v>10757.715050577601</v>
      </c>
      <c r="AZ135" s="102">
        <f>$F135*(VLOOKUP(AZ$4, Rates_previous!$G$6:$Q$29, 10, FALSE)+VLOOKUP(AZ$4, Rates_previous!$G$6:$Q$29, 11, FALSE))</f>
        <v>9253.0688553701984</v>
      </c>
      <c r="BA135" s="102">
        <f>$F135*(VLOOKUP(BA$4, Rates_previous!$G$6:$Q$29, 10, FALSE)+VLOOKUP(BA$4, Rates_previous!$G$6:$Q$29, 11, FALSE))</f>
        <v>10102.5191745639</v>
      </c>
      <c r="BB135" s="102">
        <f>$F135*(VLOOKUP(BB$4, Rates_previous!$G$6:$Q$29, 10, FALSE)+VLOOKUP(BB$4, Rates_previous!$G$6:$Q$29, 11, FALSE))</f>
        <v>7974.236407458824</v>
      </c>
      <c r="BC135" s="102">
        <f>$F135*(VLOOKUP(BC$4, Rates_previous!$G$6:$Q$29, 10, FALSE)+VLOOKUP(BC$4, Rates_previous!$G$6:$Q$29, 11, FALSE))</f>
        <v>9893.1088609888502</v>
      </c>
      <c r="BD135" s="102">
        <f>$F135*(VLOOKUP(BD$4, Rates_previous!$G$6:$Q$29, 10, FALSE)+VLOOKUP(BD$4, Rates_previous!$G$6:$Q$29, 11, FALSE))</f>
        <v>10107.764625933449</v>
      </c>
      <c r="BE135" s="102">
        <f>$F135*(VLOOKUP(BE$4, Rates_previous!$G$6:$Q$29, 10, FALSE)+VLOOKUP(BE$4, Rates_previous!$G$6:$Q$29, 11, FALSE))</f>
        <v>8774.99590460535</v>
      </c>
      <c r="BF135" s="102">
        <f>$F135*(VLOOKUP(BF$4, Rates_previous!$G$6:$Q$29, 10, FALSE)+VLOOKUP(BF$4, Rates_previous!$G$6:$Q$29, 11, FALSE))</f>
        <v>8483.088569331916</v>
      </c>
      <c r="BG135" s="102">
        <f>$F135*(VLOOKUP(BG$4, Rates_previous!$G$6:$Q$29, 10, FALSE)+VLOOKUP(BG$4, Rates_previous!$G$6:$Q$29, 11, FALSE))</f>
        <v>7806.0842242362014</v>
      </c>
      <c r="BH135" s="103">
        <f>IF($D135=0,IF(C135=0, MAX(BJ135 - (VLOOKUP($A135,TOCA_previous!$A$2:$AJ$136,MATCH("RHWM "&amp;Init!$D$1-2,TOCA_previous!$A$2:$AJ$2,0),FALSE)*$F$2*TOCA_previous!C132),0),0), 0)</f>
        <v>37.394507056756993</v>
      </c>
      <c r="BI135" s="109">
        <f>MIN(VLOOKUP($A135,TOCA_previous!$A$2:$AJ$136,MATCH("TRL - NLSL - Existing Resource "&amp;$F$1,TOCA_previous!$A$2:$AJ$2,0),FALSE)*$F$2,(VLOOKUP($A135,TOCA_previous!$A$2:$AJ$136,MATCH("RHWM "&amp;Init!$D$1-2,TOCA_previous!$A$2:$AJ$2,0),FALSE)*$F$2))</f>
        <v>108174.95999999999</v>
      </c>
      <c r="BJ135" s="261">
        <f>SUM(L135:AI135)+(F135*RT1SC!$C$3*$F$2)</f>
        <v>113676.00250705675</v>
      </c>
      <c r="BK135" s="260">
        <f>VLOOKUP($A135,TOCA_previous!$A$2:$AJ$136,MATCH("Above RHWM Not Served with LS "&amp;$F$1,TOCA_previous!$A$2:$AJ$2,0),FALSE)*$F$2</f>
        <v>0</v>
      </c>
      <c r="BL135" s="261">
        <f t="shared" ref="BL135:BL139" si="51">BJ135-BI135</f>
        <v>5501.042507056758</v>
      </c>
      <c r="BM135" s="260">
        <f>(VLOOKUP($A135,TOCA_previous!$A$2:$AJ$136,MATCH("RHWM "&amp;Init!$D$1-2,TOCA_previous!$A$2:$AJ$2,0),FALSE)*$F$2) - $BI135</f>
        <v>5463.648000000001</v>
      </c>
      <c r="BN135" s="261">
        <f t="shared" ref="BN135:BN139" si="52">IF(BL135&gt;0,IF(BM135&gt;0,(-1)*MIN(BL135,BM135),0),0)</f>
        <v>-5463.648000000001</v>
      </c>
      <c r="BO135" s="260">
        <f t="shared" ref="BO135:BO139" si="53">IF(BL135&lt;0,IF(BK135&lt;ABS(BL135),MAX(0,ABS($BL135)-(BK135)),0),0)</f>
        <v>0</v>
      </c>
      <c r="BP135" s="261">
        <f t="shared" ref="BP135:BP139" si="54">IF(AND(BK135&gt;0,BM135&gt;0),IF(AND(BL135&lt;=0,ABS(BL135)&lt;BK135),(-1)*MIN(BK135,BK135-ABS(BL135),BM135),IF(AND(BL135&gt;0,BL135&lt;BM135),(-1)*MIN(BK135,BM135-BL135),0)),0)</f>
        <v>0</v>
      </c>
      <c r="BQ135" s="260">
        <f t="shared" si="9"/>
        <v>-5463.648000000001</v>
      </c>
      <c r="BR135" s="85">
        <f>VLOOKUP($A135,TOCA_current!$A$2:$ZZ$136,MATCH(BR$4,TOCA_current!$A$2:$ZZ$2,0),FALSE)</f>
        <v>1.8253E-3</v>
      </c>
      <c r="BS135" s="85">
        <f>VLOOKUP($A135,TOCA_current!$A$2:$ZZ$136,MATCH(BS$4,TOCA_current!$A$2:$ZZ$2,0),FALSE)</f>
        <v>1.8253E-3</v>
      </c>
      <c r="BT135" s="108">
        <f t="shared" ref="BT135:BT139" si="55">BR135-BS135</f>
        <v>0</v>
      </c>
      <c r="BU135" s="85">
        <f>VLOOKUP($A135,TOCA_current!A132:BG266,MATCH(BU$4,TOCA_current!$A$2:$BG$2,0),FALSE)</f>
        <v>0</v>
      </c>
      <c r="BV135" s="85">
        <f t="shared" ref="BV135:BV139" si="56">IF(C135=0,0,BU135)</f>
        <v>0</v>
      </c>
      <c r="BW135" s="85">
        <f t="shared" ref="BW135:BW139" si="57">IF(C135=0,0,BR135)</f>
        <v>0</v>
      </c>
      <c r="BX135" s="101">
        <f>VLOOKUP($A135,IRD!$A$4:$G$138, 7, FALSE)</f>
        <v>0</v>
      </c>
      <c r="BY135" s="102">
        <f t="array" ref="BY135">IF($BT135=0, INDEX(LS_current!$D$4:$BW$137, MATCH('Staging Table'!$A135, LS_current!$B$4:$B$137, 0), MATCH(BY$4&amp;BY$5, LS_current!$D$2:$BW$2&amp;LS_current!$D$3:$BW$3, 0)),SUM(VLOOKUP($A135, LS_current!$B$4:$BW$137, LS_current!D$147, FALSE), VLOOKUP($A135, LS_current!$B$4:$BW$137,LS_current!AZ$147, FALSE))/2)</f>
        <v>603.79019982482077</v>
      </c>
      <c r="BZ135" s="102">
        <f t="array" ref="BZ135">IF($BT135=0, INDEX(LS_current!$D$4:$BW$137, MATCH('Staging Table'!$A135, LS_current!$B$4:$B$137, 0), MATCH(BZ$4&amp;BZ$5, LS_current!$D$2:$BW$2&amp;LS_current!$D$3:$BW$3, 0)),SUM(VLOOKUP($A135, LS_current!$B$4:$BW$137, LS_current!E$147, FALSE), VLOOKUP($A135, LS_current!$B$4:$BW$137,LS_current!BA$147, FALSE))/2)</f>
        <v>362.53682805630933</v>
      </c>
      <c r="CA135" s="102">
        <f t="array" ref="CA135">IF($BT135=0, INDEX(LS_current!$D$4:$BW$137, MATCH('Staging Table'!$A135, LS_current!$B$4:$B$137, 0), MATCH(CA$4&amp;CA$5, LS_current!$D$2:$BW$2&amp;LS_current!$D$3:$BW$3, 0)),SUM(VLOOKUP($A135, LS_current!$B$4:$BW$137, LS_current!F$147, FALSE), VLOOKUP($A135, LS_current!$B$4:$BW$137,LS_current!BB$147, FALSE))/2)</f>
        <v>-395.69722886234649</v>
      </c>
      <c r="CB135" s="102">
        <f t="array" ref="CB135">IF($BT135=0, INDEX(LS_current!$D$4:$BW$137, MATCH('Staging Table'!$A135, LS_current!$B$4:$B$137, 0), MATCH(CB$4&amp;CB$5, LS_current!$D$2:$BW$2&amp;LS_current!$D$3:$BW$3, 0)),SUM(VLOOKUP($A135, LS_current!$B$4:$BW$137, LS_current!G$147, FALSE), VLOOKUP($A135, LS_current!$B$4:$BW$137,LS_current!BC$147, FALSE))/2)</f>
        <v>63.588270627687052</v>
      </c>
      <c r="CC135" s="102">
        <f t="array" ref="CC135">IF($BT135=0, INDEX(LS_current!$D$4:$BW$137, MATCH('Staging Table'!$A135, LS_current!$B$4:$B$137, 0), MATCH(CC$4&amp;CC$5, LS_current!$D$2:$BW$2&amp;LS_current!$D$3:$BW$3, 0)),SUM(VLOOKUP($A135, LS_current!$B$4:$BW$137, LS_current!H$147, FALSE), VLOOKUP($A135, LS_current!$B$4:$BW$137,LS_current!BD$147, FALSE))/2)</f>
        <v>-393.49688089597112</v>
      </c>
      <c r="CD135" s="102">
        <f t="array" ref="CD135">IF($BT135=0, INDEX(LS_current!$D$4:$BW$137, MATCH('Staging Table'!$A135, LS_current!$B$4:$B$137, 0), MATCH(CD$4&amp;CD$5, LS_current!$D$2:$BW$2&amp;LS_current!$D$3:$BW$3, 0)),SUM(VLOOKUP($A135, LS_current!$B$4:$BW$137, LS_current!I$147, FALSE), VLOOKUP($A135, LS_current!$B$4:$BW$137,LS_current!BE$147, FALSE))/2)</f>
        <v>572.34369570693843</v>
      </c>
      <c r="CE135" s="102">
        <f t="array" ref="CE135">IF($BT135=0, INDEX(LS_current!$D$4:$BW$137, MATCH('Staging Table'!$A135, LS_current!$B$4:$B$137, 0), MATCH(CE$4&amp;CE$5, LS_current!$D$2:$BW$2&amp;LS_current!$D$3:$BW$3, 0)),SUM(VLOOKUP($A135, LS_current!$B$4:$BW$137, LS_current!J$147, FALSE), VLOOKUP($A135, LS_current!$B$4:$BW$137,LS_current!BF$147, FALSE))/2)</f>
        <v>-1165.9249770145925</v>
      </c>
      <c r="CF135" s="102">
        <f t="array" ref="CF135">IF($BT135=0, INDEX(LS_current!$D$4:$BW$137, MATCH('Staging Table'!$A135, LS_current!$B$4:$B$137, 0), MATCH(CF$4&amp;CF$5, LS_current!$D$2:$BW$2&amp;LS_current!$D$3:$BW$3, 0)),SUM(VLOOKUP($A135, LS_current!$B$4:$BW$137, LS_current!K$147, FALSE), VLOOKUP($A135, LS_current!$B$4:$BW$137,LS_current!BG$147, FALSE))/2)</f>
        <v>370.08504282369086</v>
      </c>
      <c r="CG135" s="102">
        <f t="array" ref="CG135">IF($BT135=0, INDEX(LS_current!$D$4:$BW$137, MATCH('Staging Table'!$A135, LS_current!$B$4:$B$137, 0), MATCH(CG$4&amp;CG$5, LS_current!$D$2:$BW$2&amp;LS_current!$D$3:$BW$3, 0)),SUM(VLOOKUP($A135, LS_current!$B$4:$BW$137, LS_current!L$147, FALSE), VLOOKUP($A135, LS_current!$B$4:$BW$137,LS_current!BH$147, FALSE))/2)</f>
        <v>-110.37686234267403</v>
      </c>
      <c r="CH135" s="102">
        <f t="array" ref="CH135">IF($BT135=0, INDEX(LS_current!$D$4:$BW$137, MATCH('Staging Table'!$A135, LS_current!$B$4:$B$137, 0), MATCH(CH$4&amp;CH$5, LS_current!$D$2:$BW$2&amp;LS_current!$D$3:$BW$3, 0)),SUM(VLOOKUP($A135, LS_current!$B$4:$BW$137, LS_current!M$147, FALSE), VLOOKUP($A135, LS_current!$B$4:$BW$137,LS_current!BI$147, FALSE))/2)</f>
        <v>413.23213510551705</v>
      </c>
      <c r="CI135" s="102">
        <f t="array" ref="CI135">IF($BT135=0, INDEX(LS_current!$D$4:$BW$137, MATCH('Staging Table'!$A135, LS_current!$B$4:$B$137, 0), MATCH(CI$4&amp;CI$5, LS_current!$D$2:$BW$2&amp;LS_current!$D$3:$BW$3, 0)),SUM(VLOOKUP($A135, LS_current!$B$4:$BW$137, LS_current!N$147, FALSE), VLOOKUP($A135, LS_current!$B$4:$BW$137,LS_current!BJ$147, FALSE))/2)</f>
        <v>-1134.2116487824323</v>
      </c>
      <c r="CJ135" s="102">
        <f t="array" ref="CJ135">IF($BT135=0, INDEX(LS_current!$D$4:$BW$137, MATCH('Staging Table'!$A135, LS_current!$B$4:$B$137, 0), MATCH(CJ$4&amp;CJ$5, LS_current!$D$2:$BW$2&amp;LS_current!$D$3:$BW$3, 0)),SUM(VLOOKUP($A135, LS_current!$B$4:$BW$137, LS_current!O$147, FALSE), VLOOKUP($A135, LS_current!$B$4:$BW$137,LS_current!BK$147, FALSE))/2)</f>
        <v>-184.28731054540913</v>
      </c>
      <c r="CK135" s="102">
        <f t="array" ref="CK135">IF($BT135=0, INDEX(LS_current!$D$4:$BW$137, MATCH('Staging Table'!$A135, LS_current!$B$4:$B$137, 0), MATCH(CK$4&amp;CK$5, LS_current!$D$2:$BW$2&amp;LS_current!$D$3:$BW$3, 0)),SUM(VLOOKUP($A135, LS_current!$B$4:$BW$137, LS_current!P$147, FALSE), VLOOKUP($A135, LS_current!$B$4:$BW$137,LS_current!BL$147, FALSE))/2)</f>
        <v>-257.19891242272479</v>
      </c>
      <c r="CL135" s="102">
        <f t="array" ref="CL135">IF($BT135=0, INDEX(LS_current!$D$4:$BW$137, MATCH('Staging Table'!$A135, LS_current!$B$4:$B$137, 0), MATCH(CL$4&amp;CL$5, LS_current!$D$2:$BW$2&amp;LS_current!$D$3:$BW$3, 0)),SUM(VLOOKUP($A135, LS_current!$B$4:$BW$137, LS_current!Q$147, FALSE), VLOOKUP($A135, LS_current!$B$4:$BW$137,LS_current!BM$147, FALSE))/2)</f>
        <v>-199.09736452764491</v>
      </c>
      <c r="CM135" s="102">
        <f t="array" ref="CM135">IF($BT135=0, INDEX(LS_current!$D$4:$BW$137, MATCH('Staging Table'!$A135, LS_current!$B$4:$B$137, 0), MATCH(CM$4&amp;CM$5, LS_current!$D$2:$BW$2&amp;LS_current!$D$3:$BW$3, 0)),SUM(VLOOKUP($A135, LS_current!$B$4:$BW$137, LS_current!R$147, FALSE), VLOOKUP($A135, LS_current!$B$4:$BW$137,LS_current!BN$147, FALSE))/2)</f>
        <v>-1265.653408931259</v>
      </c>
      <c r="CN135" s="102">
        <f t="array" ref="CN135">IF($BT135=0, INDEX(LS_current!$D$4:$BW$137, MATCH('Staging Table'!$A135, LS_current!$B$4:$B$137, 0), MATCH(CN$4&amp;CN$5, LS_current!$D$2:$BW$2&amp;LS_current!$D$3:$BW$3, 0)),SUM(VLOOKUP($A135, LS_current!$B$4:$BW$137, LS_current!S$147, FALSE), VLOOKUP($A135, LS_current!$B$4:$BW$137,LS_current!BO$147, FALSE))/2)</f>
        <v>-894.8558318410046</v>
      </c>
      <c r="CO135" s="102">
        <f t="array" ref="CO135">IF($BT135=0, INDEX(LS_current!$D$4:$BW$137, MATCH('Staging Table'!$A135, LS_current!$B$4:$B$137, 0), MATCH(CO$4&amp;CO$5, LS_current!$D$2:$BW$2&amp;LS_current!$D$3:$BW$3, 0)),SUM(VLOOKUP($A135, LS_current!$B$4:$BW$137, LS_current!T$147, FALSE), VLOOKUP($A135, LS_current!$B$4:$BW$137,LS_current!BP$147, FALSE))/2)</f>
        <v>-670.23135672583157</v>
      </c>
      <c r="CP135" s="102">
        <f t="array" ref="CP135">IF($BT135=0, INDEX(LS_current!$D$4:$BW$137, MATCH('Staging Table'!$A135, LS_current!$B$4:$B$137, 0), MATCH(CP$4&amp;CP$5, LS_current!$D$2:$BW$2&amp;LS_current!$D$3:$BW$3, 0)),SUM(VLOOKUP($A135, LS_current!$B$4:$BW$137, LS_current!U$147, FALSE), VLOOKUP($A135, LS_current!$B$4:$BW$137,LS_current!BQ$147, FALSE))/2)</f>
        <v>-444.77429249548186</v>
      </c>
      <c r="CQ135" s="102">
        <f t="array" ref="CQ135">IF($BT135=0, INDEX(LS_current!$D$4:$BW$137, MATCH('Staging Table'!$A135, LS_current!$B$4:$B$137, 0), MATCH(CQ$4&amp;CQ$5, LS_current!$D$2:$BW$2&amp;LS_current!$D$3:$BW$3, 0)),SUM(VLOOKUP($A135, LS_current!$B$4:$BW$137, LS_current!V$147, FALSE), VLOOKUP($A135, LS_current!$B$4:$BW$137,LS_current!BR$147, FALSE))/2)</f>
        <v>1166.0720368762977</v>
      </c>
      <c r="CR135" s="102">
        <f t="array" ref="CR135">IF($BT135=0, INDEX(LS_current!$D$4:$BW$137, MATCH('Staging Table'!$A135, LS_current!$B$4:$B$137, 0), MATCH(CR$4&amp;CR$5, LS_current!$D$2:$BW$2&amp;LS_current!$D$3:$BW$3, 0)),SUM(VLOOKUP($A135, LS_current!$B$4:$BW$137, LS_current!W$147, FALSE), VLOOKUP($A135, LS_current!$B$4:$BW$137,LS_current!BS$147, FALSE))/2)</f>
        <v>908.07038394356914</v>
      </c>
      <c r="CS135" s="102">
        <f t="array" ref="CS135">IF($BT135=0, INDEX(LS_current!$D$4:$BW$137, MATCH('Staging Table'!$A135, LS_current!$B$4:$B$137, 0), MATCH(CS$4&amp;CS$5, LS_current!$D$2:$BW$2&amp;LS_current!$D$3:$BW$3, 0)),SUM(VLOOKUP($A135, LS_current!$B$4:$BW$137, LS_current!X$147, FALSE), VLOOKUP($A135, LS_current!$B$4:$BW$137,LS_current!BT$147, FALSE))/2)</f>
        <v>801.35805003252062</v>
      </c>
      <c r="CT135" s="102">
        <f t="array" ref="CT135">IF($BT135=0, INDEX(LS_current!$D$4:$BW$137, MATCH('Staging Table'!$A135, LS_current!$B$4:$B$137, 0), MATCH(CT$4&amp;CT$5, LS_current!$D$2:$BW$2&amp;LS_current!$D$3:$BW$3, 0)),SUM(VLOOKUP($A135, LS_current!$B$4:$BW$137, LS_current!Y$147, FALSE), VLOOKUP($A135, LS_current!$B$4:$BW$137,LS_current!BU$147, FALSE))/2)</f>
        <v>620.11693641678721</v>
      </c>
      <c r="CU135" s="102">
        <f t="array" ref="CU135">IF($BT135=0, INDEX(LS_current!$D$4:$BW$137, MATCH('Staging Table'!$A135, LS_current!$B$4:$B$137, 0), MATCH(CU$4&amp;CU$5, LS_current!$D$2:$BW$2&amp;LS_current!$D$3:$BW$3, 0)),SUM(VLOOKUP($A135, LS_current!$B$4:$BW$137, LS_current!Z$147, FALSE), VLOOKUP($A135, LS_current!$B$4:$BW$137,LS_current!BV$147, FALSE))/2)</f>
        <v>772.46068933501738</v>
      </c>
      <c r="CV135" s="102">
        <f t="array" ref="CV135">IF($BT135=0, INDEX(LS_current!$D$4:$BW$137, MATCH('Staging Table'!$A135, LS_current!$B$4:$B$137, 0), MATCH(CV$4&amp;CV$5, LS_current!$D$2:$BW$2&amp;LS_current!$D$3:$BW$3, 0)),SUM(VLOOKUP($A135, LS_current!$B$4:$BW$137, LS_current!AA$147, FALSE), VLOOKUP($A135, LS_current!$B$4:$BW$137,LS_current!BW$147, FALSE))/2)</f>
        <v>459.0687904330066</v>
      </c>
      <c r="CW135" s="103">
        <f t="array" ref="CW135">INDEX(Demand_current!$D$4:$BW$137, MATCH($A135, Demand_current!$B$4:$B$137, 0), MATCH(CW$4&amp;CW$5,Demand_current!$D$2:$BW$2&amp;Demand_current!$D$3:$BW$3, 0))/1000</f>
        <v>2.3597083333333329</v>
      </c>
      <c r="CX135" s="103">
        <f t="array" ref="CX135">INDEX(Demand_current!$D$4:$BW$137, MATCH($A135, Demand_current!$B$4:$B$137, 0), MATCH(CX$4&amp;CX$5,Demand_current!$D$2:$BW$2&amp;Demand_current!$D$3:$BW$3, 0))/1000</f>
        <v>7.0130208333343269E-3</v>
      </c>
      <c r="CY135" s="103">
        <f t="array" ref="CY135">INDEX(Demand_current!$D$4:$BW$137, MATCH($A135, Demand_current!$B$4:$B$137, 0), MATCH(CY$4&amp;CY$5,Demand_current!$D$2:$BW$2&amp;Demand_current!$D$3:$BW$3, 0))/1000</f>
        <v>3.6209591346153855</v>
      </c>
      <c r="CZ135" s="103">
        <f t="array" ref="CZ135">INDEX(Demand_current!$D$4:$BW$137, MATCH($A135, Demand_current!$B$4:$B$137, 0), MATCH(CZ$4&amp;CZ$5,Demand_current!$D$2:$BW$2&amp;Demand_current!$D$3:$BW$3, 0))/1000</f>
        <v>2.6651899038461546</v>
      </c>
      <c r="DA135" s="103">
        <f t="array" ref="DA135">INDEX(Demand_current!$D$4:$BW$137, MATCH($A135, Demand_current!$B$4:$B$137, 0), MATCH(DA$4&amp;DA$5,Demand_current!$D$2:$BW$2&amp;Demand_current!$D$3:$BW$3, 0))/1000</f>
        <v>2.1002187499999998</v>
      </c>
      <c r="DB135" s="103">
        <f t="array" ref="DB135">INDEX(Demand_current!$D$4:$BW$137, MATCH($A135, Demand_current!$B$4:$B$137, 0), MATCH(DB$4&amp;DB$5,Demand_current!$D$2:$BW$2&amp;Demand_current!$D$3:$BW$3, 0))/1000</f>
        <v>2.4193557692307692</v>
      </c>
      <c r="DC135" s="103">
        <f t="array" ref="DC135">INDEX(Demand_current!$D$4:$BW$137, MATCH($A135, Demand_current!$B$4:$B$137, 0), MATCH(DC$4&amp;DC$5,Demand_current!$D$2:$BW$2&amp;Demand_current!$D$3:$BW$3, 0))/1000</f>
        <v>2.3716826923076919</v>
      </c>
      <c r="DD135" s="103">
        <f t="array" ref="DD135">INDEX(Demand_current!$D$4:$BW$137, MATCH($A135, Demand_current!$B$4:$B$137, 0), MATCH(DD$4&amp;DD$5,Demand_current!$D$2:$BW$2&amp;Demand_current!$D$3:$BW$3, 0))/1000</f>
        <v>1.6598350000000019</v>
      </c>
      <c r="DE135" s="103">
        <f t="array" ref="DE135">INDEX(Demand_current!$D$4:$BW$137, MATCH($A135, Demand_current!$B$4:$B$137, 0), MATCH(DE$4&amp;DE$5,Demand_current!$D$2:$BW$2&amp;Demand_current!$D$3:$BW$3, 0))/1000</f>
        <v>3.2225384615384618</v>
      </c>
      <c r="DF135" s="103">
        <f t="array" ref="DF135">INDEX(Demand_current!$D$4:$BW$137, MATCH($A135, Demand_current!$B$4:$B$137, 0), MATCH(DF$4&amp;DF$5,Demand_current!$D$2:$BW$2&amp;Demand_current!$D$3:$BW$3, 0))/1000</f>
        <v>4.7410528846153817</v>
      </c>
      <c r="DG135" s="103">
        <f t="array" ref="DG135">INDEX(Demand_current!$D$4:$BW$137, MATCH($A135, Demand_current!$B$4:$B$137, 0), MATCH(DG$4&amp;DG$5,Demand_current!$D$2:$BW$2&amp;Demand_current!$D$3:$BW$3, 0))/1000</f>
        <v>3.1620697115384617</v>
      </c>
      <c r="DH135" s="103">
        <f t="array" ref="DH135">INDEX(Demand_current!$D$4:$BW$137, MATCH($A135, Demand_current!$B$4:$B$137, 0), MATCH(DH$4&amp;DH$5,Demand_current!$D$2:$BW$2&amp;Demand_current!$D$3:$BW$3, 0))/1000</f>
        <v>3.0105774999999975</v>
      </c>
      <c r="DI135" s="102">
        <f>$BS135*(VLOOKUP(DI$4, Rates_current!$H$6:$R$41, 10, FALSE)+VLOOKUP(DI$4, Rates_current!$H$6:$R$41, 11, FALSE))</f>
        <v>7575.5199721188701</v>
      </c>
      <c r="DJ135" s="102">
        <f>$BS135*(VLOOKUP(DJ$4, Rates_current!$H$6:$R$41, 10, FALSE)+VLOOKUP(DJ$4, Rates_current!$H$6:$R$41, 11, FALSE))</f>
        <v>9685.0529582346608</v>
      </c>
      <c r="DK135" s="102">
        <f>$BS135*(VLOOKUP(DK$4, Rates_current!$H$6:$R$41, 10, FALSE)+VLOOKUP(DK$4, Rates_current!$H$6:$R$41, 11, FALSE))</f>
        <v>11011.095185189031</v>
      </c>
      <c r="DL135" s="102">
        <f>$BS135*(VLOOKUP(DL$4, Rates_current!$H$6:$R$41, 10, FALSE)+VLOOKUP(DL$4, Rates_current!$H$6:$R$41, 11, FALSE))</f>
        <v>11617.564934190901</v>
      </c>
      <c r="DM135" s="102">
        <f>$BS135*(VLOOKUP(DM$4, Rates_current!$H$6:$R$41, 10, FALSE)+VLOOKUP(DM$4, Rates_current!$H$6:$R$41, 11, FALSE))</f>
        <v>9258.1507272371564</v>
      </c>
      <c r="DN135" s="102">
        <f>$BS135*(VLOOKUP(DN$4, Rates_current!$H$6:$R$41, 10, FALSE)+VLOOKUP(DN$4, Rates_current!$H$6:$R$41, 11, FALSE))</f>
        <v>10121.05995932784</v>
      </c>
      <c r="DO135" s="102">
        <f>$BS135*(VLOOKUP(DO$4, Rates_current!$H$6:$R$41, 10, FALSE)+VLOOKUP(DO$4, Rates_current!$H$6:$R$41, 11, FALSE))</f>
        <v>7843.9232769503697</v>
      </c>
      <c r="DP135" s="102">
        <f>$BS135*(VLOOKUP(DP$4, Rates_current!$H$6:$R$41, 10, FALSE)+VLOOKUP(DP$4, Rates_current!$H$6:$R$41, 11, FALSE))</f>
        <v>10151.328240772262</v>
      </c>
      <c r="DQ135" s="102">
        <f>$BS135*(VLOOKUP(DQ$4, Rates_current!$H$6:$R$41, 10, FALSE)+VLOOKUP(DQ$4, Rates_current!$H$6:$R$41, 11, FALSE))</f>
        <v>10368.088649221314</v>
      </c>
      <c r="DR135" s="102">
        <f>$BS135*(VLOOKUP(DR$4, Rates_current!$H$6:$R$41, 10, FALSE)+VLOOKUP(DR$4, Rates_current!$H$6:$R$41, 11, FALSE))</f>
        <v>9228.4955791801331</v>
      </c>
      <c r="DS135" s="102">
        <f>$BS135*(VLOOKUP(DS$4, Rates_current!$H$6:$R$41, 10, FALSE)+VLOOKUP(DS$4, Rates_current!$H$6:$R$41, 11, FALSE))</f>
        <v>9466.7440135506931</v>
      </c>
      <c r="DT135" s="102">
        <f>$BS135*(VLOOKUP(DT$4, Rates_current!$H$6:$R$41, 10, FALSE)+VLOOKUP(DT$4, Rates_current!$H$6:$R$41, 11, FALSE))</f>
        <v>7352.0615202319768</v>
      </c>
      <c r="DU135" s="261">
        <f>IF(D135=0,IF(C135=0,MAX(0,DW135 - (VLOOKUP($A135,TOCA_current!$A$2:$AV$136,MATCH("RHWM "&amp;Init!$D$1,TOCA_current!$A$2:$AV$2,0),FALSE)*$BS$2)), 0),0)</f>
        <v>0</v>
      </c>
      <c r="DV135" s="262">
        <f>MIN(VLOOKUP($A135,TOCA_current!$A$2:$AV$136,MATCH("TRL - NLSL - Existing Resource "&amp;$BS$1,TOCA_current!$A$2:$AV$2,0),FALSE)*$BS$2, VLOOKUP($A135,TOCA_current!$A$2:$AV$136,MATCH("RHWM "&amp;Init!$D$1,TOCA_current!$A$2:$AV$2,0),FALSE)*$BS$2)</f>
        <v>113678.52</v>
      </c>
      <c r="DW135" s="262">
        <f>SUM(BY135:CV135)+(BS135*RT1SC!$C$4*$BS$2)</f>
        <v>113676.00871045078</v>
      </c>
      <c r="DX135" s="262">
        <f>VLOOKUP($A135,TOCA_current!$A$2:$AV$136,MATCH("Above RHWM Not Served with LS "&amp;$BS$1,TOCA_current!$A$2:$AV$2,0),FALSE)*$BS$2</f>
        <v>0</v>
      </c>
      <c r="DY135" s="262">
        <f t="shared" ref="DY135:DY139" si="58">DW135-DV135</f>
        <v>-2.5112895492202369</v>
      </c>
      <c r="DZ135" s="262">
        <f>(VLOOKUP($A135,TOCA_current!$A$2:$AV$136,MATCH("RHWM "&amp;Init!$D$1,TOCA_current!$A$2:$AV$2,0),FALSE)*$BS$2) - $DV135</f>
        <v>306.60000000000582</v>
      </c>
      <c r="EA135" s="262">
        <f t="shared" ref="EA135:EA139" si="59">IF(DY135&gt;0,IF(DZ135&gt;0,(-1)*MIN(DY135,DZ135),0),0)</f>
        <v>0</v>
      </c>
      <c r="EB135" s="262">
        <f t="shared" ref="EB135:EB139" si="60">IF(DY135&lt;0,IF(DX135&lt;ABS(DY135),MAX(0,ABS($DY135)-(DX135)),0),0)</f>
        <v>2.5112895492202369</v>
      </c>
      <c r="EC135" s="262">
        <f t="shared" ref="EC135:EC139" si="61">IF(AND(DX135&gt;0,DZ135&gt;0),IF(AND(DY135&lt;=0,ABS(DY135)&lt;DX135),(-1)*MIN(DX135,DX135-ABS(DY135),DZ135),IF(AND(DY135&gt;0,DY135&lt;DZ135),(-1)*MIN(DX135,DZ135-DY135),0)),0)</f>
        <v>0</v>
      </c>
      <c r="ED135" s="262">
        <f t="shared" ref="ED135:ED139" si="62">IF($D135=0,SUM(EA135:EC135),0)</f>
        <v>2.5112895492202369</v>
      </c>
    </row>
    <row r="136" spans="1:134">
      <c r="A136" s="2">
        <v>10706</v>
      </c>
      <c r="B136" s="3" t="s">
        <v>137</v>
      </c>
      <c r="C136">
        <f>VLOOKUP(A136, TOCA_current!$A$3:$D$136, 4, FALSE)</f>
        <v>0</v>
      </c>
      <c r="D136">
        <v>0</v>
      </c>
      <c r="E136" s="84">
        <f>VLOOKUP($A136,TOCA_previous!$A$2:$AJ$136,MATCH(E$4,TOCA_previous!$A$2:$AJ$2,0),FALSE)</f>
        <v>2.4253E-3</v>
      </c>
      <c r="F136" s="85">
        <f>VLOOKUP($A136,TOCA_previous!$A$2:$AJ$136,MATCH(F$4,TOCA_previous!$A$2:$AJ$2,0),FALSE)</f>
        <v>2.4253E-3</v>
      </c>
      <c r="G136" s="85">
        <f t="shared" si="48"/>
        <v>0</v>
      </c>
      <c r="H136" s="85">
        <f>VLOOKUP($A136,TOCA_previous!$A$2:$AJ$136,MATCH(H$4,TOCA_previous!$A$2:$AJ$2,0),FALSE)</f>
        <v>0</v>
      </c>
      <c r="I136" s="85">
        <f t="shared" si="49"/>
        <v>0</v>
      </c>
      <c r="J136" s="85">
        <f t="shared" si="50"/>
        <v>0</v>
      </c>
      <c r="K136" s="101">
        <f>VLOOKUP(A136, IRD!$A$5:$C$138, 3, FALSE)</f>
        <v>0</v>
      </c>
      <c r="L136" s="102">
        <f t="array" ref="L136">IF($G136=0, INDEX(LS_previous!$D$4:$AY$137, MATCH('Staging Table'!$A136, LS_previous!$B$4:$B$137, 0), MATCH(L$4&amp;L$5, LS_previous!$D$2:$AY$2&amp;LS_previous!$D$3:$AY$3, 0)),SUM(VLOOKUP($A136, LS_previous!$B$4:$AY$137, LS_previous!D$148, FALSE), VLOOKUP('Staging Table'!$A136, LS_previous!$B$4:$AY$137,LS_previous!AB$148, FALSE))/2)</f>
        <v>871.06847948919949</v>
      </c>
      <c r="M136" s="102">
        <f t="array" ref="M136">IF($G136=0, INDEX(LS_previous!$D$4:$AY$137, MATCH('Staging Table'!$A136, LS_previous!$B$4:$B$137, 0), MATCH(M$4&amp;M$5, LS_previous!$D$2:$AY$2&amp;LS_previous!$D$3:$AY$3, 0)),SUM(VLOOKUP($A136, LS_previous!$B$4:$AY$137, LS_previous!E$148, FALSE), VLOOKUP('Staging Table'!$A136, LS_previous!$B$4:$AY$137,LS_previous!AC$148, FALSE))/2)</f>
        <v>1079.8897577448502</v>
      </c>
      <c r="N136" s="102">
        <f t="array" ref="N136">IF($G136=0, INDEX(LS_previous!$D$4:$AY$137, MATCH('Staging Table'!$A136, LS_previous!$B$4:$B$137, 0), MATCH(N$4&amp;N$5, LS_previous!$D$2:$AY$2&amp;LS_previous!$D$3:$AY$3, 0)),SUM(VLOOKUP($A136, LS_previous!$B$4:$AY$137, LS_previous!F$148, FALSE), VLOOKUP('Staging Table'!$A136, LS_previous!$B$4:$AY$137,LS_previous!AD$148, FALSE))/2)</f>
        <v>-1365.9771165984002</v>
      </c>
      <c r="O136" s="102">
        <f t="array" ref="O136">IF($G136=0, INDEX(LS_previous!$D$4:$AY$137, MATCH('Staging Table'!$A136, LS_previous!$B$4:$B$137, 0), MATCH(O$4&amp;O$5, LS_previous!$D$2:$AY$2&amp;LS_previous!$D$3:$AY$3, 0)),SUM(VLOOKUP($A136, LS_previous!$B$4:$AY$137, LS_previous!G$148, FALSE), VLOOKUP('Staging Table'!$A136, LS_previous!$B$4:$AY$137,LS_previous!AE$148, FALSE))/2)</f>
        <v>54.799556235699129</v>
      </c>
      <c r="P136" s="102">
        <f t="array" ref="P136">IF($G136=0, INDEX(LS_previous!$D$4:$AY$137, MATCH('Staging Table'!$A136, LS_previous!$B$4:$B$137, 0), MATCH(P$4&amp;P$5, LS_previous!$D$2:$AY$2&amp;LS_previous!$D$3:$AY$3, 0)),SUM(VLOOKUP($A136, LS_previous!$B$4:$AY$137, LS_previous!H$148, FALSE), VLOOKUP('Staging Table'!$A136, LS_previous!$B$4:$AY$137,LS_previous!AF$148, FALSE))/2)</f>
        <v>-1844.1180627967005</v>
      </c>
      <c r="Q136" s="102">
        <f t="array" ref="Q136">IF($G136=0, INDEX(LS_previous!$D$4:$AY$137, MATCH('Staging Table'!$A136, LS_previous!$B$4:$B$137, 0), MATCH(Q$4&amp;Q$5, LS_previous!$D$2:$AY$2&amp;LS_previous!$D$3:$AY$3, 0)),SUM(VLOOKUP($A136, LS_previous!$B$4:$AY$137, LS_previous!I$148, FALSE), VLOOKUP('Staging Table'!$A136, LS_previous!$B$4:$AY$137,LS_previous!AG$148, FALSE))/2)</f>
        <v>-307.47051090879995</v>
      </c>
      <c r="R136" s="102">
        <f t="array" ref="R136">IF($G136=0, INDEX(LS_previous!$D$4:$AY$137, MATCH('Staging Table'!$A136, LS_previous!$B$4:$B$137, 0), MATCH(R$4&amp;R$5, LS_previous!$D$2:$AY$2&amp;LS_previous!$D$3:$AY$3, 0)),SUM(VLOOKUP($A136, LS_previous!$B$4:$AY$137, LS_previous!J$148, FALSE), VLOOKUP('Staging Table'!$A136, LS_previous!$B$4:$AY$137,LS_previous!AH$148, FALSE))/2)</f>
        <v>-2367.3941163894997</v>
      </c>
      <c r="S136" s="102">
        <f t="array" ref="S136">IF($G136=0, INDEX(LS_previous!$D$4:$AY$137, MATCH('Staging Table'!$A136, LS_previous!$B$4:$B$137, 0), MATCH(S$4&amp;S$5, LS_previous!$D$2:$AY$2&amp;LS_previous!$D$3:$AY$3, 0)),SUM(VLOOKUP($A136, LS_previous!$B$4:$AY$137, LS_previous!K$148, FALSE), VLOOKUP('Staging Table'!$A136, LS_previous!$B$4:$AY$137,LS_previous!AI$148, FALSE))/2)</f>
        <v>-264.04316173369989</v>
      </c>
      <c r="T136" s="102">
        <f t="array" ref="T136">IF($G136=0, INDEX(LS_previous!$D$4:$AY$137, MATCH('Staging Table'!$A136, LS_previous!$B$4:$B$137, 0), MATCH(T$4&amp;T$5, LS_previous!$D$2:$AY$2&amp;LS_previous!$D$3:$AY$3, 0)),SUM(VLOOKUP($A136, LS_previous!$B$4:$AY$137, LS_previous!L$148, FALSE), VLOOKUP('Staging Table'!$A136, LS_previous!$B$4:$AY$137,LS_previous!AJ$148, FALSE))/2)</f>
        <v>-1816.9860053387001</v>
      </c>
      <c r="U136" s="102">
        <f t="array" ref="U136">IF($G136=0, INDEX(LS_previous!$D$4:$AY$137, MATCH('Staging Table'!$A136, LS_previous!$B$4:$B$137, 0), MATCH(U$4&amp;U$5, LS_previous!$D$2:$AY$2&amp;LS_previous!$D$3:$AY$3, 0)),SUM(VLOOKUP($A136, LS_previous!$B$4:$AY$137, LS_previous!M$148, FALSE), VLOOKUP('Staging Table'!$A136, LS_previous!$B$4:$AY$137,LS_previous!AK$148, FALSE))/2)</f>
        <v>-46.077221162699971</v>
      </c>
      <c r="V136" s="102">
        <f t="array" ref="V136">IF($G136=0, INDEX(LS_previous!$D$4:$AY$137, MATCH('Staging Table'!$A136, LS_previous!$B$4:$B$137, 0), MATCH(V$4&amp;V$5, LS_previous!$D$2:$AY$2&amp;LS_previous!$D$3:$AY$3, 0)),SUM(VLOOKUP($A136, LS_previous!$B$4:$AY$137, LS_previous!N$148, FALSE), VLOOKUP('Staging Table'!$A136, LS_previous!$B$4:$AY$137,LS_previous!AL$148, FALSE))/2)</f>
        <v>-1356.181824758899</v>
      </c>
      <c r="W136" s="102">
        <f t="array" ref="W136">IF($G136=0, INDEX(LS_previous!$D$4:$AY$137, MATCH('Staging Table'!$A136, LS_previous!$B$4:$B$137, 0), MATCH(W$4&amp;W$5, LS_previous!$D$2:$AY$2&amp;LS_previous!$D$3:$AY$3, 0)),SUM(VLOOKUP($A136, LS_previous!$B$4:$AY$137, LS_previous!O$148, FALSE), VLOOKUP('Staging Table'!$A136, LS_previous!$B$4:$AY$137,LS_previous!AM$148, FALSE))/2)</f>
        <v>-317.36273818340032</v>
      </c>
      <c r="X136" s="102">
        <f t="array" ref="X136">IF($G136=0, INDEX(LS_previous!$D$4:$AY$137, MATCH('Staging Table'!$A136, LS_previous!$B$4:$B$137, 0), MATCH(X$4&amp;X$5, LS_previous!$D$2:$AY$2&amp;LS_previous!$D$3:$AY$3, 0)),SUM(VLOOKUP($A136, LS_previous!$B$4:$AY$137, LS_previous!P$148, FALSE), VLOOKUP('Staging Table'!$A136, LS_previous!$B$4:$AY$137,LS_previous!AN$148, FALSE))/2)</f>
        <v>198.33041722925009</v>
      </c>
      <c r="Y136" s="102">
        <f t="array" ref="Y136">IF($G136=0, INDEX(LS_previous!$D$4:$AY$137, MATCH('Staging Table'!$A136, LS_previous!$B$4:$B$137, 0), MATCH(Y$4&amp;Y$5, LS_previous!$D$2:$AY$2&amp;LS_previous!$D$3:$AY$3, 0)),SUM(VLOOKUP($A136, LS_previous!$B$4:$AY$137, LS_previous!Q$148, FALSE), VLOOKUP('Staging Table'!$A136, LS_previous!$B$4:$AY$137,LS_previous!AO$148, FALSE))/2)</f>
        <v>682.56129121772574</v>
      </c>
      <c r="Z136" s="102">
        <f t="array" ref="Z136">IF($G136=0, INDEX(LS_previous!$D$4:$AY$137, MATCH('Staging Table'!$A136, LS_previous!$B$4:$B$137, 0), MATCH(Z$4&amp;Z$5, LS_previous!$D$2:$AY$2&amp;LS_previous!$D$3:$AY$3, 0)),SUM(VLOOKUP($A136, LS_previous!$B$4:$AY$137, LS_previous!R$148, FALSE), VLOOKUP('Staging Table'!$A136, LS_previous!$B$4:$AY$137,LS_previous!AP$148, FALSE))/2)</f>
        <v>-1355.4584014544007</v>
      </c>
      <c r="AA136" s="102">
        <f t="array" ref="AA136">IF($G136=0, INDEX(LS_previous!$D$4:$AY$137, MATCH('Staging Table'!$A136, LS_previous!$B$4:$B$137, 0), MATCH(AA$4&amp;AA$5, LS_previous!$D$2:$AY$2&amp;LS_previous!$D$3:$AY$3, 0)),SUM(VLOOKUP($A136, LS_previous!$B$4:$AY$137, LS_previous!S$148, FALSE), VLOOKUP('Staging Table'!$A136, LS_previous!$B$4:$AY$137,LS_previous!AQ$148, FALSE))/2)</f>
        <v>170.58516988995052</v>
      </c>
      <c r="AB136" s="102">
        <f t="array" ref="AB136">IF($G136=0, INDEX(LS_previous!$D$4:$AY$137, MATCH('Staging Table'!$A136, LS_previous!$B$4:$B$137, 0), MATCH(AB$4&amp;AB$5, LS_previous!$D$2:$AY$2&amp;LS_previous!$D$3:$AY$3, 0)),SUM(VLOOKUP($A136, LS_previous!$B$4:$AY$137, LS_previous!T$148, FALSE), VLOOKUP('Staging Table'!$A136, LS_previous!$B$4:$AY$137,LS_previous!AR$148, FALSE))/2)</f>
        <v>-1462.255222927799</v>
      </c>
      <c r="AC136" s="102">
        <f t="array" ref="AC136">IF($G136=0, INDEX(LS_previous!$D$4:$AY$137, MATCH('Staging Table'!$A136, LS_previous!$B$4:$B$137, 0), MATCH(AC$4&amp;AC$5, LS_previous!$D$2:$AY$2&amp;LS_previous!$D$3:$AY$3, 0)),SUM(VLOOKUP($A136, LS_previous!$B$4:$AY$137, LS_previous!U$148, FALSE), VLOOKUP('Staging Table'!$A136, LS_previous!$B$4:$AY$137,LS_previous!AS$148, FALSE))/2)</f>
        <v>33.208210321149636</v>
      </c>
      <c r="AD136" s="102">
        <f t="array" ref="AD136">IF($G136=0, INDEX(LS_previous!$D$4:$AY$137, MATCH('Staging Table'!$A136, LS_previous!$B$4:$B$137, 0), MATCH(AD$4&amp;AD$5, LS_previous!$D$2:$AY$2&amp;LS_previous!$D$3:$AY$3, 0)),SUM(VLOOKUP($A136, LS_previous!$B$4:$AY$137, LS_previous!V$148, FALSE), VLOOKUP('Staging Table'!$A136, LS_previous!$B$4:$AY$137,LS_previous!AT$148, FALSE))/2)</f>
        <v>282.19286277080028</v>
      </c>
      <c r="AE136" s="102">
        <f t="array" ref="AE136">IF($G136=0, INDEX(LS_previous!$D$4:$AY$137, MATCH('Staging Table'!$A136, LS_previous!$B$4:$B$137, 0), MATCH(AE$4&amp;AE$5, LS_previous!$D$2:$AY$2&amp;LS_previous!$D$3:$AY$3, 0)),SUM(VLOOKUP($A136, LS_previous!$B$4:$AY$137, LS_previous!W$148, FALSE), VLOOKUP('Staging Table'!$A136, LS_previous!$B$4:$AY$137,LS_previous!AU$148, FALSE))/2)</f>
        <v>1587.9492115242501</v>
      </c>
      <c r="AF136" s="102">
        <f t="array" ref="AF136">IF($G136=0, INDEX(LS_previous!$D$4:$AY$137, MATCH('Staging Table'!$A136, LS_previous!$B$4:$B$137, 0), MATCH(AF$4&amp;AF$5, LS_previous!$D$2:$AY$2&amp;LS_previous!$D$3:$AY$3, 0)),SUM(VLOOKUP($A136, LS_previous!$B$4:$AY$137, LS_previous!X$148, FALSE), VLOOKUP('Staging Table'!$A136, LS_previous!$B$4:$AY$137,LS_previous!AV$148, FALSE))/2)</f>
        <v>865.81184706104978</v>
      </c>
      <c r="AG136" s="102">
        <f t="array" ref="AG136">IF($G136=0, INDEX(LS_previous!$D$4:$AY$137, MATCH('Staging Table'!$A136, LS_previous!$B$4:$B$137, 0), MATCH(AG$4&amp;AG$5, LS_previous!$D$2:$AY$2&amp;LS_previous!$D$3:$AY$3, 0)),SUM(VLOOKUP($A136, LS_previous!$B$4:$AY$137, LS_previous!Y$148, FALSE), VLOOKUP('Staging Table'!$A136, LS_previous!$B$4:$AY$137,LS_previous!AW$148, FALSE))/2)</f>
        <v>1684.8742349397953</v>
      </c>
      <c r="AH136" s="102">
        <f t="array" ref="AH136">IF($G136=0, INDEX(LS_previous!$D$4:$AY$137, MATCH('Staging Table'!$A136, LS_previous!$B$4:$B$137, 0), MATCH(AH$4&amp;AH$5, LS_previous!$D$2:$AY$2&amp;LS_previous!$D$3:$AY$3, 0)),SUM(VLOOKUP($A136, LS_previous!$B$4:$AY$137, LS_previous!Z$148, FALSE), VLOOKUP('Staging Table'!$A136, LS_previous!$B$4:$AY$137,LS_previous!AX$148, FALSE))/2)</f>
        <v>672.32920406779976</v>
      </c>
      <c r="AI136" s="102">
        <f t="array" ref="AI136">IF($G136=0, INDEX(LS_previous!$D$4:$AY$137, MATCH('Staging Table'!$A136, LS_previous!$B$4:$B$137, 0), MATCH(AI$4&amp;AI$5, LS_previous!$D$2:$AY$2&amp;LS_previous!$D$3:$AY$3, 0)),SUM(VLOOKUP($A136, LS_previous!$B$4:$AY$137, LS_previous!AA$148, FALSE), VLOOKUP('Staging Table'!$A136, LS_previous!$B$4:$AY$137,LS_previous!AY$148, FALSE))/2)</f>
        <v>1293.2849120688006</v>
      </c>
      <c r="AJ136" s="103">
        <f t="array" ref="AJ136">INDEX(Demand_previous!$D$4:$AY$137, MATCH('Staging Table'!$A136, Demand_previous!$B$4:$B$137, 0), MATCH(AJ$4&amp;AJ$5,Demand_previous!$D$2:$AY$2&amp;Demand_previous!$D$3:$AY$3, 0))/1000</f>
        <v>0.63621394230769113</v>
      </c>
      <c r="AK136" s="103">
        <f t="array" ref="AK136">INDEX(Demand_previous!$D$4:$AY$137, MATCH('Staging Table'!$A136, Demand_previous!$B$4:$B$137, 0), MATCH(AK$4&amp;AK$5,Demand_previous!$D$2:$AY$2&amp;Demand_previous!$D$3:$AY$3, 0))/1000</f>
        <v>1.1175399999999982</v>
      </c>
      <c r="AL136" s="103">
        <f t="array" ref="AL136">INDEX(Demand_previous!$D$4:$AY$137, MATCH('Staging Table'!$A136, Demand_previous!$B$4:$B$137, 0), MATCH(AL$4&amp;AL$5,Demand_previous!$D$2:$AY$2&amp;Demand_previous!$D$3:$AY$3, 0))/1000</f>
        <v>1.1337100000000007</v>
      </c>
      <c r="AM136" s="103">
        <f t="array" ref="AM136">INDEX(Demand_previous!$D$4:$AY$137, MATCH('Staging Table'!$A136, Demand_previous!$B$4:$B$137, 0), MATCH(AM$4&amp;AM$5,Demand_previous!$D$2:$AY$2&amp;Demand_previous!$D$3:$AY$3, 0))/1000</f>
        <v>1.8125889423076913</v>
      </c>
      <c r="AN136" s="103">
        <f t="array" ref="AN136">INDEX(Demand_previous!$D$4:$AY$137, MATCH('Staging Table'!$A136, Demand_previous!$B$4:$B$137, 0), MATCH(AN$4&amp;AN$5,Demand_previous!$D$2:$AY$2&amp;Demand_previous!$D$3:$AY$3, 0))/1000</f>
        <v>2.0827650000000002</v>
      </c>
      <c r="AO136" s="103">
        <f t="array" ref="AO136">INDEX(Demand_previous!$D$4:$AY$137, MATCH('Staging Table'!$A136, Demand_previous!$B$4:$B$137, 0), MATCH(AO$4&amp;AO$5,Demand_previous!$D$2:$AY$2&amp;Demand_previous!$D$3:$AY$3, 0))/1000</f>
        <v>0.83985817307692301</v>
      </c>
      <c r="AP136" s="103">
        <f t="array" ref="AP136">INDEX(Demand_previous!$D$4:$AY$137, MATCH('Staging Table'!$A136, Demand_previous!$B$4:$B$137, 0), MATCH(AP$4&amp;AP$5,Demand_previous!$D$2:$AY$2&amp;Demand_previous!$D$3:$AY$3, 0))/1000</f>
        <v>1.1254759615384637</v>
      </c>
      <c r="AQ136" s="103">
        <f t="array" ref="AQ136">INDEX(Demand_previous!$D$4:$AY$137, MATCH('Staging Table'!$A136, Demand_previous!$B$4:$B$137, 0), MATCH(AQ$4&amp;AQ$5,Demand_previous!$D$2:$AY$2&amp;Demand_previous!$D$3:$AY$3, 0))/1000</f>
        <v>1.0754591346153841</v>
      </c>
      <c r="AR136" s="103">
        <f t="array" ref="AR136">INDEX(Demand_previous!$D$4:$AY$137, MATCH('Staging Table'!$A136, Demand_previous!$B$4:$B$137, 0), MATCH(AR$4&amp;AR$5,Demand_previous!$D$2:$AY$2&amp;Demand_previous!$D$3:$AY$3, 0))/1000</f>
        <v>2.1364199999999984</v>
      </c>
      <c r="AS136" s="103">
        <f t="array" ref="AS136">INDEX(Demand_previous!$D$4:$AY$137, MATCH('Staging Table'!$A136, Demand_previous!$B$4:$B$137, 0), MATCH(AS$4&amp;AS$5,Demand_previous!$D$2:$AY$2&amp;Demand_previous!$D$3:$AY$3, 0))/1000</f>
        <v>3.2377091346153861</v>
      </c>
      <c r="AT136" s="103">
        <f t="array" ref="AT136">INDEX(Demand_previous!$D$4:$AY$137, MATCH('Staging Table'!$A136, Demand_previous!$B$4:$B$137, 0), MATCH(AT$4&amp;AT$5,Demand_previous!$D$2:$AY$2&amp;Demand_previous!$D$3:$AY$3, 0))/1000</f>
        <v>4.0047615740740721</v>
      </c>
      <c r="AU136" s="103">
        <f t="array" ref="AU136">INDEX(Demand_previous!$D$4:$AY$137, MATCH('Staging Table'!$A136, Demand_previous!$B$4:$B$137, 0), MATCH(AU$4&amp;AU$5,Demand_previous!$D$2:$AY$2&amp;Demand_previous!$D$3:$AY$3, 0))/1000</f>
        <v>1.9364921875000027</v>
      </c>
      <c r="AV136" s="102">
        <f>$F136*(VLOOKUP(AV$4, Rates_previous!$G$6:$Q$29, 10, FALSE)+VLOOKUP(AV$4, Rates_previous!$G$6:$Q$29, 11, FALSE))</f>
        <v>10231.86476276595</v>
      </c>
      <c r="AW136" s="102">
        <f>$F136*(VLOOKUP(AW$4, Rates_previous!$G$6:$Q$29, 10, FALSE)+VLOOKUP(AW$4, Rates_previous!$G$6:$Q$29, 11, FALSE))</f>
        <v>13049.001560362702</v>
      </c>
      <c r="AX136" s="102">
        <f>$F136*(VLOOKUP(AX$4, Rates_previous!$G$6:$Q$29, 10, FALSE)+VLOOKUP(AX$4, Rates_previous!$G$6:$Q$29, 11, FALSE))</f>
        <v>14082.454573705501</v>
      </c>
      <c r="AY136" s="102">
        <f>$F136*(VLOOKUP(AY$4, Rates_previous!$G$6:$Q$29, 10, FALSE)+VLOOKUP(AY$4, Rates_previous!$G$6:$Q$29, 11, FALSE))</f>
        <v>14633.847278123199</v>
      </c>
      <c r="AZ136" s="102">
        <f>$F136*(VLOOKUP(AZ$4, Rates_previous!$G$6:$Q$29, 10, FALSE)+VLOOKUP(AZ$4, Rates_previous!$G$6:$Q$29, 11, FALSE))</f>
        <v>12587.059226501398</v>
      </c>
      <c r="BA136" s="102">
        <f>$F136*(VLOOKUP(BA$4, Rates_previous!$G$6:$Q$29, 10, FALSE)+VLOOKUP(BA$4, Rates_previous!$G$6:$Q$29, 11, FALSE))</f>
        <v>13742.5765629423</v>
      </c>
      <c r="BB136" s="102">
        <f>$F136*(VLOOKUP(BB$4, Rates_previous!$G$6:$Q$29, 10, FALSE)+VLOOKUP(BB$4, Rates_previous!$G$6:$Q$29, 11, FALSE))</f>
        <v>10847.448291553024</v>
      </c>
      <c r="BC136" s="102">
        <f>$F136*(VLOOKUP(BC$4, Rates_previous!$G$6:$Q$29, 10, FALSE)+VLOOKUP(BC$4, Rates_previous!$G$6:$Q$29, 11, FALSE))</f>
        <v>13457.71323156445</v>
      </c>
      <c r="BD136" s="102">
        <f>$F136*(VLOOKUP(BD$4, Rates_previous!$G$6:$Q$29, 10, FALSE)+VLOOKUP(BD$4, Rates_previous!$G$6:$Q$29, 11, FALSE))</f>
        <v>13749.712012606649</v>
      </c>
      <c r="BE136" s="102">
        <f>$F136*(VLOOKUP(BE$4, Rates_previous!$G$6:$Q$29, 10, FALSE)+VLOOKUP(BE$4, Rates_previous!$G$6:$Q$29, 11, FALSE))</f>
        <v>11936.730925704949</v>
      </c>
      <c r="BF136" s="102">
        <f>$F136*(VLOOKUP(BF$4, Rates_previous!$G$6:$Q$29, 10, FALSE)+VLOOKUP(BF$4, Rates_previous!$G$6:$Q$29, 11, FALSE))</f>
        <v>11539.645917999156</v>
      </c>
      <c r="BG136" s="102">
        <f>$F136*(VLOOKUP(BG$4, Rates_previous!$G$6:$Q$29, 10, FALSE)+VLOOKUP(BG$4, Rates_previous!$G$6:$Q$29, 11, FALSE))</f>
        <v>10618.708883863401</v>
      </c>
      <c r="BH136" s="103">
        <f>IF($D136=0,IF(C136=0, MAX(BJ136 - (VLOOKUP($A136,TOCA_previous!$A$2:$AJ$136,MATCH("RHWM "&amp;Init!$D$1-2,TOCA_previous!$A$2:$AJ$2,0),FALSE)*$F$2*TOCA_previous!C133),0),0), 0)</f>
        <v>0</v>
      </c>
      <c r="BI136" s="109">
        <f>MIN(VLOOKUP($A136,TOCA_previous!$A$2:$AJ$136,MATCH("TRL - NLSL - Existing Resource "&amp;$F$1,TOCA_previous!$A$2:$AJ$2,0),FALSE)*$F$2,(VLOOKUP($A136,TOCA_previous!$A$2:$AJ$136,MATCH("RHWM "&amp;Init!$D$1-2,TOCA_previous!$A$2:$AJ$2,0),FALSE)*$F$2))</f>
        <v>147158.35200000001</v>
      </c>
      <c r="BJ136" s="261">
        <f>SUM(L136:AI136)+(F136*RT1SC!$C$3*$F$2)</f>
        <v>147450.32468975533</v>
      </c>
      <c r="BK136" s="260">
        <f>VLOOKUP($A136,TOCA_previous!$A$2:$AJ$136,MATCH("Above RHWM Not Served with LS "&amp;$F$1,TOCA_previous!$A$2:$AJ$2,0),FALSE)*$F$2</f>
        <v>0</v>
      </c>
      <c r="BL136" s="261">
        <f t="shared" si="51"/>
        <v>291.97268975531915</v>
      </c>
      <c r="BM136" s="260">
        <f>(VLOOKUP($A136,TOCA_previous!$A$2:$AJ$136,MATCH("RHWM "&amp;Init!$D$1-2,TOCA_previous!$A$2:$AJ$2,0),FALSE)*$F$2) - $BI136</f>
        <v>4611.5999999999767</v>
      </c>
      <c r="BN136" s="261">
        <f t="shared" si="52"/>
        <v>-291.97268975531915</v>
      </c>
      <c r="BO136" s="260">
        <f t="shared" si="53"/>
        <v>0</v>
      </c>
      <c r="BP136" s="261">
        <f t="shared" si="54"/>
        <v>0</v>
      </c>
      <c r="BQ136" s="260">
        <f t="shared" si="9"/>
        <v>-291.97268975531915</v>
      </c>
      <c r="BR136" s="85">
        <f>VLOOKUP($A136,TOCA_current!$A$2:$ZZ$136,MATCH(BR$4,TOCA_current!$A$2:$ZZ$2,0),FALSE)</f>
        <v>2.3674999999999998E-3</v>
      </c>
      <c r="BS136" s="85">
        <f>VLOOKUP($A136,TOCA_current!$A$2:$ZZ$136,MATCH(BS$4,TOCA_current!$A$2:$ZZ$2,0),FALSE)</f>
        <v>2.3674999999999998E-3</v>
      </c>
      <c r="BT136" s="108">
        <f t="shared" si="55"/>
        <v>0</v>
      </c>
      <c r="BU136" s="85">
        <f>VLOOKUP($A136,TOCA_current!A133:BG267,MATCH(BU$4,TOCA_current!$A$2:$BG$2,0),FALSE)</f>
        <v>0</v>
      </c>
      <c r="BV136" s="85">
        <f t="shared" si="56"/>
        <v>0</v>
      </c>
      <c r="BW136" s="85">
        <f t="shared" si="57"/>
        <v>0</v>
      </c>
      <c r="BX136" s="101">
        <f>VLOOKUP($A136,IRD!$A$4:$G$138, 7, FALSE)</f>
        <v>0</v>
      </c>
      <c r="BY136" s="102">
        <f t="array" ref="BY136">IF($BT136=0, INDEX(LS_current!$D$4:$BW$137, MATCH('Staging Table'!$A136, LS_current!$B$4:$B$137, 0), MATCH(BY$4&amp;BY$5, LS_current!$D$2:$BW$2&amp;LS_current!$D$3:$BW$3, 0)),SUM(VLOOKUP($A136, LS_current!$B$4:$BW$137, LS_current!D$147, FALSE), VLOOKUP($A136, LS_current!$B$4:$BW$137,LS_current!AZ$147, FALSE))/2)</f>
        <v>939.05483010204625</v>
      </c>
      <c r="BZ136" s="102">
        <f t="array" ref="BZ136">IF($BT136=0, INDEX(LS_current!$D$4:$BW$137, MATCH('Staging Table'!$A136, LS_current!$B$4:$B$137, 0), MATCH(BZ$4&amp;BZ$5, LS_current!$D$2:$BW$2&amp;LS_current!$D$3:$BW$3, 0)),SUM(VLOOKUP($A136, LS_current!$B$4:$BW$137, LS_current!E$147, FALSE), VLOOKUP($A136, LS_current!$B$4:$BW$137,LS_current!BA$147, FALSE))/2)</f>
        <v>1417.9622563541952</v>
      </c>
      <c r="CA136" s="102">
        <f t="array" ref="CA136">IF($BT136=0, INDEX(LS_current!$D$4:$BW$137, MATCH('Staging Table'!$A136, LS_current!$B$4:$B$137, 0), MATCH(CA$4&amp;CA$5, LS_current!$D$2:$BW$2&amp;LS_current!$D$3:$BW$3, 0)),SUM(VLOOKUP($A136, LS_current!$B$4:$BW$137, LS_current!F$147, FALSE), VLOOKUP($A136, LS_current!$B$4:$BW$137,LS_current!BB$147, FALSE))/2)</f>
        <v>-1037.8721178061714</v>
      </c>
      <c r="CB136" s="102">
        <f t="array" ref="CB136">IF($BT136=0, INDEX(LS_current!$D$4:$BW$137, MATCH('Staging Table'!$A136, LS_current!$B$4:$B$137, 0), MATCH(CB$4&amp;CB$5, LS_current!$D$2:$BW$2&amp;LS_current!$D$3:$BW$3, 0)),SUM(VLOOKUP($A136, LS_current!$B$4:$BW$137, LS_current!G$147, FALSE), VLOOKUP($A136, LS_current!$B$4:$BW$137,LS_current!BC$147, FALSE))/2)</f>
        <v>213.72664505070315</v>
      </c>
      <c r="CC136" s="102">
        <f t="array" ref="CC136">IF($BT136=0, INDEX(LS_current!$D$4:$BW$137, MATCH('Staging Table'!$A136, LS_current!$B$4:$B$137, 0), MATCH(CC$4&amp;CC$5, LS_current!$D$2:$BW$2&amp;LS_current!$D$3:$BW$3, 0)),SUM(VLOOKUP($A136, LS_current!$B$4:$BW$137, LS_current!H$147, FALSE), VLOOKUP($A136, LS_current!$B$4:$BW$137,LS_current!BD$147, FALSE))/2)</f>
        <v>-2460.7662621055224</v>
      </c>
      <c r="CD136" s="102">
        <f t="array" ref="CD136">IF($BT136=0, INDEX(LS_current!$D$4:$BW$137, MATCH('Staging Table'!$A136, LS_current!$B$4:$B$137, 0), MATCH(CD$4&amp;CD$5, LS_current!$D$2:$BW$2&amp;LS_current!$D$3:$BW$3, 0)),SUM(VLOOKUP($A136, LS_current!$B$4:$BW$137, LS_current!I$147, FALSE), VLOOKUP($A136, LS_current!$B$4:$BW$137,LS_current!BE$147, FALSE))/2)</f>
        <v>109.72361643903787</v>
      </c>
      <c r="CE136" s="102">
        <f t="array" ref="CE136">IF($BT136=0, INDEX(LS_current!$D$4:$BW$137, MATCH('Staging Table'!$A136, LS_current!$B$4:$B$137, 0), MATCH(CE$4&amp;CE$5, LS_current!$D$2:$BW$2&amp;LS_current!$D$3:$BW$3, 0)),SUM(VLOOKUP($A136, LS_current!$B$4:$BW$137, LS_current!J$147, FALSE), VLOOKUP($A136, LS_current!$B$4:$BW$137,LS_current!BF$147, FALSE))/2)</f>
        <v>-2805.037441451841</v>
      </c>
      <c r="CF136" s="102">
        <f t="array" ref="CF136">IF($BT136=0, INDEX(LS_current!$D$4:$BW$137, MATCH('Staging Table'!$A136, LS_current!$B$4:$B$137, 0), MATCH(CF$4&amp;CF$5, LS_current!$D$2:$BW$2&amp;LS_current!$D$3:$BW$3, 0)),SUM(VLOOKUP($A136, LS_current!$B$4:$BW$137, LS_current!K$147, FALSE), VLOOKUP($A136, LS_current!$B$4:$BW$137,LS_current!BG$147, FALSE))/2)</f>
        <v>-261.08100959563308</v>
      </c>
      <c r="CG136" s="102">
        <f t="array" ref="CG136">IF($BT136=0, INDEX(LS_current!$D$4:$BW$137, MATCH('Staging Table'!$A136, LS_current!$B$4:$B$137, 0), MATCH(CG$4&amp;CG$5, LS_current!$D$2:$BW$2&amp;LS_current!$D$3:$BW$3, 0)),SUM(VLOOKUP($A136, LS_current!$B$4:$BW$137, LS_current!L$147, FALSE), VLOOKUP($A136, LS_current!$B$4:$BW$137,LS_current!BH$147, FALSE))/2)</f>
        <v>-1454.9457368083495</v>
      </c>
      <c r="CH136" s="102">
        <f t="array" ref="CH136">IF($BT136=0, INDEX(LS_current!$D$4:$BW$137, MATCH('Staging Table'!$A136, LS_current!$B$4:$B$137, 0), MATCH(CH$4&amp;CH$5, LS_current!$D$2:$BW$2&amp;LS_current!$D$3:$BW$3, 0)),SUM(VLOOKUP($A136, LS_current!$B$4:$BW$137, LS_current!M$147, FALSE), VLOOKUP($A136, LS_current!$B$4:$BW$137,LS_current!BI$147, FALSE))/2)</f>
        <v>170.68454799885694</v>
      </c>
      <c r="CI136" s="102">
        <f t="array" ref="CI136">IF($BT136=0, INDEX(LS_current!$D$4:$BW$137, MATCH('Staging Table'!$A136, LS_current!$B$4:$B$137, 0), MATCH(CI$4&amp;CI$5, LS_current!$D$2:$BW$2&amp;LS_current!$D$3:$BW$3, 0)),SUM(VLOOKUP($A136, LS_current!$B$4:$BW$137, LS_current!N$147, FALSE), VLOOKUP($A136, LS_current!$B$4:$BW$137,LS_current!BJ$147, FALSE))/2)</f>
        <v>-1526.7958699350283</v>
      </c>
      <c r="CJ136" s="102">
        <f t="array" ref="CJ136">IF($BT136=0, INDEX(LS_current!$D$4:$BW$137, MATCH('Staging Table'!$A136, LS_current!$B$4:$B$137, 0), MATCH(CJ$4&amp;CJ$5, LS_current!$D$2:$BW$2&amp;LS_current!$D$3:$BW$3, 0)),SUM(VLOOKUP($A136, LS_current!$B$4:$BW$137, LS_current!O$147, FALSE), VLOOKUP($A136, LS_current!$B$4:$BW$137,LS_current!BK$147, FALSE))/2)</f>
        <v>468.33679794211548</v>
      </c>
      <c r="CK136" s="102">
        <f t="array" ref="CK136">IF($BT136=0, INDEX(LS_current!$D$4:$BW$137, MATCH('Staging Table'!$A136, LS_current!$B$4:$B$137, 0), MATCH(CK$4&amp;CK$5, LS_current!$D$2:$BW$2&amp;LS_current!$D$3:$BW$3, 0)),SUM(VLOOKUP($A136, LS_current!$B$4:$BW$137, LS_current!P$147, FALSE), VLOOKUP($A136, LS_current!$B$4:$BW$137,LS_current!BL$147, FALSE))/2)</f>
        <v>536.78449057097441</v>
      </c>
      <c r="CL136" s="102">
        <f t="array" ref="CL136">IF($BT136=0, INDEX(LS_current!$D$4:$BW$137, MATCH('Staging Table'!$A136, LS_current!$B$4:$B$137, 0), MATCH(CL$4&amp;CL$5, LS_current!$D$2:$BW$2&amp;LS_current!$D$3:$BW$3, 0)),SUM(VLOOKUP($A136, LS_current!$B$4:$BW$137, LS_current!Q$147, FALSE), VLOOKUP($A136, LS_current!$B$4:$BW$137,LS_current!BM$147, FALSE))/2)</f>
        <v>1017.6178782560683</v>
      </c>
      <c r="CM136" s="102">
        <f t="array" ref="CM136">IF($BT136=0, INDEX(LS_current!$D$4:$BW$137, MATCH('Staging Table'!$A136, LS_current!$B$4:$B$137, 0), MATCH(CM$4&amp;CM$5, LS_current!$D$2:$BW$2&amp;LS_current!$D$3:$BW$3, 0)),SUM(VLOOKUP($A136, LS_current!$B$4:$BW$137, LS_current!R$147, FALSE), VLOOKUP($A136, LS_current!$B$4:$BW$137,LS_current!BN$147, FALSE))/2)</f>
        <v>-1150.6347520652789</v>
      </c>
      <c r="CN136" s="102">
        <f t="array" ref="CN136">IF($BT136=0, INDEX(LS_current!$D$4:$BW$137, MATCH('Staging Table'!$A136, LS_current!$B$4:$B$137, 0), MATCH(CN$4&amp;CN$5, LS_current!$D$2:$BW$2&amp;LS_current!$D$3:$BW$3, 0)),SUM(VLOOKUP($A136, LS_current!$B$4:$BW$137, LS_current!S$147, FALSE), VLOOKUP($A136, LS_current!$B$4:$BW$137,LS_current!BO$147, FALSE))/2)</f>
        <v>256.72429459071009</v>
      </c>
      <c r="CO136" s="102">
        <f t="array" ref="CO136">IF($BT136=0, INDEX(LS_current!$D$4:$BW$137, MATCH('Staging Table'!$A136, LS_current!$B$4:$B$137, 0), MATCH(CO$4&amp;CO$5, LS_current!$D$2:$BW$2&amp;LS_current!$D$3:$BW$3, 0)),SUM(VLOOKUP($A136, LS_current!$B$4:$BW$137, LS_current!T$147, FALSE), VLOOKUP($A136, LS_current!$B$4:$BW$137,LS_current!BP$147, FALSE))/2)</f>
        <v>-1592.749962991511</v>
      </c>
      <c r="CP136" s="102">
        <f t="array" ref="CP136">IF($BT136=0, INDEX(LS_current!$D$4:$BW$137, MATCH('Staging Table'!$A136, LS_current!$B$4:$B$137, 0), MATCH(CP$4&amp;CP$5, LS_current!$D$2:$BW$2&amp;LS_current!$D$3:$BW$3, 0)),SUM(VLOOKUP($A136, LS_current!$B$4:$BW$137, LS_current!U$147, FALSE), VLOOKUP($A136, LS_current!$B$4:$BW$137,LS_current!BQ$147, FALSE))/2)</f>
        <v>465.51605484958509</v>
      </c>
      <c r="CQ136" s="102">
        <f t="array" ref="CQ136">IF($BT136=0, INDEX(LS_current!$D$4:$BW$137, MATCH('Staging Table'!$A136, LS_current!$B$4:$B$137, 0), MATCH(CQ$4&amp;CQ$5, LS_current!$D$2:$BW$2&amp;LS_current!$D$3:$BW$3, 0)),SUM(VLOOKUP($A136, LS_current!$B$4:$BW$137, LS_current!V$147, FALSE), VLOOKUP($A136, LS_current!$B$4:$BW$137,LS_current!BR$147, FALSE))/2)</f>
        <v>135.96705024085622</v>
      </c>
      <c r="CR136" s="102">
        <f t="array" ref="CR136">IF($BT136=0, INDEX(LS_current!$D$4:$BW$137, MATCH('Staging Table'!$A136, LS_current!$B$4:$B$137, 0), MATCH(CR$4&amp;CR$5, LS_current!$D$2:$BW$2&amp;LS_current!$D$3:$BW$3, 0)),SUM(VLOOKUP($A136, LS_current!$B$4:$BW$137, LS_current!W$147, FALSE), VLOOKUP($A136, LS_current!$B$4:$BW$137,LS_current!BS$147, FALSE))/2)</f>
        <v>1701.1128835733307</v>
      </c>
      <c r="CS136" s="102">
        <f t="array" ref="CS136">IF($BT136=0, INDEX(LS_current!$D$4:$BW$137, MATCH('Staging Table'!$A136, LS_current!$B$4:$B$137, 0), MATCH(CS$4&amp;CS$5, LS_current!$D$2:$BW$2&amp;LS_current!$D$3:$BW$3, 0)),SUM(VLOOKUP($A136, LS_current!$B$4:$BW$137, LS_current!X$147, FALSE), VLOOKUP($A136, LS_current!$B$4:$BW$137,LS_current!BT$147, FALSE))/2)</f>
        <v>24.193610503474702</v>
      </c>
      <c r="CT136" s="102">
        <f t="array" ref="CT136">IF($BT136=0, INDEX(LS_current!$D$4:$BW$137, MATCH('Staging Table'!$A136, LS_current!$B$4:$B$137, 0), MATCH(CT$4&amp;CT$5, LS_current!$D$2:$BW$2&amp;LS_current!$D$3:$BW$3, 0)),SUM(VLOOKUP($A136, LS_current!$B$4:$BW$137, LS_current!Y$147, FALSE), VLOOKUP($A136, LS_current!$B$4:$BW$137,LS_current!BU$147, FALSE))/2)</f>
        <v>1787.3258917803896</v>
      </c>
      <c r="CU136" s="102">
        <f t="array" ref="CU136">IF($BT136=0, INDEX(LS_current!$D$4:$BW$137, MATCH('Staging Table'!$A136, LS_current!$B$4:$B$137, 0), MATCH(CU$4&amp;CU$5, LS_current!$D$2:$BW$2&amp;LS_current!$D$3:$BW$3, 0)),SUM(VLOOKUP($A136, LS_current!$B$4:$BW$137, LS_current!Z$147, FALSE), VLOOKUP($A136, LS_current!$B$4:$BW$137,LS_current!BV$147, FALSE))/2)</f>
        <v>1078.9111659456821</v>
      </c>
      <c r="CV136" s="102">
        <f t="array" ref="CV136">IF($BT136=0, INDEX(LS_current!$D$4:$BW$137, MATCH('Staging Table'!$A136, LS_current!$B$4:$B$137, 0), MATCH(CV$4&amp;CV$5, LS_current!$D$2:$BW$2&amp;LS_current!$D$3:$BW$3, 0)),SUM(VLOOKUP($A136, LS_current!$B$4:$BW$137, LS_current!AA$147, FALSE), VLOOKUP($A136, LS_current!$B$4:$BW$137,LS_current!BW$147, FALSE))/2)</f>
        <v>1969.4420487317943</v>
      </c>
      <c r="CW136" s="103">
        <f t="array" ref="CW136">INDEX(Demand_current!$D$4:$BW$137, MATCH($A136, Demand_current!$B$4:$B$137, 0), MATCH(CW$4&amp;CW$5,Demand_current!$D$2:$BW$2&amp;Demand_current!$D$3:$BW$3, 0))/1000</f>
        <v>1.264909722222221</v>
      </c>
      <c r="CX136" s="103">
        <f t="array" ref="CX136">INDEX(Demand_current!$D$4:$BW$137, MATCH($A136, Demand_current!$B$4:$B$137, 0), MATCH(CX$4&amp;CX$5,Demand_current!$D$2:$BW$2&amp;Demand_current!$D$3:$BW$3, 0))/1000</f>
        <v>0.43510416666666524</v>
      </c>
      <c r="CY136" s="103">
        <f t="array" ref="CY136">INDEX(Demand_current!$D$4:$BW$137, MATCH($A136, Demand_current!$B$4:$B$137, 0), MATCH(CY$4&amp;CY$5,Demand_current!$D$2:$BW$2&amp;Demand_current!$D$3:$BW$3, 0))/1000</f>
        <v>1.7773749999999993</v>
      </c>
      <c r="CZ136" s="103">
        <f t="array" ref="CZ136">INDEX(Demand_current!$D$4:$BW$137, MATCH($A136, Demand_current!$B$4:$B$137, 0), MATCH(CZ$4&amp;CZ$5,Demand_current!$D$2:$BW$2&amp;Demand_current!$D$3:$BW$3, 0))/1000</f>
        <v>1.8125889423076913</v>
      </c>
      <c r="DA136" s="103">
        <f t="array" ref="DA136">INDEX(Demand_current!$D$4:$BW$137, MATCH($A136, Demand_current!$B$4:$B$137, 0), MATCH(DA$4&amp;DA$5,Demand_current!$D$2:$BW$2&amp;Demand_current!$D$3:$BW$3, 0))/1000</f>
        <v>1.438338541666667</v>
      </c>
      <c r="DB136" s="103">
        <f t="array" ref="DB136">INDEX(Demand_current!$D$4:$BW$137, MATCH($A136, Demand_current!$B$4:$B$137, 0), MATCH(DB$4&amp;DB$5,Demand_current!$D$2:$BW$2&amp;Demand_current!$D$3:$BW$3, 0))/1000</f>
        <v>0.83985817307692301</v>
      </c>
      <c r="DC136" s="103">
        <f t="array" ref="DC136">INDEX(Demand_current!$D$4:$BW$137, MATCH($A136, Demand_current!$B$4:$B$137, 0), MATCH(DC$4&amp;DC$5,Demand_current!$D$2:$BW$2&amp;Demand_current!$D$3:$BW$3, 0))/1000</f>
        <v>1.1254759615384637</v>
      </c>
      <c r="DD136" s="103">
        <f t="array" ref="DD136">INDEX(Demand_current!$D$4:$BW$137, MATCH($A136, Demand_current!$B$4:$B$137, 0), MATCH(DD$4&amp;DD$5,Demand_current!$D$2:$BW$2&amp;Demand_current!$D$3:$BW$3, 0))/1000</f>
        <v>0.41947750000000106</v>
      </c>
      <c r="DE136" s="103">
        <f t="array" ref="DE136">INDEX(Demand_current!$D$4:$BW$137, MATCH($A136, Demand_current!$B$4:$B$137, 0), MATCH(DE$4&amp;DE$5,Demand_current!$D$2:$BW$2&amp;Demand_current!$D$3:$BW$3, 0))/1000</f>
        <v>2.8260192307692309</v>
      </c>
      <c r="DF136" s="103">
        <f t="array" ref="DF136">INDEX(Demand_current!$D$4:$BW$137, MATCH($A136, Demand_current!$B$4:$B$137, 0), MATCH(DF$4&amp;DF$5,Demand_current!$D$2:$BW$2&amp;Demand_current!$D$3:$BW$3, 0))/1000</f>
        <v>3.2377091346153861</v>
      </c>
      <c r="DG136" s="103">
        <f t="array" ref="DG136">INDEX(Demand_current!$D$4:$BW$137, MATCH($A136, Demand_current!$B$4:$B$137, 0), MATCH(DG$4&amp;DG$5,Demand_current!$D$2:$BW$2&amp;Demand_current!$D$3:$BW$3, 0))/1000</f>
        <v>3.2759447115384597</v>
      </c>
      <c r="DH136" s="103">
        <f t="array" ref="DH136">INDEX(Demand_current!$D$4:$BW$137, MATCH($A136, Demand_current!$B$4:$B$137, 0), MATCH(DH$4&amp;DH$5,Demand_current!$D$2:$BW$2&amp;Demand_current!$D$3:$BW$3, 0))/1000</f>
        <v>2.667152500000002</v>
      </c>
      <c r="DI136" s="102">
        <f>$BS136*(VLOOKUP(DI$4, Rates_current!$H$6:$R$41, 10, FALSE)+VLOOKUP(DI$4, Rates_current!$H$6:$R$41, 11, FALSE))</f>
        <v>9825.8059135437597</v>
      </c>
      <c r="DJ136" s="102">
        <f>$BS136*(VLOOKUP(DJ$4, Rates_current!$H$6:$R$41, 10, FALSE)+VLOOKUP(DJ$4, Rates_current!$H$6:$R$41, 11, FALSE))</f>
        <v>12561.969472755469</v>
      </c>
      <c r="DK136" s="102">
        <f>$BS136*(VLOOKUP(DK$4, Rates_current!$H$6:$R$41, 10, FALSE)+VLOOKUP(DK$4, Rates_current!$H$6:$R$41, 11, FALSE))</f>
        <v>14281.908645666483</v>
      </c>
      <c r="DL136" s="102">
        <f>$BS136*(VLOOKUP(DL$4, Rates_current!$H$6:$R$41, 10, FALSE)+VLOOKUP(DL$4, Rates_current!$H$6:$R$41, 11, FALSE))</f>
        <v>15068.528451047476</v>
      </c>
      <c r="DM136" s="102">
        <f>$BS136*(VLOOKUP(DM$4, Rates_current!$H$6:$R$41, 10, FALSE)+VLOOKUP(DM$4, Rates_current!$H$6:$R$41, 11, FALSE))</f>
        <v>12008.257188809494</v>
      </c>
      <c r="DN136" s="102">
        <f>$BS136*(VLOOKUP(DN$4, Rates_current!$H$6:$R$41, 10, FALSE)+VLOOKUP(DN$4, Rates_current!$H$6:$R$41, 11, FALSE))</f>
        <v>13127.49107199291</v>
      </c>
      <c r="DO136" s="102">
        <f>$BS136*(VLOOKUP(DO$4, Rates_current!$H$6:$R$41, 10, FALSE)+VLOOKUP(DO$4, Rates_current!$H$6:$R$41, 11, FALSE))</f>
        <v>10173.937631172957</v>
      </c>
      <c r="DP136" s="102">
        <f>$BS136*(VLOOKUP(DP$4, Rates_current!$H$6:$R$41, 10, FALSE)+VLOOKUP(DP$4, Rates_current!$H$6:$R$41, 11, FALSE))</f>
        <v>13166.750457474569</v>
      </c>
      <c r="DQ136" s="102">
        <f>$BS136*(VLOOKUP(DQ$4, Rates_current!$H$6:$R$41, 10, FALSE)+VLOOKUP(DQ$4, Rates_current!$H$6:$R$41, 11, FALSE))</f>
        <v>13447.898908141928</v>
      </c>
      <c r="DR136" s="102">
        <f>$BS136*(VLOOKUP(DR$4, Rates_current!$H$6:$R$41, 10, FALSE)+VLOOKUP(DR$4, Rates_current!$H$6:$R$41, 11, FALSE))</f>
        <v>11969.793066185812</v>
      </c>
      <c r="DS136" s="102">
        <f>$BS136*(VLOOKUP(DS$4, Rates_current!$H$6:$R$41, 10, FALSE)+VLOOKUP(DS$4, Rates_current!$H$6:$R$41, 11, FALSE))</f>
        <v>12278.812497716137</v>
      </c>
      <c r="DT136" s="102">
        <f>$BS136*(VLOOKUP(DT$4, Rates_current!$H$6:$R$41, 10, FALSE)+VLOOKUP(DT$4, Rates_current!$H$6:$R$41, 11, FALSE))</f>
        <v>9535.9697853225243</v>
      </c>
      <c r="DU136" s="261">
        <f>IF(D136=0,IF(C136=0,MAX(0,DW136 - (VLOOKUP($A136,TOCA_current!$A$2:$AV$136,MATCH("RHWM "&amp;Init!$D$1,TOCA_current!$A$2:$AV$2,0),FALSE)*$BS$2)), 0),0)</f>
        <v>0</v>
      </c>
      <c r="DV136" s="262">
        <f>MIN(VLOOKUP($A136,TOCA_current!$A$2:$AV$136,MATCH("TRL - NLSL - Existing Resource "&amp;$BS$1,TOCA_current!$A$2:$AV$2,0),FALSE)*$BS$2, VLOOKUP($A136,TOCA_current!$A$2:$AV$136,MATCH("RHWM "&amp;Init!$D$1,TOCA_current!$A$2:$AV$2,0),FALSE)*$BS$2)</f>
        <v>147448.32000000001</v>
      </c>
      <c r="DW136" s="262">
        <f>SUM(BY136:CV136)+(BS136*RT1SC!$C$4*$BS$2)</f>
        <v>147450.33270377049</v>
      </c>
      <c r="DX136" s="262">
        <f>VLOOKUP($A136,TOCA_current!$A$2:$AV$136,MATCH("Above RHWM Not Served with LS "&amp;$BS$1,TOCA_current!$A$2:$AV$2,0),FALSE)*$BS$2</f>
        <v>0</v>
      </c>
      <c r="DY136" s="262">
        <f t="shared" si="58"/>
        <v>2.0127037704805844</v>
      </c>
      <c r="DZ136" s="262">
        <f>(VLOOKUP($A136,TOCA_current!$A$2:$AV$136,MATCH("RHWM "&amp;Init!$D$1,TOCA_current!$A$2:$AV$2,0),FALSE)*$BS$2) - $DV136</f>
        <v>4782.9599999999919</v>
      </c>
      <c r="EA136" s="262">
        <f t="shared" si="59"/>
        <v>-2.0127037704805844</v>
      </c>
      <c r="EB136" s="262">
        <f t="shared" si="60"/>
        <v>0</v>
      </c>
      <c r="EC136" s="262">
        <f t="shared" si="61"/>
        <v>0</v>
      </c>
      <c r="ED136" s="262">
        <f t="shared" si="62"/>
        <v>-2.0127037704805844</v>
      </c>
    </row>
    <row r="137" spans="1:134">
      <c r="A137" s="2">
        <v>11680</v>
      </c>
      <c r="B137" s="3" t="s">
        <v>138</v>
      </c>
      <c r="C137">
        <f>VLOOKUP(A137, TOCA_current!$A$3:$D$136, 4, FALSE)</f>
        <v>0</v>
      </c>
      <c r="D137">
        <v>0</v>
      </c>
      <c r="E137" s="84">
        <f>VLOOKUP($A137,TOCA_previous!$A$2:$AJ$136,MATCH(E$4,TOCA_previous!$A$2:$AJ$2,0),FALSE)</f>
        <v>9.1629999999999999E-4</v>
      </c>
      <c r="F137" s="85">
        <f>VLOOKUP($A137,TOCA_previous!$A$2:$AJ$136,MATCH(F$4,TOCA_previous!$A$2:$AJ$2,0),FALSE)</f>
        <v>9.1629999999999999E-4</v>
      </c>
      <c r="G137" s="85">
        <f t="shared" si="48"/>
        <v>0</v>
      </c>
      <c r="H137" s="85">
        <f>VLOOKUP($A137,TOCA_previous!$A$2:$AJ$136,MATCH(H$4,TOCA_previous!$A$2:$AJ$2,0),FALSE)</f>
        <v>0</v>
      </c>
      <c r="I137" s="85">
        <f t="shared" si="49"/>
        <v>0</v>
      </c>
      <c r="J137" s="85">
        <f t="shared" si="50"/>
        <v>0</v>
      </c>
      <c r="K137" s="101">
        <f>VLOOKUP(A137, IRD!$A$5:$C$138, 3, FALSE)</f>
        <v>0</v>
      </c>
      <c r="L137" s="102">
        <f t="array" ref="L137">IF($G137=0, INDEX(LS_previous!$D$4:$AY$137, MATCH('Staging Table'!$A137, LS_previous!$B$4:$B$137, 0), MATCH(L$4&amp;L$5, LS_previous!$D$2:$AY$2&amp;LS_previous!$D$3:$AY$3, 0)),SUM(VLOOKUP($A137, LS_previous!$B$4:$AY$137, LS_previous!D$148, FALSE), VLOOKUP('Staging Table'!$A137, LS_previous!$B$4:$AY$137,LS_previous!AB$148, FALSE))/2)</f>
        <v>311.15052981319968</v>
      </c>
      <c r="M137" s="102">
        <f t="array" ref="M137">IF($G137=0, INDEX(LS_previous!$D$4:$AY$137, MATCH('Staging Table'!$A137, LS_previous!$B$4:$B$137, 0), MATCH(M$4&amp;M$5, LS_previous!$D$2:$AY$2&amp;LS_previous!$D$3:$AY$3, 0)),SUM(VLOOKUP($A137, LS_previous!$B$4:$AY$137, LS_previous!E$148, FALSE), VLOOKUP('Staging Table'!$A137, LS_previous!$B$4:$AY$137,LS_previous!AC$148, FALSE))/2)</f>
        <v>-97.933416475649892</v>
      </c>
      <c r="N137" s="102">
        <f t="array" ref="N137">IF($G137=0, INDEX(LS_previous!$D$4:$AY$137, MATCH('Staging Table'!$A137, LS_previous!$B$4:$B$137, 0), MATCH(N$4&amp;N$5, LS_previous!$D$2:$AY$2&amp;LS_previous!$D$3:$AY$3, 0)),SUM(VLOOKUP($A137, LS_previous!$B$4:$AY$137, LS_previous!F$148, FALSE), VLOOKUP('Staging Table'!$A137, LS_previous!$B$4:$AY$137,LS_previous!AD$148, FALSE))/2)</f>
        <v>-164.06873864640011</v>
      </c>
      <c r="O137" s="102">
        <f t="array" ref="O137">IF($G137=0, INDEX(LS_previous!$D$4:$AY$137, MATCH('Staging Table'!$A137, LS_previous!$B$4:$B$137, 0), MATCH(O$4&amp;O$5, LS_previous!$D$2:$AY$2&amp;LS_previous!$D$3:$AY$3, 0)),SUM(VLOOKUP($A137, LS_previous!$B$4:$AY$137, LS_previous!G$148, FALSE), VLOOKUP('Staging Table'!$A137, LS_previous!$B$4:$AY$137,LS_previous!AE$148, FALSE))/2)</f>
        <v>48.050410414699854</v>
      </c>
      <c r="P137" s="102">
        <f t="array" ref="P137">IF($G137=0, INDEX(LS_previous!$D$4:$AY$137, MATCH('Staging Table'!$A137, LS_previous!$B$4:$B$137, 0), MATCH(P$4&amp;P$5, LS_previous!$D$2:$AY$2&amp;LS_previous!$D$3:$AY$3, 0)),SUM(VLOOKUP($A137, LS_previous!$B$4:$AY$137, LS_previous!H$148, FALSE), VLOOKUP('Staging Table'!$A137, LS_previous!$B$4:$AY$137,LS_previous!AF$148, FALSE))/2)</f>
        <v>254.09191735429977</v>
      </c>
      <c r="Q137" s="102">
        <f t="array" ref="Q137">IF($G137=0, INDEX(LS_previous!$D$4:$AY$137, MATCH('Staging Table'!$A137, LS_previous!$B$4:$B$137, 0), MATCH(Q$4&amp;Q$5, LS_previous!$D$2:$AY$2&amp;LS_previous!$D$3:$AY$3, 0)),SUM(VLOOKUP($A137, LS_previous!$B$4:$AY$137, LS_previous!I$148, FALSE), VLOOKUP('Staging Table'!$A137, LS_previous!$B$4:$AY$137,LS_previous!AG$148, FALSE))/2)</f>
        <v>115.05497635519987</v>
      </c>
      <c r="R137" s="102">
        <f t="array" ref="R137">IF($G137=0, INDEX(LS_previous!$D$4:$AY$137, MATCH('Staging Table'!$A137, LS_previous!$B$4:$B$137, 0), MATCH(R$4&amp;R$5, LS_previous!$D$2:$AY$2&amp;LS_previous!$D$3:$AY$3, 0)),SUM(VLOOKUP($A137, LS_previous!$B$4:$AY$137, LS_previous!J$148, FALSE), VLOOKUP('Staging Table'!$A137, LS_previous!$B$4:$AY$137,LS_previous!AH$148, FALSE))/2)</f>
        <v>-3.9123184545001095</v>
      </c>
      <c r="S137" s="102">
        <f t="array" ref="S137">IF($G137=0, INDEX(LS_previous!$D$4:$AY$137, MATCH('Staging Table'!$A137, LS_previous!$B$4:$B$137, 0), MATCH(S$4&amp;S$5, LS_previous!$D$2:$AY$2&amp;LS_previous!$D$3:$AY$3, 0)),SUM(VLOOKUP($A137, LS_previous!$B$4:$AY$137, LS_previous!K$148, FALSE), VLOOKUP('Staging Table'!$A137, LS_previous!$B$4:$AY$137,LS_previous!AI$148, FALSE))/2)</f>
        <v>84.087124027299978</v>
      </c>
      <c r="T137" s="102">
        <f t="array" ref="T137">IF($G137=0, INDEX(LS_previous!$D$4:$AY$137, MATCH('Staging Table'!$A137, LS_previous!$B$4:$B$137, 0), MATCH(T$4&amp;T$5, LS_previous!$D$2:$AY$2&amp;LS_previous!$D$3:$AY$3, 0)),SUM(VLOOKUP($A137, LS_previous!$B$4:$AY$137, LS_previous!L$148, FALSE), VLOOKUP('Staging Table'!$A137, LS_previous!$B$4:$AY$137,LS_previous!AJ$148, FALSE))/2)</f>
        <v>63.329776072300319</v>
      </c>
      <c r="U137" s="102">
        <f t="array" ref="U137">IF($G137=0, INDEX(LS_previous!$D$4:$AY$137, MATCH('Staging Table'!$A137, LS_previous!$B$4:$B$137, 0), MATCH(U$4&amp;U$5, LS_previous!$D$2:$AY$2&amp;LS_previous!$D$3:$AY$3, 0)),SUM(VLOOKUP($A137, LS_previous!$B$4:$AY$137, LS_previous!M$148, FALSE), VLOOKUP('Staging Table'!$A137, LS_previous!$B$4:$AY$137,LS_previous!AK$148, FALSE))/2)</f>
        <v>129.78483496829995</v>
      </c>
      <c r="V137" s="102">
        <f t="array" ref="V137">IF($G137=0, INDEX(LS_previous!$D$4:$AY$137, MATCH('Staging Table'!$A137, LS_previous!$B$4:$B$137, 0), MATCH(V$4&amp;V$5, LS_previous!$D$2:$AY$2&amp;LS_previous!$D$3:$AY$3, 0)),SUM(VLOOKUP($A137, LS_previous!$B$4:$AY$137, LS_previous!N$148, FALSE), VLOOKUP('Staging Table'!$A137, LS_previous!$B$4:$AY$137,LS_previous!AL$148, FALSE))/2)</f>
        <v>-298.49688324189947</v>
      </c>
      <c r="W137" s="102">
        <f t="array" ref="W137">IF($G137=0, INDEX(LS_previous!$D$4:$AY$137, MATCH('Staging Table'!$A137, LS_previous!$B$4:$B$137, 0), MATCH(W$4&amp;W$5, LS_previous!$D$2:$AY$2&amp;LS_previous!$D$3:$AY$3, 0)),SUM(VLOOKUP($A137, LS_previous!$B$4:$AY$137, LS_previous!O$148, FALSE), VLOOKUP('Staging Table'!$A137, LS_previous!$B$4:$AY$137,LS_previous!AM$148, FALSE))/2)</f>
        <v>-260.67327518139996</v>
      </c>
      <c r="X137" s="102">
        <f t="array" ref="X137">IF($G137=0, INDEX(LS_previous!$D$4:$AY$137, MATCH('Staging Table'!$A137, LS_previous!$B$4:$B$137, 0), MATCH(X$4&amp;X$5, LS_previous!$D$2:$AY$2&amp;LS_previous!$D$3:$AY$3, 0)),SUM(VLOOKUP($A137, LS_previous!$B$4:$AY$137, LS_previous!P$148, FALSE), VLOOKUP('Staging Table'!$A137, LS_previous!$B$4:$AY$137,LS_previous!AN$148, FALSE))/2)</f>
        <v>52.071753476750018</v>
      </c>
      <c r="Y137" s="102">
        <f t="array" ref="Y137">IF($G137=0, INDEX(LS_previous!$D$4:$AY$137, MATCH('Staging Table'!$A137, LS_previous!$B$4:$B$137, 0), MATCH(Y$4&amp;Y$5, LS_previous!$D$2:$AY$2&amp;LS_previous!$D$3:$AY$3, 0)),SUM(VLOOKUP($A137, LS_previous!$B$4:$AY$137, LS_previous!Q$148, FALSE), VLOOKUP('Staging Table'!$A137, LS_previous!$B$4:$AY$137,LS_previous!AO$148, FALSE))/2)</f>
        <v>-204.5025950015247</v>
      </c>
      <c r="Z137" s="102">
        <f t="array" ref="Z137">IF($G137=0, INDEX(LS_previous!$D$4:$AY$137, MATCH('Staging Table'!$A137, LS_previous!$B$4:$B$137, 0), MATCH(Z$4&amp;Z$5, LS_previous!$D$2:$AY$2&amp;LS_previous!$D$3:$AY$3, 0)),SUM(VLOOKUP($A137, LS_previous!$B$4:$AY$137, LS_previous!R$148, FALSE), VLOOKUP('Staging Table'!$A137, LS_previous!$B$4:$AY$137,LS_previous!AP$148, FALSE))/2)</f>
        <v>-724.34777782240008</v>
      </c>
      <c r="AA137" s="102">
        <f t="array" ref="AA137">IF($G137=0, INDEX(LS_previous!$D$4:$AY$137, MATCH('Staging Table'!$A137, LS_previous!$B$4:$B$137, 0), MATCH(AA$4&amp;AA$5, LS_previous!$D$2:$AY$2&amp;LS_previous!$D$3:$AY$3, 0)),SUM(VLOOKUP($A137, LS_previous!$B$4:$AY$137, LS_previous!S$148, FALSE), VLOOKUP('Staging Table'!$A137, LS_previous!$B$4:$AY$137,LS_previous!AQ$148, FALSE))/2)</f>
        <v>-509.22146993355</v>
      </c>
      <c r="AB137" s="102">
        <f t="array" ref="AB137">IF($G137=0, INDEX(LS_previous!$D$4:$AY$137, MATCH('Staging Table'!$A137, LS_previous!$B$4:$B$137, 0), MATCH(AB$4&amp;AB$5, LS_previous!$D$2:$AY$2&amp;LS_previous!$D$3:$AY$3, 0)),SUM(VLOOKUP($A137, LS_previous!$B$4:$AY$137, LS_previous!T$148, FALSE), VLOOKUP('Staging Table'!$A137, LS_previous!$B$4:$AY$137,LS_previous!AR$148, FALSE))/2)</f>
        <v>-354.26526259379989</v>
      </c>
      <c r="AC137" s="102">
        <f t="array" ref="AC137">IF($G137=0, INDEX(LS_previous!$D$4:$AY$137, MATCH('Staging Table'!$A137, LS_previous!$B$4:$B$137, 0), MATCH(AC$4&amp;AC$5, LS_previous!$D$2:$AY$2&amp;LS_previous!$D$3:$AY$3, 0)),SUM(VLOOKUP($A137, LS_previous!$B$4:$AY$137, LS_previous!U$148, FALSE), VLOOKUP('Staging Table'!$A137, LS_previous!$B$4:$AY$137,LS_previous!AS$148, FALSE))/2)</f>
        <v>-440.2247324383502</v>
      </c>
      <c r="AD137" s="102">
        <f t="array" ref="AD137">IF($G137=0, INDEX(LS_previous!$D$4:$AY$137, MATCH('Staging Table'!$A137, LS_previous!$B$4:$B$137, 0), MATCH(AD$4&amp;AD$5, LS_previous!$D$2:$AY$2&amp;LS_previous!$D$3:$AY$3, 0)),SUM(VLOOKUP($A137, LS_previous!$B$4:$AY$137, LS_previous!V$148, FALSE), VLOOKUP('Staging Table'!$A137, LS_previous!$B$4:$AY$137,LS_previous!AT$148, FALSE))/2)</f>
        <v>802.81279464680028</v>
      </c>
      <c r="AE137" s="102">
        <f t="array" ref="AE137">IF($G137=0, INDEX(LS_previous!$D$4:$AY$137, MATCH('Staging Table'!$A137, LS_previous!$B$4:$B$137, 0), MATCH(AE$4&amp;AE$5, LS_previous!$D$2:$AY$2&amp;LS_previous!$D$3:$AY$3, 0)),SUM(VLOOKUP($A137, LS_previous!$B$4:$AY$137, LS_previous!W$148, FALSE), VLOOKUP('Staging Table'!$A137, LS_previous!$B$4:$AY$137,LS_previous!AU$148, FALSE))/2)</f>
        <v>274.13465642174992</v>
      </c>
      <c r="AF137" s="102">
        <f t="array" ref="AF137">IF($G137=0, INDEX(LS_previous!$D$4:$AY$137, MATCH('Staging Table'!$A137, LS_previous!$B$4:$B$137, 0), MATCH(AF$4&amp;AF$5, LS_previous!$D$2:$AY$2&amp;LS_previous!$D$3:$AY$3, 0)),SUM(VLOOKUP($A137, LS_previous!$B$4:$AY$137, LS_previous!X$148, FALSE), VLOOKUP('Staging Table'!$A137, LS_previous!$B$4:$AY$137,LS_previous!AV$148, FALSE))/2)</f>
        <v>602.94571585454969</v>
      </c>
      <c r="AG137" s="102">
        <f t="array" ref="AG137">IF($G137=0, INDEX(LS_previous!$D$4:$AY$137, MATCH('Staging Table'!$A137, LS_previous!$B$4:$B$137, 0), MATCH(AG$4&amp;AG$5, LS_previous!$D$2:$AY$2&amp;LS_previous!$D$3:$AY$3, 0)),SUM(VLOOKUP($A137, LS_previous!$B$4:$AY$137, LS_previous!Y$148, FALSE), VLOOKUP('Staging Table'!$A137, LS_previous!$B$4:$AY$137,LS_previous!AW$148, FALSE))/2)</f>
        <v>253.03699743344532</v>
      </c>
      <c r="AH137" s="102">
        <f t="array" ref="AH137">IF($G137=0, INDEX(LS_previous!$D$4:$AY$137, MATCH('Staging Table'!$A137, LS_previous!$B$4:$B$137, 0), MATCH(AH$4&amp;AH$5, LS_previous!$D$2:$AY$2&amp;LS_previous!$D$3:$AY$3, 0)),SUM(VLOOKUP($A137, LS_previous!$B$4:$AY$137, LS_previous!Z$148, FALSE), VLOOKUP('Staging Table'!$A137, LS_previous!$B$4:$AY$137,LS_previous!AX$148, FALSE))/2)</f>
        <v>139.36305953379997</v>
      </c>
      <c r="AI137" s="102">
        <f t="array" ref="AI137">IF($G137=0, INDEX(LS_previous!$D$4:$AY$137, MATCH('Staging Table'!$A137, LS_previous!$B$4:$B$137, 0), MATCH(AI$4&amp;AI$5, LS_previous!$D$2:$AY$2&amp;LS_previous!$D$3:$AY$3, 0)),SUM(VLOOKUP($A137, LS_previous!$B$4:$AY$137, LS_previous!AA$148, FALSE), VLOOKUP('Staging Table'!$A137, LS_previous!$B$4:$AY$137,LS_previous!AY$148, FALSE))/2)</f>
        <v>-181.99410999520001</v>
      </c>
      <c r="AJ137" s="103">
        <f t="array" ref="AJ137">INDEX(Demand_previous!$D$4:$AY$137, MATCH('Staging Table'!$A137, Demand_previous!$B$4:$B$137, 0), MATCH(AJ$4&amp;AJ$5,Demand_previous!$D$2:$AY$2&amp;Demand_previous!$D$3:$AY$3, 0))/1000</f>
        <v>0.59091586538461649</v>
      </c>
      <c r="AK137" s="103">
        <f t="array" ref="AK137">INDEX(Demand_previous!$D$4:$AY$137, MATCH('Staging Table'!$A137, Demand_previous!$B$4:$B$137, 0), MATCH(AK$4&amp;AK$5,Demand_previous!$D$2:$AY$2&amp;Demand_previous!$D$3:$AY$3, 0))/1000</f>
        <v>0.93104749999999914</v>
      </c>
      <c r="AL137" s="103">
        <f t="array" ref="AL137">INDEX(Demand_previous!$D$4:$AY$137, MATCH('Staging Table'!$A137, Demand_previous!$B$4:$B$137, 0), MATCH(AL$4&amp;AL$5,Demand_previous!$D$2:$AY$2&amp;Demand_previous!$D$3:$AY$3, 0))/1000</f>
        <v>0.3872175000000011</v>
      </c>
      <c r="AM137" s="103">
        <f t="array" ref="AM137">INDEX(Demand_previous!$D$4:$AY$137, MATCH('Staging Table'!$A137, Demand_previous!$B$4:$B$137, 0), MATCH(AM$4&amp;AM$5,Demand_previous!$D$2:$AY$2&amp;Demand_previous!$D$3:$AY$3, 0))/1000</f>
        <v>0.75300480769230838</v>
      </c>
      <c r="AN137" s="103">
        <f t="array" ref="AN137">INDEX(Demand_previous!$D$4:$AY$137, MATCH('Staging Table'!$A137, Demand_previous!$B$4:$B$137, 0), MATCH(AN$4&amp;AN$5,Demand_previous!$D$2:$AY$2&amp;Demand_previous!$D$3:$AY$3, 0))/1000</f>
        <v>1.0722100000000001</v>
      </c>
      <c r="AO137" s="103">
        <f t="array" ref="AO137">INDEX(Demand_previous!$D$4:$AY$137, MATCH('Staging Table'!$A137, Demand_previous!$B$4:$B$137, 0), MATCH(AO$4&amp;AO$5,Demand_previous!$D$2:$AY$2&amp;Demand_previous!$D$3:$AY$3, 0))/1000</f>
        <v>0.91059615384615311</v>
      </c>
      <c r="AP137" s="103">
        <f t="array" ref="AP137">INDEX(Demand_previous!$D$4:$AY$137, MATCH('Staging Table'!$A137, Demand_previous!$B$4:$B$137, 0), MATCH(AP$4&amp;AP$5,Demand_previous!$D$2:$AY$2&amp;Demand_previous!$D$3:$AY$3, 0))/1000</f>
        <v>0.83933173076923073</v>
      </c>
      <c r="AQ137" s="103">
        <f t="array" ref="AQ137">INDEX(Demand_previous!$D$4:$AY$137, MATCH('Staging Table'!$A137, Demand_previous!$B$4:$B$137, 0), MATCH(AQ$4&amp;AQ$5,Demand_previous!$D$2:$AY$2&amp;Demand_previous!$D$3:$AY$3, 0))/1000</f>
        <v>1.3743076923076927</v>
      </c>
      <c r="AR137" s="103">
        <f t="array" ref="AR137">INDEX(Demand_previous!$D$4:$AY$137, MATCH('Staging Table'!$A137, Demand_previous!$B$4:$B$137, 0), MATCH(AR$4&amp;AR$5,Demand_previous!$D$2:$AY$2&amp;Demand_previous!$D$3:$AY$3, 0))/1000</f>
        <v>1.1435749999999998</v>
      </c>
      <c r="AS137" s="103">
        <f t="array" ref="AS137">INDEX(Demand_previous!$D$4:$AY$137, MATCH('Staging Table'!$A137, Demand_previous!$B$4:$B$137, 0), MATCH(AS$4&amp;AS$5,Demand_previous!$D$2:$AY$2&amp;Demand_previous!$D$3:$AY$3, 0))/1000</f>
        <v>1.6545817307692299</v>
      </c>
      <c r="AT137" s="103">
        <f t="array" ref="AT137">INDEX(Demand_previous!$D$4:$AY$137, MATCH('Staging Table'!$A137, Demand_previous!$B$4:$B$137, 0), MATCH(AT$4&amp;AT$5,Demand_previous!$D$2:$AY$2&amp;Demand_previous!$D$3:$AY$3, 0))/1000</f>
        <v>1.7373032407407409</v>
      </c>
      <c r="AU137" s="103">
        <f t="array" ref="AU137">INDEX(Demand_previous!$D$4:$AY$137, MATCH('Staging Table'!$A137, Demand_previous!$B$4:$B$137, 0), MATCH(AU$4&amp;AU$5,Demand_previous!$D$2:$AY$2&amp;Demand_previous!$D$3:$AY$3, 0))/1000</f>
        <v>0.87231510416666591</v>
      </c>
      <c r="AV137" s="102">
        <f>$F137*(VLOOKUP(AV$4, Rates_previous!$G$6:$Q$29, 10, FALSE)+VLOOKUP(AV$4, Rates_previous!$G$6:$Q$29, 11, FALSE))</f>
        <v>3865.6898866624501</v>
      </c>
      <c r="AW137" s="102">
        <f>$F137*(VLOOKUP(AW$4, Rates_previous!$G$6:$Q$29, 10, FALSE)+VLOOKUP(AW$4, Rates_previous!$G$6:$Q$29, 11, FALSE))</f>
        <v>4930.0293282317007</v>
      </c>
      <c r="AX137" s="102">
        <f>$F137*(VLOOKUP(AX$4, Rates_previous!$G$6:$Q$29, 10, FALSE)+VLOOKUP(AX$4, Rates_previous!$G$6:$Q$29, 11, FALSE))</f>
        <v>5320.4771062905002</v>
      </c>
      <c r="AY137" s="102">
        <f>$F137*(VLOOKUP(AY$4, Rates_previous!$G$6:$Q$29, 10, FALSE)+VLOOKUP(AY$4, Rates_previous!$G$6:$Q$29, 11, FALSE))</f>
        <v>5528.7981944271996</v>
      </c>
      <c r="AZ137" s="102">
        <f>$F137*(VLOOKUP(AZ$4, Rates_previous!$G$6:$Q$29, 10, FALSE)+VLOOKUP(AZ$4, Rates_previous!$G$6:$Q$29, 11, FALSE))</f>
        <v>4755.5033889593997</v>
      </c>
      <c r="BA137" s="102">
        <f>$F137*(VLOOKUP(BA$4, Rates_previous!$G$6:$Q$29, 10, FALSE)+VLOOKUP(BA$4, Rates_previous!$G$6:$Q$29, 11, FALSE))</f>
        <v>5192.0681584232998</v>
      </c>
      <c r="BB137" s="102">
        <f>$F137*(VLOOKUP(BB$4, Rates_previous!$G$6:$Q$29, 10, FALSE)+VLOOKUP(BB$4, Rates_previous!$G$6:$Q$29, 11, FALSE))</f>
        <v>4098.2628415247746</v>
      </c>
      <c r="BC137" s="102">
        <f>$F137*(VLOOKUP(BC$4, Rates_previous!$G$6:$Q$29, 10, FALSE)+VLOOKUP(BC$4, Rates_previous!$G$6:$Q$29, 11, FALSE))</f>
        <v>5084.4442477559505</v>
      </c>
      <c r="BD137" s="102">
        <f>$F137*(VLOOKUP(BD$4, Rates_previous!$G$6:$Q$29, 10, FALSE)+VLOOKUP(BD$4, Rates_previous!$G$6:$Q$29, 11, FALSE))</f>
        <v>5194.76399503215</v>
      </c>
      <c r="BE137" s="102">
        <f>$F137*(VLOOKUP(BE$4, Rates_previous!$G$6:$Q$29, 10, FALSE)+VLOOKUP(BE$4, Rates_previous!$G$6:$Q$29, 11, FALSE))</f>
        <v>4509.8035489314498</v>
      </c>
      <c r="BF137" s="102">
        <f>$F137*(VLOOKUP(BF$4, Rates_previous!$G$6:$Q$29, 10, FALSE)+VLOOKUP(BF$4, Rates_previous!$G$6:$Q$29, 11, FALSE))</f>
        <v>4359.7812867120056</v>
      </c>
      <c r="BG137" s="102">
        <f>$F137*(VLOOKUP(BG$4, Rates_previous!$G$6:$Q$29, 10, FALSE)+VLOOKUP(BG$4, Rates_previous!$G$6:$Q$29, 11, FALSE))</f>
        <v>4011.8430504614003</v>
      </c>
      <c r="BH137" s="103">
        <f>IF($D137=0,IF(C137=0, MAX(BJ137 - (VLOOKUP($A137,TOCA_previous!$A$2:$AJ$136,MATCH("RHWM "&amp;Init!$D$1-2,TOCA_previous!$A$2:$AJ$2,0),FALSE)*$F$2*TOCA_previous!C134),0),0), 0)</f>
        <v>1147.8032605957269</v>
      </c>
      <c r="BI137" s="109">
        <f>MIN(VLOOKUP($A137,TOCA_previous!$A$2:$AJ$136,MATCH("TRL - NLSL - Existing Resource "&amp;$F$1,TOCA_previous!$A$2:$AJ$2,0),FALSE)*$F$2,(VLOOKUP($A137,TOCA_previous!$A$2:$AJ$136,MATCH("RHWM "&amp;Init!$D$1-2,TOCA_previous!$A$2:$AJ$2,0),FALSE)*$F$2))</f>
        <v>55593.935999999994</v>
      </c>
      <c r="BJ137" s="261">
        <f>SUM(L137:AI137)+(F137*RT1SC!$C$3*$F$2)</f>
        <v>56741.739260595721</v>
      </c>
      <c r="BK137" s="260">
        <f>VLOOKUP($A137,TOCA_previous!$A$2:$AJ$136,MATCH("Above RHWM Not Served with LS "&amp;$F$1,TOCA_previous!$A$2:$AJ$2,0),FALSE)*$F$2</f>
        <v>0</v>
      </c>
      <c r="BL137" s="261">
        <f t="shared" si="51"/>
        <v>1147.8032605957269</v>
      </c>
      <c r="BM137" s="260">
        <f>(VLOOKUP($A137,TOCA_previous!$A$2:$AJ$136,MATCH("RHWM "&amp;Init!$D$1-2,TOCA_previous!$A$2:$AJ$2,0),FALSE)*$F$2) - $BI137</f>
        <v>0</v>
      </c>
      <c r="BN137" s="261">
        <f t="shared" si="52"/>
        <v>0</v>
      </c>
      <c r="BO137" s="260">
        <f t="shared" si="53"/>
        <v>0</v>
      </c>
      <c r="BP137" s="261">
        <f t="shared" si="54"/>
        <v>0</v>
      </c>
      <c r="BQ137" s="260">
        <f t="shared" si="9"/>
        <v>0</v>
      </c>
      <c r="BR137" s="85">
        <f>VLOOKUP($A137,TOCA_current!$A$2:$ZZ$136,MATCH(BR$4,TOCA_current!$A$2:$ZZ$2,0),FALSE)</f>
        <v>8.9530000000000002E-4</v>
      </c>
      <c r="BS137" s="85">
        <f>VLOOKUP($A137,TOCA_current!$A$2:$ZZ$136,MATCH(BS$4,TOCA_current!$A$2:$ZZ$2,0),FALSE)</f>
        <v>8.9530000000000002E-4</v>
      </c>
      <c r="BT137" s="108">
        <f t="shared" si="55"/>
        <v>0</v>
      </c>
      <c r="BU137" s="85">
        <f>VLOOKUP($A137,TOCA_current!A134:BG268,MATCH(BU$4,TOCA_current!$A$2:$BG$2,0),FALSE)</f>
        <v>0</v>
      </c>
      <c r="BV137" s="85">
        <f t="shared" si="56"/>
        <v>0</v>
      </c>
      <c r="BW137" s="85">
        <f t="shared" si="57"/>
        <v>0</v>
      </c>
      <c r="BX137" s="101">
        <f>VLOOKUP($A137,IRD!$A$4:$G$138, 7, FALSE)</f>
        <v>0</v>
      </c>
      <c r="BY137" s="102">
        <f t="array" ref="BY137">IF($BT137=0, INDEX(LS_current!$D$4:$BW$137, MATCH('Staging Table'!$A137, LS_current!$B$4:$B$137, 0), MATCH(BY$4&amp;BY$5, LS_current!$D$2:$BW$2&amp;LS_current!$D$3:$BW$3, 0)),SUM(VLOOKUP($A137, LS_current!$B$4:$BW$137, LS_current!D$147, FALSE), VLOOKUP($A137, LS_current!$B$4:$BW$137,LS_current!AZ$147, FALSE))/2)</f>
        <v>334.6709413264457</v>
      </c>
      <c r="BZ137" s="102">
        <f t="array" ref="BZ137">IF($BT137=0, INDEX(LS_current!$D$4:$BW$137, MATCH('Staging Table'!$A137, LS_current!$B$4:$B$137, 0), MATCH(BZ$4&amp;BZ$5, LS_current!$D$2:$BW$2&amp;LS_current!$D$3:$BW$3, 0)),SUM(VLOOKUP($A137, LS_current!$B$4:$BW$137, LS_current!E$147, FALSE), VLOOKUP($A137, LS_current!$B$4:$BW$137,LS_current!BA$147, FALSE))/2)</f>
        <v>28.483562624671777</v>
      </c>
      <c r="CA137" s="102">
        <f t="array" ref="CA137">IF($BT137=0, INDEX(LS_current!$D$4:$BW$137, MATCH('Staging Table'!$A137, LS_current!$B$4:$B$137, 0), MATCH(CA$4&amp;CA$5, LS_current!$D$2:$BW$2&amp;LS_current!$D$3:$BW$3, 0)),SUM(VLOOKUP($A137, LS_current!$B$4:$BW$137, LS_current!F$147, FALSE), VLOOKUP($A137, LS_current!$B$4:$BW$137,LS_current!BB$147, FALSE))/2)</f>
        <v>-42.791968224652919</v>
      </c>
      <c r="CB137" s="102">
        <f t="array" ref="CB137">IF($BT137=0, INDEX(LS_current!$D$4:$BW$137, MATCH('Staging Table'!$A137, LS_current!$B$4:$B$137, 0), MATCH(CB$4&amp;CB$5, LS_current!$D$2:$BW$2&amp;LS_current!$D$3:$BW$3, 0)),SUM(VLOOKUP($A137, LS_current!$B$4:$BW$137, LS_current!G$147, FALSE), VLOOKUP($A137, LS_current!$B$4:$BW$137,LS_current!BC$147, FALSE))/2)</f>
        <v>106.33569516954367</v>
      </c>
      <c r="CC137" s="102">
        <f t="array" ref="CC137">IF($BT137=0, INDEX(LS_current!$D$4:$BW$137, MATCH('Staging Table'!$A137, LS_current!$B$4:$B$137, 0), MATCH(CC$4&amp;CC$5, LS_current!$D$2:$BW$2&amp;LS_current!$D$3:$BW$3, 0)),SUM(VLOOKUP($A137, LS_current!$B$4:$BW$137, LS_current!H$147, FALSE), VLOOKUP($A137, LS_current!$B$4:$BW$137,LS_current!BD$147, FALSE))/2)</f>
        <v>17.878748991309294</v>
      </c>
      <c r="CD137" s="102">
        <f t="array" ref="CD137">IF($BT137=0, INDEX(LS_current!$D$4:$BW$137, MATCH('Staging Table'!$A137, LS_current!$B$4:$B$137, 0), MATCH(CD$4&amp;CD$5, LS_current!$D$2:$BW$2&amp;LS_current!$D$3:$BW$3, 0)),SUM(VLOOKUP($A137, LS_current!$B$4:$BW$137, LS_current!I$147, FALSE), VLOOKUP($A137, LS_current!$B$4:$BW$137,LS_current!BE$147, FALSE))/2)</f>
        <v>270.86127615538317</v>
      </c>
      <c r="CE137" s="102">
        <f t="array" ref="CE137">IF($BT137=0, INDEX(LS_current!$D$4:$BW$137, MATCH('Staging Table'!$A137, LS_current!$B$4:$B$137, 0), MATCH(CE$4&amp;CE$5, LS_current!$D$2:$BW$2&amp;LS_current!$D$3:$BW$3, 0)),SUM(VLOOKUP($A137, LS_current!$B$4:$BW$137, LS_current!J$147, FALSE), VLOOKUP($A137, LS_current!$B$4:$BW$137,LS_current!BF$147, FALSE))/2)</f>
        <v>-172.61713834502007</v>
      </c>
      <c r="CF137" s="102">
        <f t="array" ref="CF137">IF($BT137=0, INDEX(LS_current!$D$4:$BW$137, MATCH('Staging Table'!$A137, LS_current!$B$4:$B$137, 0), MATCH(CF$4&amp;CF$5, LS_current!$D$2:$BW$2&amp;LS_current!$D$3:$BW$3, 0)),SUM(VLOOKUP($A137, LS_current!$B$4:$BW$137, LS_current!K$147, FALSE), VLOOKUP($A137, LS_current!$B$4:$BW$137,LS_current!BG$147, FALSE))/2)</f>
        <v>83.235957891881299</v>
      </c>
      <c r="CG137" s="102">
        <f t="array" ref="CG137">IF($BT137=0, INDEX(LS_current!$D$4:$BW$137, MATCH('Staging Table'!$A137, LS_current!$B$4:$B$137, 0), MATCH(CG$4&amp;CG$5, LS_current!$D$2:$BW$2&amp;LS_current!$D$3:$BW$3, 0)),SUM(VLOOKUP($A137, LS_current!$B$4:$BW$137, LS_current!L$147, FALSE), VLOOKUP($A137, LS_current!$B$4:$BW$137,LS_current!BH$147, FALSE))/2)</f>
        <v>197.4091377552204</v>
      </c>
      <c r="CH137" s="102">
        <f t="array" ref="CH137">IF($BT137=0, INDEX(LS_current!$D$4:$BW$137, MATCH('Staging Table'!$A137, LS_current!$B$4:$B$137, 0), MATCH(CH$4&amp;CH$5, LS_current!$D$2:$BW$2&amp;LS_current!$D$3:$BW$3, 0)),SUM(VLOOKUP($A137, LS_current!$B$4:$BW$137, LS_current!M$147, FALSE), VLOOKUP($A137, LS_current!$B$4:$BW$137,LS_current!BI$147, FALSE))/2)</f>
        <v>210.13487654630444</v>
      </c>
      <c r="CI137" s="102">
        <f t="array" ref="CI137">IF($BT137=0, INDEX(LS_current!$D$4:$BW$137, MATCH('Staging Table'!$A137, LS_current!$B$4:$B$137, 0), MATCH(CI$4&amp;CI$5, LS_current!$D$2:$BW$2&amp;LS_current!$D$3:$BW$3, 0)),SUM(VLOOKUP($A137, LS_current!$B$4:$BW$137, LS_current!N$147, FALSE), VLOOKUP($A137, LS_current!$B$4:$BW$137,LS_current!BJ$147, FALSE))/2)</f>
        <v>-365.97607579845044</v>
      </c>
      <c r="CJ137" s="102">
        <f t="array" ref="CJ137">IF($BT137=0, INDEX(LS_current!$D$4:$BW$137, MATCH('Staging Table'!$A137, LS_current!$B$4:$B$137, 0), MATCH(CJ$4&amp;CJ$5, LS_current!$D$2:$BW$2&amp;LS_current!$D$3:$BW$3, 0)),SUM(VLOOKUP($A137, LS_current!$B$4:$BW$137, LS_current!O$147, FALSE), VLOOKUP($A137, LS_current!$B$4:$BW$137,LS_current!BK$147, FALSE))/2)</f>
        <v>34.547673789894816</v>
      </c>
      <c r="CK137" s="102">
        <f t="array" ref="CK137">IF($BT137=0, INDEX(LS_current!$D$4:$BW$137, MATCH('Staging Table'!$A137, LS_current!$B$4:$B$137, 0), MATCH(CK$4&amp;CK$5, LS_current!$D$2:$BW$2&amp;LS_current!$D$3:$BW$3, 0)),SUM(VLOOKUP($A137, LS_current!$B$4:$BW$137, LS_current!P$147, FALSE), VLOOKUP($A137, LS_current!$B$4:$BW$137,LS_current!BL$147, FALSE))/2)</f>
        <v>177.72715252721991</v>
      </c>
      <c r="CL137" s="102">
        <f t="array" ref="CL137">IF($BT137=0, INDEX(LS_current!$D$4:$BW$137, MATCH('Staging Table'!$A137, LS_current!$B$4:$B$137, 0), MATCH(CL$4&amp;CL$5, LS_current!$D$2:$BW$2&amp;LS_current!$D$3:$BW$3, 0)),SUM(VLOOKUP($A137, LS_current!$B$4:$BW$137, LS_current!Q$147, FALSE), VLOOKUP($A137, LS_current!$B$4:$BW$137,LS_current!BM$147, FALSE))/2)</f>
        <v>-79.298050600778197</v>
      </c>
      <c r="CM137" s="102">
        <f t="array" ref="CM137">IF($BT137=0, INDEX(LS_current!$D$4:$BW$137, MATCH('Staging Table'!$A137, LS_current!$B$4:$B$137, 0), MATCH(CM$4&amp;CM$5, LS_current!$D$2:$BW$2&amp;LS_current!$D$3:$BW$3, 0)),SUM(VLOOKUP($A137, LS_current!$B$4:$BW$137, LS_current!R$147, FALSE), VLOOKUP($A137, LS_current!$B$4:$BW$137,LS_current!BN$147, FALSE))/2)</f>
        <v>-649.7834725339153</v>
      </c>
      <c r="CN137" s="102">
        <f t="array" ref="CN137">IF($BT137=0, INDEX(LS_current!$D$4:$BW$137, MATCH('Staging Table'!$A137, LS_current!$B$4:$B$137, 0), MATCH(CN$4&amp;CN$5, LS_current!$D$2:$BW$2&amp;LS_current!$D$3:$BW$3, 0)),SUM(VLOOKUP($A137, LS_current!$B$4:$BW$137, LS_current!S$147, FALSE), VLOOKUP($A137, LS_current!$B$4:$BW$137,LS_current!BO$147, FALSE))/2)</f>
        <v>-478.51436150071322</v>
      </c>
      <c r="CO137" s="102">
        <f t="array" ref="CO137">IF($BT137=0, INDEX(LS_current!$D$4:$BW$137, MATCH('Staging Table'!$A137, LS_current!$B$4:$B$137, 0), MATCH(CO$4&amp;CO$5, LS_current!$D$2:$BW$2&amp;LS_current!$D$3:$BW$3, 0)),SUM(VLOOKUP($A137, LS_current!$B$4:$BW$137, LS_current!T$147, FALSE), VLOOKUP($A137, LS_current!$B$4:$BW$137,LS_current!BP$147, FALSE))/2)</f>
        <v>-406.66726777879649</v>
      </c>
      <c r="CP137" s="102">
        <f t="array" ref="CP137">IF($BT137=0, INDEX(LS_current!$D$4:$BW$137, MATCH('Staging Table'!$A137, LS_current!$B$4:$B$137, 0), MATCH(CP$4&amp;CP$5, LS_current!$D$2:$BW$2&amp;LS_current!$D$3:$BW$3, 0)),SUM(VLOOKUP($A137, LS_current!$B$4:$BW$137, LS_current!U$147, FALSE), VLOOKUP($A137, LS_current!$B$4:$BW$137,LS_current!BQ$147, FALSE))/2)</f>
        <v>-278.55140063069371</v>
      </c>
      <c r="CQ137" s="102">
        <f t="array" ref="CQ137">IF($BT137=0, INDEX(LS_current!$D$4:$BW$137, MATCH('Staging Table'!$A137, LS_current!$B$4:$B$137, 0), MATCH(CQ$4&amp;CQ$5, LS_current!$D$2:$BW$2&amp;LS_current!$D$3:$BW$3, 0)),SUM(VLOOKUP($A137, LS_current!$B$4:$BW$137, LS_current!V$147, FALSE), VLOOKUP($A137, LS_current!$B$4:$BW$137,LS_current!BR$147, FALSE))/2)</f>
        <v>744.88476054092416</v>
      </c>
      <c r="CR137" s="102">
        <f t="array" ref="CR137">IF($BT137=0, INDEX(LS_current!$D$4:$BW$137, MATCH('Staging Table'!$A137, LS_current!$B$4:$B$137, 0), MATCH(CR$4&amp;CR$5, LS_current!$D$2:$BW$2&amp;LS_current!$D$3:$BW$3, 0)),SUM(VLOOKUP($A137, LS_current!$B$4:$BW$137, LS_current!W$147, FALSE), VLOOKUP($A137, LS_current!$B$4:$BW$137,LS_current!BS$147, FALSE))/2)</f>
        <v>315.33794710166944</v>
      </c>
      <c r="CS137" s="102">
        <f t="array" ref="CS137">IF($BT137=0, INDEX(LS_current!$D$4:$BW$137, MATCH('Staging Table'!$A137, LS_current!$B$4:$B$137, 0), MATCH(CS$4&amp;CS$5, LS_current!$D$2:$BW$2&amp;LS_current!$D$3:$BW$3, 0)),SUM(VLOOKUP($A137, LS_current!$B$4:$BW$137, LS_current!X$147, FALSE), VLOOKUP($A137, LS_current!$B$4:$BW$137,LS_current!BT$147, FALSE))/2)</f>
        <v>282.08807209451334</v>
      </c>
      <c r="CT137" s="102">
        <f t="array" ref="CT137">IF($BT137=0, INDEX(LS_current!$D$4:$BW$137, MATCH('Staging Table'!$A137, LS_current!$B$4:$B$137, 0), MATCH(CT$4&amp;CT$5, LS_current!$D$2:$BW$2&amp;LS_current!$D$3:$BW$3, 0)),SUM(VLOOKUP($A137, LS_current!$B$4:$BW$137, LS_current!Y$147, FALSE), VLOOKUP($A137, LS_current!$B$4:$BW$137,LS_current!BU$147, FALSE))/2)</f>
        <v>290.28803806166115</v>
      </c>
      <c r="CU137" s="102">
        <f t="array" ref="CU137">IF($BT137=0, INDEX(LS_current!$D$4:$BW$137, MATCH('Staging Table'!$A137, LS_current!$B$4:$B$137, 0), MATCH(CU$4&amp;CU$5, LS_current!$D$2:$BW$2&amp;LS_current!$D$3:$BW$3, 0)),SUM(VLOOKUP($A137, LS_current!$B$4:$BW$137, LS_current!Z$147, FALSE), VLOOKUP($A137, LS_current!$B$4:$BW$137,LS_current!BV$147, FALSE))/2)</f>
        <v>290.87406659817043</v>
      </c>
      <c r="CV137" s="102">
        <f t="array" ref="CV137">IF($BT137=0, INDEX(LS_current!$D$4:$BW$137, MATCH('Staging Table'!$A137, LS_current!$B$4:$B$137, 0), MATCH(CV$4&amp;CV$5, LS_current!$D$2:$BW$2&amp;LS_current!$D$3:$BW$3, 0)),SUM(VLOOKUP($A137, LS_current!$B$4:$BW$137, LS_current!AA$147, FALSE), VLOOKUP($A137, LS_current!$B$4:$BW$137,LS_current!BW$147, FALSE))/2)</f>
        <v>72.190626622840455</v>
      </c>
      <c r="CW137" s="103">
        <f t="array" ref="CW137">INDEX(Demand_current!$D$4:$BW$137, MATCH($A137, Demand_current!$B$4:$B$137, 0), MATCH(CW$4&amp;CW$5,Demand_current!$D$2:$BW$2&amp;Demand_current!$D$3:$BW$3, 0))/1000</f>
        <v>0.82684490740740846</v>
      </c>
      <c r="CX137" s="103">
        <f t="array" ref="CX137">INDEX(Demand_current!$D$4:$BW$137, MATCH($A137, Demand_current!$B$4:$B$137, 0), MATCH(CX$4&amp;CX$5,Demand_current!$D$2:$BW$2&amp;Demand_current!$D$3:$BW$3, 0))/1000</f>
        <v>0.63654947916666593</v>
      </c>
      <c r="CY137" s="103">
        <f t="array" ref="CY137">INDEX(Demand_current!$D$4:$BW$137, MATCH($A137, Demand_current!$B$4:$B$137, 0), MATCH(CY$4&amp;CY$5,Demand_current!$D$2:$BW$2&amp;Demand_current!$D$3:$BW$3, 0))/1000</f>
        <v>0.72182451923076929</v>
      </c>
      <c r="CZ137" s="103">
        <f t="array" ref="CZ137">INDEX(Demand_current!$D$4:$BW$137, MATCH($A137, Demand_current!$B$4:$B$137, 0), MATCH(CZ$4&amp;CZ$5,Demand_current!$D$2:$BW$2&amp;Demand_current!$D$3:$BW$3, 0))/1000</f>
        <v>0.75300480769230838</v>
      </c>
      <c r="DA137" s="103">
        <f t="array" ref="DA137">INDEX(Demand_current!$D$4:$BW$137, MATCH($A137, Demand_current!$B$4:$B$137, 0), MATCH(DA$4&amp;DA$5,Demand_current!$D$2:$BW$2&amp;Demand_current!$D$3:$BW$3, 0))/1000</f>
        <v>0.75063541666666733</v>
      </c>
      <c r="DB137" s="103">
        <f t="array" ref="DB137">INDEX(Demand_current!$D$4:$BW$137, MATCH($A137, Demand_current!$B$4:$B$137, 0), MATCH(DB$4&amp;DB$5,Demand_current!$D$2:$BW$2&amp;Demand_current!$D$3:$BW$3, 0))/1000</f>
        <v>0.91059615384615311</v>
      </c>
      <c r="DC137" s="103">
        <f t="array" ref="DC137">INDEX(Demand_current!$D$4:$BW$137, MATCH($A137, Demand_current!$B$4:$B$137, 0), MATCH(DC$4&amp;DC$5,Demand_current!$D$2:$BW$2&amp;Demand_current!$D$3:$BW$3, 0))/1000</f>
        <v>0.83933173076923073</v>
      </c>
      <c r="DD137" s="103">
        <f t="array" ref="DD137">INDEX(Demand_current!$D$4:$BW$137, MATCH($A137, Demand_current!$B$4:$B$137, 0), MATCH(DD$4&amp;DD$5,Demand_current!$D$2:$BW$2&amp;Demand_current!$D$3:$BW$3, 0))/1000</f>
        <v>1.1468800000000001</v>
      </c>
      <c r="DE137" s="103">
        <f t="array" ref="DE137">INDEX(Demand_current!$D$4:$BW$137, MATCH($A137, Demand_current!$B$4:$B$137, 0), MATCH(DE$4&amp;DE$5,Demand_current!$D$2:$BW$2&amp;Demand_current!$D$3:$BW$3, 0))/1000</f>
        <v>1.4231682692307692</v>
      </c>
      <c r="DF137" s="103">
        <f t="array" ref="DF137">INDEX(Demand_current!$D$4:$BW$137, MATCH($A137, Demand_current!$B$4:$B$137, 0), MATCH(DF$4&amp;DF$5,Demand_current!$D$2:$BW$2&amp;Demand_current!$D$3:$BW$3, 0))/1000</f>
        <v>1.6545817307692299</v>
      </c>
      <c r="DG137" s="103">
        <f t="array" ref="DG137">INDEX(Demand_current!$D$4:$BW$137, MATCH($A137, Demand_current!$B$4:$B$137, 0), MATCH(DG$4&amp;DG$5,Demand_current!$D$2:$BW$2&amp;Demand_current!$D$3:$BW$3, 0))/1000</f>
        <v>1.4373918269230774</v>
      </c>
      <c r="DH137" s="103">
        <f t="array" ref="DH137">INDEX(Demand_current!$D$4:$BW$137, MATCH($A137, Demand_current!$B$4:$B$137, 0), MATCH(DH$4&amp;DH$5,Demand_current!$D$2:$BW$2&amp;Demand_current!$D$3:$BW$3, 0))/1000</f>
        <v>1.1364224999999992</v>
      </c>
      <c r="DI137" s="102">
        <f>$BS137*(VLOOKUP(DI$4, Rates_current!$H$6:$R$41, 10, FALSE)+VLOOKUP(DI$4, Rates_current!$H$6:$R$41, 11, FALSE))</f>
        <v>3715.7524960488822</v>
      </c>
      <c r="DJ137" s="102">
        <f>$BS137*(VLOOKUP(DJ$4, Rates_current!$H$6:$R$41, 10, FALSE)+VLOOKUP(DJ$4, Rates_current!$H$6:$R$41, 11, FALSE))</f>
        <v>4750.4672730551092</v>
      </c>
      <c r="DK137" s="102">
        <f>$BS137*(VLOOKUP(DK$4, Rates_current!$H$6:$R$41, 10, FALSE)+VLOOKUP(DK$4, Rates_current!$H$6:$R$41, 11, FALSE))</f>
        <v>5400.8839748533064</v>
      </c>
      <c r="DL137" s="102">
        <f>$BS137*(VLOOKUP(DL$4, Rates_current!$H$6:$R$41, 10, FALSE)+VLOOKUP(DL$4, Rates_current!$H$6:$R$41, 11, FALSE))</f>
        <v>5698.3541804531387</v>
      </c>
      <c r="DM137" s="102">
        <f>$BS137*(VLOOKUP(DM$4, Rates_current!$H$6:$R$41, 10, FALSE)+VLOOKUP(DM$4, Rates_current!$H$6:$R$41, 11, FALSE))</f>
        <v>4541.0739856984756</v>
      </c>
      <c r="DN137" s="102">
        <f>$BS137*(VLOOKUP(DN$4, Rates_current!$H$6:$R$41, 10, FALSE)+VLOOKUP(DN$4, Rates_current!$H$6:$R$41, 11, FALSE))</f>
        <v>4964.3264020085553</v>
      </c>
      <c r="DO137" s="102">
        <f>$BS137*(VLOOKUP(DO$4, Rates_current!$H$6:$R$41, 10, FALSE)+VLOOKUP(DO$4, Rates_current!$H$6:$R$41, 11, FALSE))</f>
        <v>3847.4028980735584</v>
      </c>
      <c r="DP137" s="102">
        <f>$BS137*(VLOOKUP(DP$4, Rates_current!$H$6:$R$41, 10, FALSE)+VLOOKUP(DP$4, Rates_current!$H$6:$R$41, 11, FALSE))</f>
        <v>4979.1728340346281</v>
      </c>
      <c r="DQ137" s="102">
        <f>$BS137*(VLOOKUP(DQ$4, Rates_current!$H$6:$R$41, 10, FALSE)+VLOOKUP(DQ$4, Rates_current!$H$6:$R$41, 11, FALSE))</f>
        <v>5085.4926684094908</v>
      </c>
      <c r="DR137" s="102">
        <f>$BS137*(VLOOKUP(DR$4, Rates_current!$H$6:$R$41, 10, FALSE)+VLOOKUP(DR$4, Rates_current!$H$6:$R$41, 11, FALSE))</f>
        <v>4526.5282923574059</v>
      </c>
      <c r="DS137" s="102">
        <f>$BS137*(VLOOKUP(DS$4, Rates_current!$H$6:$R$41, 10, FALSE)+VLOOKUP(DS$4, Rates_current!$H$6:$R$41, 11, FALSE))</f>
        <v>4643.3878898438261</v>
      </c>
      <c r="DT137" s="102">
        <f>$BS137*(VLOOKUP(DT$4, Rates_current!$H$6:$R$41, 10, FALSE)+VLOOKUP(DT$4, Rates_current!$H$6:$R$41, 11, FALSE))</f>
        <v>3606.1473067789893</v>
      </c>
      <c r="DU137" s="261">
        <f>IF(D137=0,IF(C137=0,MAX(0,DW137 - (VLOOKUP($A137,TOCA_current!$A$2:$AV$136,MATCH("RHWM "&amp;Init!$D$1,TOCA_current!$A$2:$AV$2,0),FALSE)*$BS$2)), 0),0)</f>
        <v>984.34229144064739</v>
      </c>
      <c r="DV137" s="262">
        <f>MIN(VLOOKUP($A137,TOCA_current!$A$2:$AV$136,MATCH("TRL - NLSL - Existing Resource "&amp;$BS$1,TOCA_current!$A$2:$AV$2,0),FALSE)*$BS$2, VLOOKUP($A137,TOCA_current!$A$2:$AV$136,MATCH("RHWM "&amp;Init!$D$1,TOCA_current!$A$2:$AV$2,0),FALSE)*$BS$2)</f>
        <v>55757.4</v>
      </c>
      <c r="DW137" s="262">
        <f>SUM(BY137:CV137)+(BS137*RT1SC!$C$4*$BS$2)</f>
        <v>56741.742291440649</v>
      </c>
      <c r="DX137" s="262">
        <f>VLOOKUP($A137,TOCA_current!$A$2:$AV$136,MATCH("Above RHWM Not Served with LS "&amp;$BS$1,TOCA_current!$A$2:$AV$2,0),FALSE)*$BS$2</f>
        <v>0</v>
      </c>
      <c r="DY137" s="262">
        <f t="shared" si="58"/>
        <v>984.34229144064739</v>
      </c>
      <c r="DZ137" s="262">
        <f>(VLOOKUP($A137,TOCA_current!$A$2:$AV$136,MATCH("RHWM "&amp;Init!$D$1,TOCA_current!$A$2:$AV$2,0),FALSE)*$BS$2) - $DV137</f>
        <v>0</v>
      </c>
      <c r="EA137" s="262">
        <f t="shared" si="59"/>
        <v>0</v>
      </c>
      <c r="EB137" s="262">
        <f t="shared" si="60"/>
        <v>0</v>
      </c>
      <c r="EC137" s="262">
        <f t="shared" si="61"/>
        <v>0</v>
      </c>
      <c r="ED137" s="262">
        <f t="shared" si="62"/>
        <v>0</v>
      </c>
    </row>
    <row r="138" spans="1:134">
      <c r="A138" s="2">
        <v>12026</v>
      </c>
      <c r="B138" s="3" t="s">
        <v>139</v>
      </c>
      <c r="C138">
        <f>VLOOKUP(A138, TOCA_current!$A$3:$D$136, 4, FALSE)</f>
        <v>0</v>
      </c>
      <c r="D138">
        <v>0</v>
      </c>
      <c r="E138" s="84">
        <f>VLOOKUP($A138,TOCA_previous!$A$2:$AJ$136,MATCH(E$4,TOCA_previous!$A$2:$AJ$2,0),FALSE)</f>
        <v>6.5396999999999999E-3</v>
      </c>
      <c r="F138" s="85">
        <f>VLOOKUP($A138,TOCA_previous!$A$2:$AJ$136,MATCH(F$4,TOCA_previous!$A$2:$AJ$2,0),FALSE)</f>
        <v>6.5396999999999999E-3</v>
      </c>
      <c r="G138" s="85">
        <f t="shared" si="48"/>
        <v>0</v>
      </c>
      <c r="H138" s="85">
        <f>VLOOKUP($A138,TOCA_previous!$A$2:$AJ$136,MATCH(H$4,TOCA_previous!$A$2:$AJ$2,0),FALSE)</f>
        <v>0</v>
      </c>
      <c r="I138" s="85">
        <f t="shared" si="49"/>
        <v>0</v>
      </c>
      <c r="J138" s="85">
        <f t="shared" si="50"/>
        <v>0</v>
      </c>
      <c r="K138" s="101">
        <f>VLOOKUP(A138, IRD!$A$5:$C$138, 3, FALSE)</f>
        <v>0</v>
      </c>
      <c r="L138" s="102">
        <f t="array" ref="L138">IF($G138=0, INDEX(LS_previous!$D$4:$AY$137, MATCH('Staging Table'!$A138, LS_previous!$B$4:$B$137, 0), MATCH(L$4&amp;L$5, LS_previous!$D$2:$AY$2&amp;LS_previous!$D$3:$AY$3, 0)),SUM(VLOOKUP($A138, LS_previous!$B$4:$AY$137, LS_previous!D$148, FALSE), VLOOKUP('Staging Table'!$A138, LS_previous!$B$4:$AY$137,LS_previous!AB$148, FALSE))/2)</f>
        <v>3872.0007377707989</v>
      </c>
      <c r="M138" s="102">
        <f t="array" ref="M138">IF($G138=0, INDEX(LS_previous!$D$4:$AY$137, MATCH('Staging Table'!$A138, LS_previous!$B$4:$B$137, 0), MATCH(M$4&amp;M$5, LS_previous!$D$2:$AY$2&amp;LS_previous!$D$3:$AY$3, 0)),SUM(VLOOKUP($A138, LS_previous!$B$4:$AY$137, LS_previous!E$148, FALSE), VLOOKUP('Staging Table'!$A138, LS_previous!$B$4:$AY$137,LS_previous!AC$148, FALSE))/2)</f>
        <v>1248.193303147651</v>
      </c>
      <c r="N138" s="102">
        <f t="array" ref="N138">IF($G138=0, INDEX(LS_previous!$D$4:$AY$137, MATCH('Staging Table'!$A138, LS_previous!$B$4:$B$137, 0), MATCH(N$4&amp;N$5, LS_previous!$D$2:$AY$2&amp;LS_previous!$D$3:$AY$3, 0)),SUM(VLOOKUP($A138, LS_previous!$B$4:$AY$137, LS_previous!F$148, FALSE), VLOOKUP('Staging Table'!$A138, LS_previous!$B$4:$AY$137,LS_previous!AD$148, FALSE))/2)</f>
        <v>599.23222107840047</v>
      </c>
      <c r="O138" s="102">
        <f t="array" ref="O138">IF($G138=0, INDEX(LS_previous!$D$4:$AY$137, MATCH('Staging Table'!$A138, LS_previous!$B$4:$B$137, 0), MATCH(O$4&amp;O$5, LS_previous!$D$2:$AY$2&amp;LS_previous!$D$3:$AY$3, 0)),SUM(VLOOKUP($A138, LS_previous!$B$4:$AY$137, LS_previous!G$148, FALSE), VLOOKUP('Staging Table'!$A138, LS_previous!$B$4:$AY$137,LS_previous!AE$148, FALSE))/2)</f>
        <v>2095.9525168493001</v>
      </c>
      <c r="P138" s="102">
        <f t="array" ref="P138">IF($G138=0, INDEX(LS_previous!$D$4:$AY$137, MATCH('Staging Table'!$A138, LS_previous!$B$4:$B$137, 0), MATCH(P$4&amp;P$5, LS_previous!$D$2:$AY$2&amp;LS_previous!$D$3:$AY$3, 0)),SUM(VLOOKUP($A138, LS_previous!$B$4:$AY$137, LS_previous!H$148, FALSE), VLOOKUP('Staging Table'!$A138, LS_previous!$B$4:$AY$137,LS_previous!AF$148, FALSE))/2)</f>
        <v>5293.3004126617016</v>
      </c>
      <c r="Q138" s="102">
        <f t="array" ref="Q138">IF($G138=0, INDEX(LS_previous!$D$4:$AY$137, MATCH('Staging Table'!$A138, LS_previous!$B$4:$B$137, 0), MATCH(Q$4&amp;Q$5, LS_previous!$D$2:$AY$2&amp;LS_previous!$D$3:$AY$3, 0)),SUM(VLOOKUP($A138, LS_previous!$B$4:$AY$137, LS_previous!I$148, FALSE), VLOOKUP('Staging Table'!$A138, LS_previous!$B$4:$AY$137,LS_previous!AG$148, FALSE))/2)</f>
        <v>3365.9180262688024</v>
      </c>
      <c r="R138" s="102">
        <f t="array" ref="R138">IF($G138=0, INDEX(LS_previous!$D$4:$AY$137, MATCH('Staging Table'!$A138, LS_previous!$B$4:$B$137, 0), MATCH(R$4&amp;R$5, LS_previous!$D$2:$AY$2&amp;LS_previous!$D$3:$AY$3, 0)),SUM(VLOOKUP($A138, LS_previous!$B$4:$AY$137, LS_previous!J$148, FALSE), VLOOKUP('Staging Table'!$A138, LS_previous!$B$4:$AY$137,LS_previous!AH$148, FALSE))/2)</f>
        <v>4272.3138914144984</v>
      </c>
      <c r="S138" s="102">
        <f t="array" ref="S138">IF($G138=0, INDEX(LS_previous!$D$4:$AY$137, MATCH('Staging Table'!$A138, LS_previous!$B$4:$B$137, 0), MATCH(S$4&amp;S$5, LS_previous!$D$2:$AY$2&amp;LS_previous!$D$3:$AY$3, 0)),SUM(VLOOKUP($A138, LS_previous!$B$4:$AY$137, LS_previous!K$148, FALSE), VLOOKUP('Staging Table'!$A138, LS_previous!$B$4:$AY$137,LS_previous!AI$148, FALSE))/2)</f>
        <v>4012.2457317487006</v>
      </c>
      <c r="T138" s="102">
        <f t="array" ref="T138">IF($G138=0, INDEX(LS_previous!$D$4:$AY$137, MATCH('Staging Table'!$A138, LS_previous!$B$4:$B$137, 0), MATCH(T$4&amp;T$5, LS_previous!$D$2:$AY$2&amp;LS_previous!$D$3:$AY$3, 0)),SUM(VLOOKUP($A138, LS_previous!$B$4:$AY$137, LS_previous!L$148, FALSE), VLOOKUP('Staging Table'!$A138, LS_previous!$B$4:$AY$137,LS_previous!AJ$148, FALSE))/2)</f>
        <v>3552.6169501037002</v>
      </c>
      <c r="U138" s="102">
        <f t="array" ref="U138">IF($G138=0, INDEX(LS_previous!$D$4:$AY$137, MATCH('Staging Table'!$A138, LS_previous!$B$4:$B$137, 0), MATCH(U$4&amp;U$5, LS_previous!$D$2:$AY$2&amp;LS_previous!$D$3:$AY$3, 0)),SUM(VLOOKUP($A138, LS_previous!$B$4:$AY$137, LS_previous!M$148, FALSE), VLOOKUP('Staging Table'!$A138, LS_previous!$B$4:$AY$137,LS_previous!AK$148, FALSE))/2)</f>
        <v>3643.4931587277006</v>
      </c>
      <c r="V138" s="102">
        <f t="array" ref="V138">IF($G138=0, INDEX(LS_previous!$D$4:$AY$137, MATCH('Staging Table'!$A138, LS_previous!$B$4:$B$137, 0), MATCH(V$4&amp;V$5, LS_previous!$D$2:$AY$2&amp;LS_previous!$D$3:$AY$3, 0)),SUM(VLOOKUP($A138, LS_previous!$B$4:$AY$137, LS_previous!N$148, FALSE), VLOOKUP('Staging Table'!$A138, LS_previous!$B$4:$AY$137,LS_previous!AL$148, FALSE))/2)</f>
        <v>1618.1829767138988</v>
      </c>
      <c r="W138" s="102">
        <f t="array" ref="W138">IF($G138=0, INDEX(LS_previous!$D$4:$AY$137, MATCH('Staging Table'!$A138, LS_previous!$B$4:$B$137, 0), MATCH(W$4&amp;W$5, LS_previous!$D$2:$AY$2&amp;LS_previous!$D$3:$AY$3, 0)),SUM(VLOOKUP($A138, LS_previous!$B$4:$AY$137, LS_previous!O$148, FALSE), VLOOKUP('Staging Table'!$A138, LS_previous!$B$4:$AY$137,LS_previous!AM$148, FALSE))/2)</f>
        <v>1765.1084984134013</v>
      </c>
      <c r="X138" s="102">
        <f t="array" ref="X138">IF($G138=0, INDEX(LS_previous!$D$4:$AY$137, MATCH('Staging Table'!$A138, LS_previous!$B$4:$B$137, 0), MATCH(X$4&amp;X$5, LS_previous!$D$2:$AY$2&amp;LS_previous!$D$3:$AY$3, 0)),SUM(VLOOKUP($A138, LS_previous!$B$4:$AY$137, LS_previous!P$148, FALSE), VLOOKUP('Staging Table'!$A138, LS_previous!$B$4:$AY$137,LS_previous!AN$148, FALSE))/2)</f>
        <v>3102.7698574832502</v>
      </c>
      <c r="Y138" s="102">
        <f t="array" ref="Y138">IF($G138=0, INDEX(LS_previous!$D$4:$AY$137, MATCH('Staging Table'!$A138, LS_previous!$B$4:$B$137, 0), MATCH(Y$4&amp;Y$5, LS_previous!$D$2:$AY$2&amp;LS_previous!$D$3:$AY$3, 0)),SUM(VLOOKUP($A138, LS_previous!$B$4:$AY$137, LS_previous!Q$148, FALSE), VLOOKUP('Staging Table'!$A138, LS_previous!$B$4:$AY$137,LS_previous!AO$148, FALSE))/2)</f>
        <v>1630.4490241935255</v>
      </c>
      <c r="Z138" s="102">
        <f t="array" ref="Z138">IF($G138=0, INDEX(LS_previous!$D$4:$AY$137, MATCH('Staging Table'!$A138, LS_previous!$B$4:$B$137, 0), MATCH(Z$4&amp;Z$5, LS_previous!$D$2:$AY$2&amp;LS_previous!$D$3:$AY$3, 0)),SUM(VLOOKUP($A138, LS_previous!$B$4:$AY$137, LS_previous!R$148, FALSE), VLOOKUP('Staging Table'!$A138, LS_previous!$B$4:$AY$137,LS_previous!AP$148, FALSE))/2)</f>
        <v>-5378.0476408656032</v>
      </c>
      <c r="AA138" s="102">
        <f t="array" ref="AA138">IF($G138=0, INDEX(LS_previous!$D$4:$AY$137, MATCH('Staging Table'!$A138, LS_previous!$B$4:$B$137, 0), MATCH(AA$4&amp;AA$5, LS_previous!$D$2:$AY$2&amp;LS_previous!$D$3:$AY$3, 0)),SUM(VLOOKUP($A138, LS_previous!$B$4:$AY$137, LS_previous!S$148, FALSE), VLOOKUP('Staging Table'!$A138, LS_previous!$B$4:$AY$137,LS_previous!AQ$148, FALSE))/2)</f>
        <v>-2366.1021758424486</v>
      </c>
      <c r="AB138" s="102">
        <f t="array" ref="AB138">IF($G138=0, INDEX(LS_previous!$D$4:$AY$137, MATCH('Staging Table'!$A138, LS_previous!$B$4:$B$137, 0), MATCH(AB$4&amp;AB$5, LS_previous!$D$2:$AY$2&amp;LS_previous!$D$3:$AY$3, 0)),SUM(VLOOKUP($A138, LS_previous!$B$4:$AY$137, LS_previous!T$148, FALSE), VLOOKUP('Staging Table'!$A138, LS_previous!$B$4:$AY$137,LS_previous!AR$148, FALSE))/2)</f>
        <v>-6859.9478336621978</v>
      </c>
      <c r="AC138" s="102">
        <f t="array" ref="AC138">IF($G138=0, INDEX(LS_previous!$D$4:$AY$137, MATCH('Staging Table'!$A138, LS_previous!$B$4:$B$137, 0), MATCH(AC$4&amp;AC$5, LS_previous!$D$2:$AY$2&amp;LS_previous!$D$3:$AY$3, 0)),SUM(VLOOKUP($A138, LS_previous!$B$4:$AY$137, LS_previous!U$148, FALSE), VLOOKUP('Staging Table'!$A138, LS_previous!$B$4:$AY$137,LS_previous!AS$148, FALSE))/2)</f>
        <v>-4215.6490739136498</v>
      </c>
      <c r="AD138" s="102">
        <f t="array" ref="AD138">IF($G138=0, INDEX(LS_previous!$D$4:$AY$137, MATCH('Staging Table'!$A138, LS_previous!$B$4:$B$137, 0), MATCH(AD$4&amp;AD$5, LS_previous!$D$2:$AY$2&amp;LS_previous!$D$3:$AY$3, 0)),SUM(VLOOKUP($A138, LS_previous!$B$4:$AY$137, LS_previous!V$148, FALSE), VLOOKUP('Staging Table'!$A138, LS_previous!$B$4:$AY$137,LS_previous!AT$148, FALSE))/2)</f>
        <v>-4045.7226270308001</v>
      </c>
      <c r="AE138" s="102">
        <f t="array" ref="AE138">IF($G138=0, INDEX(LS_previous!$D$4:$AY$137, MATCH('Staging Table'!$A138, LS_previous!$B$4:$B$137, 0), MATCH(AE$4&amp;AE$5, LS_previous!$D$2:$AY$2&amp;LS_previous!$D$3:$AY$3, 0)),SUM(VLOOKUP($A138, LS_previous!$B$4:$AY$137, LS_previous!W$148, FALSE), VLOOKUP('Staging Table'!$A138, LS_previous!$B$4:$AY$137,LS_previous!AU$148, FALSE))/2)</f>
        <v>-2400.539567061749</v>
      </c>
      <c r="AF138" s="102">
        <f t="array" ref="AF138">IF($G138=0, INDEX(LS_previous!$D$4:$AY$137, MATCH('Staging Table'!$A138, LS_previous!$B$4:$B$137, 0), MATCH(AF$4&amp;AF$5, LS_previous!$D$2:$AY$2&amp;LS_previous!$D$3:$AY$3, 0)),SUM(VLOOKUP($A138, LS_previous!$B$4:$AY$137, LS_previous!X$148, FALSE), VLOOKUP('Staging Table'!$A138, LS_previous!$B$4:$AY$137,LS_previous!AV$148, FALSE))/2)</f>
        <v>-3706.9712345585522</v>
      </c>
      <c r="AG138" s="102">
        <f t="array" ref="AG138">IF($G138=0, INDEX(LS_previous!$D$4:$AY$137, MATCH('Staging Table'!$A138, LS_previous!$B$4:$B$137, 0), MATCH(AG$4&amp;AG$5, LS_previous!$D$2:$AY$2&amp;LS_previous!$D$3:$AY$3, 0)),SUM(VLOOKUP($A138, LS_previous!$B$4:$AY$137, LS_previous!Y$148, FALSE), VLOOKUP('Staging Table'!$A138, LS_previous!$B$4:$AY$137,LS_previous!AW$148, FALSE))/2)</f>
        <v>-1654.815120795045</v>
      </c>
      <c r="AH138" s="102">
        <f t="array" ref="AH138">IF($G138=0, INDEX(LS_previous!$D$4:$AY$137, MATCH('Staging Table'!$A138, LS_previous!$B$4:$B$137, 0), MATCH(AH$4&amp;AH$5, LS_previous!$D$2:$AY$2&amp;LS_previous!$D$3:$AY$3, 0)),SUM(VLOOKUP($A138, LS_previous!$B$4:$AY$137, LS_previous!Z$148, FALSE), VLOOKUP('Staging Table'!$A138, LS_previous!$B$4:$AY$137,LS_previous!AX$148, FALSE))/2)</f>
        <v>-1050.451830477803</v>
      </c>
      <c r="AI138" s="102">
        <f t="array" ref="AI138">IF($G138=0, INDEX(LS_previous!$D$4:$AY$137, MATCH('Staging Table'!$A138, LS_previous!$B$4:$B$137, 0), MATCH(AI$4&amp;AI$5, LS_previous!$D$2:$AY$2&amp;LS_previous!$D$3:$AY$3, 0)),SUM(VLOOKUP($A138, LS_previous!$B$4:$AY$137, LS_previous!AA$148, FALSE), VLOOKUP('Staging Table'!$A138, LS_previous!$B$4:$AY$137,LS_previous!AY$148, FALSE))/2)</f>
        <v>-1308.5229294288001</v>
      </c>
      <c r="AJ138" s="103">
        <f t="array" ref="AJ138">INDEX(Demand_previous!$D$4:$AY$137, MATCH('Staging Table'!$A138, Demand_previous!$B$4:$B$137, 0), MATCH(AJ$4&amp;AJ$5,Demand_previous!$D$2:$AY$2&amp;Demand_previous!$D$3:$AY$3, 0))/1000</f>
        <v>0</v>
      </c>
      <c r="AK138" s="103">
        <f t="array" ref="AK138">INDEX(Demand_previous!$D$4:$AY$137, MATCH('Staging Table'!$A138, Demand_previous!$B$4:$B$137, 0), MATCH(AK$4&amp;AK$5,Demand_previous!$D$2:$AY$2&amp;Demand_previous!$D$3:$AY$3, 0))/1000</f>
        <v>10.643000000000001</v>
      </c>
      <c r="AL138" s="103">
        <f t="array" ref="AL138">INDEX(Demand_previous!$D$4:$AY$137, MATCH('Staging Table'!$A138, Demand_previous!$B$4:$B$137, 0), MATCH(AL$4&amp;AL$5,Demand_previous!$D$2:$AY$2&amp;Demand_previous!$D$3:$AY$3, 0))/1000</f>
        <v>7.2504474999999964</v>
      </c>
      <c r="AM138" s="103">
        <f t="array" ref="AM138">INDEX(Demand_previous!$D$4:$AY$137, MATCH('Staging Table'!$A138, Demand_previous!$B$4:$B$137, 0), MATCH(AM$4&amp;AM$5,Demand_previous!$D$2:$AY$2&amp;Demand_previous!$D$3:$AY$3, 0))/1000</f>
        <v>16.647324519230782</v>
      </c>
      <c r="AN138" s="103">
        <f t="array" ref="AN138">INDEX(Demand_previous!$D$4:$AY$137, MATCH('Staging Table'!$A138, Demand_previous!$B$4:$B$137, 0), MATCH(AN$4&amp;AN$5,Demand_previous!$D$2:$AY$2&amp;Demand_previous!$D$3:$AY$3, 0))/1000</f>
        <v>11.343</v>
      </c>
      <c r="AO138" s="103">
        <f t="array" ref="AO138">INDEX(Demand_previous!$D$4:$AY$137, MATCH('Staging Table'!$A138, Demand_previous!$B$4:$B$137, 0), MATCH(AO$4&amp;AO$5,Demand_previous!$D$2:$AY$2&amp;Demand_previous!$D$3:$AY$3, 0))/1000</f>
        <v>7.0369158653846142</v>
      </c>
      <c r="AP138" s="103">
        <f t="array" ref="AP138">INDEX(Demand_previous!$D$4:$AY$137, MATCH('Staging Table'!$A138, Demand_previous!$B$4:$B$137, 0), MATCH(AP$4&amp;AP$5,Demand_previous!$D$2:$AY$2&amp;Demand_previous!$D$3:$AY$3, 0))/1000</f>
        <v>6.7109903846153927</v>
      </c>
      <c r="AQ138" s="103">
        <f t="array" ref="AQ138">INDEX(Demand_previous!$D$4:$AY$137, MATCH('Staging Table'!$A138, Demand_previous!$B$4:$B$137, 0), MATCH(AQ$4&amp;AQ$5,Demand_previous!$D$2:$AY$2&amp;Demand_previous!$D$3:$AY$3, 0))/1000</f>
        <v>5.8355793269230816</v>
      </c>
      <c r="AR138" s="103">
        <f t="array" ref="AR138">INDEX(Demand_previous!$D$4:$AY$137, MATCH('Staging Table'!$A138, Demand_previous!$B$4:$B$137, 0), MATCH(AR$4&amp;AR$5,Demand_previous!$D$2:$AY$2&amp;Demand_previous!$D$3:$AY$3, 0))/1000</f>
        <v>3.2084099999999944</v>
      </c>
      <c r="AS138" s="103">
        <f t="array" ref="AS138">INDEX(Demand_previous!$D$4:$AY$137, MATCH('Staging Table'!$A138, Demand_previous!$B$4:$B$137, 0), MATCH(AS$4&amp;AS$5,Demand_previous!$D$2:$AY$2&amp;Demand_previous!$D$3:$AY$3, 0))/1000</f>
        <v>3.1812283653846127</v>
      </c>
      <c r="AT138" s="103">
        <f t="array" ref="AT138">INDEX(Demand_previous!$D$4:$AY$137, MATCH('Staging Table'!$A138, Demand_previous!$B$4:$B$137, 0), MATCH(AT$4&amp;AT$5,Demand_previous!$D$2:$AY$2&amp;Demand_previous!$D$3:$AY$3, 0))/1000</f>
        <v>5.081488425925925</v>
      </c>
      <c r="AU138" s="103">
        <f t="array" ref="AU138">INDEX(Demand_previous!$D$4:$AY$137, MATCH('Staging Table'!$A138, Demand_previous!$B$4:$B$137, 0), MATCH(AU$4&amp;AU$5,Demand_previous!$D$2:$AY$2&amp;Demand_previous!$D$3:$AY$3, 0))/1000</f>
        <v>4.7829270833333393</v>
      </c>
      <c r="AV138" s="102">
        <f>$F138*(VLOOKUP(AV$4, Rates_previous!$G$6:$Q$29, 10, FALSE)+VLOOKUP(AV$4, Rates_previous!$G$6:$Q$29, 11, FALSE))</f>
        <v>27589.710959081549</v>
      </c>
      <c r="AW138" s="102">
        <f>$F138*(VLOOKUP(AW$4, Rates_previous!$G$6:$Q$29, 10, FALSE)+VLOOKUP(AW$4, Rates_previous!$G$6:$Q$29, 11, FALSE))</f>
        <v>35185.979262072302</v>
      </c>
      <c r="AX138" s="102">
        <f>$F138*(VLOOKUP(AX$4, Rates_previous!$G$6:$Q$29, 10, FALSE)+VLOOKUP(AX$4, Rates_previous!$G$6:$Q$29, 11, FALSE))</f>
        <v>37972.633561069502</v>
      </c>
      <c r="AY138" s="102">
        <f>$F138*(VLOOKUP(AY$4, Rates_previous!$G$6:$Q$29, 10, FALSE)+VLOOKUP(AY$4, Rates_previous!$G$6:$Q$29, 11, FALSE))</f>
        <v>39459.436376836798</v>
      </c>
      <c r="AZ138" s="102">
        <f>$F138*(VLOOKUP(AZ$4, Rates_previous!$G$6:$Q$29, 10, FALSE)+VLOOKUP(AZ$4, Rates_previous!$G$6:$Q$29, 11, FALSE))</f>
        <v>33940.374891168598</v>
      </c>
      <c r="BA138" s="102">
        <f>$F138*(VLOOKUP(BA$4, Rates_previous!$G$6:$Q$29, 10, FALSE)+VLOOKUP(BA$4, Rates_previous!$G$6:$Q$29, 11, FALSE))</f>
        <v>37056.169524872697</v>
      </c>
      <c r="BB138" s="102">
        <f>$F138*(VLOOKUP(BB$4, Rates_previous!$G$6:$Q$29, 10, FALSE)+VLOOKUP(BB$4, Rates_previous!$G$6:$Q$29, 11, FALSE))</f>
        <v>29249.601118323222</v>
      </c>
      <c r="BC138" s="102">
        <f>$F138*(VLOOKUP(BC$4, Rates_previous!$G$6:$Q$29, 10, FALSE)+VLOOKUP(BC$4, Rates_previous!$G$6:$Q$29, 11, FALSE))</f>
        <v>36288.049816708051</v>
      </c>
      <c r="BD138" s="102">
        <f>$F138*(VLOOKUP(BD$4, Rates_previous!$G$6:$Q$29, 10, FALSE)+VLOOKUP(BD$4, Rates_previous!$G$6:$Q$29, 11, FALSE))</f>
        <v>37075.40990757585</v>
      </c>
      <c r="BE138" s="102">
        <f>$F138*(VLOOKUP(BE$4, Rates_previous!$G$6:$Q$29, 10, FALSE)+VLOOKUP(BE$4, Rates_previous!$G$6:$Q$29, 11, FALSE))</f>
        <v>32186.797194092549</v>
      </c>
      <c r="BF138" s="102">
        <f>$F138*(VLOOKUP(BF$4, Rates_previous!$G$6:$Q$29, 10, FALSE)+VLOOKUP(BF$4, Rates_previous!$G$6:$Q$29, 11, FALSE))</f>
        <v>31116.077355353598</v>
      </c>
      <c r="BG138" s="102">
        <f>$F138*(VLOOKUP(BG$4, Rates_previous!$G$6:$Q$29, 10, FALSE)+VLOOKUP(BG$4, Rates_previous!$G$6:$Q$29, 11, FALSE))</f>
        <v>28632.816759906604</v>
      </c>
      <c r="BH138" s="103">
        <f>IF($D138=0,IF(C138=0, MAX(BJ138 - (VLOOKUP($A138,TOCA_previous!$A$2:$AJ$136,MATCH("RHWM "&amp;Init!$D$1-2,TOCA_previous!$A$2:$AJ$2,0),FALSE)*$F$2*TOCA_previous!C135),0),0), 0)</f>
        <v>16038.433859890618</v>
      </c>
      <c r="BI138" s="109">
        <f>MIN(VLOOKUP($A138,TOCA_previous!$A$2:$AJ$136,MATCH("TRL - NLSL - Existing Resource "&amp;$F$1,TOCA_previous!$A$2:$AJ$2,0),FALSE)*$F$2,(VLOOKUP($A138,TOCA_previous!$A$2:$AJ$136,MATCH("RHWM "&amp;Init!$D$1-2,TOCA_previous!$A$2:$AJ$2,0),FALSE)*$F$2))</f>
        <v>396799.63200000004</v>
      </c>
      <c r="BJ138" s="261">
        <f>SUM(L138:AI138)+(F138*RT1SC!$C$3*$F$2)</f>
        <v>412838.06585989066</v>
      </c>
      <c r="BK138" s="260">
        <f>VLOOKUP($A138,TOCA_previous!$A$2:$AJ$136,MATCH("Above RHWM Not Served with LS "&amp;$F$1,TOCA_previous!$A$2:$AJ$2,0),FALSE)*$F$2</f>
        <v>0</v>
      </c>
      <c r="BL138" s="261">
        <f t="shared" si="51"/>
        <v>16038.433859890618</v>
      </c>
      <c r="BM138" s="260">
        <f>(VLOOKUP($A138,TOCA_previous!$A$2:$AJ$136,MATCH("RHWM "&amp;Init!$D$1-2,TOCA_previous!$A$2:$AJ$2,0),FALSE)*$F$2) - $BI138</f>
        <v>0</v>
      </c>
      <c r="BN138" s="261">
        <f t="shared" si="52"/>
        <v>0</v>
      </c>
      <c r="BO138" s="260">
        <f t="shared" si="53"/>
        <v>0</v>
      </c>
      <c r="BP138" s="261">
        <f t="shared" si="54"/>
        <v>0</v>
      </c>
      <c r="BQ138" s="260">
        <f t="shared" si="9"/>
        <v>0</v>
      </c>
      <c r="BR138" s="85">
        <f>VLOOKUP($A138,TOCA_current!$A$2:$ZZ$136,MATCH(BR$4,TOCA_current!$A$2:$ZZ$2,0),FALSE)</f>
        <v>6.3904000000000001E-3</v>
      </c>
      <c r="BS138" s="85">
        <f>VLOOKUP($A138,TOCA_current!$A$2:$ZZ$136,MATCH(BS$4,TOCA_current!$A$2:$ZZ$2,0),FALSE)</f>
        <v>6.3904000000000001E-3</v>
      </c>
      <c r="BT138" s="108">
        <f t="shared" si="55"/>
        <v>0</v>
      </c>
      <c r="BU138" s="85">
        <f>VLOOKUP($A138,TOCA_current!A135:BG269,MATCH(BU$4,TOCA_current!$A$2:$BG$2,0),FALSE)</f>
        <v>0</v>
      </c>
      <c r="BV138" s="85">
        <f t="shared" si="56"/>
        <v>0</v>
      </c>
      <c r="BW138" s="85">
        <f t="shared" si="57"/>
        <v>0</v>
      </c>
      <c r="BX138" s="101">
        <f>VLOOKUP($A138,IRD!$A$4:$G$138, 7, FALSE)</f>
        <v>0</v>
      </c>
      <c r="BY138" s="102">
        <f t="array" ref="BY138">IF($BT138=0, INDEX(LS_current!$D$4:$BW$137, MATCH('Staging Table'!$A138, LS_current!$B$4:$B$137, 0), MATCH(BY$4&amp;BY$5, LS_current!$D$2:$BW$2&amp;LS_current!$D$3:$BW$3, 0)),SUM(VLOOKUP($A138, LS_current!$B$4:$BW$137, LS_current!D$147, FALSE), VLOOKUP($A138, LS_current!$B$4:$BW$137,LS_current!AZ$147, FALSE))/2)</f>
        <v>3306.131520331197</v>
      </c>
      <c r="BZ138" s="102">
        <f t="array" ref="BZ138">IF($BT138=0, INDEX(LS_current!$D$4:$BW$137, MATCH('Staging Table'!$A138, LS_current!$B$4:$B$137, 0), MATCH(BZ$4&amp;BZ$5, LS_current!$D$2:$BW$2&amp;LS_current!$D$3:$BW$3, 0)),SUM(VLOOKUP($A138, LS_current!$B$4:$BW$137, LS_current!E$147, FALSE), VLOOKUP($A138, LS_current!$B$4:$BW$137,LS_current!BA$147, FALSE))/2)</f>
        <v>1620.6955451767044</v>
      </c>
      <c r="CA138" s="102">
        <f t="array" ref="CA138">IF($BT138=0, INDEX(LS_current!$D$4:$BW$137, MATCH('Staging Table'!$A138, LS_current!$B$4:$B$137, 0), MATCH(CA$4&amp;CA$5, LS_current!$D$2:$BW$2&amp;LS_current!$D$3:$BW$3, 0)),SUM(VLOOKUP($A138, LS_current!$B$4:$BW$137, LS_current!F$147, FALSE), VLOOKUP($A138, LS_current!$B$4:$BW$137,LS_current!BB$147, FALSE))/2)</f>
        <v>812.0588404525588</v>
      </c>
      <c r="CB138" s="102">
        <f t="array" ref="CB138">IF($BT138=0, INDEX(LS_current!$D$4:$BW$137, MATCH('Staging Table'!$A138, LS_current!$B$4:$B$137, 0), MATCH(CB$4&amp;CB$5, LS_current!$D$2:$BW$2&amp;LS_current!$D$3:$BW$3, 0)),SUM(VLOOKUP($A138, LS_current!$B$4:$BW$137, LS_current!G$147, FALSE), VLOOKUP($A138, LS_current!$B$4:$BW$137,LS_current!BC$147, FALSE))/2)</f>
        <v>1939.5086944169016</v>
      </c>
      <c r="CC138" s="102">
        <f t="array" ref="CC138">IF($BT138=0, INDEX(LS_current!$D$4:$BW$137, MATCH('Staging Table'!$A138, LS_current!$B$4:$B$137, 0), MATCH(CC$4&amp;CC$5, LS_current!$D$2:$BW$2&amp;LS_current!$D$3:$BW$3, 0)),SUM(VLOOKUP($A138, LS_current!$B$4:$BW$137, LS_current!H$147, FALSE), VLOOKUP($A138, LS_current!$B$4:$BW$137,LS_current!BD$147, FALSE))/2)</f>
        <v>2900.0726545895959</v>
      </c>
      <c r="CD138" s="102">
        <f t="array" ref="CD138">IF($BT138=0, INDEX(LS_current!$D$4:$BW$137, MATCH('Staging Table'!$A138, LS_current!$B$4:$B$137, 0), MATCH(CD$4&amp;CD$5, LS_current!$D$2:$BW$2&amp;LS_current!$D$3:$BW$3, 0)),SUM(VLOOKUP($A138, LS_current!$B$4:$BW$137, LS_current!I$147, FALSE), VLOOKUP($A138, LS_current!$B$4:$BW$137,LS_current!BE$147, FALSE))/2)</f>
        <v>3920.7060996798446</v>
      </c>
      <c r="CE138" s="102">
        <f t="array" ref="CE138">IF($BT138=0, INDEX(LS_current!$D$4:$BW$137, MATCH('Staging Table'!$A138, LS_current!$B$4:$B$137, 0), MATCH(CE$4&amp;CE$5, LS_current!$D$2:$BW$2&amp;LS_current!$D$3:$BW$3, 0)),SUM(VLOOKUP($A138, LS_current!$B$4:$BW$137, LS_current!J$147, FALSE), VLOOKUP($A138, LS_current!$B$4:$BW$137,LS_current!BF$147, FALSE))/2)</f>
        <v>2360.8143442644759</v>
      </c>
      <c r="CF138" s="102">
        <f t="array" ref="CF138">IF($BT138=0, INDEX(LS_current!$D$4:$BW$137, MATCH('Staging Table'!$A138, LS_current!$B$4:$B$137, 0), MATCH(CF$4&amp;CF$5, LS_current!$D$2:$BW$2&amp;LS_current!$D$3:$BW$3, 0)),SUM(VLOOKUP($A138, LS_current!$B$4:$BW$137, LS_current!K$147, FALSE), VLOOKUP($A138, LS_current!$B$4:$BW$137,LS_current!BG$147, FALSE))/2)</f>
        <v>3448.8496119873544</v>
      </c>
      <c r="CG138" s="102">
        <f t="array" ref="CG138">IF($BT138=0, INDEX(LS_current!$D$4:$BW$137, MATCH('Staging Table'!$A138, LS_current!$B$4:$B$137, 0), MATCH(CG$4&amp;CG$5, LS_current!$D$2:$BW$2&amp;LS_current!$D$3:$BW$3, 0)),SUM(VLOOKUP($A138, LS_current!$B$4:$BW$137, LS_current!L$147, FALSE), VLOOKUP($A138, LS_current!$B$4:$BW$137,LS_current!BH$147, FALSE))/2)</f>
        <v>3856.8038462090444</v>
      </c>
      <c r="CH138" s="102">
        <f t="array" ref="CH138">IF($BT138=0, INDEX(LS_current!$D$4:$BW$137, MATCH('Staging Table'!$A138, LS_current!$B$4:$B$137, 0), MATCH(CH$4&amp;CH$5, LS_current!$D$2:$BW$2&amp;LS_current!$D$3:$BW$3, 0)),SUM(VLOOKUP($A138, LS_current!$B$4:$BW$137, LS_current!M$147, FALSE), VLOOKUP($A138, LS_current!$B$4:$BW$137,LS_current!BI$147, FALSE))/2)</f>
        <v>3727.7301762331117</v>
      </c>
      <c r="CI138" s="102">
        <f t="array" ref="CI138">IF($BT138=0, INDEX(LS_current!$D$4:$BW$137, MATCH('Staging Table'!$A138, LS_current!$B$4:$B$137, 0), MATCH(CI$4&amp;CI$5, LS_current!$D$2:$BW$2&amp;LS_current!$D$3:$BW$3, 0)),SUM(VLOOKUP($A138, LS_current!$B$4:$BW$137, LS_current!N$147, FALSE), VLOOKUP($A138, LS_current!$B$4:$BW$137,LS_current!BJ$147, FALSE))/2)</f>
        <v>429.37274021845587</v>
      </c>
      <c r="CJ138" s="102">
        <f t="array" ref="CJ138">IF($BT138=0, INDEX(LS_current!$D$4:$BW$137, MATCH('Staging Table'!$A138, LS_current!$B$4:$B$137, 0), MATCH(CJ$4&amp;CJ$5, LS_current!$D$2:$BW$2&amp;LS_current!$D$3:$BW$3, 0)),SUM(VLOOKUP($A138, LS_current!$B$4:$BW$137, LS_current!O$147, FALSE), VLOOKUP($A138, LS_current!$B$4:$BW$137,LS_current!BK$147, FALSE))/2)</f>
        <v>3316.7353837673909</v>
      </c>
      <c r="CK138" s="102">
        <f t="array" ref="CK138">IF($BT138=0, INDEX(LS_current!$D$4:$BW$137, MATCH('Staging Table'!$A138, LS_current!$B$4:$B$137, 0), MATCH(CK$4&amp;CK$5, LS_current!$D$2:$BW$2&amp;LS_current!$D$3:$BW$3, 0)),SUM(VLOOKUP($A138, LS_current!$B$4:$BW$137, LS_current!P$147, FALSE), VLOOKUP($A138, LS_current!$B$4:$BW$137,LS_current!BL$147, FALSE))/2)</f>
        <v>3292.9308655310488</v>
      </c>
      <c r="CL138" s="102">
        <f t="array" ref="CL138">IF($BT138=0, INDEX(LS_current!$D$4:$BW$137, MATCH('Staging Table'!$A138, LS_current!$B$4:$B$137, 0), MATCH(CL$4&amp;CL$5, LS_current!$D$2:$BW$2&amp;LS_current!$D$3:$BW$3, 0)),SUM(VLOOKUP($A138, LS_current!$B$4:$BW$137, LS_current!Q$147, FALSE), VLOOKUP($A138, LS_current!$B$4:$BW$137,LS_current!BM$147, FALSE))/2)</f>
        <v>2007.8075977223125</v>
      </c>
      <c r="CM138" s="102">
        <f t="array" ref="CM138">IF($BT138=0, INDEX(LS_current!$D$4:$BW$137, MATCH('Staging Table'!$A138, LS_current!$B$4:$B$137, 0), MATCH(CM$4&amp;CM$5, LS_current!$D$2:$BW$2&amp;LS_current!$D$3:$BW$3, 0)),SUM(VLOOKUP($A138, LS_current!$B$4:$BW$137, LS_current!R$147, FALSE), VLOOKUP($A138, LS_current!$B$4:$BW$137,LS_current!BN$147, FALSE))/2)</f>
        <v>-5525.8250309178293</v>
      </c>
      <c r="CN138" s="102">
        <f t="array" ref="CN138">IF($BT138=0, INDEX(LS_current!$D$4:$BW$137, MATCH('Staging Table'!$A138, LS_current!$B$4:$B$137, 0), MATCH(CN$4&amp;CN$5, LS_current!$D$2:$BW$2&amp;LS_current!$D$3:$BW$3, 0)),SUM(VLOOKUP($A138, LS_current!$B$4:$BW$137, LS_current!S$147, FALSE), VLOOKUP($A138, LS_current!$B$4:$BW$137,LS_current!BO$147, FALSE))/2)</f>
        <v>-2731.2925080243003</v>
      </c>
      <c r="CO138" s="102">
        <f t="array" ref="CO138">IF($BT138=0, INDEX(LS_current!$D$4:$BW$137, MATCH('Staging Table'!$A138, LS_current!$B$4:$B$137, 0), MATCH(CO$4&amp;CO$5, LS_current!$D$2:$BW$2&amp;LS_current!$D$3:$BW$3, 0)),SUM(VLOOKUP($A138, LS_current!$B$4:$BW$137, LS_current!T$147, FALSE), VLOOKUP($A138, LS_current!$B$4:$BW$137,LS_current!BP$147, FALSE))/2)</f>
        <v>-7941.2065243087472</v>
      </c>
      <c r="CP138" s="102">
        <f t="array" ref="CP138">IF($BT138=0, INDEX(LS_current!$D$4:$BW$137, MATCH('Staging Table'!$A138, LS_current!$B$4:$B$137, 0), MATCH(CP$4&amp;CP$5, LS_current!$D$2:$BW$2&amp;LS_current!$D$3:$BW$3, 0)),SUM(VLOOKUP($A138, LS_current!$B$4:$BW$137, LS_current!U$147, FALSE), VLOOKUP($A138, LS_current!$B$4:$BW$137,LS_current!BQ$147, FALSE))/2)</f>
        <v>-3578.1991378201546</v>
      </c>
      <c r="CQ138" s="102">
        <f t="array" ref="CQ138">IF($BT138=0, INDEX(LS_current!$D$4:$BW$137, MATCH('Staging Table'!$A138, LS_current!$B$4:$B$137, 0), MATCH(CQ$4&amp;CQ$5, LS_current!$D$2:$BW$2&amp;LS_current!$D$3:$BW$3, 0)),SUM(VLOOKUP($A138, LS_current!$B$4:$BW$137, LS_current!V$147, FALSE), VLOOKUP($A138, LS_current!$B$4:$BW$137,LS_current!BR$147, FALSE))/2)</f>
        <v>-5166.1326676413228</v>
      </c>
      <c r="CR138" s="102">
        <f t="array" ref="CR138">IF($BT138=0, INDEX(LS_current!$D$4:$BW$137, MATCH('Staging Table'!$A138, LS_current!$B$4:$B$137, 0), MATCH(CR$4&amp;CR$5, LS_current!$D$2:$BW$2&amp;LS_current!$D$3:$BW$3, 0)),SUM(VLOOKUP($A138, LS_current!$B$4:$BW$137, LS_current!W$147, FALSE), VLOOKUP($A138, LS_current!$B$4:$BW$137,LS_current!BS$147, FALSE))/2)</f>
        <v>-2663.5002352747561</v>
      </c>
      <c r="CS138" s="102">
        <f t="array" ref="CS138">IF($BT138=0, INDEX(LS_current!$D$4:$BW$137, MATCH('Staging Table'!$A138, LS_current!$B$4:$B$137, 0), MATCH(CS$4&amp;CS$5, LS_current!$D$2:$BW$2&amp;LS_current!$D$3:$BW$3, 0)),SUM(VLOOKUP($A138, LS_current!$B$4:$BW$137, LS_current!X$147, FALSE), VLOOKUP($A138, LS_current!$B$4:$BW$137,LS_current!BT$147, FALSE))/2)</f>
        <v>-6704.0701382633997</v>
      </c>
      <c r="CT138" s="102">
        <f t="array" ref="CT138">IF($BT138=0, INDEX(LS_current!$D$4:$BW$137, MATCH('Staging Table'!$A138, LS_current!$B$4:$B$137, 0), MATCH(CT$4&amp;CT$5, LS_current!$D$2:$BW$2&amp;LS_current!$D$3:$BW$3, 0)),SUM(VLOOKUP($A138, LS_current!$B$4:$BW$137, LS_current!Y$147, FALSE), VLOOKUP($A138, LS_current!$B$4:$BW$137,LS_current!BU$147, FALSE))/2)</f>
        <v>-1945.9177573670968</v>
      </c>
      <c r="CU138" s="102">
        <f t="array" ref="CU138">IF($BT138=0, INDEX(LS_current!$D$4:$BW$137, MATCH('Staging Table'!$A138, LS_current!$B$4:$B$137, 0), MATCH(CU$4&amp;CU$5, LS_current!$D$2:$BW$2&amp;LS_current!$D$3:$BW$3, 0)),SUM(VLOOKUP($A138, LS_current!$B$4:$BW$137, LS_current!Z$147, FALSE), VLOOKUP($A138, LS_current!$B$4:$BW$137,LS_current!BV$147, FALSE))/2)</f>
        <v>-648.55711963705107</v>
      </c>
      <c r="CV138" s="102">
        <f t="array" ref="CV138">IF($BT138=0, INDEX(LS_current!$D$4:$BW$137, MATCH('Staging Table'!$A138, LS_current!$B$4:$B$137, 0), MATCH(CV$4&amp;CV$5, LS_current!$D$2:$BW$2&amp;LS_current!$D$3:$BW$3, 0)),SUM(VLOOKUP($A138, LS_current!$B$4:$BW$137, LS_current!AA$147, FALSE), VLOOKUP($A138, LS_current!$B$4:$BW$137,LS_current!BW$147, FALSE))/2)</f>
        <v>-37.667750954316944</v>
      </c>
      <c r="CW138" s="103">
        <f t="array" ref="CW138">INDEX(Demand_current!$D$4:$BW$137, MATCH($A138, Demand_current!$B$4:$B$137, 0), MATCH(CW$4&amp;CW$5,Demand_current!$D$2:$BW$2&amp;Demand_current!$D$3:$BW$3, 0))/1000</f>
        <v>0</v>
      </c>
      <c r="CX138" s="103">
        <f t="array" ref="CX138">INDEX(Demand_current!$D$4:$BW$137, MATCH($A138, Demand_current!$B$4:$B$137, 0), MATCH(CX$4&amp;CX$5,Demand_current!$D$2:$BW$2&amp;Demand_current!$D$3:$BW$3, 0))/1000</f>
        <v>8.3567499999999981</v>
      </c>
      <c r="CY138" s="103">
        <f t="array" ref="CY138">INDEX(Demand_current!$D$4:$BW$137, MATCH($A138, Demand_current!$B$4:$B$137, 0), MATCH(CY$4&amp;CY$5,Demand_current!$D$2:$BW$2&amp;Demand_current!$D$3:$BW$3, 0))/1000</f>
        <v>9.9731610576922982</v>
      </c>
      <c r="CZ138" s="103">
        <f t="array" ref="CZ138">INDEX(Demand_current!$D$4:$BW$137, MATCH($A138, Demand_current!$B$4:$B$137, 0), MATCH(CZ$4&amp;CZ$5,Demand_current!$D$2:$BW$2&amp;Demand_current!$D$3:$BW$3, 0))/1000</f>
        <v>16.647324519230782</v>
      </c>
      <c r="DA138" s="103">
        <f t="array" ref="DA138">INDEX(Demand_current!$D$4:$BW$137, MATCH($A138, Demand_current!$B$4:$B$137, 0), MATCH(DA$4&amp;DA$5,Demand_current!$D$2:$BW$2&amp;Demand_current!$D$3:$BW$3, 0))/1000</f>
        <v>8.7249166666666618</v>
      </c>
      <c r="DB138" s="103">
        <f t="array" ref="DB138">INDEX(Demand_current!$D$4:$BW$137, MATCH($A138, Demand_current!$B$4:$B$137, 0), MATCH(DB$4&amp;DB$5,Demand_current!$D$2:$BW$2&amp;Demand_current!$D$3:$BW$3, 0))/1000</f>
        <v>7.0369158653846142</v>
      </c>
      <c r="DC138" s="103">
        <f t="array" ref="DC138">INDEX(Demand_current!$D$4:$BW$137, MATCH($A138, Demand_current!$B$4:$B$137, 0), MATCH(DC$4&amp;DC$5,Demand_current!$D$2:$BW$2&amp;Demand_current!$D$3:$BW$3, 0))/1000</f>
        <v>6.7109903846153927</v>
      </c>
      <c r="DD138" s="103">
        <f t="array" ref="DD138">INDEX(Demand_current!$D$4:$BW$137, MATCH($A138, Demand_current!$B$4:$B$137, 0), MATCH(DD$4&amp;DD$5,Demand_current!$D$2:$BW$2&amp;Demand_current!$D$3:$BW$3, 0))/1000</f>
        <v>4.2324425000000048</v>
      </c>
      <c r="DE138" s="103">
        <f t="array" ref="DE138">INDEX(Demand_current!$D$4:$BW$137, MATCH($A138, Demand_current!$B$4:$B$137, 0), MATCH(DE$4&amp;DE$5,Demand_current!$D$2:$BW$2&amp;Demand_current!$D$3:$BW$3, 0))/1000</f>
        <v>4.7873942307692312</v>
      </c>
      <c r="DF138" s="103">
        <f t="array" ref="DF138">INDEX(Demand_current!$D$4:$BW$137, MATCH($A138, Demand_current!$B$4:$B$137, 0), MATCH(DF$4&amp;DF$5,Demand_current!$D$2:$BW$2&amp;Demand_current!$D$3:$BW$3, 0))/1000</f>
        <v>3.1812283653846127</v>
      </c>
      <c r="DG138" s="103">
        <f t="array" ref="DG138">INDEX(Demand_current!$D$4:$BW$137, MATCH($A138, Demand_current!$B$4:$B$137, 0), MATCH(DG$4&amp;DG$5,Demand_current!$D$2:$BW$2&amp;Demand_current!$D$3:$BW$3, 0))/1000</f>
        <v>3.6541610576923054</v>
      </c>
      <c r="DH138" s="103">
        <f t="array" ref="DH138">INDEX(Demand_current!$D$4:$BW$137, MATCH($A138, Demand_current!$B$4:$B$137, 0), MATCH(DH$4&amp;DH$5,Demand_current!$D$2:$BW$2&amp;Demand_current!$D$3:$BW$3, 0))/1000</f>
        <v>6.4548500000000057</v>
      </c>
      <c r="DI138" s="102">
        <f>$BS138*(VLOOKUP(DI$4, Rates_current!$H$6:$R$41, 10, FALSE)+VLOOKUP(DI$4, Rates_current!$H$6:$R$41, 11, FALSE))</f>
        <v>26521.997934492101</v>
      </c>
      <c r="DJ138" s="102">
        <f>$BS138*(VLOOKUP(DJ$4, Rates_current!$H$6:$R$41, 10, FALSE)+VLOOKUP(DJ$4, Rates_current!$H$6:$R$41, 11, FALSE))</f>
        <v>33907.501465130539</v>
      </c>
      <c r="DK138" s="102">
        <f>$BS138*(VLOOKUP(DK$4, Rates_current!$H$6:$R$41, 10, FALSE)+VLOOKUP(DK$4, Rates_current!$H$6:$R$41, 11, FALSE))</f>
        <v>38549.993245730562</v>
      </c>
      <c r="DL138" s="102">
        <f>$BS138*(VLOOKUP(DL$4, Rates_current!$H$6:$R$41, 10, FALSE)+VLOOKUP(DL$4, Rates_current!$H$6:$R$41, 11, FALSE))</f>
        <v>40673.252043748173</v>
      </c>
      <c r="DM138" s="102">
        <f>$BS138*(VLOOKUP(DM$4, Rates_current!$H$6:$R$41, 10, FALSE)+VLOOKUP(DM$4, Rates_current!$H$6:$R$41, 11, FALSE))</f>
        <v>32412.910977557844</v>
      </c>
      <c r="DN138" s="102">
        <f>$BS138*(VLOOKUP(DN$4, Rates_current!$H$6:$R$41, 10, FALSE)+VLOOKUP(DN$4, Rates_current!$H$6:$R$41, 11, FALSE))</f>
        <v>35433.967876014154</v>
      </c>
      <c r="DO138" s="102">
        <f>$BS138*(VLOOKUP(DO$4, Rates_current!$H$6:$R$41, 10, FALSE)+VLOOKUP(DO$4, Rates_current!$H$6:$R$41, 11, FALSE))</f>
        <v>27461.681536746641</v>
      </c>
      <c r="DP138" s="102">
        <f>$BS138*(VLOOKUP(DP$4, Rates_current!$H$6:$R$41, 10, FALSE)+VLOOKUP(DP$4, Rates_current!$H$6:$R$41, 11, FALSE))</f>
        <v>35539.937538942126</v>
      </c>
      <c r="DQ138" s="102">
        <f>$BS138*(VLOOKUP(DQ$4, Rates_current!$H$6:$R$41, 10, FALSE)+VLOOKUP(DQ$4, Rates_current!$H$6:$R$41, 11, FALSE))</f>
        <v>36298.818662128906</v>
      </c>
      <c r="DR138" s="102">
        <f>$BS138*(VLOOKUP(DR$4, Rates_current!$H$6:$R$41, 10, FALSE)+VLOOKUP(DR$4, Rates_current!$H$6:$R$41, 11, FALSE))</f>
        <v>32309.087902916082</v>
      </c>
      <c r="DS138" s="102">
        <f>$BS138*(VLOOKUP(DS$4, Rates_current!$H$6:$R$41, 10, FALSE)+VLOOKUP(DS$4, Rates_current!$H$6:$R$41, 11, FALSE))</f>
        <v>33143.198895630499</v>
      </c>
      <c r="DT138" s="102">
        <f>$BS138*(VLOOKUP(DT$4, Rates_current!$H$6:$R$41, 10, FALSE)+VLOOKUP(DT$4, Rates_current!$H$6:$R$41, 11, FALSE))</f>
        <v>25739.666870591369</v>
      </c>
      <c r="DU138" s="261">
        <f>IF(D138=0,IF(C138=0,MAX(0,DW138 - (VLOOKUP($A138,TOCA_current!$A$2:$AV$136,MATCH("RHWM "&amp;Init!$D$1,TOCA_current!$A$2:$AV$2,0),FALSE)*$BS$2)), 0),0)</f>
        <v>0</v>
      </c>
      <c r="DV138" s="262">
        <f>MIN(VLOOKUP($A138,TOCA_current!$A$2:$AV$136,MATCH("TRL - NLSL - Existing Resource "&amp;$BS$1,TOCA_current!$A$2:$AV$2,0),FALSE)*$BS$2, VLOOKUP($A138,TOCA_current!$A$2:$AV$136,MATCH("RHWM "&amp;Init!$D$1,TOCA_current!$A$2:$AV$2,0),FALSE)*$BS$2)</f>
        <v>397993.08</v>
      </c>
      <c r="DW138" s="262">
        <f>SUM(BY138:CV138)+(BS138*RT1SC!$C$4*$BS$2)</f>
        <v>397989.88749337906</v>
      </c>
      <c r="DX138" s="262">
        <f>VLOOKUP($A138,TOCA_current!$A$2:$AV$136,MATCH("Above RHWM Not Served with LS "&amp;$BS$1,TOCA_current!$A$2:$AV$2,0),FALSE)*$BS$2</f>
        <v>14848.2</v>
      </c>
      <c r="DY138" s="262">
        <f t="shared" si="58"/>
        <v>-3.1925066209514625</v>
      </c>
      <c r="DZ138" s="262">
        <f>(VLOOKUP($A138,TOCA_current!$A$2:$AV$136,MATCH("RHWM "&amp;Init!$D$1,TOCA_current!$A$2:$AV$2,0),FALSE)*$BS$2) - $DV138</f>
        <v>0</v>
      </c>
      <c r="EA138" s="262">
        <f t="shared" si="59"/>
        <v>0</v>
      </c>
      <c r="EB138" s="262">
        <f t="shared" si="60"/>
        <v>0</v>
      </c>
      <c r="EC138" s="262">
        <f t="shared" si="61"/>
        <v>0</v>
      </c>
      <c r="ED138" s="262">
        <f t="shared" si="62"/>
        <v>0</v>
      </c>
    </row>
    <row r="139" spans="1:134">
      <c r="A139" s="2">
        <v>10298</v>
      </c>
      <c r="B139" s="3" t="s">
        <v>140</v>
      </c>
      <c r="C139">
        <f>VLOOKUP(A139, TOCA_current!$A$3:$D$136, 4, FALSE)</f>
        <v>0</v>
      </c>
      <c r="D139">
        <v>0</v>
      </c>
      <c r="E139" s="84">
        <f>VLOOKUP($A139,TOCA_previous!$A$2:$AJ$136,MATCH(E$4,TOCA_previous!$A$2:$AJ$2,0),FALSE)</f>
        <v>0.10915850000000001</v>
      </c>
      <c r="F139" s="85">
        <f>VLOOKUP($A139,TOCA_previous!$A$2:$AJ$136,MATCH(F$4,TOCA_previous!$A$2:$AJ$2,0),FALSE)</f>
        <v>0.10915850000000001</v>
      </c>
      <c r="G139" s="85">
        <f t="shared" si="48"/>
        <v>0</v>
      </c>
      <c r="H139" s="85">
        <f>VLOOKUP($A139,TOCA_previous!$A$2:$AJ$136,MATCH(H$4,TOCA_previous!$A$2:$AJ$2,0),FALSE)</f>
        <v>0</v>
      </c>
      <c r="I139" s="85">
        <f t="shared" si="49"/>
        <v>0</v>
      </c>
      <c r="J139" s="85">
        <f t="shared" si="50"/>
        <v>0</v>
      </c>
      <c r="K139" s="101">
        <f>VLOOKUP(A139, IRD!$A$5:$C$138, 3, FALSE)</f>
        <v>278595.01199999999</v>
      </c>
      <c r="L139" s="102">
        <f t="array" ref="L139">IF($G139=0, INDEX(LS_previous!$D$4:$AY$137, MATCH('Staging Table'!$A139, LS_previous!$B$4:$B$137, 0), MATCH(L$4&amp;L$5, LS_previous!$D$2:$AY$2&amp;LS_previous!$D$3:$AY$3, 0)),SUM(VLOOKUP($A139, LS_previous!$B$4:$AY$137, LS_previous!D$148, FALSE), VLOOKUP('Staging Table'!$A139, LS_previous!$B$4:$AY$137,LS_previous!AB$148, FALSE))/2)</f>
        <v>64445.132696293993</v>
      </c>
      <c r="M139" s="102">
        <f t="array" ref="M139">IF($G139=0, INDEX(LS_previous!$D$4:$AY$137, MATCH('Staging Table'!$A139, LS_previous!$B$4:$B$137, 0), MATCH(M$4&amp;M$5, LS_previous!$D$2:$AY$2&amp;LS_previous!$D$3:$AY$3, 0)),SUM(VLOOKUP($A139, LS_previous!$B$4:$AY$137, LS_previous!E$148, FALSE), VLOOKUP('Staging Table'!$A139, LS_previous!$B$4:$AY$137,LS_previous!AC$148, FALSE))/2)</f>
        <v>19439.306904008234</v>
      </c>
      <c r="N139" s="102">
        <f t="array" ref="N139">IF($G139=0, INDEX(LS_previous!$D$4:$AY$137, MATCH('Staging Table'!$A139, LS_previous!$B$4:$B$137, 0), MATCH(N$4&amp;N$5, LS_previous!$D$2:$AY$2&amp;LS_previous!$D$3:$AY$3, 0)),SUM(VLOOKUP($A139, LS_previous!$B$4:$AY$137, LS_previous!F$148, FALSE), VLOOKUP('Staging Table'!$A139, LS_previous!$B$4:$AY$137,LS_previous!AD$148, FALSE))/2)</f>
        <v>3109.9390065119369</v>
      </c>
      <c r="O139" s="102">
        <f t="array" ref="O139">IF($G139=0, INDEX(LS_previous!$D$4:$AY$137, MATCH('Staging Table'!$A139, LS_previous!$B$4:$B$137, 0), MATCH(O$4&amp;O$5, LS_previous!$D$2:$AY$2&amp;LS_previous!$D$3:$AY$3, 0)),SUM(VLOOKUP($A139, LS_previous!$B$4:$AY$137, LS_previous!G$148, FALSE), VLOOKUP('Staging Table'!$A139, LS_previous!$B$4:$AY$137,LS_previous!AE$148, FALSE))/2)</f>
        <v>33485.574457986484</v>
      </c>
      <c r="P139" s="102">
        <f t="array" ref="P139">IF($G139=0, INDEX(LS_previous!$D$4:$AY$137, MATCH('Staging Table'!$A139, LS_previous!$B$4:$B$137, 0), MATCH(P$4&amp;P$5, LS_previous!$D$2:$AY$2&amp;LS_previous!$D$3:$AY$3, 0)),SUM(VLOOKUP($A139, LS_previous!$B$4:$AY$137, LS_previous!H$148, FALSE), VLOOKUP('Staging Table'!$A139, LS_previous!$B$4:$AY$137,LS_previous!AF$148, FALSE))/2)</f>
        <v>110692.16545936844</v>
      </c>
      <c r="Q139" s="102">
        <f t="array" ref="Q139">IF($G139=0, INDEX(LS_previous!$D$4:$AY$137, MATCH('Staging Table'!$A139, LS_previous!$B$4:$B$137, 0), MATCH(Q$4&amp;Q$5, LS_previous!$D$2:$AY$2&amp;LS_previous!$D$3:$AY$3, 0)),SUM(VLOOKUP($A139, LS_previous!$B$4:$AY$137, LS_previous!I$148, FALSE), VLOOKUP('Staging Table'!$A139, LS_previous!$B$4:$AY$137,LS_previous!AG$148, FALSE))/2)</f>
        <v>82029.321135184029</v>
      </c>
      <c r="R139" s="102">
        <f t="array" ref="R139">IF($G139=0, INDEX(LS_previous!$D$4:$AY$137, MATCH('Staging Table'!$A139, LS_previous!$B$4:$B$137, 0), MATCH(R$4&amp;R$5, LS_previous!$D$2:$AY$2&amp;LS_previous!$D$3:$AY$3, 0)),SUM(VLOOKUP($A139, LS_previous!$B$4:$AY$137, LS_previous!J$148, FALSE), VLOOKUP('Staging Table'!$A139, LS_previous!$B$4:$AY$137,LS_previous!AH$148, FALSE))/2)</f>
        <v>82496.784928172478</v>
      </c>
      <c r="S139" s="102">
        <f t="array" ref="S139">IF($G139=0, INDEX(LS_previous!$D$4:$AY$137, MATCH('Staging Table'!$A139, LS_previous!$B$4:$B$137, 0), MATCH(S$4&amp;S$5, LS_previous!$D$2:$AY$2&amp;LS_previous!$D$3:$AY$3, 0)),SUM(VLOOKUP($A139, LS_previous!$B$4:$AY$137, LS_previous!K$148, FALSE), VLOOKUP('Staging Table'!$A139, LS_previous!$B$4:$AY$137,LS_previous!AI$148, FALSE))/2)</f>
        <v>86603.181961403432</v>
      </c>
      <c r="T139" s="102">
        <f t="array" ref="T139">IF($G139=0, INDEX(LS_previous!$D$4:$AY$137, MATCH('Staging Table'!$A139, LS_previous!$B$4:$B$137, 0), MATCH(T$4&amp;T$5, LS_previous!$D$2:$AY$2&amp;LS_previous!$D$3:$AY$3, 0)),SUM(VLOOKUP($A139, LS_previous!$B$4:$AY$137, LS_previous!L$148, FALSE), VLOOKUP('Staging Table'!$A139, LS_previous!$B$4:$AY$137,LS_previous!AJ$148, FALSE))/2)</f>
        <v>45724.47384217853</v>
      </c>
      <c r="U139" s="102">
        <f t="array" ref="U139">IF($G139=0, INDEX(LS_previous!$D$4:$AY$137, MATCH('Staging Table'!$A139, LS_previous!$B$4:$B$137, 0), MATCH(U$4&amp;U$5, LS_previous!$D$2:$AY$2&amp;LS_previous!$D$3:$AY$3, 0)),SUM(VLOOKUP($A139, LS_previous!$B$4:$AY$137, LS_previous!M$148, FALSE), VLOOKUP('Staging Table'!$A139, LS_previous!$B$4:$AY$137,LS_previous!AK$148, FALSE))/2)</f>
        <v>59662.839008498471</v>
      </c>
      <c r="V139" s="102">
        <f t="array" ref="V139">IF($G139=0, INDEX(LS_previous!$D$4:$AY$137, MATCH('Staging Table'!$A139, LS_previous!$B$4:$B$137, 0), MATCH(V$4&amp;V$5, LS_previous!$D$2:$AY$2&amp;LS_previous!$D$3:$AY$3, 0)),SUM(VLOOKUP($A139, LS_previous!$B$4:$AY$137, LS_previous!N$148, FALSE), VLOOKUP('Staging Table'!$A139, LS_previous!$B$4:$AY$137,LS_previous!AL$148, FALSE))/2)</f>
        <v>19059.939503589529</v>
      </c>
      <c r="W139" s="102">
        <f t="array" ref="W139">IF($G139=0, INDEX(LS_previous!$D$4:$AY$137, MATCH('Staging Table'!$A139, LS_previous!$B$4:$B$137, 0), MATCH(W$4&amp;W$5, LS_previous!$D$2:$AY$2&amp;LS_previous!$D$3:$AY$3, 0)),SUM(VLOOKUP($A139, LS_previous!$B$4:$AY$137, LS_previous!O$148, FALSE), VLOOKUP('Staging Table'!$A139, LS_previous!$B$4:$AY$137,LS_previous!AM$148, FALSE))/2)</f>
        <v>25371.79434618706</v>
      </c>
      <c r="X139" s="102">
        <f t="array" ref="X139">IF($G139=0, INDEX(LS_previous!$D$4:$AY$137, MATCH('Staging Table'!$A139, LS_previous!$B$4:$B$137, 0), MATCH(X$4&amp;X$5, LS_previous!$D$2:$AY$2&amp;LS_previous!$D$3:$AY$3, 0)),SUM(VLOOKUP($A139, LS_previous!$B$4:$AY$137, LS_previous!P$148, FALSE), VLOOKUP('Staging Table'!$A139, LS_previous!$B$4:$AY$137,LS_previous!AN$148, FALSE))/2)</f>
        <v>44297.574619766267</v>
      </c>
      <c r="Y139" s="102">
        <f t="array" ref="Y139">IF($G139=0, INDEX(LS_previous!$D$4:$AY$137, MATCH('Staging Table'!$A139, LS_previous!$B$4:$B$137, 0), MATCH(Y$4&amp;Y$5, LS_previous!$D$2:$AY$2&amp;LS_previous!$D$3:$AY$3, 0)),SUM(VLOOKUP($A139, LS_previous!$B$4:$AY$137, LS_previous!Q$148, FALSE), VLOOKUP('Staging Table'!$A139, LS_previous!$B$4:$AY$137,LS_previous!AO$148, FALSE))/2)</f>
        <v>23102.502835562627</v>
      </c>
      <c r="Z139" s="102">
        <f t="array" ref="Z139">IF($G139=0, INDEX(LS_previous!$D$4:$AY$137, MATCH('Staging Table'!$A139, LS_previous!$B$4:$B$137, 0), MATCH(Z$4&amp;Z$5, LS_previous!$D$2:$AY$2&amp;LS_previous!$D$3:$AY$3, 0)),SUM(VLOOKUP($A139, LS_previous!$B$4:$AY$137, LS_previous!R$148, FALSE), VLOOKUP('Staging Table'!$A139, LS_previous!$B$4:$AY$137,LS_previous!AP$148, FALSE))/2)</f>
        <v>-72258.450402408023</v>
      </c>
      <c r="AA139" s="102">
        <f t="array" ref="AA139">IF($G139=0, INDEX(LS_previous!$D$4:$AY$137, MATCH('Staging Table'!$A139, LS_previous!$B$4:$B$137, 0), MATCH(AA$4&amp;AA$5, LS_previous!$D$2:$AY$2&amp;LS_previous!$D$3:$AY$3, 0)),SUM(VLOOKUP($A139, LS_previous!$B$4:$AY$137, LS_previous!S$148, FALSE), VLOOKUP('Staging Table'!$A139, LS_previous!$B$4:$AY$137,LS_previous!AQ$148, FALSE))/2)</f>
        <v>-29120.500738122268</v>
      </c>
      <c r="AB139" s="102">
        <f t="array" ref="AB139">IF($G139=0, INDEX(LS_previous!$D$4:$AY$137, MATCH('Staging Table'!$A139, LS_previous!$B$4:$B$137, 0), MATCH(AB$4&amp;AB$5, LS_previous!$D$2:$AY$2&amp;LS_previous!$D$3:$AY$3, 0)),SUM(VLOOKUP($A139, LS_previous!$B$4:$AY$137, LS_previous!T$148, FALSE), VLOOKUP('Staging Table'!$A139, LS_previous!$B$4:$AY$137,LS_previous!AR$148, FALSE))/2)</f>
        <v>-61279.237190271029</v>
      </c>
      <c r="AC139" s="102">
        <f t="array" ref="AC139">IF($G139=0, INDEX(LS_previous!$D$4:$AY$137, MATCH('Staging Table'!$A139, LS_previous!$B$4:$B$137, 0), MATCH(AC$4&amp;AC$5, LS_previous!$D$2:$AY$2&amp;LS_previous!$D$3:$AY$3, 0)),SUM(VLOOKUP($A139, LS_previous!$B$4:$AY$137, LS_previous!U$148, FALSE), VLOOKUP('Staging Table'!$A139, LS_previous!$B$4:$AY$137,LS_previous!AS$148, FALSE))/2)</f>
        <v>-40905.89303663827</v>
      </c>
      <c r="AD139" s="102">
        <f t="array" ref="AD139">IF($G139=0, INDEX(LS_previous!$D$4:$AY$137, MATCH('Staging Table'!$A139, LS_previous!$B$4:$B$137, 0), MATCH(AD$4&amp;AD$5, LS_previous!$D$2:$AY$2&amp;LS_previous!$D$3:$AY$3, 0)),SUM(VLOOKUP($A139, LS_previous!$B$4:$AY$137, LS_previous!V$148, FALSE), VLOOKUP('Staging Table'!$A139, LS_previous!$B$4:$AY$137,LS_previous!AT$148, FALSE))/2)</f>
        <v>23080.995189405978</v>
      </c>
      <c r="AE139" s="102">
        <f t="array" ref="AE139">IF($G139=0, INDEX(LS_previous!$D$4:$AY$137, MATCH('Staging Table'!$A139, LS_previous!$B$4:$B$137, 0), MATCH(AE$4&amp;AE$5, LS_previous!$D$2:$AY$2&amp;LS_previous!$D$3:$AY$3, 0)),SUM(VLOOKUP($A139, LS_previous!$B$4:$AY$137, LS_previous!W$148, FALSE), VLOOKUP('Staging Table'!$A139, LS_previous!$B$4:$AY$137,LS_previous!AU$148, FALSE))/2)</f>
        <v>20369.722066041257</v>
      </c>
      <c r="AF139" s="102">
        <f t="array" ref="AF139">IF($G139=0, INDEX(LS_previous!$D$4:$AY$137, MATCH('Staging Table'!$A139, LS_previous!$B$4:$B$137, 0), MATCH(AF$4&amp;AF$5, LS_previous!$D$2:$AY$2&amp;LS_previous!$D$3:$AY$3, 0)),SUM(VLOOKUP($A139, LS_previous!$B$4:$AY$137, LS_previous!X$148, FALSE), VLOOKUP('Staging Table'!$A139, LS_previous!$B$4:$AY$137,LS_previous!AV$148, FALSE))/2)</f>
        <v>21599.281314317195</v>
      </c>
      <c r="AG139" s="102">
        <f t="array" ref="AG139">IF($G139=0, INDEX(LS_previous!$D$4:$AY$137, MATCH('Staging Table'!$A139, LS_previous!$B$4:$B$137, 0), MATCH(AG$4&amp;AG$5, LS_previous!$D$2:$AY$2&amp;LS_previous!$D$3:$AY$3, 0)),SUM(VLOOKUP($A139, LS_previous!$B$4:$AY$137, LS_previous!Y$148, FALSE), VLOOKUP('Staging Table'!$A139, LS_previous!$B$4:$AY$137,LS_previous!AW$148, FALSE))/2)</f>
        <v>20591.692810693785</v>
      </c>
      <c r="AH139" s="102">
        <f t="array" ref="AH139">IF($G139=0, INDEX(LS_previous!$D$4:$AY$137, MATCH('Staging Table'!$A139, LS_previous!$B$4:$B$137, 0), MATCH(AH$4&amp;AH$5, LS_previous!$D$2:$AY$2&amp;LS_previous!$D$3:$AY$3, 0)),SUM(VLOOKUP($A139, LS_previous!$B$4:$AY$137, LS_previous!Z$148, FALSE), VLOOKUP('Staging Table'!$A139, LS_previous!$B$4:$AY$137,LS_previous!AX$148, FALSE))/2)</f>
        <v>9924.66541757097</v>
      </c>
      <c r="AI139" s="102">
        <f t="array" ref="AI139">IF($G139=0, INDEX(LS_previous!$D$4:$AY$137, MATCH('Staging Table'!$A139, LS_previous!$B$4:$B$137, 0), MATCH(AI$4&amp;AI$5, LS_previous!$D$2:$AY$2&amp;LS_previous!$D$3:$AY$3, 0)),SUM(VLOOKUP($A139, LS_previous!$B$4:$AY$137, LS_previous!AA$148, FALSE), VLOOKUP('Staging Table'!$A139, LS_previous!$B$4:$AY$137,LS_previous!AY$148, FALSE))/2)</f>
        <v>-2914.2023389840033</v>
      </c>
      <c r="AJ139" s="103">
        <f t="array" ref="AJ139">INDEX(Demand_previous!$D$4:$AY$137, MATCH('Staging Table'!$A139, Demand_previous!$B$4:$B$137, 0), MATCH(AJ$4&amp;AJ$5,Demand_previous!$D$2:$AY$2&amp;Demand_previous!$D$3:$AY$3, 0))/1000</f>
        <v>178.65936298076912</v>
      </c>
      <c r="AK139" s="103">
        <f t="array" ref="AK139">INDEX(Demand_previous!$D$4:$AY$137, MATCH('Staging Table'!$A139, Demand_previous!$B$4:$B$137, 0), MATCH(AK$4&amp;AK$5,Demand_previous!$D$2:$AY$2&amp;Demand_previous!$D$3:$AY$3, 0))/1000</f>
        <v>211.02000000000007</v>
      </c>
      <c r="AL139" s="103">
        <f t="array" ref="AL139">INDEX(Demand_previous!$D$4:$AY$137, MATCH('Staging Table'!$A139, Demand_previous!$B$4:$B$137, 0), MATCH(AL$4&amp;AL$5,Demand_previous!$D$2:$AY$2&amp;Demand_previous!$D$3:$AY$3, 0))/1000</f>
        <v>271.19653000000005</v>
      </c>
      <c r="AM139" s="103">
        <f t="array" ref="AM139">INDEX(Demand_previous!$D$4:$AY$137, MATCH('Staging Table'!$A139, Demand_previous!$B$4:$B$137, 0), MATCH(AM$4&amp;AM$5,Demand_previous!$D$2:$AY$2&amp;Demand_previous!$D$3:$AY$3, 0))/1000</f>
        <v>401.35112259615391</v>
      </c>
      <c r="AN139" s="103">
        <f t="array" ref="AN139">INDEX(Demand_previous!$D$4:$AY$137, MATCH('Staging Table'!$A139, Demand_previous!$B$4:$B$137, 0), MATCH(AN$4&amp;AN$5,Demand_previous!$D$2:$AY$2&amp;Demand_previous!$D$3:$AY$3, 0))/1000</f>
        <v>351.75234250000011</v>
      </c>
      <c r="AO139" s="103">
        <f t="array" ref="AO139">INDEX(Demand_previous!$D$4:$AY$137, MATCH('Staging Table'!$A139, Demand_previous!$B$4:$B$137, 0), MATCH(AO$4&amp;AO$5,Demand_previous!$D$2:$AY$2&amp;Demand_previous!$D$3:$AY$3, 0))/1000</f>
        <v>257.60824278846167</v>
      </c>
      <c r="AP139" s="103">
        <f t="array" ref="AP139">INDEX(Demand_previous!$D$4:$AY$137, MATCH('Staging Table'!$A139, Demand_previous!$B$4:$B$137, 0), MATCH(AP$4&amp;AP$5,Demand_previous!$D$2:$AY$2&amp;Demand_previous!$D$3:$AY$3, 0))/1000</f>
        <v>254.20220913461529</v>
      </c>
      <c r="AQ139" s="103">
        <f t="array" ref="AQ139">INDEX(Demand_previous!$D$4:$AY$137, MATCH('Staging Table'!$A139, Demand_previous!$B$4:$B$137, 0), MATCH(AQ$4&amp;AQ$5,Demand_previous!$D$2:$AY$2&amp;Demand_previous!$D$3:$AY$3, 0))/1000</f>
        <v>171.9625721153846</v>
      </c>
      <c r="AR139" s="103">
        <f t="array" ref="AR139">INDEX(Demand_previous!$D$4:$AY$137, MATCH('Staging Table'!$A139, Demand_previous!$B$4:$B$137, 0), MATCH(AR$4&amp;AR$5,Demand_previous!$D$2:$AY$2&amp;Demand_previous!$D$3:$AY$3, 0))/1000</f>
        <v>196.74535999999986</v>
      </c>
      <c r="AS139" s="103">
        <f t="array" ref="AS139">INDEX(Demand_previous!$D$4:$AY$137, MATCH('Staging Table'!$A139, Demand_previous!$B$4:$B$137, 0), MATCH(AS$4&amp;AS$5,Demand_previous!$D$2:$AY$2&amp;Demand_previous!$D$3:$AY$3, 0))/1000</f>
        <v>258.19174759615379</v>
      </c>
      <c r="AT139" s="103">
        <f t="array" ref="AT139">INDEX(Demand_previous!$D$4:$AY$137, MATCH('Staging Table'!$A139, Demand_previous!$B$4:$B$137, 0), MATCH(AT$4&amp;AT$5,Demand_previous!$D$2:$AY$2&amp;Demand_previous!$D$3:$AY$3, 0))/1000</f>
        <v>306.25128472222224</v>
      </c>
      <c r="AU139" s="103">
        <f t="array" ref="AU139">INDEX(Demand_previous!$D$4:$AY$137, MATCH('Staging Table'!$A139, Demand_previous!$B$4:$B$137, 0), MATCH(AU$4&amp;AU$5,Demand_previous!$D$2:$AY$2&amp;Demand_previous!$D$3:$AY$3, 0))/1000</f>
        <v>130.2941145833334</v>
      </c>
      <c r="AV139" s="102">
        <f>$F139*(VLOOKUP(AV$4, Rates_previous!$G$6:$Q$29, 10, FALSE)+VLOOKUP(AV$4, Rates_previous!$G$6:$Q$29, 11, FALSE))</f>
        <v>460518.29039969778</v>
      </c>
      <c r="AW139" s="102">
        <f>$F139*(VLOOKUP(AW$4, Rates_previous!$G$6:$Q$29, 10, FALSE)+VLOOKUP(AW$4, Rates_previous!$G$6:$Q$29, 11, FALSE))</f>
        <v>587312.67753550166</v>
      </c>
      <c r="AX139" s="102">
        <f>$F139*(VLOOKUP(AX$4, Rates_previous!$G$6:$Q$29, 10, FALSE)+VLOOKUP(AX$4, Rates_previous!$G$6:$Q$29, 11, FALSE))</f>
        <v>633826.58540544764</v>
      </c>
      <c r="AY139" s="102">
        <f>$F139*(VLOOKUP(AY$4, Rates_previous!$G$6:$Q$29, 10, FALSE)+VLOOKUP(AY$4, Rates_previous!$G$6:$Q$29, 11, FALSE))</f>
        <v>658643.80411042401</v>
      </c>
      <c r="AZ139" s="102">
        <f>$F139*(VLOOKUP(AZ$4, Rates_previous!$G$6:$Q$29, 10, FALSE)+VLOOKUP(AZ$4, Rates_previous!$G$6:$Q$29, 11, FALSE))</f>
        <v>566521.46314932301</v>
      </c>
      <c r="BA139" s="102">
        <f>$F139*(VLOOKUP(BA$4, Rates_previous!$G$6:$Q$29, 10, FALSE)+VLOOKUP(BA$4, Rates_previous!$G$6:$Q$29, 11, FALSE))</f>
        <v>618529.27215022349</v>
      </c>
      <c r="BB139" s="102">
        <f>$F139*(VLOOKUP(BB$4, Rates_previous!$G$6:$Q$29, 10, FALSE)+VLOOKUP(BB$4, Rates_previous!$G$6:$Q$29, 11, FALSE))</f>
        <v>488224.62554467109</v>
      </c>
      <c r="BC139" s="102">
        <f>$F139*(VLOOKUP(BC$4, Rates_previous!$G$6:$Q$29, 10, FALSE)+VLOOKUP(BC$4, Rates_previous!$G$6:$Q$29, 11, FALSE))</f>
        <v>605708.07314053026</v>
      </c>
      <c r="BD139" s="102">
        <f>$F139*(VLOOKUP(BD$4, Rates_previous!$G$6:$Q$29, 10, FALSE)+VLOOKUP(BD$4, Rates_previous!$G$6:$Q$29, 11, FALSE))</f>
        <v>618850.42622690927</v>
      </c>
      <c r="BE139" s="102">
        <f>$F139*(VLOOKUP(BE$4, Rates_previous!$G$6:$Q$29, 10, FALSE)+VLOOKUP(BE$4, Rates_previous!$G$6:$Q$29, 11, FALSE))</f>
        <v>537251.32674455282</v>
      </c>
      <c r="BF139" s="102">
        <f>$F139*(VLOOKUP(BF$4, Rates_previous!$G$6:$Q$29, 10, FALSE)+VLOOKUP(BF$4, Rates_previous!$G$6:$Q$29, 11, FALSE))</f>
        <v>519379.22687498905</v>
      </c>
      <c r="BG139" s="102">
        <f>$F139*(VLOOKUP(BG$4, Rates_previous!$G$6:$Q$29, 10, FALSE)+VLOOKUP(BG$4, Rates_previous!$G$6:$Q$29, 11, FALSE))</f>
        <v>477929.4659214131</v>
      </c>
      <c r="BH139" s="103">
        <f>IF($D139=0,IF(C139=0, MAX(BJ139 - (VLOOKUP($A139,TOCA_previous!$A$2:$AJ$136,MATCH("RHWM "&amp;Init!$D$1-2,TOCA_previous!$A$2:$AJ$2,0),FALSE)*$F$2*TOCA_previous!C136),0),0), 0)</f>
        <v>2070911.4880446773</v>
      </c>
      <c r="BI139" s="109">
        <f>MIN(VLOOKUP($A139,TOCA_previous!$A$2:$AJ$136,MATCH("TRL - NLSL - Existing Resource "&amp;$F$1,TOCA_previous!$A$2:$AJ$2,0),FALSE)*$F$2,(VLOOKUP($A139,TOCA_previous!$A$2:$AJ$136,MATCH("RHWM "&amp;Init!$D$1-2,TOCA_previous!$A$2:$AJ$2,0),FALSE)*$F$2))</f>
        <v>5290392.3840000005</v>
      </c>
      <c r="BJ139" s="261">
        <f>SUM(L139:AI139)+(F139*RT1SC!$C$3*$F$2)</f>
        <v>7361303.8720446778</v>
      </c>
      <c r="BK139" s="260">
        <f>VLOOKUP($A139,TOCA_previous!$A$2:$AJ$136,MATCH("Above RHWM Not Served with LS "&amp;$F$1,TOCA_previous!$A$2:$AJ$2,0),FALSE)*$F$2</f>
        <v>589371.26400000008</v>
      </c>
      <c r="BL139" s="261">
        <f t="shared" si="51"/>
        <v>2070911.4880446773</v>
      </c>
      <c r="BM139" s="260">
        <f>(VLOOKUP($A139,TOCA_previous!$A$2:$AJ$136,MATCH("RHWM "&amp;Init!$D$1-2,TOCA_previous!$A$2:$AJ$2,0),FALSE)*$F$2) - $BI139</f>
        <v>0</v>
      </c>
      <c r="BN139" s="261">
        <f t="shared" si="52"/>
        <v>0</v>
      </c>
      <c r="BO139" s="260">
        <f t="shared" si="53"/>
        <v>0</v>
      </c>
      <c r="BP139" s="261">
        <f t="shared" si="54"/>
        <v>0</v>
      </c>
      <c r="BQ139" s="260">
        <f t="shared" si="9"/>
        <v>0</v>
      </c>
      <c r="BR139" s="85">
        <f>VLOOKUP($A139,TOCA_current!$A$2:$ZZ$136,MATCH(BR$4,TOCA_current!$A$2:$ZZ$2,0),FALSE)</f>
        <v>0.1071025</v>
      </c>
      <c r="BS139" s="85">
        <f>VLOOKUP($A139,TOCA_current!$A$2:$ZZ$136,MATCH(BS$4,TOCA_current!$A$2:$ZZ$2,0),FALSE)</f>
        <v>0.1071025</v>
      </c>
      <c r="BT139" s="108">
        <f t="shared" si="55"/>
        <v>0</v>
      </c>
      <c r="BU139" s="85">
        <f>VLOOKUP($A139,TOCA_current!A136:BG270,MATCH(BU$4,TOCA_current!$A$2:$BG$2,0),FALSE)</f>
        <v>0</v>
      </c>
      <c r="BV139" s="85">
        <f t="shared" si="56"/>
        <v>0</v>
      </c>
      <c r="BW139" s="85">
        <f t="shared" si="57"/>
        <v>0</v>
      </c>
      <c r="BX139" s="101">
        <f>VLOOKUP($A139,IRD!$A$4:$G$138, 7, FALSE)</f>
        <v>278595.01199999999</v>
      </c>
      <c r="BY139" s="102">
        <f t="array" ref="BY139">IF($BT139=0, INDEX(LS_current!$D$4:$BW$137, MATCH('Staging Table'!$A139, LS_current!$B$4:$B$137, 0), MATCH(BY$4&amp;BY$5, LS_current!$D$2:$BW$2&amp;LS_current!$D$3:$BW$3, 0)),SUM(VLOOKUP($A139, LS_current!$B$4:$BW$137, LS_current!D$147, FALSE), VLOOKUP($A139, LS_current!$B$4:$BW$137,LS_current!AZ$147, FALSE))/2)</f>
        <v>30866.133210561471</v>
      </c>
      <c r="BZ139" s="102">
        <f t="array" ref="BZ139">IF($BT139=0, INDEX(LS_current!$D$4:$BW$137, MATCH('Staging Table'!$A139, LS_current!$B$4:$B$137, 0), MATCH(BZ$4&amp;BZ$5, LS_current!$D$2:$BW$2&amp;LS_current!$D$3:$BW$3, 0)),SUM(VLOOKUP($A139, LS_current!$B$4:$BW$137, LS_current!E$147, FALSE), VLOOKUP($A139, LS_current!$B$4:$BW$137,LS_current!BA$147, FALSE))/2)</f>
        <v>10208.290181066579</v>
      </c>
      <c r="CA139" s="102">
        <f t="array" ref="CA139">IF($BT139=0, INDEX(LS_current!$D$4:$BW$137, MATCH('Staging Table'!$A139, LS_current!$B$4:$B$137, 0), MATCH(CA$4&amp;CA$5, LS_current!$D$2:$BW$2&amp;LS_current!$D$3:$BW$3, 0)),SUM(VLOOKUP($A139, LS_current!$B$4:$BW$137, LS_current!F$147, FALSE), VLOOKUP($A139, LS_current!$B$4:$BW$137,LS_current!BB$147, FALSE))/2)</f>
        <v>-13033.481852095283</v>
      </c>
      <c r="CB139" s="102">
        <f t="array" ref="CB139">IF($BT139=0, INDEX(LS_current!$D$4:$BW$137, MATCH('Staging Table'!$A139, LS_current!$B$4:$B$137, 0), MATCH(CB$4&amp;CB$5, LS_current!$D$2:$BW$2&amp;LS_current!$D$3:$BW$3, 0)),SUM(VLOOKUP($A139, LS_current!$B$4:$BW$137, LS_current!G$147, FALSE), VLOOKUP($A139, LS_current!$B$4:$BW$137,LS_current!BC$147, FALSE))/2)</f>
        <v>11651.451124199782</v>
      </c>
      <c r="CC139" s="102">
        <f t="array" ref="CC139">IF($BT139=0, INDEX(LS_current!$D$4:$BW$137, MATCH('Staging Table'!$A139, LS_current!$B$4:$B$137, 0), MATCH(CC$4&amp;CC$5, LS_current!$D$2:$BW$2&amp;LS_current!$D$3:$BW$3, 0)),SUM(VLOOKUP($A139, LS_current!$B$4:$BW$137, LS_current!H$147, FALSE), VLOOKUP($A139, LS_current!$B$4:$BW$137,LS_current!BD$147, FALSE))/2)</f>
        <v>46741.280537631712</v>
      </c>
      <c r="CD139" s="102">
        <f t="array" ref="CD139">IF($BT139=0, INDEX(LS_current!$D$4:$BW$137, MATCH('Staging Table'!$A139, LS_current!$B$4:$B$137, 0), MATCH(CD$4&amp;CD$5, LS_current!$D$2:$BW$2&amp;LS_current!$D$3:$BW$3, 0)),SUM(VLOOKUP($A139, LS_current!$B$4:$BW$137, LS_current!I$147, FALSE), VLOOKUP($A139, LS_current!$B$4:$BW$137,LS_current!BE$147, FALSE))/2)</f>
        <v>74890.420284968161</v>
      </c>
      <c r="CE139" s="102">
        <f t="array" ref="CE139">IF($BT139=0, INDEX(LS_current!$D$4:$BW$137, MATCH('Staging Table'!$A139, LS_current!$B$4:$B$137, 0), MATCH(CE$4&amp;CE$5, LS_current!$D$2:$BW$2&amp;LS_current!$D$3:$BW$3, 0)),SUM(VLOOKUP($A139, LS_current!$B$4:$BW$137, LS_current!J$147, FALSE), VLOOKUP($A139, LS_current!$B$4:$BW$137,LS_current!BF$147, FALSE))/2)</f>
        <v>27721.118786443083</v>
      </c>
      <c r="CF139" s="102">
        <f t="array" ref="CF139">IF($BT139=0, INDEX(LS_current!$D$4:$BW$137, MATCH('Staging Table'!$A139, LS_current!$B$4:$B$137, 0), MATCH(CF$4&amp;CF$5, LS_current!$D$2:$BW$2&amp;LS_current!$D$3:$BW$3, 0)),SUM(VLOOKUP($A139, LS_current!$B$4:$BW$137, LS_current!K$147, FALSE), VLOOKUP($A139, LS_current!$B$4:$BW$137,LS_current!BG$147, FALSE))/2)</f>
        <v>59520.664264956053</v>
      </c>
      <c r="CG139" s="102">
        <f t="array" ref="CG139">IF($BT139=0, INDEX(LS_current!$D$4:$BW$137, MATCH('Staging Table'!$A139, LS_current!$B$4:$B$137, 0), MATCH(CG$4&amp;CG$5, LS_current!$D$2:$BW$2&amp;LS_current!$D$3:$BW$3, 0)),SUM(VLOOKUP($A139, LS_current!$B$4:$BW$137, LS_current!L$147, FALSE), VLOOKUP($A139, LS_current!$B$4:$BW$137,LS_current!BH$147, FALSE))/2)</f>
        <v>30972.396757543378</v>
      </c>
      <c r="CH139" s="102">
        <f t="array" ref="CH139">IF($BT139=0, INDEX(LS_current!$D$4:$BW$137, MATCH('Staging Table'!$A139, LS_current!$B$4:$B$137, 0), MATCH(CH$4&amp;CH$5, LS_current!$D$2:$BW$2&amp;LS_current!$D$3:$BW$3, 0)),SUM(VLOOKUP($A139, LS_current!$B$4:$BW$137, LS_current!M$147, FALSE), VLOOKUP($A139, LS_current!$B$4:$BW$137,LS_current!BI$147, FALSE))/2)</f>
        <v>46179.694822406542</v>
      </c>
      <c r="CI139" s="102">
        <f t="array" ref="CI139">IF($BT139=0, INDEX(LS_current!$D$4:$BW$137, MATCH('Staging Table'!$A139, LS_current!$B$4:$B$137, 0), MATCH(CI$4&amp;CI$5, LS_current!$D$2:$BW$2&amp;LS_current!$D$3:$BW$3, 0)),SUM(VLOOKUP($A139, LS_current!$B$4:$BW$137, LS_current!N$147, FALSE), VLOOKUP($A139, LS_current!$B$4:$BW$137,LS_current!BJ$147, FALSE))/2)</f>
        <v>-23475.994962921366</v>
      </c>
      <c r="CJ139" s="102">
        <f t="array" ref="CJ139">IF($BT139=0, INDEX(LS_current!$D$4:$BW$137, MATCH('Staging Table'!$A139, LS_current!$B$4:$B$137, 0), MATCH(CJ$4&amp;CJ$5, LS_current!$D$2:$BW$2&amp;LS_current!$D$3:$BW$3, 0)),SUM(VLOOKUP($A139, LS_current!$B$4:$BW$137, LS_current!O$147, FALSE), VLOOKUP($A139, LS_current!$B$4:$BW$137,LS_current!BK$147, FALSE))/2)</f>
        <v>33823.982465299021</v>
      </c>
      <c r="CK139" s="102">
        <f t="array" ref="CK139">IF($BT139=0, INDEX(LS_current!$D$4:$BW$137, MATCH('Staging Table'!$A139, LS_current!$B$4:$B$137, 0), MATCH(CK$4&amp;CK$5, LS_current!$D$2:$BW$2&amp;LS_current!$D$3:$BW$3, 0)),SUM(VLOOKUP($A139, LS_current!$B$4:$BW$137, LS_current!P$147, FALSE), VLOOKUP($A139, LS_current!$B$4:$BW$137,LS_current!BL$147, FALSE))/2)</f>
        <v>25197.722638385545</v>
      </c>
      <c r="CL139" s="102">
        <f t="array" ref="CL139">IF($BT139=0, INDEX(LS_current!$D$4:$BW$137, MATCH('Staging Table'!$A139, LS_current!$B$4:$B$137, 0), MATCH(CL$4&amp;CL$5, LS_current!$D$2:$BW$2&amp;LS_current!$D$3:$BW$3, 0)),SUM(VLOOKUP($A139, LS_current!$B$4:$BW$137, LS_current!Q$147, FALSE), VLOOKUP($A139, LS_current!$B$4:$BW$137,LS_current!BM$147, FALSE))/2)</f>
        <v>13247.153395320143</v>
      </c>
      <c r="CM139" s="102">
        <f t="array" ref="CM139">IF($BT139=0, INDEX(LS_current!$D$4:$BW$137, MATCH('Staging Table'!$A139, LS_current!$B$4:$B$137, 0), MATCH(CM$4&amp;CM$5, LS_current!$D$2:$BW$2&amp;LS_current!$D$3:$BW$3, 0)),SUM(VLOOKUP($A139, LS_current!$B$4:$BW$137, LS_current!R$147, FALSE), VLOOKUP($A139, LS_current!$B$4:$BW$137,LS_current!BN$147, FALSE))/2)</f>
        <v>-95277.919954834913</v>
      </c>
      <c r="CN139" s="102">
        <f t="array" ref="CN139">IF($BT139=0, INDEX(LS_current!$D$4:$BW$137, MATCH('Staging Table'!$A139, LS_current!$B$4:$B$137, 0), MATCH(CN$4&amp;CN$5, LS_current!$D$2:$BW$2&amp;LS_current!$D$3:$BW$3, 0)),SUM(VLOOKUP($A139, LS_current!$B$4:$BW$137, LS_current!S$147, FALSE), VLOOKUP($A139, LS_current!$B$4:$BW$137,LS_current!BO$147, FALSE))/2)</f>
        <v>-54861.080077549559</v>
      </c>
      <c r="CO139" s="102">
        <f t="array" ref="CO139">IF($BT139=0, INDEX(LS_current!$D$4:$BW$137, MATCH('Staging Table'!$A139, LS_current!$B$4:$B$137, 0), MATCH(CO$4&amp;CO$5, LS_current!$D$2:$BW$2&amp;LS_current!$D$3:$BW$3, 0)),SUM(VLOOKUP($A139, LS_current!$B$4:$BW$137, LS_current!T$147, FALSE), VLOOKUP($A139, LS_current!$B$4:$BW$137,LS_current!BP$147, FALSE))/2)</f>
        <v>-103280.28147467726</v>
      </c>
      <c r="CP139" s="102">
        <f t="array" ref="CP139">IF($BT139=0, INDEX(LS_current!$D$4:$BW$137, MATCH('Staging Table'!$A139, LS_current!$B$4:$B$137, 0), MATCH(CP$4&amp;CP$5, LS_current!$D$2:$BW$2&amp;LS_current!$D$3:$BW$3, 0)),SUM(VLOOKUP($A139, LS_current!$B$4:$BW$137, LS_current!U$147, FALSE), VLOOKUP($A139, LS_current!$B$4:$BW$137,LS_current!BQ$147, FALSE))/2)</f>
        <v>-45343.832455320953</v>
      </c>
      <c r="CQ139" s="102">
        <f t="array" ref="CQ139">IF($BT139=0, INDEX(LS_current!$D$4:$BW$137, MATCH('Staging Table'!$A139, LS_current!$B$4:$B$137, 0), MATCH(CQ$4&amp;CQ$5, LS_current!$D$2:$BW$2&amp;LS_current!$D$3:$BW$3, 0)),SUM(VLOOKUP($A139, LS_current!$B$4:$BW$137, LS_current!V$147, FALSE), VLOOKUP($A139, LS_current!$B$4:$BW$137,LS_current!BR$147, FALSE))/2)</f>
        <v>-18137.693490635196</v>
      </c>
      <c r="CR139" s="102">
        <f t="array" ref="CR139">IF($BT139=0, INDEX(LS_current!$D$4:$BW$137, MATCH('Staging Table'!$A139, LS_current!$B$4:$B$137, 0), MATCH(CR$4&amp;CR$5, LS_current!$D$2:$BW$2&amp;LS_current!$D$3:$BW$3, 0)),SUM(VLOOKUP($A139, LS_current!$B$4:$BW$137, LS_current!W$147, FALSE), VLOOKUP($A139, LS_current!$B$4:$BW$137,LS_current!BS$147, FALSE))/2)</f>
        <v>-1479.6500114413211</v>
      </c>
      <c r="CS139" s="102">
        <f t="array" ref="CS139">IF($BT139=0, INDEX(LS_current!$D$4:$BW$137, MATCH('Staging Table'!$A139, LS_current!$B$4:$B$137, 0), MATCH(CS$4&amp;CS$5, LS_current!$D$2:$BW$2&amp;LS_current!$D$3:$BW$3, 0)),SUM(VLOOKUP($A139, LS_current!$B$4:$BW$137, LS_current!X$147, FALSE), VLOOKUP($A139, LS_current!$B$4:$BW$137,LS_current!BT$147, FALSE))/2)</f>
        <v>-49977.248207413591</v>
      </c>
      <c r="CT139" s="102">
        <f t="array" ref="CT139">IF($BT139=0, INDEX(LS_current!$D$4:$BW$137, MATCH('Staging Table'!$A139, LS_current!$B$4:$B$137, 0), MATCH(CT$4&amp;CT$5, LS_current!$D$2:$BW$2&amp;LS_current!$D$3:$BW$3, 0)),SUM(VLOOKUP($A139, LS_current!$B$4:$BW$137, LS_current!Y$147, FALSE), VLOOKUP($A139, LS_current!$B$4:$BW$137,LS_current!BU$147, FALSE))/2)</f>
        <v>-2751.5596950753534</v>
      </c>
      <c r="CU139" s="102">
        <f t="array" ref="CU139">IF($BT139=0, INDEX(LS_current!$D$4:$BW$137, MATCH('Staging Table'!$A139, LS_current!$B$4:$B$137, 0), MATCH(CU$4&amp;CU$5, LS_current!$D$2:$BW$2&amp;LS_current!$D$3:$BW$3, 0)),SUM(VLOOKUP($A139, LS_current!$B$4:$BW$137, LS_current!Z$147, FALSE), VLOOKUP($A139, LS_current!$B$4:$BW$137,LS_current!BV$147, FALSE))/2)</f>
        <v>-5841.6636702439864</v>
      </c>
      <c r="CV139" s="102">
        <f t="array" ref="CV139">IF($BT139=0, INDEX(LS_current!$D$4:$BW$137, MATCH('Staging Table'!$A139, LS_current!$B$4:$B$137, 0), MATCH(CV$4&amp;CV$5, LS_current!$D$2:$BW$2&amp;LS_current!$D$3:$BW$3, 0)),SUM(VLOOKUP($A139, LS_current!$B$4:$BW$137, LS_current!AA$147, FALSE), VLOOKUP($A139, LS_current!$B$4:$BW$137,LS_current!BW$147, FALSE))/2)</f>
        <v>2462.5687494390295</v>
      </c>
      <c r="CW139" s="103">
        <f t="array" ref="CW139">INDEX(Demand_current!$D$4:$BW$137, MATCH($A139, Demand_current!$B$4:$B$137, 0), MATCH(CW$4&amp;CW$5,Demand_current!$D$2:$BW$2&amp;Demand_current!$D$3:$BW$3, 0))/1000</f>
        <v>157.13368287037022</v>
      </c>
      <c r="CX139" s="103">
        <f t="array" ref="CX139">INDEX(Demand_current!$D$4:$BW$137, MATCH($A139, Demand_current!$B$4:$B$137, 0), MATCH(CX$4&amp;CX$5,Demand_current!$D$2:$BW$2&amp;Demand_current!$D$3:$BW$3, 0))/1000</f>
        <v>113.10829166666696</v>
      </c>
      <c r="CY139" s="103">
        <f t="array" ref="CY139">INDEX(Demand_current!$D$4:$BW$137, MATCH($A139, Demand_current!$B$4:$B$137, 0), MATCH(CY$4&amp;CY$5,Demand_current!$D$2:$BW$2&amp;Demand_current!$D$3:$BW$3, 0))/1000</f>
        <v>280.8791634615385</v>
      </c>
      <c r="CZ139" s="103">
        <f t="array" ref="CZ139">INDEX(Demand_current!$D$4:$BW$137, MATCH($A139, Demand_current!$B$4:$B$137, 0), MATCH(CZ$4&amp;CZ$5,Demand_current!$D$2:$BW$2&amp;Demand_current!$D$3:$BW$3, 0))/1000</f>
        <v>339.5031225961539</v>
      </c>
      <c r="DA139" s="103">
        <f t="array" ref="DA139">INDEX(Demand_current!$D$4:$BW$137, MATCH($A139, Demand_current!$B$4:$B$137, 0), MATCH(DA$4&amp;DA$5,Demand_current!$D$2:$BW$2&amp;Demand_current!$D$3:$BW$3, 0))/1000</f>
        <v>236.94469010416674</v>
      </c>
      <c r="DB139" s="103">
        <f t="array" ref="DB139">INDEX(Demand_current!$D$4:$BW$137, MATCH($A139, Demand_current!$B$4:$B$137, 0), MATCH(DB$4&amp;DB$5,Demand_current!$D$2:$BW$2&amp;Demand_current!$D$3:$BW$3, 0))/1000</f>
        <v>199.62224278846162</v>
      </c>
      <c r="DC139" s="103">
        <f t="array" ref="DC139">INDEX(Demand_current!$D$4:$BW$137, MATCH($A139, Demand_current!$B$4:$B$137, 0), MATCH(DC$4&amp;DC$5,Demand_current!$D$2:$BW$2&amp;Demand_current!$D$3:$BW$3, 0))/1000</f>
        <v>207.87920913461528</v>
      </c>
      <c r="DD139" s="103">
        <f t="array" ref="DD139">INDEX(Demand_current!$D$4:$BW$137, MATCH($A139, Demand_current!$B$4:$B$137, 0), MATCH(DD$4&amp;DD$5,Demand_current!$D$2:$BW$2&amp;Demand_current!$D$3:$BW$3, 0))/1000</f>
        <v>110.38823500000002</v>
      </c>
      <c r="DE139" s="103">
        <f t="array" ref="DE139">INDEX(Demand_current!$D$4:$BW$137, MATCH($A139, Demand_current!$B$4:$B$137, 0), MATCH(DE$4&amp;DE$5,Demand_current!$D$2:$BW$2&amp;Demand_current!$D$3:$BW$3, 0))/1000</f>
        <v>200.15384615384605</v>
      </c>
      <c r="DF139" s="103">
        <f t="array" ref="DF139">INDEX(Demand_current!$D$4:$BW$137, MATCH($A139, Demand_current!$B$4:$B$137, 0), MATCH(DF$4&amp;DF$5,Demand_current!$D$2:$BW$2&amp;Demand_current!$D$3:$BW$3, 0))/1000</f>
        <v>229.99774759615383</v>
      </c>
      <c r="DG139" s="103">
        <f t="array" ref="DG139">INDEX(Demand_current!$D$4:$BW$137, MATCH($A139, Demand_current!$B$4:$B$137, 0), MATCH(DG$4&amp;DG$5,Demand_current!$D$2:$BW$2&amp;Demand_current!$D$3:$BW$3, 0))/1000</f>
        <v>237.3504110576923</v>
      </c>
      <c r="DH139" s="103">
        <f t="array" ref="DH139">INDEX(Demand_current!$D$4:$BW$137, MATCH($A139, Demand_current!$B$4:$B$137, 0), MATCH(DH$4&amp;DH$5,Demand_current!$D$2:$BW$2&amp;Demand_current!$D$3:$BW$3, 0))/1000</f>
        <v>142.61575000000005</v>
      </c>
      <c r="DI139" s="102">
        <f>$BS139*(VLOOKUP(DI$4, Rates_current!$H$6:$R$41, 10, FALSE)+VLOOKUP(DI$4, Rates_current!$H$6:$R$41, 11, FALSE))</f>
        <v>444506.17860837199</v>
      </c>
      <c r="DJ139" s="102">
        <f>$BS139*(VLOOKUP(DJ$4, Rates_current!$H$6:$R$41, 10, FALSE)+VLOOKUP(DJ$4, Rates_current!$H$6:$R$41, 11, FALSE))</f>
        <v>568286.5197278955</v>
      </c>
      <c r="DK139" s="102">
        <f>$BS139*(VLOOKUP(DK$4, Rates_current!$H$6:$R$41, 10, FALSE)+VLOOKUP(DK$4, Rates_current!$H$6:$R$41, 11, FALSE))</f>
        <v>646094.24317740009</v>
      </c>
      <c r="DL139" s="102">
        <f>$BS139*(VLOOKUP(DL$4, Rates_current!$H$6:$R$41, 10, FALSE)+VLOOKUP(DL$4, Rates_current!$H$6:$R$41, 11, FALSE))</f>
        <v>681679.85994860076</v>
      </c>
      <c r="DM139" s="102">
        <f>$BS139*(VLOOKUP(DM$4, Rates_current!$H$6:$R$41, 10, FALSE)+VLOOKUP(DM$4, Rates_current!$H$6:$R$41, 11, FALSE))</f>
        <v>543237.32442005025</v>
      </c>
      <c r="DN139" s="102">
        <f>$BS139*(VLOOKUP(DN$4, Rates_current!$H$6:$R$41, 10, FALSE)+VLOOKUP(DN$4, Rates_current!$H$6:$R$41, 11, FALSE))</f>
        <v>593869.95249762235</v>
      </c>
      <c r="DO139" s="102">
        <f>$BS139*(VLOOKUP(DO$4, Rates_current!$H$6:$R$41, 10, FALSE)+VLOOKUP(DO$4, Rates_current!$H$6:$R$41, 11, FALSE))</f>
        <v>460255.18696629431</v>
      </c>
      <c r="DP139" s="102">
        <f>$BS139*(VLOOKUP(DP$4, Rates_current!$H$6:$R$41, 10, FALSE)+VLOOKUP(DP$4, Rates_current!$H$6:$R$41, 11, FALSE))</f>
        <v>595645.99403238436</v>
      </c>
      <c r="DQ139" s="102">
        <f>$BS139*(VLOOKUP(DQ$4, Rates_current!$H$6:$R$41, 10, FALSE)+VLOOKUP(DQ$4, Rates_current!$H$6:$R$41, 11, FALSE))</f>
        <v>608364.76992999821</v>
      </c>
      <c r="DR139" s="102">
        <f>$BS139*(VLOOKUP(DR$4, Rates_current!$H$6:$R$41, 10, FALSE)+VLOOKUP(DR$4, Rates_current!$H$6:$R$41, 11, FALSE))</f>
        <v>541497.25950207654</v>
      </c>
      <c r="DS139" s="102">
        <f>$BS139*(VLOOKUP(DS$4, Rates_current!$H$6:$R$41, 10, FALSE)+VLOOKUP(DS$4, Rates_current!$H$6:$R$41, 11, FALSE))</f>
        <v>555476.88090248895</v>
      </c>
      <c r="DT139" s="102">
        <f>$BS139*(VLOOKUP(DT$4, Rates_current!$H$6:$R$41, 10, FALSE)+VLOOKUP(DT$4, Rates_current!$H$6:$R$41, 11, FALSE))</f>
        <v>431394.38392080495</v>
      </c>
      <c r="DU139" s="261">
        <f>IF(D139=0,IF(C139=0,MAX(0,DW139 - (VLOOKUP($A139,TOCA_current!$A$2:$AV$136,MATCH("RHWM "&amp;Init!$D$1,TOCA_current!$A$2:$AV$2,0),FALSE)*$BS$2)), 0),0)</f>
        <v>0</v>
      </c>
      <c r="DV139" s="262">
        <f>MIN(VLOOKUP($A139,TOCA_current!$A$2:$AV$136,MATCH("TRL - NLSL - Existing Resource "&amp;$BS$1,TOCA_current!$A$2:$AV$2,0),FALSE)*$BS$2, VLOOKUP($A139,TOCA_current!$A$2:$AV$136,MATCH("RHWM "&amp;Init!$D$1,TOCA_current!$A$2:$AV$2,0),FALSE)*$BS$2)</f>
        <v>6679824.1199999982</v>
      </c>
      <c r="DW139" s="262">
        <f>SUM(BY139:CV139)+(BS139*RT1SC!$C$4*$BS$2)</f>
        <v>6670331.4187468123</v>
      </c>
      <c r="DX139" s="262">
        <f>VLOOKUP($A139,TOCA_current!$A$2:$AV$136,MATCH("Above RHWM Not Served with LS "&amp;$BS$1,TOCA_current!$A$2:$AV$2,0),FALSE)*$BS$2</f>
        <v>1341664.0799999998</v>
      </c>
      <c r="DY139" s="262">
        <f t="shared" si="58"/>
        <v>-9492.70125318598</v>
      </c>
      <c r="DZ139" s="262">
        <f>(VLOOKUP($A139,TOCA_current!$A$2:$AV$136,MATCH("RHWM "&amp;Init!$D$1,TOCA_current!$A$2:$AV$2,0),FALSE)*$BS$2) - $DV139</f>
        <v>0</v>
      </c>
      <c r="EA139" s="262">
        <f t="shared" si="59"/>
        <v>0</v>
      </c>
      <c r="EB139" s="262">
        <f t="shared" si="60"/>
        <v>0</v>
      </c>
      <c r="EC139" s="262">
        <f t="shared" si="61"/>
        <v>0</v>
      </c>
      <c r="ED139" s="262">
        <f t="shared" si="62"/>
        <v>0</v>
      </c>
    </row>
    <row r="140" spans="1:134">
      <c r="DI140" s="102"/>
      <c r="DJ140" s="102"/>
      <c r="DK140" s="102"/>
      <c r="DL140" s="102"/>
      <c r="DM140" s="102"/>
      <c r="DN140" s="102"/>
      <c r="DO140" s="102"/>
      <c r="DP140" s="102"/>
      <c r="DQ140" s="102"/>
      <c r="DR140" s="102"/>
      <c r="DS140" s="102"/>
      <c r="DT140" s="102"/>
    </row>
    <row r="141" spans="1:134">
      <c r="DI141" s="102"/>
      <c r="DJ141" s="102"/>
      <c r="DK141" s="102"/>
      <c r="DL141" s="102"/>
      <c r="DM141" s="102"/>
      <c r="DN141" s="102"/>
      <c r="DO141" s="102"/>
      <c r="DP141" s="102"/>
      <c r="DQ141" s="102"/>
      <c r="DR141" s="102"/>
      <c r="DS141" s="102"/>
      <c r="DT141" s="102"/>
    </row>
  </sheetData>
  <mergeCells count="2">
    <mergeCell ref="E3:F3"/>
    <mergeCell ref="BR3:BS3"/>
  </mergeCells>
  <printOptions headings="1" gridLines="1"/>
  <pageMargins left="0.25" right="0.25" top="0.75" bottom="0.75" header="0.3" footer="0.3"/>
  <pageSetup paperSize="5" scale="24" fitToWidth="2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>
    <tabColor theme="9" tint="0.39997558519241921"/>
  </sheetPr>
  <dimension ref="A1:AI169"/>
  <sheetViews>
    <sheetView topLeftCell="B1" zoomScaleNormal="100" workbookViewId="0">
      <pane xSplit="2" ySplit="3" topLeftCell="K4" activePane="bottomRight" state="frozen"/>
      <selection activeCell="B1" sqref="B1"/>
      <selection pane="topRight" activeCell="D1" sqref="D1"/>
      <selection pane="bottomLeft" activeCell="B4" sqref="B4"/>
      <selection pane="bottomRight" activeCell="Y13" sqref="Y13"/>
    </sheetView>
  </sheetViews>
  <sheetFormatPr defaultRowHeight="15"/>
  <cols>
    <col min="1" max="1" width="9.5703125" customWidth="1"/>
    <col min="3" max="3" width="28.42578125" bestFit="1" customWidth="1"/>
    <col min="4" max="4" width="13.5703125" bestFit="1" customWidth="1"/>
    <col min="5" max="9" width="12.7109375" customWidth="1"/>
    <col min="10" max="10" width="24.85546875" customWidth="1"/>
    <col min="11" max="11" width="12.7109375" customWidth="1"/>
    <col min="12" max="12" width="13.5703125" bestFit="1" customWidth="1"/>
    <col min="13" max="14" width="12.7109375" customWidth="1"/>
    <col min="15" max="15" width="13.5703125" bestFit="1" customWidth="1"/>
    <col min="16" max="19" width="12.7109375" customWidth="1"/>
    <col min="20" max="20" width="13.5703125" customWidth="1"/>
    <col min="21" max="22" width="12.7109375" customWidth="1"/>
    <col min="23" max="23" width="13.5703125" bestFit="1" customWidth="1"/>
    <col min="24" max="24" width="12.28515625" bestFit="1" customWidth="1"/>
    <col min="25" max="25" width="12.7109375" customWidth="1"/>
    <col min="26" max="26" width="15" bestFit="1" customWidth="1"/>
    <col min="27" max="27" width="8.42578125" style="45" bestFit="1" customWidth="1"/>
    <col min="28" max="28" width="24.42578125" customWidth="1"/>
    <col min="29" max="29" width="10.85546875" bestFit="1" customWidth="1"/>
    <col min="30" max="30" width="9.85546875" bestFit="1" customWidth="1"/>
    <col min="33" max="33" width="9.85546875" bestFit="1" customWidth="1"/>
  </cols>
  <sheetData>
    <row r="1" spans="1:35" ht="15.75">
      <c r="B1" s="39" t="s">
        <v>214</v>
      </c>
      <c r="C1" s="40"/>
      <c r="D1" s="285">
        <f t="shared" ref="D1:E1" si="0">SUM(D4:D137)</f>
        <v>2671316766.9943199</v>
      </c>
      <c r="E1" s="285">
        <f t="shared" si="0"/>
        <v>-485606865.85896003</v>
      </c>
      <c r="F1" s="285">
        <f>SUM(F4:F137)</f>
        <v>-25436317.551629879</v>
      </c>
      <c r="G1" s="285">
        <f>SUM(G4:G137)</f>
        <v>134064019.64614016</v>
      </c>
      <c r="H1" s="285">
        <f t="shared" ref="H1:X1" si="1">SUM(H4:H137)</f>
        <v>0</v>
      </c>
      <c r="I1" s="285">
        <f t="shared" si="1"/>
        <v>0</v>
      </c>
      <c r="J1" s="285">
        <f t="shared" si="1"/>
        <v>-33807892.565846361</v>
      </c>
      <c r="K1" s="285">
        <f t="shared" si="1"/>
        <v>-24993508.862920005</v>
      </c>
      <c r="L1" s="285">
        <f t="shared" si="1"/>
        <v>2033809933.6438439</v>
      </c>
      <c r="M1" s="285">
        <f t="shared" si="1"/>
        <v>57474788.583148196</v>
      </c>
      <c r="N1" s="286">
        <f>L1/M1</f>
        <v>35.386122920688116</v>
      </c>
      <c r="O1" s="285">
        <f t="shared" si="1"/>
        <v>2735080696.1555996</v>
      </c>
      <c r="P1" s="285">
        <f t="shared" si="1"/>
        <v>-389365576.84380007</v>
      </c>
      <c r="Q1" s="285">
        <f t="shared" si="1"/>
        <v>71554578.634715363</v>
      </c>
      <c r="R1" s="285">
        <f t="shared" si="1"/>
        <v>141637482.98624638</v>
      </c>
      <c r="S1" s="285">
        <f t="shared" si="1"/>
        <v>-45.310036112904591</v>
      </c>
      <c r="T1" s="285">
        <f t="shared" si="1"/>
        <v>0</v>
      </c>
      <c r="U1" s="285">
        <f t="shared" si="1"/>
        <v>-39581679.23640462</v>
      </c>
      <c r="V1" s="285">
        <f t="shared" si="1"/>
        <v>-25835986.68976</v>
      </c>
      <c r="W1" s="285">
        <f t="shared" si="1"/>
        <v>2277030632.631269</v>
      </c>
      <c r="X1" s="285">
        <f t="shared" si="1"/>
        <v>59121399.211782992</v>
      </c>
      <c r="Y1" s="286">
        <f>W1/X1</f>
        <v>38.514491588308907</v>
      </c>
      <c r="Z1" s="289">
        <f>+Y1/N1-1</f>
        <v>8.8406652365744964E-2</v>
      </c>
      <c r="AA1" s="287"/>
      <c r="AB1" s="287"/>
      <c r="AC1" s="287"/>
      <c r="AD1" s="287"/>
    </row>
    <row r="2" spans="1:35">
      <c r="A2" s="41" t="s">
        <v>0</v>
      </c>
      <c r="B2" s="42"/>
      <c r="C2" s="40"/>
      <c r="D2" s="38" t="s">
        <v>149</v>
      </c>
      <c r="O2" s="38" t="s">
        <v>150</v>
      </c>
    </row>
    <row r="3" spans="1:35" s="49" customFormat="1">
      <c r="A3" s="47" t="s">
        <v>1</v>
      </c>
      <c r="B3" s="48" t="s">
        <v>2</v>
      </c>
      <c r="C3" s="43" t="s">
        <v>3</v>
      </c>
      <c r="D3" s="114" t="s">
        <v>159</v>
      </c>
      <c r="E3" s="114" t="s">
        <v>257</v>
      </c>
      <c r="F3" s="114" t="s">
        <v>208</v>
      </c>
      <c r="G3" s="114" t="s">
        <v>203</v>
      </c>
      <c r="H3" s="114" t="s">
        <v>239</v>
      </c>
      <c r="I3" s="114" t="s">
        <v>264</v>
      </c>
      <c r="J3" s="114" t="s">
        <v>258</v>
      </c>
      <c r="K3" s="114" t="s">
        <v>215</v>
      </c>
      <c r="L3" s="114" t="s">
        <v>179</v>
      </c>
      <c r="M3" s="114" t="s">
        <v>216</v>
      </c>
      <c r="N3" s="114" t="s">
        <v>221</v>
      </c>
      <c r="O3" s="118" t="s">
        <v>159</v>
      </c>
      <c r="P3" s="118" t="s">
        <v>257</v>
      </c>
      <c r="Q3" s="118" t="s">
        <v>208</v>
      </c>
      <c r="R3" s="118" t="s">
        <v>203</v>
      </c>
      <c r="S3" s="118" t="s">
        <v>239</v>
      </c>
      <c r="T3" s="118" t="s">
        <v>264</v>
      </c>
      <c r="U3" s="118" t="s">
        <v>258</v>
      </c>
      <c r="V3" s="118" t="s">
        <v>215</v>
      </c>
      <c r="W3" s="118" t="s">
        <v>179</v>
      </c>
      <c r="X3" s="118" t="s">
        <v>216</v>
      </c>
      <c r="Y3" s="118" t="s">
        <v>221</v>
      </c>
      <c r="Z3" s="71" t="s">
        <v>222</v>
      </c>
      <c r="AA3" s="120" t="s">
        <v>224</v>
      </c>
      <c r="AB3"/>
      <c r="AC3"/>
      <c r="AD3"/>
      <c r="AE3"/>
      <c r="AF3"/>
      <c r="AG3"/>
      <c r="AH3"/>
      <c r="AI3"/>
    </row>
    <row r="4" spans="1:35">
      <c r="B4" s="2">
        <v>10015</v>
      </c>
      <c r="C4" s="3" t="s">
        <v>8</v>
      </c>
      <c r="D4" s="115">
        <f>IF(Init!$R$9="Yes",'Staging Table'!E6,'Staging Table'!BR6)*Rates_previous!$E$76*100*12</f>
        <v>206764.22159999999</v>
      </c>
      <c r="E4" s="115">
        <f>IF(Init!$R$9="Yes",'Staging Table'!F6,'Staging Table'!BS6)*Rates_previous!$E$77*100*12</f>
        <v>-42212.770799999998</v>
      </c>
      <c r="F4" s="116">
        <f>IF(Init!$R$9="Yes",SUMPRODUCT('Staging Table'!L6:AI6,LS_Demand_Rates_Restatement!$C$4:$Z$4)-IF(Init!$R$12="No",('Staging Table'!BH6*Rates_previous!$H$34), 0),SUMPRODUCT('Staging Table'!BY6:CV6,LS_Demand_Rates_Restatement!$C$4:$Z$4)-IF(Init!$R$12="No", 'Staging Table'!DU6*Rates_previous!$H$34, 0))</f>
        <v>-1985.7062859155485</v>
      </c>
      <c r="G4" s="116">
        <f>IF(Init!$R$9="Yes",SUMPRODUCT('Staging Table'!AJ6:AU6,LS_Demand_Rates_Restatement!$C$10:$N$10),SUMPRODUCT(LS_Demand_Rates_Restatement!$C$10:$N$10,'Staging Table'!CW6:DH6))*1000</f>
        <v>33714.16324567308</v>
      </c>
      <c r="H4" s="117">
        <f>IF(Init!$R$9="Yes",'Staging Table'!BQ6,'Staging Table'!ED6)*IF(Init!$R$3=2022,Rates_previous!$C$88,Rates_previous!$D$88)</f>
        <v>0</v>
      </c>
      <c r="I4" s="115">
        <v>0</v>
      </c>
      <c r="J4" s="117">
        <f>IF(Init!$R$9="Yes",IF('Staging Table'!D6=1,'Staging Table'!H6*-1,'Staging Table'!H6*SUM(D4:I4)*(-1)),IF('Staging Table'!D6=1,'Staging Table'!BU6*-1,'Staging Table'!BU6*SUM(D4:I4)*(-1)))</f>
        <v>0</v>
      </c>
      <c r="K4" s="115">
        <f>IF(Init!$R$9="Yes",'Staging Table'!K6,'Staging Table'!BX6)*(-1)*Rates_previous!$H$32</f>
        <v>0</v>
      </c>
      <c r="L4" s="115">
        <f>IF('Staging Table'!C6=1,"",SUM(D4:K4))</f>
        <v>196279.90775975754</v>
      </c>
      <c r="M4" s="115">
        <f>IF('Staging Table'!C6=1,"",IF(Init!$R$9="Yes",(RT1SC!$C$3*'Staging Table'!E6*'Staging Table'!$F$2)+SUM('Staging Table'!L6:AI6)-IF(Init!$R$12="No",'Staging Table'!BH6, 0),X4))</f>
        <v>5033.232</v>
      </c>
      <c r="N4" s="69">
        <f>IF('Staging Table'!C6=1,"",IF(M4=0, 0, L4/M4))</f>
        <v>38.996793265193723</v>
      </c>
      <c r="O4" s="115">
        <f>'Staging Table'!BR6*Rates_current!$F$77*100*12</f>
        <v>210294.5208</v>
      </c>
      <c r="P4" s="115">
        <f>'Staging Table'!BS6*Rates_current!$F$78*100*12</f>
        <v>-33683.546399999999</v>
      </c>
      <c r="Q4" s="116">
        <f>SUMPRODUCT('Staging Table'!BY6:CV6, LS_Demand_Rates_Restatement!$C$5:$Z$5)-IF(Init!$R$12="No",('Staging Table'!DU6*Rates_current!$I$46), 0)</f>
        <v>6973.698202474443</v>
      </c>
      <c r="R4" s="116">
        <f>SUMPRODUCT('Staging Table'!CW6:DH6, LS_Demand_Rates_Restatement!$C$11:$N$11)*1000</f>
        <v>38354.911118767799</v>
      </c>
      <c r="S4" s="117">
        <f>'Staging Table'!ED6*IF(Init!$R$15="Yes",IF(Init!$R$6=2024,Rates_current!$C$89,Rates_current!$D$89),Rates_current!$I$45)</f>
        <v>0</v>
      </c>
      <c r="T4" s="117">
        <v>0</v>
      </c>
      <c r="U4" s="117">
        <f>IF('Staging Table'!D6=1, 'Staging Table'!BU6*-1,SUM(O4:T4)*'Staging Table'!BU6*-1)</f>
        <v>0</v>
      </c>
      <c r="V4" s="115">
        <f>'Staging Table'!BX6*Rates_current!$I$44*-1</f>
        <v>0</v>
      </c>
      <c r="W4" s="115">
        <f>IF('Staging Table'!C6=1,"",SUM(O4:V4))</f>
        <v>221939.58372124226</v>
      </c>
      <c r="X4" s="115">
        <f>IF('Staging Table'!C6=1,"",(RT1SC!$C$4*'Staging Table'!BR6*'Staging Table'!$BS$2)+SUM('Staging Table'!BY6:CV6)-IF(Init!$R$12="No",'Staging Table'!DU6, 0))</f>
        <v>5054.5199999999995</v>
      </c>
      <c r="Y4" s="69">
        <f>IF('Staging Table'!C6=1,"",IF(X4=0, 0, W4/X4))</f>
        <v>43.909131573570249</v>
      </c>
      <c r="Z4" s="64">
        <f ca="1">IF('Staging Table'!C6=1,"",(Y4/N4-1)+(RAND()/100000000000000))</f>
        <v>0.12596775009090538</v>
      </c>
      <c r="AA4" s="45">
        <f t="shared" ref="AA4:AA35" ca="1" si="2">IF(Z4="","",RANK(Z4,$Z$4:$Z$137))</f>
        <v>8</v>
      </c>
      <c r="AC4">
        <f>IF(ISERROR(R4/G4),"",R4/G4)</f>
        <v>1.1376498013395102</v>
      </c>
      <c r="AD4" s="119"/>
      <c r="AE4" s="119"/>
      <c r="AG4" s="119"/>
      <c r="AH4" s="119"/>
    </row>
    <row r="5" spans="1:35">
      <c r="B5" s="2">
        <v>10024</v>
      </c>
      <c r="C5" s="3" t="s">
        <v>9</v>
      </c>
      <c r="D5" s="115">
        <f>IF(Init!$R$9="Yes",'Staging Table'!E7,'Staging Table'!BR7)*Rates_previous!$E$76*100*12</f>
        <v>72461642.470559999</v>
      </c>
      <c r="E5" s="115">
        <f>IF(Init!$R$9="Yes",'Staging Table'!F7,'Staging Table'!BS7)*Rates_previous!$E$77*100*12</f>
        <v>-14793694.391279999</v>
      </c>
      <c r="F5" s="116">
        <f>IF(Init!$R$9="Yes",SUMPRODUCT('Staging Table'!L7:AI7,LS_Demand_Rates_Restatement!$C$4:$Z$4)-IF(Init!$R$12="No",('Staging Table'!BH7*Rates_previous!$H$34), 0),SUMPRODUCT('Staging Table'!BY7:CV7,LS_Demand_Rates_Restatement!$C$4:$Z$4)-IF(Init!$R$12="No", 'Staging Table'!DU7*Rates_previous!$H$34, 0))</f>
        <v>-725540.67497691256</v>
      </c>
      <c r="G5" s="116">
        <f>IF(Init!$R$9="Yes",SUMPRODUCT('Staging Table'!AJ7:AU7,LS_Demand_Rates_Restatement!$C$10:$N$10),SUMPRODUCT(LS_Demand_Rates_Restatement!$C$10:$N$10,'Staging Table'!CW7:DH7))*1000</f>
        <v>3763233.7262085732</v>
      </c>
      <c r="H5" s="117">
        <f>IF(Init!$R$9="Yes",'Staging Table'!BQ7,'Staging Table'!ED7)*IF(Init!$R$3=2022,Rates_previous!$C$88,Rates_previous!$D$88)</f>
        <v>0</v>
      </c>
      <c r="I5" s="115">
        <v>0</v>
      </c>
      <c r="J5" s="117">
        <f>IF(Init!$R$9="Yes",IF('Staging Table'!D7=1,'Staging Table'!H7*-1,'Staging Table'!H7*SUM(D5:I5)*(-1)),IF('Staging Table'!D7=1,'Staging Table'!BU7*-1,'Staging Table'!BU7*SUM(D5:I5)*(-1)))</f>
        <v>0</v>
      </c>
      <c r="K5" s="115">
        <f>IF(Init!$R$9="Yes",'Staging Table'!K7,'Staging Table'!BX7)*(-1)*Rates_previous!$H$32</f>
        <v>-3612607.5440000002</v>
      </c>
      <c r="L5" s="115">
        <f>IF('Staging Table'!C7=1,"",SUM(D5:K5))</f>
        <v>57093033.586511664</v>
      </c>
      <c r="M5" s="115">
        <f>IF('Staging Table'!C7=1,"",IF(Init!$R$9="Yes",(RT1SC!$C$3*'Staging Table'!E7*'Staging Table'!$F$2)+SUM('Staging Table'!L7:AI7)-IF(Init!$R$12="No",'Staging Table'!BH7, 0),X5))</f>
        <v>1764907.632</v>
      </c>
      <c r="N5" s="69">
        <f>IF('Staging Table'!C7=1,"",IF(M5=0, 0, L5/M5))</f>
        <v>32.349020737030656</v>
      </c>
      <c r="O5" s="115">
        <f>'Staging Table'!BR7*Rates_current!$F$77*100*12</f>
        <v>73613182.632599995</v>
      </c>
      <c r="P5" s="115">
        <f>'Staging Table'!BS7*Rates_current!$F$78*100*12</f>
        <v>-11790859.045799999</v>
      </c>
      <c r="Q5" s="116">
        <f>SUMPRODUCT('Staging Table'!BY7:CV7, LS_Demand_Rates_Restatement!$C$5:$Z$5)-IF(Init!$R$12="No",('Staging Table'!DU7*Rates_current!$I$46), 0)</f>
        <v>914611.21487061097</v>
      </c>
      <c r="R5" s="116">
        <f>SUMPRODUCT('Staging Table'!CW7:DH7, LS_Demand_Rates_Restatement!$C$11:$N$11)*1000</f>
        <v>4146076.8696862441</v>
      </c>
      <c r="S5" s="117">
        <f>'Staging Table'!ED7*IF(Init!$R$15="Yes",IF(Init!$R$6=2024,Rates_current!$C$89,Rates_current!$D$89),Rates_current!$I$45)</f>
        <v>0</v>
      </c>
      <c r="T5" s="117">
        <v>0</v>
      </c>
      <c r="U5" s="117">
        <f>IF('Staging Table'!D7=1, 'Staging Table'!BU7*-1,SUM(O5:T5)*'Staging Table'!BU7*-1)</f>
        <v>0</v>
      </c>
      <c r="V5" s="115">
        <f>'Staging Table'!BX7*Rates_current!$I$44*-1</f>
        <v>-3734380.8320000004</v>
      </c>
      <c r="W5" s="115">
        <f>IF('Staging Table'!C7=1,"",SUM(O5:V5))</f>
        <v>63148630.839356847</v>
      </c>
      <c r="X5" s="115">
        <f>IF('Staging Table'!C7=1,"",(RT1SC!$C$4*'Staging Table'!BR7*'Staging Table'!$BS$2)+SUM('Staging Table'!BY7:CV7)-IF(Init!$R$12="No",'Staging Table'!DU7, 0))</f>
        <v>1770227.6334963473</v>
      </c>
      <c r="Y5" s="69">
        <f>IF('Staging Table'!C7=1,"",IF(X5=0, 0, W5/X5))</f>
        <v>35.672604835928944</v>
      </c>
      <c r="Z5" s="64">
        <f ca="1">IF('Staging Table'!C7=1,"",(Y5/N5-1)+(RAND()/100000000000000))</f>
        <v>0.10274141297556823</v>
      </c>
      <c r="AA5" s="45">
        <f t="shared" ca="1" si="2"/>
        <v>29</v>
      </c>
      <c r="AC5">
        <f t="shared" ref="AC5:AC68" si="3">IF(ISERROR(R5/G5),"",R5/G5)</f>
        <v>1.1017324916099172</v>
      </c>
      <c r="AD5" s="119"/>
      <c r="AE5" s="119"/>
      <c r="AG5" s="119"/>
      <c r="AH5" s="119"/>
    </row>
    <row r="6" spans="1:35">
      <c r="B6" s="2">
        <v>10025</v>
      </c>
      <c r="C6" s="3" t="s">
        <v>10</v>
      </c>
      <c r="D6" s="115">
        <f>IF(Init!$R$9="Yes",'Staging Table'!E8,'Staging Table'!BR8)*Rates_previous!$E$76*100*12</f>
        <v>21515685.608879998</v>
      </c>
      <c r="E6" s="115">
        <f>IF(Init!$R$9="Yes",'Staging Table'!F8,'Staging Table'!BS8)*Rates_previous!$E$77*100*12</f>
        <v>-4392620.2424400002</v>
      </c>
      <c r="F6" s="116">
        <f>IF(Init!$R$9="Yes",SUMPRODUCT('Staging Table'!L8:AI8,LS_Demand_Rates_Restatement!$C$4:$Z$4)-IF(Init!$R$12="No",('Staging Table'!BH8*Rates_previous!$H$34), 0),SUMPRODUCT('Staging Table'!BY8:CV8,LS_Demand_Rates_Restatement!$C$4:$Z$4)-IF(Init!$R$12="No", 'Staging Table'!DU8*Rates_previous!$H$34, 0))</f>
        <v>-60981.912684642244</v>
      </c>
      <c r="G6" s="116">
        <f>IF(Init!$R$9="Yes",SUMPRODUCT('Staging Table'!AJ8:AU8,LS_Demand_Rates_Restatement!$C$10:$N$10),SUMPRODUCT(LS_Demand_Rates_Restatement!$C$10:$N$10,'Staging Table'!CW8:DH8))*1000</f>
        <v>1529911.9823596419</v>
      </c>
      <c r="H6" s="117">
        <f>IF(Init!$R$9="Yes",'Staging Table'!BQ8,'Staging Table'!ED8)*IF(Init!$R$3=2022,Rates_previous!$C$88,Rates_previous!$D$88)</f>
        <v>0</v>
      </c>
      <c r="I6" s="115">
        <v>0</v>
      </c>
      <c r="J6" s="117">
        <f>IF(Init!$R$9="Yes",IF('Staging Table'!D8=1,'Staging Table'!H8*-1,'Staging Table'!H8*SUM(D6:I6)*(-1)),IF('Staging Table'!D8=1,'Staging Table'!BU8*-1,'Staging Table'!BU8*SUM(D6:I6)*(-1)))</f>
        <v>-1111088.237621977</v>
      </c>
      <c r="K6" s="115">
        <f>IF(Init!$R$9="Yes",'Staging Table'!K8,'Staging Table'!BX8)*(-1)*Rates_previous!$H$32</f>
        <v>-959162.91549000004</v>
      </c>
      <c r="L6" s="115">
        <f>IF('Staging Table'!C8=1,"",SUM(D6:K6))</f>
        <v>16521744.283003019</v>
      </c>
      <c r="M6" s="115">
        <f>IF('Staging Table'!C8=1,"",IF(Init!$R$9="Yes",(RT1SC!$C$3*'Staging Table'!E8*'Staging Table'!$F$2)+SUM('Staging Table'!L8:AI8)-IF(Init!$R$12="No",'Staging Table'!BH8, 0),X6))</f>
        <v>524044.65600000002</v>
      </c>
      <c r="N6" s="69">
        <f>IF('Staging Table'!C8=1,"",IF(M6=0, 0, L6/M6))</f>
        <v>31.52735953670906</v>
      </c>
      <c r="O6" s="115">
        <f>'Staging Table'!BR8*Rates_current!$F$77*100*12</f>
        <v>21857680.9932</v>
      </c>
      <c r="P6" s="115">
        <f>'Staging Table'!BS8*Rates_current!$F$78*100*12</f>
        <v>-3501014.7155999998</v>
      </c>
      <c r="Q6" s="116">
        <f>SUMPRODUCT('Staging Table'!BY8:CV8, LS_Demand_Rates_Restatement!$C$5:$Z$5)-IF(Init!$R$12="No",('Staging Table'!DU8*Rates_current!$I$46), 0)</f>
        <v>539916.72716192424</v>
      </c>
      <c r="R6" s="116">
        <f>SUMPRODUCT('Staging Table'!CW8:DH8, LS_Demand_Rates_Restatement!$C$11:$N$11)*1000</f>
        <v>1670720.3329102925</v>
      </c>
      <c r="S6" s="117">
        <f>'Staging Table'!ED8*IF(Init!$R$15="Yes",IF(Init!$R$6=2024,Rates_current!$C$89,Rates_current!$D$89),Rates_current!$I$45)</f>
        <v>0</v>
      </c>
      <c r="T6" s="117">
        <v>0</v>
      </c>
      <c r="U6" s="117">
        <f>IF('Staging Table'!D8=1, 'Staging Table'!BU8*-1,SUM(O6:T6)*'Staging Table'!BU8*-1)</f>
        <v>-1410255.1862340446</v>
      </c>
      <c r="V6" s="115">
        <f>'Staging Table'!BX8*Rates_current!$I$44*-1</f>
        <v>-991494.24972000008</v>
      </c>
      <c r="W6" s="115">
        <f>IF('Staging Table'!C8=1,"",SUM(O6:V6))</f>
        <v>18165553.901718173</v>
      </c>
      <c r="X6" s="115">
        <f>IF('Staging Table'!C8=1,"",(RT1SC!$C$4*'Staging Table'!BR8*'Staging Table'!$BS$2)+SUM('Staging Table'!BY8:CV8)-IF(Init!$R$12="No",'Staging Table'!DU8, 0))</f>
        <v>525626.28</v>
      </c>
      <c r="Y6" s="69">
        <f>IF('Staging Table'!C8=1,"",IF(X6=0, 0, W6/X6))</f>
        <v>34.559828138193872</v>
      </c>
      <c r="Z6" s="64">
        <f ca="1">IF('Staging Table'!C8=1,"",(Y6/N6-1)+(RAND()/100000000000000))</f>
        <v>9.6185302100994977E-2</v>
      </c>
      <c r="AA6" s="45">
        <f t="shared" ca="1" si="2"/>
        <v>56</v>
      </c>
      <c r="AC6">
        <f t="shared" si="3"/>
        <v>1.092036896353656</v>
      </c>
      <c r="AD6" s="119"/>
      <c r="AE6" s="119"/>
      <c r="AG6" s="119"/>
      <c r="AH6" s="119"/>
    </row>
    <row r="7" spans="1:35">
      <c r="B7" s="2">
        <v>10027</v>
      </c>
      <c r="C7" s="3" t="s">
        <v>11</v>
      </c>
      <c r="D7" s="115">
        <f>IF(Init!$R$9="Yes",'Staging Table'!E9,'Staging Table'!BR9)*Rates_previous!$E$76*100*12</f>
        <v>22069215.85032</v>
      </c>
      <c r="E7" s="115">
        <f>IF(Init!$R$9="Yes",'Staging Table'!F9,'Staging Table'!BS9)*Rates_previous!$E$77*100*12</f>
        <v>-4505628.4071599999</v>
      </c>
      <c r="F7" s="116">
        <f>IF(Init!$R$9="Yes",SUMPRODUCT('Staging Table'!L9:AI9,LS_Demand_Rates_Restatement!$C$4:$Z$4)-IF(Init!$R$12="No",('Staging Table'!BH9*Rates_previous!$H$34), 0),SUMPRODUCT('Staging Table'!BY9:CV9,LS_Demand_Rates_Restatement!$C$4:$Z$4)-IF(Init!$R$12="No", 'Staging Table'!DU9*Rates_previous!$H$34, 0))</f>
        <v>-1216108.9203317862</v>
      </c>
      <c r="G7" s="116">
        <f>IF(Init!$R$9="Yes",SUMPRODUCT('Staging Table'!AJ9:AU9,LS_Demand_Rates_Restatement!$C$10:$N$10),SUMPRODUCT(LS_Demand_Rates_Restatement!$C$10:$N$10,'Staging Table'!CW9:DH9))*1000</f>
        <v>1423795.8694122329</v>
      </c>
      <c r="H7" s="117">
        <f>IF(Init!$R$9="Yes",'Staging Table'!BQ9,'Staging Table'!ED9)*IF(Init!$R$3=2022,Rates_previous!$C$88,Rates_previous!$D$88)</f>
        <v>0</v>
      </c>
      <c r="I7" s="115">
        <v>0</v>
      </c>
      <c r="J7" s="117">
        <f>IF(Init!$R$9="Yes",IF('Staging Table'!D9=1,'Staging Table'!H9*-1,'Staging Table'!H9*SUM(D7:I7)*(-1)),IF('Staging Table'!D9=1,'Staging Table'!BU9*-1,'Staging Table'!BU9*SUM(D7:I7)*(-1)))</f>
        <v>-1378097.0742671841</v>
      </c>
      <c r="K7" s="115">
        <f>IF(Init!$R$9="Yes",'Staging Table'!K9,'Staging Table'!BX9)*(-1)*Rates_previous!$H$32</f>
        <v>-2425876.5778000001</v>
      </c>
      <c r="L7" s="115">
        <f>IF('Staging Table'!C9=1,"",SUM(D7:K7))</f>
        <v>13967300.740173265</v>
      </c>
      <c r="M7" s="115">
        <f>IF('Staging Table'!C9=1,"",IF(Init!$R$9="Yes",(RT1SC!$C$3*'Staging Table'!E9*'Staging Table'!$F$2)+SUM('Staging Table'!L9:AI9)-IF(Init!$R$12="No",'Staging Table'!BH9, 0),X7))</f>
        <v>537528.09600000002</v>
      </c>
      <c r="N7" s="69">
        <f>IF('Staging Table'!C9=1,"",IF(M7=0, 0, L7/M7))</f>
        <v>25.984317553092637</v>
      </c>
      <c r="O7" s="115">
        <f>'Staging Table'!BR9*Rates_current!$F$77*100*12</f>
        <v>22419933.954599999</v>
      </c>
      <c r="P7" s="115">
        <f>'Staging Table'!BS9*Rates_current!$F$78*100*12</f>
        <v>-3591072.5718</v>
      </c>
      <c r="Q7" s="116">
        <f>SUMPRODUCT('Staging Table'!BY9:CV9, LS_Demand_Rates_Restatement!$C$5:$Z$5)-IF(Init!$R$12="No",('Staging Table'!DU9*Rates_current!$I$46), 0)</f>
        <v>-471183.7483394728</v>
      </c>
      <c r="R7" s="116">
        <f>SUMPRODUCT('Staging Table'!CW9:DH9, LS_Demand_Rates_Restatement!$C$11:$N$11)*1000</f>
        <v>1540933.0914544696</v>
      </c>
      <c r="S7" s="117">
        <f>'Staging Table'!ED9*IF(Init!$R$15="Yes",IF(Init!$R$6=2024,Rates_current!$C$89,Rates_current!$D$89),Rates_current!$I$45)</f>
        <v>0</v>
      </c>
      <c r="T7" s="117">
        <v>0</v>
      </c>
      <c r="U7" s="117">
        <f>IF('Staging Table'!D9=1, 'Staging Table'!BU9*-1,SUM(O7:T7)*'Staging Table'!BU9*-1)</f>
        <v>-1642098.5229753819</v>
      </c>
      <c r="V7" s="115">
        <f>'Staging Table'!BX9*Rates_current!$I$44*-1</f>
        <v>-2507647.6984000001</v>
      </c>
      <c r="W7" s="115">
        <f>IF('Staging Table'!C9=1,"",SUM(O7:V7))</f>
        <v>15748864.504539611</v>
      </c>
      <c r="X7" s="115">
        <f>IF('Staging Table'!C9=1,"",(RT1SC!$C$4*'Staging Table'!BR9*'Staging Table'!$BS$2)+SUM('Staging Table'!BY9:CV9)-IF(Init!$R$12="No",'Staging Table'!DU9, 0))</f>
        <v>539151.72</v>
      </c>
      <c r="Y7" s="69">
        <f>IF('Staging Table'!C9=1,"",IF(X7=0, 0, W7/X7))</f>
        <v>29.21045026906269</v>
      </c>
      <c r="Z7" s="64">
        <f ca="1">IF('Staging Table'!C9=1,"",(Y7/N7-1)+(RAND()/100000000000000))</f>
        <v>0.12415691539245825</v>
      </c>
      <c r="AA7" s="45">
        <f t="shared" ca="1" si="2"/>
        <v>10</v>
      </c>
      <c r="AC7">
        <f t="shared" si="3"/>
        <v>1.0822710787120018</v>
      </c>
      <c r="AD7" s="119"/>
      <c r="AE7" s="119"/>
      <c r="AG7" s="119"/>
      <c r="AH7" s="119"/>
    </row>
    <row r="8" spans="1:35">
      <c r="B8" s="2">
        <v>10029</v>
      </c>
      <c r="C8" s="3" t="s">
        <v>12</v>
      </c>
      <c r="D8" s="115">
        <f>IF(Init!$R$9="Yes",'Staging Table'!E10,'Staging Table'!BR10)*Rates_previous!$E$76*100*12</f>
        <v>6353142.1005600002</v>
      </c>
      <c r="E8" s="115">
        <f>IF(Init!$R$9="Yes",'Staging Table'!F10,'Staging Table'!BS10)*Rates_previous!$E$77*100*12</f>
        <v>-1297050.95628</v>
      </c>
      <c r="F8" s="116">
        <f>IF(Init!$R$9="Yes",SUMPRODUCT('Staging Table'!L10:AI10,LS_Demand_Rates_Restatement!$C$4:$Z$4)-IF(Init!$R$12="No",('Staging Table'!BH10*Rates_previous!$H$34), 0),SUMPRODUCT('Staging Table'!BY10:CV10,LS_Demand_Rates_Restatement!$C$4:$Z$4)-IF(Init!$R$12="No", 'Staging Table'!DU10*Rates_previous!$H$34, 0))</f>
        <v>0</v>
      </c>
      <c r="G8" s="116">
        <f>IF(Init!$R$9="Yes",SUMPRODUCT('Staging Table'!AJ10:AU10,LS_Demand_Rates_Restatement!$C$10:$N$10),SUMPRODUCT(LS_Demand_Rates_Restatement!$C$10:$N$10,'Staging Table'!CW10:DH10))*1000</f>
        <v>0</v>
      </c>
      <c r="H8" s="117">
        <f>IF(Init!$R$9="Yes",'Staging Table'!BQ10,'Staging Table'!ED10)*IF(Init!$R$3=2022,Rates_previous!$C$88,Rates_previous!$D$88)</f>
        <v>0</v>
      </c>
      <c r="I8" s="115">
        <v>0</v>
      </c>
      <c r="J8" s="117">
        <f>IF(Init!$R$9="Yes",IF('Staging Table'!D10=1,'Staging Table'!H10*-1,'Staging Table'!H10*SUM(D8:I8)*(-1)),IF('Staging Table'!D10=1,'Staging Table'!BU10*-1,'Staging Table'!BU10*SUM(D8:I8)*(-1)))</f>
        <v>-404445.67408009747</v>
      </c>
      <c r="K8" s="115">
        <f>IF(Init!$R$9="Yes",'Staging Table'!K10,'Staging Table'!BX10)*(-1)*Rates_previous!$H$32</f>
        <v>0</v>
      </c>
      <c r="L8" s="115" t="str">
        <f>IF('Staging Table'!C10=1,"",SUM(D8:K8))</f>
        <v/>
      </c>
      <c r="M8" s="115" t="str">
        <f>IF('Staging Table'!C10=1,"",IF(Init!$R$9="Yes",(RT1SC!$C$3*'Staging Table'!E10*'Staging Table'!$F$2)+SUM('Staging Table'!L10:AI10)-IF(Init!$R$12="No",'Staging Table'!BH10, 0),X8))</f>
        <v/>
      </c>
      <c r="N8" s="69" t="str">
        <f>IF('Staging Table'!C10=1,"",IF(M8=0, 0, L8/M8))</f>
        <v/>
      </c>
      <c r="O8" s="115">
        <f>'Staging Table'!BR10*Rates_current!$F$77*100*12</f>
        <v>6454125.3114</v>
      </c>
      <c r="P8" s="115">
        <f>'Staging Table'!BS10*Rates_current!$F$78*100*12</f>
        <v>-1033777.9062000001</v>
      </c>
      <c r="Q8" s="116">
        <f>SUMPRODUCT('Staging Table'!BY10:CV10, LS_Demand_Rates_Restatement!$C$5:$Z$5)-IF(Init!$R$12="No",('Staging Table'!DU10*Rates_current!$I$46), 0)</f>
        <v>0</v>
      </c>
      <c r="R8" s="116">
        <f>SUMPRODUCT('Staging Table'!CW10:DH10, LS_Demand_Rates_Restatement!$C$11:$N$11)*1000</f>
        <v>0</v>
      </c>
      <c r="S8" s="117">
        <f>'Staging Table'!ED10*IF(Init!$R$15="Yes",IF(Init!$R$6=2024,Rates_current!$C$89,Rates_current!$D$89),Rates_current!$I$45)</f>
        <v>0</v>
      </c>
      <c r="T8" s="117">
        <v>0</v>
      </c>
      <c r="U8" s="117">
        <f>IF('Staging Table'!D10=1, 'Staging Table'!BU10*-1,SUM(O8:T8)*'Staging Table'!BU10*-1)</f>
        <v>-461590.70327345049</v>
      </c>
      <c r="V8" s="115">
        <f>'Staging Table'!BX10*Rates_current!$I$44*-1</f>
        <v>0</v>
      </c>
      <c r="W8" s="115" t="str">
        <f>IF('Staging Table'!C10=1,"",SUM(O8:V8))</f>
        <v/>
      </c>
      <c r="X8" s="115" t="str">
        <f>IF('Staging Table'!C10=1,"",(RT1SC!$C$4*'Staging Table'!BR10*'Staging Table'!$BS$2)+SUM('Staging Table'!BY10:CV10)-IF(Init!$R$12="No",'Staging Table'!DU10, 0))</f>
        <v/>
      </c>
      <c r="Y8" s="69" t="str">
        <f>IF('Staging Table'!C10=1,"",IF(X8=0, 0, W8/X8))</f>
        <v/>
      </c>
      <c r="Z8" s="64" t="str">
        <f ca="1">IF('Staging Table'!C10=1,"",(Y8/N8-1)+(RAND()/100000000000000))</f>
        <v/>
      </c>
      <c r="AA8" s="45" t="str">
        <f t="shared" ca="1" si="2"/>
        <v/>
      </c>
      <c r="AC8" t="str">
        <f t="shared" si="3"/>
        <v/>
      </c>
      <c r="AD8" s="119"/>
      <c r="AE8" s="119"/>
      <c r="AG8" s="119"/>
      <c r="AH8" s="119"/>
    </row>
    <row r="9" spans="1:35">
      <c r="B9" s="2">
        <v>10044</v>
      </c>
      <c r="C9" s="3" t="s">
        <v>13</v>
      </c>
      <c r="D9" s="115">
        <f>IF(Init!$R$9="Yes",'Staging Table'!E11,'Staging Table'!BR11)*Rates_previous!$E$76*100*12</f>
        <v>7324186.60152</v>
      </c>
      <c r="E9" s="115">
        <f>IF(Init!$R$9="Yes",'Staging Table'!F11,'Staging Table'!BS11)*Rates_previous!$E$77*100*12</f>
        <v>-1495298.4027600002</v>
      </c>
      <c r="F9" s="116">
        <f>IF(Init!$R$9="Yes",SUMPRODUCT('Staging Table'!L11:AI11,LS_Demand_Rates_Restatement!$C$4:$Z$4)-IF(Init!$R$12="No",('Staging Table'!BH11*Rates_previous!$H$34), 0),SUMPRODUCT('Staging Table'!BY11:CV11,LS_Demand_Rates_Restatement!$C$4:$Z$4)-IF(Init!$R$12="No", 'Staging Table'!DU11*Rates_previous!$H$34, 0))</f>
        <v>-464929.17794186599</v>
      </c>
      <c r="G9" s="116">
        <f>IF(Init!$R$9="Yes",SUMPRODUCT('Staging Table'!AJ11:AU11,LS_Demand_Rates_Restatement!$C$10:$N$10),SUMPRODUCT(LS_Demand_Rates_Restatement!$C$10:$N$10,'Staging Table'!CW11:DH11))*1000</f>
        <v>444502.72548223817</v>
      </c>
      <c r="H9" s="117">
        <f>IF(Init!$R$9="Yes",'Staging Table'!BQ11,'Staging Table'!ED11)*IF(Init!$R$3=2022,Rates_previous!$C$88,Rates_previous!$D$88)</f>
        <v>0</v>
      </c>
      <c r="I9" s="115">
        <v>0</v>
      </c>
      <c r="J9" s="117">
        <f>IF(Init!$R$9="Yes",IF('Staging Table'!D11=1,'Staging Table'!H11*-1,'Staging Table'!H11*SUM(D9:I9)*(-1)),IF('Staging Table'!D11=1,'Staging Table'!BU11*-1,'Staging Table'!BU11*SUM(D9:I9)*(-1)))</f>
        <v>0</v>
      </c>
      <c r="K9" s="115">
        <f>IF(Init!$R$9="Yes",'Staging Table'!K11,'Staging Table'!BX11)*(-1)*Rates_previous!$H$32</f>
        <v>0</v>
      </c>
      <c r="L9" s="115">
        <f>IF('Staging Table'!C11=1,"",SUM(D9:K9))</f>
        <v>5808461.7463003723</v>
      </c>
      <c r="M9" s="115">
        <f>IF('Staging Table'!C11=1,"",IF(Init!$R$9="Yes",(RT1SC!$C$3*'Staging Table'!E11*'Staging Table'!$F$2)+SUM('Staging Table'!L11:AI11)-IF(Init!$R$12="No",'Staging Table'!BH11, 0),X9))</f>
        <v>164569.12683616445</v>
      </c>
      <c r="N9" s="69">
        <f>IF('Staging Table'!C11=1,"",IF(M9=0, 0, L9/M9))</f>
        <v>35.294966060571873</v>
      </c>
      <c r="O9" s="115">
        <f>'Staging Table'!BR11*Rates_current!$F$77*100*12</f>
        <v>7440593.0820000004</v>
      </c>
      <c r="P9" s="115">
        <f>'Staging Table'!BS11*Rates_current!$F$78*100*12</f>
        <v>-1191783.6059999999</v>
      </c>
      <c r="Q9" s="116">
        <f>SUMPRODUCT('Staging Table'!BY11:CV11, LS_Demand_Rates_Restatement!$C$5:$Z$5)-IF(Init!$R$12="No",('Staging Table'!DU11*Rates_current!$I$46), 0)</f>
        <v>209143.40736531821</v>
      </c>
      <c r="R9" s="116">
        <f>SUMPRODUCT('Staging Table'!CW11:DH11, LS_Demand_Rates_Restatement!$C$11:$N$11)*1000</f>
        <v>480662.25775714929</v>
      </c>
      <c r="S9" s="117">
        <f>'Staging Table'!ED11*IF(Init!$R$15="Yes",IF(Init!$R$6=2024,Rates_current!$C$89,Rates_current!$D$89),Rates_current!$I$45)</f>
        <v>0</v>
      </c>
      <c r="T9" s="117">
        <v>0</v>
      </c>
      <c r="U9" s="117">
        <f>IF('Staging Table'!D11=1, 'Staging Table'!BU11*-1,SUM(O9:T9)*'Staging Table'!BU11*-1)</f>
        <v>0</v>
      </c>
      <c r="V9" s="115">
        <f>'Staging Table'!BX11*Rates_current!$I$44*-1</f>
        <v>0</v>
      </c>
      <c r="W9" s="115">
        <f>IF('Staging Table'!C11=1,"",SUM(O9:V9))</f>
        <v>6938615.1411224687</v>
      </c>
      <c r="X9" s="115">
        <f>IF('Staging Table'!C11=1,"",(RT1SC!$C$4*'Staging Table'!BR11*'Staging Table'!$BS$2)+SUM('Staging Table'!BY11:CV11)-IF(Init!$R$12="No",'Staging Table'!DU11, 0))</f>
        <v>178931.75999999998</v>
      </c>
      <c r="Y9" s="69">
        <f>IF('Staging Table'!C11=1,"",IF(X9=0, 0, W9/X9))</f>
        <v>38.777996377627254</v>
      </c>
      <c r="Z9" s="64">
        <f ca="1">IF('Staging Table'!C11=1,"",(Y9/N9-1)+(RAND()/100000000000000))</f>
        <v>9.868348679180397E-2</v>
      </c>
      <c r="AA9" s="45">
        <f t="shared" ca="1" si="2"/>
        <v>42</v>
      </c>
      <c r="AC9">
        <f t="shared" si="3"/>
        <v>1.0813482802286125</v>
      </c>
      <c r="AD9" s="119"/>
      <c r="AE9" s="119"/>
      <c r="AG9" s="119"/>
      <c r="AH9" s="119"/>
    </row>
    <row r="10" spans="1:35">
      <c r="B10" s="2">
        <v>10046</v>
      </c>
      <c r="C10" s="3" t="s">
        <v>14</v>
      </c>
      <c r="D10" s="115">
        <f>IF(Init!$R$9="Yes",'Staging Table'!E12,'Staging Table'!BR12)*Rates_previous!$E$76*100*12</f>
        <v>29518955.665919997</v>
      </c>
      <c r="E10" s="115">
        <f>IF(Init!$R$9="Yes",'Staging Table'!F12,'Staging Table'!BS12)*Rates_previous!$E$77*100*12</f>
        <v>-6026559.6249599997</v>
      </c>
      <c r="F10" s="116">
        <f>IF(Init!$R$9="Yes",SUMPRODUCT('Staging Table'!L12:AI12,LS_Demand_Rates_Restatement!$C$4:$Z$4)-IF(Init!$R$12="No",('Staging Table'!BH12*Rates_previous!$H$34), 0),SUMPRODUCT('Staging Table'!BY12:CV12,LS_Demand_Rates_Restatement!$C$4:$Z$4)-IF(Init!$R$12="No", 'Staging Table'!DU12*Rates_previous!$H$34, 0))</f>
        <v>0</v>
      </c>
      <c r="G10" s="116">
        <f>IF(Init!$R$9="Yes",SUMPRODUCT('Staging Table'!AJ12:AU12,LS_Demand_Rates_Restatement!$C$10:$N$10),SUMPRODUCT(LS_Demand_Rates_Restatement!$C$10:$N$10,'Staging Table'!CW12:DH12))*1000</f>
        <v>0</v>
      </c>
      <c r="H10" s="117">
        <f>IF(Init!$R$9="Yes",'Staging Table'!BQ12,'Staging Table'!ED12)*IF(Init!$R$3=2022,Rates_previous!$C$88,Rates_previous!$D$88)</f>
        <v>0</v>
      </c>
      <c r="I10" s="115">
        <v>0</v>
      </c>
      <c r="J10" s="117">
        <f>IF(Init!$R$9="Yes",IF('Staging Table'!D12=1,'Staging Table'!H12*-1,'Staging Table'!H12*SUM(D10:I10)*(-1)),IF('Staging Table'!D12=1,'Staging Table'!BU12*-1,'Staging Table'!BU12*SUM(D10:I10)*(-1)))</f>
        <v>-1844678.7556500891</v>
      </c>
      <c r="K10" s="115">
        <f>IF(Init!$R$9="Yes",'Staging Table'!K12,'Staging Table'!BX12)*(-1)*Rates_previous!$H$32</f>
        <v>-475358.73749000003</v>
      </c>
      <c r="L10" s="115" t="str">
        <f>IF('Staging Table'!C12=1,"",SUM(D10:K10))</f>
        <v/>
      </c>
      <c r="M10" s="115" t="str">
        <f>IF('Staging Table'!C12=1,"",IF(Init!$R$9="Yes",(RT1SC!$C$3*'Staging Table'!E12*'Staging Table'!$F$2)+SUM('Staging Table'!L12:AI12)-IF(Init!$R$12="No",'Staging Table'!BH12, 0),X10))</f>
        <v/>
      </c>
      <c r="N10" s="69" t="str">
        <f>IF('Staging Table'!C12=1,"",IF(M10=0, 0, L10/M10))</f>
        <v/>
      </c>
      <c r="O10" s="115">
        <f>'Staging Table'!BR12*Rates_current!$F$77*100*12</f>
        <v>29988205.852799997</v>
      </c>
      <c r="P10" s="115">
        <f>'Staging Table'!BS12*Rates_current!$F$78*100*12</f>
        <v>-4803306.9024</v>
      </c>
      <c r="Q10" s="116">
        <f>SUMPRODUCT('Staging Table'!BY12:CV12, LS_Demand_Rates_Restatement!$C$5:$Z$5)-IF(Init!$R$12="No",('Staging Table'!DU12*Rates_current!$I$46), 0)</f>
        <v>0</v>
      </c>
      <c r="R10" s="116">
        <f>SUMPRODUCT('Staging Table'!CW12:DH12, LS_Demand_Rates_Restatement!$C$11:$N$11)*1000</f>
        <v>0</v>
      </c>
      <c r="S10" s="117">
        <f>'Staging Table'!ED12*IF(Init!$R$15="Yes",IF(Init!$R$6=2024,Rates_current!$C$89,Rates_current!$D$89),Rates_current!$I$45)</f>
        <v>0</v>
      </c>
      <c r="T10" s="117">
        <v>0</v>
      </c>
      <c r="U10" s="117">
        <f>IF('Staging Table'!D12=1, 'Staging Table'!BU12*-1,SUM(O10:T10)*'Staging Table'!BU12*-1)</f>
        <v>-2037071.1121990839</v>
      </c>
      <c r="V10" s="115">
        <f>'Staging Table'!BX12*Rates_current!$I$44*-1</f>
        <v>-491382.06572000007</v>
      </c>
      <c r="W10" s="115" t="str">
        <f>IF('Staging Table'!C12=1,"",SUM(O10:V10))</f>
        <v/>
      </c>
      <c r="X10" s="115" t="str">
        <f>IF('Staging Table'!C12=1,"",(RT1SC!$C$4*'Staging Table'!BR12*'Staging Table'!$BS$2)+SUM('Staging Table'!BY12:CV12)-IF(Init!$R$12="No",'Staging Table'!DU12, 0))</f>
        <v/>
      </c>
      <c r="Y10" s="69" t="str">
        <f>IF('Staging Table'!C12=1,"",IF(X10=0, 0, W10/X10))</f>
        <v/>
      </c>
      <c r="Z10" s="64" t="str">
        <f ca="1">IF('Staging Table'!C12=1,"",(Y10/N10-1)+(RAND()/100000000000000))</f>
        <v/>
      </c>
      <c r="AA10" s="45" t="str">
        <f t="shared" ca="1" si="2"/>
        <v/>
      </c>
      <c r="AC10" t="str">
        <f t="shared" si="3"/>
        <v/>
      </c>
      <c r="AD10" s="119"/>
      <c r="AE10" s="119"/>
      <c r="AG10" s="119"/>
      <c r="AH10" s="119"/>
    </row>
    <row r="11" spans="1:35">
      <c r="B11" s="2">
        <v>10047</v>
      </c>
      <c r="C11" s="3" t="s">
        <v>15</v>
      </c>
      <c r="D11" s="115">
        <f>IF(Init!$R$9="Yes",'Staging Table'!E13,'Staging Table'!BR13)*Rates_previous!$E$76*100*12</f>
        <v>54930776.727600008</v>
      </c>
      <c r="E11" s="115">
        <f>IF(Init!$R$9="Yes",'Staging Table'!F13,'Staging Table'!BS13)*Rates_previous!$E$77*100*12</f>
        <v>-11214610.8738</v>
      </c>
      <c r="F11" s="116">
        <f>IF(Init!$R$9="Yes",SUMPRODUCT('Staging Table'!L13:AI13,LS_Demand_Rates_Restatement!$C$4:$Z$4)-IF(Init!$R$12="No",('Staging Table'!BH13*Rates_previous!$H$34), 0),SUMPRODUCT('Staging Table'!BY13:CV13,LS_Demand_Rates_Restatement!$C$4:$Z$4)-IF(Init!$R$12="No", 'Staging Table'!DU13*Rates_previous!$H$34, 0))</f>
        <v>-1080975.3780364622</v>
      </c>
      <c r="G11" s="116">
        <f>IF(Init!$R$9="Yes",SUMPRODUCT('Staging Table'!AJ13:AU13,LS_Demand_Rates_Restatement!$C$10:$N$10),SUMPRODUCT(LS_Demand_Rates_Restatement!$C$10:$N$10,'Staging Table'!CW13:DH13))*1000</f>
        <v>1765987.1303468221</v>
      </c>
      <c r="H11" s="117">
        <f>IF(Init!$R$9="Yes",'Staging Table'!BQ13,'Staging Table'!ED13)*IF(Init!$R$3=2022,Rates_previous!$C$88,Rates_previous!$D$88)</f>
        <v>0</v>
      </c>
      <c r="I11" s="115">
        <v>0</v>
      </c>
      <c r="J11" s="117">
        <f>IF(Init!$R$9="Yes",IF('Staging Table'!D13=1,'Staging Table'!H13*-1,'Staging Table'!H13*SUM(D11:I11)*(-1)),IF('Staging Table'!D13=1,'Staging Table'!BU13*-1,'Staging Table'!BU13*SUM(D11:I11)*(-1)))</f>
        <v>0</v>
      </c>
      <c r="K11" s="115">
        <f>IF(Init!$R$9="Yes",'Staging Table'!K13,'Staging Table'!BX13)*(-1)*Rates_previous!$H$32</f>
        <v>0</v>
      </c>
      <c r="L11" s="115">
        <f>IF('Staging Table'!C13=1,"",SUM(D11:K11))</f>
        <v>44401177.606110364</v>
      </c>
      <c r="M11" s="115">
        <f>IF('Staging Table'!C13=1,"",IF(Init!$R$9="Yes",(RT1SC!$C$3*'Staging Table'!E13*'Staging Table'!$F$2)+SUM('Staging Table'!L13:AI13)-IF(Init!$R$12="No",'Staging Table'!BH13, 0),X11))</f>
        <v>1327312.9622711623</v>
      </c>
      <c r="N11" s="69">
        <f>IF('Staging Table'!C13=1,"",IF(M11=0, 0, L11/M11))</f>
        <v>33.451927968921218</v>
      </c>
      <c r="O11" s="115">
        <f>'Staging Table'!BR13*Rates_current!$F$77*100*12</f>
        <v>55195060.174799994</v>
      </c>
      <c r="P11" s="115">
        <f>'Staging Table'!BS13*Rates_current!$F$78*100*12</f>
        <v>-8840769.4284000006</v>
      </c>
      <c r="Q11" s="116">
        <f>SUMPRODUCT('Staging Table'!BY13:CV13, LS_Demand_Rates_Restatement!$C$5:$Z$5)-IF(Init!$R$12="No",('Staging Table'!DU13*Rates_current!$I$46), 0)</f>
        <v>1156551.2163641716</v>
      </c>
      <c r="R11" s="116">
        <f>SUMPRODUCT('Staging Table'!CW13:DH13, LS_Demand_Rates_Restatement!$C$11:$N$11)*1000</f>
        <v>1977416.6997575769</v>
      </c>
      <c r="S11" s="117">
        <f>'Staging Table'!ED13*IF(Init!$R$15="Yes",IF(Init!$R$6=2024,Rates_current!$C$89,Rates_current!$D$89),Rates_current!$I$45)</f>
        <v>8.4027172937523567</v>
      </c>
      <c r="T11" s="117">
        <v>0</v>
      </c>
      <c r="U11" s="117">
        <f>IF('Staging Table'!D13=1, 'Staging Table'!BU13*-1,SUM(O11:T11)*'Staging Table'!BU13*-1)</f>
        <v>0</v>
      </c>
      <c r="V11" s="115">
        <f>'Staging Table'!BX13*Rates_current!$I$44*-1</f>
        <v>0</v>
      </c>
      <c r="W11" s="115">
        <f>IF('Staging Table'!C13=1,"",SUM(O11:V11))</f>
        <v>49488267.065239035</v>
      </c>
      <c r="X11" s="115">
        <f>IF('Staging Table'!C13=1,"",(RT1SC!$C$4*'Staging Table'!BR13*'Staging Table'!$BS$2)+SUM('Staging Table'!BY13:CV13)-IF(Init!$R$12="No",'Staging Table'!DU13, 0))</f>
        <v>1327313.0343512131</v>
      </c>
      <c r="Y11" s="69">
        <f>IF('Staging Table'!C13=1,"",IF(X11=0, 0, W11/X11))</f>
        <v>37.28454839549493</v>
      </c>
      <c r="Z11" s="64">
        <f ca="1">IF('Staging Table'!C13=1,"",(Y11/N11-1)+(RAND()/100000000000000))</f>
        <v>0.11457098766129342</v>
      </c>
      <c r="AA11" s="45">
        <f t="shared" ca="1" si="2"/>
        <v>17</v>
      </c>
      <c r="AC11">
        <f t="shared" si="3"/>
        <v>1.1197231654622717</v>
      </c>
      <c r="AD11" s="119"/>
      <c r="AE11" s="119"/>
      <c r="AG11" s="119"/>
      <c r="AH11" s="119"/>
    </row>
    <row r="12" spans="1:35">
      <c r="B12" s="2">
        <v>10055</v>
      </c>
      <c r="C12" s="3" t="s">
        <v>16</v>
      </c>
      <c r="D12" s="115">
        <f>IF(Init!$R$9="Yes",'Staging Table'!E14,'Staging Table'!BR14)*Rates_previous!$E$76*100*12</f>
        <v>140998.25232000003</v>
      </c>
      <c r="E12" s="115">
        <f>IF(Init!$R$9="Yes",'Staging Table'!F14,'Staging Table'!BS14)*Rates_previous!$E$77*100*12</f>
        <v>-28786.058159999997</v>
      </c>
      <c r="F12" s="116">
        <f>IF(Init!$R$9="Yes",SUMPRODUCT('Staging Table'!L14:AI14,LS_Demand_Rates_Restatement!$C$4:$Z$4)-IF(Init!$R$12="No",('Staging Table'!BH14*Rates_previous!$H$34), 0),SUMPRODUCT('Staging Table'!BY14:CV14,LS_Demand_Rates_Restatement!$C$4:$Z$4)-IF(Init!$R$12="No", 'Staging Table'!DU14*Rates_previous!$H$34, 0))</f>
        <v>4714.6844379366812</v>
      </c>
      <c r="G12" s="116">
        <f>IF(Init!$R$9="Yes",SUMPRODUCT('Staging Table'!AJ14:AU14,LS_Demand_Rates_Restatement!$C$10:$N$10),SUMPRODUCT(LS_Demand_Rates_Restatement!$C$10:$N$10,'Staging Table'!CW14:DH14))*1000</f>
        <v>24101.74533928953</v>
      </c>
      <c r="H12" s="117">
        <f>IF(Init!$R$9="Yes",'Staging Table'!BQ14,'Staging Table'!ED14)*IF(Init!$R$3=2022,Rates_previous!$C$88,Rates_previous!$D$88)</f>
        <v>0</v>
      </c>
      <c r="I12" s="115">
        <v>0</v>
      </c>
      <c r="J12" s="117">
        <f>IF(Init!$R$9="Yes",IF('Staging Table'!D14=1,'Staging Table'!H14*-1,'Staging Table'!H14*SUM(D12:I12)*(-1)),IF('Staging Table'!D14=1,'Staging Table'!BU14*-1,'Staging Table'!BU14*SUM(D12:I12)*(-1)))</f>
        <v>0</v>
      </c>
      <c r="K12" s="115">
        <f>IF(Init!$R$9="Yes",'Staging Table'!K14,'Staging Table'!BX14)*(-1)*Rates_previous!$H$32</f>
        <v>0</v>
      </c>
      <c r="L12" s="115">
        <f>IF('Staging Table'!C14=1,"",SUM(D12:K12))</f>
        <v>141028.62393722625</v>
      </c>
      <c r="M12" s="115">
        <f>IF('Staging Table'!C14=1,"",IF(Init!$R$9="Yes",(RT1SC!$C$3*'Staging Table'!E14*'Staging Table'!$F$2)+SUM('Staging Table'!L14:AI14)-IF(Init!$R$12="No",'Staging Table'!BH14, 0),X12))</f>
        <v>3496.0320000000002</v>
      </c>
      <c r="N12" s="69">
        <f>IF('Staging Table'!C14=1,"",IF(M12=0, 0, L12/M12))</f>
        <v>40.339626163955664</v>
      </c>
      <c r="O12" s="115">
        <f>'Staging Table'!BR14*Rates_current!$F$77*100*12</f>
        <v>145807.65419999999</v>
      </c>
      <c r="P12" s="115">
        <f>'Staging Table'!BS14*Rates_current!$F$78*100*12</f>
        <v>-23354.478600000002</v>
      </c>
      <c r="Q12" s="116">
        <f>SUMPRODUCT('Staging Table'!BY14:CV14, LS_Demand_Rates_Restatement!$C$5:$Z$5)-IF(Init!$R$12="No",('Staging Table'!DU14*Rates_current!$I$46), 0)</f>
        <v>5432.6115601569218</v>
      </c>
      <c r="R12" s="116">
        <f>SUMPRODUCT('Staging Table'!CW14:DH14, LS_Demand_Rates_Restatement!$C$11:$N$11)*1000</f>
        <v>26354.007274207623</v>
      </c>
      <c r="S12" s="117">
        <f>'Staging Table'!ED14*IF(Init!$R$15="Yes",IF(Init!$R$6=2024,Rates_current!$C$89,Rates_current!$D$89),Rates_current!$I$45)</f>
        <v>0</v>
      </c>
      <c r="T12" s="117">
        <v>0</v>
      </c>
      <c r="U12" s="117">
        <f>IF('Staging Table'!D14=1, 'Staging Table'!BU14*-1,SUM(O12:T12)*'Staging Table'!BU14*-1)</f>
        <v>0</v>
      </c>
      <c r="V12" s="115">
        <f>'Staging Table'!BX14*Rates_current!$I$44*-1</f>
        <v>0</v>
      </c>
      <c r="W12" s="115">
        <f>IF('Staging Table'!C14=1,"",SUM(O12:V12))</f>
        <v>154239.79443436454</v>
      </c>
      <c r="X12" s="115">
        <f>IF('Staging Table'!C14=1,"",(RT1SC!$C$4*'Staging Table'!BR14*'Staging Table'!$BS$2)+SUM('Staging Table'!BY14:CV14)-IF(Init!$R$12="No",'Staging Table'!DU14, 0))</f>
        <v>3504</v>
      </c>
      <c r="Y12" s="69">
        <f>IF('Staging Table'!C14=1,"",IF(X12=0, 0, W12/X12))</f>
        <v>44.018206174190794</v>
      </c>
      <c r="Z12" s="64">
        <f ca="1">IF('Staging Table'!C14=1,"",(Y12/N12-1)+(RAND()/100000000000000))</f>
        <v>9.1190235508977216E-2</v>
      </c>
      <c r="AA12" s="45">
        <f t="shared" ca="1" si="2"/>
        <v>73</v>
      </c>
      <c r="AC12">
        <f t="shared" si="3"/>
        <v>1.0934480844939707</v>
      </c>
      <c r="AD12" s="119"/>
      <c r="AE12" s="119"/>
      <c r="AG12" s="119"/>
      <c r="AH12" s="119"/>
    </row>
    <row r="13" spans="1:35">
      <c r="B13" s="2">
        <v>10057</v>
      </c>
      <c r="C13" s="3" t="s">
        <v>17</v>
      </c>
      <c r="D13" s="115">
        <f>IF(Init!$R$9="Yes",'Staging Table'!E15,'Staging Table'!BR15)*Rates_previous!$E$76*100*12</f>
        <v>7210590.8364000004</v>
      </c>
      <c r="E13" s="115">
        <f>IF(Init!$R$9="Yes",'Staging Table'!F15,'Staging Table'!BS15)*Rates_previous!$E$77*100*12</f>
        <v>-1472106.8082000001</v>
      </c>
      <c r="F13" s="116">
        <f>IF(Init!$R$9="Yes",SUMPRODUCT('Staging Table'!L15:AI15,LS_Demand_Rates_Restatement!$C$4:$Z$4)-IF(Init!$R$12="No",('Staging Table'!BH15*Rates_previous!$H$34), 0),SUMPRODUCT('Staging Table'!BY15:CV15,LS_Demand_Rates_Restatement!$C$4:$Z$4)-IF(Init!$R$12="No", 'Staging Table'!DU15*Rates_previous!$H$34, 0))</f>
        <v>-157995.45730980334</v>
      </c>
      <c r="G13" s="116">
        <f>IF(Init!$R$9="Yes",SUMPRODUCT('Staging Table'!AJ15:AU15,LS_Demand_Rates_Restatement!$C$10:$N$10),SUMPRODUCT(LS_Demand_Rates_Restatement!$C$10:$N$10,'Staging Table'!CW15:DH15))*1000</f>
        <v>493938.07872446574</v>
      </c>
      <c r="H13" s="117">
        <f>IF(Init!$R$9="Yes",'Staging Table'!BQ15,'Staging Table'!ED15)*IF(Init!$R$3=2022,Rates_previous!$C$88,Rates_previous!$D$88)</f>
        <v>0</v>
      </c>
      <c r="I13" s="115">
        <v>0</v>
      </c>
      <c r="J13" s="117">
        <f>IF(Init!$R$9="Yes",IF('Staging Table'!D15=1,'Staging Table'!H15*-1,'Staging Table'!H15*SUM(D13:I13)*(-1)),IF('Staging Table'!D15=1,'Staging Table'!BU15*-1,'Staging Table'!BU15*SUM(D13:I13)*(-1)))</f>
        <v>0</v>
      </c>
      <c r="K13" s="115">
        <f>IF(Init!$R$9="Yes",'Staging Table'!K15,'Staging Table'!BX15)*(-1)*Rates_previous!$H$32</f>
        <v>0</v>
      </c>
      <c r="L13" s="115">
        <f>IF('Staging Table'!C15=1,"",SUM(D13:K13))</f>
        <v>6074426.6496146629</v>
      </c>
      <c r="M13" s="115">
        <f>IF('Staging Table'!C15=1,"",IF(Init!$R$9="Yes",(RT1SC!$C$3*'Staging Table'!E15*'Staging Table'!$F$2)+SUM('Staging Table'!L15:AI15)-IF(Init!$R$12="No",'Staging Table'!BH15, 0),X13))</f>
        <v>168349.31182319578</v>
      </c>
      <c r="N13" s="69">
        <f>IF('Staging Table'!C15=1,"",IF(M13=0, 0, L13/M13))</f>
        <v>36.082277877049847</v>
      </c>
      <c r="O13" s="115">
        <f>'Staging Table'!BR15*Rates_current!$F$77*100*12</f>
        <v>7000580.2853999995</v>
      </c>
      <c r="P13" s="115">
        <f>'Staging Table'!BS15*Rates_current!$F$78*100*12</f>
        <v>-1121305.3481999999</v>
      </c>
      <c r="Q13" s="116">
        <f>SUMPRODUCT('Staging Table'!BY15:CV15, LS_Demand_Rates_Restatement!$C$5:$Z$5)-IF(Init!$R$12="No",('Staging Table'!DU15*Rates_current!$I$46), 0)</f>
        <v>257645.43412750401</v>
      </c>
      <c r="R13" s="116">
        <f>SUMPRODUCT('Staging Table'!CW15:DH15, LS_Demand_Rates_Restatement!$C$11:$N$11)*1000</f>
        <v>536309.60634972388</v>
      </c>
      <c r="S13" s="117">
        <f>'Staging Table'!ED15*IF(Init!$R$15="Yes",IF(Init!$R$6=2024,Rates_current!$C$89,Rates_current!$D$89),Rates_current!$I$45)</f>
        <v>1.393162285812432</v>
      </c>
      <c r="T13" s="117">
        <v>0</v>
      </c>
      <c r="U13" s="117">
        <f>IF('Staging Table'!D15=1, 'Staging Table'!BU15*-1,SUM(O13:T13)*'Staging Table'!BU15*-1)</f>
        <v>0</v>
      </c>
      <c r="V13" s="115">
        <f>'Staging Table'!BX15*Rates_current!$I$44*-1</f>
        <v>0</v>
      </c>
      <c r="W13" s="115">
        <f>IF('Staging Table'!C15=1,"",SUM(O13:V13))</f>
        <v>6673231.3708395138</v>
      </c>
      <c r="X13" s="115">
        <f>IF('Staging Table'!C15=1,"",(RT1SC!$C$4*'Staging Table'!BR15*'Staging Table'!$BS$2)+SUM('Staging Table'!BY15:CV15)-IF(Init!$R$12="No",'Staging Table'!DU15, 0))</f>
        <v>168349.3209375552</v>
      </c>
      <c r="Y13" s="69">
        <f>IF('Staging Table'!C15=1,"",IF(X13=0, 0, W13/X13))</f>
        <v>39.639193871858716</v>
      </c>
      <c r="Z13" s="64">
        <f ca="1">IF('Staging Table'!C15=1,"",(Y13/N13-1)+(RAND()/100000000000000))</f>
        <v>9.8577922572661722E-2</v>
      </c>
      <c r="AA13" s="45">
        <f t="shared" ca="1" si="2"/>
        <v>43</v>
      </c>
      <c r="AC13">
        <f t="shared" si="3"/>
        <v>1.0857830757545104</v>
      </c>
      <c r="AD13" s="119"/>
      <c r="AE13" s="119"/>
      <c r="AG13" s="119"/>
      <c r="AH13" s="119"/>
    </row>
    <row r="14" spans="1:35">
      <c r="B14" s="2">
        <v>10059</v>
      </c>
      <c r="C14" s="3" t="s">
        <v>18</v>
      </c>
      <c r="D14" s="115">
        <f>IF(Init!$R$9="Yes",'Staging Table'!E16,'Staging Table'!BR16)*Rates_previous!$E$76*100*12</f>
        <v>2742241.6281599998</v>
      </c>
      <c r="E14" s="115">
        <f>IF(Init!$R$9="Yes",'Staging Table'!F16,'Staging Table'!BS16)*Rates_previous!$E$77*100*12</f>
        <v>-559853.23008000012</v>
      </c>
      <c r="F14" s="116">
        <f>IF(Init!$R$9="Yes",SUMPRODUCT('Staging Table'!L16:AI16,LS_Demand_Rates_Restatement!$C$4:$Z$4)-IF(Init!$R$12="No",('Staging Table'!BH16*Rates_previous!$H$34), 0),SUMPRODUCT('Staging Table'!BY16:CV16,LS_Demand_Rates_Restatement!$C$4:$Z$4)-IF(Init!$R$12="No", 'Staging Table'!DU16*Rates_previous!$H$34, 0))</f>
        <v>4065.0862855400701</v>
      </c>
      <c r="G14" s="116">
        <f>IF(Init!$R$9="Yes",SUMPRODUCT('Staging Table'!AJ16:AU16,LS_Demand_Rates_Restatement!$C$10:$N$10),SUMPRODUCT(LS_Demand_Rates_Restatement!$C$10:$N$10,'Staging Table'!CW16:DH16))*1000</f>
        <v>86151.483227029908</v>
      </c>
      <c r="H14" s="117">
        <f>IF(Init!$R$9="Yes",'Staging Table'!BQ16,'Staging Table'!ED16)*IF(Init!$R$3=2022,Rates_previous!$C$88,Rates_previous!$D$88)</f>
        <v>0</v>
      </c>
      <c r="I14" s="115">
        <v>0</v>
      </c>
      <c r="J14" s="117">
        <f>IF(Init!$R$9="Yes",IF('Staging Table'!D16=1,'Staging Table'!H16*-1,'Staging Table'!H16*SUM(D14:I14)*(-1)),IF('Staging Table'!D16=1,'Staging Table'!BU16*-1,'Staging Table'!BU16*SUM(D14:I14)*(-1)))</f>
        <v>0</v>
      </c>
      <c r="K14" s="115">
        <f>IF(Init!$R$9="Yes",'Staging Table'!K16,'Staging Table'!BX16)*(-1)*Rates_previous!$H$32</f>
        <v>0</v>
      </c>
      <c r="L14" s="115">
        <f>IF('Staging Table'!C16=1,"",SUM(D14:K14))</f>
        <v>2272604.9675925695</v>
      </c>
      <c r="M14" s="115">
        <f>IF('Staging Table'!C16=1,"",IF(Init!$R$9="Yes",(RT1SC!$C$3*'Staging Table'!E16*'Staging Table'!$F$2)+SUM('Staging Table'!L16:AI16)-IF(Init!$R$12="No",'Staging Table'!BH16, 0),X14))</f>
        <v>67100.975999999995</v>
      </c>
      <c r="N14" s="69">
        <f>IF('Staging Table'!C16=1,"",IF(M14=0, 0, L14/M14))</f>
        <v>33.868433859927308</v>
      </c>
      <c r="O14" s="115">
        <f>'Staging Table'!BR16*Rates_current!$F$77*100*12</f>
        <v>2798833.6038000002</v>
      </c>
      <c r="P14" s="115">
        <f>'Staging Table'!BS16*Rates_current!$F$78*100*12</f>
        <v>-448298.13539999997</v>
      </c>
      <c r="Q14" s="116">
        <f>SUMPRODUCT('Staging Table'!BY16:CV16, LS_Demand_Rates_Restatement!$C$5:$Z$5)-IF(Init!$R$12="No",('Staging Table'!DU16*Rates_current!$I$46), 0)</f>
        <v>53896.645400029942</v>
      </c>
      <c r="R14" s="116">
        <f>SUMPRODUCT('Staging Table'!CW16:DH16, LS_Demand_Rates_Restatement!$C$11:$N$11)*1000</f>
        <v>94992.242967467915</v>
      </c>
      <c r="S14" s="117">
        <f>'Staging Table'!ED16*IF(Init!$R$15="Yes",IF(Init!$R$6=2024,Rates_current!$C$89,Rates_current!$D$89),Rates_current!$I$45)</f>
        <v>0</v>
      </c>
      <c r="T14" s="117">
        <v>0</v>
      </c>
      <c r="U14" s="117">
        <f>IF('Staging Table'!D16=1, 'Staging Table'!BU16*-1,SUM(O14:T14)*'Staging Table'!BU16*-1)</f>
        <v>0</v>
      </c>
      <c r="V14" s="115">
        <f>'Staging Table'!BX16*Rates_current!$I$44*-1</f>
        <v>0</v>
      </c>
      <c r="W14" s="115">
        <f>IF('Staging Table'!C16=1,"",SUM(O14:V14))</f>
        <v>2499424.356767498</v>
      </c>
      <c r="X14" s="115">
        <f>IF('Staging Table'!C16=1,"",(RT1SC!$C$4*'Staging Table'!BR16*'Staging Table'!$BS$2)+SUM('Staging Table'!BY16:CV16)-IF(Init!$R$12="No",'Staging Table'!DU16, 0))</f>
        <v>67303.08</v>
      </c>
      <c r="Y14" s="69">
        <f>IF('Staging Table'!C16=1,"",IF(X14=0, 0, W14/X14))</f>
        <v>37.136849558259414</v>
      </c>
      <c r="Z14" s="64">
        <f ca="1">IF('Staging Table'!C16=1,"",(Y14/N14-1)+(RAND()/100000000000000))</f>
        <v>9.6503301919711709E-2</v>
      </c>
      <c r="AA14" s="45">
        <f t="shared" ca="1" si="2"/>
        <v>51</v>
      </c>
      <c r="AC14">
        <f t="shared" si="3"/>
        <v>1.1026187757805688</v>
      </c>
      <c r="AD14" s="119"/>
      <c r="AE14" s="119"/>
      <c r="AG14" s="119"/>
      <c r="AH14" s="119"/>
    </row>
    <row r="15" spans="1:35">
      <c r="B15" s="2">
        <v>10061</v>
      </c>
      <c r="C15" s="3" t="s">
        <v>19</v>
      </c>
      <c r="D15" s="115">
        <f>IF(Init!$R$9="Yes",'Staging Table'!E17,'Staging Table'!BR17)*Rates_previous!$E$76*100*12</f>
        <v>3154524.5037599998</v>
      </c>
      <c r="E15" s="115">
        <f>IF(Init!$R$9="Yes",'Staging Table'!F17,'Staging Table'!BS17)*Rates_previous!$E$77*100*12</f>
        <v>-644024.4778799999</v>
      </c>
      <c r="F15" s="116">
        <f>IF(Init!$R$9="Yes",SUMPRODUCT('Staging Table'!L17:AI17,LS_Demand_Rates_Restatement!$C$4:$Z$4)-IF(Init!$R$12="No",('Staging Table'!BH17*Rates_previous!$H$34), 0),SUMPRODUCT('Staging Table'!BY17:CV17,LS_Demand_Rates_Restatement!$C$4:$Z$4)-IF(Init!$R$12="No", 'Staging Table'!DU17*Rates_previous!$H$34, 0))</f>
        <v>3952.6904467111453</v>
      </c>
      <c r="G15" s="116">
        <f>IF(Init!$R$9="Yes",SUMPRODUCT('Staging Table'!AJ17:AU17,LS_Demand_Rates_Restatement!$C$10:$N$10),SUMPRODUCT(LS_Demand_Rates_Restatement!$C$10:$N$10,'Staging Table'!CW17:DH17))*1000</f>
        <v>171957.19904249461</v>
      </c>
      <c r="H15" s="117">
        <f>IF(Init!$R$9="Yes",'Staging Table'!BQ17,'Staging Table'!ED17)*IF(Init!$R$3=2022,Rates_previous!$C$88,Rates_previous!$D$88)</f>
        <v>0</v>
      </c>
      <c r="I15" s="115">
        <v>0</v>
      </c>
      <c r="J15" s="117">
        <f>IF(Init!$R$9="Yes",IF('Staging Table'!D17=1,'Staging Table'!H17*-1,'Staging Table'!H17*SUM(D15:I15)*(-1)),IF('Staging Table'!D17=1,'Staging Table'!BU17*-1,'Staging Table'!BU17*SUM(D15:I15)*(-1)))</f>
        <v>0</v>
      </c>
      <c r="K15" s="115">
        <f>IF(Init!$R$9="Yes",'Staging Table'!K17,'Staging Table'!BX17)*(-1)*Rates_previous!$H$32</f>
        <v>0</v>
      </c>
      <c r="L15" s="115">
        <f>IF('Staging Table'!C17=1,"",SUM(D15:K15))</f>
        <v>2686409.9153692052</v>
      </c>
      <c r="M15" s="115">
        <f>IF('Staging Table'!C17=1,"",IF(Init!$R$9="Yes",(RT1SC!$C$3*'Staging Table'!E17*'Staging Table'!$F$2)+SUM('Staging Table'!L17:AI17)-IF(Init!$R$12="No",'Staging Table'!BH17, 0),X15))</f>
        <v>76833.648000000001</v>
      </c>
      <c r="N15" s="69">
        <f>IF('Staging Table'!C17=1,"",IF(M15=0, 0, L15/M15))</f>
        <v>34.9639771805343</v>
      </c>
      <c r="O15" s="115">
        <f>'Staging Table'!BR17*Rates_current!$F$77*100*12</f>
        <v>3204401.6081999997</v>
      </c>
      <c r="P15" s="115">
        <f>'Staging Table'!BS17*Rates_current!$F$78*100*12</f>
        <v>-513259.26059999998</v>
      </c>
      <c r="Q15" s="116">
        <f>SUMPRODUCT('Staging Table'!BY17:CV17, LS_Demand_Rates_Restatement!$C$5:$Z$5)-IF(Init!$R$12="No",('Staging Table'!DU17*Rates_current!$I$46), 0)</f>
        <v>73093.441886048793</v>
      </c>
      <c r="R15" s="116">
        <f>SUMPRODUCT('Staging Table'!CW17:DH17, LS_Demand_Rates_Restatement!$C$11:$N$11)*1000</f>
        <v>189911.50715538632</v>
      </c>
      <c r="S15" s="117">
        <f>'Staging Table'!ED17*IF(Init!$R$15="Yes",IF(Init!$R$6=2024,Rates_current!$C$89,Rates_current!$D$89),Rates_current!$I$45)</f>
        <v>0</v>
      </c>
      <c r="T15" s="117">
        <v>0</v>
      </c>
      <c r="U15" s="117">
        <f>IF('Staging Table'!D17=1, 'Staging Table'!BU17*-1,SUM(O15:T15)*'Staging Table'!BU17*-1)</f>
        <v>0</v>
      </c>
      <c r="V15" s="115">
        <f>'Staging Table'!BX17*Rates_current!$I$44*-1</f>
        <v>0</v>
      </c>
      <c r="W15" s="115">
        <f>IF('Staging Table'!C17=1,"",SUM(O15:V15))</f>
        <v>2954147.2966414345</v>
      </c>
      <c r="X15" s="115">
        <f>IF('Staging Table'!C17=1,"",(RT1SC!$C$4*'Staging Table'!BR17*'Staging Table'!$BS$2)+SUM('Staging Table'!BY17:CV17)-IF(Init!$R$12="No",'Staging Table'!DU17, 0))</f>
        <v>77061.27154875407</v>
      </c>
      <c r="Y15" s="69">
        <f>IF('Staging Table'!C17=1,"",IF(X15=0, 0, W15/X15))</f>
        <v>38.335044793187002</v>
      </c>
      <c r="Z15" s="64">
        <f ca="1">IF('Staging Table'!C17=1,"",(Y15/N15-1)+(RAND()/100000000000000))</f>
        <v>9.641545054347557E-2</v>
      </c>
      <c r="AA15" s="45">
        <f t="shared" ca="1" si="2"/>
        <v>53</v>
      </c>
      <c r="AC15">
        <f t="shared" si="3"/>
        <v>1.1044114943303698</v>
      </c>
      <c r="AD15" s="119"/>
      <c r="AE15" s="119"/>
      <c r="AG15" s="119"/>
      <c r="AH15" s="119"/>
    </row>
    <row r="16" spans="1:35">
      <c r="B16" s="2">
        <v>10062</v>
      </c>
      <c r="C16" s="3" t="s">
        <v>20</v>
      </c>
      <c r="D16" s="115">
        <f>IF(Init!$R$9="Yes",'Staging Table'!E18,'Staging Table'!BR18)*Rates_previous!$E$76*100*12</f>
        <v>1918672.3310399996</v>
      </c>
      <c r="E16" s="115">
        <f>IF(Init!$R$9="Yes",'Staging Table'!F18,'Staging Table'!BS18)*Rates_previous!$E$77*100*12</f>
        <v>-391714.16952</v>
      </c>
      <c r="F16" s="116">
        <f>IF(Init!$R$9="Yes",SUMPRODUCT('Staging Table'!L18:AI18,LS_Demand_Rates_Restatement!$C$4:$Z$4)-IF(Init!$R$12="No",('Staging Table'!BH18*Rates_previous!$H$34), 0),SUMPRODUCT('Staging Table'!BY18:CV18,LS_Demand_Rates_Restatement!$C$4:$Z$4)-IF(Init!$R$12="No", 'Staging Table'!DU18*Rates_previous!$H$34, 0))</f>
        <v>201290.10551584093</v>
      </c>
      <c r="G16" s="116">
        <f>IF(Init!$R$9="Yes",SUMPRODUCT('Staging Table'!AJ18:AU18,LS_Demand_Rates_Restatement!$C$10:$N$10),SUMPRODUCT(LS_Demand_Rates_Restatement!$C$10:$N$10,'Staging Table'!CW18:DH18))*1000</f>
        <v>131083.51516164534</v>
      </c>
      <c r="H16" s="117">
        <f>IF(Init!$R$9="Yes",'Staging Table'!BQ18,'Staging Table'!ED18)*IF(Init!$R$3=2022,Rates_previous!$C$88,Rates_previous!$D$88)</f>
        <v>0</v>
      </c>
      <c r="I16" s="115">
        <v>0</v>
      </c>
      <c r="J16" s="117">
        <f>IF(Init!$R$9="Yes",IF('Staging Table'!D18=1,'Staging Table'!H18*-1,'Staging Table'!H18*SUM(D16:I16)*(-1)),IF('Staging Table'!D18=1,'Staging Table'!BU18*-1,'Staging Table'!BU18*SUM(D16:I16)*(-1)))</f>
        <v>0</v>
      </c>
      <c r="K16" s="115">
        <f>IF(Init!$R$9="Yes",'Staging Table'!K18,'Staging Table'!BX18)*(-1)*Rates_previous!$H$32</f>
        <v>0</v>
      </c>
      <c r="L16" s="115">
        <f>IF('Staging Table'!C18=1,"",SUM(D16:K16))</f>
        <v>1859331.7821974859</v>
      </c>
      <c r="M16" s="115">
        <f>IF('Staging Table'!C18=1,"",IF(Init!$R$9="Yes",(RT1SC!$C$3*'Staging Table'!E18*'Staging Table'!$F$2)+SUM('Staging Table'!L18:AI18)-IF(Init!$R$12="No",'Staging Table'!BH18, 0),X16))</f>
        <v>46730.880000000005</v>
      </c>
      <c r="N16" s="69">
        <f>IF('Staging Table'!C18=1,"",IF(M16=0, 0, L16/M16))</f>
        <v>39.788075512326877</v>
      </c>
      <c r="O16" s="115">
        <f>'Staging Table'!BR18*Rates_current!$F$77*100*12</f>
        <v>1948850.085</v>
      </c>
      <c r="P16" s="115">
        <f>'Staging Table'!BS18*Rates_current!$F$78*100*12</f>
        <v>-312153.55500000005</v>
      </c>
      <c r="Q16" s="116">
        <f>SUMPRODUCT('Staging Table'!BY18:CV18, LS_Demand_Rates_Restatement!$C$5:$Z$5)-IF(Init!$R$12="No",('Staging Table'!DU18*Rates_current!$I$46), 0)</f>
        <v>206064.53015121995</v>
      </c>
      <c r="R16" s="116">
        <f>SUMPRODUCT('Staging Table'!CW18:DH18, LS_Demand_Rates_Restatement!$C$11:$N$11)*1000</f>
        <v>138986.75569422188</v>
      </c>
      <c r="S16" s="117">
        <f>'Staging Table'!ED18*IF(Init!$R$15="Yes",IF(Init!$R$6=2024,Rates_current!$C$89,Rates_current!$D$89),Rates_current!$I$45)</f>
        <v>0</v>
      </c>
      <c r="T16" s="117">
        <v>0</v>
      </c>
      <c r="U16" s="117">
        <f>IF('Staging Table'!D18=1, 'Staging Table'!BU18*-1,SUM(O16:T16)*'Staging Table'!BU18*-1)</f>
        <v>0</v>
      </c>
      <c r="V16" s="115">
        <f>'Staging Table'!BX18*Rates_current!$I$44*-1</f>
        <v>0</v>
      </c>
      <c r="W16" s="115">
        <f>IF('Staging Table'!C18=1,"",SUM(O16:V16))</f>
        <v>1981747.8158454418</v>
      </c>
      <c r="X16" s="115">
        <f>IF('Staging Table'!C18=1,"",(RT1SC!$C$4*'Staging Table'!BR18*'Staging Table'!$BS$2)+SUM('Staging Table'!BY18:CV18)-IF(Init!$R$12="No",'Staging Table'!DU18, 0))</f>
        <v>46862.443766457145</v>
      </c>
      <c r="Y16" s="69">
        <f>IF('Staging Table'!C18=1,"",IF(X16=0, 0, W16/X16))</f>
        <v>42.288614433375379</v>
      </c>
      <c r="Z16" s="64">
        <f ca="1">IF('Staging Table'!C18=1,"",(Y16/N16-1)+(RAND()/100000000000000))</f>
        <v>6.2846440518947916E-2</v>
      </c>
      <c r="AA16" s="45">
        <f t="shared" ca="1" si="2"/>
        <v>115</v>
      </c>
      <c r="AC16">
        <f t="shared" si="3"/>
        <v>1.0602916432537737</v>
      </c>
      <c r="AD16" s="119"/>
      <c r="AE16" s="119"/>
      <c r="AG16" s="119"/>
      <c r="AH16" s="119"/>
    </row>
    <row r="17" spans="2:34">
      <c r="B17" s="2">
        <v>10064</v>
      </c>
      <c r="C17" s="3" t="s">
        <v>21</v>
      </c>
      <c r="D17" s="115">
        <f>IF(Init!$R$9="Yes",'Staging Table'!E19,'Staging Table'!BR19)*Rates_previous!$E$76*100*12</f>
        <v>5072200.3807199998</v>
      </c>
      <c r="E17" s="115">
        <f>IF(Init!$R$9="Yes",'Staging Table'!F19,'Staging Table'!BS19)*Rates_previous!$E$77*100*12</f>
        <v>-1035535.2123599999</v>
      </c>
      <c r="F17" s="116">
        <f>IF(Init!$R$9="Yes",SUMPRODUCT('Staging Table'!L19:AI19,LS_Demand_Rates_Restatement!$C$4:$Z$4)-IF(Init!$R$12="No",('Staging Table'!BH19*Rates_previous!$H$34), 0),SUMPRODUCT('Staging Table'!BY19:CV19,LS_Demand_Rates_Restatement!$C$4:$Z$4)-IF(Init!$R$12="No", 'Staging Table'!DU19*Rates_previous!$H$34, 0))</f>
        <v>79839.732885638368</v>
      </c>
      <c r="G17" s="116">
        <f>IF(Init!$R$9="Yes",SUMPRODUCT('Staging Table'!AJ19:AU19,LS_Demand_Rates_Restatement!$C$10:$N$10),SUMPRODUCT(LS_Demand_Rates_Restatement!$C$10:$N$10,'Staging Table'!CW19:DH19))*1000</f>
        <v>255330.58759067842</v>
      </c>
      <c r="H17" s="117">
        <f>IF(Init!$R$9="Yes",'Staging Table'!BQ19,'Staging Table'!ED19)*IF(Init!$R$3=2022,Rates_previous!$C$88,Rates_previous!$D$88)</f>
        <v>0</v>
      </c>
      <c r="I17" s="115">
        <v>0</v>
      </c>
      <c r="J17" s="117">
        <f>IF(Init!$R$9="Yes",IF('Staging Table'!D19=1,'Staging Table'!H19*-1,'Staging Table'!H19*SUM(D17:I17)*(-1)),IF('Staging Table'!D19=1,'Staging Table'!BU19*-1,'Staging Table'!BU19*SUM(D17:I17)*(-1)))</f>
        <v>0</v>
      </c>
      <c r="K17" s="115">
        <f>IF(Init!$R$9="Yes",'Staging Table'!K19,'Staging Table'!BX19)*(-1)*Rates_previous!$H$32</f>
        <v>0</v>
      </c>
      <c r="L17" s="115">
        <f>IF('Staging Table'!C19=1,"",SUM(D17:K17))</f>
        <v>4371835.4888363164</v>
      </c>
      <c r="M17" s="115">
        <f>IF('Staging Table'!C19=1,"",IF(Init!$R$9="Yes",(RT1SC!$C$3*'Staging Table'!E19*'Staging Table'!$F$2)+SUM('Staging Table'!L19:AI19)-IF(Init!$R$12="No",'Staging Table'!BH19, 0),X17))</f>
        <v>123538.17600000001</v>
      </c>
      <c r="N17" s="69">
        <f>IF('Staging Table'!C19=1,"",IF(M17=0, 0, L17/M17))</f>
        <v>35.388538429095121</v>
      </c>
      <c r="O17" s="115">
        <f>'Staging Table'!BR19*Rates_current!$F$77*100*12</f>
        <v>5152733.7263999991</v>
      </c>
      <c r="P17" s="115">
        <f>'Staging Table'!BS19*Rates_current!$F$78*100*12</f>
        <v>-825329.85119999992</v>
      </c>
      <c r="Q17" s="116">
        <f>SUMPRODUCT('Staging Table'!BY19:CV19, LS_Demand_Rates_Restatement!$C$5:$Z$5)-IF(Init!$R$12="No",('Staging Table'!DU19*Rates_current!$I$46), 0)</f>
        <v>149265.85309486592</v>
      </c>
      <c r="R17" s="116">
        <f>SUMPRODUCT('Staging Table'!CW19:DH19, LS_Demand_Rates_Restatement!$C$11:$N$11)*1000</f>
        <v>284676.85353354702</v>
      </c>
      <c r="S17" s="117">
        <f>'Staging Table'!ED19*IF(Init!$R$15="Yes",IF(Init!$R$6=2024,Rates_current!$C$89,Rates_current!$D$89),Rates_current!$I$45)</f>
        <v>0</v>
      </c>
      <c r="T17" s="117">
        <v>0</v>
      </c>
      <c r="U17" s="117">
        <f>IF('Staging Table'!D19=1, 'Staging Table'!BU19*-1,SUM(O17:T17)*'Staging Table'!BU19*-1)</f>
        <v>0</v>
      </c>
      <c r="V17" s="115">
        <f>'Staging Table'!BX19*Rates_current!$I$44*-1</f>
        <v>0</v>
      </c>
      <c r="W17" s="115">
        <f>IF('Staging Table'!C19=1,"",SUM(O17:V17))</f>
        <v>4761346.5818284126</v>
      </c>
      <c r="X17" s="115">
        <f>IF('Staging Table'!C19=1,"",(RT1SC!$C$4*'Staging Table'!BR19*'Staging Table'!$BS$2)+SUM('Staging Table'!BY19:CV19)-IF(Init!$R$12="No",'Staging Table'!DU19, 0))</f>
        <v>123908.28431447591</v>
      </c>
      <c r="Y17" s="69">
        <f>IF('Staging Table'!C19=1,"",IF(X17=0, 0, W17/X17))</f>
        <v>38.426378092236696</v>
      </c>
      <c r="Z17" s="64">
        <f ca="1">IF('Staging Table'!C19=1,"",(Y17/N17-1)+(RAND()/100000000000000))</f>
        <v>8.5842473241119072E-2</v>
      </c>
      <c r="AA17" s="45">
        <f t="shared" ca="1" si="2"/>
        <v>90</v>
      </c>
      <c r="AC17">
        <f t="shared" si="3"/>
        <v>1.1149343923882467</v>
      </c>
      <c r="AD17" s="119"/>
      <c r="AE17" s="119"/>
      <c r="AG17" s="119"/>
      <c r="AH17" s="119"/>
    </row>
    <row r="18" spans="2:34">
      <c r="B18" s="2">
        <v>10065</v>
      </c>
      <c r="C18" s="3" t="s">
        <v>22</v>
      </c>
      <c r="D18" s="115">
        <f>IF(Init!$R$9="Yes",'Staging Table'!E20,'Staging Table'!BR20)*Rates_previous!$E$76*100*12</f>
        <v>857697.84936000011</v>
      </c>
      <c r="E18" s="115">
        <f>IF(Init!$R$9="Yes",'Staging Table'!F20,'Staging Table'!BS20)*Rates_previous!$E$77*100*12</f>
        <v>-175106.71067999999</v>
      </c>
      <c r="F18" s="116">
        <f>IF(Init!$R$9="Yes",SUMPRODUCT('Staging Table'!L20:AI20,LS_Demand_Rates_Restatement!$C$4:$Z$4)-IF(Init!$R$12="No",('Staging Table'!BH20*Rates_previous!$H$34), 0),SUMPRODUCT('Staging Table'!BY20:CV20,LS_Demand_Rates_Restatement!$C$4:$Z$4)-IF(Init!$R$12="No", 'Staging Table'!DU20*Rates_previous!$H$34, 0))</f>
        <v>8229.6679491377436</v>
      </c>
      <c r="G18" s="116">
        <f>IF(Init!$R$9="Yes",SUMPRODUCT('Staging Table'!AJ20:AU20,LS_Demand_Rates_Restatement!$C$10:$N$10),SUMPRODUCT(LS_Demand_Rates_Restatement!$C$10:$N$10,'Staging Table'!CW20:DH20))*1000</f>
        <v>84458.184549278842</v>
      </c>
      <c r="H18" s="117">
        <f>IF(Init!$R$9="Yes",'Staging Table'!BQ20,'Staging Table'!ED20)*IF(Init!$R$3=2022,Rates_previous!$C$88,Rates_previous!$D$88)</f>
        <v>0</v>
      </c>
      <c r="I18" s="115">
        <v>0</v>
      </c>
      <c r="J18" s="117">
        <f>IF(Init!$R$9="Yes",IF('Staging Table'!D20=1,'Staging Table'!H20*-1,'Staging Table'!H20*SUM(D18:I18)*(-1)),IF('Staging Table'!D20=1,'Staging Table'!BU20*-1,'Staging Table'!BU20*SUM(D18:I18)*(-1)))</f>
        <v>-58788.186580862952</v>
      </c>
      <c r="K18" s="115">
        <f>IF(Init!$R$9="Yes",'Staging Table'!K20,'Staging Table'!BX20)*(-1)*Rates_previous!$H$32</f>
        <v>0</v>
      </c>
      <c r="L18" s="115">
        <f>IF('Staging Table'!C20=1,"",SUM(D18:K18))</f>
        <v>716490.80459755368</v>
      </c>
      <c r="M18" s="115">
        <f>IF('Staging Table'!C20=1,"",IF(Init!$R$9="Yes",(RT1SC!$C$3*'Staging Table'!E20*'Staging Table'!$F$2)+SUM('Staging Table'!L20:AI20)-IF(Init!$R$12="No",'Staging Table'!BH20, 0),X18))</f>
        <v>20888.352000000003</v>
      </c>
      <c r="N18" s="69">
        <f>IF('Staging Table'!C20=1,"",IF(M18=0, 0, L18/M18))</f>
        <v>34.300973317452403</v>
      </c>
      <c r="O18" s="115">
        <f>'Staging Table'!BR20*Rates_current!$F$77*100*12</f>
        <v>870961.17419999989</v>
      </c>
      <c r="P18" s="115">
        <f>'Staging Table'!BS20*Rates_current!$F$78*100*12</f>
        <v>-139504.63860000001</v>
      </c>
      <c r="Q18" s="116">
        <f>SUMPRODUCT('Staging Table'!BY20:CV20, LS_Demand_Rates_Restatement!$C$5:$Z$5)-IF(Init!$R$12="No",('Staging Table'!DU20*Rates_current!$I$46), 0)</f>
        <v>18480.944360614427</v>
      </c>
      <c r="R18" s="116">
        <f>SUMPRODUCT('Staging Table'!CW20:DH20, LS_Demand_Rates_Restatement!$C$11:$N$11)*1000</f>
        <v>93827.455890215468</v>
      </c>
      <c r="S18" s="117">
        <f>'Staging Table'!ED20*IF(Init!$R$15="Yes",IF(Init!$R$6=2024,Rates_current!$C$89,Rates_current!$D$89),Rates_current!$I$45)</f>
        <v>0</v>
      </c>
      <c r="T18" s="117">
        <v>0</v>
      </c>
      <c r="U18" s="117">
        <f>IF('Staging Table'!D20=1, 'Staging Table'!BU20*-1,SUM(O18:T18)*'Staging Table'!BU20*-1)</f>
        <v>-71679.436959439801</v>
      </c>
      <c r="V18" s="115">
        <f>'Staging Table'!BX20*Rates_current!$I$44*-1</f>
        <v>0</v>
      </c>
      <c r="W18" s="115">
        <f>IF('Staging Table'!C20=1,"",SUM(O18:V18))</f>
        <v>772085.49889138993</v>
      </c>
      <c r="X18" s="115">
        <f>IF('Staging Table'!C20=1,"",(RT1SC!$C$4*'Staging Table'!BR20*'Staging Table'!$BS$2)+SUM('Staging Table'!BY20:CV20)-IF(Init!$R$12="No",'Staging Table'!DU20, 0))</f>
        <v>20943.751236358195</v>
      </c>
      <c r="Y18" s="69">
        <f>IF('Staging Table'!C20=1,"",IF(X18=0, 0, W18/X18))</f>
        <v>36.864718749669606</v>
      </c>
      <c r="Z18" s="64">
        <f ca="1">IF('Staging Table'!C20=1,"",(Y18/N18-1)+(RAND()/100000000000000))</f>
        <v>7.4742643845417761E-2</v>
      </c>
      <c r="AA18" s="45">
        <f t="shared" ca="1" si="2"/>
        <v>104</v>
      </c>
      <c r="AC18">
        <f t="shared" si="3"/>
        <v>1.1109338472160732</v>
      </c>
      <c r="AD18" s="119"/>
      <c r="AE18" s="119"/>
      <c r="AG18" s="119"/>
      <c r="AH18" s="119"/>
    </row>
    <row r="19" spans="2:34">
      <c r="B19" s="2">
        <v>10066</v>
      </c>
      <c r="C19" s="3" t="s">
        <v>23</v>
      </c>
      <c r="D19" s="115">
        <f>IF(Init!$R$9="Yes",'Staging Table'!E21,'Staging Table'!BR21)*Rates_previous!$E$76*100*12</f>
        <v>8789223.2126400005</v>
      </c>
      <c r="E19" s="115">
        <f>IF(Init!$R$9="Yes",'Staging Table'!F21,'Staging Table'!BS21)*Rates_previous!$E$77*100*12</f>
        <v>-1794398.7703200001</v>
      </c>
      <c r="F19" s="116">
        <f>IF(Init!$R$9="Yes",SUMPRODUCT('Staging Table'!L21:AI21,LS_Demand_Rates_Restatement!$C$4:$Z$4)-IF(Init!$R$12="No",('Staging Table'!BH21*Rates_previous!$H$34), 0),SUMPRODUCT('Staging Table'!BY21:CV21,LS_Demand_Rates_Restatement!$C$4:$Z$4)-IF(Init!$R$12="No", 'Staging Table'!DU21*Rates_previous!$H$34, 0))</f>
        <v>136787.02467751235</v>
      </c>
      <c r="G19" s="116">
        <f>IF(Init!$R$9="Yes",SUMPRODUCT('Staging Table'!AJ21:AU21,LS_Demand_Rates_Restatement!$C$10:$N$10),SUMPRODUCT(LS_Demand_Rates_Restatement!$C$10:$N$10,'Staging Table'!CW21:DH21))*1000</f>
        <v>339694.25582489319</v>
      </c>
      <c r="H19" s="117">
        <f>IF(Init!$R$9="Yes",'Staging Table'!BQ21,'Staging Table'!ED21)*IF(Init!$R$3=2022,Rates_previous!$C$88,Rates_previous!$D$88)</f>
        <v>0</v>
      </c>
      <c r="I19" s="115">
        <v>0</v>
      </c>
      <c r="J19" s="117">
        <f>IF(Init!$R$9="Yes",IF('Staging Table'!D21=1,'Staging Table'!H21*-1,'Staging Table'!H21*SUM(D19:I19)*(-1)),IF('Staging Table'!D21=1,'Staging Table'!BU21*-1,'Staging Table'!BU21*SUM(D19:I19)*(-1)))</f>
        <v>0</v>
      </c>
      <c r="K19" s="115">
        <f>IF(Init!$R$9="Yes",'Staging Table'!K21,'Staging Table'!BX21)*(-1)*Rates_previous!$H$32</f>
        <v>0</v>
      </c>
      <c r="L19" s="115">
        <f>IF('Staging Table'!C21=1,"",SUM(D19:K19))</f>
        <v>7471305.7228224054</v>
      </c>
      <c r="M19" s="115">
        <f>IF('Staging Table'!C21=1,"",IF(Init!$R$9="Yes",(RT1SC!$C$3*'Staging Table'!E21*'Staging Table'!$F$2)+SUM('Staging Table'!L21:AI21)-IF(Init!$R$12="No",'Staging Table'!BH21, 0),X19))</f>
        <v>214074.864</v>
      </c>
      <c r="N19" s="69">
        <f>IF('Staging Table'!C21=1,"",IF(M19=0, 0, L19/M19))</f>
        <v>34.900434283692483</v>
      </c>
      <c r="O19" s="115">
        <f>'Staging Table'!BR21*Rates_current!$F$77*100*12</f>
        <v>8929229.6652000006</v>
      </c>
      <c r="P19" s="115">
        <f>'Staging Table'!BS21*Rates_current!$F$78*100*12</f>
        <v>-1430223.2915999999</v>
      </c>
      <c r="Q19" s="116">
        <f>SUMPRODUCT('Staging Table'!BY21:CV21, LS_Demand_Rates_Restatement!$C$5:$Z$5)-IF(Init!$R$12="No",('Staging Table'!DU21*Rates_current!$I$46), 0)</f>
        <v>226777.56233500736</v>
      </c>
      <c r="R19" s="116">
        <f>SUMPRODUCT('Staging Table'!CW21:DH21, LS_Demand_Rates_Restatement!$C$11:$N$11)*1000</f>
        <v>335777.14824879821</v>
      </c>
      <c r="S19" s="117">
        <f>'Staging Table'!ED21*IF(Init!$R$15="Yes",IF(Init!$R$6=2024,Rates_current!$C$89,Rates_current!$D$89),Rates_current!$I$45)</f>
        <v>0</v>
      </c>
      <c r="T19" s="117">
        <v>0</v>
      </c>
      <c r="U19" s="117">
        <f>IF('Staging Table'!D21=1, 'Staging Table'!BU21*-1,SUM(O19:T19)*'Staging Table'!BU21*-1)</f>
        <v>0</v>
      </c>
      <c r="V19" s="115">
        <f>'Staging Table'!BX21*Rates_current!$I$44*-1</f>
        <v>0</v>
      </c>
      <c r="W19" s="115">
        <f>IF('Staging Table'!C21=1,"",SUM(O19:V19))</f>
        <v>8061561.0841838056</v>
      </c>
      <c r="X19" s="115">
        <f>IF('Staging Table'!C21=1,"",(RT1SC!$C$4*'Staging Table'!BR21*'Staging Table'!$BS$2)+SUM('Staging Table'!BY21:CV21)-IF(Init!$R$12="No",'Staging Table'!DU21, 0))</f>
        <v>214718.7136753368</v>
      </c>
      <c r="Y19" s="69">
        <f>IF('Staging Table'!C21=1,"",IF(X19=0, 0, W19/X19))</f>
        <v>37.544753068767008</v>
      </c>
      <c r="Z19" s="64">
        <f ca="1">IF('Staging Table'!C21=1,"",(Y19/N19-1)+(RAND()/100000000000000))</f>
        <v>7.5767503738778705E-2</v>
      </c>
      <c r="AA19" s="45">
        <f t="shared" ca="1" si="2"/>
        <v>101</v>
      </c>
      <c r="AC19">
        <f t="shared" si="3"/>
        <v>0.98846872589416357</v>
      </c>
      <c r="AD19" s="119"/>
      <c r="AE19" s="119"/>
      <c r="AG19" s="119"/>
      <c r="AH19" s="119"/>
    </row>
    <row r="20" spans="2:34">
      <c r="B20" s="2">
        <v>10067</v>
      </c>
      <c r="C20" s="3" t="s">
        <v>24</v>
      </c>
      <c r="D20" s="115">
        <f>IF(Init!$R$9="Yes",'Staging Table'!E22,'Staging Table'!BR22)*Rates_previous!$E$76*100*12</f>
        <v>5704201.3809599997</v>
      </c>
      <c r="E20" s="115">
        <f>IF(Init!$R$9="Yes",'Staging Table'!F22,'Staging Table'!BS22)*Rates_previous!$E$77*100*12</f>
        <v>-1164563.8864799999</v>
      </c>
      <c r="F20" s="116">
        <f>IF(Init!$R$9="Yes",SUMPRODUCT('Staging Table'!L22:AI22,LS_Demand_Rates_Restatement!$C$4:$Z$4)-IF(Init!$R$12="No",('Staging Table'!BH22*Rates_previous!$H$34), 0),SUMPRODUCT('Staging Table'!BY22:CV22,LS_Demand_Rates_Restatement!$C$4:$Z$4)-IF(Init!$R$12="No", 'Staging Table'!DU22*Rates_previous!$H$34, 0))</f>
        <v>-293170.05512241257</v>
      </c>
      <c r="G20" s="116">
        <f>IF(Init!$R$9="Yes",SUMPRODUCT('Staging Table'!AJ22:AU22,LS_Demand_Rates_Restatement!$C$10:$N$10),SUMPRODUCT(LS_Demand_Rates_Restatement!$C$10:$N$10,'Staging Table'!CW22:DH22))*1000</f>
        <v>692403.76494791661</v>
      </c>
      <c r="H20" s="117">
        <f>IF(Init!$R$9="Yes",'Staging Table'!BQ22,'Staging Table'!ED22)*IF(Init!$R$3=2022,Rates_previous!$C$88,Rates_previous!$D$88)</f>
        <v>0</v>
      </c>
      <c r="I20" s="115">
        <v>0</v>
      </c>
      <c r="J20" s="117">
        <f>IF(Init!$R$9="Yes",IF('Staging Table'!D22=1,'Staging Table'!H22*-1,'Staging Table'!H22*SUM(D20:I20)*(-1)),IF('Staging Table'!D22=1,'Staging Table'!BU22*-1,'Staging Table'!BU22*SUM(D20:I20)*(-1)))</f>
        <v>0</v>
      </c>
      <c r="K20" s="115">
        <f>IF(Init!$R$9="Yes",'Staging Table'!K22,'Staging Table'!BX22)*(-1)*Rates_previous!$H$32</f>
        <v>0</v>
      </c>
      <c r="L20" s="115">
        <f>IF('Staging Table'!C22=1,"",SUM(D20:K20))</f>
        <v>4938871.2043055035</v>
      </c>
      <c r="M20" s="115">
        <f>IF('Staging Table'!C22=1,"",IF(Init!$R$9="Yes",(RT1SC!$C$3*'Staging Table'!E22*'Staging Table'!$F$2)+SUM('Staging Table'!L22:AI22)-IF(Init!$R$12="No",'Staging Table'!BH22, 0),X20))</f>
        <v>130835.74965121911</v>
      </c>
      <c r="N20" s="69">
        <f>IF('Staging Table'!C22=1,"",IF(M20=0, 0, L20/M20))</f>
        <v>37.748636878464076</v>
      </c>
      <c r="O20" s="115">
        <f>'Staging Table'!BR22*Rates_current!$F$77*100*12</f>
        <v>5795012.5584000004</v>
      </c>
      <c r="P20" s="115">
        <f>'Staging Table'!BS22*Rates_current!$F$78*100*12</f>
        <v>-928205.70720000006</v>
      </c>
      <c r="Q20" s="116">
        <f>SUMPRODUCT('Staging Table'!BY22:CV22, LS_Demand_Rates_Restatement!$C$5:$Z$5)-IF(Init!$R$12="No",('Staging Table'!DU22*Rates_current!$I$46), 0)</f>
        <v>154839.0214690229</v>
      </c>
      <c r="R20" s="116">
        <f>SUMPRODUCT('Staging Table'!CW22:DH22, LS_Demand_Rates_Restatement!$C$11:$N$11)*1000</f>
        <v>775372.64280694432</v>
      </c>
      <c r="S20" s="117">
        <f>'Staging Table'!ED22*IF(Init!$R$15="Yes",IF(Init!$R$6=2024,Rates_current!$C$89,Rates_current!$D$89),Rates_current!$I$45)</f>
        <v>0</v>
      </c>
      <c r="T20" s="117">
        <v>0</v>
      </c>
      <c r="U20" s="117">
        <f>IF('Staging Table'!D22=1, 'Staging Table'!BU22*-1,SUM(O20:T20)*'Staging Table'!BU22*-1)</f>
        <v>0</v>
      </c>
      <c r="V20" s="115">
        <f>'Staging Table'!BX22*Rates_current!$I$44*-1</f>
        <v>0</v>
      </c>
      <c r="W20" s="115">
        <f>IF('Staging Table'!C22=1,"",SUM(O20:V20))</f>
        <v>5797018.5154759679</v>
      </c>
      <c r="X20" s="115">
        <f>IF('Staging Table'!C22=1,"",(RT1SC!$C$4*'Staging Table'!BR22*'Staging Table'!$BS$2)+SUM('Staging Table'!BY22:CV22)-IF(Init!$R$12="No",'Staging Table'!DU22, 0))</f>
        <v>139354.07999999999</v>
      </c>
      <c r="Y20" s="69">
        <f>IF('Staging Table'!C22=1,"",IF(X20=0, 0, W20/X20))</f>
        <v>41.599201942820535</v>
      </c>
      <c r="Z20" s="64">
        <f ca="1">IF('Staging Table'!C22=1,"",(Y20/N20-1)+(RAND()/100000000000000))</f>
        <v>0.10200540689069452</v>
      </c>
      <c r="AA20" s="45">
        <f t="shared" ca="1" si="2"/>
        <v>32</v>
      </c>
      <c r="AC20">
        <f t="shared" si="3"/>
        <v>1.1198273060593029</v>
      </c>
      <c r="AD20" s="119"/>
      <c r="AE20" s="119"/>
      <c r="AG20" s="119"/>
      <c r="AH20" s="119"/>
    </row>
    <row r="21" spans="2:34">
      <c r="B21" s="2">
        <v>10068</v>
      </c>
      <c r="C21" s="3" t="s">
        <v>25</v>
      </c>
      <c r="D21" s="115">
        <f>IF(Init!$R$9="Yes",'Staging Table'!E23,'Staging Table'!BR23)*Rates_previous!$E$76*100*12</f>
        <v>909513.4615199999</v>
      </c>
      <c r="E21" s="115">
        <f>IF(Init!$R$9="Yes",'Staging Table'!F23,'Staging Table'!BS23)*Rates_previous!$E$77*100*12</f>
        <v>-185685.33275999999</v>
      </c>
      <c r="F21" s="116">
        <f>IF(Init!$R$9="Yes",SUMPRODUCT('Staging Table'!L23:AI23,LS_Demand_Rates_Restatement!$C$4:$Z$4)-IF(Init!$R$12="No",('Staging Table'!BH23*Rates_previous!$H$34), 0),SUMPRODUCT('Staging Table'!BY23:CV23,LS_Demand_Rates_Restatement!$C$4:$Z$4)-IF(Init!$R$12="No", 'Staging Table'!DU23*Rates_previous!$H$34, 0))</f>
        <v>7189.7062804625402</v>
      </c>
      <c r="G21" s="116">
        <f>IF(Init!$R$9="Yes",SUMPRODUCT('Staging Table'!AJ23:AU23,LS_Demand_Rates_Restatement!$C$10:$N$10),SUMPRODUCT(LS_Demand_Rates_Restatement!$C$10:$N$10,'Staging Table'!CW23:DH23))*1000</f>
        <v>74915.035095592946</v>
      </c>
      <c r="H21" s="117">
        <f>IF(Init!$R$9="Yes",'Staging Table'!BQ23,'Staging Table'!ED23)*IF(Init!$R$3=2022,Rates_previous!$C$88,Rates_previous!$D$88)</f>
        <v>0</v>
      </c>
      <c r="I21" s="115">
        <v>0</v>
      </c>
      <c r="J21" s="117">
        <f>IF(Init!$R$9="Yes",IF('Staging Table'!D23=1,'Staging Table'!H23*-1,'Staging Table'!H23*SUM(D21:I21)*(-1)),IF('Staging Table'!D23=1,'Staging Table'!BU23*-1,'Staging Table'!BU23*SUM(D21:I21)*(-1)))</f>
        <v>0</v>
      </c>
      <c r="K21" s="115">
        <f>IF(Init!$R$9="Yes",'Staging Table'!K23,'Staging Table'!BX23)*(-1)*Rates_previous!$H$32</f>
        <v>0</v>
      </c>
      <c r="L21" s="115">
        <f>IF('Staging Table'!C23=1,"",SUM(D21:K21))</f>
        <v>805932.8701360554</v>
      </c>
      <c r="M21" s="115">
        <f>IF('Staging Table'!C23=1,"",IF(Init!$R$9="Yes",(RT1SC!$C$3*'Staging Table'!E23*'Staging Table'!$F$2)+SUM('Staging Table'!L23:AI23)-IF(Init!$R$12="No",'Staging Table'!BH23, 0),X21))</f>
        <v>22078.49410383444</v>
      </c>
      <c r="N21" s="69">
        <f>IF('Staging Table'!C23=1,"",IF(M21=0, 0, L21/M21))</f>
        <v>36.50307246254112</v>
      </c>
      <c r="O21" s="115">
        <f>'Staging Table'!BR23*Rates_current!$F$77*100*12</f>
        <v>918096.15299999993</v>
      </c>
      <c r="P21" s="115">
        <f>'Staging Table'!BS23*Rates_current!$F$78*100*12</f>
        <v>-147054.399</v>
      </c>
      <c r="Q21" s="116">
        <f>SUMPRODUCT('Staging Table'!BY23:CV23, LS_Demand_Rates_Restatement!$C$5:$Z$5)-IF(Init!$R$12="No",('Staging Table'!DU23*Rates_current!$I$46), 0)</f>
        <v>29884.0912092857</v>
      </c>
      <c r="R21" s="116">
        <f>SUMPRODUCT('Staging Table'!CW23:DH23, LS_Demand_Rates_Restatement!$C$11:$N$11)*1000</f>
        <v>80483.402736057702</v>
      </c>
      <c r="S21" s="117">
        <f>'Staging Table'!ED23*IF(Init!$R$15="Yes",IF(Init!$R$6=2024,Rates_current!$C$89,Rates_current!$D$89),Rates_current!$I$45)</f>
        <v>-12.785776679253322</v>
      </c>
      <c r="T21" s="117">
        <v>0</v>
      </c>
      <c r="U21" s="117">
        <f>IF('Staging Table'!D23=1, 'Staging Table'!BU23*-1,SUM(O21:T21)*'Staging Table'!BU23*-1)</f>
        <v>0</v>
      </c>
      <c r="V21" s="115">
        <f>'Staging Table'!BX23*Rates_current!$I$44*-1</f>
        <v>0</v>
      </c>
      <c r="W21" s="115">
        <f>IF('Staging Table'!C23=1,"",SUM(O21:V21))</f>
        <v>881396.46216866409</v>
      </c>
      <c r="X21" s="115">
        <f>IF('Staging Table'!C23=1,"",(RT1SC!$C$4*'Staging Table'!BR23*'Staging Table'!$BS$2)+SUM('Staging Table'!BY23:CV23)-IF(Init!$R$12="No",'Staging Table'!DU23, 0))</f>
        <v>22078.49530326785</v>
      </c>
      <c r="Y21" s="69">
        <f>IF('Staging Table'!C23=1,"",IF(X21=0, 0, W21/X21))</f>
        <v>39.92103855185313</v>
      </c>
      <c r="Z21" s="64">
        <f ca="1">IF('Staging Table'!C23=1,"",(Y21/N21-1)+(RAND()/100000000000000))</f>
        <v>9.3635024635795261E-2</v>
      </c>
      <c r="AA21" s="45">
        <f t="shared" ca="1" si="2"/>
        <v>64</v>
      </c>
      <c r="AC21">
        <f t="shared" si="3"/>
        <v>1.0743291067455207</v>
      </c>
      <c r="AD21" s="119"/>
      <c r="AE21" s="119"/>
      <c r="AG21" s="119"/>
      <c r="AH21" s="119"/>
    </row>
    <row r="22" spans="2:34">
      <c r="B22" s="2">
        <v>10070</v>
      </c>
      <c r="C22" s="3" t="s">
        <v>26</v>
      </c>
      <c r="D22" s="115">
        <f>IF(Init!$R$9="Yes",'Staging Table'!E24,'Staging Table'!BR24)*Rates_previous!$E$76*100*12</f>
        <v>129539.0304</v>
      </c>
      <c r="E22" s="115">
        <f>IF(Init!$R$9="Yes",'Staging Table'!F24,'Staging Table'!BS24)*Rates_previous!$E$77*100*12</f>
        <v>-26446.555199999995</v>
      </c>
      <c r="F22" s="116">
        <f>IF(Init!$R$9="Yes",SUMPRODUCT('Staging Table'!L24:AI24,LS_Demand_Rates_Restatement!$C$4:$Z$4)-IF(Init!$R$12="No",('Staging Table'!BH24*Rates_previous!$H$34), 0),SUMPRODUCT('Staging Table'!BY24:CV24,LS_Demand_Rates_Restatement!$C$4:$Z$4)-IF(Init!$R$12="No", 'Staging Table'!DU24*Rates_previous!$H$34, 0))</f>
        <v>1624.3281930447411</v>
      </c>
      <c r="G22" s="116">
        <f>IF(Init!$R$9="Yes",SUMPRODUCT('Staging Table'!AJ24:AU24,LS_Demand_Rates_Restatement!$C$10:$N$10),SUMPRODUCT(LS_Demand_Rates_Restatement!$C$10:$N$10,'Staging Table'!CW24:DH24))*1000</f>
        <v>19764.953159642093</v>
      </c>
      <c r="H22" s="117">
        <f>IF(Init!$R$9="Yes",'Staging Table'!BQ24,'Staging Table'!ED24)*IF(Init!$R$3=2022,Rates_previous!$C$88,Rates_previous!$D$88)</f>
        <v>0</v>
      </c>
      <c r="I22" s="115">
        <v>0</v>
      </c>
      <c r="J22" s="117">
        <f>IF(Init!$R$9="Yes",IF('Staging Table'!D24=1,'Staging Table'!H24*-1,'Staging Table'!H24*SUM(D22:I22)*(-1)),IF('Staging Table'!D24=1,'Staging Table'!BU24*-1,'Staging Table'!BU24*SUM(D22:I22)*(-1)))</f>
        <v>0</v>
      </c>
      <c r="K22" s="115">
        <f>IF(Init!$R$9="Yes",'Staging Table'!K24,'Staging Table'!BX24)*(-1)*Rates_previous!$H$32</f>
        <v>0</v>
      </c>
      <c r="L22" s="115">
        <f>IF('Staging Table'!C24=1,"",SUM(D22:K22))</f>
        <v>124481.75655268686</v>
      </c>
      <c r="M22" s="115">
        <f>IF('Staging Table'!C24=1,"",IF(Init!$R$9="Yes",(RT1SC!$C$3*'Staging Table'!E24*'Staging Table'!$F$2)+SUM('Staging Table'!L24:AI24)-IF(Init!$R$12="No",'Staging Table'!BH24, 0),X22))</f>
        <v>3153.4559999999997</v>
      </c>
      <c r="N22" s="69">
        <f>IF('Staging Table'!C24=1,"",IF(M22=0, 0, L22/M22))</f>
        <v>39.474708558700954</v>
      </c>
      <c r="O22" s="115">
        <f>'Staging Table'!BR24*Rates_current!$F$77*100*12</f>
        <v>131563.56719999999</v>
      </c>
      <c r="P22" s="115">
        <f>'Staging Table'!BS24*Rates_current!$F$78*100*12</f>
        <v>-21072.957600000002</v>
      </c>
      <c r="Q22" s="116">
        <f>SUMPRODUCT('Staging Table'!BY24:CV24, LS_Demand_Rates_Restatement!$C$5:$Z$5)-IF(Init!$R$12="No",('Staging Table'!DU24*Rates_current!$I$46), 0)</f>
        <v>4306.3914959333815</v>
      </c>
      <c r="R22" s="116">
        <f>SUMPRODUCT('Staging Table'!CW24:DH24, LS_Demand_Rates_Restatement!$C$11:$N$11)*1000</f>
        <v>22199.799708831906</v>
      </c>
      <c r="S22" s="117">
        <f>'Staging Table'!ED24*IF(Init!$R$15="Yes",IF(Init!$R$6=2024,Rates_current!$C$89,Rates_current!$D$89),Rates_current!$I$45)</f>
        <v>0</v>
      </c>
      <c r="T22" s="117">
        <v>0</v>
      </c>
      <c r="U22" s="117">
        <f>IF('Staging Table'!D24=1, 'Staging Table'!BU24*-1,SUM(O22:T22)*'Staging Table'!BU24*-1)</f>
        <v>0</v>
      </c>
      <c r="V22" s="115">
        <f>'Staging Table'!BX24*Rates_current!$I$44*-1</f>
        <v>0</v>
      </c>
      <c r="W22" s="115">
        <f>IF('Staging Table'!C24=1,"",SUM(O22:V22))</f>
        <v>136996.80080476528</v>
      </c>
      <c r="X22" s="115">
        <f>IF('Staging Table'!C24=1,"",(RT1SC!$C$4*'Staging Table'!BR24*'Staging Table'!$BS$2)+SUM('Staging Table'!BY24:CV24)-IF(Init!$R$12="No",'Staging Table'!DU24, 0))</f>
        <v>3162.3599999999997</v>
      </c>
      <c r="Y22" s="69">
        <f>IF('Staging Table'!C24=1,"",IF(X22=0, 0, W22/X22))</f>
        <v>43.321064269964616</v>
      </c>
      <c r="Z22" s="64">
        <f ca="1">IF('Staging Table'!C24=1,"",(Y22/N22-1)+(RAND()/100000000000000))</f>
        <v>9.7438482808411622E-2</v>
      </c>
      <c r="AA22" s="45">
        <f t="shared" ca="1" si="2"/>
        <v>46</v>
      </c>
      <c r="AC22">
        <f t="shared" si="3"/>
        <v>1.1231900996437223</v>
      </c>
      <c r="AD22" s="119"/>
      <c r="AE22" s="119"/>
      <c r="AG22" s="119"/>
      <c r="AH22" s="119"/>
    </row>
    <row r="23" spans="2:34">
      <c r="B23" s="2">
        <v>10071</v>
      </c>
      <c r="C23" s="3" t="s">
        <v>27</v>
      </c>
      <c r="D23" s="115">
        <f>IF(Init!$R$9="Yes",'Staging Table'!E25,'Staging Table'!BR25)*Rates_previous!$E$76*100*12</f>
        <v>672606.50399999996</v>
      </c>
      <c r="E23" s="115">
        <f>IF(Init!$R$9="Yes",'Staging Table'!F25,'Staging Table'!BS25)*Rates_previous!$E$77*100*12</f>
        <v>-137318.652</v>
      </c>
      <c r="F23" s="116">
        <f>IF(Init!$R$9="Yes",SUMPRODUCT('Staging Table'!L25:AI25,LS_Demand_Rates_Restatement!$C$4:$Z$4)-IF(Init!$R$12="No",('Staging Table'!BH25*Rates_previous!$H$34), 0),SUMPRODUCT('Staging Table'!BY25:CV25,LS_Demand_Rates_Restatement!$C$4:$Z$4)-IF(Init!$R$12="No", 'Staging Table'!DU25*Rates_previous!$H$34, 0))</f>
        <v>13040.369524105372</v>
      </c>
      <c r="G23" s="116">
        <f>IF(Init!$R$9="Yes",SUMPRODUCT('Staging Table'!AJ25:AU25,LS_Demand_Rates_Restatement!$C$10:$N$10),SUMPRODUCT(LS_Demand_Rates_Restatement!$C$10:$N$10,'Staging Table'!CW25:DH25))*1000</f>
        <v>27849.788338995721</v>
      </c>
      <c r="H23" s="117">
        <f>IF(Init!$R$9="Yes",'Staging Table'!BQ25,'Staging Table'!ED25)*IF(Init!$R$3=2022,Rates_previous!$C$88,Rates_previous!$D$88)</f>
        <v>0</v>
      </c>
      <c r="I23" s="115">
        <v>0</v>
      </c>
      <c r="J23" s="117">
        <f>IF(Init!$R$9="Yes",IF('Staging Table'!D25=1,'Staging Table'!H25*-1,'Staging Table'!H25*SUM(D23:I23)*(-1)),IF('Staging Table'!D25=1,'Staging Table'!BU25*-1,'Staging Table'!BU25*SUM(D23:I23)*(-1)))</f>
        <v>0</v>
      </c>
      <c r="K23" s="115">
        <f>IF(Init!$R$9="Yes",'Staging Table'!K25,'Staging Table'!BX25)*(-1)*Rates_previous!$H$32</f>
        <v>0</v>
      </c>
      <c r="L23" s="115">
        <f>IF('Staging Table'!C25=1,"",SUM(D23:K23))</f>
        <v>576178.00986310106</v>
      </c>
      <c r="M23" s="115">
        <f>IF('Staging Table'!C25=1,"",IF(Init!$R$9="Yes",(RT1SC!$C$3*'Staging Table'!E25*'Staging Table'!$F$2)+SUM('Staging Table'!L25:AI25)-IF(Init!$R$12="No",'Staging Table'!BH25, 0),X23))</f>
        <v>16637.720076788002</v>
      </c>
      <c r="N23" s="69">
        <f>IF('Staging Table'!C25=1,"",IF(M23=0, 0, L23/M23))</f>
        <v>34.630827253005158</v>
      </c>
      <c r="O23" s="115">
        <f>'Staging Table'!BR25*Rates_current!$F$77*100*12</f>
        <v>691744.66139999998</v>
      </c>
      <c r="P23" s="115">
        <f>'Staging Table'!BS25*Rates_current!$F$78*100*12</f>
        <v>-110798.95619999999</v>
      </c>
      <c r="Q23" s="116">
        <f>SUMPRODUCT('Staging Table'!BY25:CV25, LS_Demand_Rates_Restatement!$C$5:$Z$5)-IF(Init!$R$12="No",('Staging Table'!DU25*Rates_current!$I$46), 0)</f>
        <v>15561.525479182574</v>
      </c>
      <c r="R23" s="116">
        <f>SUMPRODUCT('Staging Table'!CW25:DH25, LS_Demand_Rates_Restatement!$C$11:$N$11)*1000</f>
        <v>30311.465829122139</v>
      </c>
      <c r="S23" s="117">
        <f>'Staging Table'!ED25*IF(Init!$R$15="Yes",IF(Init!$R$6=2024,Rates_current!$C$89,Rates_current!$D$89),Rates_current!$I$45)</f>
        <v>-9.626209983152366</v>
      </c>
      <c r="T23" s="117">
        <v>0</v>
      </c>
      <c r="U23" s="117">
        <f>IF('Staging Table'!D25=1, 'Staging Table'!BU25*-1,SUM(O23:T23)*'Staging Table'!BU25*-1)</f>
        <v>0</v>
      </c>
      <c r="V23" s="115">
        <f>'Staging Table'!BX25*Rates_current!$I$44*-1</f>
        <v>0</v>
      </c>
      <c r="W23" s="115">
        <f>IF('Staging Table'!C25=1,"",SUM(O23:V23))</f>
        <v>626809.07029832155</v>
      </c>
      <c r="X23" s="115">
        <f>IF('Staging Table'!C25=1,"",(RT1SC!$C$4*'Staging Table'!BR25*'Staging Table'!$BS$2)+SUM('Staging Table'!BY25:CV25)-IF(Init!$R$12="No",'Staging Table'!DU25, 0))</f>
        <v>16637.720981954422</v>
      </c>
      <c r="Y23" s="69">
        <f>IF('Staging Table'!C25=1,"",IF(X23=0, 0, W23/X23))</f>
        <v>37.673974156566885</v>
      </c>
      <c r="Z23" s="64">
        <f ca="1">IF('Staging Table'!C25=1,"",(Y23/N23-1)+(RAND()/100000000000000))</f>
        <v>8.7873930395293356E-2</v>
      </c>
      <c r="AA23" s="45">
        <f t="shared" ca="1" si="2"/>
        <v>84</v>
      </c>
      <c r="AC23">
        <f t="shared" si="3"/>
        <v>1.0883912459284129</v>
      </c>
      <c r="AD23" s="119"/>
      <c r="AE23" s="119"/>
      <c r="AG23" s="119"/>
      <c r="AH23" s="119"/>
    </row>
    <row r="24" spans="2:34">
      <c r="B24" s="2">
        <v>10072</v>
      </c>
      <c r="C24" s="3" t="s">
        <v>28</v>
      </c>
      <c r="D24" s="115">
        <f>IF(Init!$R$9="Yes",'Staging Table'!E26,'Staging Table'!BR26)*Rates_previous!$E$76*100*12</f>
        <v>8648972.30088</v>
      </c>
      <c r="E24" s="115">
        <f>IF(Init!$R$9="Yes",'Staging Table'!F26,'Staging Table'!BS26)*Rates_previous!$E$77*100*12</f>
        <v>-1765765.2884400003</v>
      </c>
      <c r="F24" s="116">
        <f>IF(Init!$R$9="Yes",SUMPRODUCT('Staging Table'!L26:AI26,LS_Demand_Rates_Restatement!$C$4:$Z$4)-IF(Init!$R$12="No",('Staging Table'!BH26*Rates_previous!$H$34), 0),SUMPRODUCT('Staging Table'!BY26:CV26,LS_Demand_Rates_Restatement!$C$4:$Z$4)-IF(Init!$R$12="No", 'Staging Table'!DU26*Rates_previous!$H$34, 0))</f>
        <v>80354.174539176398</v>
      </c>
      <c r="G24" s="116">
        <f>IF(Init!$R$9="Yes",SUMPRODUCT('Staging Table'!AJ26:AU26,LS_Demand_Rates_Restatement!$C$10:$N$10),SUMPRODUCT(LS_Demand_Rates_Restatement!$C$10:$N$10,'Staging Table'!CW26:DH26))*1000</f>
        <v>1056562.1840608441</v>
      </c>
      <c r="H24" s="117">
        <f>IF(Init!$R$9="Yes",'Staging Table'!BQ26,'Staging Table'!ED26)*IF(Init!$R$3=2022,Rates_previous!$C$88,Rates_previous!$D$88)</f>
        <v>0</v>
      </c>
      <c r="I24" s="115">
        <v>0</v>
      </c>
      <c r="J24" s="117">
        <f>IF(Init!$R$9="Yes",IF('Staging Table'!D26=1,'Staging Table'!H26*-1,'Staging Table'!H26*SUM(D24:I24)*(-1)),IF('Staging Table'!D26=1,'Staging Table'!BU26*-1,'Staging Table'!BU26*SUM(D24:I24)*(-1)))</f>
        <v>0</v>
      </c>
      <c r="K24" s="115">
        <f>IF(Init!$R$9="Yes",'Staging Table'!K26,'Staging Table'!BX26)*(-1)*Rates_previous!$H$32</f>
        <v>0</v>
      </c>
      <c r="L24" s="115">
        <f>IF('Staging Table'!C26=1,"",SUM(D24:K24))</f>
        <v>8020123.3710400201</v>
      </c>
      <c r="M24" s="115">
        <f>IF('Staging Table'!C26=1,"",IF(Init!$R$9="Yes",(RT1SC!$C$3*'Staging Table'!E26*'Staging Table'!$F$2)+SUM('Staging Table'!L26:AI26)-IF(Init!$R$12="No",'Staging Table'!BH26, 0),X24))</f>
        <v>210657.88800000001</v>
      </c>
      <c r="N24" s="69">
        <f>IF('Staging Table'!C26=1,"",IF(M24=0, 0, L24/M24))</f>
        <v>38.071792360512127</v>
      </c>
      <c r="O24" s="115">
        <f>'Staging Table'!BR26*Rates_current!$F$77*100*12</f>
        <v>8786270.8283999991</v>
      </c>
      <c r="P24" s="115">
        <f>'Staging Table'!BS26*Rates_current!$F$78*100*12</f>
        <v>-1407325.1172</v>
      </c>
      <c r="Q24" s="116">
        <f>SUMPRODUCT('Staging Table'!BY26:CV26, LS_Demand_Rates_Restatement!$C$5:$Z$5)-IF(Init!$R$12="No",('Staging Table'!DU26*Rates_current!$I$46), 0)</f>
        <v>280451.42144178483</v>
      </c>
      <c r="R24" s="116">
        <f>SUMPRODUCT('Staging Table'!CW26:DH26, LS_Demand_Rates_Restatement!$C$11:$N$11)*1000</f>
        <v>1157427.2346317933</v>
      </c>
      <c r="S24" s="117">
        <f>'Staging Table'!ED26*IF(Init!$R$15="Yes",IF(Init!$R$6=2024,Rates_current!$C$89,Rates_current!$D$89),Rates_current!$I$45)</f>
        <v>0</v>
      </c>
      <c r="T24" s="117">
        <v>0</v>
      </c>
      <c r="U24" s="117">
        <f>IF('Staging Table'!D26=1, 'Staging Table'!BU26*-1,SUM(O24:T24)*'Staging Table'!BU26*-1)</f>
        <v>0</v>
      </c>
      <c r="V24" s="115">
        <f>'Staging Table'!BX26*Rates_current!$I$44*-1</f>
        <v>0</v>
      </c>
      <c r="W24" s="115">
        <f>IF('Staging Table'!C26=1,"",SUM(O24:V24))</f>
        <v>8816824.3672735766</v>
      </c>
      <c r="X24" s="115">
        <f>IF('Staging Table'!C26=1,"",(RT1SC!$C$4*'Staging Table'!BR26*'Staging Table'!$BS$2)+SUM('Staging Table'!BY26:CV26)-IF(Init!$R$12="No",'Staging Table'!DU26, 0))</f>
        <v>211289.30247240202</v>
      </c>
      <c r="Y24" s="69">
        <f>IF('Staging Table'!C26=1,"",IF(X24=0, 0, W24/X24))</f>
        <v>41.7286832040406</v>
      </c>
      <c r="Z24" s="64">
        <f ca="1">IF('Staging Table'!C26=1,"",(Y24/N24-1)+(RAND()/100000000000000))</f>
        <v>9.605250020541449E-2</v>
      </c>
      <c r="AA24" s="45">
        <f t="shared" ca="1" si="2"/>
        <v>58</v>
      </c>
      <c r="AC24">
        <f t="shared" si="3"/>
        <v>1.0954653233785818</v>
      </c>
      <c r="AD24" s="119"/>
      <c r="AE24" s="119"/>
      <c r="AG24" s="119"/>
      <c r="AH24" s="119"/>
    </row>
    <row r="25" spans="2:34">
      <c r="B25" s="2">
        <v>10074</v>
      </c>
      <c r="C25" s="3" t="s">
        <v>29</v>
      </c>
      <c r="D25" s="115">
        <f>IF(Init!$R$9="Yes",'Staging Table'!E27,'Staging Table'!BR27)*Rates_previous!$E$76*100*12</f>
        <v>9622757.0505599994</v>
      </c>
      <c r="E25" s="115">
        <f>IF(Init!$R$9="Yes",'Staging Table'!F27,'Staging Table'!BS27)*Rates_previous!$E$77*100*12</f>
        <v>-1964572.1812800001</v>
      </c>
      <c r="F25" s="116">
        <f>IF(Init!$R$9="Yes",SUMPRODUCT('Staging Table'!L27:AI27,LS_Demand_Rates_Restatement!$C$4:$Z$4)-IF(Init!$R$12="No",('Staging Table'!BH27*Rates_previous!$H$34), 0),SUMPRODUCT('Staging Table'!BY27:CV27,LS_Demand_Rates_Restatement!$C$4:$Z$4)-IF(Init!$R$12="No", 'Staging Table'!DU27*Rates_previous!$H$34, 0))</f>
        <v>136101.7884462158</v>
      </c>
      <c r="G25" s="116">
        <f>IF(Init!$R$9="Yes",SUMPRODUCT('Staging Table'!AJ27:AU27,LS_Demand_Rates_Restatement!$C$10:$N$10),SUMPRODUCT(LS_Demand_Rates_Restatement!$C$10:$N$10,'Staging Table'!CW27:DH27))*1000</f>
        <v>682937.79526941758</v>
      </c>
      <c r="H25" s="117">
        <f>IF(Init!$R$9="Yes",'Staging Table'!BQ27,'Staging Table'!ED27)*IF(Init!$R$3=2022,Rates_previous!$C$88,Rates_previous!$D$88)</f>
        <v>0</v>
      </c>
      <c r="I25" s="115">
        <v>0</v>
      </c>
      <c r="J25" s="117">
        <f>IF(Init!$R$9="Yes",IF('Staging Table'!D27=1,'Staging Table'!H27*-1,'Staging Table'!H27*SUM(D25:I25)*(-1)),IF('Staging Table'!D27=1,'Staging Table'!BU27*-1,'Staging Table'!BU27*SUM(D25:I25)*(-1)))</f>
        <v>0</v>
      </c>
      <c r="K25" s="115">
        <f>IF(Init!$R$9="Yes",'Staging Table'!K27,'Staging Table'!BX27)*(-1)*Rates_previous!$H$32</f>
        <v>0</v>
      </c>
      <c r="L25" s="115">
        <f>IF('Staging Table'!C27=1,"",SUM(D25:K25))</f>
        <v>8477224.4529956318</v>
      </c>
      <c r="M25" s="115">
        <f>IF('Staging Table'!C27=1,"",IF(Init!$R$9="Yes",(RT1SC!$C$3*'Staging Table'!E27*'Staging Table'!$F$2)+SUM('Staging Table'!L27:AI27)-IF(Init!$R$12="No",'Staging Table'!BH27, 0),X25))</f>
        <v>234374.68799999999</v>
      </c>
      <c r="N25" s="69">
        <f>IF('Staging Table'!C27=1,"",IF(M25=0, 0, L25/M25))</f>
        <v>36.169539148338544</v>
      </c>
      <c r="O25" s="115">
        <f>'Staging Table'!BR27*Rates_current!$F$77*100*12</f>
        <v>9775587.4164000005</v>
      </c>
      <c r="P25" s="115">
        <f>'Staging Table'!BS27*Rates_current!$F$78*100*12</f>
        <v>-1565787.1212000002</v>
      </c>
      <c r="Q25" s="116">
        <f>SUMPRODUCT('Staging Table'!BY27:CV27, LS_Demand_Rates_Restatement!$C$5:$Z$5)-IF(Init!$R$12="No",('Staging Table'!DU27*Rates_current!$I$46), 0)</f>
        <v>298520.84244927129</v>
      </c>
      <c r="R25" s="116">
        <f>SUMPRODUCT('Staging Table'!CW27:DH27, LS_Demand_Rates_Restatement!$C$11:$N$11)*1000</f>
        <v>719237.24624166649</v>
      </c>
      <c r="S25" s="117">
        <f>'Staging Table'!ED27*IF(Init!$R$15="Yes",IF(Init!$R$6=2024,Rates_current!$C$89,Rates_current!$D$89),Rates_current!$I$45)</f>
        <v>0</v>
      </c>
      <c r="T25" s="117">
        <v>0</v>
      </c>
      <c r="U25" s="117">
        <f>IF('Staging Table'!D27=1, 'Staging Table'!BU27*-1,SUM(O25:T25)*'Staging Table'!BU27*-1)</f>
        <v>0</v>
      </c>
      <c r="V25" s="115">
        <f>'Staging Table'!BX27*Rates_current!$I$44*-1</f>
        <v>0</v>
      </c>
      <c r="W25" s="115">
        <f>IF('Staging Table'!C27=1,"",SUM(O25:V25))</f>
        <v>9227558.383890938</v>
      </c>
      <c r="X25" s="115">
        <f>IF('Staging Table'!C27=1,"",(RT1SC!$C$4*'Staging Table'!BR27*'Staging Table'!$BS$2)+SUM('Staging Table'!BY27:CV27)-IF(Init!$R$12="No",'Staging Table'!DU27, 0))</f>
        <v>235083.36</v>
      </c>
      <c r="Y25" s="69">
        <f>IF('Staging Table'!C27=1,"",IF(X25=0, 0, W25/X25))</f>
        <v>39.252282185735893</v>
      </c>
      <c r="Z25" s="64">
        <f ca="1">IF('Staging Table'!C27=1,"",(Y25/N25-1)+(RAND()/100000000000000))</f>
        <v>8.523036538438411E-2</v>
      </c>
      <c r="AA25" s="45">
        <f t="shared" ca="1" si="2"/>
        <v>91</v>
      </c>
      <c r="AC25">
        <f t="shared" si="3"/>
        <v>1.0531519140157251</v>
      </c>
      <c r="AD25" s="119"/>
      <c r="AE25" s="119"/>
      <c r="AG25" s="119"/>
      <c r="AH25" s="119"/>
    </row>
    <row r="26" spans="2:34">
      <c r="B26" s="2">
        <v>10076</v>
      </c>
      <c r="C26" s="3" t="s">
        <v>30</v>
      </c>
      <c r="D26" s="115">
        <f>IF(Init!$R$9="Yes",'Staging Table'!E28,'Staging Table'!BR28)*Rates_previous!$E$76*100*12</f>
        <v>1737317.6884800005</v>
      </c>
      <c r="E26" s="115">
        <f>IF(Init!$R$9="Yes",'Staging Table'!F28,'Staging Table'!BS28)*Rates_previous!$E$77*100*12</f>
        <v>-354688.99223999999</v>
      </c>
      <c r="F26" s="116">
        <f>IF(Init!$R$9="Yes",SUMPRODUCT('Staging Table'!L28:AI28,LS_Demand_Rates_Restatement!$C$4:$Z$4)-IF(Init!$R$12="No",('Staging Table'!BH28*Rates_previous!$H$34), 0),SUMPRODUCT('Staging Table'!BY28:CV28,LS_Demand_Rates_Restatement!$C$4:$Z$4)-IF(Init!$R$12="No", 'Staging Table'!DU28*Rates_previous!$H$34, 0))</f>
        <v>-123984.47584671451</v>
      </c>
      <c r="G26" s="116">
        <f>IF(Init!$R$9="Yes",SUMPRODUCT('Staging Table'!AJ28:AU28,LS_Demand_Rates_Restatement!$C$10:$N$10),SUMPRODUCT(LS_Demand_Rates_Restatement!$C$10:$N$10,'Staging Table'!CW28:DH28))*1000</f>
        <v>112055.18759273498</v>
      </c>
      <c r="H26" s="117">
        <f>IF(Init!$R$9="Yes",'Staging Table'!BQ28,'Staging Table'!ED28)*IF(Init!$R$3=2022,Rates_previous!$C$88,Rates_previous!$D$88)</f>
        <v>0</v>
      </c>
      <c r="I26" s="115">
        <v>0</v>
      </c>
      <c r="J26" s="117">
        <f>IF(Init!$R$9="Yes",IF('Staging Table'!D28=1,'Staging Table'!H28*-1,'Staging Table'!H28*SUM(D26:I26)*(-1)),IF('Staging Table'!D28=1,'Staging Table'!BU28*-1,'Staging Table'!BU28*SUM(D26:I26)*(-1)))</f>
        <v>0</v>
      </c>
      <c r="K26" s="115">
        <f>IF(Init!$R$9="Yes",'Staging Table'!K28,'Staging Table'!BX28)*(-1)*Rates_previous!$H$32</f>
        <v>0</v>
      </c>
      <c r="L26" s="115">
        <f>IF('Staging Table'!C28=1,"",SUM(D26:K26))</f>
        <v>1370699.4079860209</v>
      </c>
      <c r="M26" s="115">
        <f>IF('Staging Table'!C28=1,"",IF(Init!$R$9="Yes",(RT1SC!$C$3*'Staging Table'!E28*'Staging Table'!$F$2)+SUM('Staging Table'!L28:AI28)-IF(Init!$R$12="No",'Staging Table'!BH28, 0),X26))</f>
        <v>39262.849198340562</v>
      </c>
      <c r="N26" s="69">
        <f>IF('Staging Table'!C28=1,"",IF(M26=0, 0, L26/M26))</f>
        <v>34.910849211726422</v>
      </c>
      <c r="O26" s="115">
        <f>'Staging Table'!BR28*Rates_current!$F$77*100*12</f>
        <v>1764971.8710000003</v>
      </c>
      <c r="P26" s="115">
        <f>'Staging Table'!BS28*Rates_current!$F$78*100*12</f>
        <v>-282701.19299999997</v>
      </c>
      <c r="Q26" s="116">
        <f>SUMPRODUCT('Staging Table'!BY28:CV28, LS_Demand_Rates_Restatement!$C$5:$Z$5)-IF(Init!$R$12="No",('Staging Table'!DU28*Rates_current!$I$46), 0)</f>
        <v>44860.667718161247</v>
      </c>
      <c r="R26" s="116">
        <f>SUMPRODUCT('Staging Table'!CW28:DH28, LS_Demand_Rates_Restatement!$C$11:$N$11)*1000</f>
        <v>125183.42670128202</v>
      </c>
      <c r="S26" s="117">
        <f>'Staging Table'!ED28*IF(Init!$R$15="Yes",IF(Init!$R$6=2024,Rates_current!$C$89,Rates_current!$D$89),Rates_current!$I$45)</f>
        <v>0</v>
      </c>
      <c r="T26" s="117">
        <v>0</v>
      </c>
      <c r="U26" s="117">
        <f>IF('Staging Table'!D28=1, 'Staging Table'!BU28*-1,SUM(O26:T26)*'Staging Table'!BU28*-1)</f>
        <v>0</v>
      </c>
      <c r="V26" s="115">
        <f>'Staging Table'!BX28*Rates_current!$I$44*-1</f>
        <v>0</v>
      </c>
      <c r="W26" s="115">
        <f>IF('Staging Table'!C28=1,"",SUM(O26:V26))</f>
        <v>1652314.7724194436</v>
      </c>
      <c r="X26" s="115">
        <f>IF('Staging Table'!C28=1,"",(RT1SC!$C$4*'Staging Table'!BR28*'Staging Table'!$BS$2)+SUM('Staging Table'!BY28:CV28)-IF(Init!$R$12="No",'Staging Table'!DU28, 0))</f>
        <v>42441.14750543594</v>
      </c>
      <c r="Y26" s="69">
        <f>IF('Staging Table'!C28=1,"",IF(X26=0, 0, W26/X26))</f>
        <v>38.931906169780447</v>
      </c>
      <c r="Z26" s="64">
        <f ca="1">IF('Staging Table'!C28=1,"",(Y26/N26-1)+(RAND()/100000000000000))</f>
        <v>0.11518072601635282</v>
      </c>
      <c r="AA26" s="45">
        <f t="shared" ca="1" si="2"/>
        <v>16</v>
      </c>
      <c r="AC26">
        <f t="shared" si="3"/>
        <v>1.1171586910930147</v>
      </c>
      <c r="AD26" s="119"/>
      <c r="AE26" s="119"/>
      <c r="AG26" s="119"/>
      <c r="AH26" s="119"/>
    </row>
    <row r="27" spans="2:34">
      <c r="B27" s="2">
        <v>10078</v>
      </c>
      <c r="C27" s="3" t="s">
        <v>31</v>
      </c>
      <c r="D27" s="115">
        <f>IF(Init!$R$9="Yes",'Staging Table'!E29,'Staging Table'!BR29)*Rates_previous!$E$76*100*12</f>
        <v>1340978.07816</v>
      </c>
      <c r="E27" s="115">
        <f>IF(Init!$R$9="Yes",'Staging Table'!F29,'Staging Table'!BS29)*Rates_previous!$E$77*100*12</f>
        <v>-273772.70507999999</v>
      </c>
      <c r="F27" s="116">
        <f>IF(Init!$R$9="Yes",SUMPRODUCT('Staging Table'!L29:AI29,LS_Demand_Rates_Restatement!$C$4:$Z$4)-IF(Init!$R$12="No",('Staging Table'!BH29*Rates_previous!$H$34), 0),SUMPRODUCT('Staging Table'!BY29:CV29,LS_Demand_Rates_Restatement!$C$4:$Z$4)-IF(Init!$R$12="No", 'Staging Table'!DU29*Rates_previous!$H$34, 0))</f>
        <v>9596.7743754367366</v>
      </c>
      <c r="G27" s="116">
        <f>IF(Init!$R$9="Yes",SUMPRODUCT('Staging Table'!AJ29:AU29,LS_Demand_Rates_Restatement!$C$10:$N$10),SUMPRODUCT(LS_Demand_Rates_Restatement!$C$10:$N$10,'Staging Table'!CW29:DH29))*1000</f>
        <v>120577.47893298611</v>
      </c>
      <c r="H27" s="117">
        <f>IF(Init!$R$9="Yes",'Staging Table'!BQ29,'Staging Table'!ED29)*IF(Init!$R$3=2022,Rates_previous!$C$88,Rates_previous!$D$88)</f>
        <v>0</v>
      </c>
      <c r="I27" s="115">
        <v>0</v>
      </c>
      <c r="J27" s="117">
        <f>IF(Init!$R$9="Yes",IF('Staging Table'!D29=1,'Staging Table'!H29*-1,'Staging Table'!H29*SUM(D27:I27)*(-1)),IF('Staging Table'!D29=1,'Staging Table'!BU29*-1,'Staging Table'!BU29*SUM(D27:I27)*(-1)))</f>
        <v>0</v>
      </c>
      <c r="K27" s="115">
        <f>IF(Init!$R$9="Yes",'Staging Table'!K29,'Staging Table'!BX29)*(-1)*Rates_previous!$H$32</f>
        <v>0</v>
      </c>
      <c r="L27" s="115">
        <f>IF('Staging Table'!C29=1,"",SUM(D27:K27))</f>
        <v>1197379.6263884229</v>
      </c>
      <c r="M27" s="115">
        <f>IF('Staging Table'!C29=1,"",IF(Init!$R$9="Yes",(RT1SC!$C$3*'Staging Table'!E29*'Staging Table'!$F$2)+SUM('Staging Table'!L29:AI29)-IF(Init!$R$12="No",'Staging Table'!BH29, 0),X27))</f>
        <v>32586.423153092517</v>
      </c>
      <c r="N27" s="69">
        <f>IF('Staging Table'!C29=1,"",IF(M27=0, 0, L27/M27))</f>
        <v>36.74473938925663</v>
      </c>
      <c r="O27" s="115">
        <f>'Staging Table'!BR29*Rates_current!$F$77*100*12</f>
        <v>1355001.1488000003</v>
      </c>
      <c r="P27" s="115">
        <f>'Staging Table'!BS29*Rates_current!$F$78*100*12</f>
        <v>-217034.87040000001</v>
      </c>
      <c r="Q27" s="116">
        <f>SUMPRODUCT('Staging Table'!BY29:CV29, LS_Demand_Rates_Restatement!$C$5:$Z$5)-IF(Init!$R$12="No",('Staging Table'!DU29*Rates_current!$I$46), 0)</f>
        <v>29436.144816200973</v>
      </c>
      <c r="R27" s="116">
        <f>SUMPRODUCT('Staging Table'!CW29:DH29, LS_Demand_Rates_Restatement!$C$11:$N$11)*1000</f>
        <v>133981.42546033653</v>
      </c>
      <c r="S27" s="117">
        <f>'Staging Table'!ED29*IF(Init!$R$15="Yes",IF(Init!$R$6=2024,Rates_current!$C$89,Rates_current!$D$89),Rates_current!$I$45)</f>
        <v>3.0072969405101322</v>
      </c>
      <c r="T27" s="117">
        <v>0</v>
      </c>
      <c r="U27" s="117">
        <f>IF('Staging Table'!D29=1, 'Staging Table'!BU29*-1,SUM(O27:T27)*'Staging Table'!BU29*-1)</f>
        <v>0</v>
      </c>
      <c r="V27" s="115">
        <f>'Staging Table'!BX29*Rates_current!$I$44*-1</f>
        <v>0</v>
      </c>
      <c r="W27" s="115">
        <f>IF('Staging Table'!C29=1,"",SUM(O27:V27))</f>
        <v>1301386.8559734782</v>
      </c>
      <c r="X27" s="115">
        <f>IF('Staging Table'!C29=1,"",(RT1SC!$C$4*'Staging Table'!BR29*'Staging Table'!$BS$2)+SUM('Staging Table'!BY29:CV29)-IF(Init!$R$12="No",'Staging Table'!DU29, 0))</f>
        <v>32586.424923468941</v>
      </c>
      <c r="Y27" s="69">
        <f>IF('Staging Table'!C29=1,"",IF(X27=0, 0, W27/X27))</f>
        <v>39.93647228960706</v>
      </c>
      <c r="Z27" s="64">
        <f ca="1">IF('Staging Table'!C29=1,"",(Y27/N27-1)+(RAND()/100000000000000))</f>
        <v>8.686230882029275E-2</v>
      </c>
      <c r="AA27" s="45">
        <f t="shared" ca="1" si="2"/>
        <v>87</v>
      </c>
      <c r="AC27">
        <f t="shared" si="3"/>
        <v>1.1111645943003998</v>
      </c>
      <c r="AD27" s="119"/>
      <c r="AE27" s="119"/>
      <c r="AG27" s="119"/>
      <c r="AH27" s="119"/>
    </row>
    <row r="28" spans="2:34">
      <c r="B28" s="2">
        <v>10079</v>
      </c>
      <c r="C28" s="3" t="s">
        <v>32</v>
      </c>
      <c r="D28" s="115">
        <f>IF(Init!$R$9="Yes",'Staging Table'!E30,'Staging Table'!BR30)*Rates_previous!$E$76*100*12</f>
        <v>29490805.838160001</v>
      </c>
      <c r="E28" s="115">
        <f>IF(Init!$R$9="Yes",'Staging Table'!F30,'Staging Table'!BS30)*Rates_previous!$E$77*100*12</f>
        <v>-6020812.5850799996</v>
      </c>
      <c r="F28" s="116">
        <f>IF(Init!$R$9="Yes",SUMPRODUCT('Staging Table'!L30:AI30,LS_Demand_Rates_Restatement!$C$4:$Z$4)-IF(Init!$R$12="No",('Staging Table'!BH30*Rates_previous!$H$34), 0),SUMPRODUCT('Staging Table'!BY30:CV30,LS_Demand_Rates_Restatement!$C$4:$Z$4)-IF(Init!$R$12="No", 'Staging Table'!DU30*Rates_previous!$H$34, 0))</f>
        <v>915383.17561318236</v>
      </c>
      <c r="G28" s="116">
        <f>IF(Init!$R$9="Yes",SUMPRODUCT('Staging Table'!AJ30:AU30,LS_Demand_Rates_Restatement!$C$10:$N$10),SUMPRODUCT(LS_Demand_Rates_Restatement!$C$10:$N$10,'Staging Table'!CW30:DH30))*1000</f>
        <v>2365509.3607588671</v>
      </c>
      <c r="H28" s="117">
        <f>IF(Init!$R$9="Yes",'Staging Table'!BQ30,'Staging Table'!ED30)*IF(Init!$R$3=2022,Rates_previous!$C$88,Rates_previous!$D$88)</f>
        <v>0</v>
      </c>
      <c r="I28" s="115">
        <v>0</v>
      </c>
      <c r="J28" s="117">
        <f>IF(Init!$R$9="Yes",IF('Staging Table'!D30=1,'Staging Table'!H30*-1,'Staging Table'!H30*SUM(D28:I28)*(-1)),IF('Staging Table'!D30=1,'Staging Table'!BU30*-1,'Staging Table'!BU30*SUM(D28:I28)*(-1)))</f>
        <v>0</v>
      </c>
      <c r="K28" s="115">
        <f>IF(Init!$R$9="Yes",'Staging Table'!K30,'Staging Table'!BX30)*(-1)*Rates_previous!$H$32</f>
        <v>0</v>
      </c>
      <c r="L28" s="115">
        <f>IF('Staging Table'!C30=1,"",SUM(D28:K28))</f>
        <v>26750885.789452054</v>
      </c>
      <c r="M28" s="115">
        <f>IF('Staging Table'!C30=1,"",IF(Init!$R$9="Yes",(RT1SC!$C$3*'Staging Table'!E30*'Staging Table'!$F$2)+SUM('Staging Table'!L30:AI30)-IF(Init!$R$12="No",'Staging Table'!BH30, 0),X28))</f>
        <v>738880.13036681246</v>
      </c>
      <c r="N28" s="69">
        <f>IF('Staging Table'!C30=1,"",IF(M28=0, 0, L28/M28))</f>
        <v>36.204635488264842</v>
      </c>
      <c r="O28" s="115">
        <f>'Staging Table'!BR30*Rates_current!$F$77*100*12</f>
        <v>30725531.592600003</v>
      </c>
      <c r="P28" s="115">
        <f>'Staging Table'!BS30*Rates_current!$F$78*100*12</f>
        <v>-4921406.7257999992</v>
      </c>
      <c r="Q28" s="116">
        <f>SUMPRODUCT('Staging Table'!BY30:CV30, LS_Demand_Rates_Restatement!$C$5:$Z$5)-IF(Init!$R$12="No",('Staging Table'!DU30*Rates_current!$I$46), 0)</f>
        <v>720344.47399369464</v>
      </c>
      <c r="R28" s="116">
        <f>SUMPRODUCT('Staging Table'!CW30:DH30, LS_Demand_Rates_Restatement!$C$11:$N$11)*1000</f>
        <v>2624834.1517735925</v>
      </c>
      <c r="S28" s="117">
        <f>'Staging Table'!ED30*IF(Init!$R$15="Yes",IF(Init!$R$6=2024,Rates_current!$C$89,Rates_current!$D$89),Rates_current!$I$45)</f>
        <v>-1.7483897244697437</v>
      </c>
      <c r="T28" s="117">
        <v>0</v>
      </c>
      <c r="U28" s="117">
        <f>IF('Staging Table'!D30=1, 'Staging Table'!BU30*-1,SUM(O28:T28)*'Staging Table'!BU30*-1)</f>
        <v>0</v>
      </c>
      <c r="V28" s="115">
        <f>'Staging Table'!BX30*Rates_current!$I$44*-1</f>
        <v>0</v>
      </c>
      <c r="W28" s="115">
        <f>IF('Staging Table'!C30=1,"",SUM(O28:V28))</f>
        <v>29149301.744177569</v>
      </c>
      <c r="X28" s="115">
        <f>IF('Staging Table'!C30=1,"",(RT1SC!$C$4*'Staging Table'!BR30*'Staging Table'!$BS$2)+SUM('Staging Table'!BY30:CV30)-IF(Init!$R$12="No",'Staging Table'!DU30, 0))</f>
        <v>738880.17061590834</v>
      </c>
      <c r="Y28" s="69">
        <f>IF('Staging Table'!C30=1,"",IF(X28=0, 0, W28/X28))</f>
        <v>39.450648296434302</v>
      </c>
      <c r="Z28" s="64">
        <f ca="1">IF('Staging Table'!C30=1,"",(Y28/N28-1)+(RAND()/100000000000000))</f>
        <v>8.9657381282622975E-2</v>
      </c>
      <c r="AA28" s="45">
        <f t="shared" ca="1" si="2"/>
        <v>77</v>
      </c>
      <c r="AC28">
        <f t="shared" si="3"/>
        <v>1.1096274634616252</v>
      </c>
      <c r="AD28" s="119"/>
      <c r="AE28" s="119"/>
      <c r="AG28" s="119"/>
      <c r="AH28" s="119"/>
    </row>
    <row r="29" spans="2:34">
      <c r="B29" s="2">
        <v>10080</v>
      </c>
      <c r="C29" s="3" t="s">
        <v>33</v>
      </c>
      <c r="D29" s="115">
        <f>IF(Init!$R$9="Yes",'Staging Table'!E31,'Staging Table'!BR31)*Rates_previous!$E$76*100*12</f>
        <v>2383019.9323200001</v>
      </c>
      <c r="E29" s="115">
        <f>IF(Init!$R$9="Yes",'Staging Table'!F31,'Staging Table'!BS31)*Rates_previous!$E$77*100*12</f>
        <v>-486514.89815999998</v>
      </c>
      <c r="F29" s="116">
        <f>IF(Init!$R$9="Yes",SUMPRODUCT('Staging Table'!L31:AI31,LS_Demand_Rates_Restatement!$C$4:$Z$4)-IF(Init!$R$12="No",('Staging Table'!BH31*Rates_previous!$H$34), 0),SUMPRODUCT('Staging Table'!BY31:CV31,LS_Demand_Rates_Restatement!$C$4:$Z$4)-IF(Init!$R$12="No", 'Staging Table'!DU31*Rates_previous!$H$34, 0))</f>
        <v>23453.013256826576</v>
      </c>
      <c r="G29" s="116">
        <f>IF(Init!$R$9="Yes",SUMPRODUCT('Staging Table'!AJ31:AU31,LS_Demand_Rates_Restatement!$C$10:$N$10),SUMPRODUCT(LS_Demand_Rates_Restatement!$C$10:$N$10,'Staging Table'!CW31:DH31))*1000</f>
        <v>115088.6584752137</v>
      </c>
      <c r="H29" s="117">
        <f>IF(Init!$R$9="Yes",'Staging Table'!BQ31,'Staging Table'!ED31)*IF(Init!$R$3=2022,Rates_previous!$C$88,Rates_previous!$D$88)</f>
        <v>0</v>
      </c>
      <c r="I29" s="115">
        <v>0</v>
      </c>
      <c r="J29" s="117">
        <f>IF(Init!$R$9="Yes",IF('Staging Table'!D31=1,'Staging Table'!H31*-1,'Staging Table'!H31*SUM(D29:I29)*(-1)),IF('Staging Table'!D31=1,'Staging Table'!BU31*-1,'Staging Table'!BU31*SUM(D29:I29)*(-1)))</f>
        <v>0</v>
      </c>
      <c r="K29" s="115">
        <f>IF(Init!$R$9="Yes",'Staging Table'!K31,'Staging Table'!BX31)*(-1)*Rates_previous!$H$32</f>
        <v>0</v>
      </c>
      <c r="L29" s="115">
        <f>IF('Staging Table'!C31=1,"",SUM(D29:K29))</f>
        <v>2035046.7058920406</v>
      </c>
      <c r="M29" s="115">
        <f>IF('Staging Table'!C31=1,"",IF(Init!$R$9="Yes",(RT1SC!$C$3*'Staging Table'!E31*'Staging Table'!$F$2)+SUM('Staging Table'!L31:AI31)-IF(Init!$R$12="No",'Staging Table'!BH31, 0),X29))</f>
        <v>58386.082272057029</v>
      </c>
      <c r="N29" s="69">
        <f>IF('Staging Table'!C31=1,"",IF(M29=0, 0, L29/M29))</f>
        <v>34.854996716674599</v>
      </c>
      <c r="O29" s="115">
        <f>'Staging Table'!BR31*Rates_current!$F$77*100*12</f>
        <v>2427969.375</v>
      </c>
      <c r="P29" s="115">
        <f>'Staging Table'!BS31*Rates_current!$F$78*100*12</f>
        <v>-388895.62499999994</v>
      </c>
      <c r="Q29" s="116">
        <f>SUMPRODUCT('Staging Table'!BY31:CV31, LS_Demand_Rates_Restatement!$C$5:$Z$5)-IF(Init!$R$12="No",('Staging Table'!DU31*Rates_current!$I$46), 0)</f>
        <v>73308.874063978496</v>
      </c>
      <c r="R29" s="116">
        <f>SUMPRODUCT('Staging Table'!CW31:DH31, LS_Demand_Rates_Restatement!$C$11:$N$11)*1000</f>
        <v>122355.9324206731</v>
      </c>
      <c r="S29" s="117">
        <f>'Staging Table'!ED31*IF(Init!$R$15="Yes",IF(Init!$R$6=2024,Rates_current!$C$89,Rates_current!$D$89),Rates_current!$I$45)</f>
        <v>-2.659532741320727</v>
      </c>
      <c r="T29" s="117">
        <v>0</v>
      </c>
      <c r="U29" s="117">
        <f>IF('Staging Table'!D31=1, 'Staging Table'!BU31*-1,SUM(O29:T29)*'Staging Table'!BU31*-1)</f>
        <v>0</v>
      </c>
      <c r="V29" s="115">
        <f>'Staging Table'!BX31*Rates_current!$I$44*-1</f>
        <v>0</v>
      </c>
      <c r="W29" s="115">
        <f>IF('Staging Table'!C31=1,"",SUM(O29:V29))</f>
        <v>2234735.8969519106</v>
      </c>
      <c r="X29" s="115">
        <f>IF('Staging Table'!C31=1,"",(RT1SC!$C$4*'Staging Table'!BR31*'Staging Table'!$BS$2)+SUM('Staging Table'!BY31:CV31)-IF(Init!$R$12="No",'Staging Table'!DU31, 0))</f>
        <v>58386.085446582816</v>
      </c>
      <c r="Y29" s="69">
        <f>IF('Staging Table'!C31=1,"",IF(X29=0, 0, W29/X29))</f>
        <v>38.275145179864147</v>
      </c>
      <c r="Z29" s="64">
        <f ca="1">IF('Staging Table'!C31=1,"",(Y29/N29-1)+(RAND()/100000000000000))</f>
        <v>9.812505480895789E-2</v>
      </c>
      <c r="AA29" s="45">
        <f t="shared" ca="1" si="2"/>
        <v>44</v>
      </c>
      <c r="AC29">
        <f t="shared" si="3"/>
        <v>1.0631450052658711</v>
      </c>
      <c r="AD29" s="119"/>
      <c r="AE29" s="119"/>
      <c r="AG29" s="119"/>
      <c r="AH29" s="119"/>
    </row>
    <row r="30" spans="2:34">
      <c r="B30" s="2">
        <v>10081</v>
      </c>
      <c r="C30" s="3" t="s">
        <v>34</v>
      </c>
      <c r="D30" s="115">
        <f>IF(Init!$R$9="Yes",'Staging Table'!E32,'Staging Table'!BR32)*Rates_previous!$E$76*100*12</f>
        <v>3286554.6693599997</v>
      </c>
      <c r="E30" s="115">
        <f>IF(Init!$R$9="Yes",'Staging Table'!F32,'Staging Table'!BS32)*Rates_previous!$E$77*100*12</f>
        <v>-670979.62068000005</v>
      </c>
      <c r="F30" s="116">
        <f>IF(Init!$R$9="Yes",SUMPRODUCT('Staging Table'!L32:AI32,LS_Demand_Rates_Restatement!$C$4:$Z$4)-IF(Init!$R$12="No",('Staging Table'!BH32*Rates_previous!$H$34), 0),SUMPRODUCT('Staging Table'!BY32:CV32,LS_Demand_Rates_Restatement!$C$4:$Z$4)-IF(Init!$R$12="No", 'Staging Table'!DU32*Rates_previous!$H$34, 0))</f>
        <v>189836.59333160825</v>
      </c>
      <c r="G30" s="116">
        <f>IF(Init!$R$9="Yes",SUMPRODUCT('Staging Table'!AJ32:AU32,LS_Demand_Rates_Restatement!$C$10:$N$10),SUMPRODUCT(LS_Demand_Rates_Restatement!$C$10:$N$10,'Staging Table'!CW32:DH32))*1000</f>
        <v>141799.10477395827</v>
      </c>
      <c r="H30" s="117">
        <f>IF(Init!$R$9="Yes",'Staging Table'!BQ32,'Staging Table'!ED32)*IF(Init!$R$3=2022,Rates_previous!$C$88,Rates_previous!$D$88)</f>
        <v>0</v>
      </c>
      <c r="I30" s="115">
        <v>0</v>
      </c>
      <c r="J30" s="117">
        <f>IF(Init!$R$9="Yes",IF('Staging Table'!D32=1,'Staging Table'!H32*-1,'Staging Table'!H32*SUM(D30:I30)*(-1)),IF('Staging Table'!D32=1,'Staging Table'!BU32*-1,'Staging Table'!BU32*SUM(D30:I30)*(-1)))</f>
        <v>0</v>
      </c>
      <c r="K30" s="115">
        <f>IF(Init!$R$9="Yes",'Staging Table'!K32,'Staging Table'!BX32)*(-1)*Rates_previous!$H$32</f>
        <v>0</v>
      </c>
      <c r="L30" s="115">
        <f>IF('Staging Table'!C32=1,"",SUM(D30:K30))</f>
        <v>2947210.7467855662</v>
      </c>
      <c r="M30" s="115">
        <f>IF('Staging Table'!C32=1,"",IF(Init!$R$9="Yes",(RT1SC!$C$3*'Staging Table'!E32*'Staging Table'!$F$2)+SUM('Staging Table'!L32:AI32)-IF(Init!$R$12="No",'Staging Table'!BH32, 0),X30))</f>
        <v>81857.486375208915</v>
      </c>
      <c r="N30" s="69">
        <f>IF('Staging Table'!C32=1,"",IF(M30=0, 0, L30/M30))</f>
        <v>36.004168675256913</v>
      </c>
      <c r="O30" s="115">
        <f>'Staging Table'!BR32*Rates_current!$F$77*100*12</f>
        <v>3403818.8262000005</v>
      </c>
      <c r="P30" s="115">
        <f>'Staging Table'!BS32*Rates_current!$F$78*100*12</f>
        <v>-545200.55459999992</v>
      </c>
      <c r="Q30" s="116">
        <f>SUMPRODUCT('Staging Table'!BY32:CV32, LS_Demand_Rates_Restatement!$C$5:$Z$5)-IF(Init!$R$12="No",('Staging Table'!DU32*Rates_current!$I$46), 0)</f>
        <v>162580.88444119654</v>
      </c>
      <c r="R30" s="116">
        <f>SUMPRODUCT('Staging Table'!CW32:DH32, LS_Demand_Rates_Restatement!$C$11:$N$11)*1000</f>
        <v>149658.84134663458</v>
      </c>
      <c r="S30" s="117">
        <f>'Staging Table'!ED32*IF(Init!$R$15="Yes",IF(Init!$R$6=2024,Rates_current!$C$89,Rates_current!$D$89),Rates_current!$I$45)</f>
        <v>-15.717227513604447</v>
      </c>
      <c r="T30" s="117">
        <v>0</v>
      </c>
      <c r="U30" s="117">
        <f>IF('Staging Table'!D32=1, 'Staging Table'!BU32*-1,SUM(O30:T30)*'Staging Table'!BU32*-1)</f>
        <v>0</v>
      </c>
      <c r="V30" s="115">
        <f>'Staging Table'!BX32*Rates_current!$I$44*-1</f>
        <v>0</v>
      </c>
      <c r="W30" s="115">
        <f>IF('Staging Table'!C32=1,"",SUM(O30:V30))</f>
        <v>3170842.2801603181</v>
      </c>
      <c r="X30" s="115">
        <f>IF('Staging Table'!C32=1,"",(RT1SC!$C$4*'Staging Table'!BR32*'Staging Table'!$BS$2)+SUM('Staging Table'!BY32:CV32)-IF(Init!$R$12="No",'Staging Table'!DU32, 0))</f>
        <v>81857.490831833391</v>
      </c>
      <c r="Y30" s="69">
        <f>IF('Staging Table'!C32=1,"",IF(X30=0, 0, W30/X30))</f>
        <v>38.736128458596923</v>
      </c>
      <c r="Z30" s="64">
        <f ca="1">IF('Staging Table'!C32=1,"",(Y30/N30-1)+(RAND()/100000000000000))</f>
        <v>7.587898523588428E-2</v>
      </c>
      <c r="AA30" s="45">
        <f t="shared" ca="1" si="2"/>
        <v>100</v>
      </c>
      <c r="AC30">
        <f t="shared" si="3"/>
        <v>1.0554286755562068</v>
      </c>
      <c r="AD30" s="119"/>
      <c r="AE30" s="119"/>
      <c r="AG30" s="119"/>
      <c r="AH30" s="119"/>
    </row>
    <row r="31" spans="2:34">
      <c r="B31" s="2">
        <v>10082</v>
      </c>
      <c r="C31" s="3" t="s">
        <v>35</v>
      </c>
      <c r="D31" s="115">
        <f>IF(Init!$R$9="Yes",'Staging Table'!E33,'Staging Table'!BR33)*Rates_previous!$E$76*100*12</f>
        <v>35623.233359999998</v>
      </c>
      <c r="E31" s="115">
        <f>IF(Init!$R$9="Yes",'Staging Table'!F33,'Staging Table'!BS33)*Rates_previous!$E$77*100*12</f>
        <v>-7272.8026800000007</v>
      </c>
      <c r="F31" s="116">
        <f>IF(Init!$R$9="Yes",SUMPRODUCT('Staging Table'!L33:AI33,LS_Demand_Rates_Restatement!$C$4:$Z$4)-IF(Init!$R$12="No",('Staging Table'!BH33*Rates_previous!$H$34), 0),SUMPRODUCT('Staging Table'!BY33:CV33,LS_Demand_Rates_Restatement!$C$4:$Z$4)-IF(Init!$R$12="No", 'Staging Table'!DU33*Rates_previous!$H$34, 0))</f>
        <v>6425.818545098914</v>
      </c>
      <c r="G31" s="116">
        <f>IF(Init!$R$9="Yes",SUMPRODUCT('Staging Table'!AJ33:AU33,LS_Demand_Rates_Restatement!$C$10:$N$10),SUMPRODUCT(LS_Demand_Rates_Restatement!$C$10:$N$10,'Staging Table'!CW33:DH33))*1000</f>
        <v>2932.8872439903844</v>
      </c>
      <c r="H31" s="117">
        <f>IF(Init!$R$9="Yes",'Staging Table'!BQ33,'Staging Table'!ED33)*IF(Init!$R$3=2022,Rates_previous!$C$88,Rates_previous!$D$88)</f>
        <v>0</v>
      </c>
      <c r="I31" s="115">
        <v>0</v>
      </c>
      <c r="J31" s="117">
        <f>IF(Init!$R$9="Yes",IF('Staging Table'!D33=1,'Staging Table'!H33*-1,'Staging Table'!H33*SUM(D31:I31)*(-1)),IF('Staging Table'!D33=1,'Staging Table'!BU33*-1,'Staging Table'!BU33*SUM(D31:I31)*(-1)))</f>
        <v>0</v>
      </c>
      <c r="K31" s="115">
        <f>IF(Init!$R$9="Yes",'Staging Table'!K33,'Staging Table'!BX33)*(-1)*Rates_previous!$H$32</f>
        <v>0</v>
      </c>
      <c r="L31" s="115">
        <f>IF('Staging Table'!C33=1,"",SUM(D31:K31))</f>
        <v>37709.136469089295</v>
      </c>
      <c r="M31" s="115">
        <f>IF('Staging Table'!C33=1,"",IF(Init!$R$9="Yes",(RT1SC!$C$3*'Staging Table'!E33*'Staging Table'!$F$2)+SUM('Staging Table'!L33:AI33)-IF(Init!$R$12="No",'Staging Table'!BH33, 0),X31))</f>
        <v>1011.8620040669199</v>
      </c>
      <c r="N31" s="69">
        <f>IF('Staging Table'!C33=1,"",IF(M31=0, 0, L31/M31))</f>
        <v>37.267074282389387</v>
      </c>
      <c r="O31" s="115">
        <f>'Staging Table'!BR33*Rates_current!$F$77*100*12</f>
        <v>42214.294199999997</v>
      </c>
      <c r="P31" s="115">
        <f>'Staging Table'!BS33*Rates_current!$F$78*100*12</f>
        <v>-6761.5985999999994</v>
      </c>
      <c r="Q31" s="116">
        <f>SUMPRODUCT('Staging Table'!BY33:CV33, LS_Demand_Rates_Restatement!$C$5:$Z$5)-IF(Init!$R$12="No",('Staging Table'!DU33*Rates_current!$I$46), 0)</f>
        <v>1561.0126558430391</v>
      </c>
      <c r="R31" s="116">
        <f>SUMPRODUCT('Staging Table'!CW33:DH33, LS_Demand_Rates_Restatement!$C$11:$N$11)*1000</f>
        <v>3333.0954517004984</v>
      </c>
      <c r="S31" s="117">
        <f>'Staging Table'!ED33*IF(Init!$R$15="Yes",IF(Init!$R$6=2024,Rates_current!$C$89,Rates_current!$D$89),Rates_current!$I$45)</f>
        <v>16.676007492604022</v>
      </c>
      <c r="T31" s="117">
        <v>0</v>
      </c>
      <c r="U31" s="117">
        <f>IF('Staging Table'!D33=1, 'Staging Table'!BU33*-1,SUM(O31:T31)*'Staging Table'!BU33*-1)</f>
        <v>0</v>
      </c>
      <c r="V31" s="115">
        <f>'Staging Table'!BX33*Rates_current!$I$44*-1</f>
        <v>0</v>
      </c>
      <c r="W31" s="115">
        <f>IF('Staging Table'!C33=1,"",SUM(O31:V31))</f>
        <v>40363.479715036148</v>
      </c>
      <c r="X31" s="115">
        <f>IF('Staging Table'!C33=1,"",(RT1SC!$C$4*'Staging Table'!BR33*'Staging Table'!$BS$2)+SUM('Staging Table'!BY33:CV33)-IF(Init!$R$12="No",'Staging Table'!DU33, 0))</f>
        <v>1011.8620599245867</v>
      </c>
      <c r="Y31" s="69">
        <f>IF('Staging Table'!C33=1,"",IF(X31=0, 0, W31/X31))</f>
        <v>39.890298602602421</v>
      </c>
      <c r="Z31" s="64">
        <f ca="1">IF('Staging Table'!C33=1,"",(Y31/N31-1)+(RAND()/100000000000000))</f>
        <v>7.0389864799578206E-2</v>
      </c>
      <c r="AA31" s="45">
        <f t="shared" ca="1" si="2"/>
        <v>110</v>
      </c>
      <c r="AC31">
        <f t="shared" si="3"/>
        <v>1.1364553678393734</v>
      </c>
      <c r="AD31" s="119"/>
      <c r="AE31" s="119"/>
      <c r="AG31" s="119"/>
      <c r="AH31" s="119"/>
    </row>
    <row r="32" spans="2:34">
      <c r="B32" s="2">
        <v>10083</v>
      </c>
      <c r="C32" s="3" t="s">
        <v>36</v>
      </c>
      <c r="D32" s="115">
        <f>IF(Init!$R$9="Yes",'Staging Table'!E34,'Staging Table'!BR34)*Rates_previous!$E$76*100*12</f>
        <v>3016017.3866400002</v>
      </c>
      <c r="E32" s="115">
        <f>IF(Init!$R$9="Yes",'Staging Table'!F34,'Staging Table'!BS34)*Rates_previous!$E$77*100*12</f>
        <v>-615747.00732000009</v>
      </c>
      <c r="F32" s="116">
        <f>IF(Init!$R$9="Yes",SUMPRODUCT('Staging Table'!L34:AI34,LS_Demand_Rates_Restatement!$C$4:$Z$4)-IF(Init!$R$12="No",('Staging Table'!BH34*Rates_previous!$H$34), 0),SUMPRODUCT('Staging Table'!BY34:CV34,LS_Demand_Rates_Restatement!$C$4:$Z$4)-IF(Init!$R$12="No", 'Staging Table'!DU34*Rates_previous!$H$34, 0))</f>
        <v>29821.792154077732</v>
      </c>
      <c r="G32" s="116">
        <f>IF(Init!$R$9="Yes",SUMPRODUCT('Staging Table'!AJ34:AU34,LS_Demand_Rates_Restatement!$C$10:$N$10),SUMPRODUCT(LS_Demand_Rates_Restatement!$C$10:$N$10,'Staging Table'!CW34:DH34))*1000</f>
        <v>258697.87208293262</v>
      </c>
      <c r="H32" s="117">
        <f>IF(Init!$R$9="Yes",'Staging Table'!BQ34,'Staging Table'!ED34)*IF(Init!$R$3=2022,Rates_previous!$C$88,Rates_previous!$D$88)</f>
        <v>0</v>
      </c>
      <c r="I32" s="115">
        <v>0</v>
      </c>
      <c r="J32" s="117">
        <f>IF(Init!$R$9="Yes",IF('Staging Table'!D34=1,'Staging Table'!H34*-1,'Staging Table'!H34*SUM(D32:I32)*(-1)),IF('Staging Table'!D34=1,'Staging Table'!BU34*-1,'Staging Table'!BU34*SUM(D32:I32)*(-1)))</f>
        <v>0</v>
      </c>
      <c r="K32" s="115">
        <f>IF(Init!$R$9="Yes",'Staging Table'!K34,'Staging Table'!BX34)*(-1)*Rates_previous!$H$32</f>
        <v>0</v>
      </c>
      <c r="L32" s="115">
        <f>IF('Staging Table'!C34=1,"",SUM(D32:K32))</f>
        <v>2688790.0435570106</v>
      </c>
      <c r="M32" s="115">
        <f>IF('Staging Table'!C34=1,"",IF(Init!$R$9="Yes",(RT1SC!$C$3*'Staging Table'!E34*'Staging Table'!$F$2)+SUM('Staging Table'!L34:AI34)-IF(Init!$R$12="No",'Staging Table'!BH34, 0),X32))</f>
        <v>73460.59199999999</v>
      </c>
      <c r="N32" s="69">
        <f>IF('Staging Table'!C34=1,"",IF(M32=0, 0, L32/M32))</f>
        <v>36.601802005039801</v>
      </c>
      <c r="O32" s="115">
        <f>'Staging Table'!BR34*Rates_current!$F$77*100*12</f>
        <v>3064032.6054000007</v>
      </c>
      <c r="P32" s="115">
        <f>'Staging Table'!BS34*Rates_current!$F$78*100*12</f>
        <v>-490775.90820000001</v>
      </c>
      <c r="Q32" s="116">
        <f>SUMPRODUCT('Staging Table'!BY34:CV34, LS_Demand_Rates_Restatement!$C$5:$Z$5)-IF(Init!$R$12="No",('Staging Table'!DU34*Rates_current!$I$46), 0)</f>
        <v>90266.899922649871</v>
      </c>
      <c r="R32" s="116">
        <f>SUMPRODUCT('Staging Table'!CW34:DH34, LS_Demand_Rates_Restatement!$C$11:$N$11)*1000</f>
        <v>279533.37789546832</v>
      </c>
      <c r="S32" s="117">
        <f>'Staging Table'!ED34*IF(Init!$R$15="Yes",IF(Init!$R$6=2024,Rates_current!$C$89,Rates_current!$D$89),Rates_current!$I$45)</f>
        <v>0</v>
      </c>
      <c r="T32" s="117">
        <v>0</v>
      </c>
      <c r="U32" s="117">
        <f>IF('Staging Table'!D34=1, 'Staging Table'!BU34*-1,SUM(O32:T32)*'Staging Table'!BU34*-1)</f>
        <v>0</v>
      </c>
      <c r="V32" s="115">
        <f>'Staging Table'!BX34*Rates_current!$I$44*-1</f>
        <v>0</v>
      </c>
      <c r="W32" s="115">
        <f>IF('Staging Table'!C34=1,"",SUM(O32:V32))</f>
        <v>2943056.975018119</v>
      </c>
      <c r="X32" s="115">
        <f>IF('Staging Table'!C34=1,"",(RT1SC!$C$4*'Staging Table'!BR34*'Staging Table'!$BS$2)+SUM('Staging Table'!BY34:CV34)-IF(Init!$R$12="No",'Staging Table'!DU34, 0))</f>
        <v>73680.36</v>
      </c>
      <c r="Y32" s="69">
        <f>IF('Staging Table'!C34=1,"",IF(X32=0, 0, W32/X32))</f>
        <v>39.943574855200474</v>
      </c>
      <c r="Z32" s="64">
        <f ca="1">IF('Staging Table'!C34=1,"",(Y32/N32-1)+(RAND()/100000000000000))</f>
        <v>9.1300773926395587E-2</v>
      </c>
      <c r="AA32" s="45">
        <f t="shared" ca="1" si="2"/>
        <v>72</v>
      </c>
      <c r="AC32">
        <f t="shared" si="3"/>
        <v>1.0805399195779095</v>
      </c>
      <c r="AD32" s="119"/>
      <c r="AE32" s="119"/>
      <c r="AG32" s="119"/>
      <c r="AH32" s="119"/>
    </row>
    <row r="33" spans="2:34">
      <c r="B33" s="2">
        <v>10086</v>
      </c>
      <c r="C33" s="3" t="s">
        <v>37</v>
      </c>
      <c r="D33" s="115">
        <f>IF(Init!$R$9="Yes",'Staging Table'!E35,'Staging Table'!BR35)*Rates_previous!$E$76*100*12</f>
        <v>1395284.8255200002</v>
      </c>
      <c r="E33" s="115">
        <f>IF(Init!$R$9="Yes",'Staging Table'!F35,'Staging Table'!BS35)*Rates_previous!$E$77*100*12</f>
        <v>-284859.91476000001</v>
      </c>
      <c r="F33" s="116">
        <f>IF(Init!$R$9="Yes",SUMPRODUCT('Staging Table'!L35:AI35,LS_Demand_Rates_Restatement!$C$4:$Z$4)-IF(Init!$R$12="No",('Staging Table'!BH35*Rates_previous!$H$34), 0),SUMPRODUCT('Staging Table'!BY35:CV35,LS_Demand_Rates_Restatement!$C$4:$Z$4)-IF(Init!$R$12="No", 'Staging Table'!DU35*Rates_previous!$H$34, 0))</f>
        <v>-472324.4898554614</v>
      </c>
      <c r="G33" s="116">
        <f>IF(Init!$R$9="Yes",SUMPRODUCT('Staging Table'!AJ35:AU35,LS_Demand_Rates_Restatement!$C$10:$N$10),SUMPRODUCT(LS_Demand_Rates_Restatement!$C$10:$N$10,'Staging Table'!CW35:DH35))*1000</f>
        <v>26764.025798103634</v>
      </c>
      <c r="H33" s="117">
        <f>IF(Init!$R$9="Yes",'Staging Table'!BQ35,'Staging Table'!ED35)*IF(Init!$R$3=2022,Rates_previous!$C$88,Rates_previous!$D$88)</f>
        <v>0</v>
      </c>
      <c r="I33" s="115">
        <v>0</v>
      </c>
      <c r="J33" s="117">
        <f>IF(Init!$R$9="Yes",IF('Staging Table'!D35=1,'Staging Table'!H35*-1,'Staging Table'!H35*SUM(D33:I33)*(-1)),IF('Staging Table'!D35=1,'Staging Table'!BU35*-1,'Staging Table'!BU35*SUM(D33:I33)*(-1)))</f>
        <v>0</v>
      </c>
      <c r="K33" s="115">
        <f>IF(Init!$R$9="Yes",'Staging Table'!K35,'Staging Table'!BX35)*(-1)*Rates_previous!$H$32</f>
        <v>0</v>
      </c>
      <c r="L33" s="115">
        <f>IF('Staging Table'!C35=1,"",SUM(D33:K33))</f>
        <v>664864.44670264237</v>
      </c>
      <c r="M33" s="115">
        <f>IF('Staging Table'!C35=1,"",IF(Init!$R$9="Yes",(RT1SC!$C$3*'Staging Table'!E35*'Staging Table'!$F$2)+SUM('Staging Table'!L35:AI35)-IF(Init!$R$12="No",'Staging Table'!BH35, 0),X33))</f>
        <v>22348.468159292439</v>
      </c>
      <c r="N33" s="69">
        <f>IF('Staging Table'!C35=1,"",IF(M33=0, 0, L33/M33))</f>
        <v>29.749888984055193</v>
      </c>
      <c r="O33" s="115">
        <f>'Staging Table'!BR35*Rates_current!$F$77*100*12</f>
        <v>929232.43920000014</v>
      </c>
      <c r="P33" s="115">
        <f>'Staging Table'!BS35*Rates_current!$F$78*100*12</f>
        <v>-148838.1336</v>
      </c>
      <c r="Q33" s="116">
        <f>SUMPRODUCT('Staging Table'!BY35:CV35, LS_Demand_Rates_Restatement!$C$5:$Z$5)-IF(Init!$R$12="No",('Staging Table'!DU35*Rates_current!$I$46), 0)</f>
        <v>24085.449020949858</v>
      </c>
      <c r="R33" s="116">
        <f>SUMPRODUCT('Staging Table'!CW35:DH35, LS_Demand_Rates_Restatement!$C$11:$N$11)*1000</f>
        <v>28924.41934895833</v>
      </c>
      <c r="S33" s="117">
        <f>'Staging Table'!ED35*IF(Init!$R$15="Yes",IF(Init!$R$6=2024,Rates_current!$C$89,Rates_current!$D$89),Rates_current!$I$45)</f>
        <v>-6.6321580155528501</v>
      </c>
      <c r="T33" s="117">
        <v>0</v>
      </c>
      <c r="U33" s="117">
        <f>IF('Staging Table'!D35=1, 'Staging Table'!BU35*-1,SUM(O33:T33)*'Staging Table'!BU35*-1)</f>
        <v>0</v>
      </c>
      <c r="V33" s="115">
        <f>'Staging Table'!BX35*Rates_current!$I$44*-1</f>
        <v>0</v>
      </c>
      <c r="W33" s="115">
        <f>IF('Staging Table'!C35=1,"",SUM(O33:V33))</f>
        <v>833397.54181189276</v>
      </c>
      <c r="X33" s="115">
        <f>IF('Staging Table'!C35=1,"",(RT1SC!$C$4*'Staging Table'!BR35*'Staging Table'!$BS$2)+SUM('Staging Table'!BY35:CV35)-IF(Init!$R$12="No",'Staging Table'!DU35, 0))</f>
        <v>22348.469319076175</v>
      </c>
      <c r="Y33" s="69">
        <f>IF('Staging Table'!C35=1,"",IF(X33=0, 0, W33/X33))</f>
        <v>37.291034563182471</v>
      </c>
      <c r="Z33" s="64">
        <f ca="1">IF('Staging Table'!C35=1,"",(Y33/N33-1)+(RAND()/100000000000000))</f>
        <v>0.25348483092388074</v>
      </c>
      <c r="AA33" s="45">
        <f t="shared" ca="1" si="2"/>
        <v>1</v>
      </c>
      <c r="AC33">
        <f t="shared" si="3"/>
        <v>1.080720051876791</v>
      </c>
      <c r="AD33" s="119"/>
      <c r="AE33" s="119"/>
      <c r="AG33" s="119"/>
      <c r="AH33" s="119"/>
    </row>
    <row r="34" spans="2:34">
      <c r="B34" s="2">
        <v>10087</v>
      </c>
      <c r="C34" s="3" t="s">
        <v>38</v>
      </c>
      <c r="D34" s="115">
        <f>IF(Init!$R$9="Yes",'Staging Table'!E36,'Staging Table'!BR36)*Rates_previous!$E$76*100*12</f>
        <v>16874949.844799999</v>
      </c>
      <c r="E34" s="115">
        <f>IF(Init!$R$9="Yes",'Staging Table'!F36,'Staging Table'!BS36)*Rates_previous!$E$77*100*12</f>
        <v>-3445172.4023999996</v>
      </c>
      <c r="F34" s="116">
        <f>IF(Init!$R$9="Yes",SUMPRODUCT('Staging Table'!L36:AI36,LS_Demand_Rates_Restatement!$C$4:$Z$4)-IF(Init!$R$12="No",('Staging Table'!BH36*Rates_previous!$H$34), 0),SUMPRODUCT('Staging Table'!BY36:CV36,LS_Demand_Rates_Restatement!$C$4:$Z$4)-IF(Init!$R$12="No", 'Staging Table'!DU36*Rates_previous!$H$34, 0))</f>
        <v>471207.56736944517</v>
      </c>
      <c r="G34" s="116">
        <f>IF(Init!$R$9="Yes",SUMPRODUCT('Staging Table'!AJ36:AU36,LS_Demand_Rates_Restatement!$C$10:$N$10),SUMPRODUCT(LS_Demand_Rates_Restatement!$C$10:$N$10,'Staging Table'!CW36:DH36))*1000</f>
        <v>11366.80447499997</v>
      </c>
      <c r="H34" s="117">
        <f>IF(Init!$R$9="Yes",'Staging Table'!BQ36,'Staging Table'!ED36)*IF(Init!$R$3=2022,Rates_previous!$C$88,Rates_previous!$D$88)</f>
        <v>0</v>
      </c>
      <c r="I34" s="115">
        <v>0</v>
      </c>
      <c r="J34" s="117">
        <f>IF(Init!$R$9="Yes",IF('Staging Table'!D36=1,'Staging Table'!H36*-1,'Staging Table'!H36*SUM(D34:I34)*(-1)),IF('Staging Table'!D36=1,'Staging Table'!BU36*-1,'Staging Table'!BU36*SUM(D34:I34)*(-1)))</f>
        <v>0</v>
      </c>
      <c r="K34" s="115">
        <f>IF(Init!$R$9="Yes",'Staging Table'!K36,'Staging Table'!BX36)*(-1)*Rates_previous!$H$32</f>
        <v>0</v>
      </c>
      <c r="L34" s="115">
        <f>IF('Staging Table'!C36=1,"",SUM(D34:K34))</f>
        <v>13912351.814244444</v>
      </c>
      <c r="M34" s="115">
        <f>IF('Staging Table'!C36=1,"",IF(Init!$R$9="Yes",(RT1SC!$C$3*'Staging Table'!E36*'Staging Table'!$F$2)+SUM('Staging Table'!L36:AI36)-IF(Init!$R$12="No",'Staging Table'!BH36, 0),X34))</f>
        <v>428169.55992652552</v>
      </c>
      <c r="N34" s="69">
        <f>IF('Staging Table'!C36=1,"",IF(M34=0, 0, L34/M34))</f>
        <v>32.492622354171608</v>
      </c>
      <c r="O34" s="115">
        <f>'Staging Table'!BR36*Rates_current!$F$77*100*12</f>
        <v>17805108.75</v>
      </c>
      <c r="P34" s="115">
        <f>'Staging Table'!BS36*Rates_current!$F$78*100*12</f>
        <v>-2851901.25</v>
      </c>
      <c r="Q34" s="116">
        <f>SUMPRODUCT('Staging Table'!BY36:CV36, LS_Demand_Rates_Restatement!$C$5:$Z$5)-IF(Init!$R$12="No",('Staging Table'!DU36*Rates_current!$I$46), 0)</f>
        <v>384838.61207250803</v>
      </c>
      <c r="R34" s="116">
        <f>SUMPRODUCT('Staging Table'!CW36:DH36, LS_Demand_Rates_Restatement!$C$11:$N$11)*1000</f>
        <v>42480.578725961546</v>
      </c>
      <c r="S34" s="117">
        <f>'Staging Table'!ED36*IF(Init!$R$15="Yes",IF(Init!$R$6=2024,Rates_current!$C$89,Rates_current!$D$89),Rates_current!$I$45)</f>
        <v>6.5832932303124103</v>
      </c>
      <c r="T34" s="117">
        <v>0</v>
      </c>
      <c r="U34" s="117">
        <f>IF('Staging Table'!D36=1, 'Staging Table'!BU36*-1,SUM(O34:T34)*'Staging Table'!BU36*-1)</f>
        <v>0</v>
      </c>
      <c r="V34" s="115">
        <f>'Staging Table'!BX36*Rates_current!$I$44*-1</f>
        <v>0</v>
      </c>
      <c r="W34" s="115">
        <f>IF('Staging Table'!C36=1,"",SUM(O34:V34))</f>
        <v>15380533.274091702</v>
      </c>
      <c r="X34" s="115">
        <f>IF('Staging Table'!C36=1,"",(RT1SC!$C$4*'Staging Table'!BR36*'Staging Table'!$BS$2)+SUM('Staging Table'!BY36:CV36)-IF(Init!$R$12="No",'Staging Table'!DU36, 0))</f>
        <v>428169.58327494067</v>
      </c>
      <c r="Y34" s="69">
        <f>IF('Staging Table'!C36=1,"",IF(X34=0, 0, W34/X34))</f>
        <v>35.921592459816083</v>
      </c>
      <c r="Z34" s="64">
        <f ca="1">IF('Staging Table'!C36=1,"",(Y34/N34-1)+(RAND()/100000000000000))</f>
        <v>0.10553072843024687</v>
      </c>
      <c r="AA34" s="45">
        <f t="shared" ca="1" si="2"/>
        <v>23</v>
      </c>
      <c r="AC34">
        <f t="shared" si="3"/>
        <v>3.7372490060326879</v>
      </c>
      <c r="AD34" s="119"/>
      <c r="AE34" s="119"/>
      <c r="AG34" s="119"/>
      <c r="AH34" s="119"/>
    </row>
    <row r="35" spans="2:34">
      <c r="B35" s="2">
        <v>10089</v>
      </c>
      <c r="C35" s="3" t="s">
        <v>39</v>
      </c>
      <c r="D35" s="115">
        <f>IF(Init!$R$9="Yes",'Staging Table'!E37,'Staging Table'!BR37)*Rates_previous!$E$76*100*12</f>
        <v>37583756.762400001</v>
      </c>
      <c r="E35" s="115">
        <f>IF(Init!$R$9="Yes",'Staging Table'!F37,'Staging Table'!BS37)*Rates_previous!$E$77*100*12</f>
        <v>-7673061.1212000009</v>
      </c>
      <c r="F35" s="116">
        <f>IF(Init!$R$9="Yes",SUMPRODUCT('Staging Table'!L37:AI37,LS_Demand_Rates_Restatement!$C$4:$Z$4)-IF(Init!$R$12="No",('Staging Table'!BH37*Rates_previous!$H$34), 0),SUMPRODUCT('Staging Table'!BY37:CV37,LS_Demand_Rates_Restatement!$C$4:$Z$4)-IF(Init!$R$12="No", 'Staging Table'!DU37*Rates_previous!$H$34, 0))</f>
        <v>545057.32351306186</v>
      </c>
      <c r="G35" s="116">
        <f>IF(Init!$R$9="Yes",SUMPRODUCT('Staging Table'!AJ37:AU37,LS_Demand_Rates_Restatement!$C$10:$N$10),SUMPRODUCT(LS_Demand_Rates_Restatement!$C$10:$N$10,'Staging Table'!CW37:DH37))*1000</f>
        <v>760578.70560283109</v>
      </c>
      <c r="H35" s="117">
        <f>IF(Init!$R$9="Yes",'Staging Table'!BQ37,'Staging Table'!ED37)*IF(Init!$R$3=2022,Rates_previous!$C$88,Rates_previous!$D$88)</f>
        <v>0</v>
      </c>
      <c r="I35" s="115">
        <v>0</v>
      </c>
      <c r="J35" s="117">
        <f>IF(Init!$R$9="Yes",IF('Staging Table'!D37=1,'Staging Table'!H37*-1,'Staging Table'!H37*SUM(D35:I35)*(-1)),IF('Staging Table'!D37=1,'Staging Table'!BU37*-1,'Staging Table'!BU37*SUM(D35:I35)*(-1)))</f>
        <v>0</v>
      </c>
      <c r="K35" s="115">
        <f>IF(Init!$R$9="Yes",'Staging Table'!K37,'Staging Table'!BX37)*(-1)*Rates_previous!$H$32</f>
        <v>0</v>
      </c>
      <c r="L35" s="115">
        <f>IF('Staging Table'!C37=1,"",SUM(D35:K35))</f>
        <v>31216331.670315892</v>
      </c>
      <c r="M35" s="115">
        <f>IF('Staging Table'!C37=1,"",IF(Init!$R$9="Yes",(RT1SC!$C$3*'Staging Table'!E37*'Staging Table'!$F$2)+SUM('Staging Table'!L37:AI37)-IF(Init!$R$12="No",'Staging Table'!BH37, 0),X35))</f>
        <v>915406.99199999997</v>
      </c>
      <c r="N35" s="69">
        <f>IF('Staging Table'!C37=1,"",IF(M35=0, 0, L35/M35))</f>
        <v>34.101041332570347</v>
      </c>
      <c r="O35" s="115">
        <f>'Staging Table'!BR37*Rates_current!$F$77*100*12</f>
        <v>38181145.711799994</v>
      </c>
      <c r="P35" s="115">
        <f>'Staging Table'!BS37*Rates_current!$F$78*100*12</f>
        <v>-6115596.2993999999</v>
      </c>
      <c r="Q35" s="116">
        <f>SUMPRODUCT('Staging Table'!BY37:CV37, LS_Demand_Rates_Restatement!$C$5:$Z$5)-IF(Init!$R$12="No",('Staging Table'!DU37*Rates_current!$I$46), 0)</f>
        <v>1264842.5532451698</v>
      </c>
      <c r="R35" s="116">
        <f>SUMPRODUCT('Staging Table'!CW37:DH37, LS_Demand_Rates_Restatement!$C$11:$N$11)*1000</f>
        <v>889738.55120480759</v>
      </c>
      <c r="S35" s="117">
        <f>'Staging Table'!ED37*IF(Init!$R$15="Yes",IF(Init!$R$6=2024,Rates_current!$C$89,Rates_current!$D$89),Rates_current!$I$45)</f>
        <v>0</v>
      </c>
      <c r="T35" s="117">
        <v>0</v>
      </c>
      <c r="U35" s="117">
        <f>IF('Staging Table'!D37=1, 'Staging Table'!BU37*-1,SUM(O35:T35)*'Staging Table'!BU37*-1)</f>
        <v>0</v>
      </c>
      <c r="V35" s="115">
        <f>'Staging Table'!BX37*Rates_current!$I$44*-1</f>
        <v>0</v>
      </c>
      <c r="W35" s="115">
        <f>IF('Staging Table'!C37=1,"",SUM(O35:V35))</f>
        <v>34220130.516849965</v>
      </c>
      <c r="X35" s="115">
        <f>IF('Staging Table'!C37=1,"",(RT1SC!$C$4*'Staging Table'!BR37*'Staging Table'!$BS$2)+SUM('Staging Table'!BY37:CV37)-IF(Init!$R$12="No",'Staging Table'!DU37, 0))</f>
        <v>918170.6399999999</v>
      </c>
      <c r="Y35" s="69">
        <f>IF('Staging Table'!C37=1,"",IF(X35=0, 0, W35/X35))</f>
        <v>37.269902811148448</v>
      </c>
      <c r="Z35" s="64">
        <f ca="1">IF('Staging Table'!C37=1,"",(Y35/N35-1)+(RAND()/100000000000000))</f>
        <v>9.292565138038146E-2</v>
      </c>
      <c r="AA35" s="45">
        <f t="shared" ca="1" si="2"/>
        <v>67</v>
      </c>
      <c r="AC35">
        <f t="shared" si="3"/>
        <v>1.1698178566537765</v>
      </c>
      <c r="AD35" s="119"/>
      <c r="AE35" s="119"/>
      <c r="AG35" s="119"/>
      <c r="AH35" s="119"/>
    </row>
    <row r="36" spans="2:34">
      <c r="B36" s="2">
        <v>10091</v>
      </c>
      <c r="C36" s="3" t="s">
        <v>40</v>
      </c>
      <c r="D36" s="115">
        <f>IF(Init!$R$9="Yes",'Staging Table'!E38,'Staging Table'!BR38)*Rates_previous!$E$76*100*12</f>
        <v>3258404.8415999999</v>
      </c>
      <c r="E36" s="115">
        <f>IF(Init!$R$9="Yes",'Staging Table'!F38,'Staging Table'!BS38)*Rates_previous!$E$77*100*12</f>
        <v>-665232.58079999988</v>
      </c>
      <c r="F36" s="116">
        <f>IF(Init!$R$9="Yes",SUMPRODUCT('Staging Table'!L38:AI38,LS_Demand_Rates_Restatement!$C$4:$Z$4)-IF(Init!$R$12="No",('Staging Table'!BH38*Rates_previous!$H$34), 0),SUMPRODUCT('Staging Table'!BY38:CV38,LS_Demand_Rates_Restatement!$C$4:$Z$4)-IF(Init!$R$12="No", 'Staging Table'!DU38*Rates_previous!$H$34, 0))</f>
        <v>160812.9073627803</v>
      </c>
      <c r="G36" s="116">
        <f>IF(Init!$R$9="Yes",SUMPRODUCT('Staging Table'!AJ38:AU38,LS_Demand_Rates_Restatement!$C$10:$N$10),SUMPRODUCT(LS_Demand_Rates_Restatement!$C$10:$N$10,'Staging Table'!CW38:DH38))*1000</f>
        <v>172094.08032160791</v>
      </c>
      <c r="H36" s="117">
        <f>IF(Init!$R$9="Yes",'Staging Table'!BQ38,'Staging Table'!ED38)*IF(Init!$R$3=2022,Rates_previous!$C$88,Rates_previous!$D$88)</f>
        <v>0</v>
      </c>
      <c r="I36" s="115">
        <v>0</v>
      </c>
      <c r="J36" s="117">
        <f>IF(Init!$R$9="Yes",IF('Staging Table'!D38=1,'Staging Table'!H38*-1,'Staging Table'!H38*SUM(D36:I36)*(-1)),IF('Staging Table'!D38=1,'Staging Table'!BU38*-1,'Staging Table'!BU38*SUM(D36:I36)*(-1)))</f>
        <v>0</v>
      </c>
      <c r="K36" s="115">
        <f>IF(Init!$R$9="Yes",'Staging Table'!K38,'Staging Table'!BX38)*(-1)*Rates_previous!$H$32</f>
        <v>0</v>
      </c>
      <c r="L36" s="115">
        <f>IF('Staging Table'!C38=1,"",SUM(D36:K36))</f>
        <v>2926079.2484843889</v>
      </c>
      <c r="M36" s="115">
        <f>IF('Staging Table'!C38=1,"",IF(Init!$R$9="Yes",(RT1SC!$C$3*'Staging Table'!E38*'Staging Table'!$F$2)+SUM('Staging Table'!L38:AI38)-IF(Init!$R$12="No",'Staging Table'!BH38, 0),X36))</f>
        <v>82762.847999999998</v>
      </c>
      <c r="N36" s="69">
        <f>IF('Staging Table'!C38=1,"",IF(M36=0, 0, L36/M36))</f>
        <v>35.354984986553255</v>
      </c>
      <c r="O36" s="115">
        <f>'Staging Table'!BR38*Rates_current!$F$77*100*12</f>
        <v>3445256.1702000001</v>
      </c>
      <c r="P36" s="115">
        <f>'Staging Table'!BS38*Rates_current!$F$78*100*12</f>
        <v>-551837.70660000003</v>
      </c>
      <c r="Q36" s="116">
        <f>SUMPRODUCT('Staging Table'!BY38:CV38, LS_Demand_Rates_Restatement!$C$5:$Z$5)-IF(Init!$R$12="No",('Staging Table'!DU38*Rates_current!$I$46), 0)</f>
        <v>103753.52008343526</v>
      </c>
      <c r="R36" s="116">
        <f>SUMPRODUCT('Staging Table'!CW38:DH38, LS_Demand_Rates_Restatement!$C$11:$N$11)*1000</f>
        <v>190746.64687624646</v>
      </c>
      <c r="S36" s="117">
        <f>'Staging Table'!ED38*IF(Init!$R$15="Yes",IF(Init!$R$6=2024,Rates_current!$C$89,Rates_current!$D$89),Rates_current!$I$45)</f>
        <v>-15.504055741633055</v>
      </c>
      <c r="T36" s="117">
        <v>0</v>
      </c>
      <c r="U36" s="117">
        <f>IF('Staging Table'!D38=1, 'Staging Table'!BU38*-1,SUM(O36:T36)*'Staging Table'!BU38*-1)</f>
        <v>0</v>
      </c>
      <c r="V36" s="115">
        <f>'Staging Table'!BX38*Rates_current!$I$44*-1</f>
        <v>0</v>
      </c>
      <c r="W36" s="115">
        <f>IF('Staging Table'!C38=1,"",SUM(O36:V36))</f>
        <v>3187903.1265039402</v>
      </c>
      <c r="X36" s="115">
        <f>IF('Staging Table'!C38=1,"",(RT1SC!$C$4*'Staging Table'!BR38*'Staging Table'!$BS$2)+SUM('Staging Table'!BY38:CV38)-IF(Init!$R$12="No",'Staging Table'!DU38, 0))</f>
        <v>82856.075890655062</v>
      </c>
      <c r="Y36" s="69">
        <f>IF('Staging Table'!C38=1,"",IF(X36=0, 0, W36/X36))</f>
        <v>38.475188358075364</v>
      </c>
      <c r="Z36" s="64">
        <f ca="1">IF('Staging Table'!C38=1,"",(Y36/N36-1)+(RAND()/100000000000000))</f>
        <v>8.8253562339480299E-2</v>
      </c>
      <c r="AA36" s="45">
        <f t="shared" ref="AA36:AA67" ca="1" si="4">IF(Z36="","",RANK(Z36,$Z$4:$Z$137))</f>
        <v>82</v>
      </c>
      <c r="AC36">
        <f t="shared" si="3"/>
        <v>1.1083858696346836</v>
      </c>
      <c r="AD36" s="119"/>
      <c r="AE36" s="119"/>
      <c r="AG36" s="119"/>
      <c r="AH36" s="119"/>
    </row>
    <row r="37" spans="2:34">
      <c r="B37" s="2">
        <v>10094</v>
      </c>
      <c r="C37" s="3" t="s">
        <v>41</v>
      </c>
      <c r="D37" s="115">
        <f>IF(Init!$R$9="Yes",'Staging Table'!E39,'Staging Table'!BR39)*Rates_previous!$E$76*100*12</f>
        <v>1093359.2392799999</v>
      </c>
      <c r="E37" s="115">
        <f>IF(Init!$R$9="Yes",'Staging Table'!F39,'Staging Table'!BS39)*Rates_previous!$E$77*100*12</f>
        <v>-223219.09763999999</v>
      </c>
      <c r="F37" s="116">
        <f>IF(Init!$R$9="Yes",SUMPRODUCT('Staging Table'!L39:AI39,LS_Demand_Rates_Restatement!$C$4:$Z$4)-IF(Init!$R$12="No",('Staging Table'!BH39*Rates_previous!$H$34), 0),SUMPRODUCT('Staging Table'!BY39:CV39,LS_Demand_Rates_Restatement!$C$4:$Z$4)-IF(Init!$R$12="No", 'Staging Table'!DU39*Rates_previous!$H$34, 0))</f>
        <v>-82471.847847348632</v>
      </c>
      <c r="G37" s="116">
        <f>IF(Init!$R$9="Yes",SUMPRODUCT('Staging Table'!AJ39:AU39,LS_Demand_Rates_Restatement!$C$10:$N$10),SUMPRODUCT(LS_Demand_Rates_Restatement!$C$10:$N$10,'Staging Table'!CW39:DH39))*1000</f>
        <v>55940.169555608969</v>
      </c>
      <c r="H37" s="117">
        <f>IF(Init!$R$9="Yes",'Staging Table'!BQ39,'Staging Table'!ED39)*IF(Init!$R$3=2022,Rates_previous!$C$88,Rates_previous!$D$88)</f>
        <v>0</v>
      </c>
      <c r="I37" s="115">
        <v>0</v>
      </c>
      <c r="J37" s="117">
        <f>IF(Init!$R$9="Yes",IF('Staging Table'!D39=1,'Staging Table'!H39*-1,'Staging Table'!H39*SUM(D37:I37)*(-1)),IF('Staging Table'!D39=1,'Staging Table'!BU39*-1,'Staging Table'!BU39*SUM(D37:I37)*(-1)))</f>
        <v>0</v>
      </c>
      <c r="K37" s="115">
        <f>IF(Init!$R$9="Yes",'Staging Table'!K39,'Staging Table'!BX39)*(-1)*Rates_previous!$H$32</f>
        <v>0</v>
      </c>
      <c r="L37" s="115">
        <f>IF('Staging Table'!C39=1,"",SUM(D37:K37))</f>
        <v>843608.46334826015</v>
      </c>
      <c r="M37" s="115">
        <f>IF('Staging Table'!C39=1,"",IF(Init!$R$9="Yes",(RT1SC!$C$3*'Staging Table'!E39*'Staging Table'!$F$2)+SUM('Staging Table'!L39:AI39)-IF(Init!$R$12="No",'Staging Table'!BH39, 0),X37))</f>
        <v>24420.534124823156</v>
      </c>
      <c r="N37" s="69">
        <f>IF('Staging Table'!C39=1,"",IF(M37=0, 0, L37/M37))</f>
        <v>34.545045535705263</v>
      </c>
      <c r="O37" s="115">
        <f>'Staging Table'!BR39*Rates_current!$F$77*100*12</f>
        <v>1015473.9114</v>
      </c>
      <c r="P37" s="115">
        <f>'Staging Table'!BS39*Rates_current!$F$78*100*12</f>
        <v>-162651.70620000002</v>
      </c>
      <c r="Q37" s="116">
        <f>SUMPRODUCT('Staging Table'!BY39:CV39, LS_Demand_Rates_Restatement!$C$5:$Z$5)-IF(Init!$R$12="No",('Staging Table'!DU39*Rates_current!$I$46), 0)</f>
        <v>31183.195971046371</v>
      </c>
      <c r="R37" s="116">
        <f>SUMPRODUCT('Staging Table'!CW39:DH39, LS_Demand_Rates_Restatement!$C$11:$N$11)*1000</f>
        <v>63174.666409553058</v>
      </c>
      <c r="S37" s="117">
        <f>'Staging Table'!ED39*IF(Init!$R$15="Yes",IF(Init!$R$6=2024,Rates_current!$C$89,Rates_current!$D$89),Rates_current!$I$45)</f>
        <v>9.0968869846613956</v>
      </c>
      <c r="T37" s="117">
        <v>0</v>
      </c>
      <c r="U37" s="117">
        <f>IF('Staging Table'!D39=1, 'Staging Table'!BU39*-1,SUM(O37:T37)*'Staging Table'!BU39*-1)</f>
        <v>0</v>
      </c>
      <c r="V37" s="115">
        <f>'Staging Table'!BX39*Rates_current!$I$44*-1</f>
        <v>0</v>
      </c>
      <c r="W37" s="115">
        <f>IF('Staging Table'!C39=1,"",SUM(O37:V37))</f>
        <v>947189.16446758399</v>
      </c>
      <c r="X37" s="115">
        <f>IF('Staging Table'!C39=1,"",(RT1SC!$C$4*'Staging Table'!BR39*'Staging Table'!$BS$2)+SUM('Staging Table'!BY39:CV39)-IF(Init!$R$12="No",'Staging Table'!DU39, 0))</f>
        <v>24420.535441498796</v>
      </c>
      <c r="Y37" s="69">
        <f>IF('Staging Table'!C39=1,"",IF(X37=0, 0, W37/X37))</f>
        <v>38.78658462410236</v>
      </c>
      <c r="Z37" s="64">
        <f ca="1">IF('Staging Table'!C39=1,"",(Y37/N37-1)+(RAND()/100000000000000))</f>
        <v>0.12278284838308566</v>
      </c>
      <c r="AA37" s="45">
        <f t="shared" ca="1" si="4"/>
        <v>11</v>
      </c>
      <c r="AC37">
        <f t="shared" si="3"/>
        <v>1.1293256154104507</v>
      </c>
      <c r="AD37" s="119"/>
      <c r="AE37" s="119"/>
      <c r="AG37" s="119"/>
      <c r="AH37" s="119"/>
    </row>
    <row r="38" spans="2:34">
      <c r="B38" s="2">
        <v>10095</v>
      </c>
      <c r="C38" s="3" t="s">
        <v>42</v>
      </c>
      <c r="D38" s="115">
        <f>IF(Init!$R$9="Yes",'Staging Table'!E40,'Staging Table'!BR40)*Rates_previous!$E$76*100*12</f>
        <v>1313824.7044800001</v>
      </c>
      <c r="E38" s="115">
        <f>IF(Init!$R$9="Yes",'Staging Table'!F40,'Staging Table'!BS40)*Rates_previous!$E$77*100*12</f>
        <v>-268229.10024000006</v>
      </c>
      <c r="F38" s="116">
        <f>IF(Init!$R$9="Yes",SUMPRODUCT('Staging Table'!L40:AI40,LS_Demand_Rates_Restatement!$C$4:$Z$4)-IF(Init!$R$12="No",('Staging Table'!BH40*Rates_previous!$H$34), 0),SUMPRODUCT('Staging Table'!BY40:CV40,LS_Demand_Rates_Restatement!$C$4:$Z$4)-IF(Init!$R$12="No", 'Staging Table'!DU40*Rates_previous!$H$34, 0))</f>
        <v>-10837.888651520367</v>
      </c>
      <c r="G38" s="116">
        <f>IF(Init!$R$9="Yes",SUMPRODUCT('Staging Table'!AJ40:AU40,LS_Demand_Rates_Restatement!$C$10:$N$10),SUMPRODUCT(LS_Demand_Rates_Restatement!$C$10:$N$10,'Staging Table'!CW40:DH40))*1000</f>
        <v>32024.408155128222</v>
      </c>
      <c r="H38" s="117">
        <f>IF(Init!$R$9="Yes",'Staging Table'!BQ40,'Staging Table'!ED40)*IF(Init!$R$3=2022,Rates_previous!$C$88,Rates_previous!$D$88)</f>
        <v>0</v>
      </c>
      <c r="I38" s="115">
        <v>0</v>
      </c>
      <c r="J38" s="117">
        <f>IF(Init!$R$9="Yes",IF('Staging Table'!D40=1,'Staging Table'!H40*-1,'Staging Table'!H40*SUM(D38:I38)*(-1)),IF('Staging Table'!D40=1,'Staging Table'!BU40*-1,'Staging Table'!BU40*SUM(D38:I38)*(-1)))</f>
        <v>0</v>
      </c>
      <c r="K38" s="115">
        <f>IF(Init!$R$9="Yes",'Staging Table'!K40,'Staging Table'!BX40)*(-1)*Rates_previous!$H$32</f>
        <v>0</v>
      </c>
      <c r="L38" s="115">
        <f>IF('Staging Table'!C40=1,"",SUM(D38:K38))</f>
        <v>1066782.1237436079</v>
      </c>
      <c r="M38" s="115">
        <f>IF('Staging Table'!C40=1,"",IF(Init!$R$9="Yes",(RT1SC!$C$3*'Staging Table'!E40*'Staging Table'!$F$2)+SUM('Staging Table'!L40:AI40)-IF(Init!$R$12="No",'Staging Table'!BH40, 0),X38))</f>
        <v>32000.111999999997</v>
      </c>
      <c r="N38" s="69">
        <f>IF('Staging Table'!C40=1,"",IF(M38=0, 0, L38/M38))</f>
        <v>33.336824688101338</v>
      </c>
      <c r="O38" s="115">
        <f>'Staging Table'!BR40*Rates_current!$F$77*100*12</f>
        <v>1334800.4435999999</v>
      </c>
      <c r="P38" s="115">
        <f>'Staging Table'!BS40*Rates_current!$F$78*100*12</f>
        <v>-213799.25879999998</v>
      </c>
      <c r="Q38" s="116">
        <f>SUMPRODUCT('Staging Table'!BY40:CV40, LS_Demand_Rates_Restatement!$C$5:$Z$5)-IF(Init!$R$12="No",('Staging Table'!DU40*Rates_current!$I$46), 0)</f>
        <v>18600.062226003072</v>
      </c>
      <c r="R38" s="116">
        <f>SUMPRODUCT('Staging Table'!CW40:DH40, LS_Demand_Rates_Restatement!$C$11:$N$11)*1000</f>
        <v>36759.737648450842</v>
      </c>
      <c r="S38" s="117">
        <f>'Staging Table'!ED40*IF(Init!$R$15="Yes",IF(Init!$R$6=2024,Rates_current!$C$89,Rates_current!$D$89),Rates_current!$I$45)</f>
        <v>0</v>
      </c>
      <c r="T38" s="117">
        <v>0</v>
      </c>
      <c r="U38" s="117">
        <f>IF('Staging Table'!D40=1, 'Staging Table'!BU40*-1,SUM(O38:T38)*'Staging Table'!BU40*-1)</f>
        <v>0</v>
      </c>
      <c r="V38" s="115">
        <f>'Staging Table'!BX40*Rates_current!$I$44*-1</f>
        <v>0</v>
      </c>
      <c r="W38" s="115">
        <f>IF('Staging Table'!C40=1,"",SUM(O38:V38))</f>
        <v>1176360.9846744537</v>
      </c>
      <c r="X38" s="115">
        <f>IF('Staging Table'!C40=1,"",(RT1SC!$C$4*'Staging Table'!BR40*'Staging Table'!$BS$2)+SUM('Staging Table'!BY40:CV40)-IF(Init!$R$12="No",'Staging Table'!DU40, 0))</f>
        <v>32096.640000000003</v>
      </c>
      <c r="Y38" s="69">
        <f>IF('Staging Table'!C40=1,"",IF(X38=0, 0, W38/X38))</f>
        <v>36.650595971243519</v>
      </c>
      <c r="Z38" s="64">
        <f ca="1">IF('Staging Table'!C40=1,"",(Y38/N38-1)+(RAND()/100000000000000))</f>
        <v>9.9402726988724779E-2</v>
      </c>
      <c r="AA38" s="45">
        <f t="shared" ca="1" si="4"/>
        <v>41</v>
      </c>
      <c r="AC38">
        <f t="shared" si="3"/>
        <v>1.1478662609589658</v>
      </c>
      <c r="AD38" s="119"/>
      <c r="AE38" s="119"/>
      <c r="AG38" s="119"/>
      <c r="AH38" s="119"/>
    </row>
    <row r="39" spans="2:34">
      <c r="B39" s="2">
        <v>10097</v>
      </c>
      <c r="C39" s="3" t="s">
        <v>43</v>
      </c>
      <c r="D39" s="115">
        <f>IF(Init!$R$9="Yes",'Staging Table'!E41,'Staging Table'!BR41)*Rates_previous!$E$76*100*12</f>
        <v>720187.18631999998</v>
      </c>
      <c r="E39" s="115">
        <f>IF(Init!$R$9="Yes",'Staging Table'!F41,'Staging Table'!BS41)*Rates_previous!$E$77*100*12</f>
        <v>-147032.67515999998</v>
      </c>
      <c r="F39" s="116">
        <f>IF(Init!$R$9="Yes",SUMPRODUCT('Staging Table'!L41:AI41,LS_Demand_Rates_Restatement!$C$4:$Z$4)-IF(Init!$R$12="No",('Staging Table'!BH41*Rates_previous!$H$34), 0),SUMPRODUCT('Staging Table'!BY41:CV41,LS_Demand_Rates_Restatement!$C$4:$Z$4)-IF(Init!$R$12="No", 'Staging Table'!DU41*Rates_previous!$H$34, 0))</f>
        <v>6154.5193305662151</v>
      </c>
      <c r="G39" s="116">
        <f>IF(Init!$R$9="Yes",SUMPRODUCT('Staging Table'!AJ41:AU41,LS_Demand_Rates_Restatement!$C$10:$N$10),SUMPRODUCT(LS_Demand_Rates_Restatement!$C$10:$N$10,'Staging Table'!CW41:DH41))*1000</f>
        <v>45515.573684481846</v>
      </c>
      <c r="H39" s="117">
        <f>IF(Init!$R$9="Yes",'Staging Table'!BQ41,'Staging Table'!ED41)*IF(Init!$R$3=2022,Rates_previous!$C$88,Rates_previous!$D$88)</f>
        <v>0</v>
      </c>
      <c r="I39" s="115">
        <v>0</v>
      </c>
      <c r="J39" s="117">
        <f>IF(Init!$R$9="Yes",IF('Staging Table'!D41=1,'Staging Table'!H41*-1,'Staging Table'!H41*SUM(D39:I39)*(-1)),IF('Staging Table'!D41=1,'Staging Table'!BU41*-1,'Staging Table'!BU41*SUM(D39:I39)*(-1)))</f>
        <v>0</v>
      </c>
      <c r="K39" s="115">
        <f>IF(Init!$R$9="Yes",'Staging Table'!K41,'Staging Table'!BX41)*(-1)*Rates_previous!$H$32</f>
        <v>0</v>
      </c>
      <c r="L39" s="115">
        <f>IF('Staging Table'!C41=1,"",SUM(D39:K39))</f>
        <v>624824.60417504795</v>
      </c>
      <c r="M39" s="115">
        <f>IF('Staging Table'!C41=1,"",IF(Init!$R$9="Yes",(RT1SC!$C$3*'Staging Table'!E41*'Staging Table'!$F$2)+SUM('Staging Table'!L41:AI41)-IF(Init!$R$12="No",'Staging Table'!BH41, 0),X39))</f>
        <v>17550.477082220037</v>
      </c>
      <c r="N39" s="69">
        <f>IF('Staging Table'!C41=1,"",IF(M39=0, 0, L39/M39))</f>
        <v>35.601573749128598</v>
      </c>
      <c r="O39" s="115">
        <f>'Staging Table'!BR41*Rates_current!$F$77*100*12</f>
        <v>729556.2378</v>
      </c>
      <c r="P39" s="115">
        <f>'Staging Table'!BS41*Rates_current!$F$78*100*12</f>
        <v>-116855.35740000001</v>
      </c>
      <c r="Q39" s="116">
        <f>SUMPRODUCT('Staging Table'!BY41:CV41, LS_Demand_Rates_Restatement!$C$5:$Z$5)-IF(Init!$R$12="No",('Staging Table'!DU41*Rates_current!$I$46), 0)</f>
        <v>24300.206444600193</v>
      </c>
      <c r="R39" s="116">
        <f>SUMPRODUCT('Staging Table'!CW41:DH41, LS_Demand_Rates_Restatement!$C$11:$N$11)*1000</f>
        <v>50919.674718376074</v>
      </c>
      <c r="S39" s="117">
        <f>'Staging Table'!ED41*IF(Init!$R$15="Yes",IF(Init!$R$6=2024,Rates_current!$C$89,Rates_current!$D$89),Rates_current!$I$45)</f>
        <v>-16.288378241312458</v>
      </c>
      <c r="T39" s="117">
        <v>0</v>
      </c>
      <c r="U39" s="117">
        <f>IF('Staging Table'!D41=1, 'Staging Table'!BU41*-1,SUM(O39:T39)*'Staging Table'!BU41*-1)</f>
        <v>0</v>
      </c>
      <c r="V39" s="115">
        <f>'Staging Table'!BX41*Rates_current!$I$44*-1</f>
        <v>0</v>
      </c>
      <c r="W39" s="115">
        <f>IF('Staging Table'!C41=1,"",SUM(O39:V39))</f>
        <v>687904.47318473493</v>
      </c>
      <c r="X39" s="115">
        <f>IF('Staging Table'!C41=1,"",(RT1SC!$C$4*'Staging Table'!BR41*'Staging Table'!$BS$2)+SUM('Staging Table'!BY41:CV41)-IF(Init!$R$12="No",'Staging Table'!DU41, 0))</f>
        <v>17550.478035629207</v>
      </c>
      <c r="Y39" s="69">
        <f>IF('Staging Table'!C41=1,"",IF(X39=0, 0, W39/X39))</f>
        <v>39.19576844506576</v>
      </c>
      <c r="Z39" s="64">
        <f ca="1">IF('Staging Table'!C41=1,"",(Y39/N39-1)+(RAND()/100000000000000))</f>
        <v>0.10095606225905877</v>
      </c>
      <c r="AA39" s="45">
        <f t="shared" ca="1" si="4"/>
        <v>37</v>
      </c>
      <c r="AC39">
        <f t="shared" si="3"/>
        <v>1.1187308122568322</v>
      </c>
      <c r="AD39" s="119"/>
      <c r="AE39" s="119"/>
      <c r="AG39" s="119"/>
      <c r="AH39" s="119"/>
    </row>
    <row r="40" spans="2:34">
      <c r="B40" s="2">
        <v>10101</v>
      </c>
      <c r="C40" s="3" t="s">
        <v>44</v>
      </c>
      <c r="D40" s="115">
        <f>IF(Init!$R$9="Yes",'Staging Table'!E42,'Staging Table'!BR42)*Rates_previous!$E$76*100*12</f>
        <v>27418928.692319997</v>
      </c>
      <c r="E40" s="115">
        <f>IF(Init!$R$9="Yes",'Staging Table'!F42,'Staging Table'!BS42)*Rates_previous!$E$77*100*12</f>
        <v>-5597820.2781600002</v>
      </c>
      <c r="F40" s="116">
        <f>IF(Init!$R$9="Yes",SUMPRODUCT('Staging Table'!L42:AI42,LS_Demand_Rates_Restatement!$C$4:$Z$4)-IF(Init!$R$12="No",('Staging Table'!BH42*Rates_previous!$H$34), 0),SUMPRODUCT('Staging Table'!BY42:CV42,LS_Demand_Rates_Restatement!$C$4:$Z$4)-IF(Init!$R$12="No", 'Staging Table'!DU42*Rates_previous!$H$34, 0))</f>
        <v>228018.5988210775</v>
      </c>
      <c r="G40" s="116">
        <f>IF(Init!$R$9="Yes",SUMPRODUCT('Staging Table'!AJ42:AU42,LS_Demand_Rates_Restatement!$C$10:$N$10),SUMPRODUCT(LS_Demand_Rates_Restatement!$C$10:$N$10,'Staging Table'!CW42:DH42))*1000</f>
        <v>1225757.332925854</v>
      </c>
      <c r="H40" s="117">
        <f>IF(Init!$R$9="Yes",'Staging Table'!BQ42,'Staging Table'!ED42)*IF(Init!$R$3=2022,Rates_previous!$C$88,Rates_previous!$D$88)</f>
        <v>0</v>
      </c>
      <c r="I40" s="115">
        <v>0</v>
      </c>
      <c r="J40" s="117">
        <f>IF(Init!$R$9="Yes",IF('Staging Table'!D42=1,'Staging Table'!H42*-1,'Staging Table'!H42*SUM(D40:I40)*(-1)),IF('Staging Table'!D42=1,'Staging Table'!BU42*-1,'Staging Table'!BU42*SUM(D40:I40)*(-1)))</f>
        <v>-1185939.0549219872</v>
      </c>
      <c r="K40" s="115">
        <f>IF(Init!$R$9="Yes",'Staging Table'!K42,'Staging Table'!BX42)*(-1)*Rates_previous!$H$32</f>
        <v>0</v>
      </c>
      <c r="L40" s="115">
        <f>IF('Staging Table'!C42=1,"",SUM(D40:K40))</f>
        <v>22088945.29098494</v>
      </c>
      <c r="M40" s="115">
        <f>IF('Staging Table'!C42=1,"",IF(Init!$R$9="Yes",(RT1SC!$C$3*'Staging Table'!E42*'Staging Table'!$F$2)+SUM('Staging Table'!L42:AI42)-IF(Init!$R$12="No",'Staging Table'!BH42, 0),X40))</f>
        <v>667829.95200000005</v>
      </c>
      <c r="N40" s="69">
        <f>IF('Staging Table'!C42=1,"",IF(M40=0, 0, L40/M40))</f>
        <v>33.075703215816439</v>
      </c>
      <c r="O40" s="115">
        <f>'Staging Table'!BR42*Rates_current!$F$77*100*12</f>
        <v>27854700.603599995</v>
      </c>
      <c r="P40" s="115">
        <f>'Staging Table'!BS42*Rates_current!$F$78*100*12</f>
        <v>-4461576.5388000002</v>
      </c>
      <c r="Q40" s="116">
        <f>SUMPRODUCT('Staging Table'!BY42:CV42, LS_Demand_Rates_Restatement!$C$5:$Z$5)-IF(Init!$R$12="No",('Staging Table'!DU42*Rates_current!$I$46), 0)</f>
        <v>818673.42042516556</v>
      </c>
      <c r="R40" s="116">
        <f>SUMPRODUCT('Staging Table'!CW42:DH42, LS_Demand_Rates_Restatement!$C$11:$N$11)*1000</f>
        <v>1287864.3739850961</v>
      </c>
      <c r="S40" s="117">
        <f>'Staging Table'!ED42*IF(Init!$R$15="Yes",IF(Init!$R$6=2024,Rates_current!$C$89,Rates_current!$D$89),Rates_current!$I$45)</f>
        <v>0</v>
      </c>
      <c r="T40" s="117">
        <v>0</v>
      </c>
      <c r="U40" s="117">
        <f>IF('Staging Table'!D42=1, 'Staging Table'!BU42*-1,SUM(O40:T40)*'Staging Table'!BU42*-1)</f>
        <v>-1347947.8879647658</v>
      </c>
      <c r="V40" s="115">
        <f>'Staging Table'!BX42*Rates_current!$I$44*-1</f>
        <v>0</v>
      </c>
      <c r="W40" s="115">
        <f>IF('Staging Table'!C42=1,"",SUM(O40:V40))</f>
        <v>24151713.97124549</v>
      </c>
      <c r="X40" s="115">
        <f>IF('Staging Table'!C42=1,"",(RT1SC!$C$4*'Staging Table'!BR42*'Staging Table'!$BS$2)+SUM('Staging Table'!BY42:CV42)-IF(Init!$R$12="No",'Staging Table'!DU42, 0))</f>
        <v>669837.91354066867</v>
      </c>
      <c r="Y40" s="69">
        <f>IF('Staging Table'!C42=1,"",IF(X40=0, 0, W40/X40))</f>
        <v>36.056056969936115</v>
      </c>
      <c r="Z40" s="64">
        <f ca="1">IF('Staging Table'!C42=1,"",(Y40/N40-1)+(RAND()/100000000000000))</f>
        <v>9.0107041252405748E-2</v>
      </c>
      <c r="AA40" s="45">
        <f t="shared" ca="1" si="4"/>
        <v>76</v>
      </c>
      <c r="AC40">
        <f t="shared" si="3"/>
        <v>1.0506683006423416</v>
      </c>
      <c r="AD40" s="119"/>
      <c r="AE40" s="119"/>
      <c r="AG40" s="119"/>
      <c r="AH40" s="119"/>
    </row>
    <row r="41" spans="2:34">
      <c r="B41" s="2">
        <v>10103</v>
      </c>
      <c r="C41" s="3" t="s">
        <v>45</v>
      </c>
      <c r="D41" s="115">
        <f>IF(Init!$R$9="Yes",'Staging Table'!E43,'Staging Table'!BR43)*Rates_previous!$E$76*100*12</f>
        <v>114862756.48272</v>
      </c>
      <c r="E41" s="115">
        <f>IF(Init!$R$9="Yes",'Staging Table'!F43,'Staging Table'!BS43)*Rates_previous!$E$77*100*12</f>
        <v>-23450262.213359997</v>
      </c>
      <c r="F41" s="116">
        <f>IF(Init!$R$9="Yes",SUMPRODUCT('Staging Table'!L43:AI43,LS_Demand_Rates_Restatement!$C$4:$Z$4)-IF(Init!$R$12="No",('Staging Table'!BH43*Rates_previous!$H$34), 0),SUMPRODUCT('Staging Table'!BY43:CV43,LS_Demand_Rates_Restatement!$C$4:$Z$4)-IF(Init!$R$12="No", 'Staging Table'!DU43*Rates_previous!$H$34, 0))</f>
        <v>1123543.9691726509</v>
      </c>
      <c r="G41" s="116">
        <f>IF(Init!$R$9="Yes",SUMPRODUCT('Staging Table'!AJ43:AU43,LS_Demand_Rates_Restatement!$C$10:$N$10),SUMPRODUCT(LS_Demand_Rates_Restatement!$C$10:$N$10,'Staging Table'!CW43:DH43))*1000</f>
        <v>11250757.943974812</v>
      </c>
      <c r="H41" s="117">
        <f>IF(Init!$R$9="Yes",'Staging Table'!BQ43,'Staging Table'!ED43)*IF(Init!$R$3=2022,Rates_previous!$C$88,Rates_previous!$D$88)</f>
        <v>0</v>
      </c>
      <c r="I41" s="115">
        <v>0</v>
      </c>
      <c r="J41" s="117">
        <f>IF(Init!$R$9="Yes",IF('Staging Table'!D43=1,'Staging Table'!H43*-1,'Staging Table'!H43*SUM(D41:I41)*(-1)),IF('Staging Table'!D43=1,'Staging Table'!BU43*-1,'Staging Table'!BU43*SUM(D41:I41)*(-1)))</f>
        <v>0</v>
      </c>
      <c r="K41" s="115">
        <f>IF(Init!$R$9="Yes",'Staging Table'!K43,'Staging Table'!BX43)*(-1)*Rates_previous!$H$32</f>
        <v>0</v>
      </c>
      <c r="L41" s="115">
        <f>IF('Staging Table'!C43=1,"",SUM(D41:K41))</f>
        <v>103786796.18250747</v>
      </c>
      <c r="M41" s="115">
        <f>IF('Staging Table'!C43=1,"",IF(Init!$R$9="Yes",(RT1SC!$C$3*'Staging Table'!E43*'Staging Table'!$F$2)+SUM('Staging Table'!L43:AI43)-IF(Init!$R$12="No",'Staging Table'!BH43, 0),X41))</f>
        <v>2797651.2960000001</v>
      </c>
      <c r="N41" s="69">
        <f>IF('Staging Table'!C43=1,"",IF(M41=0, 0, L41/M41))</f>
        <v>37.097831431279083</v>
      </c>
      <c r="O41" s="115">
        <f>'Staging Table'!BR43*Rates_current!$F$77*100*12</f>
        <v>116688078.6708</v>
      </c>
      <c r="P41" s="115">
        <f>'Staging Table'!BS43*Rates_current!$F$78*100*12</f>
        <v>-18690302.996399999</v>
      </c>
      <c r="Q41" s="116">
        <f>SUMPRODUCT('Staging Table'!BY43:CV43, LS_Demand_Rates_Restatement!$C$5:$Z$5)-IF(Init!$R$12="No",('Staging Table'!DU43*Rates_current!$I$46), 0)</f>
        <v>1378160.1640383939</v>
      </c>
      <c r="R41" s="116">
        <f>SUMPRODUCT('Staging Table'!CW43:DH43, LS_Demand_Rates_Restatement!$C$11:$N$11)*1000</f>
        <v>12233202.905460317</v>
      </c>
      <c r="S41" s="117">
        <f>'Staging Table'!ED43*IF(Init!$R$15="Yes",IF(Init!$R$6=2024,Rates_current!$C$89,Rates_current!$D$89),Rates_current!$I$45)</f>
        <v>0</v>
      </c>
      <c r="T41" s="117">
        <v>0</v>
      </c>
      <c r="U41" s="117">
        <f>IF('Staging Table'!D43=1, 'Staging Table'!BU43*-1,SUM(O41:T41)*'Staging Table'!BU43*-1)</f>
        <v>0</v>
      </c>
      <c r="V41" s="115">
        <f>'Staging Table'!BX43*Rates_current!$I$44*-1</f>
        <v>0</v>
      </c>
      <c r="W41" s="115">
        <f>IF('Staging Table'!C43=1,"",SUM(O41:V41))</f>
        <v>111609138.7438987</v>
      </c>
      <c r="X41" s="115">
        <f>IF('Staging Table'!C43=1,"",(RT1SC!$C$4*'Staging Table'!BR43*'Staging Table'!$BS$2)+SUM('Staging Table'!BY43:CV43)-IF(Init!$R$12="No",'Staging Table'!DU43, 0))</f>
        <v>2806082.04</v>
      </c>
      <c r="Y41" s="69">
        <f>IF('Staging Table'!C43=1,"",IF(X41=0, 0, W41/X41))</f>
        <v>39.774011291522577</v>
      </c>
      <c r="Z41" s="64">
        <f ca="1">IF('Staging Table'!C43=1,"",(Y41/N41-1)+(RAND()/100000000000000))</f>
        <v>7.2138444674352029E-2</v>
      </c>
      <c r="AA41" s="45">
        <f t="shared" ca="1" si="4"/>
        <v>107</v>
      </c>
      <c r="AC41">
        <f t="shared" si="3"/>
        <v>1.0873225578559034</v>
      </c>
      <c r="AD41" s="119"/>
      <c r="AE41" s="119"/>
      <c r="AG41" s="119"/>
      <c r="AH41" s="119"/>
    </row>
    <row r="42" spans="2:34">
      <c r="B42" s="2">
        <v>10105</v>
      </c>
      <c r="C42" s="3" t="s">
        <v>46</v>
      </c>
      <c r="D42" s="115">
        <f>IF(Init!$R$9="Yes",'Staging Table'!E44,'Staging Table'!BR44)*Rates_previous!$E$76*100*12</f>
        <v>31136449.751279995</v>
      </c>
      <c r="E42" s="115">
        <f>IF(Init!$R$9="Yes",'Staging Table'!F44,'Staging Table'!BS44)*Rates_previous!$E$77*100*12</f>
        <v>-2669372.8773599998</v>
      </c>
      <c r="F42" s="116">
        <f>IF(Init!$R$9="Yes",SUMPRODUCT('Staging Table'!L44:AI44,LS_Demand_Rates_Restatement!$C$4:$Z$4)-IF(Init!$R$12="No",('Staging Table'!BH44*Rates_previous!$H$34), 0),SUMPRODUCT('Staging Table'!BY44:CV44,LS_Demand_Rates_Restatement!$C$4:$Z$4)-IF(Init!$R$12="No", 'Staging Table'!DU44*Rates_previous!$H$34, 0))</f>
        <v>-663916.56717588601</v>
      </c>
      <c r="G42" s="116">
        <f>IF(Init!$R$9="Yes",SUMPRODUCT('Staging Table'!AJ44:AU44,LS_Demand_Rates_Restatement!$C$10:$N$10),SUMPRODUCT(LS_Demand_Rates_Restatement!$C$10:$N$10,'Staging Table'!CW44:DH44))*1000</f>
        <v>0</v>
      </c>
      <c r="H42" s="117">
        <f>IF(Init!$R$9="Yes",'Staging Table'!BQ44,'Staging Table'!ED44)*IF(Init!$R$3=2022,Rates_previous!$C$88,Rates_previous!$D$88)</f>
        <v>0</v>
      </c>
      <c r="I42" s="115">
        <v>0</v>
      </c>
      <c r="J42" s="117">
        <f>IF(Init!$R$9="Yes",IF('Staging Table'!D44=1,'Staging Table'!H44*-1,'Staging Table'!H44*SUM(D42:I42)*(-1)),IF('Staging Table'!D44=1,'Staging Table'!BU44*-1,'Staging Table'!BU44*SUM(D42:I42)*(-1)))</f>
        <v>0</v>
      </c>
      <c r="K42" s="115">
        <f>IF(Init!$R$9="Yes",'Staging Table'!K44,'Staging Table'!BX44)*(-1)*Rates_previous!$H$32</f>
        <v>0</v>
      </c>
      <c r="L42" s="115">
        <f>IF('Staging Table'!C44=1,"",SUM(D42:K42))</f>
        <v>27803160.306744106</v>
      </c>
      <c r="M42" s="115">
        <f>IF('Staging Table'!C44=1,"",IF(Init!$R$9="Yes",(RT1SC!$C$3*'Staging Table'!E44*'Staging Table'!$F$2)+SUM('Staging Table'!L44:AI44)-IF(Init!$R$12="No",'Staging Table'!BH44, 0),X42))</f>
        <v>758370.18552595703</v>
      </c>
      <c r="N42" s="69">
        <f>IF('Staging Table'!C44=1,"",IF(M42=0, 0, L42/M42))</f>
        <v>36.661726472621829</v>
      </c>
      <c r="O42" s="115">
        <f>'Staging Table'!BR44*Rates_current!$F$77*100*12</f>
        <v>31536149.634599999</v>
      </c>
      <c r="P42" s="115">
        <f>'Staging Table'!BS44*Rates_current!$F$78*100*12</f>
        <v>-2045321.3531999998</v>
      </c>
      <c r="Q42" s="116">
        <f>SUMPRODUCT('Staging Table'!BY44:CV44, LS_Demand_Rates_Restatement!$C$5:$Z$5)-IF(Init!$R$12="No",('Staging Table'!DU44*Rates_current!$I$46), 0)</f>
        <v>339068.76618983119</v>
      </c>
      <c r="R42" s="116">
        <f>SUMPRODUCT('Staging Table'!CW44:DH44, LS_Demand_Rates_Restatement!$C$11:$N$11)*1000</f>
        <v>0</v>
      </c>
      <c r="S42" s="117">
        <f>'Staging Table'!ED44*IF(Init!$R$15="Yes",IF(Init!$R$6=2024,Rates_current!$C$89,Rates_current!$D$89),Rates_current!$I$45)</f>
        <v>0</v>
      </c>
      <c r="T42" s="117">
        <v>0</v>
      </c>
      <c r="U42" s="117">
        <f>IF('Staging Table'!D44=1, 'Staging Table'!BU44*-1,SUM(O42:T42)*'Staging Table'!BU44*-1)</f>
        <v>0</v>
      </c>
      <c r="V42" s="115">
        <f>'Staging Table'!BX44*Rates_current!$I$44*-1</f>
        <v>0</v>
      </c>
      <c r="W42" s="115">
        <f>IF('Staging Table'!C44=1,"",SUM(O42:V42))</f>
        <v>29829897.047589831</v>
      </c>
      <c r="X42" s="115">
        <f>IF('Staging Table'!C44=1,"",(RT1SC!$C$4*'Staging Table'!BR44*'Staging Table'!$BS$2)+SUM('Staging Table'!BY44:CV44)-IF(Init!$R$12="No",'Staging Table'!DU44, 0))</f>
        <v>759429.86737221188</v>
      </c>
      <c r="Y42" s="69">
        <f>IF('Staging Table'!C44=1,"",IF(X42=0, 0, W42/X42))</f>
        <v>39.279330889115002</v>
      </c>
      <c r="Z42" s="64">
        <f ca="1">IF('Staging Table'!C44=1,"",(Y42/N42-1)+(RAND()/100000000000000))</f>
        <v>7.1398831106555344E-2</v>
      </c>
      <c r="AA42" s="45">
        <f t="shared" ca="1" si="4"/>
        <v>109</v>
      </c>
      <c r="AC42" t="str">
        <f t="shared" si="3"/>
        <v/>
      </c>
      <c r="AD42" s="119"/>
      <c r="AE42" s="119"/>
      <c r="AG42" s="119"/>
      <c r="AH42" s="119"/>
    </row>
    <row r="43" spans="2:34">
      <c r="B43" s="2">
        <v>10106</v>
      </c>
      <c r="C43" s="3" t="s">
        <v>47</v>
      </c>
      <c r="D43" s="115">
        <f>IF(Init!$R$9="Yes",'Staging Table'!E45,'Staging Table'!BR45)*Rates_previous!$E$76*100*12</f>
        <v>8611854.3863999993</v>
      </c>
      <c r="E43" s="115">
        <f>IF(Init!$R$9="Yes",'Staging Table'!F45,'Staging Table'!BS45)*Rates_previous!$E$77*100*12</f>
        <v>-1758187.3332000002</v>
      </c>
      <c r="F43" s="116">
        <f>IF(Init!$R$9="Yes",SUMPRODUCT('Staging Table'!L45:AI45,LS_Demand_Rates_Restatement!$C$4:$Z$4)-IF(Init!$R$12="No",('Staging Table'!BH45*Rates_previous!$H$34), 0),SUMPRODUCT('Staging Table'!BY45:CV45,LS_Demand_Rates_Restatement!$C$4:$Z$4)-IF(Init!$R$12="No", 'Staging Table'!DU45*Rates_previous!$H$34, 0))</f>
        <v>0</v>
      </c>
      <c r="G43" s="116">
        <f>IF(Init!$R$9="Yes",SUMPRODUCT('Staging Table'!AJ45:AU45,LS_Demand_Rates_Restatement!$C$10:$N$10),SUMPRODUCT(LS_Demand_Rates_Restatement!$C$10:$N$10,'Staging Table'!CW45:DH45))*1000</f>
        <v>0</v>
      </c>
      <c r="H43" s="117">
        <f>IF(Init!$R$9="Yes",'Staging Table'!BQ45,'Staging Table'!ED45)*IF(Init!$R$3=2022,Rates_previous!$C$88,Rates_previous!$D$88)</f>
        <v>0</v>
      </c>
      <c r="I43" s="115">
        <v>0</v>
      </c>
      <c r="J43" s="117">
        <f>IF(Init!$R$9="Yes",IF('Staging Table'!D45=1,'Staging Table'!H45*-1,'Staging Table'!H45*SUM(D43:I43)*(-1)),IF('Staging Table'!D45=1,'Staging Table'!BU45*-1,'Staging Table'!BU45*SUM(D43:I43)*(-1)))</f>
        <v>-484799.57366556884</v>
      </c>
      <c r="K43" s="115">
        <f>IF(Init!$R$9="Yes",'Staging Table'!K45,'Staging Table'!BX45)*(-1)*Rates_previous!$H$32</f>
        <v>0</v>
      </c>
      <c r="L43" s="115" t="str">
        <f>IF('Staging Table'!C45=1,"",SUM(D43:K43))</f>
        <v/>
      </c>
      <c r="M43" s="115" t="str">
        <f>IF('Staging Table'!C45=1,"",IF(Init!$R$9="Yes",(RT1SC!$C$3*'Staging Table'!E45*'Staging Table'!$F$2)+SUM('Staging Table'!L45:AI45)-IF(Init!$R$12="No",'Staging Table'!BH45, 0),X43))</f>
        <v/>
      </c>
      <c r="N43" s="69" t="str">
        <f>IF('Staging Table'!C45=1,"",IF(M43=0, 0, L43/M43))</f>
        <v/>
      </c>
      <c r="O43" s="115">
        <f>'Staging Table'!BR45*Rates_current!$F$77*100*12</f>
        <v>8748459.2520000003</v>
      </c>
      <c r="P43" s="115">
        <f>'Staging Table'!BS45*Rates_current!$F$78*100*12</f>
        <v>-1401268.7159999998</v>
      </c>
      <c r="Q43" s="116">
        <f>SUMPRODUCT('Staging Table'!BY45:CV45, LS_Demand_Rates_Restatement!$C$5:$Z$5)-IF(Init!$R$12="No",('Staging Table'!DU45*Rates_current!$I$46), 0)</f>
        <v>0</v>
      </c>
      <c r="R43" s="116">
        <f>SUMPRODUCT('Staging Table'!CW45:DH45, LS_Demand_Rates_Restatement!$C$11:$N$11)*1000</f>
        <v>0</v>
      </c>
      <c r="S43" s="117">
        <f>'Staging Table'!ED45*IF(Init!$R$15="Yes",IF(Init!$R$6=2024,Rates_current!$C$89,Rates_current!$D$89),Rates_current!$I$45)</f>
        <v>0</v>
      </c>
      <c r="T43" s="117">
        <v>0</v>
      </c>
      <c r="U43" s="117">
        <f>IF('Staging Table'!D45=1, 'Staging Table'!BU45*-1,SUM(O43:T43)*'Staging Table'!BU45*-1)</f>
        <v>-587093.0212404565</v>
      </c>
      <c r="V43" s="115">
        <f>'Staging Table'!BX45*Rates_current!$I$44*-1</f>
        <v>0</v>
      </c>
      <c r="W43" s="115" t="str">
        <f>IF('Staging Table'!C45=1,"",SUM(O43:V43))</f>
        <v/>
      </c>
      <c r="X43" s="115" t="str">
        <f>IF('Staging Table'!C45=1,"",(RT1SC!$C$4*'Staging Table'!BR45*'Staging Table'!$BS$2)+SUM('Staging Table'!BY45:CV45)-IF(Init!$R$12="No",'Staging Table'!DU45, 0))</f>
        <v/>
      </c>
      <c r="Y43" s="69" t="str">
        <f>IF('Staging Table'!C45=1,"",IF(X43=0, 0, W43/X43))</f>
        <v/>
      </c>
      <c r="Z43" s="64" t="str">
        <f ca="1">IF('Staging Table'!C45=1,"",(Y43/N43-1)+(RAND()/100000000000000))</f>
        <v/>
      </c>
      <c r="AA43" s="45" t="str">
        <f t="shared" ca="1" si="4"/>
        <v/>
      </c>
      <c r="AC43" t="str">
        <f t="shared" si="3"/>
        <v/>
      </c>
      <c r="AD43" s="119"/>
      <c r="AE43" s="119"/>
      <c r="AG43" s="119"/>
      <c r="AH43" s="119"/>
    </row>
    <row r="44" spans="2:34">
      <c r="B44" s="2">
        <v>10109</v>
      </c>
      <c r="C44" s="3" t="s">
        <v>48</v>
      </c>
      <c r="D44" s="115">
        <f>IF(Init!$R$9="Yes",'Staging Table'!E46,'Staging Table'!BR46)*Rates_previous!$E$76*100*12</f>
        <v>4370198.4813599996</v>
      </c>
      <c r="E44" s="115">
        <f>IF(Init!$R$9="Yes",'Staging Table'!F46,'Staging Table'!BS46)*Rates_previous!$E$77*100*12</f>
        <v>-892215.22668000008</v>
      </c>
      <c r="F44" s="116">
        <f>IF(Init!$R$9="Yes",SUMPRODUCT('Staging Table'!L46:AI46,LS_Demand_Rates_Restatement!$C$4:$Z$4)-IF(Init!$R$12="No",('Staging Table'!BH46*Rates_previous!$H$34), 0),SUMPRODUCT('Staging Table'!BY46:CV46,LS_Demand_Rates_Restatement!$C$4:$Z$4)-IF(Init!$R$12="No", 'Staging Table'!DU46*Rates_previous!$H$34, 0))</f>
        <v>-182652.76599777956</v>
      </c>
      <c r="G44" s="116">
        <f>IF(Init!$R$9="Yes",SUMPRODUCT('Staging Table'!AJ46:AU46,LS_Demand_Rates_Restatement!$C$10:$N$10),SUMPRODUCT(LS_Demand_Rates_Restatement!$C$10:$N$10,'Staging Table'!CW46:DH46))*1000</f>
        <v>522800.11697259615</v>
      </c>
      <c r="H44" s="117">
        <f>IF(Init!$R$9="Yes",'Staging Table'!BQ46,'Staging Table'!ED46)*IF(Init!$R$3=2022,Rates_previous!$C$88,Rates_previous!$D$88)</f>
        <v>0</v>
      </c>
      <c r="I44" s="115">
        <v>0</v>
      </c>
      <c r="J44" s="117">
        <f>IF(Init!$R$9="Yes",IF('Staging Table'!D46=1,'Staging Table'!H46*-1,'Staging Table'!H46*SUM(D44:I44)*(-1)),IF('Staging Table'!D46=1,'Staging Table'!BU46*-1,'Staging Table'!BU46*SUM(D44:I44)*(-1)))</f>
        <v>-327172.01339328667</v>
      </c>
      <c r="K44" s="115">
        <f>IF(Init!$R$9="Yes",'Staging Table'!K46,'Staging Table'!BX46)*(-1)*Rates_previous!$H$32</f>
        <v>-244130.87595000005</v>
      </c>
      <c r="L44" s="115">
        <f>IF('Staging Table'!C46=1,"",SUM(D44:K44))</f>
        <v>3246827.7163115293</v>
      </c>
      <c r="M44" s="115">
        <f>IF('Staging Table'!C46=1,"",IF(Init!$R$9="Yes",(RT1SC!$C$3*'Staging Table'!E46*'Staging Table'!$F$2)+SUM('Staging Table'!L46:AI46)-IF(Init!$R$12="No",'Staging Table'!BH46, 0),X44))</f>
        <v>106444.512</v>
      </c>
      <c r="N44" s="69">
        <f>IF('Staging Table'!C46=1,"",IF(M44=0, 0, L44/M44))</f>
        <v>30.502537475220226</v>
      </c>
      <c r="O44" s="115">
        <f>'Staging Table'!BR46*Rates_current!$F$77*100*12</f>
        <v>4439752.4261999996</v>
      </c>
      <c r="P44" s="115">
        <f>'Staging Table'!BS46*Rates_current!$F$78*100*12</f>
        <v>-711129.35459999996</v>
      </c>
      <c r="Q44" s="116">
        <f>SUMPRODUCT('Staging Table'!BY46:CV46, LS_Demand_Rates_Restatement!$C$5:$Z$5)-IF(Init!$R$12="No",('Staging Table'!DU46*Rates_current!$I$46), 0)</f>
        <v>-135973.19323283993</v>
      </c>
      <c r="R44" s="116">
        <f>SUMPRODUCT('Staging Table'!CW46:DH46, LS_Demand_Rates_Restatement!$C$11:$N$11)*1000</f>
        <v>609500.00306534895</v>
      </c>
      <c r="S44" s="117">
        <f>'Staging Table'!ED46*IF(Init!$R$15="Yes",IF(Init!$R$6=2024,Rates_current!$C$89,Rates_current!$D$89),Rates_current!$I$45)</f>
        <v>0</v>
      </c>
      <c r="T44" s="117">
        <v>0</v>
      </c>
      <c r="U44" s="117">
        <f>IF('Staging Table'!D46=1, 'Staging Table'!BU46*-1,SUM(O44:T44)*'Staging Table'!BU46*-1)</f>
        <v>-685876.50341566559</v>
      </c>
      <c r="V44" s="115">
        <f>'Staging Table'!BX46*Rates_current!$I$44*-1</f>
        <v>-252360.00660000005</v>
      </c>
      <c r="W44" s="115">
        <f>IF('Staging Table'!C46=1,"",SUM(O44:V44))</f>
        <v>3263913.3714168426</v>
      </c>
      <c r="X44" s="115">
        <f>IF('Staging Table'!C46=1,"",(RT1SC!$C$4*'Staging Table'!BR46*'Staging Table'!$BS$2)+SUM('Staging Table'!BY46:CV46)-IF(Init!$R$12="No",'Staging Table'!DU46, 0))</f>
        <v>106765.38830237537</v>
      </c>
      <c r="Y44" s="69">
        <f>IF('Staging Table'!C46=1,"",IF(X44=0, 0, W44/X44))</f>
        <v>30.570894025814408</v>
      </c>
      <c r="Z44" s="64">
        <f ca="1">IF('Staging Table'!C46=1,"",(Y44/N44-1)+(RAND()/100000000000000))</f>
        <v>2.2410119371162216E-3</v>
      </c>
      <c r="AA44" s="45">
        <f t="shared" ca="1" si="4"/>
        <v>116</v>
      </c>
      <c r="AC44">
        <f t="shared" si="3"/>
        <v>1.1658375414963753</v>
      </c>
      <c r="AD44" s="119"/>
      <c r="AE44" s="119"/>
      <c r="AG44" s="119"/>
      <c r="AH44" s="119"/>
    </row>
    <row r="45" spans="2:34">
      <c r="B45" s="2">
        <v>10111</v>
      </c>
      <c r="C45" s="3" t="s">
        <v>49</v>
      </c>
      <c r="D45" s="115">
        <f>IF(Init!$R$9="Yes",'Staging Table'!E47,'Staging Table'!BR47)*Rates_previous!$E$76*100*12</f>
        <v>1131224.4943200001</v>
      </c>
      <c r="E45" s="115">
        <f>IF(Init!$R$9="Yes",'Staging Table'!F47,'Staging Table'!BS47)*Rates_previous!$E$77*100*12</f>
        <v>-230949.62916000001</v>
      </c>
      <c r="F45" s="116">
        <f>IF(Init!$R$9="Yes",SUMPRODUCT('Staging Table'!L47:AI47,LS_Demand_Rates_Restatement!$C$4:$Z$4)-IF(Init!$R$12="No",('Staging Table'!BH47*Rates_previous!$H$34), 0),SUMPRODUCT('Staging Table'!BY47:CV47,LS_Demand_Rates_Restatement!$C$4:$Z$4)-IF(Init!$R$12="No", 'Staging Table'!DU47*Rates_previous!$H$34, 0))</f>
        <v>35732.081428630627</v>
      </c>
      <c r="G45" s="116">
        <f>IF(Init!$R$9="Yes",SUMPRODUCT('Staging Table'!AJ47:AU47,LS_Demand_Rates_Restatement!$C$10:$N$10),SUMPRODUCT(LS_Demand_Rates_Restatement!$C$10:$N$10,'Staging Table'!CW47:DH47))*1000</f>
        <v>81413.357709829055</v>
      </c>
      <c r="H45" s="117">
        <f>IF(Init!$R$9="Yes",'Staging Table'!BQ47,'Staging Table'!ED47)*IF(Init!$R$3=2022,Rates_previous!$C$88,Rates_previous!$D$88)</f>
        <v>0</v>
      </c>
      <c r="I45" s="115">
        <v>0</v>
      </c>
      <c r="J45" s="117">
        <f>IF(Init!$R$9="Yes",IF('Staging Table'!D47=1,'Staging Table'!H47*-1,'Staging Table'!H47*SUM(D45:I45)*(-1)),IF('Staging Table'!D47=1,'Staging Table'!BU47*-1,'Staging Table'!BU47*SUM(D45:I45)*(-1)))</f>
        <v>-71219.421300892194</v>
      </c>
      <c r="K45" s="115">
        <f>IF(Init!$R$9="Yes",'Staging Table'!K47,'Staging Table'!BX47)*(-1)*Rates_previous!$H$32</f>
        <v>-60483.898929999996</v>
      </c>
      <c r="L45" s="115">
        <f>IF('Staging Table'!C47=1,"",SUM(D45:K45))</f>
        <v>885716.98406756751</v>
      </c>
      <c r="M45" s="115">
        <f>IF('Staging Table'!C47=1,"",IF(Init!$R$9="Yes",(RT1SC!$C$3*'Staging Table'!E47*'Staging Table'!$F$2)+SUM('Staging Table'!L47:AI47)-IF(Init!$R$12="No",'Staging Table'!BH47, 0),X45))</f>
        <v>28176.786129146039</v>
      </c>
      <c r="N45" s="69">
        <f>IF('Staging Table'!C47=1,"",IF(M45=0, 0, L45/M45))</f>
        <v>31.434279978133585</v>
      </c>
      <c r="O45" s="115">
        <f>'Staging Table'!BR47*Rates_current!$F$77*100*12</f>
        <v>1171899.885</v>
      </c>
      <c r="P45" s="115">
        <f>'Staging Table'!BS47*Rates_current!$F$78*100*12</f>
        <v>-187706.95500000002</v>
      </c>
      <c r="Q45" s="116">
        <f>SUMPRODUCT('Staging Table'!BY47:CV47, LS_Demand_Rates_Restatement!$C$5:$Z$5)-IF(Init!$R$12="No",('Staging Table'!DU47*Rates_current!$I$46), 0)</f>
        <v>41711.705456746931</v>
      </c>
      <c r="R45" s="116">
        <f>SUMPRODUCT('Staging Table'!CW47:DH47, LS_Demand_Rates_Restatement!$C$11:$N$11)*1000</f>
        <v>91318.616042984329</v>
      </c>
      <c r="S45" s="117">
        <f>'Staging Table'!ED47*IF(Init!$R$15="Yes",IF(Init!$R$6=2024,Rates_current!$C$89,Rates_current!$D$89),Rates_current!$I$45)</f>
        <v>16.033465423524177</v>
      </c>
      <c r="T45" s="117">
        <v>0</v>
      </c>
      <c r="U45" s="117">
        <f>IF('Staging Table'!D47=1, 'Staging Table'!BU47*-1,SUM(O45:T45)*'Staging Table'!BU47*-1)</f>
        <v>-78206.749947560849</v>
      </c>
      <c r="V45" s="115">
        <f>'Staging Table'!BX47*Rates_current!$I$44*-1</f>
        <v>-62522.68204</v>
      </c>
      <c r="W45" s="115">
        <f>IF('Staging Table'!C47=1,"",SUM(O45:V45))</f>
        <v>976509.85297759413</v>
      </c>
      <c r="X45" s="115">
        <f>IF('Staging Table'!C47=1,"",(RT1SC!$C$4*'Staging Table'!BR47*'Staging Table'!$BS$2)+SUM('Staging Table'!BY47:CV47)-IF(Init!$R$12="No",'Staging Table'!DU47, 0))</f>
        <v>28176.78766355064</v>
      </c>
      <c r="Y45" s="69">
        <f>IF('Staging Table'!C47=1,"",IF(X45=0, 0, W45/X45))</f>
        <v>34.656535891804396</v>
      </c>
      <c r="Z45" s="64">
        <f ca="1">IF('Staging Table'!C47=1,"",(Y45/N45-1)+(RAND()/100000000000000))</f>
        <v>0.10250770547035076</v>
      </c>
      <c r="AA45" s="45">
        <f t="shared" ca="1" si="4"/>
        <v>30</v>
      </c>
      <c r="AC45">
        <f t="shared" si="3"/>
        <v>1.1216662549216958</v>
      </c>
      <c r="AD45" s="119"/>
      <c r="AE45" s="119"/>
      <c r="AG45" s="119"/>
      <c r="AH45" s="119"/>
    </row>
    <row r="46" spans="2:34">
      <c r="B46" s="2">
        <v>10112</v>
      </c>
      <c r="C46" s="3" t="s">
        <v>50</v>
      </c>
      <c r="D46" s="115">
        <f>IF(Init!$R$9="Yes",'Staging Table'!E48,'Staging Table'!BR48)*Rates_previous!$E$76*100*12</f>
        <v>21007494.028079998</v>
      </c>
      <c r="E46" s="115">
        <f>IF(Init!$R$9="Yes",'Staging Table'!F48,'Staging Table'!BS48)*Rates_previous!$E$77*100*12</f>
        <v>-4288868.3720399998</v>
      </c>
      <c r="F46" s="116">
        <f>IF(Init!$R$9="Yes",SUMPRODUCT('Staging Table'!L48:AI48,LS_Demand_Rates_Restatement!$C$4:$Z$4)-IF(Init!$R$12="No",('Staging Table'!BH48*Rates_previous!$H$34), 0),SUMPRODUCT('Staging Table'!BY48:CV48,LS_Demand_Rates_Restatement!$C$4:$Z$4)-IF(Init!$R$12="No", 'Staging Table'!DU48*Rates_previous!$H$34, 0))</f>
        <v>77190.122134790523</v>
      </c>
      <c r="G46" s="116">
        <f>IF(Init!$R$9="Yes",SUMPRODUCT('Staging Table'!AJ48:AU48,LS_Demand_Rates_Restatement!$C$10:$N$10),SUMPRODUCT(LS_Demand_Rates_Restatement!$C$10:$N$10,'Staging Table'!CW48:DH48))*1000</f>
        <v>1616899.5810508009</v>
      </c>
      <c r="H46" s="117">
        <f>IF(Init!$R$9="Yes",'Staging Table'!BQ48,'Staging Table'!ED48)*IF(Init!$R$3=2022,Rates_previous!$C$88,Rates_previous!$D$88)</f>
        <v>0</v>
      </c>
      <c r="I46" s="115">
        <v>0</v>
      </c>
      <c r="J46" s="117">
        <f>IF(Init!$R$9="Yes",IF('Staging Table'!D48=1,'Staging Table'!H48*-1,'Staging Table'!H48*SUM(D46:I46)*(-1)),IF('Staging Table'!D48=1,'Staging Table'!BU48*-1,'Staging Table'!BU48*SUM(D46:I46)*(-1)))</f>
        <v>0</v>
      </c>
      <c r="K46" s="115">
        <f>IF(Init!$R$9="Yes",'Staging Table'!K48,'Staging Table'!BX48)*(-1)*Rates_previous!$H$32</f>
        <v>0</v>
      </c>
      <c r="L46" s="115">
        <f>IF('Staging Table'!C48=1,"",SUM(D46:K46))</f>
        <v>18412715.35922559</v>
      </c>
      <c r="M46" s="115">
        <f>IF('Staging Table'!C48=1,"",IF(Init!$R$9="Yes",(RT1SC!$C$3*'Staging Table'!E48*'Staging Table'!$F$2)+SUM('Staging Table'!L48:AI48)-IF(Init!$R$12="No",'Staging Table'!BH48, 0),X46))</f>
        <v>511668</v>
      </c>
      <c r="N46" s="69">
        <f>IF('Staging Table'!C48=1,"",IF(M46=0, 0, L46/M46))</f>
        <v>35.985669143322603</v>
      </c>
      <c r="O46" s="115">
        <f>'Staging Table'!BR48*Rates_current!$F$77*100*12</f>
        <v>21341527.077</v>
      </c>
      <c r="P46" s="115">
        <f>'Staging Table'!BS48*Rates_current!$F$78*100*12</f>
        <v>-3418340.6909999996</v>
      </c>
      <c r="Q46" s="116">
        <f>SUMPRODUCT('Staging Table'!BY48:CV48, LS_Demand_Rates_Restatement!$C$5:$Z$5)-IF(Init!$R$12="No",('Staging Table'!DU48*Rates_current!$I$46), 0)</f>
        <v>526252.01015886932</v>
      </c>
      <c r="R46" s="116">
        <f>SUMPRODUCT('Staging Table'!CW48:DH48, LS_Demand_Rates_Restatement!$C$11:$N$11)*1000</f>
        <v>1767215.6802262729</v>
      </c>
      <c r="S46" s="117">
        <f>'Staging Table'!ED48*IF(Init!$R$15="Yes",IF(Init!$R$6=2024,Rates_current!$C$89,Rates_current!$D$89),Rates_current!$I$45)</f>
        <v>0</v>
      </c>
      <c r="T46" s="117">
        <v>0</v>
      </c>
      <c r="U46" s="117">
        <f>IF('Staging Table'!D48=1, 'Staging Table'!BU48*-1,SUM(O46:T46)*'Staging Table'!BU48*-1)</f>
        <v>0</v>
      </c>
      <c r="V46" s="115">
        <f>'Staging Table'!BX48*Rates_current!$I$44*-1</f>
        <v>0</v>
      </c>
      <c r="W46" s="115">
        <f>IF('Staging Table'!C48=1,"",SUM(O46:V46))</f>
        <v>20216654.076385144</v>
      </c>
      <c r="X46" s="115">
        <f>IF('Staging Table'!C48=1,"",(RT1SC!$C$4*'Staging Table'!BR48*'Staging Table'!$BS$2)+SUM('Staging Table'!BY48:CV48)-IF(Init!$R$12="No",'Staging Table'!DU48, 0))</f>
        <v>513211.42429500347</v>
      </c>
      <c r="Y46" s="69">
        <f>IF('Staging Table'!C48=1,"",IF(X46=0, 0, W46/X46))</f>
        <v>39.392447477482953</v>
      </c>
      <c r="Z46" s="64">
        <f ca="1">IF('Staging Table'!C48=1,"",(Y46/N46-1)+(RAND()/100000000000000))</f>
        <v>9.4670417843057283E-2</v>
      </c>
      <c r="AA46" s="45">
        <f t="shared" ca="1" si="4"/>
        <v>63</v>
      </c>
      <c r="AC46">
        <f t="shared" si="3"/>
        <v>1.0929656367885157</v>
      </c>
      <c r="AD46" s="119"/>
      <c r="AE46" s="119"/>
      <c r="AG46" s="119"/>
      <c r="AH46" s="119"/>
    </row>
    <row r="47" spans="2:34">
      <c r="B47" s="2">
        <v>10113</v>
      </c>
      <c r="C47" s="3" t="s">
        <v>51</v>
      </c>
      <c r="D47" s="115">
        <f>IF(Init!$R$9="Yes",'Staging Table'!E49,'Staging Table'!BR49)*Rates_previous!$E$76*100*12</f>
        <v>13593626.559360001</v>
      </c>
      <c r="E47" s="115">
        <f>IF(Init!$R$9="Yes",'Staging Table'!F49,'Staging Table'!BS49)*Rates_previous!$E$77*100*12</f>
        <v>-2775260.81568</v>
      </c>
      <c r="F47" s="116">
        <f>IF(Init!$R$9="Yes",SUMPRODUCT('Staging Table'!L49:AI49,LS_Demand_Rates_Restatement!$C$4:$Z$4)-IF(Init!$R$12="No",('Staging Table'!BH49*Rates_previous!$H$34), 0),SUMPRODUCT('Staging Table'!BY49:CV49,LS_Demand_Rates_Restatement!$C$4:$Z$4)-IF(Init!$R$12="No", 'Staging Table'!DU49*Rates_previous!$H$34, 0))</f>
        <v>-354898.23900974629</v>
      </c>
      <c r="G47" s="116">
        <f>IF(Init!$R$9="Yes",SUMPRODUCT('Staging Table'!AJ49:AU49,LS_Demand_Rates_Restatement!$C$10:$N$10),SUMPRODUCT(LS_Demand_Rates_Restatement!$C$10:$N$10,'Staging Table'!CW49:DH49))*1000</f>
        <v>675212.12239652791</v>
      </c>
      <c r="H47" s="117">
        <f>IF(Init!$R$9="Yes",'Staging Table'!BQ49,'Staging Table'!ED49)*IF(Init!$R$3=2022,Rates_previous!$C$88,Rates_previous!$D$88)</f>
        <v>0</v>
      </c>
      <c r="I47" s="115">
        <v>0</v>
      </c>
      <c r="J47" s="117">
        <f>IF(Init!$R$9="Yes",IF('Staging Table'!D49=1,'Staging Table'!H49*-1,'Staging Table'!H49*SUM(D47:I47)*(-1)),IF('Staging Table'!D49=1,'Staging Table'!BU49*-1,'Staging Table'!BU49*SUM(D47:I47)*(-1)))</f>
        <v>-900388.17735159106</v>
      </c>
      <c r="K47" s="115">
        <f>IF(Init!$R$9="Yes",'Staging Table'!K49,'Staging Table'!BX49)*(-1)*Rates_previous!$H$32</f>
        <v>-1557969.48034</v>
      </c>
      <c r="L47" s="115">
        <f>IF('Staging Table'!C49=1,"",SUM(D47:K47))</f>
        <v>8680321.9693751931</v>
      </c>
      <c r="M47" s="115">
        <f>IF('Staging Table'!C49=1,"",IF(Init!$R$9="Yes",(RT1SC!$C$3*'Staging Table'!E49*'Staging Table'!$F$2)+SUM('Staging Table'!L49:AI49)-IF(Init!$R$12="No",'Staging Table'!BH49, 0),X47))</f>
        <v>331095.31199999998</v>
      </c>
      <c r="N47" s="69">
        <f>IF('Staging Table'!C49=1,"",IF(M47=0, 0, L47/M47))</f>
        <v>26.216988446442254</v>
      </c>
      <c r="O47" s="115">
        <f>'Staging Table'!BR49*Rates_current!$F$77*100*12</f>
        <v>13809771.838200001</v>
      </c>
      <c r="P47" s="115">
        <f>'Staging Table'!BS49*Rates_current!$F$78*100*12</f>
        <v>-2211955.3506</v>
      </c>
      <c r="Q47" s="116">
        <f>SUMPRODUCT('Staging Table'!BY49:CV49, LS_Demand_Rates_Restatement!$C$5:$Z$5)-IF(Init!$R$12="No",('Staging Table'!DU49*Rates_current!$I$46), 0)</f>
        <v>-79454.198032893328</v>
      </c>
      <c r="R47" s="116">
        <f>SUMPRODUCT('Staging Table'!CW49:DH49, LS_Demand_Rates_Restatement!$C$11:$N$11)*1000</f>
        <v>735105.15570154926</v>
      </c>
      <c r="S47" s="117">
        <f>'Staging Table'!ED49*IF(Init!$R$15="Yes",IF(Init!$R$6=2024,Rates_current!$C$89,Rates_current!$D$89),Rates_current!$I$45)</f>
        <v>0</v>
      </c>
      <c r="T47" s="117">
        <v>0</v>
      </c>
      <c r="U47" s="117">
        <f>IF('Staging Table'!D49=1, 'Staging Table'!BU49*-1,SUM(O47:T47)*'Staging Table'!BU49*-1)</f>
        <v>-1006235.6116734453</v>
      </c>
      <c r="V47" s="115">
        <f>'Staging Table'!BX49*Rates_current!$I$44*-1</f>
        <v>-1610485.3055200002</v>
      </c>
      <c r="W47" s="115">
        <f>IF('Staging Table'!C49=1,"",SUM(O47:V47))</f>
        <v>9636746.5280752126</v>
      </c>
      <c r="X47" s="115">
        <f>IF('Staging Table'!C49=1,"",(RT1SC!$C$4*'Staging Table'!BR49*'Staging Table'!$BS$2)+SUM('Staging Table'!BY49:CV49)-IF(Init!$R$12="No",'Staging Table'!DU49, 0))</f>
        <v>332089.34160342778</v>
      </c>
      <c r="Y47" s="69">
        <f>IF('Staging Table'!C49=1,"",IF(X47=0, 0, W47/X47))</f>
        <v>29.018536040771696</v>
      </c>
      <c r="Z47" s="64">
        <f ca="1">IF('Staging Table'!C49=1,"",(Y47/N47-1)+(RAND()/100000000000000))</f>
        <v>0.10686000796974711</v>
      </c>
      <c r="AA47" s="45">
        <f t="shared" ca="1" si="4"/>
        <v>20</v>
      </c>
      <c r="AC47">
        <f t="shared" si="3"/>
        <v>1.0887025444573526</v>
      </c>
      <c r="AD47" s="119"/>
      <c r="AE47" s="119"/>
      <c r="AG47" s="119"/>
      <c r="AH47" s="119"/>
    </row>
    <row r="48" spans="2:34">
      <c r="B48" s="2">
        <v>10116</v>
      </c>
      <c r="C48" s="3" t="s">
        <v>52</v>
      </c>
      <c r="D48" s="115">
        <f>IF(Init!$R$9="Yes",'Staging Table'!E50,'Staging Table'!BR50)*Rates_previous!$E$76*100*12</f>
        <v>82207.46160000001</v>
      </c>
      <c r="E48" s="115">
        <f>IF(Init!$R$9="Yes",'Staging Table'!F50,'Staging Table'!BS50)*Rates_previous!$E$77*100*12</f>
        <v>-16783.390800000001</v>
      </c>
      <c r="F48" s="116">
        <f>IF(Init!$R$9="Yes",SUMPRODUCT('Staging Table'!L50:AI50,LS_Demand_Rates_Restatement!$C$4:$Z$4)-IF(Init!$R$12="No",('Staging Table'!BH50*Rates_previous!$H$34), 0),SUMPRODUCT('Staging Table'!BY50:CV50,LS_Demand_Rates_Restatement!$C$4:$Z$4)-IF(Init!$R$12="No", 'Staging Table'!DU50*Rates_previous!$H$34, 0))</f>
        <v>-2380.8287457774404</v>
      </c>
      <c r="G48" s="116">
        <f>IF(Init!$R$9="Yes",SUMPRODUCT('Staging Table'!AJ50:AU50,LS_Demand_Rates_Restatement!$C$10:$N$10),SUMPRODUCT(LS_Demand_Rates_Restatement!$C$10:$N$10,'Staging Table'!CW50:DH50))*1000</f>
        <v>48508.045390625004</v>
      </c>
      <c r="H48" s="117">
        <f>IF(Init!$R$9="Yes",'Staging Table'!BQ50,'Staging Table'!ED50)*IF(Init!$R$3=2022,Rates_previous!$C$88,Rates_previous!$D$88)</f>
        <v>0</v>
      </c>
      <c r="I48" s="115">
        <v>0</v>
      </c>
      <c r="J48" s="117">
        <f>IF(Init!$R$9="Yes",IF('Staging Table'!D50=1,'Staging Table'!H50*-1,'Staging Table'!H50*SUM(D48:I48)*(-1)),IF('Staging Table'!D50=1,'Staging Table'!BU50*-1,'Staging Table'!BU50*SUM(D48:I48)*(-1)))</f>
        <v>0</v>
      </c>
      <c r="K48" s="115">
        <f>IF(Init!$R$9="Yes",'Staging Table'!K50,'Staging Table'!BX50)*(-1)*Rates_previous!$H$32</f>
        <v>0</v>
      </c>
      <c r="L48" s="115">
        <f>IF('Staging Table'!C50=1,"",SUM(D48:K48))</f>
        <v>111551.28744484758</v>
      </c>
      <c r="M48" s="115">
        <f>IF('Staging Table'!C50=1,"",IF(Init!$R$9="Yes",(RT1SC!$C$3*'Staging Table'!E50*'Staging Table'!$F$2)+SUM('Staging Table'!L50:AI50)-IF(Init!$R$12="No",'Staging Table'!BH50, 0),X48))</f>
        <v>2002.7520000000002</v>
      </c>
      <c r="N48" s="69">
        <f>IF('Staging Table'!C50=1,"",IF(M48=0, 0, L48/M48))</f>
        <v>55.699001895815144</v>
      </c>
      <c r="O48" s="115">
        <f>'Staging Table'!BR50*Rates_current!$F$77*100*12</f>
        <v>83392.654799999989</v>
      </c>
      <c r="P48" s="115">
        <f>'Staging Table'!BS50*Rates_current!$F$78*100*12</f>
        <v>-13357.268399999997</v>
      </c>
      <c r="Q48" s="116">
        <f>SUMPRODUCT('Staging Table'!BY50:CV50, LS_Demand_Rates_Restatement!$C$5:$Z$5)-IF(Init!$R$12="No",('Staging Table'!DU50*Rates_current!$I$46), 0)</f>
        <v>894.83090446251663</v>
      </c>
      <c r="R48" s="116">
        <f>SUMPRODUCT('Staging Table'!CW50:DH50, LS_Demand_Rates_Restatement!$C$11:$N$11)*1000</f>
        <v>54247.317101424516</v>
      </c>
      <c r="S48" s="117">
        <f>'Staging Table'!ED50*IF(Init!$R$15="Yes",IF(Init!$R$6=2024,Rates_current!$C$89,Rates_current!$D$89),Rates_current!$I$45)</f>
        <v>0</v>
      </c>
      <c r="T48" s="117">
        <v>0</v>
      </c>
      <c r="U48" s="117">
        <f>IF('Staging Table'!D50=1, 'Staging Table'!BU50*-1,SUM(O48:T48)*'Staging Table'!BU50*-1)</f>
        <v>0</v>
      </c>
      <c r="V48" s="115">
        <f>'Staging Table'!BX50*Rates_current!$I$44*-1</f>
        <v>0</v>
      </c>
      <c r="W48" s="115">
        <f>IF('Staging Table'!C50=1,"",SUM(O48:V48))</f>
        <v>125177.53440588703</v>
      </c>
      <c r="X48" s="115">
        <f>IF('Staging Table'!C50=1,"",(RT1SC!$C$4*'Staging Table'!BR50*'Staging Table'!$BS$2)+SUM('Staging Table'!BY50:CV50)-IF(Init!$R$12="No",'Staging Table'!DU50, 0))</f>
        <v>2006.0400000000002</v>
      </c>
      <c r="Y48" s="69">
        <f>IF('Staging Table'!C50=1,"",IF(X48=0, 0, W48/X48))</f>
        <v>62.400318241853107</v>
      </c>
      <c r="Z48" s="64">
        <f ca="1">IF('Staging Table'!C50=1,"",(Y48/N48-1)+(RAND()/100000000000000))</f>
        <v>0.12031304184898632</v>
      </c>
      <c r="AA48" s="45">
        <f t="shared" ca="1" si="4"/>
        <v>14</v>
      </c>
      <c r="AC48">
        <f t="shared" si="3"/>
        <v>1.1183158724410018</v>
      </c>
      <c r="AD48" s="119"/>
      <c r="AE48" s="119"/>
      <c r="AG48" s="119"/>
      <c r="AH48" s="119"/>
    </row>
    <row r="49" spans="2:34">
      <c r="B49" s="2">
        <v>10118</v>
      </c>
      <c r="C49" s="3" t="s">
        <v>53</v>
      </c>
      <c r="D49" s="115">
        <f>IF(Init!$R$9="Yes",'Staging Table'!E51,'Staging Table'!BR51)*Rates_previous!$E$76*100*12</f>
        <v>16472133.282960001</v>
      </c>
      <c r="E49" s="115">
        <f>IF(Init!$R$9="Yes",'Staging Table'!F51,'Staging Table'!BS51)*Rates_previous!$E$77*100*12</f>
        <v>-3362933.7874800004</v>
      </c>
      <c r="F49" s="116">
        <f>IF(Init!$R$9="Yes",SUMPRODUCT('Staging Table'!L51:AI51,LS_Demand_Rates_Restatement!$C$4:$Z$4)-IF(Init!$R$12="No",('Staging Table'!BH51*Rates_previous!$H$34), 0),SUMPRODUCT('Staging Table'!BY51:CV51,LS_Demand_Rates_Restatement!$C$4:$Z$4)-IF(Init!$R$12="No", 'Staging Table'!DU51*Rates_previous!$H$34, 0))</f>
        <v>0</v>
      </c>
      <c r="G49" s="116">
        <f>IF(Init!$R$9="Yes",SUMPRODUCT('Staging Table'!AJ51:AU51,LS_Demand_Rates_Restatement!$C$10:$N$10),SUMPRODUCT(LS_Demand_Rates_Restatement!$C$10:$N$10,'Staging Table'!CW51:DH51))*1000</f>
        <v>0</v>
      </c>
      <c r="H49" s="117">
        <f>IF(Init!$R$9="Yes",'Staging Table'!BQ51,'Staging Table'!ED51)*IF(Init!$R$3=2022,Rates_previous!$C$88,Rates_previous!$D$88)</f>
        <v>0</v>
      </c>
      <c r="I49" s="115">
        <v>0</v>
      </c>
      <c r="J49" s="117">
        <f>IF(Init!$R$9="Yes",IF('Staging Table'!D51=1,'Staging Table'!H51*-1,'Staging Table'!H51*SUM(D49:I49)*(-1)),IF('Staging Table'!D51=1,'Staging Table'!BU51*-1,'Staging Table'!BU51*SUM(D49:I49)*(-1)))</f>
        <v>-918196.47177798185</v>
      </c>
      <c r="K49" s="115">
        <f>IF(Init!$R$9="Yes",'Staging Table'!K51,'Staging Table'!BX51)*(-1)*Rates_previous!$H$32</f>
        <v>0</v>
      </c>
      <c r="L49" s="115" t="str">
        <f>IF('Staging Table'!C51=1,"",SUM(D49:K49))</f>
        <v/>
      </c>
      <c r="M49" s="115" t="str">
        <f>IF('Staging Table'!C51=1,"",IF(Init!$R$9="Yes",(RT1SC!$C$3*'Staging Table'!E51*'Staging Table'!$F$2)+SUM('Staging Table'!L51:AI51)-IF(Init!$R$12="No",'Staging Table'!BH51, 0),X49))</f>
        <v/>
      </c>
      <c r="N49" s="69" t="str">
        <f>IF('Staging Table'!C51=1,"",IF(M49=0, 0, L49/M49))</f>
        <v/>
      </c>
      <c r="O49" s="115">
        <f>'Staging Table'!BR51*Rates_current!$F$77*100*12</f>
        <v>16733694.424199998</v>
      </c>
      <c r="P49" s="115">
        <f>'Staging Table'!BS51*Rates_current!$F$78*100*12</f>
        <v>-2680289.3885999997</v>
      </c>
      <c r="Q49" s="116">
        <f>SUMPRODUCT('Staging Table'!BY51:CV51, LS_Demand_Rates_Restatement!$C$5:$Z$5)-IF(Init!$R$12="No",('Staging Table'!DU51*Rates_current!$I$46), 0)</f>
        <v>0</v>
      </c>
      <c r="R49" s="116">
        <f>SUMPRODUCT('Staging Table'!CW51:DH51, LS_Demand_Rates_Restatement!$C$11:$N$11)*1000</f>
        <v>0</v>
      </c>
      <c r="S49" s="117">
        <f>'Staging Table'!ED51*IF(Init!$R$15="Yes",IF(Init!$R$6=2024,Rates_current!$C$89,Rates_current!$D$89),Rates_current!$I$45)</f>
        <v>0</v>
      </c>
      <c r="T49" s="117">
        <v>0</v>
      </c>
      <c r="U49" s="117">
        <f>IF('Staging Table'!D51=1, 'Staging Table'!BU51*-1,SUM(O49:T49)*'Staging Table'!BU51*-1)</f>
        <v>-983646.57415404415</v>
      </c>
      <c r="V49" s="115">
        <f>'Staging Table'!BX51*Rates_current!$I$44*-1</f>
        <v>0</v>
      </c>
      <c r="W49" s="115" t="str">
        <f>IF('Staging Table'!C51=1,"",SUM(O49:V49))</f>
        <v/>
      </c>
      <c r="X49" s="115" t="str">
        <f>IF('Staging Table'!C51=1,"",(RT1SC!$C$4*'Staging Table'!BR51*'Staging Table'!$BS$2)+SUM('Staging Table'!BY51:CV51)-IF(Init!$R$12="No",'Staging Table'!DU51, 0))</f>
        <v/>
      </c>
      <c r="Y49" s="69" t="str">
        <f>IF('Staging Table'!C51=1,"",IF(X49=0, 0, W49/X49))</f>
        <v/>
      </c>
      <c r="Z49" s="64" t="str">
        <f ca="1">IF('Staging Table'!C51=1,"",(Y49/N49-1)+(RAND()/100000000000000))</f>
        <v/>
      </c>
      <c r="AA49" s="45" t="str">
        <f t="shared" ca="1" si="4"/>
        <v/>
      </c>
      <c r="AC49" t="str">
        <f t="shared" si="3"/>
        <v/>
      </c>
      <c r="AD49" s="119"/>
      <c r="AE49" s="119"/>
      <c r="AG49" s="119"/>
      <c r="AH49" s="119"/>
    </row>
    <row r="50" spans="2:34">
      <c r="B50" s="2">
        <v>10121</v>
      </c>
      <c r="C50" s="3" t="s">
        <v>54</v>
      </c>
      <c r="D50" s="115">
        <f>IF(Init!$R$9="Yes",'Staging Table'!E52,'Staging Table'!BR52)*Rates_previous!$E$76*100*12</f>
        <v>14243314.619519999</v>
      </c>
      <c r="E50" s="115">
        <f>IF(Init!$R$9="Yes",'Staging Table'!F52,'Staging Table'!BS52)*Rates_previous!$E$77*100*12</f>
        <v>-2907900.4617600003</v>
      </c>
      <c r="F50" s="116">
        <f>IF(Init!$R$9="Yes",SUMPRODUCT('Staging Table'!L52:AI52,LS_Demand_Rates_Restatement!$C$4:$Z$4)-IF(Init!$R$12="No",('Staging Table'!BH52*Rates_previous!$H$34), 0),SUMPRODUCT('Staging Table'!BY52:CV52,LS_Demand_Rates_Restatement!$C$4:$Z$4)-IF(Init!$R$12="No", 'Staging Table'!DU52*Rates_previous!$H$34, 0))</f>
        <v>0</v>
      </c>
      <c r="G50" s="116">
        <f>IF(Init!$R$9="Yes",SUMPRODUCT('Staging Table'!AJ52:AU52,LS_Demand_Rates_Restatement!$C$10:$N$10),SUMPRODUCT(LS_Demand_Rates_Restatement!$C$10:$N$10,'Staging Table'!CW52:DH52))*1000</f>
        <v>0</v>
      </c>
      <c r="H50" s="117">
        <f>IF(Init!$R$9="Yes",'Staging Table'!BQ52,'Staging Table'!ED52)*IF(Init!$R$3=2022,Rates_previous!$C$88,Rates_previous!$D$88)</f>
        <v>0</v>
      </c>
      <c r="I50" s="115">
        <v>0</v>
      </c>
      <c r="J50" s="117">
        <f>IF(Init!$R$9="Yes",IF('Staging Table'!D52=1,'Staging Table'!H52*-1,'Staging Table'!H52*SUM(D50:I50)*(-1)),IF('Staging Table'!D52=1,'Staging Table'!BU52*-1,'Staging Table'!BU52*SUM(D50:I50)*(-1)))</f>
        <v>-680124.84946559987</v>
      </c>
      <c r="K50" s="115">
        <f>IF(Init!$R$9="Yes",'Staging Table'!K52,'Staging Table'!BX52)*(-1)*Rates_previous!$H$32</f>
        <v>0</v>
      </c>
      <c r="L50" s="115" t="str">
        <f>IF('Staging Table'!C52=1,"",SUM(D50:K50))</f>
        <v/>
      </c>
      <c r="M50" s="115" t="str">
        <f>IF('Staging Table'!C52=1,"",IF(Init!$R$9="Yes",(RT1SC!$C$3*'Staging Table'!E52*'Staging Table'!$F$2)+SUM('Staging Table'!L52:AI52)-IF(Init!$R$12="No",'Staging Table'!BH52, 0),X50))</f>
        <v/>
      </c>
      <c r="N50" s="69" t="str">
        <f>IF('Staging Table'!C52=1,"",IF(M50=0, 0, L50/M50))</f>
        <v/>
      </c>
      <c r="O50" s="115">
        <f>'Staging Table'!BR52*Rates_current!$F$77*100*12</f>
        <v>14639813.635199999</v>
      </c>
      <c r="P50" s="115">
        <f>'Staging Table'!BS52*Rates_current!$F$78*100*12</f>
        <v>-2344905.8016000004</v>
      </c>
      <c r="Q50" s="116">
        <f>SUMPRODUCT('Staging Table'!BY52:CV52, LS_Demand_Rates_Restatement!$C$5:$Z$5)-IF(Init!$R$12="No",('Staging Table'!DU52*Rates_current!$I$46), 0)</f>
        <v>0</v>
      </c>
      <c r="R50" s="116">
        <f>SUMPRODUCT('Staging Table'!CW52:DH52, LS_Demand_Rates_Restatement!$C$11:$N$11)*1000</f>
        <v>0</v>
      </c>
      <c r="S50" s="117">
        <f>'Staging Table'!ED52*IF(Init!$R$15="Yes",IF(Init!$R$6=2024,Rates_current!$C$89,Rates_current!$D$89),Rates_current!$I$45)</f>
        <v>4.2300557105778713</v>
      </c>
      <c r="T50" s="117">
        <v>0</v>
      </c>
      <c r="U50" s="117">
        <f>IF('Staging Table'!D52=1, 'Staging Table'!BU52*-1,SUM(O50:T50)*'Staging Table'!BU52*-1)</f>
        <v>-737694.72381934256</v>
      </c>
      <c r="V50" s="115">
        <f>'Staging Table'!BX52*Rates_current!$I$44*-1</f>
        <v>0</v>
      </c>
      <c r="W50" s="115" t="str">
        <f>IF('Staging Table'!C52=1,"",SUM(O50:V50))</f>
        <v/>
      </c>
      <c r="X50" s="115" t="str">
        <f>IF('Staging Table'!C52=1,"",(RT1SC!$C$4*'Staging Table'!BR52*'Staging Table'!$BS$2)+SUM('Staging Table'!BY52:CV52)-IF(Init!$R$12="No",'Staging Table'!DU52, 0))</f>
        <v/>
      </c>
      <c r="Y50" s="69" t="str">
        <f>IF('Staging Table'!C52=1,"",IF(X50=0, 0, W50/X50))</f>
        <v/>
      </c>
      <c r="Z50" s="64" t="str">
        <f ca="1">IF('Staging Table'!C52=1,"",(Y50/N50-1)+(RAND()/100000000000000))</f>
        <v/>
      </c>
      <c r="AA50" s="45" t="str">
        <f t="shared" ca="1" si="4"/>
        <v/>
      </c>
      <c r="AC50" t="str">
        <f t="shared" si="3"/>
        <v/>
      </c>
      <c r="AD50" s="119"/>
      <c r="AE50" s="119"/>
      <c r="AG50" s="119"/>
      <c r="AH50" s="119"/>
    </row>
    <row r="51" spans="2:34">
      <c r="B51" s="2">
        <v>10123</v>
      </c>
      <c r="C51" s="3" t="s">
        <v>55</v>
      </c>
      <c r="D51" s="115">
        <f>IF(Init!$R$9="Yes",'Staging Table'!E53,'Staging Table'!BR53)*Rates_previous!$E$76*100*12</f>
        <v>165896650.41696</v>
      </c>
      <c r="E51" s="115">
        <f>IF(Init!$R$9="Yes",'Staging Table'!F53,'Staging Table'!BS53)*Rates_previous!$E$77*100*12</f>
        <v>-13593631.090319995</v>
      </c>
      <c r="F51" s="116">
        <f>IF(Init!$R$9="Yes",SUMPRODUCT('Staging Table'!L53:AI53,LS_Demand_Rates_Restatement!$C$4:$Z$4)-IF(Init!$R$12="No",('Staging Table'!BH53*Rates_previous!$H$34), 0),SUMPRODUCT('Staging Table'!BY53:CV53,LS_Demand_Rates_Restatement!$C$4:$Z$4)-IF(Init!$R$12="No", 'Staging Table'!DU53*Rates_previous!$H$34, 0))</f>
        <v>-3623906.7523003947</v>
      </c>
      <c r="G51" s="116">
        <f>IF(Init!$R$9="Yes",SUMPRODUCT('Staging Table'!AJ53:AU53,LS_Demand_Rates_Restatement!$C$10:$N$10),SUMPRODUCT(LS_Demand_Rates_Restatement!$C$10:$N$10,'Staging Table'!CW53:DH53))*1000</f>
        <v>0</v>
      </c>
      <c r="H51" s="117">
        <f>IF(Init!$R$9="Yes",'Staging Table'!BQ53,'Staging Table'!ED53)*IF(Init!$R$3=2022,Rates_previous!$C$88,Rates_previous!$D$88)</f>
        <v>0</v>
      </c>
      <c r="I51" s="115">
        <v>0</v>
      </c>
      <c r="J51" s="117">
        <f>IF(Init!$R$9="Yes",IF('Staging Table'!D53=1,'Staging Table'!H53*-1,'Staging Table'!H53*SUM(D51:I51)*(-1)),IF('Staging Table'!D53=1,'Staging Table'!BU53*-1,'Staging Table'!BU53*SUM(D51:I51)*(-1)))</f>
        <v>0</v>
      </c>
      <c r="K51" s="115">
        <f>IF(Init!$R$9="Yes",'Staging Table'!K53,'Staging Table'!BX53)*(-1)*Rates_previous!$H$32</f>
        <v>0</v>
      </c>
      <c r="L51" s="115">
        <f>IF('Staging Table'!C53=1,"",SUM(D51:K51))</f>
        <v>148679112.57433963</v>
      </c>
      <c r="M51" s="115">
        <f>IF('Staging Table'!C53=1,"",IF(Init!$R$9="Yes",(RT1SC!$C$3*'Staging Table'!E53*'Staging Table'!$F$2)+SUM('Staging Table'!L53:AI53)-IF(Init!$R$12="No",'Staging Table'!BH53, 0),X51))</f>
        <v>4040668.0295081618</v>
      </c>
      <c r="N51" s="69">
        <f>IF('Staging Table'!C53=1,"",IF(M51=0, 0, L51/M51))</f>
        <v>36.795676231892067</v>
      </c>
      <c r="O51" s="115">
        <f>'Staging Table'!BR53*Rates_current!$F$77*100*12</f>
        <v>168026876.01959997</v>
      </c>
      <c r="P51" s="115">
        <f>'Staging Table'!BS53*Rates_current!$F$78*100*12</f>
        <v>-10384861.359000001</v>
      </c>
      <c r="Q51" s="116">
        <f>SUMPRODUCT('Staging Table'!BY53:CV53, LS_Demand_Rates_Restatement!$C$5:$Z$5)-IF(Init!$R$12="No",('Staging Table'!DU53*Rates_current!$I$46), 0)</f>
        <v>1561311.9505494609</v>
      </c>
      <c r="R51" s="116">
        <f>SUMPRODUCT('Staging Table'!CW53:DH53, LS_Demand_Rates_Restatement!$C$11:$N$11)*1000</f>
        <v>0</v>
      </c>
      <c r="S51" s="117">
        <f>'Staging Table'!ED53*IF(Init!$R$15="Yes",IF(Init!$R$6=2024,Rates_current!$C$89,Rates_current!$D$89),Rates_current!$I$45)</f>
        <v>0</v>
      </c>
      <c r="T51" s="117">
        <v>0</v>
      </c>
      <c r="U51" s="117">
        <f>IF('Staging Table'!D53=1, 'Staging Table'!BU53*-1,SUM(O51:T51)*'Staging Table'!BU53*-1)</f>
        <v>0</v>
      </c>
      <c r="V51" s="115">
        <f>'Staging Table'!BX53*Rates_current!$I$44*-1</f>
        <v>0</v>
      </c>
      <c r="W51" s="115">
        <f>IF('Staging Table'!C53=1,"",SUM(O51:V51))</f>
        <v>159203326.61114943</v>
      </c>
      <c r="X51" s="115">
        <f>IF('Staging Table'!C53=1,"",(RT1SC!$C$4*'Staging Table'!BR53*'Staging Table'!$BS$2)+SUM('Staging Table'!BY53:CV53)-IF(Init!$R$12="No",'Staging Table'!DU53, 0))</f>
        <v>4047178.4864285942</v>
      </c>
      <c r="Y51" s="69">
        <f>IF('Staging Table'!C53=1,"",IF(X51=0, 0, W51/X51))</f>
        <v>39.336868177424357</v>
      </c>
      <c r="Z51" s="64">
        <f ca="1">IF('Staging Table'!C53=1,"",(Y51/N51-1)+(RAND()/100000000000000))</f>
        <v>6.9062243333092826E-2</v>
      </c>
      <c r="AA51" s="45">
        <f t="shared" ca="1" si="4"/>
        <v>111</v>
      </c>
      <c r="AC51" t="str">
        <f t="shared" si="3"/>
        <v/>
      </c>
      <c r="AD51" s="119"/>
      <c r="AE51" s="119"/>
      <c r="AG51" s="119"/>
      <c r="AH51" s="119"/>
    </row>
    <row r="52" spans="2:34">
      <c r="B52" s="2">
        <v>10136</v>
      </c>
      <c r="C52" s="3" t="s">
        <v>56</v>
      </c>
      <c r="D52" s="115">
        <f>IF(Init!$R$9="Yes",'Staging Table'!E54,'Staging Table'!BR54)*Rates_previous!$E$76*100*12</f>
        <v>6634391.2646399997</v>
      </c>
      <c r="E52" s="115">
        <f>IF(Init!$R$9="Yes",'Staging Table'!F54,'Staging Table'!BS54)*Rates_previous!$E$77*100*12</f>
        <v>-1354470.4963200002</v>
      </c>
      <c r="F52" s="116">
        <f>IF(Init!$R$9="Yes",SUMPRODUCT('Staging Table'!L54:AI54,LS_Demand_Rates_Restatement!$C$4:$Z$4)-IF(Init!$R$12="No",('Staging Table'!BH54*Rates_previous!$H$34), 0),SUMPRODUCT('Staging Table'!BY54:CV54,LS_Demand_Rates_Restatement!$C$4:$Z$4)-IF(Init!$R$12="No", 'Staging Table'!DU54*Rates_previous!$H$34, 0))</f>
        <v>0</v>
      </c>
      <c r="G52" s="116">
        <f>IF(Init!$R$9="Yes",SUMPRODUCT('Staging Table'!AJ54:AU54,LS_Demand_Rates_Restatement!$C$10:$N$10),SUMPRODUCT(LS_Demand_Rates_Restatement!$C$10:$N$10,'Staging Table'!CW54:DH54))*1000</f>
        <v>0</v>
      </c>
      <c r="H52" s="117">
        <f>IF(Init!$R$9="Yes",'Staging Table'!BQ54,'Staging Table'!ED54)*IF(Init!$R$3=2022,Rates_previous!$C$88,Rates_previous!$D$88)</f>
        <v>0</v>
      </c>
      <c r="I52" s="115">
        <v>0</v>
      </c>
      <c r="J52" s="117">
        <f>IF(Init!$R$9="Yes",IF('Staging Table'!D54=1,'Staging Table'!H54*-1,'Staging Table'!H54*SUM(D52:I52)*(-1)),IF('Staging Table'!D54=1,'Staging Table'!BU54*-1,'Staging Table'!BU54*SUM(D52:I52)*(-1)))</f>
        <v>-369594.4537824</v>
      </c>
      <c r="K52" s="115">
        <f>IF(Init!$R$9="Yes",'Staging Table'!K54,'Staging Table'!BX54)*(-1)*Rates_previous!$H$32</f>
        <v>0</v>
      </c>
      <c r="L52" s="115" t="str">
        <f>IF('Staging Table'!C54=1,"",SUM(D52:K52))</f>
        <v/>
      </c>
      <c r="M52" s="115" t="str">
        <f>IF('Staging Table'!C54=1,"",IF(Init!$R$9="Yes",(RT1SC!$C$3*'Staging Table'!E54*'Staging Table'!$F$2)+SUM('Staging Table'!L54:AI54)-IF(Init!$R$12="No",'Staging Table'!BH54, 0),X52))</f>
        <v/>
      </c>
      <c r="N52" s="69" t="str">
        <f>IF('Staging Table'!C54=1,"",IF(M52=0, 0, L52/M52))</f>
        <v/>
      </c>
      <c r="O52" s="115">
        <f>'Staging Table'!BR54*Rates_current!$F$77*100*12</f>
        <v>6731755.5162000004</v>
      </c>
      <c r="P52" s="115">
        <f>'Staging Table'!BS54*Rates_current!$F$78*100*12</f>
        <v>-1078246.8245999999</v>
      </c>
      <c r="Q52" s="116">
        <f>SUMPRODUCT('Staging Table'!BY54:CV54, LS_Demand_Rates_Restatement!$C$5:$Z$5)-IF(Init!$R$12="No",('Staging Table'!DU54*Rates_current!$I$46), 0)</f>
        <v>0</v>
      </c>
      <c r="R52" s="116">
        <f>SUMPRODUCT('Staging Table'!CW54:DH54, LS_Demand_Rates_Restatement!$C$11:$N$11)*1000</f>
        <v>0</v>
      </c>
      <c r="S52" s="117">
        <f>'Staging Table'!ED54*IF(Init!$R$15="Yes",IF(Init!$R$6=2024,Rates_current!$C$89,Rates_current!$D$89),Rates_current!$I$45)</f>
        <v>4.8089529522205705</v>
      </c>
      <c r="T52" s="117">
        <v>0</v>
      </c>
      <c r="U52" s="117">
        <f>IF('Staging Table'!D54=1, 'Staging Table'!BU54*-1,SUM(O52:T52)*'Staging Table'!BU54*-1)</f>
        <v>-395745.9450387067</v>
      </c>
      <c r="V52" s="115">
        <f>'Staging Table'!BX54*Rates_current!$I$44*-1</f>
        <v>0</v>
      </c>
      <c r="W52" s="115" t="str">
        <f>IF('Staging Table'!C54=1,"",SUM(O52:V52))</f>
        <v/>
      </c>
      <c r="X52" s="115" t="str">
        <f>IF('Staging Table'!C54=1,"",(RT1SC!$C$4*'Staging Table'!BR54*'Staging Table'!$BS$2)+SUM('Staging Table'!BY54:CV54)-IF(Init!$R$12="No",'Staging Table'!DU54, 0))</f>
        <v/>
      </c>
      <c r="Y52" s="69" t="str">
        <f>IF('Staging Table'!C54=1,"",IF(X52=0, 0, W52/X52))</f>
        <v/>
      </c>
      <c r="Z52" s="64" t="str">
        <f ca="1">IF('Staging Table'!C54=1,"",(Y52/N52-1)+(RAND()/100000000000000))</f>
        <v/>
      </c>
      <c r="AA52" s="45" t="str">
        <f t="shared" ca="1" si="4"/>
        <v/>
      </c>
      <c r="AC52" t="str">
        <f t="shared" si="3"/>
        <v/>
      </c>
      <c r="AD52" s="119"/>
      <c r="AE52" s="119"/>
      <c r="AG52" s="119"/>
      <c r="AH52" s="119"/>
    </row>
    <row r="53" spans="2:34">
      <c r="B53" s="2">
        <v>10142</v>
      </c>
      <c r="C53" s="3" t="s">
        <v>57</v>
      </c>
      <c r="D53" s="115">
        <f>IF(Init!$R$9="Yes",'Staging Table'!E55,'Staging Table'!BR55)*Rates_previous!$E$76*100*12</f>
        <v>969051.59279999998</v>
      </c>
      <c r="E53" s="115">
        <f>IF(Init!$R$9="Yes",'Staging Table'!F55,'Staging Table'!BS55)*Rates_previous!$E$77*100*12</f>
        <v>-197840.57640000002</v>
      </c>
      <c r="F53" s="116">
        <f>IF(Init!$R$9="Yes",SUMPRODUCT('Staging Table'!L55:AI55,LS_Demand_Rates_Restatement!$C$4:$Z$4)-IF(Init!$R$12="No",('Staging Table'!BH55*Rates_previous!$H$34), 0),SUMPRODUCT('Staging Table'!BY55:CV55,LS_Demand_Rates_Restatement!$C$4:$Z$4)-IF(Init!$R$12="No", 'Staging Table'!DU55*Rates_previous!$H$34, 0))</f>
        <v>-7756.2693292695913</v>
      </c>
      <c r="G53" s="116">
        <f>IF(Init!$R$9="Yes",SUMPRODUCT('Staging Table'!AJ55:AU55,LS_Demand_Rates_Restatement!$C$10:$N$10),SUMPRODUCT(LS_Demand_Rates_Restatement!$C$10:$N$10,'Staging Table'!CW55:DH55))*1000</f>
        <v>107343.62881498397</v>
      </c>
      <c r="H53" s="117">
        <f>IF(Init!$R$9="Yes",'Staging Table'!BQ55,'Staging Table'!ED55)*IF(Init!$R$3=2022,Rates_previous!$C$88,Rates_previous!$D$88)</f>
        <v>0</v>
      </c>
      <c r="I53" s="115">
        <v>0</v>
      </c>
      <c r="J53" s="117">
        <f>IF(Init!$R$9="Yes",IF('Staging Table'!D55=1,'Staging Table'!H55*-1,'Staging Table'!H55*SUM(D53:I53)*(-1)),IF('Staging Table'!D55=1,'Staging Table'!BU55*-1,'Staging Table'!BU55*SUM(D53:I53)*(-1)))</f>
        <v>-26849.886655054503</v>
      </c>
      <c r="K53" s="115">
        <f>IF(Init!$R$9="Yes",'Staging Table'!K55,'Staging Table'!BX55)*(-1)*Rates_previous!$H$32</f>
        <v>-66752.929880000011</v>
      </c>
      <c r="L53" s="115">
        <f>IF('Staging Table'!C55=1,"",SUM(D53:K53))</f>
        <v>777195.55935065984</v>
      </c>
      <c r="M53" s="115">
        <f>IF('Staging Table'!C55=1,"",IF(Init!$R$9="Yes",(RT1SC!$C$3*'Staging Table'!E55*'Staging Table'!$F$2)+SUM('Staging Table'!L55:AI55)-IF(Init!$R$12="No",'Staging Table'!BH55, 0),X53))</f>
        <v>23602.608</v>
      </c>
      <c r="N53" s="69">
        <f>IF('Staging Table'!C55=1,"",IF(M53=0, 0, L53/M53))</f>
        <v>32.928376362080826</v>
      </c>
      <c r="O53" s="115">
        <f>'Staging Table'!BR55*Rates_current!$F$77*100*12</f>
        <v>984395.90340000018</v>
      </c>
      <c r="P53" s="115">
        <f>'Staging Table'!BS55*Rates_current!$F$78*100*12</f>
        <v>-157673.84219999998</v>
      </c>
      <c r="Q53" s="116">
        <f>SUMPRODUCT('Staging Table'!BY55:CV55, LS_Demand_Rates_Restatement!$C$5:$Z$5)-IF(Init!$R$12="No",('Staging Table'!DU55*Rates_current!$I$46), 0)</f>
        <v>6618.8924433775246</v>
      </c>
      <c r="R53" s="116">
        <f>SUMPRODUCT('Staging Table'!CW55:DH55, LS_Demand_Rates_Restatement!$C$11:$N$11)*1000</f>
        <v>118985.54485521725</v>
      </c>
      <c r="S53" s="117">
        <f>'Staging Table'!ED55*IF(Init!$R$15="Yes",IF(Init!$R$6=2024,Rates_current!$C$89,Rates_current!$D$89),Rates_current!$I$45)</f>
        <v>0</v>
      </c>
      <c r="T53" s="117">
        <v>0</v>
      </c>
      <c r="U53" s="117">
        <f>IF('Staging Table'!D55=1, 'Staging Table'!BU55*-1,SUM(O53:T53)*'Staging Table'!BU55*-1)</f>
        <v>-31288.965545600582</v>
      </c>
      <c r="V53" s="115">
        <f>'Staging Table'!BX55*Rates_current!$I$44*-1</f>
        <v>-69003.028640000004</v>
      </c>
      <c r="W53" s="115">
        <f>IF('Staging Table'!C55=1,"",SUM(O53:V53))</f>
        <v>852034.50431299431</v>
      </c>
      <c r="X53" s="115">
        <f>IF('Staging Table'!C55=1,"",(RT1SC!$C$4*'Staging Table'!BR55*'Staging Table'!$BS$2)+SUM('Staging Table'!BY55:CV55)-IF(Init!$R$12="No",'Staging Table'!DU55, 0))</f>
        <v>23669.52</v>
      </c>
      <c r="Y53" s="69">
        <f>IF('Staging Table'!C55=1,"",IF(X53=0, 0, W53/X53))</f>
        <v>35.997117994492257</v>
      </c>
      <c r="Z53" s="64">
        <f ca="1">IF('Staging Table'!C55=1,"",(Y53/N53-1)+(RAND()/100000000000000))</f>
        <v>9.3194441130882044E-2</v>
      </c>
      <c r="AA53" s="45">
        <f t="shared" ca="1" si="4"/>
        <v>65</v>
      </c>
      <c r="AC53">
        <f t="shared" si="3"/>
        <v>1.1084546532360959</v>
      </c>
      <c r="AD53" s="119"/>
      <c r="AE53" s="119"/>
      <c r="AG53" s="119"/>
      <c r="AH53" s="119"/>
    </row>
    <row r="54" spans="2:34">
      <c r="B54" s="2">
        <v>10144</v>
      </c>
      <c r="C54" s="3" t="s">
        <v>58</v>
      </c>
      <c r="D54" s="115">
        <f>IF(Init!$R$9="Yes",'Staging Table'!E56,'Staging Table'!BR56)*Rates_previous!$E$76*100*12</f>
        <v>1174570.2468000001</v>
      </c>
      <c r="E54" s="115">
        <f>IF(Init!$R$9="Yes",'Staging Table'!F56,'Staging Table'!BS56)*Rates_previous!$E$77*100*12</f>
        <v>-239799.0534</v>
      </c>
      <c r="F54" s="116">
        <f>IF(Init!$R$9="Yes",SUMPRODUCT('Staging Table'!L56:AI56,LS_Demand_Rates_Restatement!$C$4:$Z$4)-IF(Init!$R$12="No",('Staging Table'!BH56*Rates_previous!$H$34), 0),SUMPRODUCT('Staging Table'!BY56:CV56,LS_Demand_Rates_Restatement!$C$4:$Z$4)-IF(Init!$R$12="No", 'Staging Table'!DU56*Rates_previous!$H$34, 0))</f>
        <v>34476.47940231736</v>
      </c>
      <c r="G54" s="116">
        <f>IF(Init!$R$9="Yes",SUMPRODUCT('Staging Table'!AJ56:AU56,LS_Demand_Rates_Restatement!$C$10:$N$10),SUMPRODUCT(LS_Demand_Rates_Restatement!$C$10:$N$10,'Staging Table'!CW56:DH56))*1000</f>
        <v>91742.898232638865</v>
      </c>
      <c r="H54" s="117">
        <f>IF(Init!$R$9="Yes",'Staging Table'!BQ56,'Staging Table'!ED56)*IF(Init!$R$3=2022,Rates_previous!$C$88,Rates_previous!$D$88)</f>
        <v>0</v>
      </c>
      <c r="I54" s="115">
        <v>0</v>
      </c>
      <c r="J54" s="117">
        <f>IF(Init!$R$9="Yes",IF('Staging Table'!D56=1,'Staging Table'!H56*-1,'Staging Table'!H56*SUM(D54:I54)*(-1)),IF('Staging Table'!D56=1,'Staging Table'!BU56*-1,'Staging Table'!BU56*SUM(D54:I54)*(-1)))</f>
        <v>0</v>
      </c>
      <c r="K54" s="115">
        <f>IF(Init!$R$9="Yes",'Staging Table'!K56,'Staging Table'!BX56)*(-1)*Rates_previous!$H$32</f>
        <v>0</v>
      </c>
      <c r="L54" s="115">
        <f>IF('Staging Table'!C56=1,"",SUM(D54:K54))</f>
        <v>1060990.5710349563</v>
      </c>
      <c r="M54" s="115">
        <f>IF('Staging Table'!C56=1,"",IF(Init!$R$9="Yes",(RT1SC!$C$3*'Staging Table'!E56*'Staging Table'!$F$2)+SUM('Staging Table'!L56:AI56)-IF(Init!$R$12="No",'Staging Table'!BH56, 0),X54))</f>
        <v>29093.6051340946</v>
      </c>
      <c r="N54" s="69">
        <f>IF('Staging Table'!C56=1,"",IF(M54=0, 0, L54/M54))</f>
        <v>36.468171137429394</v>
      </c>
      <c r="O54" s="115">
        <f>'Staging Table'!BR56*Rates_current!$F$77*100*12</f>
        <v>1209711.4614000001</v>
      </c>
      <c r="P54" s="115">
        <f>'Staging Table'!BS56*Rates_current!$F$78*100*12</f>
        <v>-193763.35620000004</v>
      </c>
      <c r="Q54" s="116">
        <f>SUMPRODUCT('Staging Table'!BY56:CV56, LS_Demand_Rates_Restatement!$C$5:$Z$5)-IF(Init!$R$12="No",('Staging Table'!DU56*Rates_current!$I$46), 0)</f>
        <v>40870.778022164537</v>
      </c>
      <c r="R54" s="116">
        <f>SUMPRODUCT('Staging Table'!CW56:DH56, LS_Demand_Rates_Restatement!$C$11:$N$11)*1000</f>
        <v>99878.22584281514</v>
      </c>
      <c r="S54" s="117">
        <f>'Staging Table'!ED56*IF(Init!$R$15="Yes",IF(Init!$R$6=2024,Rates_current!$C$89,Rates_current!$D$89),Rates_current!$I$45)</f>
        <v>-6.3892628346284619</v>
      </c>
      <c r="T54" s="117">
        <v>0</v>
      </c>
      <c r="U54" s="117">
        <f>IF('Staging Table'!D56=1, 'Staging Table'!BU56*-1,SUM(O54:T54)*'Staging Table'!BU56*-1)</f>
        <v>0</v>
      </c>
      <c r="V54" s="115">
        <f>'Staging Table'!BX56*Rates_current!$I$44*-1</f>
        <v>0</v>
      </c>
      <c r="W54" s="115">
        <f>IF('Staging Table'!C56=1,"",SUM(O54:V54))</f>
        <v>1156690.7198021451</v>
      </c>
      <c r="X54" s="115">
        <f>IF('Staging Table'!C56=1,"",(RT1SC!$C$4*'Staging Table'!BR56*'Staging Table'!$BS$2)+SUM('Staging Table'!BY56:CV56)-IF(Init!$R$12="No",'Staging Table'!DU56, 0))</f>
        <v>29093.606717225422</v>
      </c>
      <c r="Y54" s="69">
        <f>IF('Staging Table'!C56=1,"",IF(X54=0, 0, W54/X54))</f>
        <v>39.757556738996698</v>
      </c>
      <c r="Z54" s="64">
        <f ca="1">IF('Staging Table'!C56=1,"",(Y54/N54-1)+(RAND()/100000000000000))</f>
        <v>9.0198808960605031E-2</v>
      </c>
      <c r="AA54" s="45">
        <f t="shared" ca="1" si="4"/>
        <v>75</v>
      </c>
      <c r="AC54">
        <f t="shared" si="3"/>
        <v>1.0886752845931131</v>
      </c>
      <c r="AD54" s="119"/>
      <c r="AE54" s="119"/>
      <c r="AG54" s="119"/>
      <c r="AH54" s="119"/>
    </row>
    <row r="55" spans="2:34">
      <c r="B55" s="2">
        <v>10156</v>
      </c>
      <c r="C55" s="3" t="s">
        <v>59</v>
      </c>
      <c r="D55" s="115">
        <f>IF(Init!$R$9="Yes",'Staging Table'!E57,'Staging Table'!BR57)*Rates_previous!$E$76*100*12</f>
        <v>11626377.09192</v>
      </c>
      <c r="E55" s="115">
        <f>IF(Init!$R$9="Yes",'Staging Table'!F57,'Staging Table'!BS57)*Rates_previous!$E$77*100*12</f>
        <v>-2373629.1879600002</v>
      </c>
      <c r="F55" s="116">
        <f>IF(Init!$R$9="Yes",SUMPRODUCT('Staging Table'!L57:AI57,LS_Demand_Rates_Restatement!$C$4:$Z$4)-IF(Init!$R$12="No",('Staging Table'!BH57*Rates_previous!$H$34), 0),SUMPRODUCT('Staging Table'!BY57:CV57,LS_Demand_Rates_Restatement!$C$4:$Z$4)-IF(Init!$R$12="No", 'Staging Table'!DU57*Rates_previous!$H$34, 0))</f>
        <v>110175.43355221895</v>
      </c>
      <c r="G55" s="116">
        <f>IF(Init!$R$9="Yes",SUMPRODUCT('Staging Table'!AJ57:AU57,LS_Demand_Rates_Restatement!$C$10:$N$10),SUMPRODUCT(LS_Demand_Rates_Restatement!$C$10:$N$10,'Staging Table'!CW57:DH57))*1000</f>
        <v>734165.15160560887</v>
      </c>
      <c r="H55" s="117">
        <f>IF(Init!$R$9="Yes",'Staging Table'!BQ57,'Staging Table'!ED57)*IF(Init!$R$3=2022,Rates_previous!$C$88,Rates_previous!$D$88)</f>
        <v>0</v>
      </c>
      <c r="I55" s="115">
        <v>0</v>
      </c>
      <c r="J55" s="117">
        <f>IF(Init!$R$9="Yes",IF('Staging Table'!D57=1,'Staging Table'!H57*-1,'Staging Table'!H57*SUM(D55:I55)*(-1)),IF('Staging Table'!D57=1,'Staging Table'!BU57*-1,'Staging Table'!BU57*SUM(D55:I55)*(-1)))</f>
        <v>0</v>
      </c>
      <c r="K55" s="115">
        <f>IF(Init!$R$9="Yes",'Staging Table'!K57,'Staging Table'!BX57)*(-1)*Rates_previous!$H$32</f>
        <v>0</v>
      </c>
      <c r="L55" s="115">
        <f>IF('Staging Table'!C57=1,"",SUM(D55:K55))</f>
        <v>10097088.489117827</v>
      </c>
      <c r="M55" s="115">
        <f>IF('Staging Table'!C57=1,"",IF(Init!$R$9="Yes",(RT1SC!$C$3*'Staging Table'!E57*'Staging Table'!$F$2)+SUM('Staging Table'!L57:AI57)-IF(Init!$R$12="No",'Staging Table'!BH57, 0),X55))</f>
        <v>283178.592</v>
      </c>
      <c r="N55" s="69">
        <f>IF('Staging Table'!C57=1,"",IF(M55=0, 0, L55/M55))</f>
        <v>35.656256420392921</v>
      </c>
      <c r="O55" s="115">
        <f>'Staging Table'!BR57*Rates_current!$F$77*100*12</f>
        <v>11811196.940400001</v>
      </c>
      <c r="P55" s="115">
        <f>'Staging Table'!BS57*Rates_current!$F$78*100*12</f>
        <v>-1891837.2131999996</v>
      </c>
      <c r="Q55" s="116">
        <f>SUMPRODUCT('Staging Table'!BY57:CV57, LS_Demand_Rates_Restatement!$C$5:$Z$5)-IF(Init!$R$12="No",('Staging Table'!DU57*Rates_current!$I$46), 0)</f>
        <v>400558.97205916862</v>
      </c>
      <c r="R55" s="116">
        <f>SUMPRODUCT('Staging Table'!CW57:DH57, LS_Demand_Rates_Restatement!$C$11:$N$11)*1000</f>
        <v>788290.62449285958</v>
      </c>
      <c r="S55" s="117">
        <f>'Staging Table'!ED57*IF(Init!$R$15="Yes",IF(Init!$R$6=2024,Rates_current!$C$89,Rates_current!$D$89),Rates_current!$I$45)</f>
        <v>0</v>
      </c>
      <c r="T55" s="117">
        <v>0</v>
      </c>
      <c r="U55" s="117">
        <f>IF('Staging Table'!D57=1, 'Staging Table'!BU57*-1,SUM(O55:T55)*'Staging Table'!BU57*-1)</f>
        <v>0</v>
      </c>
      <c r="V55" s="115">
        <f>'Staging Table'!BX57*Rates_current!$I$44*-1</f>
        <v>0</v>
      </c>
      <c r="W55" s="115">
        <f>IF('Staging Table'!C57=1,"",SUM(O55:V55))</f>
        <v>11108209.323752029</v>
      </c>
      <c r="X55" s="115">
        <f>IF('Staging Table'!C57=1,"",(RT1SC!$C$4*'Staging Table'!BR57*'Staging Table'!$BS$2)+SUM('Staging Table'!BY57:CV57)-IF(Init!$R$12="No",'Staging Table'!DU57, 0))</f>
        <v>284034.24</v>
      </c>
      <c r="Y55" s="69">
        <f>IF('Staging Table'!C57=1,"",IF(X55=0, 0, W55/X55))</f>
        <v>39.108698034969407</v>
      </c>
      <c r="Z55" s="64">
        <f ca="1">IF('Staging Table'!C57=1,"",(Y55/N55-1)+(RAND()/100000000000000))</f>
        <v>9.6825689547209118E-2</v>
      </c>
      <c r="AA55" s="45">
        <f t="shared" ca="1" si="4"/>
        <v>50</v>
      </c>
      <c r="AC55">
        <f t="shared" si="3"/>
        <v>1.0737238382520324</v>
      </c>
      <c r="AD55" s="119"/>
      <c r="AE55" s="119"/>
      <c r="AG55" s="119"/>
      <c r="AH55" s="119"/>
    </row>
    <row r="56" spans="2:34">
      <c r="B56" s="2">
        <v>10157</v>
      </c>
      <c r="C56" s="3" t="s">
        <v>60</v>
      </c>
      <c r="D56" s="115">
        <f>IF(Init!$R$9="Yes",'Staging Table'!E58,'Staging Table'!BR58)*Rates_previous!$E$76*100*12</f>
        <v>18017135.333999999</v>
      </c>
      <c r="E56" s="115">
        <f>IF(Init!$R$9="Yes",'Staging Table'!F58,'Staging Table'!BS58)*Rates_previous!$E$77*100*12</f>
        <v>-3678359.8169999998</v>
      </c>
      <c r="F56" s="116">
        <f>IF(Init!$R$9="Yes",SUMPRODUCT('Staging Table'!L58:AI58,LS_Demand_Rates_Restatement!$C$4:$Z$4)-IF(Init!$R$12="No",('Staging Table'!BH58*Rates_previous!$H$34), 0),SUMPRODUCT('Staging Table'!BY58:CV58,LS_Demand_Rates_Restatement!$C$4:$Z$4)-IF(Init!$R$12="No", 'Staging Table'!DU58*Rates_previous!$H$34, 0))</f>
        <v>175127.54690380255</v>
      </c>
      <c r="G56" s="116">
        <f>IF(Init!$R$9="Yes",SUMPRODUCT('Staging Table'!AJ58:AU58,LS_Demand_Rates_Restatement!$C$10:$N$10),SUMPRODUCT(LS_Demand_Rates_Restatement!$C$10:$N$10,'Staging Table'!CW58:DH58))*1000</f>
        <v>1495103.9577617524</v>
      </c>
      <c r="H56" s="117">
        <f>IF(Init!$R$9="Yes",'Staging Table'!BQ58,'Staging Table'!ED58)*IF(Init!$R$3=2022,Rates_previous!$C$88,Rates_previous!$D$88)</f>
        <v>0</v>
      </c>
      <c r="I56" s="115">
        <v>0</v>
      </c>
      <c r="J56" s="117">
        <f>IF(Init!$R$9="Yes",IF('Staging Table'!D58=1,'Staging Table'!H58*-1,'Staging Table'!H58*SUM(D56:I56)*(-1)),IF('Staging Table'!D58=1,'Staging Table'!BU58*-1,'Staging Table'!BU58*SUM(D56:I56)*(-1)))</f>
        <v>-965252.62851906905</v>
      </c>
      <c r="K56" s="115">
        <f>IF(Init!$R$9="Yes",'Staging Table'!K58,'Staging Table'!BX58)*(-1)*Rates_previous!$H$32</f>
        <v>0</v>
      </c>
      <c r="L56" s="115">
        <f>IF('Staging Table'!C58=1,"",SUM(D56:K56))</f>
        <v>15043754.393146485</v>
      </c>
      <c r="M56" s="115">
        <f>IF('Staging Table'!C58=1,"",IF(Init!$R$9="Yes",(RT1SC!$C$3*'Staging Table'!E58*'Staging Table'!$F$2)+SUM('Staging Table'!L58:AI58)-IF(Init!$R$12="No",'Staging Table'!BH58, 0),X56))</f>
        <v>438831.07199999999</v>
      </c>
      <c r="N56" s="69">
        <f>IF('Staging Table'!C58=1,"",IF(M56=0, 0, L56/M56))</f>
        <v>34.281424796525087</v>
      </c>
      <c r="O56" s="115">
        <f>'Staging Table'!BR58*Rates_current!$F$77*100*12</f>
        <v>18303392.8116</v>
      </c>
      <c r="P56" s="115">
        <f>'Staging Table'!BS58*Rates_current!$F$78*100*12</f>
        <v>-2931713.0027999999</v>
      </c>
      <c r="Q56" s="116">
        <f>SUMPRODUCT('Staging Table'!BY58:CV58, LS_Demand_Rates_Restatement!$C$5:$Z$5)-IF(Init!$R$12="No",('Staging Table'!DU58*Rates_current!$I$46), 0)</f>
        <v>515887.15658893739</v>
      </c>
      <c r="R56" s="116">
        <f>SUMPRODUCT('Staging Table'!CW58:DH58, LS_Demand_Rates_Restatement!$C$11:$N$11)*1000</f>
        <v>1720005.6916770837</v>
      </c>
      <c r="S56" s="117">
        <f>'Staging Table'!ED58*IF(Init!$R$15="Yes",IF(Init!$R$6=2024,Rates_current!$C$89,Rates_current!$D$89),Rates_current!$I$45)</f>
        <v>0</v>
      </c>
      <c r="T56" s="117">
        <v>0</v>
      </c>
      <c r="U56" s="117">
        <f>IF('Staging Table'!D58=1, 'Staging Table'!BU58*-1,SUM(O56:T56)*'Staging Table'!BU58*-1)</f>
        <v>-1133127.863730096</v>
      </c>
      <c r="V56" s="115">
        <f>'Staging Table'!BX58*Rates_current!$I$44*-1</f>
        <v>0</v>
      </c>
      <c r="W56" s="115">
        <f>IF('Staging Table'!C58=1,"",SUM(O56:V56))</f>
        <v>16474444.793335926</v>
      </c>
      <c r="X56" s="115">
        <f>IF('Staging Table'!C58=1,"",(RT1SC!$C$4*'Staging Table'!BR58*'Staging Table'!$BS$2)+SUM('Staging Table'!BY58:CV58)-IF(Init!$R$12="No",'Staging Table'!DU58, 0))</f>
        <v>440154.96</v>
      </c>
      <c r="Y56" s="69">
        <f>IF('Staging Table'!C58=1,"",IF(X56=0, 0, W56/X56))</f>
        <v>37.428738263760394</v>
      </c>
      <c r="Z56" s="64">
        <f ca="1">IF('Staging Table'!C58=1,"",(Y56/N56-1)+(RAND()/100000000000000))</f>
        <v>9.180812891868366E-2</v>
      </c>
      <c r="AA56" s="45">
        <f t="shared" ca="1" si="4"/>
        <v>71</v>
      </c>
      <c r="AC56">
        <f t="shared" si="3"/>
        <v>1.1504254822868778</v>
      </c>
      <c r="AD56" s="119"/>
      <c r="AE56" s="119"/>
      <c r="AG56" s="119"/>
      <c r="AH56" s="119"/>
    </row>
    <row r="57" spans="2:34">
      <c r="B57" s="2">
        <v>10158</v>
      </c>
      <c r="C57" s="3" t="s">
        <v>61</v>
      </c>
      <c r="D57" s="115">
        <f>IF(Init!$R$9="Yes",'Staging Table'!E59,'Staging Table'!BR59)*Rates_previous!$E$76*100*12</f>
        <v>818337.91320000007</v>
      </c>
      <c r="E57" s="115">
        <f>IF(Init!$R$9="Yes",'Staging Table'!F59,'Staging Table'!BS59)*Rates_previous!$E$77*100*12</f>
        <v>-167071.02659999998</v>
      </c>
      <c r="F57" s="116">
        <f>IF(Init!$R$9="Yes",SUMPRODUCT('Staging Table'!L59:AI59,LS_Demand_Rates_Restatement!$C$4:$Z$4)-IF(Init!$R$12="No",('Staging Table'!BH59*Rates_previous!$H$34), 0),SUMPRODUCT('Staging Table'!BY59:CV59,LS_Demand_Rates_Restatement!$C$4:$Z$4)-IF(Init!$R$12="No", 'Staging Table'!DU59*Rates_previous!$H$34, 0))</f>
        <v>-4498.1153386718306</v>
      </c>
      <c r="G57" s="116">
        <f>IF(Init!$R$9="Yes",SUMPRODUCT('Staging Table'!AJ59:AU59,LS_Demand_Rates_Restatement!$C$10:$N$10),SUMPRODUCT(LS_Demand_Rates_Restatement!$C$10:$N$10,'Staging Table'!CW59:DH59))*1000</f>
        <v>36595.208149786333</v>
      </c>
      <c r="H57" s="117">
        <f>IF(Init!$R$9="Yes",'Staging Table'!BQ59,'Staging Table'!ED59)*IF(Init!$R$3=2022,Rates_previous!$C$88,Rates_previous!$D$88)</f>
        <v>0</v>
      </c>
      <c r="I57" s="115">
        <v>0</v>
      </c>
      <c r="J57" s="117">
        <f>IF(Init!$R$9="Yes",IF('Staging Table'!D59=1,'Staging Table'!H59*-1,'Staging Table'!H59*SUM(D57:I57)*(-1)),IF('Staging Table'!D59=1,'Staging Table'!BU59*-1,'Staging Table'!BU59*SUM(D57:I57)*(-1)))</f>
        <v>0</v>
      </c>
      <c r="K57" s="115">
        <f>IF(Init!$R$9="Yes",'Staging Table'!K59,'Staging Table'!BX59)*(-1)*Rates_previous!$H$32</f>
        <v>0</v>
      </c>
      <c r="L57" s="115">
        <f>IF('Staging Table'!C59=1,"",SUM(D57:K57))</f>
        <v>683363.97941111459</v>
      </c>
      <c r="M57" s="115">
        <f>IF('Staging Table'!C59=1,"",IF(Init!$R$9="Yes",(RT1SC!$C$3*'Staging Table'!E59*'Staging Table'!$F$2)+SUM('Staging Table'!L59:AI59)-IF(Init!$R$12="No",'Staging Table'!BH59, 0),X57))</f>
        <v>19868.205093425397</v>
      </c>
      <c r="N57" s="69">
        <f>IF('Staging Table'!C59=1,"",IF(M57=0, 0, L57/M57))</f>
        <v>34.394852287751306</v>
      </c>
      <c r="O57" s="115">
        <f>'Staging Table'!BR59*Rates_current!$F$77*100*12</f>
        <v>826157.04599999986</v>
      </c>
      <c r="P57" s="115">
        <f>'Staging Table'!BS59*Rates_current!$F$78*100*12</f>
        <v>-132328.21799999999</v>
      </c>
      <c r="Q57" s="116">
        <f>SUMPRODUCT('Staging Table'!BY59:CV59, LS_Demand_Rates_Restatement!$C$5:$Z$5)-IF(Init!$R$12="No",('Staging Table'!DU59*Rates_current!$I$46), 0)</f>
        <v>20858.575662756361</v>
      </c>
      <c r="R57" s="116">
        <f>SUMPRODUCT('Staging Table'!CW59:DH59, LS_Demand_Rates_Restatement!$C$11:$N$11)*1000</f>
        <v>38313.961910701568</v>
      </c>
      <c r="S57" s="117">
        <f>'Staging Table'!ED59*IF(Init!$R$15="Yes",IF(Init!$R$6=2024,Rates_current!$C$89,Rates_current!$D$89),Rates_current!$I$45)</f>
        <v>-2.0415502981323517</v>
      </c>
      <c r="T57" s="117">
        <v>0</v>
      </c>
      <c r="U57" s="117">
        <f>IF('Staging Table'!D59=1, 'Staging Table'!BU59*-1,SUM(O57:T57)*'Staging Table'!BU59*-1)</f>
        <v>0</v>
      </c>
      <c r="V57" s="115">
        <f>'Staging Table'!BX59*Rates_current!$I$44*-1</f>
        <v>0</v>
      </c>
      <c r="W57" s="115">
        <f>IF('Staging Table'!C59=1,"",SUM(O57:V57))</f>
        <v>752999.32402315969</v>
      </c>
      <c r="X57" s="115">
        <f>IF('Staging Table'!C59=1,"",(RT1SC!$C$4*'Staging Table'!BR59*'Staging Table'!$BS$2)+SUM('Staging Table'!BY59:CV59)-IF(Init!$R$12="No",'Staging Table'!DU59, 0))</f>
        <v>19868.206172757247</v>
      </c>
      <c r="Y57" s="69">
        <f>IF('Staging Table'!C59=1,"",IF(X57=0, 0, W57/X57))</f>
        <v>37.899713616604814</v>
      </c>
      <c r="Z57" s="64">
        <f ca="1">IF('Staging Table'!C59=1,"",(Y57/N57-1)+(RAND()/100000000000000))</f>
        <v>0.10190075245945379</v>
      </c>
      <c r="AA57" s="45">
        <f t="shared" ca="1" si="4"/>
        <v>33</v>
      </c>
      <c r="AC57">
        <f t="shared" si="3"/>
        <v>1.0469666343713711</v>
      </c>
      <c r="AD57" s="119"/>
      <c r="AE57" s="119"/>
      <c r="AG57" s="119"/>
      <c r="AH57" s="119"/>
    </row>
    <row r="58" spans="2:34">
      <c r="B58" s="2">
        <v>10170</v>
      </c>
      <c r="C58" s="3" t="s">
        <v>62</v>
      </c>
      <c r="D58" s="115">
        <f>IF(Init!$R$9="Yes",'Staging Table'!E60,'Staging Table'!BR60)*Rates_previous!$E$76*100*12</f>
        <v>89467626.026879996</v>
      </c>
      <c r="E58" s="115">
        <f>IF(Init!$R$9="Yes",'Staging Table'!F60,'Staging Table'!BS60)*Rates_previous!$E$77*100*12</f>
        <v>-9148778.9013600014</v>
      </c>
      <c r="F58" s="116">
        <f>IF(Init!$R$9="Yes",SUMPRODUCT('Staging Table'!L60:AI60,LS_Demand_Rates_Restatement!$C$4:$Z$4)-IF(Init!$R$12="No",('Staging Table'!BH60*Rates_previous!$H$34), 0),SUMPRODUCT('Staging Table'!BY60:CV60,LS_Demand_Rates_Restatement!$C$4:$Z$4)-IF(Init!$R$12="No", 'Staging Table'!DU60*Rates_previous!$H$34, 0))</f>
        <v>-992831.36001512571</v>
      </c>
      <c r="G58" s="116">
        <f>IF(Init!$R$9="Yes",SUMPRODUCT('Staging Table'!AJ60:AU60,LS_Demand_Rates_Restatement!$C$10:$N$10),SUMPRODUCT(LS_Demand_Rates_Restatement!$C$10:$N$10,'Staging Table'!CW60:DH60))*1000</f>
        <v>0</v>
      </c>
      <c r="H58" s="117">
        <f>IF(Init!$R$9="Yes",'Staging Table'!BQ60,'Staging Table'!ED60)*IF(Init!$R$3=2022,Rates_previous!$C$88,Rates_previous!$D$88)</f>
        <v>0</v>
      </c>
      <c r="I58" s="115">
        <v>0</v>
      </c>
      <c r="J58" s="117">
        <f>IF(Init!$R$9="Yes",IF('Staging Table'!D60=1,'Staging Table'!H60*-1,'Staging Table'!H60*SUM(D58:I58)*(-1)),IF('Staging Table'!D60=1,'Staging Table'!BU60*-1,'Staging Table'!BU60*SUM(D58:I58)*(-1)))</f>
        <v>0</v>
      </c>
      <c r="K58" s="115">
        <f>IF(Init!$R$9="Yes",'Staging Table'!K60,'Staging Table'!BX60)*(-1)*Rates_previous!$H$32</f>
        <v>0</v>
      </c>
      <c r="L58" s="115">
        <f>IF('Staging Table'!C60=1,"",SUM(D58:K58))</f>
        <v>79326015.765504867</v>
      </c>
      <c r="M58" s="115">
        <f>IF('Staging Table'!C60=1,"",IF(Init!$R$9="Yes",(RT1SC!$C$3*'Staging Table'!E60*'Staging Table'!$F$2)+SUM('Staging Table'!L60:AI60)-IF(Init!$R$12="No",'Staging Table'!BH60, 0),X58))</f>
        <v>2178884.7663019132</v>
      </c>
      <c r="N58" s="69">
        <f>IF('Staging Table'!C60=1,"",IF(M58=0, 0, L58/M58))</f>
        <v>36.406705389996382</v>
      </c>
      <c r="O58" s="115">
        <f>'Staging Table'!BR60*Rates_current!$F$77*100*12</f>
        <v>90616478.776199996</v>
      </c>
      <c r="P58" s="115">
        <f>'Staging Table'!BS60*Rates_current!$F$78*100*12</f>
        <v>-7082380.4525999995</v>
      </c>
      <c r="Q58" s="116">
        <f>SUMPRODUCT('Staging Table'!BY60:CV60, LS_Demand_Rates_Restatement!$C$5:$Z$5)-IF(Init!$R$12="No",('Staging Table'!DU60*Rates_current!$I$46), 0)</f>
        <v>1867598.5897608232</v>
      </c>
      <c r="R58" s="116">
        <f>SUMPRODUCT('Staging Table'!CW60:DH60, LS_Demand_Rates_Restatement!$C$11:$N$11)*1000</f>
        <v>0</v>
      </c>
      <c r="S58" s="117">
        <f>'Staging Table'!ED60*IF(Init!$R$15="Yes",IF(Init!$R$6=2024,Rates_current!$C$89,Rates_current!$D$89),Rates_current!$I$45)</f>
        <v>0</v>
      </c>
      <c r="T58" s="117">
        <v>0</v>
      </c>
      <c r="U58" s="117">
        <f>IF('Staging Table'!D60=1, 'Staging Table'!BU60*-1,SUM(O58:T58)*'Staging Table'!BU60*-1)</f>
        <v>0</v>
      </c>
      <c r="V58" s="115">
        <f>'Staging Table'!BX60*Rates_current!$I$44*-1</f>
        <v>0</v>
      </c>
      <c r="W58" s="115">
        <f>IF('Staging Table'!C60=1,"",SUM(O58:V58))</f>
        <v>85401696.913360819</v>
      </c>
      <c r="X58" s="115">
        <f>IF('Staging Table'!C60=1,"",(RT1SC!$C$4*'Staging Table'!BR60*'Staging Table'!$BS$2)+SUM('Staging Table'!BY60:CV60)-IF(Init!$R$12="No",'Staging Table'!DU60, 0))</f>
        <v>2181942.1809337731</v>
      </c>
      <c r="Y58" s="69">
        <f>IF('Staging Table'!C60=1,"",IF(X58=0, 0, W58/X58))</f>
        <v>39.140219965321322</v>
      </c>
      <c r="Z58" s="64">
        <f ca="1">IF('Staging Table'!C60=1,"",(Y58/N58-1)+(RAND()/100000000000000))</f>
        <v>7.508272297762135E-2</v>
      </c>
      <c r="AA58" s="45">
        <f t="shared" ca="1" si="4"/>
        <v>103</v>
      </c>
      <c r="AC58" t="str">
        <f t="shared" si="3"/>
        <v/>
      </c>
      <c r="AD58" s="119"/>
      <c r="AE58" s="119"/>
      <c r="AG58" s="119"/>
      <c r="AH58" s="119"/>
    </row>
    <row r="59" spans="2:34">
      <c r="B59" s="2">
        <v>10172</v>
      </c>
      <c r="C59" s="3" t="s">
        <v>63</v>
      </c>
      <c r="D59" s="115">
        <f>IF(Init!$R$9="Yes",'Staging Table'!E61,'Staging Table'!BR61)*Rates_previous!$E$76*100*12</f>
        <v>1901732.6116800001</v>
      </c>
      <c r="E59" s="115">
        <f>IF(Init!$R$9="Yes",'Staging Table'!F61,'Staging Table'!BS61)*Rates_previous!$E$77*100*12</f>
        <v>-388255.77384000004</v>
      </c>
      <c r="F59" s="116">
        <f>IF(Init!$R$9="Yes",SUMPRODUCT('Staging Table'!L61:AI61,LS_Demand_Rates_Restatement!$C$4:$Z$4)-IF(Init!$R$12="No",('Staging Table'!BH61*Rates_previous!$H$34), 0),SUMPRODUCT('Staging Table'!BY61:CV61,LS_Demand_Rates_Restatement!$C$4:$Z$4)-IF(Init!$R$12="No", 'Staging Table'!DU61*Rates_previous!$H$34, 0))</f>
        <v>-27815.964455488775</v>
      </c>
      <c r="G59" s="116">
        <f>IF(Init!$R$9="Yes",SUMPRODUCT('Staging Table'!AJ61:AU61,LS_Demand_Rates_Restatement!$C$10:$N$10),SUMPRODUCT(LS_Demand_Rates_Restatement!$C$10:$N$10,'Staging Table'!CW61:DH61))*1000</f>
        <v>222954.5056551015</v>
      </c>
      <c r="H59" s="117">
        <f>IF(Init!$R$9="Yes",'Staging Table'!BQ61,'Staging Table'!ED61)*IF(Init!$R$3=2022,Rates_previous!$C$88,Rates_previous!$D$88)</f>
        <v>0</v>
      </c>
      <c r="I59" s="115">
        <v>0</v>
      </c>
      <c r="J59" s="117">
        <f>IF(Init!$R$9="Yes",IF('Staging Table'!D61=1,'Staging Table'!H61*-1,'Staging Table'!H61*SUM(D59:I59)*(-1)),IF('Staging Table'!D61=1,'Staging Table'!BU61*-1,'Staging Table'!BU61*SUM(D59:I59)*(-1)))</f>
        <v>0</v>
      </c>
      <c r="K59" s="115">
        <f>IF(Init!$R$9="Yes",'Staging Table'!K61,'Staging Table'!BX61)*(-1)*Rates_previous!$H$32</f>
        <v>0</v>
      </c>
      <c r="L59" s="115">
        <f>IF('Staging Table'!C61=1,"",SUM(D59:K59))</f>
        <v>1708615.3790396128</v>
      </c>
      <c r="M59" s="115">
        <f>IF('Staging Table'!C61=1,"",IF(Init!$R$9="Yes",(RT1SC!$C$3*'Staging Table'!E61*'Staging Table'!$F$2)+SUM('Staging Table'!L61:AI61)-IF(Init!$R$12="No",'Staging Table'!BH61, 0),X59))</f>
        <v>45691.072217110952</v>
      </c>
      <c r="N59" s="69">
        <f>IF('Staging Table'!C61=1,"",IF(M59=0, 0, L59/M59))</f>
        <v>37.394950394702043</v>
      </c>
      <c r="O59" s="115">
        <f>'Staging Table'!BR61*Rates_current!$F$77*100*12</f>
        <v>1900161.2058000001</v>
      </c>
      <c r="P59" s="115">
        <f>'Staging Table'!BS61*Rates_current!$F$78*100*12</f>
        <v>-304354.90139999997</v>
      </c>
      <c r="Q59" s="116">
        <f>SUMPRODUCT('Staging Table'!BY61:CV61, LS_Demand_Rates_Restatement!$C$5:$Z$5)-IF(Init!$R$12="No",('Staging Table'!DU61*Rates_current!$I$46), 0)</f>
        <v>44908.496915339645</v>
      </c>
      <c r="R59" s="116">
        <f>SUMPRODUCT('Staging Table'!CW61:DH61, LS_Demand_Rates_Restatement!$C$11:$N$11)*1000</f>
        <v>249011.79984919875</v>
      </c>
      <c r="S59" s="117">
        <f>'Staging Table'!ED61*IF(Init!$R$15="Yes",IF(Init!$R$6=2024,Rates_current!$C$89,Rates_current!$D$89),Rates_current!$I$45)</f>
        <v>4.2109743143414375</v>
      </c>
      <c r="T59" s="117">
        <v>0</v>
      </c>
      <c r="U59" s="117">
        <f>IF('Staging Table'!D61=1, 'Staging Table'!BU61*-1,SUM(O59:T59)*'Staging Table'!BU61*-1)</f>
        <v>0</v>
      </c>
      <c r="V59" s="115">
        <f>'Staging Table'!BX61*Rates_current!$I$44*-1</f>
        <v>0</v>
      </c>
      <c r="W59" s="115">
        <f>IF('Staging Table'!C61=1,"",SUM(O59:V59))</f>
        <v>1889730.8121388529</v>
      </c>
      <c r="X59" s="115">
        <f>IF('Staging Table'!C61=1,"",(RT1SC!$C$4*'Staging Table'!BR61*'Staging Table'!$BS$2)+SUM('Staging Table'!BY61:CV61)-IF(Init!$R$12="No",'Staging Table'!DU61, 0))</f>
        <v>45691.074697341668</v>
      </c>
      <c r="Y59" s="69">
        <f>IF('Staging Table'!C61=1,"",IF(X59=0, 0, W59/X59))</f>
        <v>41.35886110485378</v>
      </c>
      <c r="Z59" s="64">
        <f ca="1">IF('Staging Table'!C61=1,"",(Y59/N59-1)+(RAND()/100000000000000))</f>
        <v>0.10600122926526184</v>
      </c>
      <c r="AA59" s="45">
        <f t="shared" ca="1" si="4"/>
        <v>21</v>
      </c>
      <c r="AC59">
        <f t="shared" si="3"/>
        <v>1.116872696147287</v>
      </c>
      <c r="AD59" s="119"/>
      <c r="AE59" s="119"/>
      <c r="AG59" s="119"/>
      <c r="AH59" s="119"/>
    </row>
    <row r="60" spans="2:34">
      <c r="B60" s="2">
        <v>10173</v>
      </c>
      <c r="C60" s="3" t="s">
        <v>64</v>
      </c>
      <c r="D60" s="115">
        <f>IF(Init!$R$9="Yes",'Staging Table'!E62,'Staging Table'!BR62)*Rates_previous!$E$76*100*12</f>
        <v>11948231.75976</v>
      </c>
      <c r="E60" s="115">
        <f>IF(Init!$R$9="Yes",'Staging Table'!F62,'Staging Table'!BS62)*Rates_previous!$E$77*100*12</f>
        <v>-2439338.7058800003</v>
      </c>
      <c r="F60" s="116">
        <f>IF(Init!$R$9="Yes",SUMPRODUCT('Staging Table'!L62:AI62,LS_Demand_Rates_Restatement!$C$4:$Z$4)-IF(Init!$R$12="No",('Staging Table'!BH62*Rates_previous!$H$34), 0),SUMPRODUCT('Staging Table'!BY62:CV62,LS_Demand_Rates_Restatement!$C$4:$Z$4)-IF(Init!$R$12="No", 'Staging Table'!DU62*Rates_previous!$H$34, 0))</f>
        <v>0</v>
      </c>
      <c r="G60" s="116">
        <f>IF(Init!$R$9="Yes",SUMPRODUCT('Staging Table'!AJ62:AU62,LS_Demand_Rates_Restatement!$C$10:$N$10),SUMPRODUCT(LS_Demand_Rates_Restatement!$C$10:$N$10,'Staging Table'!CW62:DH62))*1000</f>
        <v>0</v>
      </c>
      <c r="H60" s="117">
        <f>IF(Init!$R$9="Yes",'Staging Table'!BQ62,'Staging Table'!ED62)*IF(Init!$R$3=2022,Rates_previous!$C$88,Rates_previous!$D$88)</f>
        <v>0</v>
      </c>
      <c r="I60" s="115">
        <v>0</v>
      </c>
      <c r="J60" s="117">
        <f>IF(Init!$R$9="Yes",IF('Staging Table'!D62=1,'Staging Table'!H62*-1,'Staging Table'!H62*SUM(D60:I60)*(-1)),IF('Staging Table'!D62=1,'Staging Table'!BU62*-1,'Staging Table'!BU62*SUM(D60:I60)*(-1)))</f>
        <v>-806120.49864346208</v>
      </c>
      <c r="K60" s="115">
        <f>IF(Init!$R$9="Yes",'Staging Table'!K62,'Staging Table'!BX62)*(-1)*Rates_previous!$H$32</f>
        <v>-512666.65372</v>
      </c>
      <c r="L60" s="115" t="str">
        <f>IF('Staging Table'!C62=1,"",SUM(D60:K60))</f>
        <v/>
      </c>
      <c r="M60" s="115" t="str">
        <f>IF('Staging Table'!C62=1,"",IF(Init!$R$9="Yes",(RT1SC!$C$3*'Staging Table'!E62*'Staging Table'!$F$2)+SUM('Staging Table'!L62:AI62)-IF(Init!$R$12="No",'Staging Table'!BH62, 0),X60))</f>
        <v/>
      </c>
      <c r="N60" s="69" t="str">
        <f>IF('Staging Table'!C62=1,"",IF(M60=0, 0, L60/M60))</f>
        <v/>
      </c>
      <c r="O60" s="115">
        <f>'Staging Table'!BR62*Rates_current!$F$77*100*12</f>
        <v>12138033.9912</v>
      </c>
      <c r="P60" s="115">
        <f>'Staging Table'!BS62*Rates_current!$F$78*100*12</f>
        <v>-1944187.7496</v>
      </c>
      <c r="Q60" s="116">
        <f>SUMPRODUCT('Staging Table'!BY62:CV62, LS_Demand_Rates_Restatement!$C$5:$Z$5)-IF(Init!$R$12="No",('Staging Table'!DU62*Rates_current!$I$46), 0)</f>
        <v>0</v>
      </c>
      <c r="R60" s="116">
        <f>SUMPRODUCT('Staging Table'!CW62:DH62, LS_Demand_Rates_Restatement!$C$11:$N$11)*1000</f>
        <v>0</v>
      </c>
      <c r="S60" s="117">
        <f>'Staging Table'!ED62*IF(Init!$R$15="Yes",IF(Init!$R$6=2024,Rates_current!$C$89,Rates_current!$D$89),Rates_current!$I$45)</f>
        <v>0</v>
      </c>
      <c r="T60" s="117">
        <v>0</v>
      </c>
      <c r="U60" s="117">
        <f>IF('Staging Table'!D62=1, 'Staging Table'!BU62*-1,SUM(O60:T60)*'Staging Table'!BU62*-1)</f>
        <v>-1003292.7808087154</v>
      </c>
      <c r="V60" s="115">
        <f>'Staging Table'!BX62*Rates_current!$I$44*-1</f>
        <v>-529947.55216000008</v>
      </c>
      <c r="W60" s="115" t="str">
        <f>IF('Staging Table'!C62=1,"",SUM(O60:V60))</f>
        <v/>
      </c>
      <c r="X60" s="115" t="str">
        <f>IF('Staging Table'!C62=1,"",(RT1SC!$C$4*'Staging Table'!BR62*'Staging Table'!$BS$2)+SUM('Staging Table'!BY62:CV62)-IF(Init!$R$12="No",'Staging Table'!DU62, 0))</f>
        <v/>
      </c>
      <c r="Y60" s="69" t="str">
        <f>IF('Staging Table'!C62=1,"",IF(X60=0, 0, W60/X60))</f>
        <v/>
      </c>
      <c r="Z60" s="64" t="str">
        <f ca="1">IF('Staging Table'!C62=1,"",(Y60/N60-1)+(RAND()/100000000000000))</f>
        <v/>
      </c>
      <c r="AA60" s="45" t="str">
        <f t="shared" ca="1" si="4"/>
        <v/>
      </c>
      <c r="AC60" t="str">
        <f t="shared" si="3"/>
        <v/>
      </c>
      <c r="AD60" s="119"/>
      <c r="AE60" s="119"/>
      <c r="AG60" s="119"/>
      <c r="AH60" s="119"/>
    </row>
    <row r="61" spans="2:34">
      <c r="B61" s="2">
        <v>10174</v>
      </c>
      <c r="C61" s="3" t="s">
        <v>65</v>
      </c>
      <c r="D61" s="115">
        <f>IF(Init!$R$9="Yes",'Staging Table'!E63,'Staging Table'!BR63)*Rates_previous!$E$76*100*12</f>
        <v>178863.50735999999</v>
      </c>
      <c r="E61" s="115">
        <f>IF(Init!$R$9="Yes",'Staging Table'!F63,'Staging Table'!BS63)*Rates_previous!$E$77*100*12</f>
        <v>-36516.589679999997</v>
      </c>
      <c r="F61" s="116">
        <f>IF(Init!$R$9="Yes",SUMPRODUCT('Staging Table'!L63:AI63,LS_Demand_Rates_Restatement!$C$4:$Z$4)-IF(Init!$R$12="No",('Staging Table'!BH63*Rates_previous!$H$34), 0),SUMPRODUCT('Staging Table'!BY63:CV63,LS_Demand_Rates_Restatement!$C$4:$Z$4)-IF(Init!$R$12="No", 'Staging Table'!DU63*Rates_previous!$H$34, 0))</f>
        <v>5458.1249842823527</v>
      </c>
      <c r="G61" s="116">
        <f>IF(Init!$R$9="Yes",SUMPRODUCT('Staging Table'!AJ63:AU63,LS_Demand_Rates_Restatement!$C$10:$N$10),SUMPRODUCT(LS_Demand_Rates_Restatement!$C$10:$N$10,'Staging Table'!CW63:DH63))*1000</f>
        <v>38960.666878766024</v>
      </c>
      <c r="H61" s="117">
        <f>IF(Init!$R$9="Yes",'Staging Table'!BQ63,'Staging Table'!ED63)*IF(Init!$R$3=2022,Rates_previous!$C$88,Rates_previous!$D$88)</f>
        <v>0</v>
      </c>
      <c r="I61" s="115">
        <v>0</v>
      </c>
      <c r="J61" s="117">
        <f>IF(Init!$R$9="Yes",IF('Staging Table'!D63=1,'Staging Table'!H63*-1,'Staging Table'!H63*SUM(D61:I61)*(-1)),IF('Staging Table'!D63=1,'Staging Table'!BU63*-1,'Staging Table'!BU63*SUM(D61:I61)*(-1)))</f>
        <v>0</v>
      </c>
      <c r="K61" s="115">
        <f>IF(Init!$R$9="Yes",'Staging Table'!K63,'Staging Table'!BX63)*(-1)*Rates_previous!$H$32</f>
        <v>0</v>
      </c>
      <c r="L61" s="115">
        <f>IF('Staging Table'!C63=1,"",SUM(D61:K61))</f>
        <v>186765.70954304838</v>
      </c>
      <c r="M61" s="115">
        <f>IF('Staging Table'!C63=1,"",IF(Init!$R$9="Yes",(RT1SC!$C$3*'Staging Table'!E63*'Staging Table'!$F$2)+SUM('Staging Table'!L63:AI63)-IF(Init!$R$12="No",'Staging Table'!BH63, 0),X61))</f>
        <v>4453.4880000000003</v>
      </c>
      <c r="N61" s="69">
        <f>IF('Staging Table'!C63=1,"",IF(M61=0, 0, L61/M61))</f>
        <v>41.936951338602093</v>
      </c>
      <c r="O61" s="115">
        <f>'Staging Table'!BR63*Rates_current!$F$77*100*12</f>
        <v>185691.09779999999</v>
      </c>
      <c r="P61" s="115">
        <f>'Staging Table'!BS63*Rates_current!$F$78*100*12</f>
        <v>-29742.737399999998</v>
      </c>
      <c r="Q61" s="116">
        <f>SUMPRODUCT('Staging Table'!BY63:CV63, LS_Demand_Rates_Restatement!$C$5:$Z$5)-IF(Init!$R$12="No",('Staging Table'!DU63*Rates_current!$I$46), 0)</f>
        <v>6149.4432881776083</v>
      </c>
      <c r="R61" s="116">
        <f>SUMPRODUCT('Staging Table'!CW63:DH63, LS_Demand_Rates_Restatement!$C$11:$N$11)*1000</f>
        <v>43143.195509241465</v>
      </c>
      <c r="S61" s="117">
        <f>'Staging Table'!ED63*IF(Init!$R$15="Yes",IF(Init!$R$6=2024,Rates_current!$C$89,Rates_current!$D$89),Rates_current!$I$45)</f>
        <v>0</v>
      </c>
      <c r="T61" s="117">
        <v>0</v>
      </c>
      <c r="U61" s="117">
        <f>IF('Staging Table'!D63=1, 'Staging Table'!BU63*-1,SUM(O61:T61)*'Staging Table'!BU63*-1)</f>
        <v>0</v>
      </c>
      <c r="V61" s="115">
        <f>'Staging Table'!BX63*Rates_current!$I$44*-1</f>
        <v>0</v>
      </c>
      <c r="W61" s="115">
        <f>IF('Staging Table'!C63=1,"",SUM(O61:V61))</f>
        <v>205240.99919741906</v>
      </c>
      <c r="X61" s="115">
        <f>IF('Staging Table'!C63=1,"",(RT1SC!$C$4*'Staging Table'!BR63*'Staging Table'!$BS$2)+SUM('Staging Table'!BY63:CV63)-IF(Init!$R$12="No",'Staging Table'!DU63, 0))</f>
        <v>4467.6000000000004</v>
      </c>
      <c r="Y61" s="69">
        <f>IF('Staging Table'!C63=1,"",IF(X61=0, 0, W61/X61))</f>
        <v>45.939878054754018</v>
      </c>
      <c r="Z61" s="64">
        <f ca="1">IF('Staging Table'!C63=1,"",(Y61/N61-1)+(RAND()/100000000000000))</f>
        <v>9.5451066145275251E-2</v>
      </c>
      <c r="AA61" s="45">
        <f t="shared" ca="1" si="4"/>
        <v>61</v>
      </c>
      <c r="AC61">
        <f t="shared" si="3"/>
        <v>1.1073525934114583</v>
      </c>
      <c r="AD61" s="119"/>
      <c r="AE61" s="119"/>
      <c r="AG61" s="119"/>
      <c r="AH61" s="119"/>
    </row>
    <row r="62" spans="2:34">
      <c r="B62" s="2">
        <v>10177</v>
      </c>
      <c r="C62" s="3" t="s">
        <v>66</v>
      </c>
      <c r="D62" s="115">
        <f>IF(Init!$R$9="Yes",'Staging Table'!E64,'Staging Table'!BR64)*Rates_previous!$E$76*100*12</f>
        <v>3122139.7461599996</v>
      </c>
      <c r="E62" s="115">
        <f>IF(Init!$R$9="Yes",'Staging Table'!F64,'Staging Table'!BS64)*Rates_previous!$E$77*100*12</f>
        <v>-637412.83907999995</v>
      </c>
      <c r="F62" s="116">
        <f>IF(Init!$R$9="Yes",SUMPRODUCT('Staging Table'!L64:AI64,LS_Demand_Rates_Restatement!$C$4:$Z$4)-IF(Init!$R$12="No",('Staging Table'!BH64*Rates_previous!$H$34), 0),SUMPRODUCT('Staging Table'!BY64:CV64,LS_Demand_Rates_Restatement!$C$4:$Z$4)-IF(Init!$R$12="No", 'Staging Table'!DU64*Rates_previous!$H$34, 0))</f>
        <v>351485.11545038258</v>
      </c>
      <c r="G62" s="116">
        <f>IF(Init!$R$9="Yes",SUMPRODUCT('Staging Table'!AJ64:AU64,LS_Demand_Rates_Restatement!$C$10:$N$10),SUMPRODUCT(LS_Demand_Rates_Restatement!$C$10:$N$10,'Staging Table'!CW64:DH64))*1000</f>
        <v>516624.75541752134</v>
      </c>
      <c r="H62" s="117">
        <f>IF(Init!$R$9="Yes",'Staging Table'!BQ64,'Staging Table'!ED64)*IF(Init!$R$3=2022,Rates_previous!$C$88,Rates_previous!$D$88)</f>
        <v>0</v>
      </c>
      <c r="I62" s="115">
        <v>0</v>
      </c>
      <c r="J62" s="117">
        <f>IF(Init!$R$9="Yes",IF('Staging Table'!D64=1,'Staging Table'!H64*-1,'Staging Table'!H64*SUM(D62:I62)*(-1)),IF('Staging Table'!D64=1,'Staging Table'!BU64*-1,'Staging Table'!BU64*SUM(D62:I62)*(-1)))</f>
        <v>-234698.57445635326</v>
      </c>
      <c r="K62" s="115">
        <f>IF(Init!$R$9="Yes",'Staging Table'!K64,'Staging Table'!BX64)*(-1)*Rates_previous!$H$32</f>
        <v>0</v>
      </c>
      <c r="L62" s="115">
        <f>IF('Staging Table'!C64=1,"",SUM(D62:K62))</f>
        <v>3118138.2034915504</v>
      </c>
      <c r="M62" s="115">
        <f>IF('Staging Table'!C64=1,"",IF(Init!$R$9="Yes",(RT1SC!$C$3*'Staging Table'!E64*'Staging Table'!$F$2)+SUM('Staging Table'!L64:AI64)-IF(Init!$R$12="No",'Staging Table'!BH64, 0),X62))</f>
        <v>84648.90035643852</v>
      </c>
      <c r="N62" s="69">
        <f>IF('Staging Table'!C64=1,"",IF(M62=0, 0, L62/M62))</f>
        <v>36.836133610262316</v>
      </c>
      <c r="O62" s="115">
        <f>'Staging Table'!BR64*Rates_current!$F$77*100*12</f>
        <v>3520102.3728</v>
      </c>
      <c r="P62" s="115">
        <f>'Staging Table'!BS64*Rates_current!$F$78*100*12</f>
        <v>-563826.06239999994</v>
      </c>
      <c r="Q62" s="116">
        <f>SUMPRODUCT('Staging Table'!BY64:CV64, LS_Demand_Rates_Restatement!$C$5:$Z$5)-IF(Init!$R$12="No",('Staging Table'!DU64*Rates_current!$I$46), 0)</f>
        <v>97825.725210665929</v>
      </c>
      <c r="R62" s="116">
        <f>SUMPRODUCT('Staging Table'!CW64:DH64, LS_Demand_Rates_Restatement!$C$11:$N$11)*1000</f>
        <v>569457.20466515305</v>
      </c>
      <c r="S62" s="117">
        <f>'Staging Table'!ED64*IF(Init!$R$15="Yes",IF(Init!$R$6=2024,Rates_current!$C$89,Rates_current!$D$89),Rates_current!$I$45)</f>
        <v>-3.9769879787176614</v>
      </c>
      <c r="T62" s="117">
        <v>0</v>
      </c>
      <c r="U62" s="117">
        <f>IF('Staging Table'!D64=1, 'Staging Table'!BU64*-1,SUM(O62:T62)*'Staging Table'!BU64*-1)</f>
        <v>-253648.86843014881</v>
      </c>
      <c r="V62" s="115">
        <f>'Staging Table'!BX64*Rates_current!$I$44*-1</f>
        <v>0</v>
      </c>
      <c r="W62" s="115">
        <f>IF('Staging Table'!C64=1,"",SUM(O62:V62))</f>
        <v>3369906.3948576911</v>
      </c>
      <c r="X62" s="115">
        <f>IF('Staging Table'!C64=1,"",(RT1SC!$C$4*'Staging Table'!BR64*'Staging Table'!$BS$2)+SUM('Staging Table'!BY64:CV64)-IF(Init!$R$12="No",'Staging Table'!DU64, 0))</f>
        <v>84648.904996901736</v>
      </c>
      <c r="Y62" s="69">
        <f>IF('Staging Table'!C64=1,"",IF(X62=0, 0, W62/X62))</f>
        <v>39.810395597923382</v>
      </c>
      <c r="Z62" s="64">
        <f ca="1">IF('Staging Table'!C64=1,"",(Y62/N62-1)+(RAND()/100000000000000))</f>
        <v>8.0743055694445148E-2</v>
      </c>
      <c r="AA62" s="45">
        <f t="shared" ca="1" si="4"/>
        <v>94</v>
      </c>
      <c r="AC62">
        <f t="shared" si="3"/>
        <v>1.1022646489422174</v>
      </c>
      <c r="AD62" s="119"/>
      <c r="AE62" s="119"/>
      <c r="AG62" s="119"/>
      <c r="AH62" s="119"/>
    </row>
    <row r="63" spans="2:34">
      <c r="B63" s="2">
        <v>10179</v>
      </c>
      <c r="C63" s="3" t="s">
        <v>67</v>
      </c>
      <c r="D63" s="115">
        <f>IF(Init!$R$9="Yes",'Staging Table'!E65,'Staging Table'!BR65)*Rates_previous!$E$76*100*12</f>
        <v>60163157.101679996</v>
      </c>
      <c r="E63" s="115">
        <f>IF(Init!$R$9="Yes",'Staging Table'!F65,'Staging Table'!BS65)*Rates_previous!$E$77*100*12</f>
        <v>-12282848.26884</v>
      </c>
      <c r="F63" s="116">
        <f>IF(Init!$R$9="Yes",SUMPRODUCT('Staging Table'!L65:AI65,LS_Demand_Rates_Restatement!$C$4:$Z$4)-IF(Init!$R$12="No",('Staging Table'!BH65*Rates_previous!$H$34), 0),SUMPRODUCT('Staging Table'!BY65:CV65,LS_Demand_Rates_Restatement!$C$4:$Z$4)-IF(Init!$R$12="No", 'Staging Table'!DU65*Rates_previous!$H$34, 0))</f>
        <v>0</v>
      </c>
      <c r="G63" s="116">
        <f>IF(Init!$R$9="Yes",SUMPRODUCT('Staging Table'!AJ65:AU65,LS_Demand_Rates_Restatement!$C$10:$N$10),SUMPRODUCT(LS_Demand_Rates_Restatement!$C$10:$N$10,'Staging Table'!CW65:DH65))*1000</f>
        <v>0</v>
      </c>
      <c r="H63" s="117">
        <f>IF(Init!$R$9="Yes",'Staging Table'!BQ65,'Staging Table'!ED65)*IF(Init!$R$3=2022,Rates_previous!$C$88,Rates_previous!$D$88)</f>
        <v>0</v>
      </c>
      <c r="I63" s="115">
        <v>0</v>
      </c>
      <c r="J63" s="117">
        <f>IF(Init!$R$9="Yes",IF('Staging Table'!D65=1,'Staging Table'!H65*-1,'Staging Table'!H65*SUM(D63:I63)*(-1)),IF('Staging Table'!D65=1,'Staging Table'!BU65*-1,'Staging Table'!BU65*SUM(D63:I63)*(-1)))</f>
        <v>0</v>
      </c>
      <c r="K63" s="115">
        <f>IF(Init!$R$9="Yes",'Staging Table'!K65,'Staging Table'!BX65)*(-1)*Rates_previous!$H$32</f>
        <v>0</v>
      </c>
      <c r="L63" s="115" t="str">
        <f>IF('Staging Table'!C65=1,"",SUM(D63:K63))</f>
        <v/>
      </c>
      <c r="M63" s="115" t="str">
        <f>IF('Staging Table'!C65=1,"",IF(Init!$R$9="Yes",(RT1SC!$C$3*'Staging Table'!E65*'Staging Table'!$F$2)+SUM('Staging Table'!L65:AI65)-IF(Init!$R$12="No",'Staging Table'!BH65, 0),X63))</f>
        <v/>
      </c>
      <c r="N63" s="69" t="str">
        <f>IF('Staging Table'!C65=1,"",IF(M63=0, 0, L63/M63))</f>
        <v/>
      </c>
      <c r="O63" s="115">
        <f>'Staging Table'!BR65*Rates_current!$F$77*100*12</f>
        <v>61119564.433200002</v>
      </c>
      <c r="P63" s="115">
        <f>'Staging Table'!BS65*Rates_current!$F$78*100*12</f>
        <v>-9789716.2356000002</v>
      </c>
      <c r="Q63" s="116">
        <f>SUMPRODUCT('Staging Table'!BY65:CV65, LS_Demand_Rates_Restatement!$C$5:$Z$5)-IF(Init!$R$12="No",('Staging Table'!DU65*Rates_current!$I$46), 0)</f>
        <v>0</v>
      </c>
      <c r="R63" s="116">
        <f>SUMPRODUCT('Staging Table'!CW65:DH65, LS_Demand_Rates_Restatement!$C$11:$N$11)*1000</f>
        <v>0</v>
      </c>
      <c r="S63" s="117">
        <f>'Staging Table'!ED65*IF(Init!$R$15="Yes",IF(Init!$R$6=2024,Rates_current!$C$89,Rates_current!$D$89),Rates_current!$I$45)</f>
        <v>0</v>
      </c>
      <c r="T63" s="117">
        <v>0</v>
      </c>
      <c r="U63" s="117">
        <f>IF('Staging Table'!D65=1, 'Staging Table'!BU65*-1,SUM(O63:T63)*'Staging Table'!BU65*-1)</f>
        <v>0</v>
      </c>
      <c r="V63" s="115">
        <f>'Staging Table'!BX65*Rates_current!$I$44*-1</f>
        <v>0</v>
      </c>
      <c r="W63" s="115" t="str">
        <f>IF('Staging Table'!C65=1,"",SUM(O63:V63))</f>
        <v/>
      </c>
      <c r="X63" s="115" t="str">
        <f>IF('Staging Table'!C65=1,"",(RT1SC!$C$4*'Staging Table'!BR65*'Staging Table'!$BS$2)+SUM('Staging Table'!BY65:CV65)-IF(Init!$R$12="No",'Staging Table'!DU65, 0))</f>
        <v/>
      </c>
      <c r="Y63" s="69" t="str">
        <f>IF('Staging Table'!C65=1,"",IF(X63=0, 0, W63/X63))</f>
        <v/>
      </c>
      <c r="Z63" s="64" t="str">
        <f ca="1">IF('Staging Table'!C65=1,"",(Y63/N63-1)+(RAND()/100000000000000))</f>
        <v/>
      </c>
      <c r="AA63" s="45" t="str">
        <f t="shared" ca="1" si="4"/>
        <v/>
      </c>
      <c r="AC63" t="str">
        <f t="shared" si="3"/>
        <v/>
      </c>
      <c r="AD63" s="119"/>
      <c r="AE63" s="119"/>
      <c r="AG63" s="119"/>
      <c r="AH63" s="119"/>
    </row>
    <row r="64" spans="2:34">
      <c r="B64" s="2">
        <v>10183</v>
      </c>
      <c r="C64" s="3" t="s">
        <v>68</v>
      </c>
      <c r="D64" s="115">
        <f>IF(Init!$R$9="Yes",'Staging Table'!E66,'Staging Table'!BR66)*Rates_previous!$E$76*100*12</f>
        <v>42321895.912799999</v>
      </c>
      <c r="E64" s="115">
        <f>IF(Init!$R$9="Yes",'Staging Table'!F66,'Staging Table'!BS66)*Rates_previous!$E$77*100*12</f>
        <v>-4680480.8240400003</v>
      </c>
      <c r="F64" s="116">
        <f>IF(Init!$R$9="Yes",SUMPRODUCT('Staging Table'!L66:AI66,LS_Demand_Rates_Restatement!$C$4:$Z$4)-IF(Init!$R$12="No",('Staging Table'!BH66*Rates_previous!$H$34), 0),SUMPRODUCT('Staging Table'!BY66:CV66,LS_Demand_Rates_Restatement!$C$4:$Z$4)-IF(Init!$R$12="No", 'Staging Table'!DU66*Rates_previous!$H$34, 0))</f>
        <v>-553123.18232913222</v>
      </c>
      <c r="G64" s="116">
        <f>IF(Init!$R$9="Yes",SUMPRODUCT('Staging Table'!AJ66:AU66,LS_Demand_Rates_Restatement!$C$10:$N$10),SUMPRODUCT(LS_Demand_Rates_Restatement!$C$10:$N$10,'Staging Table'!CW66:DH66))*1000</f>
        <v>0</v>
      </c>
      <c r="H64" s="117">
        <f>IF(Init!$R$9="Yes",'Staging Table'!BQ66,'Staging Table'!ED66)*IF(Init!$R$3=2022,Rates_previous!$C$88,Rates_previous!$D$88)</f>
        <v>0</v>
      </c>
      <c r="I64" s="115">
        <v>0</v>
      </c>
      <c r="J64" s="117">
        <f>IF(Init!$R$9="Yes",IF('Staging Table'!D66=1,'Staging Table'!H66*-1,'Staging Table'!H66*SUM(D64:I64)*(-1)),IF('Staging Table'!D66=1,'Staging Table'!BU66*-1,'Staging Table'!BU66*SUM(D64:I64)*(-1)))</f>
        <v>0</v>
      </c>
      <c r="K64" s="115">
        <f>IF(Init!$R$9="Yes",'Staging Table'!K66,'Staging Table'!BX66)*(-1)*Rates_previous!$H$32</f>
        <v>-1092291.84779</v>
      </c>
      <c r="L64" s="115">
        <f>IF('Staging Table'!C66=1,"",SUM(D64:K64))</f>
        <v>35996000.05864086</v>
      </c>
      <c r="M64" s="115">
        <f>IF('Staging Table'!C66=1,"",IF(Init!$R$9="Yes",(RT1SC!$C$3*'Staging Table'!E66*'Staging Table'!$F$2)+SUM('Staging Table'!L66:AI66)-IF(Init!$R$12="No",'Staging Table'!BH66, 0),X64))</f>
        <v>1030842.9709274916</v>
      </c>
      <c r="N64" s="69">
        <f>IF('Staging Table'!C66=1,"",IF(M64=0, 0, L64/M64))</f>
        <v>34.918994525668431</v>
      </c>
      <c r="O64" s="115">
        <f>'Staging Table'!BR66*Rates_current!$F$77*100*12</f>
        <v>42994611.184199996</v>
      </c>
      <c r="P64" s="115">
        <f>'Staging Table'!BS66*Rates_current!$F$78*100*12</f>
        <v>-3658481.1468000002</v>
      </c>
      <c r="Q64" s="116">
        <f>SUMPRODUCT('Staging Table'!BY66:CV66, LS_Demand_Rates_Restatement!$C$5:$Z$5)-IF(Init!$R$12="No",('Staging Table'!DU66*Rates_current!$I$46), 0)</f>
        <v>803220.74594875658</v>
      </c>
      <c r="R64" s="116">
        <f>SUMPRODUCT('Staging Table'!CW66:DH66, LS_Demand_Rates_Restatement!$C$11:$N$11)*1000</f>
        <v>0</v>
      </c>
      <c r="S64" s="117">
        <f>'Staging Table'!ED66*IF(Init!$R$15="Yes",IF(Init!$R$6=2024,Rates_current!$C$89,Rates_current!$D$89),Rates_current!$I$45)</f>
        <v>0</v>
      </c>
      <c r="T64" s="117">
        <v>0</v>
      </c>
      <c r="U64" s="117">
        <f>IF('Staging Table'!D66=1, 'Staging Table'!BU66*-1,SUM(O64:T64)*'Staging Table'!BU66*-1)</f>
        <v>0</v>
      </c>
      <c r="V64" s="115">
        <f>'Staging Table'!BX66*Rates_current!$I$44*-1</f>
        <v>-1129110.6741200001</v>
      </c>
      <c r="W64" s="115">
        <f>IF('Staging Table'!C66=1,"",SUM(O64:V64))</f>
        <v>39010240.109228745</v>
      </c>
      <c r="X64" s="115">
        <f>IF('Staging Table'!C66=1,"",(RT1SC!$C$4*'Staging Table'!BR66*'Staging Table'!$BS$2)+SUM('Staging Table'!BY66:CV66)-IF(Init!$R$12="No",'Staging Table'!DU66, 0))</f>
        <v>1035150.7665587526</v>
      </c>
      <c r="Y64" s="69">
        <f>IF('Staging Table'!C66=1,"",IF(X64=0, 0, W64/X64))</f>
        <v>37.685563658436045</v>
      </c>
      <c r="Z64" s="64">
        <f ca="1">IF('Staging Table'!C66=1,"",(Y64/N64-1)+(RAND()/100000000000000))</f>
        <v>7.9228201451627386E-2</v>
      </c>
      <c r="AA64" s="45">
        <f t="shared" ca="1" si="4"/>
        <v>97</v>
      </c>
      <c r="AC64" t="str">
        <f t="shared" si="3"/>
        <v/>
      </c>
      <c r="AD64" s="119"/>
      <c r="AE64" s="119"/>
      <c r="AG64" s="119"/>
      <c r="AH64" s="119"/>
    </row>
    <row r="65" spans="2:34">
      <c r="B65" s="2">
        <v>10186</v>
      </c>
      <c r="C65" s="3" t="s">
        <v>69</v>
      </c>
      <c r="D65" s="115">
        <f>IF(Init!$R$9="Yes",'Staging Table'!E67,'Staging Table'!BR67)*Rates_previous!$E$76*100*12</f>
        <v>6364352.2089599986</v>
      </c>
      <c r="E65" s="115">
        <f>IF(Init!$R$9="Yes",'Staging Table'!F67,'Staging Table'!BS67)*Rates_previous!$E$77*100*12</f>
        <v>-1299339.60048</v>
      </c>
      <c r="F65" s="116">
        <f>IF(Init!$R$9="Yes",SUMPRODUCT('Staging Table'!L67:AI67,LS_Demand_Rates_Restatement!$C$4:$Z$4)-IF(Init!$R$12="No",('Staging Table'!BH67*Rates_previous!$H$34), 0),SUMPRODUCT('Staging Table'!BY67:CV67,LS_Demand_Rates_Restatement!$C$4:$Z$4)-IF(Init!$R$12="No", 'Staging Table'!DU67*Rates_previous!$H$34, 0))</f>
        <v>242547.43288235748</v>
      </c>
      <c r="G65" s="116">
        <f>IF(Init!$R$9="Yes",SUMPRODUCT('Staging Table'!AJ67:AU67,LS_Demand_Rates_Restatement!$C$10:$N$10),SUMPRODUCT(LS_Demand_Rates_Restatement!$C$10:$N$10,'Staging Table'!CW67:DH67))*1000</f>
        <v>325419.2650684563</v>
      </c>
      <c r="H65" s="117">
        <f>IF(Init!$R$9="Yes",'Staging Table'!BQ67,'Staging Table'!ED67)*IF(Init!$R$3=2022,Rates_previous!$C$88,Rates_previous!$D$88)</f>
        <v>0</v>
      </c>
      <c r="I65" s="115">
        <v>0</v>
      </c>
      <c r="J65" s="117">
        <f>IF(Init!$R$9="Yes",IF('Staging Table'!D67=1,'Staging Table'!H67*-1,'Staging Table'!H67*SUM(D65:I65)*(-1)),IF('Staging Table'!D67=1,'Staging Table'!BU67*-1,'Staging Table'!BU67*SUM(D65:I65)*(-1)))</f>
        <v>-394308.55145015696</v>
      </c>
      <c r="K65" s="115">
        <f>IF(Init!$R$9="Yes",'Staging Table'!K67,'Staging Table'!BX67)*(-1)*Rates_previous!$H$32</f>
        <v>0</v>
      </c>
      <c r="L65" s="115">
        <f>IF('Staging Table'!C67=1,"",SUM(D65:K65))</f>
        <v>5238670.7549806563</v>
      </c>
      <c r="M65" s="115">
        <f>IF('Staging Table'!C67=1,"",IF(Init!$R$9="Yes",(RT1SC!$C$3*'Staging Table'!E67*'Staging Table'!$F$2)+SUM('Staging Table'!L67:AI67)-IF(Init!$R$12="No",'Staging Table'!BH67, 0),X65))</f>
        <v>161980.05872658512</v>
      </c>
      <c r="N65" s="69">
        <f>IF('Staging Table'!C67=1,"",IF(M65=0, 0, L65/M65))</f>
        <v>32.341454844286055</v>
      </c>
      <c r="O65" s="115">
        <f>'Staging Table'!BR67*Rates_current!$F$77*100*12</f>
        <v>6735899.2506000008</v>
      </c>
      <c r="P65" s="115">
        <f>'Staging Table'!BS67*Rates_current!$F$78*100*12</f>
        <v>-1078910.5398000001</v>
      </c>
      <c r="Q65" s="116">
        <f>SUMPRODUCT('Staging Table'!BY67:CV67, LS_Demand_Rates_Restatement!$C$5:$Z$5)-IF(Init!$R$12="No",('Staging Table'!DU67*Rates_current!$I$46), 0)</f>
        <v>148549.31612957956</v>
      </c>
      <c r="R65" s="116">
        <f>SUMPRODUCT('Staging Table'!CW67:DH67, LS_Demand_Rates_Restatement!$C$11:$N$11)*1000</f>
        <v>363808.38154387474</v>
      </c>
      <c r="S65" s="117">
        <f>'Staging Table'!ED67*IF(Init!$R$15="Yes",IF(Init!$R$6=2024,Rates_current!$C$89,Rates_current!$D$89),Rates_current!$I$45)</f>
        <v>4.2386600928904956</v>
      </c>
      <c r="T65" s="117">
        <v>0</v>
      </c>
      <c r="U65" s="117">
        <f>IF('Staging Table'!D67=1, 'Staging Table'!BU67*-1,SUM(O65:T65)*'Staging Table'!BU67*-1)</f>
        <v>-431854.5452993483</v>
      </c>
      <c r="V65" s="115">
        <f>'Staging Table'!BX67*Rates_current!$I$44*-1</f>
        <v>0</v>
      </c>
      <c r="W65" s="115">
        <f>IF('Staging Table'!C67=1,"",SUM(O65:V65))</f>
        <v>5737496.1018341985</v>
      </c>
      <c r="X65" s="115">
        <f>IF('Staging Table'!C67=1,"",(RT1SC!$C$4*'Staging Table'!BR67*'Staging Table'!$BS$2)+SUM('Staging Table'!BY67:CV67)-IF(Init!$R$12="No",'Staging Table'!DU67, 0))</f>
        <v>161980.06756183173</v>
      </c>
      <c r="Y65" s="69">
        <f>IF('Staging Table'!C67=1,"",IF(X65=0, 0, W65/X65))</f>
        <v>35.421000794706153</v>
      </c>
      <c r="Z65" s="64">
        <f ca="1">IF('Staging Table'!C67=1,"",(Y65/N65-1)+(RAND()/100000000000000))</f>
        <v>9.5219771814451251E-2</v>
      </c>
      <c r="AA65" s="45">
        <f t="shared" ca="1" si="4"/>
        <v>62</v>
      </c>
      <c r="AC65">
        <f t="shared" si="3"/>
        <v>1.117968173971946</v>
      </c>
      <c r="AD65" s="119"/>
      <c r="AE65" s="119"/>
      <c r="AG65" s="119"/>
      <c r="AH65" s="119"/>
    </row>
    <row r="66" spans="2:34">
      <c r="B66" s="2">
        <v>10190</v>
      </c>
      <c r="C66" s="3" t="s">
        <v>70</v>
      </c>
      <c r="D66" s="115">
        <f>IF(Init!$R$9="Yes",'Staging Table'!E68,'Staging Table'!BR68)*Rates_previous!$E$76*100*12</f>
        <v>1872337.2163199997</v>
      </c>
      <c r="E66" s="115">
        <f>IF(Init!$R$9="Yes",'Staging Table'!F68,'Staging Table'!BS68)*Rates_previous!$E$77*100*12</f>
        <v>-382254.44015999994</v>
      </c>
      <c r="F66" s="116">
        <f>IF(Init!$R$9="Yes",SUMPRODUCT('Staging Table'!L68:AI68,LS_Demand_Rates_Restatement!$C$4:$Z$4)-IF(Init!$R$12="No",('Staging Table'!BH68*Rates_previous!$H$34), 0),SUMPRODUCT('Staging Table'!BY68:CV68,LS_Demand_Rates_Restatement!$C$4:$Z$4)-IF(Init!$R$12="No", 'Staging Table'!DU68*Rates_previous!$H$34, 0))</f>
        <v>59535.285173806275</v>
      </c>
      <c r="G66" s="116">
        <f>IF(Init!$R$9="Yes",SUMPRODUCT('Staging Table'!AJ68:AU68,LS_Demand_Rates_Restatement!$C$10:$N$10),SUMPRODUCT(LS_Demand_Rates_Restatement!$C$10:$N$10,'Staging Table'!CW68:DH68))*1000</f>
        <v>167171.56674409725</v>
      </c>
      <c r="H66" s="117">
        <f>IF(Init!$R$9="Yes",'Staging Table'!BQ68,'Staging Table'!ED68)*IF(Init!$R$3=2022,Rates_previous!$C$88,Rates_previous!$D$88)</f>
        <v>0</v>
      </c>
      <c r="I66" s="115">
        <v>0</v>
      </c>
      <c r="J66" s="117">
        <f>IF(Init!$R$9="Yes",IF('Staging Table'!D68=1,'Staging Table'!H68*-1,'Staging Table'!H68*SUM(D66:I66)*(-1)),IF('Staging Table'!D68=1,'Staging Table'!BU68*-1,'Staging Table'!BU68*SUM(D66:I66)*(-1)))</f>
        <v>0</v>
      </c>
      <c r="K66" s="115">
        <f>IF(Init!$R$9="Yes",'Staging Table'!K68,'Staging Table'!BX68)*(-1)*Rates_previous!$H$32</f>
        <v>0</v>
      </c>
      <c r="L66" s="115">
        <f>IF('Staging Table'!C68=1,"",SUM(D66:K66))</f>
        <v>1716789.6280779033</v>
      </c>
      <c r="M66" s="115">
        <f>IF('Staging Table'!C68=1,"",IF(Init!$R$9="Yes",(RT1SC!$C$3*'Staging Table'!E68*'Staging Table'!$F$2)+SUM('Staging Table'!L68:AI68)-IF(Init!$R$12="No",'Staging Table'!BH68, 0),X66))</f>
        <v>45606.527999999998</v>
      </c>
      <c r="N66" s="69">
        <f>IF('Staging Table'!C68=1,"",IF(M66=0, 0, L66/M66))</f>
        <v>37.643506387460661</v>
      </c>
      <c r="O66" s="115">
        <f>'Staging Table'!BR68*Rates_current!$F$77*100*12</f>
        <v>1901974.0896000001</v>
      </c>
      <c r="P66" s="115">
        <f>'Staging Table'!BS68*Rates_current!$F$78*100*12</f>
        <v>-304645.27679999999</v>
      </c>
      <c r="Q66" s="116">
        <f>SUMPRODUCT('Staging Table'!BY68:CV68, LS_Demand_Rates_Restatement!$C$5:$Z$5)-IF(Init!$R$12="No",('Staging Table'!DU68*Rates_current!$I$46), 0)</f>
        <v>92318.107643750118</v>
      </c>
      <c r="R66" s="116">
        <f>SUMPRODUCT('Staging Table'!CW68:DH68, LS_Demand_Rates_Restatement!$C$11:$N$11)*1000</f>
        <v>182193.63029383909</v>
      </c>
      <c r="S66" s="117">
        <f>'Staging Table'!ED68*IF(Init!$R$15="Yes",IF(Init!$R$6=2024,Rates_current!$C$89,Rates_current!$D$89),Rates_current!$I$45)</f>
        <v>0</v>
      </c>
      <c r="T66" s="117">
        <v>0</v>
      </c>
      <c r="U66" s="117">
        <f>IF('Staging Table'!D68=1, 'Staging Table'!BU68*-1,SUM(O66:T66)*'Staging Table'!BU68*-1)</f>
        <v>0</v>
      </c>
      <c r="V66" s="115">
        <f>'Staging Table'!BX68*Rates_current!$I$44*-1</f>
        <v>0</v>
      </c>
      <c r="W66" s="115">
        <f>IF('Staging Table'!C68=1,"",SUM(O66:V66))</f>
        <v>1871840.5507375891</v>
      </c>
      <c r="X66" s="115">
        <f>IF('Staging Table'!C68=1,"",(RT1SC!$C$4*'Staging Table'!BR68*'Staging Table'!$BS$2)+SUM('Staging Table'!BY68:CV68)-IF(Init!$R$12="No",'Staging Table'!DU68, 0))</f>
        <v>45733.990699915114</v>
      </c>
      <c r="Y66" s="69">
        <f>IF('Staging Table'!C68=1,"",IF(X66=0, 0, W66/X66))</f>
        <v>40.928869798826966</v>
      </c>
      <c r="Z66" s="64">
        <f ca="1">IF('Staging Table'!C68=1,"",(Y66/N66-1)+(RAND()/100000000000000))</f>
        <v>8.7275701087746196E-2</v>
      </c>
      <c r="AA66" s="45">
        <f t="shared" ca="1" si="4"/>
        <v>86</v>
      </c>
      <c r="AC66">
        <f t="shared" si="3"/>
        <v>1.0898601588913581</v>
      </c>
      <c r="AD66" s="119"/>
      <c r="AE66" s="119"/>
      <c r="AG66" s="119"/>
      <c r="AH66" s="119"/>
    </row>
    <row r="67" spans="2:34">
      <c r="B67" s="2">
        <v>10191</v>
      </c>
      <c r="C67" s="3" t="s">
        <v>71</v>
      </c>
      <c r="D67" s="115">
        <f>IF(Init!$R$9="Yes",'Staging Table'!E69,'Staging Table'!BR69)*Rates_previous!$E$76*100*12</f>
        <v>43445647.00152</v>
      </c>
      <c r="E67" s="115">
        <f>IF(Init!$R$9="Yes",'Staging Table'!F69,'Staging Table'!BS69)*Rates_previous!$E$77*100*12</f>
        <v>-8869818.6027599983</v>
      </c>
      <c r="F67" s="116">
        <f>IF(Init!$R$9="Yes",SUMPRODUCT('Staging Table'!L69:AI69,LS_Demand_Rates_Restatement!$C$4:$Z$4)-IF(Init!$R$12="No",('Staging Table'!BH69*Rates_previous!$H$34), 0),SUMPRODUCT('Staging Table'!BY69:CV69,LS_Demand_Rates_Restatement!$C$4:$Z$4)-IF(Init!$R$12="No", 'Staging Table'!DU69*Rates_previous!$H$34, 0))</f>
        <v>2215785.7004304603</v>
      </c>
      <c r="G67" s="116">
        <f>IF(Init!$R$9="Yes",SUMPRODUCT('Staging Table'!AJ69:AU69,LS_Demand_Rates_Restatement!$C$10:$N$10),SUMPRODUCT(LS_Demand_Rates_Restatement!$C$10:$N$10,'Staging Table'!CW69:DH69))*1000</f>
        <v>2294759.9369259626</v>
      </c>
      <c r="H67" s="117">
        <f>IF(Init!$R$9="Yes",'Staging Table'!BQ69,'Staging Table'!ED69)*IF(Init!$R$3=2022,Rates_previous!$C$88,Rates_previous!$D$88)</f>
        <v>0</v>
      </c>
      <c r="I67" s="115">
        <v>0</v>
      </c>
      <c r="J67" s="117">
        <f>IF(Init!$R$9="Yes",IF('Staging Table'!D69=1,'Staging Table'!H69*-1,'Staging Table'!H69*SUM(D67:I67)*(-1)),IF('Staging Table'!D69=1,'Staging Table'!BU69*-1,'Staging Table'!BU69*SUM(D67:I67)*(-1)))</f>
        <v>0</v>
      </c>
      <c r="K67" s="115">
        <f>IF(Init!$R$9="Yes",'Staging Table'!K69,'Staging Table'!BX69)*(-1)*Rates_previous!$H$32</f>
        <v>0</v>
      </c>
      <c r="L67" s="115">
        <f>IF('Staging Table'!C69=1,"",SUM(D67:K67))</f>
        <v>39086374.036116429</v>
      </c>
      <c r="M67" s="115">
        <f>IF('Staging Table'!C69=1,"",IF(Init!$R$9="Yes",(RT1SC!$C$3*'Staging Table'!E69*'Staging Table'!$F$2)+SUM('Staging Table'!L69:AI69)-IF(Init!$R$12="No",'Staging Table'!BH69, 0),X67))</f>
        <v>1116286.6929599643</v>
      </c>
      <c r="N67" s="69">
        <f>IF('Staging Table'!C69=1,"",IF(M67=0, 0, L67/M67))</f>
        <v>35.014637621876822</v>
      </c>
      <c r="O67" s="115">
        <f>'Staging Table'!BR69*Rates_current!$F$77*100*12</f>
        <v>46419666.649200007</v>
      </c>
      <c r="P67" s="115">
        <f>'Staging Table'!BS69*Rates_current!$F$78*100*12</f>
        <v>-7435186.5636000009</v>
      </c>
      <c r="Q67" s="116">
        <f>SUMPRODUCT('Staging Table'!BY69:CV69, LS_Demand_Rates_Restatement!$C$5:$Z$5)-IF(Init!$R$12="No",('Staging Table'!DU69*Rates_current!$I$46), 0)</f>
        <v>1068186.6385528478</v>
      </c>
      <c r="R67" s="116">
        <f>SUMPRODUCT('Staging Table'!CW69:DH69, LS_Demand_Rates_Restatement!$C$11:$N$11)*1000</f>
        <v>2412319.0458835033</v>
      </c>
      <c r="S67" s="117">
        <f>'Staging Table'!ED69*IF(Init!$R$15="Yes",IF(Init!$R$6=2024,Rates_current!$C$89,Rates_current!$D$89),Rates_current!$I$45)</f>
        <v>0.17889030330814421</v>
      </c>
      <c r="T67" s="117">
        <v>0</v>
      </c>
      <c r="U67" s="117">
        <f>IF('Staging Table'!D69=1, 'Staging Table'!BU69*-1,SUM(O67:T67)*'Staging Table'!BU69*-1)</f>
        <v>0</v>
      </c>
      <c r="V67" s="115">
        <f>'Staging Table'!BX69*Rates_current!$I$44*-1</f>
        <v>0</v>
      </c>
      <c r="W67" s="115">
        <f>IF('Staging Table'!C69=1,"",SUM(O67:V67))</f>
        <v>42464985.948926657</v>
      </c>
      <c r="X67" s="115">
        <f>IF('Staging Table'!C69=1,"",(RT1SC!$C$4*'Staging Table'!BR69*'Staging Table'!$BS$2)+SUM('Staging Table'!BY69:CV69)-IF(Init!$R$12="No",'Staging Table'!DU69, 0))</f>
        <v>1116286.7538942518</v>
      </c>
      <c r="Y67" s="69">
        <f>IF('Staging Table'!C69=1,"",IF(X67=0, 0, W67/X67))</f>
        <v>38.041288047882233</v>
      </c>
      <c r="Z67" s="64">
        <f ca="1">IF('Staging Table'!C69=1,"",(Y67/N67-1)+(RAND()/100000000000000))</f>
        <v>8.6439575890811651E-2</v>
      </c>
      <c r="AA67" s="45">
        <f t="shared" ca="1" si="4"/>
        <v>89</v>
      </c>
      <c r="AC67">
        <f t="shared" si="3"/>
        <v>1.0512293713454932</v>
      </c>
      <c r="AD67" s="119"/>
      <c r="AE67" s="119"/>
      <c r="AG67" s="119"/>
      <c r="AH67" s="119"/>
    </row>
    <row r="68" spans="2:34">
      <c r="B68" s="2">
        <v>10197</v>
      </c>
      <c r="C68" s="3" t="s">
        <v>72</v>
      </c>
      <c r="D68" s="115">
        <f>IF(Init!$R$9="Yes",'Staging Table'!E70,'Staging Table'!BR70)*Rates_previous!$E$76*100*12</f>
        <v>8205799.3487999998</v>
      </c>
      <c r="E68" s="115">
        <f>IF(Init!$R$9="Yes",'Staging Table'!F70,'Staging Table'!BS70)*Rates_previous!$E$77*100*12</f>
        <v>-1675287.5543999998</v>
      </c>
      <c r="F68" s="116">
        <f>IF(Init!$R$9="Yes",SUMPRODUCT('Staging Table'!L70:AI70,LS_Demand_Rates_Restatement!$C$4:$Z$4)-IF(Init!$R$12="No",('Staging Table'!BH70*Rates_previous!$H$34), 0),SUMPRODUCT('Staging Table'!BY70:CV70,LS_Demand_Rates_Restatement!$C$4:$Z$4)-IF(Init!$R$12="No", 'Staging Table'!DU70*Rates_previous!$H$34, 0))</f>
        <v>-862311.67984791473</v>
      </c>
      <c r="G68" s="116">
        <f>IF(Init!$R$9="Yes",SUMPRODUCT('Staging Table'!AJ70:AU70,LS_Demand_Rates_Restatement!$C$10:$N$10),SUMPRODUCT(LS_Demand_Rates_Restatement!$C$10:$N$10,'Staging Table'!CW70:DH70))*1000</f>
        <v>627924.96343832801</v>
      </c>
      <c r="H68" s="117">
        <f>IF(Init!$R$9="Yes",'Staging Table'!BQ70,'Staging Table'!ED70)*IF(Init!$R$3=2022,Rates_previous!$C$88,Rates_previous!$D$88)</f>
        <v>0</v>
      </c>
      <c r="I68" s="115">
        <v>0</v>
      </c>
      <c r="J68" s="117">
        <f>IF(Init!$R$9="Yes",IF('Staging Table'!D70=1,'Staging Table'!H70*-1,'Staging Table'!H70*SUM(D68:I68)*(-1)),IF('Staging Table'!D70=1,'Staging Table'!BU70*-1,'Staging Table'!BU70*SUM(D68:I68)*(-1)))</f>
        <v>-546857.74289666314</v>
      </c>
      <c r="K68" s="115">
        <f>IF(Init!$R$9="Yes",'Staging Table'!K70,'Staging Table'!BX70)*(-1)*Rates_previous!$H$32</f>
        <v>-1155833.8018499999</v>
      </c>
      <c r="L68" s="115">
        <f>IF('Staging Table'!C70=1,"",SUM(D68:K68))</f>
        <v>4593433.5332437512</v>
      </c>
      <c r="M68" s="115">
        <f>IF('Staging Table'!C70=1,"",IF(Init!$R$9="Yes",(RT1SC!$C$3*'Staging Table'!E70*'Staging Table'!$F$2)+SUM('Staging Table'!L70:AI70)-IF(Init!$R$12="No",'Staging Table'!BH70, 0),X68))</f>
        <v>185575.2639368136</v>
      </c>
      <c r="N68" s="69">
        <f>IF('Staging Table'!C70=1,"",IF(M68=0, 0, L68/M68))</f>
        <v>24.752401994738729</v>
      </c>
      <c r="O68" s="115">
        <f>'Staging Table'!BR70*Rates_current!$F$77*100*12</f>
        <v>8336157.6792000001</v>
      </c>
      <c r="P68" s="115">
        <f>'Staging Table'!BS70*Rates_current!$F$78*100*12</f>
        <v>-1335229.0536</v>
      </c>
      <c r="Q68" s="116">
        <f>SUMPRODUCT('Staging Table'!BY70:CV70, LS_Demand_Rates_Restatement!$C$5:$Z$5)-IF(Init!$R$12="No",('Staging Table'!DU70*Rates_current!$I$46), 0)</f>
        <v>-119445.15933640726</v>
      </c>
      <c r="R68" s="116">
        <f>SUMPRODUCT('Staging Table'!CW70:DH70, LS_Demand_Rates_Restatement!$C$11:$N$11)*1000</f>
        <v>696305.35517503566</v>
      </c>
      <c r="S68" s="117">
        <f>'Staging Table'!ED70*IF(Init!$R$15="Yes",IF(Init!$R$6=2024,Rates_current!$C$89,Rates_current!$D$89),Rates_current!$I$45)</f>
        <v>0</v>
      </c>
      <c r="T68" s="117">
        <v>0</v>
      </c>
      <c r="U68" s="117">
        <f>IF('Staging Table'!D70=1, 'Staging Table'!BU70*-1,SUM(O68:T68)*'Staging Table'!BU70*-1)</f>
        <v>-618412.33865151566</v>
      </c>
      <c r="V68" s="115">
        <f>'Staging Table'!BX70*Rates_current!$I$44*-1</f>
        <v>-1194794.4918</v>
      </c>
      <c r="W68" s="115">
        <f>IF('Staging Table'!C70=1,"",SUM(O68:V68))</f>
        <v>5764581.9909871127</v>
      </c>
      <c r="X68" s="115">
        <f>IF('Staging Table'!C70=1,"",(RT1SC!$C$4*'Staging Table'!BR70*'Staging Table'!$BS$2)+SUM('Staging Table'!BY70:CV70)-IF(Init!$R$12="No",'Staging Table'!DU70, 0))</f>
        <v>200458.6108334515</v>
      </c>
      <c r="Y68" s="69">
        <f>IF('Staging Table'!C70=1,"",IF(X68=0, 0, W68/X68))</f>
        <v>28.756968668093499</v>
      </c>
      <c r="Z68" s="64">
        <f ca="1">IF('Staging Table'!C70=1,"",(Y68/N68-1)+(RAND()/100000000000000))</f>
        <v>0.16178497239201253</v>
      </c>
      <c r="AA68" s="45">
        <f t="shared" ref="AA68:AA99" ca="1" si="5">IF(Z68="","",RANK(Z68,$Z$4:$Z$137))</f>
        <v>5</v>
      </c>
      <c r="AC68">
        <f t="shared" si="3"/>
        <v>1.1088989858951892</v>
      </c>
      <c r="AD68" s="119"/>
      <c r="AE68" s="119"/>
      <c r="AG68" s="119"/>
      <c r="AH68" s="119"/>
    </row>
    <row r="69" spans="2:34">
      <c r="B69" s="2">
        <v>10202</v>
      </c>
      <c r="C69" s="3" t="s">
        <v>73</v>
      </c>
      <c r="D69" s="115">
        <f>IF(Init!$R$9="Yes",'Staging Table'!E71,'Staging Table'!BR71)*Rates_previous!$E$76*100*12</f>
        <v>4724188.7932799999</v>
      </c>
      <c r="E69" s="115">
        <f>IF(Init!$R$9="Yes",'Staging Table'!F71,'Staging Table'!BS71)*Rates_previous!$E$77*100*12</f>
        <v>-964485.52463999984</v>
      </c>
      <c r="F69" s="116">
        <f>IF(Init!$R$9="Yes",SUMPRODUCT('Staging Table'!L71:AI71,LS_Demand_Rates_Restatement!$C$4:$Z$4)-IF(Init!$R$12="No",('Staging Table'!BH71*Rates_previous!$H$34), 0),SUMPRODUCT('Staging Table'!BY71:CV71,LS_Demand_Rates_Restatement!$C$4:$Z$4)-IF(Init!$R$12="No", 'Staging Table'!DU71*Rates_previous!$H$34, 0))</f>
        <v>141492.15807164938</v>
      </c>
      <c r="G69" s="116">
        <f>IF(Init!$R$9="Yes",SUMPRODUCT('Staging Table'!AJ71:AU71,LS_Demand_Rates_Restatement!$C$10:$N$10),SUMPRODUCT(LS_Demand_Rates_Restatement!$C$10:$N$10,'Staging Table'!CW71:DH71))*1000</f>
        <v>320057.9370056623</v>
      </c>
      <c r="H69" s="117">
        <f>IF(Init!$R$9="Yes",'Staging Table'!BQ71,'Staging Table'!ED71)*IF(Init!$R$3=2022,Rates_previous!$C$88,Rates_previous!$D$88)</f>
        <v>0</v>
      </c>
      <c r="I69" s="115">
        <v>0</v>
      </c>
      <c r="J69" s="117">
        <f>IF(Init!$R$9="Yes",IF('Staging Table'!D71=1,'Staging Table'!H71*-1,'Staging Table'!H71*SUM(D69:I69)*(-1)),IF('Staging Table'!D71=1,'Staging Table'!BU71*-1,'Staging Table'!BU71*SUM(D69:I69)*(-1)))</f>
        <v>0</v>
      </c>
      <c r="K69" s="115">
        <f>IF(Init!$R$9="Yes",'Staging Table'!K71,'Staging Table'!BX71)*(-1)*Rates_previous!$H$32</f>
        <v>0</v>
      </c>
      <c r="L69" s="115">
        <f>IF('Staging Table'!C71=1,"",SUM(D69:K69))</f>
        <v>4221253.3637173111</v>
      </c>
      <c r="M69" s="115">
        <f>IF('Staging Table'!C71=1,"",IF(Init!$R$9="Yes",(RT1SC!$C$3*'Staging Table'!E71*'Staging Table'!$F$2)+SUM('Staging Table'!L71:AI71)-IF(Init!$R$12="No",'Staging Table'!BH71, 0),X69))</f>
        <v>115061.61599999999</v>
      </c>
      <c r="N69" s="69">
        <f>IF('Staging Table'!C71=1,"",IF(M69=0, 0, L69/M69))</f>
        <v>36.686894469805736</v>
      </c>
      <c r="O69" s="115">
        <f>'Staging Table'!BR71*Rates_current!$F$77*100*12</f>
        <v>4798962.4020000007</v>
      </c>
      <c r="P69" s="115">
        <f>'Staging Table'!BS71*Rates_current!$F$78*100*12</f>
        <v>-768665.16599999997</v>
      </c>
      <c r="Q69" s="116">
        <f>SUMPRODUCT('Staging Table'!BY71:CV71, LS_Demand_Rates_Restatement!$C$5:$Z$5)-IF(Init!$R$12="No",('Staging Table'!DU71*Rates_current!$I$46), 0)</f>
        <v>248013.12646362878</v>
      </c>
      <c r="R69" s="116">
        <f>SUMPRODUCT('Staging Table'!CW71:DH71, LS_Demand_Rates_Restatement!$C$11:$N$11)*1000</f>
        <v>366885.53388638725</v>
      </c>
      <c r="S69" s="117">
        <f>'Staging Table'!ED71*IF(Init!$R$15="Yes",IF(Init!$R$6=2024,Rates_current!$C$89,Rates_current!$D$89),Rates_current!$I$45)</f>
        <v>0</v>
      </c>
      <c r="T69" s="117">
        <v>0</v>
      </c>
      <c r="U69" s="117">
        <f>IF('Staging Table'!D71=1, 'Staging Table'!BU71*-1,SUM(O69:T69)*'Staging Table'!BU71*-1)</f>
        <v>0</v>
      </c>
      <c r="V69" s="115">
        <f>'Staging Table'!BX71*Rates_current!$I$44*-1</f>
        <v>0</v>
      </c>
      <c r="W69" s="115">
        <f>IF('Staging Table'!C71=1,"",SUM(O69:V69))</f>
        <v>4645195.8963500159</v>
      </c>
      <c r="X69" s="115">
        <f>IF('Staging Table'!C71=1,"",(RT1SC!$C$4*'Staging Table'!BR71*'Staging Table'!$BS$2)+SUM('Staging Table'!BY71:CV71)-IF(Init!$R$12="No",'Staging Table'!DU71, 0))</f>
        <v>115401.16081228585</v>
      </c>
      <c r="Y69" s="69">
        <f>IF('Staging Table'!C71=1,"",IF(X69=0, 0, W69/X69))</f>
        <v>40.252592466604362</v>
      </c>
      <c r="Z69" s="64">
        <f ca="1">IF('Staging Table'!C71=1,"",(Y69/N69-1)+(RAND()/100000000000000))</f>
        <v>9.719269096852387E-2</v>
      </c>
      <c r="AA69" s="45">
        <f t="shared" ca="1" si="5"/>
        <v>48</v>
      </c>
      <c r="AC69">
        <f t="shared" ref="AC69:AC127" si="6">IF(ISERROR(R69/G69),"",R69/G69)</f>
        <v>1.1463097504121464</v>
      </c>
      <c r="AD69" s="119"/>
      <c r="AE69" s="119"/>
      <c r="AG69" s="119"/>
      <c r="AH69" s="119"/>
    </row>
    <row r="70" spans="2:34">
      <c r="B70" s="2">
        <v>10203</v>
      </c>
      <c r="C70" s="3" t="s">
        <v>74</v>
      </c>
      <c r="D70" s="115">
        <f>IF(Init!$R$9="Yes",'Staging Table'!E72,'Staging Table'!BR72)*Rates_previous!$E$76*100*12</f>
        <v>2240776.1124</v>
      </c>
      <c r="E70" s="115">
        <f>IF(Init!$R$9="Yes",'Staging Table'!F72,'Staging Table'!BS72)*Rates_previous!$E$77*100*12</f>
        <v>-457474.54619999998</v>
      </c>
      <c r="F70" s="116">
        <f>IF(Init!$R$9="Yes",SUMPRODUCT('Staging Table'!L72:AI72,LS_Demand_Rates_Restatement!$C$4:$Z$4)-IF(Init!$R$12="No",('Staging Table'!BH72*Rates_previous!$H$34), 0),SUMPRODUCT('Staging Table'!BY72:CV72,LS_Demand_Rates_Restatement!$C$4:$Z$4)-IF(Init!$R$12="No", 'Staging Table'!DU72*Rates_previous!$H$34, 0))</f>
        <v>79825.485370539245</v>
      </c>
      <c r="G70" s="116">
        <f>IF(Init!$R$9="Yes",SUMPRODUCT('Staging Table'!AJ72:AU72,LS_Demand_Rates_Restatement!$C$10:$N$10),SUMPRODUCT(LS_Demand_Rates_Restatement!$C$10:$N$10,'Staging Table'!CW72:DH72))*1000</f>
        <v>346406.8810511753</v>
      </c>
      <c r="H70" s="117">
        <f>IF(Init!$R$9="Yes",'Staging Table'!BQ72,'Staging Table'!ED72)*IF(Init!$R$3=2022,Rates_previous!$C$88,Rates_previous!$D$88)</f>
        <v>0</v>
      </c>
      <c r="I70" s="115">
        <v>0</v>
      </c>
      <c r="J70" s="117">
        <f>IF(Init!$R$9="Yes",IF('Staging Table'!D72=1,'Staging Table'!H72*-1,'Staging Table'!H72*SUM(D70:I70)*(-1)),IF('Staging Table'!D72=1,'Staging Table'!BU72*-1,'Staging Table'!BU72*SUM(D70:I70)*(-1)))</f>
        <v>-167512.75845530443</v>
      </c>
      <c r="K70" s="115">
        <f>IF(Init!$R$9="Yes",'Staging Table'!K72,'Staging Table'!BX72)*(-1)*Rates_previous!$H$32</f>
        <v>0</v>
      </c>
      <c r="L70" s="115">
        <f>IF('Staging Table'!C72=1,"",SUM(D70:K70))</f>
        <v>2042021.1741664102</v>
      </c>
      <c r="M70" s="115">
        <f>IF('Staging Table'!C72=1,"",IF(Init!$R$9="Yes",(RT1SC!$C$3*'Staging Table'!E72*'Staging Table'!$F$2)+SUM('Staging Table'!L72:AI72)-IF(Init!$R$12="No",'Staging Table'!BH72, 0),X70))</f>
        <v>54574.991999999998</v>
      </c>
      <c r="N70" s="69">
        <f>IF('Staging Table'!C72=1,"",IF(M70=0, 0, L70/M70))</f>
        <v>37.416792918016554</v>
      </c>
      <c r="O70" s="115">
        <f>'Staging Table'!BR72*Rates_current!$F$77*100*12</f>
        <v>2276464.0860000001</v>
      </c>
      <c r="P70" s="115">
        <f>'Staging Table'!BS72*Rates_current!$F$78*100*12</f>
        <v>-364628.538</v>
      </c>
      <c r="Q70" s="116">
        <f>SUMPRODUCT('Staging Table'!BY72:CV72, LS_Demand_Rates_Restatement!$C$5:$Z$5)-IF(Init!$R$12="No",('Staging Table'!DU72*Rates_current!$I$46), 0)</f>
        <v>106249.5200511061</v>
      </c>
      <c r="R70" s="116">
        <f>SUMPRODUCT('Staging Table'!CW72:DH72, LS_Demand_Rates_Restatement!$C$11:$N$11)*1000</f>
        <v>389174.45342178602</v>
      </c>
      <c r="S70" s="117">
        <f>'Staging Table'!ED72*IF(Init!$R$15="Yes",IF(Init!$R$6=2024,Rates_current!$C$89,Rates_current!$D$89),Rates_current!$I$45)</f>
        <v>0</v>
      </c>
      <c r="T70" s="117">
        <v>0</v>
      </c>
      <c r="U70" s="117">
        <f>IF('Staging Table'!D72=1, 'Staging Table'!BU72*-1,SUM(O70:T70)*'Staging Table'!BU72*-1)</f>
        <v>-224839.34906430924</v>
      </c>
      <c r="V70" s="115">
        <f>'Staging Table'!BX72*Rates_current!$I$44*-1</f>
        <v>0</v>
      </c>
      <c r="W70" s="115">
        <f>IF('Staging Table'!C72=1,"",SUM(O70:V70))</f>
        <v>2182420.1724085831</v>
      </c>
      <c r="X70" s="115">
        <f>IF('Staging Table'!C72=1,"",(RT1SC!$C$4*'Staging Table'!BR72*'Staging Table'!$BS$2)+SUM('Staging Table'!BY72:CV72)-IF(Init!$R$12="No",'Staging Table'!DU72, 0))</f>
        <v>54739.558231516057</v>
      </c>
      <c r="Y70" s="69">
        <f>IF('Staging Table'!C72=1,"",IF(X70=0, 0, W70/X70))</f>
        <v>39.869159396176208</v>
      </c>
      <c r="Z70" s="64">
        <f ca="1">IF('Staging Table'!C72=1,"",(Y70/N70-1)+(RAND()/100000000000000))</f>
        <v>6.5541867351729025E-2</v>
      </c>
      <c r="AA70" s="45">
        <f t="shared" ca="1" si="5"/>
        <v>113</v>
      </c>
      <c r="AC70">
        <f t="shared" si="6"/>
        <v>1.1234605162600468</v>
      </c>
      <c r="AD70" s="119"/>
      <c r="AE70" s="119"/>
      <c r="AG70" s="119"/>
      <c r="AH70" s="119"/>
    </row>
    <row r="71" spans="2:34">
      <c r="B71" s="2">
        <v>10204</v>
      </c>
      <c r="C71" s="3" t="s">
        <v>75</v>
      </c>
      <c r="D71" s="115">
        <f>IF(Init!$R$9="Yes",'Staging Table'!E73,'Staging Table'!BR73)*Rates_previous!$E$76*100*12</f>
        <v>28691400.552480005</v>
      </c>
      <c r="E71" s="115">
        <f>IF(Init!$R$9="Yes",'Staging Table'!F73,'Staging Table'!BS73)*Rates_previous!$E$77*100*12</f>
        <v>-3067037.5218000002</v>
      </c>
      <c r="F71" s="116">
        <f>IF(Init!$R$9="Yes",SUMPRODUCT('Staging Table'!L73:AI73,LS_Demand_Rates_Restatement!$C$4:$Z$4)-IF(Init!$R$12="No",('Staging Table'!BH73*Rates_previous!$H$34), 0),SUMPRODUCT('Staging Table'!BY73:CV73,LS_Demand_Rates_Restatement!$C$4:$Z$4)-IF(Init!$R$12="No", 'Staging Table'!DU73*Rates_previous!$H$34, 0))</f>
        <v>-436725.09947855608</v>
      </c>
      <c r="G71" s="116">
        <f>IF(Init!$R$9="Yes",SUMPRODUCT('Staging Table'!AJ73:AU73,LS_Demand_Rates_Restatement!$C$10:$N$10),SUMPRODUCT(LS_Demand_Rates_Restatement!$C$10:$N$10,'Staging Table'!CW73:DH73))*1000</f>
        <v>0</v>
      </c>
      <c r="H71" s="117">
        <f>IF(Init!$R$9="Yes",'Staging Table'!BQ73,'Staging Table'!ED73)*IF(Init!$R$3=2022,Rates_previous!$C$88,Rates_previous!$D$88)</f>
        <v>0</v>
      </c>
      <c r="I71" s="115">
        <v>0</v>
      </c>
      <c r="J71" s="117">
        <f>IF(Init!$R$9="Yes",IF('Staging Table'!D73=1,'Staging Table'!H73*-1,'Staging Table'!H73*SUM(D71:I71)*(-1)),IF('Staging Table'!D73=1,'Staging Table'!BU73*-1,'Staging Table'!BU73*SUM(D71:I71)*(-1)))</f>
        <v>0</v>
      </c>
      <c r="K71" s="115">
        <f>IF(Init!$R$9="Yes",'Staging Table'!K73,'Staging Table'!BX73)*(-1)*Rates_previous!$H$32</f>
        <v>0</v>
      </c>
      <c r="L71" s="115">
        <f>IF('Staging Table'!C73=1,"",SUM(D71:K71))</f>
        <v>25187637.931201447</v>
      </c>
      <c r="M71" s="115">
        <f>IF('Staging Table'!C73=1,"",IF(Init!$R$9="Yes",(RT1SC!$C$3*'Staging Table'!E73*'Staging Table'!$F$2)+SUM('Staging Table'!L73:AI73)-IF(Init!$R$12="No",'Staging Table'!BH73, 0),X71))</f>
        <v>698841.45447616046</v>
      </c>
      <c r="N71" s="69">
        <f>IF('Staging Table'!C73=1,"",IF(M71=0, 0, L71/M71))</f>
        <v>36.041991742006303</v>
      </c>
      <c r="O71" s="115">
        <f>'Staging Table'!BR73*Rates_current!$F$77*100*12</f>
        <v>29147545.736400001</v>
      </c>
      <c r="P71" s="115">
        <f>'Staging Table'!BS73*Rates_current!$F$78*100*12</f>
        <v>-2393813.3154000002</v>
      </c>
      <c r="Q71" s="116">
        <f>SUMPRODUCT('Staging Table'!BY73:CV73, LS_Demand_Rates_Restatement!$C$5:$Z$5)-IF(Init!$R$12="No",('Staging Table'!DU73*Rates_current!$I$46), 0)</f>
        <v>409907.95039181993</v>
      </c>
      <c r="R71" s="116">
        <f>SUMPRODUCT('Staging Table'!CW73:DH73, LS_Demand_Rates_Restatement!$C$11:$N$11)*1000</f>
        <v>0</v>
      </c>
      <c r="S71" s="117">
        <f>'Staging Table'!ED73*IF(Init!$R$15="Yes",IF(Init!$R$6=2024,Rates_current!$C$89,Rates_current!$D$89),Rates_current!$I$45)</f>
        <v>0</v>
      </c>
      <c r="T71" s="117">
        <v>0</v>
      </c>
      <c r="U71" s="117">
        <f>IF('Staging Table'!D73=1, 'Staging Table'!BU73*-1,SUM(O71:T71)*'Staging Table'!BU73*-1)</f>
        <v>0</v>
      </c>
      <c r="V71" s="115">
        <f>'Staging Table'!BX73*Rates_current!$I$44*-1</f>
        <v>0</v>
      </c>
      <c r="W71" s="115">
        <f>IF('Staging Table'!C73=1,"",SUM(O71:V71))</f>
        <v>27163640.371391822</v>
      </c>
      <c r="X71" s="115">
        <f>IF('Staging Table'!C73=1,"",(RT1SC!$C$4*'Staging Table'!BR73*'Staging Table'!$BS$2)+SUM('Staging Table'!BY73:CV73)-IF(Init!$R$12="No",'Staging Table'!DU73, 0))</f>
        <v>701794.99796808243</v>
      </c>
      <c r="Y71" s="69">
        <f>IF('Staging Table'!C73=1,"",IF(X71=0, 0, W71/X71))</f>
        <v>38.705947534592177</v>
      </c>
      <c r="Z71" s="64">
        <f ca="1">IF('Staging Table'!C73=1,"",(Y71/N71-1)+(RAND()/100000000000000))</f>
        <v>7.3912557653726979E-2</v>
      </c>
      <c r="AA71" s="45">
        <f t="shared" ca="1" si="5"/>
        <v>105</v>
      </c>
      <c r="AC71" t="str">
        <f t="shared" si="6"/>
        <v/>
      </c>
      <c r="AD71" s="119"/>
      <c r="AE71" s="119"/>
      <c r="AG71" s="119"/>
      <c r="AH71" s="119"/>
    </row>
    <row r="72" spans="2:34">
      <c r="B72" s="2">
        <v>10209</v>
      </c>
      <c r="C72" s="3" t="s">
        <v>76</v>
      </c>
      <c r="D72" s="115">
        <f>IF(Init!$R$9="Yes",'Staging Table'!E74,'Staging Table'!BR74)*Rates_previous!$E$76*100*12</f>
        <v>37827888.012000002</v>
      </c>
      <c r="E72" s="115">
        <f>IF(Init!$R$9="Yes",'Staging Table'!F74,'Staging Table'!BS74)*Rates_previous!$E$77*100*12</f>
        <v>-7722902.7060000002</v>
      </c>
      <c r="F72" s="116">
        <f>IF(Init!$R$9="Yes",SUMPRODUCT('Staging Table'!L74:AI74,LS_Demand_Rates_Restatement!$C$4:$Z$4)-IF(Init!$R$12="No",('Staging Table'!BH74*Rates_previous!$H$34), 0),SUMPRODUCT('Staging Table'!BY74:CV74,LS_Demand_Rates_Restatement!$C$4:$Z$4)-IF(Init!$R$12="No", 'Staging Table'!DU74*Rates_previous!$H$34, 0))</f>
        <v>0</v>
      </c>
      <c r="G72" s="116">
        <f>IF(Init!$R$9="Yes",SUMPRODUCT('Staging Table'!AJ74:AU74,LS_Demand_Rates_Restatement!$C$10:$N$10),SUMPRODUCT(LS_Demand_Rates_Restatement!$C$10:$N$10,'Staging Table'!CW74:DH74))*1000</f>
        <v>0</v>
      </c>
      <c r="H72" s="117">
        <f>IF(Init!$R$9="Yes",'Staging Table'!BQ74,'Staging Table'!ED74)*IF(Init!$R$3=2022,Rates_previous!$C$88,Rates_previous!$D$88)</f>
        <v>0</v>
      </c>
      <c r="I72" s="115">
        <v>0</v>
      </c>
      <c r="J72" s="117">
        <f>IF(Init!$R$9="Yes",IF('Staging Table'!D74=1,'Staging Table'!H74*-1,'Staging Table'!H74*SUM(D72:I72)*(-1)),IF('Staging Table'!D74=1,'Staging Table'!BU74*-1,'Staging Table'!BU74*SUM(D72:I72)*(-1)))</f>
        <v>-2569483.0265310961</v>
      </c>
      <c r="K72" s="115">
        <f>IF(Init!$R$9="Yes",'Staging Table'!K74,'Staging Table'!BX74)*(-1)*Rates_previous!$H$32</f>
        <v>-695503.95056999999</v>
      </c>
      <c r="L72" s="115" t="str">
        <f>IF('Staging Table'!C74=1,"",SUM(D72:K72))</f>
        <v/>
      </c>
      <c r="M72" s="115" t="str">
        <f>IF('Staging Table'!C74=1,"",IF(Init!$R$9="Yes",(RT1SC!$C$3*'Staging Table'!E74*'Staging Table'!$F$2)+SUM('Staging Table'!L74:AI74)-IF(Init!$R$12="No",'Staging Table'!BH74, 0),X72))</f>
        <v/>
      </c>
      <c r="N72" s="69" t="str">
        <f>IF('Staging Table'!C74=1,"",IF(M72=0, 0, L72/M72))</f>
        <v/>
      </c>
      <c r="O72" s="115">
        <f>'Staging Table'!BR74*Rates_current!$F$77*100*12</f>
        <v>38429251.808999993</v>
      </c>
      <c r="P72" s="115">
        <f>'Staging Table'!BS74*Rates_current!$F$78*100*12</f>
        <v>-6155336.2469999995</v>
      </c>
      <c r="Q72" s="116">
        <f>SUMPRODUCT('Staging Table'!BY74:CV74, LS_Demand_Rates_Restatement!$C$5:$Z$5)-IF(Init!$R$12="No",('Staging Table'!DU74*Rates_current!$I$46), 0)</f>
        <v>0</v>
      </c>
      <c r="R72" s="116">
        <f>SUMPRODUCT('Staging Table'!CW74:DH74, LS_Demand_Rates_Restatement!$C$11:$N$11)*1000</f>
        <v>0</v>
      </c>
      <c r="S72" s="117">
        <f>'Staging Table'!ED74*IF(Init!$R$15="Yes",IF(Init!$R$6=2024,Rates_current!$C$89,Rates_current!$D$89),Rates_current!$I$45)</f>
        <v>0</v>
      </c>
      <c r="T72" s="117">
        <v>0</v>
      </c>
      <c r="U72" s="117">
        <f>IF('Staging Table'!D74=1, 'Staging Table'!BU74*-1,SUM(O72:T72)*'Staging Table'!BU74*-1)</f>
        <v>-3018977.8401318202</v>
      </c>
      <c r="V72" s="115">
        <f>'Staging Table'!BX74*Rates_current!$I$44*-1</f>
        <v>-718947.90396000003</v>
      </c>
      <c r="W72" s="115" t="str">
        <f>IF('Staging Table'!C74=1,"",SUM(O72:V72))</f>
        <v/>
      </c>
      <c r="X72" s="115" t="str">
        <f>IF('Staging Table'!C74=1,"",(RT1SC!$C$4*'Staging Table'!BR74*'Staging Table'!$BS$2)+SUM('Staging Table'!BY74:CV74)-IF(Init!$R$12="No",'Staging Table'!DU74, 0))</f>
        <v/>
      </c>
      <c r="Y72" s="69" t="str">
        <f>IF('Staging Table'!C74=1,"",IF(X72=0, 0, W72/X72))</f>
        <v/>
      </c>
      <c r="Z72" s="64" t="str">
        <f ca="1">IF('Staging Table'!C74=1,"",(Y72/N72-1)+(RAND()/100000000000000))</f>
        <v/>
      </c>
      <c r="AA72" s="45" t="str">
        <f t="shared" ca="1" si="5"/>
        <v/>
      </c>
      <c r="AC72" t="str">
        <f t="shared" si="6"/>
        <v/>
      </c>
      <c r="AD72" s="119"/>
      <c r="AE72" s="119"/>
      <c r="AG72" s="119"/>
      <c r="AH72" s="119"/>
    </row>
    <row r="73" spans="2:34">
      <c r="B73" s="2">
        <v>10230</v>
      </c>
      <c r="C73" s="3" t="s">
        <v>77</v>
      </c>
      <c r="D73" s="115">
        <f>IF(Init!$R$9="Yes",'Staging Table'!E75,'Staging Table'!BR75)*Rates_previous!$E$76*100*12</f>
        <v>3499048.5019199997</v>
      </c>
      <c r="E73" s="115">
        <f>IF(Init!$R$9="Yes",'Staging Table'!F75,'Staging Table'!BS75)*Rates_previous!$E$77*100*12</f>
        <v>-714362.14295999985</v>
      </c>
      <c r="F73" s="116">
        <f>IF(Init!$R$9="Yes",SUMPRODUCT('Staging Table'!L75:AI75,LS_Demand_Rates_Restatement!$C$4:$Z$4)-IF(Init!$R$12="No",('Staging Table'!BH75*Rates_previous!$H$34), 0),SUMPRODUCT('Staging Table'!BY75:CV75,LS_Demand_Rates_Restatement!$C$4:$Z$4)-IF(Init!$R$12="No", 'Staging Table'!DU75*Rates_previous!$H$34, 0))</f>
        <v>79162.346679210721</v>
      </c>
      <c r="G73" s="116">
        <f>IF(Init!$R$9="Yes",SUMPRODUCT('Staging Table'!AJ75:AU75,LS_Demand_Rates_Restatement!$C$10:$N$10),SUMPRODUCT(LS_Demand_Rates_Restatement!$C$10:$N$10,'Staging Table'!CW75:DH75))*1000</f>
        <v>504708.26914284198</v>
      </c>
      <c r="H73" s="117">
        <f>IF(Init!$R$9="Yes",'Staging Table'!BQ75,'Staging Table'!ED75)*IF(Init!$R$3=2022,Rates_previous!$C$88,Rates_previous!$D$88)</f>
        <v>0</v>
      </c>
      <c r="I73" s="115">
        <v>0</v>
      </c>
      <c r="J73" s="117">
        <f>IF(Init!$R$9="Yes",IF('Staging Table'!D75=1,'Staging Table'!H75*-1,'Staging Table'!H75*SUM(D73:I73)*(-1)),IF('Staging Table'!D75=1,'Staging Table'!BU75*-1,'Staging Table'!BU75*SUM(D73:I73)*(-1)))</f>
        <v>-299864.7615790834</v>
      </c>
      <c r="K73" s="115">
        <f>IF(Init!$R$9="Yes",'Staging Table'!K75,'Staging Table'!BX75)*(-1)*Rates_previous!$H$32</f>
        <v>0</v>
      </c>
      <c r="L73" s="115">
        <f>IF('Staging Table'!C75=1,"",SUM(D73:K73))</f>
        <v>3068692.2132029692</v>
      </c>
      <c r="M73" s="115">
        <f>IF('Staging Table'!C75=1,"",IF(Init!$R$9="Yes",(RT1SC!$C$3*'Staging Table'!E75*'Staging Table'!$F$2)+SUM('Staging Table'!L75:AI75)-IF(Init!$R$12="No",'Staging Table'!BH75, 0),X73))</f>
        <v>85222.368000000002</v>
      </c>
      <c r="N73" s="69">
        <f>IF('Staging Table'!C75=1,"",IF(M73=0, 0, L73/M73))</f>
        <v>36.008060855607404</v>
      </c>
      <c r="O73" s="115">
        <f>'Staging Table'!BR75*Rates_current!$F$77*100*12</f>
        <v>3554547.165</v>
      </c>
      <c r="P73" s="115">
        <f>'Staging Table'!BS75*Rates_current!$F$78*100*12</f>
        <v>-569343.19500000007</v>
      </c>
      <c r="Q73" s="116">
        <f>SUMPRODUCT('Staging Table'!BY75:CV75, LS_Demand_Rates_Restatement!$C$5:$Z$5)-IF(Init!$R$12="No",('Staging Table'!DU75*Rates_current!$I$46), 0)</f>
        <v>116247.83402046445</v>
      </c>
      <c r="R73" s="116">
        <f>SUMPRODUCT('Staging Table'!CW75:DH75, LS_Demand_Rates_Restatement!$C$11:$N$11)*1000</f>
        <v>553594.6456198541</v>
      </c>
      <c r="S73" s="117">
        <f>'Staging Table'!ED75*IF(Init!$R$15="Yes",IF(Init!$R$6=2024,Rates_current!$C$89,Rates_current!$D$89),Rates_current!$I$45)</f>
        <v>0</v>
      </c>
      <c r="T73" s="117">
        <v>0</v>
      </c>
      <c r="U73" s="117">
        <f>IF('Staging Table'!D75=1, 'Staging Table'!BU75*-1,SUM(O73:T73)*'Staging Table'!BU75*-1)</f>
        <v>-357140.51427941746</v>
      </c>
      <c r="V73" s="115">
        <f>'Staging Table'!BX75*Rates_current!$I$44*-1</f>
        <v>0</v>
      </c>
      <c r="W73" s="115">
        <f>IF('Staging Table'!C75=1,"",SUM(O73:V73))</f>
        <v>3297905.9353609011</v>
      </c>
      <c r="X73" s="115">
        <f>IF('Staging Table'!C75=1,"",(RT1SC!$C$4*'Staging Table'!BR75*'Staging Table'!$BS$2)+SUM('Staging Table'!BY75:CV75)-IF(Init!$R$12="No",'Staging Table'!DU75, 0))</f>
        <v>85477.851045797244</v>
      </c>
      <c r="Y73" s="69">
        <f>IF('Staging Table'!C75=1,"",IF(X73=0, 0, W73/X73))</f>
        <v>38.581993990395851</v>
      </c>
      <c r="Z73" s="64">
        <f ca="1">IF('Staging Table'!C75=1,"",(Y73/N73-1)+(RAND()/100000000000000))</f>
        <v>7.1482136877909927E-2</v>
      </c>
      <c r="AA73" s="45">
        <f t="shared" ca="1" si="5"/>
        <v>108</v>
      </c>
      <c r="AC73">
        <f t="shared" si="6"/>
        <v>1.0968606608329146</v>
      </c>
      <c r="AD73" s="119"/>
      <c r="AE73" s="119"/>
      <c r="AG73" s="119"/>
      <c r="AH73" s="119"/>
    </row>
    <row r="74" spans="2:34">
      <c r="B74" s="2">
        <v>10231</v>
      </c>
      <c r="C74" s="3" t="s">
        <v>78</v>
      </c>
      <c r="D74" s="115">
        <f>IF(Init!$R$9="Yes",'Staging Table'!E76,'Staging Table'!BR76)*Rates_previous!$E$76*100*12</f>
        <v>13220703.61992</v>
      </c>
      <c r="E74" s="115">
        <f>IF(Init!$R$9="Yes",'Staging Table'!F76,'Staging Table'!BS76)*Rates_previous!$E$77*100*12</f>
        <v>-2699125.2519600005</v>
      </c>
      <c r="F74" s="116">
        <f>IF(Init!$R$9="Yes",SUMPRODUCT('Staging Table'!L76:AI76,LS_Demand_Rates_Restatement!$C$4:$Z$4)-IF(Init!$R$12="No",('Staging Table'!BH76*Rates_previous!$H$34), 0),SUMPRODUCT('Staging Table'!BY76:CV76,LS_Demand_Rates_Restatement!$C$4:$Z$4)-IF(Init!$R$12="No", 'Staging Table'!DU76*Rates_previous!$H$34, 0))</f>
        <v>-1898193.1970165444</v>
      </c>
      <c r="G74" s="116">
        <f>IF(Init!$R$9="Yes",SUMPRODUCT('Staging Table'!AJ76:AU76,LS_Demand_Rates_Restatement!$C$10:$N$10),SUMPRODUCT(LS_Demand_Rates_Restatement!$C$10:$N$10,'Staging Table'!CW76:DH76))*1000</f>
        <v>392349.51214946591</v>
      </c>
      <c r="H74" s="117">
        <f>IF(Init!$R$9="Yes",'Staging Table'!BQ76,'Staging Table'!ED76)*IF(Init!$R$3=2022,Rates_previous!$C$88,Rates_previous!$D$88)</f>
        <v>0</v>
      </c>
      <c r="I74" s="115">
        <v>0</v>
      </c>
      <c r="J74" s="117">
        <f>IF(Init!$R$9="Yes",IF('Staging Table'!D76=1,'Staging Table'!H76*-1,'Staging Table'!H76*SUM(D74:I74)*(-1)),IF('Staging Table'!D76=1,'Staging Table'!BU76*-1,'Staging Table'!BU76*SUM(D74:I74)*(-1)))</f>
        <v>-979215.17810640729</v>
      </c>
      <c r="K74" s="115">
        <f>IF(Init!$R$9="Yes",'Staging Table'!K76,'Staging Table'!BX76)*(-1)*Rates_previous!$H$32</f>
        <v>-250290.67452999999</v>
      </c>
      <c r="L74" s="115">
        <f>IF('Staging Table'!C76=1,"",SUM(D74:K74))</f>
        <v>7786228.8304565139</v>
      </c>
      <c r="M74" s="115">
        <f>IF('Staging Table'!C76=1,"",IF(Init!$R$9="Yes",(RT1SC!$C$3*'Staging Table'!E76*'Staging Table'!$F$2)+SUM('Staging Table'!L76:AI76)-IF(Init!$R$12="No",'Staging Table'!BH76, 0),X74))</f>
        <v>264499.8385093392</v>
      </c>
      <c r="N74" s="69">
        <f>IF('Staging Table'!C76=1,"",IF(M74=0, 0, L74/M74))</f>
        <v>29.43755608448733</v>
      </c>
      <c r="O74" s="115">
        <f>'Staging Table'!BR76*Rates_current!$F$77*100*12</f>
        <v>13430879.123999998</v>
      </c>
      <c r="P74" s="115">
        <f>'Staging Table'!BS76*Rates_current!$F$78*100*12</f>
        <v>-2151266.892</v>
      </c>
      <c r="Q74" s="116">
        <f>SUMPRODUCT('Staging Table'!BY76:CV76, LS_Demand_Rates_Restatement!$C$5:$Z$5)-IF(Init!$R$12="No",('Staging Table'!DU76*Rates_current!$I$46), 0)</f>
        <v>661663.13178903481</v>
      </c>
      <c r="R74" s="116">
        <f>SUMPRODUCT('Staging Table'!CW76:DH76, LS_Demand_Rates_Restatement!$C$11:$N$11)*1000</f>
        <v>346061.0260248399</v>
      </c>
      <c r="S74" s="117">
        <f>'Staging Table'!ED76*IF(Init!$R$15="Yes",IF(Init!$R$6=2024,Rates_current!$C$89,Rates_current!$D$89),Rates_current!$I$45)</f>
        <v>0</v>
      </c>
      <c r="T74" s="117">
        <v>0</v>
      </c>
      <c r="U74" s="117">
        <f>IF('Staging Table'!D76=1, 'Staging Table'!BU76*-1,SUM(O74:T74)*'Staging Table'!BU76*-1)</f>
        <v>-1177378.1050060601</v>
      </c>
      <c r="V74" s="115">
        <f>'Staging Table'!BX76*Rates_current!$I$44*-1</f>
        <v>-258727.43884000002</v>
      </c>
      <c r="W74" s="115">
        <f>IF('Staging Table'!C76=1,"",SUM(O74:V74))</f>
        <v>10851230.845967812</v>
      </c>
      <c r="X74" s="115">
        <f>IF('Staging Table'!C76=1,"",(RT1SC!$C$4*'Staging Table'!BR76*'Staging Table'!$BS$2)+SUM('Staging Table'!BY76:CV76)-IF(Init!$R$12="No",'Staging Table'!DU76, 0))</f>
        <v>322981.19999999995</v>
      </c>
      <c r="Y74" s="69">
        <f>IF('Staging Table'!C76=1,"",IF(X74=0, 0, W74/X74))</f>
        <v>33.597097434673643</v>
      </c>
      <c r="Z74" s="64">
        <f ca="1">IF('Staging Table'!C76=1,"",(Y74/N74-1)+(RAND()/100000000000000))</f>
        <v>0.14130049852808271</v>
      </c>
      <c r="AA74" s="45">
        <f t="shared" ca="1" si="5"/>
        <v>6</v>
      </c>
      <c r="AC74">
        <f t="shared" si="6"/>
        <v>0.88202231762431149</v>
      </c>
      <c r="AD74" s="119"/>
      <c r="AE74" s="119"/>
      <c r="AG74" s="119"/>
      <c r="AH74" s="119"/>
    </row>
    <row r="75" spans="2:34">
      <c r="B75" s="2">
        <v>10234</v>
      </c>
      <c r="C75" s="3" t="s">
        <v>79</v>
      </c>
      <c r="D75" s="115">
        <f>IF(Init!$R$9="Yes",'Staging Table'!E77,'Staging Table'!BR77)*Rates_previous!$E$76*100*12</f>
        <v>18392549.408640001</v>
      </c>
      <c r="E75" s="115">
        <f>IF(Init!$R$9="Yes",'Staging Table'!F77,'Staging Table'!BS77)*Rates_previous!$E$77*100*12</f>
        <v>-3755003.96832</v>
      </c>
      <c r="F75" s="116">
        <f>IF(Init!$R$9="Yes",SUMPRODUCT('Staging Table'!L77:AI77,LS_Demand_Rates_Restatement!$C$4:$Z$4)-IF(Init!$R$12="No",('Staging Table'!BH77*Rates_previous!$H$34), 0),SUMPRODUCT('Staging Table'!BY77:CV77,LS_Demand_Rates_Restatement!$C$4:$Z$4)-IF(Init!$R$12="No", 'Staging Table'!DU77*Rates_previous!$H$34, 0))</f>
        <v>0</v>
      </c>
      <c r="G75" s="116">
        <f>IF(Init!$R$9="Yes",SUMPRODUCT('Staging Table'!AJ77:AU77,LS_Demand_Rates_Restatement!$C$10:$N$10),SUMPRODUCT(LS_Demand_Rates_Restatement!$C$10:$N$10,'Staging Table'!CW77:DH77))*1000</f>
        <v>0</v>
      </c>
      <c r="H75" s="117">
        <f>IF(Init!$R$9="Yes",'Staging Table'!BQ77,'Staging Table'!ED77)*IF(Init!$R$3=2022,Rates_previous!$C$88,Rates_previous!$D$88)</f>
        <v>0</v>
      </c>
      <c r="I75" s="115">
        <v>0</v>
      </c>
      <c r="J75" s="117">
        <f>IF(Init!$R$9="Yes",IF('Staging Table'!D77=1,'Staging Table'!H77*-1,'Staging Table'!H77*SUM(D75:I75)*(-1)),IF('Staging Table'!D77=1,'Staging Table'!BU77*-1,'Staging Table'!BU77*SUM(D75:I75)*(-1)))</f>
        <v>0</v>
      </c>
      <c r="K75" s="115">
        <f>IF(Init!$R$9="Yes",'Staging Table'!K77,'Staging Table'!BX77)*(-1)*Rates_previous!$H$32</f>
        <v>0</v>
      </c>
      <c r="L75" s="115" t="str">
        <f>IF('Staging Table'!C77=1,"",SUM(D75:K75))</f>
        <v/>
      </c>
      <c r="M75" s="115" t="str">
        <f>IF('Staging Table'!C77=1,"",IF(Init!$R$9="Yes",(RT1SC!$C$3*'Staging Table'!E77*'Staging Table'!$F$2)+SUM('Staging Table'!L77:AI77)-IF(Init!$R$12="No",'Staging Table'!BH77, 0),X75))</f>
        <v/>
      </c>
      <c r="N75" s="69" t="str">
        <f>IF('Staging Table'!C77=1,"",IF(M75=0, 0, L75/M75))</f>
        <v/>
      </c>
      <c r="O75" s="115">
        <f>'Staging Table'!BR77*Rates_current!$F$77*100*12</f>
        <v>18684875.3598</v>
      </c>
      <c r="P75" s="115">
        <f>'Staging Table'!BS77*Rates_current!$F$78*100*12</f>
        <v>-2992816.2834000001</v>
      </c>
      <c r="Q75" s="116">
        <f>SUMPRODUCT('Staging Table'!BY77:CV77, LS_Demand_Rates_Restatement!$C$5:$Z$5)-IF(Init!$R$12="No",('Staging Table'!DU77*Rates_current!$I$46), 0)</f>
        <v>0</v>
      </c>
      <c r="R75" s="116">
        <f>SUMPRODUCT('Staging Table'!CW77:DH77, LS_Demand_Rates_Restatement!$C$11:$N$11)*1000</f>
        <v>0</v>
      </c>
      <c r="S75" s="117">
        <f>'Staging Table'!ED77*IF(Init!$R$15="Yes",IF(Init!$R$6=2024,Rates_current!$C$89,Rates_current!$D$89),Rates_current!$I$45)</f>
        <v>0</v>
      </c>
      <c r="T75" s="117">
        <v>0</v>
      </c>
      <c r="U75" s="117">
        <f>IF('Staging Table'!D77=1, 'Staging Table'!BU77*-1,SUM(O75:T75)*'Staging Table'!BU77*-1)</f>
        <v>0</v>
      </c>
      <c r="V75" s="115">
        <f>'Staging Table'!BX77*Rates_current!$I$44*-1</f>
        <v>0</v>
      </c>
      <c r="W75" s="115" t="str">
        <f>IF('Staging Table'!C77=1,"",SUM(O75:V75))</f>
        <v/>
      </c>
      <c r="X75" s="115" t="str">
        <f>IF('Staging Table'!C77=1,"",(RT1SC!$C$4*'Staging Table'!BR77*'Staging Table'!$BS$2)+SUM('Staging Table'!BY77:CV77)-IF(Init!$R$12="No",'Staging Table'!DU77, 0))</f>
        <v/>
      </c>
      <c r="Y75" s="69" t="str">
        <f>IF('Staging Table'!C77=1,"",IF(X75=0, 0, W75/X75))</f>
        <v/>
      </c>
      <c r="Z75" s="64" t="str">
        <f ca="1">IF('Staging Table'!C77=1,"",(Y75/N75-1)+(RAND()/100000000000000))</f>
        <v/>
      </c>
      <c r="AA75" s="45" t="str">
        <f t="shared" ca="1" si="5"/>
        <v/>
      </c>
      <c r="AC75" t="str">
        <f t="shared" si="6"/>
        <v/>
      </c>
      <c r="AD75" s="119"/>
      <c r="AE75" s="119"/>
      <c r="AG75" s="119"/>
      <c r="AH75" s="119"/>
    </row>
    <row r="76" spans="2:34">
      <c r="B76" s="2">
        <v>10235</v>
      </c>
      <c r="C76" s="3" t="s">
        <v>80</v>
      </c>
      <c r="D76" s="115">
        <f>IF(Init!$R$9="Yes",'Staging Table'!E78,'Staging Table'!BR78)*Rates_previous!$E$76*100*12</f>
        <v>10904446.110959999</v>
      </c>
      <c r="E76" s="115">
        <f>IF(Init!$R$9="Yes",'Staging Table'!F78,'Staging Table'!BS78)*Rates_previous!$E$77*100*12</f>
        <v>-2226240.5014800001</v>
      </c>
      <c r="F76" s="116">
        <f>IF(Init!$R$9="Yes",SUMPRODUCT('Staging Table'!L78:AI78,LS_Demand_Rates_Restatement!$C$4:$Z$4)-IF(Init!$R$12="No",('Staging Table'!BH78*Rates_previous!$H$34), 0),SUMPRODUCT('Staging Table'!BY78:CV78,LS_Demand_Rates_Restatement!$C$4:$Z$4)-IF(Init!$R$12="No", 'Staging Table'!DU78*Rates_previous!$H$34, 0))</f>
        <v>115735.54728506922</v>
      </c>
      <c r="G76" s="116">
        <f>IF(Init!$R$9="Yes",SUMPRODUCT('Staging Table'!AJ78:AU78,LS_Demand_Rates_Restatement!$C$10:$N$10),SUMPRODUCT(LS_Demand_Rates_Restatement!$C$10:$N$10,'Staging Table'!CW78:DH78))*1000</f>
        <v>492368.29885555565</v>
      </c>
      <c r="H76" s="117">
        <f>IF(Init!$R$9="Yes",'Staging Table'!BQ78,'Staging Table'!ED78)*IF(Init!$R$3=2022,Rates_previous!$C$88,Rates_previous!$D$88)</f>
        <v>0</v>
      </c>
      <c r="I76" s="115">
        <v>0</v>
      </c>
      <c r="J76" s="117">
        <f>IF(Init!$R$9="Yes",IF('Staging Table'!D78=1,'Staging Table'!H78*-1,'Staging Table'!H78*SUM(D76:I76)*(-1)),IF('Staging Table'!D78=1,'Staging Table'!BU78*-1,'Staging Table'!BU78*SUM(D76:I76)*(-1)))</f>
        <v>0</v>
      </c>
      <c r="K76" s="115">
        <f>IF(Init!$R$9="Yes",'Staging Table'!K78,'Staging Table'!BX78)*(-1)*Rates_previous!$H$32</f>
        <v>0</v>
      </c>
      <c r="L76" s="115">
        <f>IF('Staging Table'!C78=1,"",SUM(D76:K76))</f>
        <v>9286309.4556206241</v>
      </c>
      <c r="M76" s="115">
        <f>IF('Staging Table'!C78=1,"",IF(Init!$R$9="Yes",(RT1SC!$C$3*'Staging Table'!E78*'Staging Table'!$F$2)+SUM('Staging Table'!L78:AI78)-IF(Init!$R$12="No",'Staging Table'!BH78, 0),X76))</f>
        <v>267122.29224490415</v>
      </c>
      <c r="N76" s="69">
        <f>IF('Staging Table'!C78=1,"",IF(M76=0, 0, L76/M76))</f>
        <v>34.764262381765995</v>
      </c>
      <c r="O76" s="115">
        <f>'Staging Table'!BR78*Rates_current!$F$77*100*12</f>
        <v>11107798.025999999</v>
      </c>
      <c r="P76" s="115">
        <f>'Staging Table'!BS78*Rates_current!$F$78*100*12</f>
        <v>-1779171.558</v>
      </c>
      <c r="Q76" s="116">
        <f>SUMPRODUCT('Staging Table'!BY78:CV78, LS_Demand_Rates_Restatement!$C$5:$Z$5)-IF(Init!$R$12="No",('Staging Table'!DU78*Rates_current!$I$46), 0)</f>
        <v>311130.55686194968</v>
      </c>
      <c r="R76" s="116">
        <f>SUMPRODUCT('Staging Table'!CW78:DH78, LS_Demand_Rates_Restatement!$C$11:$N$11)*1000</f>
        <v>540634.59428197134</v>
      </c>
      <c r="S76" s="117">
        <f>'Staging Table'!ED78*IF(Init!$R$15="Yes",IF(Init!$R$6=2024,Rates_current!$C$89,Rates_current!$D$89),Rates_current!$I$45)</f>
        <v>-14.071859400342218</v>
      </c>
      <c r="T76" s="117">
        <v>0</v>
      </c>
      <c r="U76" s="117">
        <f>IF('Staging Table'!D78=1, 'Staging Table'!BU78*-1,SUM(O76:T76)*'Staging Table'!BU78*-1)</f>
        <v>0</v>
      </c>
      <c r="V76" s="115">
        <f>'Staging Table'!BX78*Rates_current!$I$44*-1</f>
        <v>0</v>
      </c>
      <c r="W76" s="115">
        <f>IF('Staging Table'!C78=1,"",SUM(O76:V76))</f>
        <v>10180377.547284519</v>
      </c>
      <c r="X76" s="115">
        <f>IF('Staging Table'!C78=1,"",(RT1SC!$C$4*'Staging Table'!BR78*'Staging Table'!$BS$2)+SUM('Staging Table'!BY78:CV78)-IF(Init!$R$12="No",'Staging Table'!DU78, 0))</f>
        <v>267122.30676788668</v>
      </c>
      <c r="Y76" s="69">
        <f>IF('Staging Table'!C78=1,"",IF(X76=0, 0, W76/X76))</f>
        <v>38.111296920367863</v>
      </c>
      <c r="Z76" s="64">
        <f ca="1">IF('Staging Table'!C78=1,"",(Y76/N76-1)+(RAND()/100000000000000))</f>
        <v>9.6278025457479405E-2</v>
      </c>
      <c r="AA76" s="45">
        <f t="shared" ca="1" si="5"/>
        <v>55</v>
      </c>
      <c r="AC76">
        <f t="shared" si="6"/>
        <v>1.0980288445430062</v>
      </c>
      <c r="AD76" s="119"/>
      <c r="AE76" s="119"/>
      <c r="AG76" s="119"/>
      <c r="AH76" s="119"/>
    </row>
    <row r="77" spans="2:34">
      <c r="B77" s="2">
        <v>10236</v>
      </c>
      <c r="C77" s="3" t="s">
        <v>81</v>
      </c>
      <c r="D77" s="115">
        <f>IF(Init!$R$9="Yes",'Staging Table'!E79,'Staging Table'!BR79)*Rates_previous!$E$76*100*12</f>
        <v>10124222.566320002</v>
      </c>
      <c r="E77" s="115">
        <f>IF(Init!$R$9="Yes",'Staging Table'!F79,'Staging Table'!BS79)*Rates_previous!$E$77*100*12</f>
        <v>-2066950.86516</v>
      </c>
      <c r="F77" s="116">
        <f>IF(Init!$R$9="Yes",SUMPRODUCT('Staging Table'!L79:AI79,LS_Demand_Rates_Restatement!$C$4:$Z$4)-IF(Init!$R$12="No",('Staging Table'!BH79*Rates_previous!$H$34), 0),SUMPRODUCT('Staging Table'!BY79:CV79,LS_Demand_Rates_Restatement!$C$4:$Z$4)-IF(Init!$R$12="No", 'Staging Table'!DU79*Rates_previous!$H$34, 0))</f>
        <v>0</v>
      </c>
      <c r="G77" s="116">
        <f>IF(Init!$R$9="Yes",SUMPRODUCT('Staging Table'!AJ79:AU79,LS_Demand_Rates_Restatement!$C$10:$N$10),SUMPRODUCT(LS_Demand_Rates_Restatement!$C$10:$N$10,'Staging Table'!CW79:DH79))*1000</f>
        <v>0</v>
      </c>
      <c r="H77" s="117">
        <f>IF(Init!$R$9="Yes",'Staging Table'!BQ79,'Staging Table'!ED79)*IF(Init!$R$3=2022,Rates_previous!$C$88,Rates_previous!$D$88)</f>
        <v>0</v>
      </c>
      <c r="I77" s="115">
        <v>0</v>
      </c>
      <c r="J77" s="117">
        <f>IF(Init!$R$9="Yes",IF('Staging Table'!D79=1,'Staging Table'!H79*-1,'Staging Table'!H79*SUM(D77:I77)*(-1)),IF('Staging Table'!D79=1,'Staging Table'!BU79*-1,'Staging Table'!BU79*SUM(D77:I77)*(-1)))</f>
        <v>-523722.66057540016</v>
      </c>
      <c r="K77" s="115">
        <f>IF(Init!$R$9="Yes",'Staging Table'!K79,'Staging Table'!BX79)*(-1)*Rates_previous!$H$32</f>
        <v>0</v>
      </c>
      <c r="L77" s="115" t="str">
        <f>IF('Staging Table'!C79=1,"",SUM(D77:K77))</f>
        <v/>
      </c>
      <c r="M77" s="115" t="str">
        <f>IF('Staging Table'!C79=1,"",IF(Init!$R$9="Yes",(RT1SC!$C$3*'Staging Table'!E79*'Staging Table'!$F$2)+SUM('Staging Table'!L79:AI79)-IF(Init!$R$12="No",'Staging Table'!BH79, 0),X77))</f>
        <v/>
      </c>
      <c r="N77" s="69" t="str">
        <f>IF('Staging Table'!C79=1,"",IF(M77=0, 0, L77/M77))</f>
        <v/>
      </c>
      <c r="O77" s="115">
        <f>'Staging Table'!BR79*Rates_current!$F$77*100*12</f>
        <v>10662605.561400002</v>
      </c>
      <c r="P77" s="115">
        <f>'Staging Table'!BS79*Rates_current!$F$78*100*12</f>
        <v>-1707863.6562000001</v>
      </c>
      <c r="Q77" s="116">
        <f>SUMPRODUCT('Staging Table'!BY79:CV79, LS_Demand_Rates_Restatement!$C$5:$Z$5)-IF(Init!$R$12="No",('Staging Table'!DU79*Rates_current!$I$46), 0)</f>
        <v>0</v>
      </c>
      <c r="R77" s="116">
        <f>SUMPRODUCT('Staging Table'!CW79:DH79, LS_Demand_Rates_Restatement!$C$11:$N$11)*1000</f>
        <v>0</v>
      </c>
      <c r="S77" s="117">
        <f>'Staging Table'!ED79*IF(Init!$R$15="Yes",IF(Init!$R$6=2024,Rates_current!$C$89,Rates_current!$D$89),Rates_current!$I$45)</f>
        <v>0</v>
      </c>
      <c r="T77" s="117">
        <v>0</v>
      </c>
      <c r="U77" s="117">
        <f>IF('Staging Table'!D79=1, 'Staging Table'!BU79*-1,SUM(O77:T77)*'Staging Table'!BU79*-1)</f>
        <v>-588839.05996689072</v>
      </c>
      <c r="V77" s="115">
        <f>'Staging Table'!BX79*Rates_current!$I$44*-1</f>
        <v>0</v>
      </c>
      <c r="W77" s="115" t="str">
        <f>IF('Staging Table'!C79=1,"",SUM(O77:V77))</f>
        <v/>
      </c>
      <c r="X77" s="115" t="str">
        <f>IF('Staging Table'!C79=1,"",(RT1SC!$C$4*'Staging Table'!BR79*'Staging Table'!$BS$2)+SUM('Staging Table'!BY79:CV79)-IF(Init!$R$12="No",'Staging Table'!DU79, 0))</f>
        <v/>
      </c>
      <c r="Y77" s="69" t="str">
        <f>IF('Staging Table'!C79=1,"",IF(X77=0, 0, W77/X77))</f>
        <v/>
      </c>
      <c r="Z77" s="64" t="str">
        <f ca="1">IF('Staging Table'!C79=1,"",(Y77/N77-1)+(RAND()/100000000000000))</f>
        <v/>
      </c>
      <c r="AA77" s="45" t="str">
        <f t="shared" ca="1" si="5"/>
        <v/>
      </c>
      <c r="AC77" t="str">
        <f t="shared" si="6"/>
        <v/>
      </c>
      <c r="AD77" s="119"/>
      <c r="AE77" s="119"/>
      <c r="AG77" s="119"/>
      <c r="AH77" s="119"/>
    </row>
    <row r="78" spans="2:34">
      <c r="B78" s="2">
        <v>10237</v>
      </c>
      <c r="C78" s="3" t="s">
        <v>82</v>
      </c>
      <c r="D78" s="115">
        <f>IF(Init!$R$9="Yes",'Staging Table'!E80,'Staging Table'!BR80)*Rates_previous!$E$76*100*12</f>
        <v>41016790.181519993</v>
      </c>
      <c r="E78" s="115">
        <f>IF(Init!$R$9="Yes",'Staging Table'!F80,'Staging Table'!BS80)*Rates_previous!$E$77*100*12</f>
        <v>-3491199.5801999993</v>
      </c>
      <c r="F78" s="116">
        <f>IF(Init!$R$9="Yes",SUMPRODUCT('Staging Table'!L80:AI80,LS_Demand_Rates_Restatement!$C$4:$Z$4)-IF(Init!$R$12="No",('Staging Table'!BH80*Rates_previous!$H$34), 0),SUMPRODUCT('Staging Table'!BY80:CV80,LS_Demand_Rates_Restatement!$C$4:$Z$4)-IF(Init!$R$12="No", 'Staging Table'!DU80*Rates_previous!$H$34, 0))</f>
        <v>-792255.03340384061</v>
      </c>
      <c r="G78" s="116">
        <f>IF(Init!$R$9="Yes",SUMPRODUCT('Staging Table'!AJ80:AU80,LS_Demand_Rates_Restatement!$C$10:$N$10),SUMPRODUCT(LS_Demand_Rates_Restatement!$C$10:$N$10,'Staging Table'!CW80:DH80))*1000</f>
        <v>0</v>
      </c>
      <c r="H78" s="117">
        <f>IF(Init!$R$9="Yes",'Staging Table'!BQ80,'Staging Table'!ED80)*IF(Init!$R$3=2022,Rates_previous!$C$88,Rates_previous!$D$88)</f>
        <v>0</v>
      </c>
      <c r="I78" s="115">
        <v>0</v>
      </c>
      <c r="J78" s="117">
        <f>IF(Init!$R$9="Yes",IF('Staging Table'!D80=1,'Staging Table'!H80*-1,'Staging Table'!H80*SUM(D78:I78)*(-1)),IF('Staging Table'!D80=1,'Staging Table'!BU80*-1,'Staging Table'!BU80*SUM(D78:I78)*(-1)))</f>
        <v>-5.1190078429993319E-2</v>
      </c>
      <c r="K78" s="115">
        <f>IF(Init!$R$9="Yes",'Staging Table'!K80,'Staging Table'!BX80)*(-1)*Rates_previous!$H$32</f>
        <v>0</v>
      </c>
      <c r="L78" s="115">
        <f>IF('Staging Table'!C80=1,"",SUM(D78:K78))</f>
        <v>36733335.516726069</v>
      </c>
      <c r="M78" s="115">
        <f>IF('Staging Table'!C80=1,"",IF(Init!$R$9="Yes",(RT1SC!$C$3*'Staging Table'!E80*'Staging Table'!$F$2)+SUM('Staging Table'!L80:AI80)-IF(Init!$R$12="No",'Staging Table'!BH80, 0),X78))</f>
        <v>999052.69681541226</v>
      </c>
      <c r="N78" s="69">
        <f>IF('Staging Table'!C80=1,"",IF(M78=0, 0, L78/M78))</f>
        <v>36.768166117580705</v>
      </c>
      <c r="O78" s="115">
        <f>'Staging Table'!BR80*Rates_current!$F$77*100*12</f>
        <v>41668616.176200002</v>
      </c>
      <c r="P78" s="115">
        <f>'Staging Table'!BS80*Rates_current!$F$78*100*12</f>
        <v>-2693812.5858000005</v>
      </c>
      <c r="Q78" s="116">
        <f>SUMPRODUCT('Staging Table'!BY80:CV80, LS_Demand_Rates_Restatement!$C$5:$Z$5)-IF(Init!$R$12="No",('Staging Table'!DU80*Rates_current!$I$46), 0)</f>
        <v>430638.77784667769</v>
      </c>
      <c r="R78" s="116">
        <f>SUMPRODUCT('Staging Table'!CW80:DH80, LS_Demand_Rates_Restatement!$C$11:$N$11)*1000</f>
        <v>0</v>
      </c>
      <c r="S78" s="117">
        <f>'Staging Table'!ED80*IF(Init!$R$15="Yes",IF(Init!$R$6=2024,Rates_current!$C$89,Rates_current!$D$89),Rates_current!$I$45)</f>
        <v>0</v>
      </c>
      <c r="T78" s="117">
        <v>0</v>
      </c>
      <c r="U78" s="117">
        <f>IF('Staging Table'!D80=1, 'Staging Table'!BU80*-1,SUM(O78:T78)*'Staging Table'!BU80*-1)</f>
        <v>-5.1035510717907476E-2</v>
      </c>
      <c r="V78" s="115">
        <f>'Staging Table'!BX80*Rates_current!$I$44*-1</f>
        <v>0</v>
      </c>
      <c r="W78" s="115">
        <f>IF('Staging Table'!C80=1,"",SUM(O78:V78))</f>
        <v>39405442.317211173</v>
      </c>
      <c r="X78" s="115">
        <f>IF('Staging Table'!C80=1,"",(RT1SC!$C$4*'Staging Table'!BR80*'Staging Table'!$BS$2)+SUM('Staging Table'!BY80:CV80)-IF(Init!$R$12="No",'Staging Table'!DU80, 0))</f>
        <v>1003549.9387897567</v>
      </c>
      <c r="Y78" s="69">
        <f>IF('Staging Table'!C80=1,"",IF(X78=0, 0, W78/X78))</f>
        <v>39.266050242335368</v>
      </c>
      <c r="Z78" s="64">
        <f ca="1">IF('Staging Table'!C80=1,"",(Y78/N78-1)+(RAND()/100000000000000))</f>
        <v>6.7936054160735976E-2</v>
      </c>
      <c r="AA78" s="45">
        <f t="shared" ca="1" si="5"/>
        <v>112</v>
      </c>
      <c r="AC78" t="str">
        <f t="shared" si="6"/>
        <v/>
      </c>
      <c r="AD78" s="119"/>
      <c r="AE78" s="119"/>
      <c r="AG78" s="119"/>
      <c r="AH78" s="119"/>
    </row>
    <row r="79" spans="2:34">
      <c r="B79" s="2">
        <v>10239</v>
      </c>
      <c r="C79" s="3" t="s">
        <v>83</v>
      </c>
      <c r="D79" s="115">
        <f>IF(Init!$R$9="Yes",'Staging Table'!E81,'Staging Table'!BR81)*Rates_previous!$E$76*100*12</f>
        <v>5049032.8233599998</v>
      </c>
      <c r="E79" s="115">
        <f>IF(Init!$R$9="Yes",'Staging Table'!F81,'Staging Table'!BS81)*Rates_previous!$E$77*100*12</f>
        <v>-1030805.3476799999</v>
      </c>
      <c r="F79" s="116">
        <f>IF(Init!$R$9="Yes",SUMPRODUCT('Staging Table'!L81:AI81,LS_Demand_Rates_Restatement!$C$4:$Z$4)-IF(Init!$R$12="No",('Staging Table'!BH81*Rates_previous!$H$34), 0),SUMPRODUCT('Staging Table'!BY81:CV81,LS_Demand_Rates_Restatement!$C$4:$Z$4)-IF(Init!$R$12="No", 'Staging Table'!DU81*Rates_previous!$H$34, 0))</f>
        <v>0</v>
      </c>
      <c r="G79" s="116">
        <f>IF(Init!$R$9="Yes",SUMPRODUCT('Staging Table'!AJ81:AU81,LS_Demand_Rates_Restatement!$C$10:$N$10),SUMPRODUCT(LS_Demand_Rates_Restatement!$C$10:$N$10,'Staging Table'!CW81:DH81))*1000</f>
        <v>0</v>
      </c>
      <c r="H79" s="117">
        <f>IF(Init!$R$9="Yes",'Staging Table'!BQ81,'Staging Table'!ED81)*IF(Init!$R$3=2022,Rates_previous!$C$88,Rates_previous!$D$88)</f>
        <v>0</v>
      </c>
      <c r="I79" s="115">
        <v>0</v>
      </c>
      <c r="J79" s="117">
        <f>IF(Init!$R$9="Yes",IF('Staging Table'!D81=1,'Staging Table'!H81*-1,'Staging Table'!H81*SUM(D79:I79)*(-1)),IF('Staging Table'!D81=1,'Staging Table'!BU81*-1,'Staging Table'!BU81*SUM(D79:I79)*(-1)))</f>
        <v>-303155.17190267768</v>
      </c>
      <c r="K79" s="115">
        <f>IF(Init!$R$9="Yes",'Staging Table'!K81,'Staging Table'!BX81)*(-1)*Rates_previous!$H$32</f>
        <v>0</v>
      </c>
      <c r="L79" s="115" t="str">
        <f>IF('Staging Table'!C81=1,"",SUM(D79:K79))</f>
        <v/>
      </c>
      <c r="M79" s="115" t="str">
        <f>IF('Staging Table'!C81=1,"",IF(Init!$R$9="Yes",(RT1SC!$C$3*'Staging Table'!E81*'Staging Table'!$F$2)+SUM('Staging Table'!L81:AI81)-IF(Init!$R$12="No",'Staging Table'!BH81, 0),X79))</f>
        <v/>
      </c>
      <c r="N79" s="69" t="str">
        <f>IF('Staging Table'!C81=1,"",IF(M79=0, 0, L79/M79))</f>
        <v/>
      </c>
      <c r="O79" s="115">
        <f>'Staging Table'!BR81*Rates_current!$F$77*100*12</f>
        <v>5129425.2204</v>
      </c>
      <c r="P79" s="115">
        <f>'Staging Table'!BS81*Rates_current!$F$78*100*12</f>
        <v>-821596.45319999987</v>
      </c>
      <c r="Q79" s="116">
        <f>SUMPRODUCT('Staging Table'!BY81:CV81, LS_Demand_Rates_Restatement!$C$5:$Z$5)-IF(Init!$R$12="No",('Staging Table'!DU81*Rates_current!$I$46), 0)</f>
        <v>0</v>
      </c>
      <c r="R79" s="116">
        <f>SUMPRODUCT('Staging Table'!CW81:DH81, LS_Demand_Rates_Restatement!$C$11:$N$11)*1000</f>
        <v>0</v>
      </c>
      <c r="S79" s="117">
        <f>'Staging Table'!ED81*IF(Init!$R$15="Yes",IF(Init!$R$6=2024,Rates_current!$C$89,Rates_current!$D$89),Rates_current!$I$45)</f>
        <v>0</v>
      </c>
      <c r="T79" s="117">
        <v>0</v>
      </c>
      <c r="U79" s="117">
        <f>IF('Staging Table'!D81=1, 'Staging Table'!BU81*-1,SUM(O79:T79)*'Staging Table'!BU81*-1)</f>
        <v>-338168.0764434248</v>
      </c>
      <c r="V79" s="115">
        <f>'Staging Table'!BX81*Rates_current!$I$44*-1</f>
        <v>0</v>
      </c>
      <c r="W79" s="115" t="str">
        <f>IF('Staging Table'!C81=1,"",SUM(O79:V79))</f>
        <v/>
      </c>
      <c r="X79" s="115" t="str">
        <f>IF('Staging Table'!C81=1,"",(RT1SC!$C$4*'Staging Table'!BR81*'Staging Table'!$BS$2)+SUM('Staging Table'!BY81:CV81)-IF(Init!$R$12="No",'Staging Table'!DU81, 0))</f>
        <v/>
      </c>
      <c r="Y79" s="69" t="str">
        <f>IF('Staging Table'!C81=1,"",IF(X79=0, 0, W79/X79))</f>
        <v/>
      </c>
      <c r="Z79" s="64" t="str">
        <f ca="1">IF('Staging Table'!C81=1,"",(Y79/N79-1)+(RAND()/100000000000000))</f>
        <v/>
      </c>
      <c r="AA79" s="45" t="str">
        <f t="shared" ca="1" si="5"/>
        <v/>
      </c>
      <c r="AC79" t="str">
        <f t="shared" si="6"/>
        <v/>
      </c>
      <c r="AD79" s="119"/>
      <c r="AE79" s="119"/>
      <c r="AG79" s="119"/>
      <c r="AH79" s="119"/>
    </row>
    <row r="80" spans="2:34">
      <c r="B80" s="2">
        <v>10242</v>
      </c>
      <c r="C80" s="3" t="s">
        <v>84</v>
      </c>
      <c r="D80" s="115">
        <f>IF(Init!$R$9="Yes",'Staging Table'!E82,'Staging Table'!BR82)*Rates_previous!$E$76*100*12</f>
        <v>3435524.5543200001</v>
      </c>
      <c r="E80" s="115">
        <f>IF(Init!$R$9="Yes",'Staging Table'!F82,'Staging Table'!BS82)*Rates_previous!$E$77*100*12</f>
        <v>-701393.15916000004</v>
      </c>
      <c r="F80" s="116">
        <f>IF(Init!$R$9="Yes",SUMPRODUCT('Staging Table'!L82:AI82,LS_Demand_Rates_Restatement!$C$4:$Z$4)-IF(Init!$R$12="No",('Staging Table'!BH82*Rates_previous!$H$34), 0),SUMPRODUCT('Staging Table'!BY82:CV82,LS_Demand_Rates_Restatement!$C$4:$Z$4)-IF(Init!$R$12="No", 'Staging Table'!DU82*Rates_previous!$H$34, 0))</f>
        <v>-312768.10841434193</v>
      </c>
      <c r="G80" s="116">
        <f>IF(Init!$R$9="Yes",SUMPRODUCT('Staging Table'!AJ82:AU82,LS_Demand_Rates_Restatement!$C$10:$N$10),SUMPRODUCT(LS_Demand_Rates_Restatement!$C$10:$N$10,'Staging Table'!CW82:DH82))*1000</f>
        <v>240641.68814543277</v>
      </c>
      <c r="H80" s="117">
        <f>IF(Init!$R$9="Yes",'Staging Table'!BQ82,'Staging Table'!ED82)*IF(Init!$R$3=2022,Rates_previous!$C$88,Rates_previous!$D$88)</f>
        <v>0</v>
      </c>
      <c r="I80" s="115">
        <v>0</v>
      </c>
      <c r="J80" s="117">
        <f>IF(Init!$R$9="Yes",IF('Staging Table'!D82=1,'Staging Table'!H82*-1,'Staging Table'!H82*SUM(D80:I80)*(-1)),IF('Staging Table'!D82=1,'Staging Table'!BU82*-1,'Staging Table'!BU82*SUM(D80:I80)*(-1)))</f>
        <v>-221100.6672458094</v>
      </c>
      <c r="K80" s="115">
        <f>IF(Init!$R$9="Yes",'Staging Table'!K82,'Staging Table'!BX82)*(-1)*Rates_previous!$H$32</f>
        <v>-434556.40358000004</v>
      </c>
      <c r="L80" s="115">
        <f>IF('Staging Table'!C82=1,"",SUM(D80:K80))</f>
        <v>2006347.9040652812</v>
      </c>
      <c r="M80" s="115">
        <f>IF('Staging Table'!C82=1,"",IF(Init!$R$9="Yes",(RT1SC!$C$3*'Staging Table'!E82*'Staging Table'!$F$2)+SUM('Staging Table'!L82:AI82)-IF(Init!$R$12="No",'Staging Table'!BH82, 0),X80))</f>
        <v>76599.768392216036</v>
      </c>
      <c r="N80" s="69">
        <f>IF('Staging Table'!C82=1,"",IF(M80=0, 0, L80/M80))</f>
        <v>26.192610580649792</v>
      </c>
      <c r="O80" s="115">
        <f>'Staging Table'!BR82*Rates_current!$F$77*100*12</f>
        <v>3490060.2984000002</v>
      </c>
      <c r="P80" s="115">
        <f>'Staging Table'!BS82*Rates_current!$F$78*100*12</f>
        <v>-559014.12719999999</v>
      </c>
      <c r="Q80" s="116">
        <f>SUMPRODUCT('Staging Table'!BY82:CV82, LS_Demand_Rates_Restatement!$C$5:$Z$5)-IF(Init!$R$12="No",('Staging Table'!DU82*Rates_current!$I$46), 0)</f>
        <v>49857.84525770857</v>
      </c>
      <c r="R80" s="116">
        <f>SUMPRODUCT('Staging Table'!CW82:DH82, LS_Demand_Rates_Restatement!$C$11:$N$11)*1000</f>
        <v>278852.79984632309</v>
      </c>
      <c r="S80" s="117">
        <f>'Staging Table'!ED82*IF(Init!$R$15="Yes",IF(Init!$R$6=2024,Rates_current!$C$89,Rates_current!$D$89),Rates_current!$I$45)</f>
        <v>0</v>
      </c>
      <c r="T80" s="117">
        <v>0</v>
      </c>
      <c r="U80" s="117">
        <f>IF('Staging Table'!D82=1, 'Staging Table'!BU82*-1,SUM(O80:T80)*'Staging Table'!BU82*-1)</f>
        <v>-250689.28268334593</v>
      </c>
      <c r="V80" s="115">
        <f>'Staging Table'!BX82*Rates_current!$I$44*-1</f>
        <v>-449204.37224000006</v>
      </c>
      <c r="W80" s="115">
        <f>IF('Staging Table'!C82=1,"",SUM(O80:V80))</f>
        <v>2559863.1613806859</v>
      </c>
      <c r="X80" s="115">
        <f>IF('Staging Table'!C82=1,"",(RT1SC!$C$4*'Staging Table'!BR82*'Staging Table'!$BS$2)+SUM('Staging Table'!BY82:CV82)-IF(Init!$R$12="No",'Staging Table'!DU82, 0))</f>
        <v>83929.56</v>
      </c>
      <c r="Y80" s="69">
        <f>IF('Staging Table'!C82=1,"",IF(X80=0, 0, W80/X80))</f>
        <v>30.500137989293474</v>
      </c>
      <c r="Z80" s="64">
        <f ca="1">IF('Staging Table'!C82=1,"",(Y80/N80-1)+(RAND()/100000000000000))</f>
        <v>0.16445582601934575</v>
      </c>
      <c r="AA80" s="45">
        <f t="shared" ca="1" si="5"/>
        <v>3</v>
      </c>
      <c r="AC80">
        <f t="shared" si="6"/>
        <v>1.158788412744999</v>
      </c>
      <c r="AD80" s="119"/>
      <c r="AE80" s="119"/>
      <c r="AG80" s="119"/>
      <c r="AH80" s="119"/>
    </row>
    <row r="81" spans="2:34">
      <c r="B81" s="2">
        <v>10244</v>
      </c>
      <c r="C81" s="3" t="s">
        <v>85</v>
      </c>
      <c r="D81" s="115">
        <f>IF(Init!$R$9="Yes",'Staging Table'!E83,'Staging Table'!BR83)*Rates_previous!$E$76*100*12</f>
        <v>31029081.824160002</v>
      </c>
      <c r="E81" s="115">
        <f>IF(Init!$R$9="Yes",'Staging Table'!F83,'Staging Table'!BS83)*Rates_previous!$E$77*100*12</f>
        <v>-6334865.42808</v>
      </c>
      <c r="F81" s="116">
        <f>IF(Init!$R$9="Yes",SUMPRODUCT('Staging Table'!L83:AI83,LS_Demand_Rates_Restatement!$C$4:$Z$4)-IF(Init!$R$12="No",('Staging Table'!BH83*Rates_previous!$H$34), 0),SUMPRODUCT('Staging Table'!BY83:CV83,LS_Demand_Rates_Restatement!$C$4:$Z$4)-IF(Init!$R$12="No", 'Staging Table'!DU83*Rates_previous!$H$34, 0))</f>
        <v>476425.32968956279</v>
      </c>
      <c r="G81" s="116">
        <f>IF(Init!$R$9="Yes",SUMPRODUCT('Staging Table'!AJ83:AU83,LS_Demand_Rates_Restatement!$C$10:$N$10),SUMPRODUCT(LS_Demand_Rates_Restatement!$C$10:$N$10,'Staging Table'!CW83:DH83))*1000</f>
        <v>3225398.9433337334</v>
      </c>
      <c r="H81" s="117">
        <f>IF(Init!$R$9="Yes",'Staging Table'!BQ83,'Staging Table'!ED83)*IF(Init!$R$3=2022,Rates_previous!$C$88,Rates_previous!$D$88)</f>
        <v>0</v>
      </c>
      <c r="I81" s="115">
        <v>0</v>
      </c>
      <c r="J81" s="117">
        <f>IF(Init!$R$9="Yes",IF('Staging Table'!D83=1,'Staging Table'!H83*-1,'Staging Table'!H83*SUM(D81:I81)*(-1)),IF('Staging Table'!D83=1,'Staging Table'!BU83*-1,'Staging Table'!BU83*SUM(D81:I81)*(-1)))</f>
        <v>-1979531.2369740643</v>
      </c>
      <c r="K81" s="115">
        <f>IF(Init!$R$9="Yes",'Staging Table'!K83,'Staging Table'!BX83)*(-1)*Rates_previous!$H$32</f>
        <v>0</v>
      </c>
      <c r="L81" s="115">
        <f>IF('Staging Table'!C83=1,"",SUM(D81:K81))</f>
        <v>26416509.432129234</v>
      </c>
      <c r="M81" s="115">
        <f>IF('Staging Table'!C83=1,"",IF(Init!$R$9="Yes",(RT1SC!$C$3*'Staging Table'!E83*'Staging Table'!$F$2)+SUM('Staging Table'!L83:AI83)-IF(Init!$R$12="No",'Staging Table'!BH83, 0),X81))</f>
        <v>755757.79200000002</v>
      </c>
      <c r="N81" s="69">
        <f>IF('Staging Table'!C83=1,"",IF(M81=0, 0, L81/M81))</f>
        <v>34.953671284317018</v>
      </c>
      <c r="O81" s="115">
        <f>'Staging Table'!BR83*Rates_current!$F$77*100*12</f>
        <v>31521905.547600001</v>
      </c>
      <c r="P81" s="115">
        <f>'Staging Table'!BS83*Rates_current!$F$78*100*12</f>
        <v>-5048964.4908000007</v>
      </c>
      <c r="Q81" s="116">
        <f>SUMPRODUCT('Staging Table'!BY83:CV83, LS_Demand_Rates_Restatement!$C$5:$Z$5)-IF(Init!$R$12="No",('Staging Table'!DU83*Rates_current!$I$46), 0)</f>
        <v>1272038.8246461537</v>
      </c>
      <c r="R81" s="116">
        <f>SUMPRODUCT('Staging Table'!CW83:DH83, LS_Demand_Rates_Restatement!$C$11:$N$11)*1000</f>
        <v>3653454.917465678</v>
      </c>
      <c r="S81" s="117">
        <f>'Staging Table'!ED83*IF(Init!$R$15="Yes",IF(Init!$R$6=2024,Rates_current!$C$89,Rates_current!$D$89),Rates_current!$I$45)</f>
        <v>0</v>
      </c>
      <c r="T81" s="117">
        <v>0</v>
      </c>
      <c r="U81" s="117">
        <f>IF('Staging Table'!D83=1, 'Staging Table'!BU83*-1,SUM(O81:T81)*'Staging Table'!BU83*-1)</f>
        <v>-2441525.5698695984</v>
      </c>
      <c r="V81" s="115">
        <f>'Staging Table'!BX83*Rates_current!$I$44*-1</f>
        <v>0</v>
      </c>
      <c r="W81" s="115">
        <f>IF('Staging Table'!C83=1,"",SUM(O81:V81))</f>
        <v>28956909.229042232</v>
      </c>
      <c r="X81" s="115">
        <f>IF('Staging Table'!C83=1,"",(RT1SC!$C$4*'Staging Table'!BR83*'Staging Table'!$BS$2)+SUM('Staging Table'!BY83:CV83)-IF(Init!$R$12="No",'Staging Table'!DU83, 0))</f>
        <v>758029.08</v>
      </c>
      <c r="Y81" s="69">
        <f>IF('Staging Table'!C83=1,"",IF(X81=0, 0, W81/X81))</f>
        <v>38.200261695820735</v>
      </c>
      <c r="Z81" s="64">
        <f ca="1">IF('Staging Table'!C83=1,"",(Y81/N81-1)+(RAND()/100000000000000))</f>
        <v>9.288267275548108E-2</v>
      </c>
      <c r="AA81" s="45">
        <f t="shared" ca="1" si="5"/>
        <v>69</v>
      </c>
      <c r="AC81">
        <f t="shared" si="6"/>
        <v>1.132714117432404</v>
      </c>
      <c r="AD81" s="119"/>
      <c r="AE81" s="119"/>
      <c r="AG81" s="119"/>
      <c r="AH81" s="119"/>
    </row>
    <row r="82" spans="2:34">
      <c r="B82" s="2">
        <v>10246</v>
      </c>
      <c r="C82" s="3" t="s">
        <v>86</v>
      </c>
      <c r="D82" s="115">
        <f>IF(Init!$R$9="Yes",'Staging Table'!E84,'Staging Table'!BR84)*Rates_previous!$E$76*100*12</f>
        <v>3241216.0087200003</v>
      </c>
      <c r="E82" s="115">
        <f>IF(Init!$R$9="Yes",'Staging Table'!F84,'Staging Table'!BS84)*Rates_previous!$E$77*100*12</f>
        <v>-661723.32635999995</v>
      </c>
      <c r="F82" s="116">
        <f>IF(Init!$R$9="Yes",SUMPRODUCT('Staging Table'!L84:AI84,LS_Demand_Rates_Restatement!$C$4:$Z$4)-IF(Init!$R$12="No",('Staging Table'!BH84*Rates_previous!$H$34), 0),SUMPRODUCT('Staging Table'!BY84:CV84,LS_Demand_Rates_Restatement!$C$4:$Z$4)-IF(Init!$R$12="No", 'Staging Table'!DU84*Rates_previous!$H$34, 0))</f>
        <v>26091.69094772893</v>
      </c>
      <c r="G82" s="116">
        <f>IF(Init!$R$9="Yes",SUMPRODUCT('Staging Table'!AJ84:AU84,LS_Demand_Rates_Restatement!$C$10:$N$10),SUMPRODUCT(LS_Demand_Rates_Restatement!$C$10:$N$10,'Staging Table'!CW84:DH84))*1000</f>
        <v>346425.95767382474</v>
      </c>
      <c r="H82" s="117">
        <f>IF(Init!$R$9="Yes",'Staging Table'!BQ84,'Staging Table'!ED84)*IF(Init!$R$3=2022,Rates_previous!$C$88,Rates_previous!$D$88)</f>
        <v>0</v>
      </c>
      <c r="I82" s="115">
        <v>0</v>
      </c>
      <c r="J82" s="117">
        <f>IF(Init!$R$9="Yes",IF('Staging Table'!D84=1,'Staging Table'!H84*-1,'Staging Table'!H84*SUM(D82:I82)*(-1)),IF('Staging Table'!D84=1,'Staging Table'!BU84*-1,'Staging Table'!BU84*SUM(D82:I82)*(-1)))</f>
        <v>0</v>
      </c>
      <c r="K82" s="115">
        <f>IF(Init!$R$9="Yes",'Staging Table'!K84,'Staging Table'!BX84)*(-1)*Rates_previous!$H$32</f>
        <v>0</v>
      </c>
      <c r="L82" s="115">
        <f>IF('Staging Table'!C84=1,"",SUM(D82:K82))</f>
        <v>2952010.330981554</v>
      </c>
      <c r="M82" s="115">
        <f>IF('Staging Table'!C84=1,"",IF(Init!$R$9="Yes",(RT1SC!$C$3*'Staging Table'!E84*'Staging Table'!$F$2)+SUM('Staging Table'!L84:AI84)-IF(Init!$R$12="No",'Staging Table'!BH84, 0),X82))</f>
        <v>78941.808000000005</v>
      </c>
      <c r="N82" s="69">
        <f>IF('Staging Table'!C84=1,"",IF(M82=0, 0, L82/M82))</f>
        <v>37.394764647163313</v>
      </c>
      <c r="O82" s="115">
        <f>'Staging Table'!BR84*Rates_current!$F$77*100*12</f>
        <v>3292714.9475999996</v>
      </c>
      <c r="P82" s="115">
        <f>'Staging Table'!BS84*Rates_current!$F$78*100*12</f>
        <v>-527404.69079999998</v>
      </c>
      <c r="Q82" s="116">
        <f>SUMPRODUCT('Staging Table'!BY84:CV84, LS_Demand_Rates_Restatement!$C$5:$Z$5)-IF(Init!$R$12="No",('Staging Table'!DU84*Rates_current!$I$46), 0)</f>
        <v>105059.76022062072</v>
      </c>
      <c r="R82" s="116">
        <f>SUMPRODUCT('Staging Table'!CW84:DH84, LS_Demand_Rates_Restatement!$C$11:$N$11)*1000</f>
        <v>378836.54043132131</v>
      </c>
      <c r="S82" s="117">
        <f>'Staging Table'!ED84*IF(Init!$R$15="Yes",IF(Init!$R$6=2024,Rates_current!$C$89,Rates_current!$D$89),Rates_current!$I$45)</f>
        <v>0</v>
      </c>
      <c r="T82" s="117">
        <v>0</v>
      </c>
      <c r="U82" s="117">
        <f>IF('Staging Table'!D84=1, 'Staging Table'!BU84*-1,SUM(O82:T82)*'Staging Table'!BU84*-1)</f>
        <v>0</v>
      </c>
      <c r="V82" s="115">
        <f>'Staging Table'!BX84*Rates_current!$I$44*-1</f>
        <v>0</v>
      </c>
      <c r="W82" s="115">
        <f>IF('Staging Table'!C84=1,"",SUM(O82:V82))</f>
        <v>3249206.5574519415</v>
      </c>
      <c r="X82" s="115">
        <f>IF('Staging Table'!C84=1,"",(RT1SC!$C$4*'Staging Table'!BR84*'Staging Table'!$BS$2)+SUM('Staging Table'!BY84:CV84)-IF(Init!$R$12="No",'Staging Table'!DU84, 0))</f>
        <v>79181.64</v>
      </c>
      <c r="Y82" s="69">
        <f>IF('Staging Table'!C84=1,"",IF(X82=0, 0, W82/X82))</f>
        <v>41.034847945204739</v>
      </c>
      <c r="Z82" s="64">
        <f ca="1">IF('Staging Table'!C84=1,"",(Y82/N82-1)+(RAND()/100000000000000))</f>
        <v>9.7342056632457194E-2</v>
      </c>
      <c r="AA82" s="45">
        <f t="shared" ca="1" si="5"/>
        <v>47</v>
      </c>
      <c r="AC82">
        <f t="shared" si="6"/>
        <v>1.0935570272364306</v>
      </c>
      <c r="AD82" s="119"/>
      <c r="AE82" s="119"/>
      <c r="AG82" s="119"/>
      <c r="AH82" s="119"/>
    </row>
    <row r="83" spans="2:34">
      <c r="B83" s="2">
        <v>10247</v>
      </c>
      <c r="C83" s="3" t="s">
        <v>87</v>
      </c>
      <c r="D83" s="115">
        <f>IF(Init!$R$9="Yes",'Staging Table'!E85,'Staging Table'!BR85)*Rates_previous!$E$76*100*12</f>
        <v>28825921.85328</v>
      </c>
      <c r="E83" s="115">
        <f>IF(Init!$R$9="Yes",'Staging Table'!F85,'Staging Table'!BS85)*Rates_previous!$E$77*100*12</f>
        <v>-5885070.5546400007</v>
      </c>
      <c r="F83" s="116">
        <f>IF(Init!$R$9="Yes",SUMPRODUCT('Staging Table'!L85:AI85,LS_Demand_Rates_Restatement!$C$4:$Z$4)-IF(Init!$R$12="No",('Staging Table'!BH85*Rates_previous!$H$34), 0),SUMPRODUCT('Staging Table'!BY85:CV85,LS_Demand_Rates_Restatement!$C$4:$Z$4)-IF(Init!$R$12="No", 'Staging Table'!DU85*Rates_previous!$H$34, 0))</f>
        <v>93557.276659328258</v>
      </c>
      <c r="G83" s="116">
        <f>IF(Init!$R$9="Yes",SUMPRODUCT('Staging Table'!AJ85:AU85,LS_Demand_Rates_Restatement!$C$10:$N$10),SUMPRODUCT(LS_Demand_Rates_Restatement!$C$10:$N$10,'Staging Table'!CW85:DH85))*1000</f>
        <v>1671781.7713643163</v>
      </c>
      <c r="H83" s="117">
        <f>IF(Init!$R$9="Yes",'Staging Table'!BQ85,'Staging Table'!ED85)*IF(Init!$R$3=2022,Rates_previous!$C$88,Rates_previous!$D$88)</f>
        <v>0</v>
      </c>
      <c r="I83" s="115">
        <v>0</v>
      </c>
      <c r="J83" s="117">
        <f>IF(Init!$R$9="Yes",IF('Staging Table'!D85=1,'Staging Table'!H85*-1,'Staging Table'!H85*SUM(D83:I83)*(-1)),IF('Staging Table'!D85=1,'Staging Table'!BU85*-1,'Staging Table'!BU85*SUM(D83:I83)*(-1)))</f>
        <v>0</v>
      </c>
      <c r="K83" s="115">
        <f>IF(Init!$R$9="Yes",'Staging Table'!K85,'Staging Table'!BX85)*(-1)*Rates_previous!$H$32</f>
        <v>0</v>
      </c>
      <c r="L83" s="115">
        <f>IF('Staging Table'!C85=1,"",SUM(D83:K83))</f>
        <v>24706190.346663643</v>
      </c>
      <c r="M83" s="115">
        <f>IF('Staging Table'!C85=1,"",IF(Init!$R$9="Yes",(RT1SC!$C$3*'Staging Table'!E85*'Staging Table'!$F$2)+SUM('Staging Table'!L85:AI85)-IF(Init!$R$12="No",'Staging Table'!BH85, 0),X83))</f>
        <v>702096.33600000001</v>
      </c>
      <c r="N83" s="69">
        <f>IF('Staging Table'!C85=1,"",IF(M83=0, 0, L83/M83))</f>
        <v>35.189174305367182</v>
      </c>
      <c r="O83" s="115">
        <f>'Staging Table'!BR85*Rates_current!$F$77*100*12</f>
        <v>29283771.004799999</v>
      </c>
      <c r="P83" s="115">
        <f>'Staging Table'!BS85*Rates_current!$F$78*100*12</f>
        <v>-4690475.3183999993</v>
      </c>
      <c r="Q83" s="116">
        <f>SUMPRODUCT('Staging Table'!BY85:CV85, LS_Demand_Rates_Restatement!$C$5:$Z$5)-IF(Init!$R$12="No",('Staging Table'!DU85*Rates_current!$I$46), 0)</f>
        <v>798482.444128884</v>
      </c>
      <c r="R83" s="116">
        <f>SUMPRODUCT('Staging Table'!CW85:DH85, LS_Demand_Rates_Restatement!$C$11:$N$11)*1000</f>
        <v>1778062.946903134</v>
      </c>
      <c r="S83" s="117">
        <f>'Staging Table'!ED85*IF(Init!$R$15="Yes",IF(Init!$R$6=2024,Rates_current!$C$89,Rates_current!$D$89),Rates_current!$I$45)</f>
        <v>0</v>
      </c>
      <c r="T83" s="117">
        <v>0</v>
      </c>
      <c r="U83" s="117">
        <f>IF('Staging Table'!D85=1, 'Staging Table'!BU85*-1,SUM(O83:T83)*'Staging Table'!BU85*-1)</f>
        <v>0</v>
      </c>
      <c r="V83" s="115">
        <f>'Staging Table'!BX85*Rates_current!$I$44*-1</f>
        <v>0</v>
      </c>
      <c r="W83" s="115">
        <f>IF('Staging Table'!C85=1,"",SUM(O83:V83))</f>
        <v>27169841.077432018</v>
      </c>
      <c r="X83" s="115">
        <f>IF('Staging Table'!C85=1,"",(RT1SC!$C$4*'Staging Table'!BR85*'Staging Table'!$BS$2)+SUM('Staging Table'!BY85:CV85)-IF(Init!$R$12="No",'Staging Table'!DU85, 0))</f>
        <v>704207.64</v>
      </c>
      <c r="Y83" s="69">
        <f>IF('Staging Table'!C85=1,"",IF(X83=0, 0, W83/X83))</f>
        <v>38.582144717191674</v>
      </c>
      <c r="Z83" s="64">
        <f ca="1">IF('Staging Table'!C85=1,"",(Y83/N83-1)+(RAND()/100000000000000))</f>
        <v>9.6420858937490042E-2</v>
      </c>
      <c r="AA83" s="45">
        <f t="shared" ca="1" si="5"/>
        <v>52</v>
      </c>
      <c r="AC83">
        <f t="shared" si="6"/>
        <v>1.0635735939697937</v>
      </c>
      <c r="AD83" s="119"/>
      <c r="AE83" s="119"/>
      <c r="AG83" s="119"/>
      <c r="AH83" s="119"/>
    </row>
    <row r="84" spans="2:34">
      <c r="B84" s="2">
        <v>10256</v>
      </c>
      <c r="C84" s="3" t="s">
        <v>88</v>
      </c>
      <c r="D84" s="115">
        <f>IF(Init!$R$9="Yes",'Staging Table'!E86,'Staging Table'!BR86)*Rates_previous!$E$76*100*12</f>
        <v>16858508.352480002</v>
      </c>
      <c r="E84" s="115">
        <f>IF(Init!$R$9="Yes",'Staging Table'!F86,'Staging Table'!BS86)*Rates_previous!$E$77*100*12</f>
        <v>-3441815.7242399999</v>
      </c>
      <c r="F84" s="116">
        <f>IF(Init!$R$9="Yes",SUMPRODUCT('Staging Table'!L86:AI86,LS_Demand_Rates_Restatement!$C$4:$Z$4)-IF(Init!$R$12="No",('Staging Table'!BH86*Rates_previous!$H$34), 0),SUMPRODUCT('Staging Table'!BY86:CV86,LS_Demand_Rates_Restatement!$C$4:$Z$4)-IF(Init!$R$12="No", 'Staging Table'!DU86*Rates_previous!$H$34, 0))</f>
        <v>-21340.455478984863</v>
      </c>
      <c r="G84" s="116">
        <f>IF(Init!$R$9="Yes",SUMPRODUCT('Staging Table'!AJ86:AU86,LS_Demand_Rates_Restatement!$C$10:$N$10),SUMPRODUCT(LS_Demand_Rates_Restatement!$C$10:$N$10,'Staging Table'!CW86:DH86))*1000</f>
        <v>1927705.7002123129</v>
      </c>
      <c r="H84" s="117">
        <f>IF(Init!$R$9="Yes",'Staging Table'!BQ86,'Staging Table'!ED86)*IF(Init!$R$3=2022,Rates_previous!$C$88,Rates_previous!$D$88)</f>
        <v>0</v>
      </c>
      <c r="I84" s="115">
        <v>0</v>
      </c>
      <c r="J84" s="117">
        <f>IF(Init!$R$9="Yes",IF('Staging Table'!D86=1,'Staging Table'!H86*-1,'Staging Table'!H86*SUM(D84:I84)*(-1)),IF('Staging Table'!D86=1,'Staging Table'!BU86*-1,'Staging Table'!BU86*SUM(D84:I84)*(-1)))</f>
        <v>-1227175.4734386937</v>
      </c>
      <c r="K84" s="115">
        <f>IF(Init!$R$9="Yes",'Staging Table'!K86,'Staging Table'!BX86)*(-1)*Rates_previous!$H$32</f>
        <v>-480031.36298000009</v>
      </c>
      <c r="L84" s="115">
        <f>IF('Staging Table'!C86=1,"",SUM(D84:K84))</f>
        <v>13615851.036554636</v>
      </c>
      <c r="M84" s="115">
        <f>IF('Staging Table'!C86=1,"",IF(Init!$R$9="Yes",(RT1SC!$C$3*'Staging Table'!E86*'Staging Table'!$F$2)+SUM('Staging Table'!L86:AI86)-IF(Init!$R$12="No",'Staging Table'!BH86, 0),X84))</f>
        <v>410616.864</v>
      </c>
      <c r="N84" s="69">
        <f>IF('Staging Table'!C86=1,"",IF(M84=0, 0, L84/M84))</f>
        <v>33.159502763516883</v>
      </c>
      <c r="O84" s="115">
        <f>'Staging Table'!BR86*Rates_current!$F$77*100*12</f>
        <v>17126313.2586</v>
      </c>
      <c r="P84" s="115">
        <f>'Staging Table'!BS86*Rates_current!$F$78*100*12</f>
        <v>-2743176.4037999995</v>
      </c>
      <c r="Q84" s="116">
        <f>SUMPRODUCT('Staging Table'!BY86:CV86, LS_Demand_Rates_Restatement!$C$5:$Z$5)-IF(Init!$R$12="No",('Staging Table'!DU86*Rates_current!$I$46), 0)</f>
        <v>313585.82595340157</v>
      </c>
      <c r="R84" s="116">
        <f>SUMPRODUCT('Staging Table'!CW86:DH86, LS_Demand_Rates_Restatement!$C$11:$N$11)*1000</f>
        <v>2148246.1184097128</v>
      </c>
      <c r="S84" s="117">
        <f>'Staging Table'!ED86*IF(Init!$R$15="Yes",IF(Init!$R$6=2024,Rates_current!$C$89,Rates_current!$D$89),Rates_current!$I$45)</f>
        <v>0</v>
      </c>
      <c r="T84" s="117">
        <v>0</v>
      </c>
      <c r="U84" s="117">
        <f>IF('Staging Table'!D86=1, 'Staging Table'!BU86*-1,SUM(O84:T84)*'Staging Table'!BU86*-1)</f>
        <v>-1508811.5406453209</v>
      </c>
      <c r="V84" s="115">
        <f>'Staging Table'!BX86*Rates_current!$I$44*-1</f>
        <v>-496212.1954400001</v>
      </c>
      <c r="W84" s="115">
        <f>IF('Staging Table'!C86=1,"",SUM(O84:V84))</f>
        <v>14839945.063077794</v>
      </c>
      <c r="X84" s="115">
        <f>IF('Staging Table'!C86=1,"",(RT1SC!$C$4*'Staging Table'!BR86*'Staging Table'!$BS$2)+SUM('Staging Table'!BY86:CV86)-IF(Init!$R$12="No",'Staging Table'!DU86, 0))</f>
        <v>411848.95131136809</v>
      </c>
      <c r="Y84" s="69">
        <f>IF('Staging Table'!C86=1,"",IF(X84=0, 0, W84/X84))</f>
        <v>36.032494476011003</v>
      </c>
      <c r="Z84" s="64">
        <f ca="1">IF('Staging Table'!C86=1,"",(Y84/N84-1)+(RAND()/100000000000000))</f>
        <v>8.6641580031632831E-2</v>
      </c>
      <c r="AA84" s="45">
        <f t="shared" ca="1" si="5"/>
        <v>88</v>
      </c>
      <c r="AC84">
        <f t="shared" si="6"/>
        <v>1.1144056471758683</v>
      </c>
      <c r="AD84" s="119"/>
      <c r="AE84" s="119"/>
      <c r="AG84" s="119"/>
      <c r="AH84" s="119"/>
    </row>
    <row r="85" spans="2:34">
      <c r="B85" s="2">
        <v>10258</v>
      </c>
      <c r="C85" s="3" t="s">
        <v>89</v>
      </c>
      <c r="D85" s="115">
        <f>IF(Init!$R$9="Yes",'Staging Table'!E87,'Staging Table'!BR87)*Rates_previous!$E$76*100*12</f>
        <v>13687044.129359998</v>
      </c>
      <c r="E85" s="115">
        <f>IF(Init!$R$9="Yes",'Staging Table'!F87,'Staging Table'!BS87)*Rates_previous!$E$77*100*12</f>
        <v>-2794332.8506799997</v>
      </c>
      <c r="F85" s="116">
        <f>IF(Init!$R$9="Yes",SUMPRODUCT('Staging Table'!L87:AI87,LS_Demand_Rates_Restatement!$C$4:$Z$4)-IF(Init!$R$12="No",('Staging Table'!BH87*Rates_previous!$H$34), 0),SUMPRODUCT('Staging Table'!BY87:CV87,LS_Demand_Rates_Restatement!$C$4:$Z$4)-IF(Init!$R$12="No", 'Staging Table'!DU87*Rates_previous!$H$34, 0))</f>
        <v>523565.3458796232</v>
      </c>
      <c r="G85" s="116">
        <f>IF(Init!$R$9="Yes",SUMPRODUCT('Staging Table'!AJ87:AU87,LS_Demand_Rates_Restatement!$C$10:$N$10),SUMPRODUCT(LS_Demand_Rates_Restatement!$C$10:$N$10,'Staging Table'!CW87:DH87))*1000</f>
        <v>1409091.9932995995</v>
      </c>
      <c r="H85" s="117">
        <f>IF(Init!$R$9="Yes",'Staging Table'!BQ87,'Staging Table'!ED87)*IF(Init!$R$3=2022,Rates_previous!$C$88,Rates_previous!$D$88)</f>
        <v>0</v>
      </c>
      <c r="I85" s="115">
        <v>0</v>
      </c>
      <c r="J85" s="117">
        <f>IF(Init!$R$9="Yes",IF('Staging Table'!D87=1,'Staging Table'!H87*-1,'Staging Table'!H87*SUM(D85:I85)*(-1)),IF('Staging Table'!D87=1,'Staging Table'!BU87*-1,'Staging Table'!BU87*SUM(D85:I85)*(-1)))</f>
        <v>-696335.19460186083</v>
      </c>
      <c r="K85" s="115">
        <f>IF(Init!$R$9="Yes",'Staging Table'!K87,'Staging Table'!BX87)*(-1)*Rates_previous!$H$32</f>
        <v>-212737.84454000002</v>
      </c>
      <c r="L85" s="115">
        <f>IF('Staging Table'!C87=1,"",SUM(D85:K85))</f>
        <v>11916295.578717362</v>
      </c>
      <c r="M85" s="115">
        <f>IF('Staging Table'!C87=1,"",IF(Init!$R$9="Yes",(RT1SC!$C$3*'Staging Table'!E87*'Staging Table'!$F$2)+SUM('Staging Table'!L87:AI87)-IF(Init!$R$12="No",'Staging Table'!BH87, 0),X85))</f>
        <v>333370.36799999996</v>
      </c>
      <c r="N85" s="69">
        <f>IF('Staging Table'!C87=1,"",IF(M85=0, 0, L85/M85))</f>
        <v>35.744915333078922</v>
      </c>
      <c r="O85" s="115">
        <f>'Staging Table'!BR87*Rates_current!$F$77*100*12</f>
        <v>13904818.745999999</v>
      </c>
      <c r="P85" s="115">
        <f>'Staging Table'!BS87*Rates_current!$F$78*100*12</f>
        <v>-2227179.318</v>
      </c>
      <c r="Q85" s="116">
        <f>SUMPRODUCT('Staging Table'!BY87:CV87, LS_Demand_Rates_Restatement!$C$5:$Z$5)-IF(Init!$R$12="No",('Staging Table'!DU87*Rates_current!$I$46), 0)</f>
        <v>736486.8786580537</v>
      </c>
      <c r="R85" s="116">
        <f>SUMPRODUCT('Staging Table'!CW87:DH87, LS_Demand_Rates_Restatement!$C$11:$N$11)*1000</f>
        <v>1593268.6997718394</v>
      </c>
      <c r="S85" s="117">
        <f>'Staging Table'!ED87*IF(Init!$R$15="Yes",IF(Init!$R$6=2024,Rates_current!$C$89,Rates_current!$D$89),Rates_current!$I$45)</f>
        <v>0</v>
      </c>
      <c r="T85" s="117">
        <v>0</v>
      </c>
      <c r="U85" s="117">
        <f>IF('Staging Table'!D87=1, 'Staging Table'!BU87*-1,SUM(O85:T85)*'Staging Table'!BU87*-1)</f>
        <v>-966877.5867266116</v>
      </c>
      <c r="V85" s="115">
        <f>'Staging Table'!BX87*Rates_current!$I$44*-1</f>
        <v>-219908.78312000004</v>
      </c>
      <c r="W85" s="115">
        <f>IF('Staging Table'!C87=1,"",SUM(O85:V85))</f>
        <v>12820608.636583282</v>
      </c>
      <c r="X85" s="115">
        <f>IF('Staging Table'!C87=1,"",(RT1SC!$C$4*'Staging Table'!BR87*'Staging Table'!$BS$2)+SUM('Staging Table'!BY87:CV87)-IF(Init!$R$12="No",'Staging Table'!DU87, 0))</f>
        <v>334374.70573835011</v>
      </c>
      <c r="Y85" s="69">
        <f>IF('Staging Table'!C87=1,"",IF(X85=0, 0, W85/X85))</f>
        <v>38.342040879777173</v>
      </c>
      <c r="Z85" s="64">
        <f ca="1">IF('Staging Table'!C87=1,"",(Y85/N85-1)+(RAND()/100000000000000))</f>
        <v>7.2657202360051951E-2</v>
      </c>
      <c r="AA85" s="45">
        <f t="shared" ca="1" si="5"/>
        <v>106</v>
      </c>
      <c r="AC85">
        <f t="shared" si="6"/>
        <v>1.1307059491843132</v>
      </c>
      <c r="AD85" s="119"/>
      <c r="AE85" s="119"/>
      <c r="AG85" s="119"/>
      <c r="AH85" s="119"/>
    </row>
    <row r="86" spans="2:34">
      <c r="B86" s="2">
        <v>10259</v>
      </c>
      <c r="C86" s="3" t="s">
        <v>90</v>
      </c>
      <c r="D86" s="115">
        <f>IF(Init!$R$9="Yes",'Staging Table'!E88,'Staging Table'!BR88)*Rates_previous!$E$76*100*12</f>
        <v>9731868.7723199986</v>
      </c>
      <c r="E86" s="115">
        <f>IF(Init!$R$9="Yes",'Staging Table'!F88,'Staging Table'!BS88)*Rates_previous!$E$77*100*12</f>
        <v>-1986848.31816</v>
      </c>
      <c r="F86" s="116">
        <f>IF(Init!$R$9="Yes",SUMPRODUCT('Staging Table'!L88:AI88,LS_Demand_Rates_Restatement!$C$4:$Z$4)-IF(Init!$R$12="No",('Staging Table'!BH88*Rates_previous!$H$34), 0),SUMPRODUCT('Staging Table'!BY88:CV88,LS_Demand_Rates_Restatement!$C$4:$Z$4)-IF(Init!$R$12="No", 'Staging Table'!DU88*Rates_previous!$H$34, 0))</f>
        <v>-285657.62357535458</v>
      </c>
      <c r="G86" s="116">
        <f>IF(Init!$R$9="Yes",SUMPRODUCT('Staging Table'!AJ88:AU88,LS_Demand_Rates_Restatement!$C$10:$N$10),SUMPRODUCT(LS_Demand_Rates_Restatement!$C$10:$N$10,'Staging Table'!CW88:DH88))*1000</f>
        <v>887646.93712873943</v>
      </c>
      <c r="H86" s="117">
        <f>IF(Init!$R$9="Yes",'Staging Table'!BQ88,'Staging Table'!ED88)*IF(Init!$R$3=2022,Rates_previous!$C$88,Rates_previous!$D$88)</f>
        <v>0</v>
      </c>
      <c r="I86" s="115">
        <v>0</v>
      </c>
      <c r="J86" s="117">
        <f>IF(Init!$R$9="Yes",IF('Staging Table'!D88=1,'Staging Table'!H88*-1,'Staging Table'!H88*SUM(D86:I86)*(-1)),IF('Staging Table'!D88=1,'Staging Table'!BU88*-1,'Staging Table'!BU88*SUM(D86:I86)*(-1)))</f>
        <v>-672941.89735589584</v>
      </c>
      <c r="K86" s="115">
        <f>IF(Init!$R$9="Yes",'Staging Table'!K88,'Staging Table'!BX88)*(-1)*Rates_previous!$H$32</f>
        <v>0</v>
      </c>
      <c r="L86" s="115">
        <f>IF('Staging Table'!C88=1,"",SUM(D86:K86))</f>
        <v>7674067.8703574874</v>
      </c>
      <c r="M86" s="115">
        <f>IF('Staging Table'!C88=1,"",IF(Init!$R$9="Yes",(RT1SC!$C$3*'Staging Table'!E88*'Staging Table'!$F$2)+SUM('Staging Table'!L88:AI88)-IF(Init!$R$12="No",'Staging Table'!BH88, 0),X86))</f>
        <v>226363.13311103702</v>
      </c>
      <c r="N86" s="69">
        <f>IF('Staging Table'!C88=1,"",IF(M86=0, 0, L86/M86))</f>
        <v>33.901580018302525</v>
      </c>
      <c r="O86" s="115">
        <f>'Staging Table'!BR88*Rates_current!$F$77*100*12</f>
        <v>9886691.2950000018</v>
      </c>
      <c r="P86" s="115">
        <f>'Staging Table'!BS88*Rates_current!$F$78*100*12</f>
        <v>-1583582.9849999999</v>
      </c>
      <c r="Q86" s="116">
        <f>SUMPRODUCT('Staging Table'!BY88:CV88, LS_Demand_Rates_Restatement!$C$5:$Z$5)-IF(Init!$R$12="No",('Staging Table'!DU88*Rates_current!$I$46), 0)</f>
        <v>345874.47337241739</v>
      </c>
      <c r="R86" s="116">
        <f>SUMPRODUCT('Staging Table'!CW88:DH88, LS_Demand_Rates_Restatement!$C$11:$N$11)*1000</f>
        <v>977342.14694141748</v>
      </c>
      <c r="S86" s="117">
        <f>'Staging Table'!ED88*IF(Init!$R$15="Yes",IF(Init!$R$6=2024,Rates_current!$C$89,Rates_current!$D$89),Rates_current!$I$45)</f>
        <v>0</v>
      </c>
      <c r="T86" s="117">
        <v>0</v>
      </c>
      <c r="U86" s="117">
        <f>IF('Staging Table'!D88=1, 'Staging Table'!BU88*-1,SUM(O86:T86)*'Staging Table'!BU88*-1)</f>
        <v>-745638.50887491729</v>
      </c>
      <c r="V86" s="115">
        <f>'Staging Table'!BX88*Rates_current!$I$44*-1</f>
        <v>0</v>
      </c>
      <c r="W86" s="115">
        <f>IF('Staging Table'!C88=1,"",SUM(O86:V86))</f>
        <v>8880686.4214389194</v>
      </c>
      <c r="X86" s="115">
        <f>IF('Staging Table'!C88=1,"",(RT1SC!$C$4*'Staging Table'!BR88*'Staging Table'!$BS$2)+SUM('Staging Table'!BY88:CV88)-IF(Init!$R$12="No",'Staging Table'!DU88, 0))</f>
        <v>237755.15999999997</v>
      </c>
      <c r="Y86" s="69">
        <f>IF('Staging Table'!C88=1,"",IF(X86=0, 0, W86/X86))</f>
        <v>37.352234212031064</v>
      </c>
      <c r="Z86" s="64">
        <f ca="1">IF('Staging Table'!C88=1,"",(Y86/N86-1)+(RAND()/100000000000000))</f>
        <v>0.10178446526285254</v>
      </c>
      <c r="AA86" s="45">
        <f t="shared" ca="1" si="5"/>
        <v>34</v>
      </c>
      <c r="AC86">
        <f t="shared" si="6"/>
        <v>1.101048295285977</v>
      </c>
      <c r="AD86" s="119"/>
      <c r="AE86" s="119"/>
      <c r="AG86" s="119"/>
      <c r="AH86" s="119"/>
    </row>
    <row r="87" spans="2:34">
      <c r="B87" s="2">
        <v>10260</v>
      </c>
      <c r="C87" s="3" t="s">
        <v>91</v>
      </c>
      <c r="D87" s="115">
        <f>IF(Init!$R$9="Yes",'Staging Table'!E89,'Staging Table'!BR89)*Rates_previous!$E$76*100*12</f>
        <v>9479516.7765600011</v>
      </c>
      <c r="E87" s="115">
        <f>IF(Init!$R$9="Yes",'Staging Table'!F89,'Staging Table'!BS89)*Rates_previous!$E$77*100*12</f>
        <v>-1935328.3942800001</v>
      </c>
      <c r="F87" s="116">
        <f>IF(Init!$R$9="Yes",SUMPRODUCT('Staging Table'!L89:AI89,LS_Demand_Rates_Restatement!$C$4:$Z$4)-IF(Init!$R$12="No",('Staging Table'!BH89*Rates_previous!$H$34), 0),SUMPRODUCT('Staging Table'!BY89:CV89,LS_Demand_Rates_Restatement!$C$4:$Z$4)-IF(Init!$R$12="No", 'Staging Table'!DU89*Rates_previous!$H$34, 0))</f>
        <v>86996.782616989454</v>
      </c>
      <c r="G87" s="116">
        <f>IF(Init!$R$9="Yes",SUMPRODUCT('Staging Table'!AJ89:AU89,LS_Demand_Rates_Restatement!$C$10:$N$10),SUMPRODUCT(LS_Demand_Rates_Restatement!$C$10:$N$10,'Staging Table'!CW89:DH89))*1000</f>
        <v>629328.60561952461</v>
      </c>
      <c r="H87" s="117">
        <f>IF(Init!$R$9="Yes",'Staging Table'!BQ89,'Staging Table'!ED89)*IF(Init!$R$3=2022,Rates_previous!$C$88,Rates_previous!$D$88)</f>
        <v>0</v>
      </c>
      <c r="I87" s="115">
        <v>0</v>
      </c>
      <c r="J87" s="117">
        <f>IF(Init!$R$9="Yes",IF('Staging Table'!D89=1,'Staging Table'!H89*-1,'Staging Table'!H89*SUM(D87:I87)*(-1)),IF('Staging Table'!D89=1,'Staging Table'!BU89*-1,'Staging Table'!BU89*SUM(D87:I87)*(-1)))</f>
        <v>0</v>
      </c>
      <c r="K87" s="115">
        <f>IF(Init!$R$9="Yes",'Staging Table'!K89,'Staging Table'!BX89)*(-1)*Rates_previous!$H$32</f>
        <v>0</v>
      </c>
      <c r="L87" s="115">
        <f>IF('Staging Table'!C89=1,"",SUM(D87:K87))</f>
        <v>8260513.7705165157</v>
      </c>
      <c r="M87" s="115">
        <f>IF('Staging Table'!C89=1,"",IF(Init!$R$9="Yes",(RT1SC!$C$3*'Staging Table'!E89*'Staging Table'!$F$2)+SUM('Staging Table'!L89:AI89)-IF(Init!$R$12="No",'Staging Table'!BH89, 0),X87))</f>
        <v>230887.44</v>
      </c>
      <c r="N87" s="69">
        <f>IF('Staging Table'!C89=1,"",IF(M87=0, 0, L87/M87))</f>
        <v>35.777233142333408</v>
      </c>
      <c r="O87" s="115">
        <f>'Staging Table'!BR89*Rates_current!$F$77*100*12</f>
        <v>9630038.7456</v>
      </c>
      <c r="P87" s="115">
        <f>'Staging Table'!BS89*Rates_current!$F$78*100*12</f>
        <v>-1542474.1248000001</v>
      </c>
      <c r="Q87" s="116">
        <f>SUMPRODUCT('Staging Table'!BY89:CV89, LS_Demand_Rates_Restatement!$C$5:$Z$5)-IF(Init!$R$12="No",('Staging Table'!DU89*Rates_current!$I$46), 0)</f>
        <v>285430.25110960193</v>
      </c>
      <c r="R87" s="116">
        <f>SUMPRODUCT('Staging Table'!CW89:DH89, LS_Demand_Rates_Restatement!$C$11:$N$11)*1000</f>
        <v>683781.69744749821</v>
      </c>
      <c r="S87" s="117">
        <f>'Staging Table'!ED89*IF(Init!$R$15="Yes",IF(Init!$R$6=2024,Rates_current!$C$89,Rates_current!$D$89),Rates_current!$I$45)</f>
        <v>0</v>
      </c>
      <c r="T87" s="117">
        <v>0</v>
      </c>
      <c r="U87" s="117">
        <f>IF('Staging Table'!D89=1, 'Staging Table'!BU89*-1,SUM(O87:T87)*'Staging Table'!BU89*-1)</f>
        <v>0</v>
      </c>
      <c r="V87" s="115">
        <f>'Staging Table'!BX89*Rates_current!$I$44*-1</f>
        <v>0</v>
      </c>
      <c r="W87" s="115">
        <f>IF('Staging Table'!C89=1,"",SUM(O87:V87))</f>
        <v>9056776.569357099</v>
      </c>
      <c r="X87" s="115">
        <f>IF('Staging Table'!C89=1,"",(RT1SC!$C$4*'Staging Table'!BR89*'Staging Table'!$BS$2)+SUM('Staging Table'!BY89:CV89)-IF(Init!$R$12="No",'Staging Table'!DU89, 0))</f>
        <v>231579.36</v>
      </c>
      <c r="Y87" s="69">
        <f>IF('Staging Table'!C89=1,"",IF(X87=0, 0, W87/X87))</f>
        <v>39.108738228472085</v>
      </c>
      <c r="Z87" s="64">
        <f ca="1">IF('Staging Table'!C89=1,"",(Y87/N87-1)+(RAND()/100000000000000))</f>
        <v>9.3118019296937998E-2</v>
      </c>
      <c r="AA87" s="45">
        <f t="shared" ca="1" si="5"/>
        <v>66</v>
      </c>
      <c r="AC87">
        <f t="shared" si="6"/>
        <v>1.0865256899841202</v>
      </c>
      <c r="AD87" s="119"/>
      <c r="AE87" s="119"/>
      <c r="AG87" s="119"/>
      <c r="AH87" s="119"/>
    </row>
    <row r="88" spans="2:34">
      <c r="B88" s="2">
        <v>10273</v>
      </c>
      <c r="C88" s="3" t="s">
        <v>92</v>
      </c>
      <c r="D88" s="115">
        <f>IF(Init!$R$9="Yes",'Staging Table'!E90,'Staging Table'!BR90)*Rates_previous!$E$76*100*12</f>
        <v>2120952.5092799999</v>
      </c>
      <c r="E88" s="115">
        <f>IF(Init!$R$9="Yes",'Staging Table'!F90,'Staging Table'!BS90)*Rates_previous!$E$77*100*12</f>
        <v>-433011.48263999994</v>
      </c>
      <c r="F88" s="116">
        <f>IF(Init!$R$9="Yes",SUMPRODUCT('Staging Table'!L90:AI90,LS_Demand_Rates_Restatement!$C$4:$Z$4)-IF(Init!$R$12="No",('Staging Table'!BH90*Rates_previous!$H$34), 0),SUMPRODUCT('Staging Table'!BY90:CV90,LS_Demand_Rates_Restatement!$C$4:$Z$4)-IF(Init!$R$12="No", 'Staging Table'!DU90*Rates_previous!$H$34, 0))</f>
        <v>51976.758568898935</v>
      </c>
      <c r="G88" s="116">
        <f>IF(Init!$R$9="Yes",SUMPRODUCT('Staging Table'!AJ90:AU90,LS_Demand_Rates_Restatement!$C$10:$N$10),SUMPRODUCT(LS_Demand_Rates_Restatement!$C$10:$N$10,'Staging Table'!CW90:DH90))*1000</f>
        <v>284778.40682240925</v>
      </c>
      <c r="H88" s="117">
        <f>IF(Init!$R$9="Yes",'Staging Table'!BQ90,'Staging Table'!ED90)*IF(Init!$R$3=2022,Rates_previous!$C$88,Rates_previous!$D$88)</f>
        <v>0</v>
      </c>
      <c r="I88" s="115">
        <v>0</v>
      </c>
      <c r="J88" s="117">
        <f>IF(Init!$R$9="Yes",IF('Staging Table'!D90=1,'Staging Table'!H90*-1,'Staging Table'!H90*SUM(D88:I88)*(-1)),IF('Staging Table'!D90=1,'Staging Table'!BU90*-1,'Staging Table'!BU90*SUM(D88:I88)*(-1)))</f>
        <v>-194843.87177012736</v>
      </c>
      <c r="K88" s="115">
        <f>IF(Init!$R$9="Yes",'Staging Table'!K90,'Staging Table'!BX90)*(-1)*Rates_previous!$H$32</f>
        <v>-110169.82925</v>
      </c>
      <c r="L88" s="115">
        <f>IF('Staging Table'!C90=1,"",SUM(D88:K88))</f>
        <v>1719682.4910111807</v>
      </c>
      <c r="M88" s="115">
        <f>IF('Staging Table'!C90=1,"",IF(Init!$R$9="Yes",(RT1SC!$C$3*'Staging Table'!E90*'Staging Table'!$F$2)+SUM('Staging Table'!L90:AI90)-IF(Init!$R$12="No",'Staging Table'!BH90, 0),X88))</f>
        <v>51658.704000000005</v>
      </c>
      <c r="N88" s="69">
        <f>IF('Staging Table'!C90=1,"",IF(M88=0, 0, L88/M88))</f>
        <v>33.289307664613119</v>
      </c>
      <c r="O88" s="115">
        <f>'Staging Table'!BR90*Rates_current!$F$77*100*12</f>
        <v>2154741.8879999993</v>
      </c>
      <c r="P88" s="115">
        <f>'Staging Table'!BS90*Rates_current!$F$78*100*12</f>
        <v>-345131.90399999998</v>
      </c>
      <c r="Q88" s="116">
        <f>SUMPRODUCT('Staging Table'!BY90:CV90, LS_Demand_Rates_Restatement!$C$5:$Z$5)-IF(Init!$R$12="No",('Staging Table'!DU90*Rates_current!$I$46), 0)</f>
        <v>105490.90771410901</v>
      </c>
      <c r="R88" s="116">
        <f>SUMPRODUCT('Staging Table'!CW90:DH90, LS_Demand_Rates_Restatement!$C$11:$N$11)*1000</f>
        <v>318894.41643554135</v>
      </c>
      <c r="S88" s="117">
        <f>'Staging Table'!ED90*IF(Init!$R$15="Yes",IF(Init!$R$6=2024,Rates_current!$C$89,Rates_current!$D$89),Rates_current!$I$45)</f>
        <v>0</v>
      </c>
      <c r="T88" s="117">
        <v>0</v>
      </c>
      <c r="U88" s="117">
        <f>IF('Staging Table'!D90=1, 'Staging Table'!BU90*-1,SUM(O88:T88)*'Staging Table'!BU90*-1)</f>
        <v>-216710.76379766487</v>
      </c>
      <c r="V88" s="115">
        <f>'Staging Table'!BX90*Rates_current!$I$44*-1</f>
        <v>-113883.41900000001</v>
      </c>
      <c r="W88" s="115">
        <f>IF('Staging Table'!C90=1,"",SUM(O88:V88))</f>
        <v>1903401.125351985</v>
      </c>
      <c r="X88" s="115">
        <f>IF('Staging Table'!C90=1,"",(RT1SC!$C$4*'Staging Table'!BR90*'Staging Table'!$BS$2)+SUM('Staging Table'!BY90:CV90)-IF(Init!$R$12="No",'Staging Table'!DU90, 0))</f>
        <v>51815.4</v>
      </c>
      <c r="Y88" s="69">
        <f>IF('Staging Table'!C90=1,"",IF(X88=0, 0, W88/X88))</f>
        <v>36.734274469597551</v>
      </c>
      <c r="Z88" s="64">
        <f ca="1">IF('Staging Table'!C90=1,"",(Y88/N88-1)+(RAND()/100000000000000))</f>
        <v>0.10348568494402141</v>
      </c>
      <c r="AA88" s="45">
        <f t="shared" ca="1" si="5"/>
        <v>26</v>
      </c>
      <c r="AC88">
        <f t="shared" si="6"/>
        <v>1.1197984425638254</v>
      </c>
      <c r="AD88" s="119"/>
      <c r="AE88" s="119"/>
      <c r="AG88" s="119"/>
      <c r="AH88" s="119"/>
    </row>
    <row r="89" spans="2:34">
      <c r="B89" s="2">
        <v>10278</v>
      </c>
      <c r="C89" s="3" t="s">
        <v>93</v>
      </c>
      <c r="D89" s="115">
        <f>IF(Init!$R$9="Yes",'Staging Table'!E91,'Staging Table'!BR91)*Rates_previous!$E$76*100*12</f>
        <v>12957141.515759999</v>
      </c>
      <c r="E89" s="115">
        <f>IF(Init!$R$9="Yes",'Staging Table'!F91,'Staging Table'!BS91)*Rates_previous!$E$77*100*12</f>
        <v>-2645316.6838800004</v>
      </c>
      <c r="F89" s="116">
        <f>IF(Init!$R$9="Yes",SUMPRODUCT('Staging Table'!L91:AI91,LS_Demand_Rates_Restatement!$C$4:$Z$4)-IF(Init!$R$12="No",('Staging Table'!BH91*Rates_previous!$H$34), 0),SUMPRODUCT('Staging Table'!BY91:CV91,LS_Demand_Rates_Restatement!$C$4:$Z$4)-IF(Init!$R$12="No", 'Staging Table'!DU91*Rates_previous!$H$34, 0))</f>
        <v>0</v>
      </c>
      <c r="G89" s="116">
        <f>IF(Init!$R$9="Yes",SUMPRODUCT('Staging Table'!AJ91:AU91,LS_Demand_Rates_Restatement!$C$10:$N$10),SUMPRODUCT(LS_Demand_Rates_Restatement!$C$10:$N$10,'Staging Table'!CW91:DH91))*1000</f>
        <v>0</v>
      </c>
      <c r="H89" s="117">
        <f>IF(Init!$R$9="Yes",'Staging Table'!BQ91,'Staging Table'!ED91)*IF(Init!$R$3=2022,Rates_previous!$C$88,Rates_previous!$D$88)</f>
        <v>0</v>
      </c>
      <c r="I89" s="115">
        <v>0</v>
      </c>
      <c r="J89" s="117">
        <f>IF(Init!$R$9="Yes",IF('Staging Table'!D91=1,'Staging Table'!H91*-1,'Staging Table'!H91*SUM(D89:I89)*(-1)),IF('Staging Table'!D91=1,'Staging Table'!BU91*-1,'Staging Table'!BU91*SUM(D89:I89)*(-1)))</f>
        <v>-737541.73315326078</v>
      </c>
      <c r="K89" s="115">
        <f>IF(Init!$R$9="Yes",'Staging Table'!K91,'Staging Table'!BX91)*(-1)*Rates_previous!$H$32</f>
        <v>0</v>
      </c>
      <c r="L89" s="115" t="str">
        <f>IF('Staging Table'!C91=1,"",SUM(D89:K89))</f>
        <v/>
      </c>
      <c r="M89" s="115" t="str">
        <f>IF('Staging Table'!C91=1,"",IF(Init!$R$9="Yes",(RT1SC!$C$3*'Staging Table'!E91*'Staging Table'!$F$2)+SUM('Staging Table'!L91:AI91)-IF(Init!$R$12="No",'Staging Table'!BH91, 0),X89))</f>
        <v/>
      </c>
      <c r="N89" s="69" t="str">
        <f>IF('Staging Table'!C91=1,"",IF(M89=0, 0, L89/M89))</f>
        <v/>
      </c>
      <c r="O89" s="115">
        <f>'Staging Table'!BR91*Rates_current!$F$77*100*12</f>
        <v>13163090.288399998</v>
      </c>
      <c r="P89" s="115">
        <f>'Staging Table'!BS91*Rates_current!$F$78*100*12</f>
        <v>-2108374.2971999999</v>
      </c>
      <c r="Q89" s="116">
        <f>SUMPRODUCT('Staging Table'!BY91:CV91, LS_Demand_Rates_Restatement!$C$5:$Z$5)-IF(Init!$R$12="No",('Staging Table'!DU91*Rates_current!$I$46), 0)</f>
        <v>0</v>
      </c>
      <c r="R89" s="116">
        <f>SUMPRODUCT('Staging Table'!CW91:DH91, LS_Demand_Rates_Restatement!$C$11:$N$11)*1000</f>
        <v>0</v>
      </c>
      <c r="S89" s="117">
        <f>'Staging Table'!ED91*IF(Init!$R$15="Yes",IF(Init!$R$6=2024,Rates_current!$C$89,Rates_current!$D$89),Rates_current!$I$45)</f>
        <v>0</v>
      </c>
      <c r="T89" s="117">
        <v>0</v>
      </c>
      <c r="U89" s="117">
        <f>IF('Staging Table'!D91=1, 'Staging Table'!BU91*-1,SUM(O89:T89)*'Staging Table'!BU91*-1)</f>
        <v>-909356.31792008947</v>
      </c>
      <c r="V89" s="115">
        <f>'Staging Table'!BX91*Rates_current!$I$44*-1</f>
        <v>0</v>
      </c>
      <c r="W89" s="115" t="str">
        <f>IF('Staging Table'!C91=1,"",SUM(O89:V89))</f>
        <v/>
      </c>
      <c r="X89" s="115" t="str">
        <f>IF('Staging Table'!C91=1,"",(RT1SC!$C$4*'Staging Table'!BR91*'Staging Table'!$BS$2)+SUM('Staging Table'!BY91:CV91)-IF(Init!$R$12="No",'Staging Table'!DU91, 0))</f>
        <v/>
      </c>
      <c r="Y89" s="69" t="str">
        <f>IF('Staging Table'!C91=1,"",IF(X89=0, 0, W89/X89))</f>
        <v/>
      </c>
      <c r="Z89" s="64" t="str">
        <f ca="1">IF('Staging Table'!C91=1,"",(Y89/N89-1)+(RAND()/100000000000000))</f>
        <v/>
      </c>
      <c r="AA89" s="45" t="str">
        <f t="shared" ca="1" si="5"/>
        <v/>
      </c>
      <c r="AC89" t="str">
        <f t="shared" si="6"/>
        <v/>
      </c>
      <c r="AD89" s="119"/>
      <c r="AE89" s="119"/>
      <c r="AG89" s="119"/>
      <c r="AH89" s="119"/>
    </row>
    <row r="90" spans="2:34">
      <c r="B90" s="2">
        <v>10279</v>
      </c>
      <c r="C90" s="3" t="s">
        <v>94</v>
      </c>
      <c r="D90" s="115">
        <f>IF(Init!$R$9="Yes",'Staging Table'!E92,'Staging Table'!BR92)*Rates_previous!$E$76*100*12</f>
        <v>23357132.748719998</v>
      </c>
      <c r="E90" s="115">
        <f>IF(Init!$R$9="Yes",'Staging Table'!F92,'Staging Table'!BS92)*Rates_previous!$E$77*100*12</f>
        <v>-4768568.1963600004</v>
      </c>
      <c r="F90" s="116">
        <f>IF(Init!$R$9="Yes",SUMPRODUCT('Staging Table'!L92:AI92,LS_Demand_Rates_Restatement!$C$4:$Z$4)-IF(Init!$R$12="No",('Staging Table'!BH92*Rates_previous!$H$34), 0),SUMPRODUCT('Staging Table'!BY92:CV92,LS_Demand_Rates_Restatement!$C$4:$Z$4)-IF(Init!$R$12="No", 'Staging Table'!DU92*Rates_previous!$H$34, 0))</f>
        <v>-124639.40672449116</v>
      </c>
      <c r="G90" s="116">
        <f>IF(Init!$R$9="Yes",SUMPRODUCT('Staging Table'!AJ92:AU92,LS_Demand_Rates_Restatement!$C$10:$N$10),SUMPRODUCT(LS_Demand_Rates_Restatement!$C$10:$N$10,'Staging Table'!CW92:DH92))*1000</f>
        <v>2316805.9893006422</v>
      </c>
      <c r="H90" s="117">
        <f>IF(Init!$R$9="Yes",'Staging Table'!BQ92,'Staging Table'!ED92)*IF(Init!$R$3=2022,Rates_previous!$C$88,Rates_previous!$D$88)</f>
        <v>0</v>
      </c>
      <c r="I90" s="115">
        <v>0</v>
      </c>
      <c r="J90" s="117">
        <f>IF(Init!$R$9="Yes",IF('Staging Table'!D92=1,'Staging Table'!H92*-1,'Staging Table'!H92*SUM(D90:I90)*(-1)),IF('Staging Table'!D92=1,'Staging Table'!BU92*-1,'Staging Table'!BU92*SUM(D90:I90)*(-1)))</f>
        <v>0</v>
      </c>
      <c r="K90" s="115">
        <f>IF(Init!$R$9="Yes",'Staging Table'!K92,'Staging Table'!BX92)*(-1)*Rates_previous!$H$32</f>
        <v>0</v>
      </c>
      <c r="L90" s="115">
        <f>IF('Staging Table'!C92=1,"",SUM(D90:K90))</f>
        <v>20780731.13493615</v>
      </c>
      <c r="M90" s="115">
        <f>IF('Staging Table'!C92=1,"",IF(Init!$R$9="Yes",(RT1SC!$C$3*'Staging Table'!E92*'Staging Table'!$F$2)+SUM('Staging Table'!L92:AI92)-IF(Init!$R$12="No",'Staging Table'!BH92, 0),X90))</f>
        <v>568895.76</v>
      </c>
      <c r="N90" s="69">
        <f>IF('Staging Table'!C92=1,"",IF(M90=0, 0, L90/M90))</f>
        <v>36.52818775611221</v>
      </c>
      <c r="O90" s="115">
        <f>'Staging Table'!BR92*Rates_current!$F$77*100*12</f>
        <v>23728059.108000003</v>
      </c>
      <c r="P90" s="115">
        <f>'Staging Table'!BS92*Rates_current!$F$78*100*12</f>
        <v>-3800599.1639999999</v>
      </c>
      <c r="Q90" s="116">
        <f>SUMPRODUCT('Staging Table'!BY92:CV92, LS_Demand_Rates_Restatement!$C$5:$Z$5)-IF(Init!$R$12="No",('Staging Table'!DU92*Rates_current!$I$46), 0)</f>
        <v>445089.70658061048</v>
      </c>
      <c r="R90" s="116">
        <f>SUMPRODUCT('Staging Table'!CW92:DH92, LS_Demand_Rates_Restatement!$C$11:$N$11)*1000</f>
        <v>2637165.5030332524</v>
      </c>
      <c r="S90" s="117">
        <f>'Staging Table'!ED92*IF(Init!$R$15="Yes",IF(Init!$R$6=2024,Rates_current!$C$89,Rates_current!$D$89),Rates_current!$I$45)</f>
        <v>0</v>
      </c>
      <c r="T90" s="117">
        <v>0</v>
      </c>
      <c r="U90" s="117">
        <f>IF('Staging Table'!D92=1, 'Staging Table'!BU92*-1,SUM(O90:T90)*'Staging Table'!BU92*-1)</f>
        <v>0</v>
      </c>
      <c r="V90" s="115">
        <f>'Staging Table'!BX92*Rates_current!$I$44*-1</f>
        <v>0</v>
      </c>
      <c r="W90" s="115">
        <f>IF('Staging Table'!C92=1,"",SUM(O90:V90))</f>
        <v>23009715.153613865</v>
      </c>
      <c r="X90" s="115">
        <f>IF('Staging Table'!C92=1,"",(RT1SC!$C$4*'Staging Table'!BR92*'Staging Table'!$BS$2)+SUM('Staging Table'!BY92:CV92)-IF(Init!$R$12="No",'Staging Table'!DU92, 0))</f>
        <v>570598.86968276463</v>
      </c>
      <c r="Y90" s="69">
        <f>IF('Staging Table'!C92=1,"",IF(X90=0, 0, W90/X90))</f>
        <v>40.32555333733233</v>
      </c>
      <c r="Z90" s="64">
        <f ca="1">IF('Staging Table'!C92=1,"",(Y90/N90-1)+(RAND()/100000000000000))</f>
        <v>0.10395713049260319</v>
      </c>
      <c r="AA90" s="45">
        <f t="shared" ca="1" si="5"/>
        <v>25</v>
      </c>
      <c r="AC90">
        <f t="shared" si="6"/>
        <v>1.1382763663474968</v>
      </c>
      <c r="AD90" s="119"/>
      <c r="AE90" s="119"/>
      <c r="AG90" s="119"/>
      <c r="AH90" s="119"/>
    </row>
    <row r="91" spans="2:34">
      <c r="B91" s="2">
        <v>10284</v>
      </c>
      <c r="C91" s="3" t="s">
        <v>95</v>
      </c>
      <c r="D91" s="115">
        <f>IF(Init!$R$9="Yes",'Staging Table'!E93,'Staging Table'!BR93)*Rates_previous!$E$76*100*12</f>
        <v>3861010.4464800004</v>
      </c>
      <c r="E91" s="115">
        <f>IF(Init!$R$9="Yes",'Staging Table'!F93,'Staging Table'!BS93)*Rates_previous!$E$77*100*12</f>
        <v>-788259.92124000005</v>
      </c>
      <c r="F91" s="116">
        <f>IF(Init!$R$9="Yes",SUMPRODUCT('Staging Table'!L93:AI93,LS_Demand_Rates_Restatement!$C$4:$Z$4)-IF(Init!$R$12="No",('Staging Table'!BH93*Rates_previous!$H$34), 0),SUMPRODUCT('Staging Table'!BY93:CV93,LS_Demand_Rates_Restatement!$C$4:$Z$4)-IF(Init!$R$12="No", 'Staging Table'!DU93*Rates_previous!$H$34, 0))</f>
        <v>46088.664001835918</v>
      </c>
      <c r="G91" s="116">
        <f>IF(Init!$R$9="Yes",SUMPRODUCT('Staging Table'!AJ93:AU93,LS_Demand_Rates_Restatement!$C$10:$N$10),SUMPRODUCT(LS_Demand_Rates_Restatement!$C$10:$N$10,'Staging Table'!CW93:DH93))*1000</f>
        <v>204289.01964046477</v>
      </c>
      <c r="H91" s="117">
        <f>IF(Init!$R$9="Yes",'Staging Table'!BQ93,'Staging Table'!ED93)*IF(Init!$R$3=2022,Rates_previous!$C$88,Rates_previous!$D$88)</f>
        <v>0</v>
      </c>
      <c r="I91" s="115">
        <v>0</v>
      </c>
      <c r="J91" s="117">
        <f>IF(Init!$R$9="Yes",IF('Staging Table'!D93=1,'Staging Table'!H93*-1,'Staging Table'!H93*SUM(D91:I91)*(-1)),IF('Staging Table'!D93=1,'Staging Table'!BU93*-1,'Staging Table'!BU93*SUM(D91:I91)*(-1)))</f>
        <v>-178929.31589858051</v>
      </c>
      <c r="K91" s="115">
        <f>IF(Init!$R$9="Yes",'Staging Table'!K93,'Staging Table'!BX93)*(-1)*Rates_previous!$H$32</f>
        <v>0</v>
      </c>
      <c r="L91" s="115">
        <f>IF('Staging Table'!C93=1,"",SUM(D91:K91))</f>
        <v>3144198.8929837206</v>
      </c>
      <c r="M91" s="115">
        <f>IF('Staging Table'!C93=1,"",IF(Init!$R$9="Yes",(RT1SC!$C$3*'Staging Table'!E93*'Staging Table'!$F$2)+SUM('Staging Table'!L93:AI93)-IF(Init!$R$12="No",'Staging Table'!BH93, 0),X91))</f>
        <v>94041.504000000001</v>
      </c>
      <c r="N91" s="69">
        <f>IF('Staging Table'!C93=1,"",IF(M91=0, 0, L91/M91))</f>
        <v>33.434162143809615</v>
      </c>
      <c r="O91" s="115">
        <f>'Staging Table'!BR93*Rates_current!$F$77*100*12</f>
        <v>3922562.5764000001</v>
      </c>
      <c r="P91" s="115">
        <f>'Staging Table'!BS93*Rates_current!$F$78*100*12</f>
        <v>-628289.40119999996</v>
      </c>
      <c r="Q91" s="116">
        <f>SUMPRODUCT('Staging Table'!BY93:CV93, LS_Demand_Rates_Restatement!$C$5:$Z$5)-IF(Init!$R$12="No",('Staging Table'!DU93*Rates_current!$I$46), 0)</f>
        <v>143108.01634778298</v>
      </c>
      <c r="R91" s="116">
        <f>SUMPRODUCT('Staging Table'!CW93:DH93, LS_Demand_Rates_Restatement!$C$11:$N$11)*1000</f>
        <v>224541.65368911147</v>
      </c>
      <c r="S91" s="117">
        <f>'Staging Table'!ED93*IF(Init!$R$15="Yes",IF(Init!$R$6=2024,Rates_current!$C$89,Rates_current!$D$89),Rates_current!$I$45)</f>
        <v>0</v>
      </c>
      <c r="T91" s="117">
        <v>0</v>
      </c>
      <c r="U91" s="117">
        <f>IF('Staging Table'!D93=1, 'Staging Table'!BU93*-1,SUM(O91:T91)*'Staging Table'!BU93*-1)</f>
        <v>-205217.99228809477</v>
      </c>
      <c r="V91" s="115">
        <f>'Staging Table'!BX93*Rates_current!$I$44*-1</f>
        <v>0</v>
      </c>
      <c r="W91" s="115">
        <f>IF('Staging Table'!C93=1,"",SUM(O91:V91))</f>
        <v>3456704.8529488002</v>
      </c>
      <c r="X91" s="115">
        <f>IF('Staging Table'!C93=1,"",(RT1SC!$C$4*'Staging Table'!BR93*'Staging Table'!$BS$2)+SUM('Staging Table'!BY93:CV93)-IF(Init!$R$12="No",'Staging Table'!DU93, 0))</f>
        <v>94324.10256820728</v>
      </c>
      <c r="Y91" s="69">
        <f>IF('Staging Table'!C93=1,"",IF(X91=0, 0, W91/X91))</f>
        <v>36.647100357506197</v>
      </c>
      <c r="Z91" s="64">
        <f ca="1">IF('Staging Table'!C93=1,"",(Y91/N91-1)+(RAND()/100000000000000))</f>
        <v>9.6097464619480016E-2</v>
      </c>
      <c r="AA91" s="45">
        <f t="shared" ca="1" si="5"/>
        <v>57</v>
      </c>
      <c r="AC91">
        <f t="shared" si="6"/>
        <v>1.099137164025213</v>
      </c>
      <c r="AD91" s="119"/>
      <c r="AE91" s="119"/>
      <c r="AG91" s="119"/>
      <c r="AH91" s="119"/>
    </row>
    <row r="92" spans="2:34">
      <c r="B92" s="2">
        <v>10285</v>
      </c>
      <c r="C92" s="3" t="s">
        <v>96</v>
      </c>
      <c r="D92" s="115">
        <f>IF(Init!$R$9="Yes",'Staging Table'!E94,'Staging Table'!BR94)*Rates_previous!$E$76*100*12</f>
        <v>2354620.9910399998</v>
      </c>
      <c r="E92" s="115">
        <f>IF(Init!$R$9="Yes",'Staging Table'!F94,'Staging Table'!BS94)*Rates_previous!$E$77*100*12</f>
        <v>-480716.99952000001</v>
      </c>
      <c r="F92" s="116">
        <f>IF(Init!$R$9="Yes",SUMPRODUCT('Staging Table'!L94:AI94,LS_Demand_Rates_Restatement!$C$4:$Z$4)-IF(Init!$R$12="No",('Staging Table'!BH94*Rates_previous!$H$34), 0),SUMPRODUCT('Staging Table'!BY94:CV94,LS_Demand_Rates_Restatement!$C$4:$Z$4)-IF(Init!$R$12="No", 'Staging Table'!DU94*Rates_previous!$H$34, 0))</f>
        <v>0</v>
      </c>
      <c r="G92" s="116">
        <f>IF(Init!$R$9="Yes",SUMPRODUCT('Staging Table'!AJ94:AU94,LS_Demand_Rates_Restatement!$C$10:$N$10),SUMPRODUCT(LS_Demand_Rates_Restatement!$C$10:$N$10,'Staging Table'!CW94:DH94))*1000</f>
        <v>0</v>
      </c>
      <c r="H92" s="117">
        <f>IF(Init!$R$9="Yes",'Staging Table'!BQ94,'Staging Table'!ED94)*IF(Init!$R$3=2022,Rates_previous!$C$88,Rates_previous!$D$88)</f>
        <v>0</v>
      </c>
      <c r="I92" s="115">
        <v>0</v>
      </c>
      <c r="J92" s="117">
        <f>IF(Init!$R$9="Yes",IF('Staging Table'!D94=1,'Staging Table'!H94*-1,'Staging Table'!H94*SUM(D92:I92)*(-1)),IF('Staging Table'!D94=1,'Staging Table'!BU94*-1,'Staging Table'!BU94*SUM(D92:I92)*(-1)))</f>
        <v>-145198.14057129886</v>
      </c>
      <c r="K92" s="115">
        <f>IF(Init!$R$9="Yes",'Staging Table'!K94,'Staging Table'!BX94)*(-1)*Rates_previous!$H$32</f>
        <v>0</v>
      </c>
      <c r="L92" s="115" t="str">
        <f>IF('Staging Table'!C94=1,"",SUM(D92:K92))</f>
        <v/>
      </c>
      <c r="M92" s="115" t="str">
        <f>IF('Staging Table'!C94=1,"",IF(Init!$R$9="Yes",(RT1SC!$C$3*'Staging Table'!E94*'Staging Table'!$F$2)+SUM('Staging Table'!L94:AI94)-IF(Init!$R$12="No",'Staging Table'!BH94, 0),X92))</f>
        <v/>
      </c>
      <c r="N92" s="69" t="str">
        <f>IF('Staging Table'!C94=1,"",IF(M92=0, 0, L92/M92))</f>
        <v/>
      </c>
      <c r="O92" s="115">
        <f>'Staging Table'!BR94*Rates_current!$F$77*100*12</f>
        <v>2391711.6989999996</v>
      </c>
      <c r="P92" s="115">
        <f>'Staging Table'!BS94*Rates_current!$F$78*100*12</f>
        <v>-383088.11699999997</v>
      </c>
      <c r="Q92" s="116">
        <f>SUMPRODUCT('Staging Table'!BY94:CV94, LS_Demand_Rates_Restatement!$C$5:$Z$5)-IF(Init!$R$12="No",('Staging Table'!DU94*Rates_current!$I$46), 0)</f>
        <v>0</v>
      </c>
      <c r="R92" s="116">
        <f>SUMPRODUCT('Staging Table'!CW94:DH94, LS_Demand_Rates_Restatement!$C$11:$N$11)*1000</f>
        <v>0</v>
      </c>
      <c r="S92" s="117">
        <f>'Staging Table'!ED94*IF(Init!$R$15="Yes",IF(Init!$R$6=2024,Rates_current!$C$89,Rates_current!$D$89),Rates_current!$I$45)</f>
        <v>0</v>
      </c>
      <c r="T92" s="117">
        <v>0</v>
      </c>
      <c r="U92" s="117">
        <f>IF('Staging Table'!D94=1, 'Staging Table'!BU94*-1,SUM(O92:T92)*'Staging Table'!BU94*-1)</f>
        <v>-161838.58920246264</v>
      </c>
      <c r="V92" s="115">
        <f>'Staging Table'!BX94*Rates_current!$I$44*-1</f>
        <v>0</v>
      </c>
      <c r="W92" s="115" t="str">
        <f>IF('Staging Table'!C94=1,"",SUM(O92:V92))</f>
        <v/>
      </c>
      <c r="X92" s="115" t="str">
        <f>IF('Staging Table'!C94=1,"",(RT1SC!$C$4*'Staging Table'!BR94*'Staging Table'!$BS$2)+SUM('Staging Table'!BY94:CV94)-IF(Init!$R$12="No",'Staging Table'!DU94, 0))</f>
        <v/>
      </c>
      <c r="Y92" s="69" t="str">
        <f>IF('Staging Table'!C94=1,"",IF(X92=0, 0, W92/X92))</f>
        <v/>
      </c>
      <c r="Z92" s="64" t="str">
        <f ca="1">IF('Staging Table'!C94=1,"",(Y92/N92-1)+(RAND()/100000000000000))</f>
        <v/>
      </c>
      <c r="AA92" s="45" t="str">
        <f t="shared" ca="1" si="5"/>
        <v/>
      </c>
      <c r="AC92" t="str">
        <f t="shared" si="6"/>
        <v/>
      </c>
      <c r="AD92" s="119"/>
      <c r="AE92" s="119"/>
      <c r="AG92" s="119"/>
      <c r="AH92" s="119"/>
    </row>
    <row r="93" spans="2:34">
      <c r="B93" s="2">
        <v>10286</v>
      </c>
      <c r="C93" s="3" t="s">
        <v>97</v>
      </c>
      <c r="D93" s="115">
        <f>IF(Init!$R$9="Yes",'Staging Table'!E95,'Staging Table'!BR95)*Rates_previous!$E$76*100*12</f>
        <v>16557579.220319998</v>
      </c>
      <c r="E93" s="115">
        <f>IF(Init!$R$9="Yes",'Staging Table'!F95,'Staging Table'!BS95)*Rates_previous!$E$77*100*12</f>
        <v>-3380378.3421599995</v>
      </c>
      <c r="F93" s="116">
        <f>IF(Init!$R$9="Yes",SUMPRODUCT('Staging Table'!L95:AI95,LS_Demand_Rates_Restatement!$C$4:$Z$4)-IF(Init!$R$12="No",('Staging Table'!BH95*Rates_previous!$H$34), 0),SUMPRODUCT('Staging Table'!BY95:CV95,LS_Demand_Rates_Restatement!$C$4:$Z$4)-IF(Init!$R$12="No", 'Staging Table'!DU95*Rates_previous!$H$34, 0))</f>
        <v>565011.13372148701</v>
      </c>
      <c r="G93" s="116">
        <f>IF(Init!$R$9="Yes",SUMPRODUCT('Staging Table'!AJ95:AU95,LS_Demand_Rates_Restatement!$C$10:$N$10),SUMPRODUCT(LS_Demand_Rates_Restatement!$C$10:$N$10,'Staging Table'!CW95:DH95))*1000</f>
        <v>0</v>
      </c>
      <c r="H93" s="117">
        <f>IF(Init!$R$9="Yes",'Staging Table'!BQ95,'Staging Table'!ED95)*IF(Init!$R$3=2022,Rates_previous!$C$88,Rates_previous!$D$88)</f>
        <v>0</v>
      </c>
      <c r="I93" s="115">
        <v>0</v>
      </c>
      <c r="J93" s="117">
        <f>IF(Init!$R$9="Yes",IF('Staging Table'!D95=1,'Staging Table'!H95*-1,'Staging Table'!H95*SUM(D93:I93)*(-1)),IF('Staging Table'!D95=1,'Staging Table'!BU95*-1,'Staging Table'!BU95*SUM(D93:I93)*(-1)))</f>
        <v>0</v>
      </c>
      <c r="K93" s="115">
        <f>IF(Init!$R$9="Yes",'Staging Table'!K95,'Staging Table'!BX95)*(-1)*Rates_previous!$H$32</f>
        <v>-641072.3070700001</v>
      </c>
      <c r="L93" s="115">
        <f>IF('Staging Table'!C95=1,"",SUM(D93:K93))</f>
        <v>13101139.704811485</v>
      </c>
      <c r="M93" s="115">
        <f>IF('Staging Table'!C95=1,"",IF(Init!$R$9="Yes",(RT1SC!$C$3*'Staging Table'!E95*'Staging Table'!$F$2)+SUM('Staging Table'!L95:AI95)-IF(Init!$R$12="No",'Staging Table'!BH95, 0),X93))</f>
        <v>403282.22589029308</v>
      </c>
      <c r="N93" s="69">
        <f>IF('Staging Table'!C95=1,"",IF(M93=0, 0, L93/M93))</f>
        <v>32.48628098074289</v>
      </c>
      <c r="O93" s="115">
        <f>'Staging Table'!BR95*Rates_current!$F$77*100*12</f>
        <v>16820712.846599996</v>
      </c>
      <c r="P93" s="115">
        <f>'Staging Table'!BS95*Rates_current!$F$78*100*12</f>
        <v>-2694227.4077999997</v>
      </c>
      <c r="Q93" s="116">
        <f>SUMPRODUCT('Staging Table'!BY95:CV95, LS_Demand_Rates_Restatement!$C$5:$Z$5)-IF(Init!$R$12="No",('Staging Table'!DU95*Rates_current!$I$46), 0)</f>
        <v>1006606.6156436412</v>
      </c>
      <c r="R93" s="116">
        <f>SUMPRODUCT('Staging Table'!CW95:DH95, LS_Demand_Rates_Restatement!$C$11:$N$11)*1000</f>
        <v>0</v>
      </c>
      <c r="S93" s="117">
        <f>'Staging Table'!ED95*IF(Init!$R$15="Yes",IF(Init!$R$6=2024,Rates_current!$C$89,Rates_current!$D$89),Rates_current!$I$45)</f>
        <v>0</v>
      </c>
      <c r="T93" s="117">
        <v>0</v>
      </c>
      <c r="U93" s="117">
        <f>IF('Staging Table'!D95=1, 'Staging Table'!BU95*-1,SUM(O93:T93)*'Staging Table'!BU95*-1)</f>
        <v>0</v>
      </c>
      <c r="V93" s="115">
        <f>'Staging Table'!BX95*Rates_current!$I$44*-1</f>
        <v>-662681.48596000008</v>
      </c>
      <c r="W93" s="115">
        <f>IF('Staging Table'!C95=1,"",SUM(O93:V93))</f>
        <v>14470410.568483638</v>
      </c>
      <c r="X93" s="115">
        <f>IF('Staging Table'!C95=1,"",(RT1SC!$C$4*'Staging Table'!BR95*'Staging Table'!$BS$2)+SUM('Staging Table'!BY95:CV95)-IF(Init!$R$12="No",'Staging Table'!DU95, 0))</f>
        <v>404501.78387755819</v>
      </c>
      <c r="Y93" s="69">
        <f>IF('Staging Table'!C95=1,"",IF(X93=0, 0, W93/X93))</f>
        <v>35.773415953250279</v>
      </c>
      <c r="Z93" s="64">
        <f ca="1">IF('Staging Table'!C95=1,"",(Y93/N93-1)+(RAND()/100000000000000))</f>
        <v>0.10118532726032681</v>
      </c>
      <c r="AA93" s="45">
        <f t="shared" ca="1" si="5"/>
        <v>36</v>
      </c>
      <c r="AC93" t="str">
        <f t="shared" si="6"/>
        <v/>
      </c>
      <c r="AD93" s="119"/>
      <c r="AE93" s="119"/>
      <c r="AG93" s="119"/>
      <c r="AH93" s="119"/>
    </row>
    <row r="94" spans="2:34">
      <c r="B94" s="2">
        <v>10288</v>
      </c>
      <c r="C94" s="3" t="s">
        <v>98</v>
      </c>
      <c r="D94" s="115">
        <f>IF(Init!$R$9="Yes",'Staging Table'!E96,'Staging Table'!BR96)*Rates_previous!$E$76*100*12</f>
        <v>8876163.8311199993</v>
      </c>
      <c r="E94" s="115">
        <f>IF(Init!$R$9="Yes",'Staging Table'!F96,'Staging Table'!BS96)*Rates_previous!$E$77*100*12</f>
        <v>-1812148.47756</v>
      </c>
      <c r="F94" s="116">
        <f>IF(Init!$R$9="Yes",SUMPRODUCT('Staging Table'!L96:AI96,LS_Demand_Rates_Restatement!$C$4:$Z$4)-IF(Init!$R$12="No",('Staging Table'!BH96*Rates_previous!$H$34), 0),SUMPRODUCT('Staging Table'!BY96:CV96,LS_Demand_Rates_Restatement!$C$4:$Z$4)-IF(Init!$R$12="No", 'Staging Table'!DU96*Rates_previous!$H$34, 0))</f>
        <v>0</v>
      </c>
      <c r="G94" s="116">
        <f>IF(Init!$R$9="Yes",SUMPRODUCT('Staging Table'!AJ96:AU96,LS_Demand_Rates_Restatement!$C$10:$N$10),SUMPRODUCT(LS_Demand_Rates_Restatement!$C$10:$N$10,'Staging Table'!CW96:DH96))*1000</f>
        <v>0</v>
      </c>
      <c r="H94" s="117">
        <f>IF(Init!$R$9="Yes",'Staging Table'!BQ96,'Staging Table'!ED96)*IF(Init!$R$3=2022,Rates_previous!$C$88,Rates_previous!$D$88)</f>
        <v>0</v>
      </c>
      <c r="I94" s="115">
        <v>0</v>
      </c>
      <c r="J94" s="117">
        <f>IF(Init!$R$9="Yes",IF('Staging Table'!D96=1,'Staging Table'!H96*-1,'Staging Table'!H96*SUM(D94:I94)*(-1)),IF('Staging Table'!D96=1,'Staging Table'!BU96*-1,'Staging Table'!BU96*SUM(D94:I94)*(-1)))</f>
        <v>-423840.92121359991</v>
      </c>
      <c r="K94" s="115">
        <f>IF(Init!$R$9="Yes",'Staging Table'!K96,'Staging Table'!BX96)*(-1)*Rates_previous!$H$32</f>
        <v>0</v>
      </c>
      <c r="L94" s="115" t="str">
        <f>IF('Staging Table'!C96=1,"",SUM(D94:K94))</f>
        <v/>
      </c>
      <c r="M94" s="115" t="str">
        <f>IF('Staging Table'!C96=1,"",IF(Init!$R$9="Yes",(RT1SC!$C$3*'Staging Table'!E96*'Staging Table'!$F$2)+SUM('Staging Table'!L96:AI96)-IF(Init!$R$12="No",'Staging Table'!BH96, 0),X94))</f>
        <v/>
      </c>
      <c r="N94" s="69" t="str">
        <f>IF('Staging Table'!C96=1,"",IF(M94=0, 0, L94/M94))</f>
        <v/>
      </c>
      <c r="O94" s="115">
        <f>'Staging Table'!BR96*Rates_current!$F$77*100*12</f>
        <v>9062088.1493999995</v>
      </c>
      <c r="P94" s="115">
        <f>'Staging Table'!BS96*Rates_current!$F$78*100*12</f>
        <v>-1451503.6601999998</v>
      </c>
      <c r="Q94" s="116">
        <f>SUMPRODUCT('Staging Table'!BY96:CV96, LS_Demand_Rates_Restatement!$C$5:$Z$5)-IF(Init!$R$12="No",('Staging Table'!DU96*Rates_current!$I$46), 0)</f>
        <v>0</v>
      </c>
      <c r="R94" s="116">
        <f>SUMPRODUCT('Staging Table'!CW96:DH96, LS_Demand_Rates_Restatement!$C$11:$N$11)*1000</f>
        <v>0</v>
      </c>
      <c r="S94" s="117">
        <f>'Staging Table'!ED96*IF(Init!$R$15="Yes",IF(Init!$R$6=2024,Rates_current!$C$89,Rates_current!$D$89),Rates_current!$I$45)</f>
        <v>0</v>
      </c>
      <c r="T94" s="117">
        <v>0</v>
      </c>
      <c r="U94" s="117">
        <f>IF('Staging Table'!D96=1, 'Staging Table'!BU96*-1,SUM(O94:T94)*'Staging Table'!BU96*-1)</f>
        <v>-475045.84937210107</v>
      </c>
      <c r="V94" s="115">
        <f>'Staging Table'!BX96*Rates_current!$I$44*-1</f>
        <v>0</v>
      </c>
      <c r="W94" s="115" t="str">
        <f>IF('Staging Table'!C96=1,"",SUM(O94:V94))</f>
        <v/>
      </c>
      <c r="X94" s="115" t="str">
        <f>IF('Staging Table'!C96=1,"",(RT1SC!$C$4*'Staging Table'!BR96*'Staging Table'!$BS$2)+SUM('Staging Table'!BY96:CV96)-IF(Init!$R$12="No",'Staging Table'!DU96, 0))</f>
        <v/>
      </c>
      <c r="Y94" s="69" t="str">
        <f>IF('Staging Table'!C96=1,"",IF(X94=0, 0, W94/X94))</f>
        <v/>
      </c>
      <c r="Z94" s="64" t="str">
        <f ca="1">IF('Staging Table'!C96=1,"",(Y94/N94-1)+(RAND()/100000000000000))</f>
        <v/>
      </c>
      <c r="AA94" s="45" t="str">
        <f t="shared" ca="1" si="5"/>
        <v/>
      </c>
      <c r="AC94" t="str">
        <f t="shared" si="6"/>
        <v/>
      </c>
      <c r="AD94" s="119"/>
      <c r="AE94" s="119"/>
      <c r="AG94" s="119"/>
      <c r="AH94" s="119"/>
    </row>
    <row r="95" spans="2:34">
      <c r="B95" s="2">
        <v>10291</v>
      </c>
      <c r="C95" s="3" t="s">
        <v>99</v>
      </c>
      <c r="D95" s="115">
        <f>IF(Init!$R$9="Yes",'Staging Table'!E97,'Staging Table'!BR97)*Rates_previous!$E$76*100*12</f>
        <v>28196411.98824</v>
      </c>
      <c r="E95" s="115">
        <f>IF(Init!$R$9="Yes",'Staging Table'!F97,'Staging Table'!BS97)*Rates_previous!$E$77*100*12</f>
        <v>-5756550.4681200003</v>
      </c>
      <c r="F95" s="116">
        <f>IF(Init!$R$9="Yes",SUMPRODUCT('Staging Table'!L97:AI97,LS_Demand_Rates_Restatement!$C$4:$Z$4)-IF(Init!$R$12="No",('Staging Table'!BH97*Rates_previous!$H$34), 0),SUMPRODUCT('Staging Table'!BY97:CV97,LS_Demand_Rates_Restatement!$C$4:$Z$4)-IF(Init!$R$12="No", 'Staging Table'!DU97*Rates_previous!$H$34, 0))</f>
        <v>287146.1553879967</v>
      </c>
      <c r="G95" s="116">
        <f>IF(Init!$R$9="Yes",SUMPRODUCT('Staging Table'!AJ97:AU97,LS_Demand_Rates_Restatement!$C$10:$N$10),SUMPRODUCT(LS_Demand_Rates_Restatement!$C$10:$N$10,'Staging Table'!CW97:DH97))*1000</f>
        <v>1839289.7489583329</v>
      </c>
      <c r="H95" s="117">
        <f>IF(Init!$R$9="Yes",'Staging Table'!BQ97,'Staging Table'!ED97)*IF(Init!$R$3=2022,Rates_previous!$C$88,Rates_previous!$D$88)</f>
        <v>0</v>
      </c>
      <c r="I95" s="115">
        <v>0</v>
      </c>
      <c r="J95" s="117">
        <f>IF(Init!$R$9="Yes",IF('Staging Table'!D97=1,'Staging Table'!H97*-1,'Staging Table'!H97*SUM(D95:I95)*(-1)),IF('Staging Table'!D97=1,'Staging Table'!BU97*-1,'Staging Table'!BU97*SUM(D95:I95)*(-1)))</f>
        <v>-1228314.8712233165</v>
      </c>
      <c r="K95" s="115">
        <f>IF(Init!$R$9="Yes",'Staging Table'!K97,'Staging Table'!BX97)*(-1)*Rates_previous!$H$32</f>
        <v>-419535.15356999997</v>
      </c>
      <c r="L95" s="115">
        <f>IF('Staging Table'!C97=1,"",SUM(D95:K95))</f>
        <v>22918447.399673015</v>
      </c>
      <c r="M95" s="115">
        <f>IF('Staging Table'!C97=1,"",IF(Init!$R$9="Yes",(RT1SC!$C$3*'Staging Table'!E97*'Staging Table'!$F$2)+SUM('Staging Table'!L97:AI97)-IF(Init!$R$12="No",'Staging Table'!BH97, 0),X95))</f>
        <v>695534.68799999997</v>
      </c>
      <c r="N95" s="69">
        <f>IF('Staging Table'!C97=1,"",IF(M95=0, 0, L95/M95))</f>
        <v>32.950833071424064</v>
      </c>
      <c r="O95" s="115">
        <f>'Staging Table'!BR97*Rates_current!$F$77*100*12</f>
        <v>29010284.534400001</v>
      </c>
      <c r="P95" s="115">
        <f>'Staging Table'!BS97*Rates_current!$F$78*100*12</f>
        <v>-4646670.1151999999</v>
      </c>
      <c r="Q95" s="116">
        <f>SUMPRODUCT('Staging Table'!BY97:CV97, LS_Demand_Rates_Restatement!$C$5:$Z$5)-IF(Init!$R$12="No",('Staging Table'!DU97*Rates_current!$I$46), 0)</f>
        <v>526080.16974619275</v>
      </c>
      <c r="R95" s="116">
        <f>SUMPRODUCT('Staging Table'!CW97:DH97, LS_Demand_Rates_Restatement!$C$11:$N$11)*1000</f>
        <v>2043536.9376006939</v>
      </c>
      <c r="S95" s="117">
        <f>'Staging Table'!ED97*IF(Init!$R$15="Yes",IF(Init!$R$6=2024,Rates_current!$C$89,Rates_current!$D$89),Rates_current!$I$45)</f>
        <v>0</v>
      </c>
      <c r="T95" s="117">
        <v>0</v>
      </c>
      <c r="U95" s="117">
        <f>IF('Staging Table'!D97=1, 'Staging Table'!BU97*-1,SUM(O95:T95)*'Staging Table'!BU97*-1)</f>
        <v>-1464184.5924185954</v>
      </c>
      <c r="V95" s="115">
        <f>'Staging Table'!BX97*Rates_current!$I$44*-1</f>
        <v>-433676.78795999999</v>
      </c>
      <c r="W95" s="115">
        <f>IF('Staging Table'!C97=1,"",SUM(O95:V95))</f>
        <v>25035370.146168295</v>
      </c>
      <c r="X95" s="115">
        <f>IF('Staging Table'!C97=1,"",(RT1SC!$C$4*'Staging Table'!BR97*'Staging Table'!$BS$2)+SUM('Staging Table'!BY97:CV97)-IF(Init!$R$12="No",'Staging Table'!DU97, 0))</f>
        <v>697628.88</v>
      </c>
      <c r="Y95" s="69">
        <f>IF('Staging Table'!C97=1,"",IF(X95=0, 0, W95/X95))</f>
        <v>35.886372918174338</v>
      </c>
      <c r="Z95" s="64">
        <f ca="1">IF('Staging Table'!C97=1,"",(Y95/N95-1)+(RAND()/100000000000000))</f>
        <v>8.908848648491606E-2</v>
      </c>
      <c r="AA95" s="45">
        <f t="shared" ca="1" si="5"/>
        <v>79</v>
      </c>
      <c r="AC95">
        <f t="shared" si="6"/>
        <v>1.1110467715910637</v>
      </c>
      <c r="AD95" s="119"/>
      <c r="AE95" s="119"/>
      <c r="AG95" s="119"/>
      <c r="AH95" s="119"/>
    </row>
    <row r="96" spans="2:34">
      <c r="B96" s="2">
        <v>10294</v>
      </c>
      <c r="C96" s="3" t="s">
        <v>100</v>
      </c>
      <c r="D96" s="115">
        <f>IF(Init!$R$9="Yes",'Staging Table'!E98,'Staging Table'!BR98)*Rates_previous!$E$76*100*12</f>
        <v>13101129.130320001</v>
      </c>
      <c r="E96" s="115">
        <f>IF(Init!$R$9="Yes",'Staging Table'!F98,'Staging Table'!BS98)*Rates_previous!$E$77*100*12</f>
        <v>-2674713.0471599996</v>
      </c>
      <c r="F96" s="116">
        <f>IF(Init!$R$9="Yes",SUMPRODUCT('Staging Table'!L98:AI98,LS_Demand_Rates_Restatement!$C$4:$Z$4)-IF(Init!$R$12="No",('Staging Table'!BH98*Rates_previous!$H$34), 0),SUMPRODUCT('Staging Table'!BY98:CV98,LS_Demand_Rates_Restatement!$C$4:$Z$4)-IF(Init!$R$12="No", 'Staging Table'!DU98*Rates_previous!$H$34, 0))</f>
        <v>-32752.042297117645</v>
      </c>
      <c r="G96" s="116">
        <f>IF(Init!$R$9="Yes",SUMPRODUCT('Staging Table'!AJ98:AU98,LS_Demand_Rates_Restatement!$C$10:$N$10),SUMPRODUCT(LS_Demand_Rates_Restatement!$C$10:$N$10,'Staging Table'!CW98:DH98))*1000</f>
        <v>846879.2312905984</v>
      </c>
      <c r="H96" s="117">
        <f>IF(Init!$R$9="Yes",'Staging Table'!BQ98,'Staging Table'!ED98)*IF(Init!$R$3=2022,Rates_previous!$C$88,Rates_previous!$D$88)</f>
        <v>0</v>
      </c>
      <c r="I96" s="115">
        <v>0</v>
      </c>
      <c r="J96" s="117">
        <f>IF(Init!$R$9="Yes",IF('Staging Table'!D98=1,'Staging Table'!H98*-1,'Staging Table'!H98*SUM(D96:I96)*(-1)),IF('Staging Table'!D98=1,'Staging Table'!BU98*-1,'Staging Table'!BU98*SUM(D96:I96)*(-1)))</f>
        <v>0</v>
      </c>
      <c r="K96" s="115">
        <f>IF(Init!$R$9="Yes",'Staging Table'!K98,'Staging Table'!BX98)*(-1)*Rates_previous!$H$32</f>
        <v>0</v>
      </c>
      <c r="L96" s="115">
        <f>IF('Staging Table'!C98=1,"",SUM(D96:K96))</f>
        <v>11240543.272153482</v>
      </c>
      <c r="M96" s="115">
        <f>IF('Staging Table'!C98=1,"",IF(Init!$R$9="Yes",(RT1SC!$C$3*'Staging Table'!E98*'Staging Table'!$F$2)+SUM('Staging Table'!L98:AI98)-IF(Init!$R$12="No",'Staging Table'!BH98, 0),X96))</f>
        <v>319096.36799999996</v>
      </c>
      <c r="N96" s="69">
        <f>IF('Staging Table'!C98=1,"",IF(M96=0, 0, L96/M96))</f>
        <v>35.226171148878393</v>
      </c>
      <c r="O96" s="115">
        <f>'Staging Table'!BR98*Rates_current!$F$77*100*12</f>
        <v>13309156.925999999</v>
      </c>
      <c r="P96" s="115">
        <f>'Staging Table'!BS98*Rates_current!$F$78*100*12</f>
        <v>-2131770.2579999999</v>
      </c>
      <c r="Q96" s="116">
        <f>SUMPRODUCT('Staging Table'!BY98:CV98, LS_Demand_Rates_Restatement!$C$5:$Z$5)-IF(Init!$R$12="No",('Staging Table'!DU98*Rates_current!$I$46), 0)</f>
        <v>286279.54668712697</v>
      </c>
      <c r="R96" s="116">
        <f>SUMPRODUCT('Staging Table'!CW98:DH98, LS_Demand_Rates_Restatement!$C$11:$N$11)*1000</f>
        <v>942925.46974394599</v>
      </c>
      <c r="S96" s="117">
        <f>'Staging Table'!ED98*IF(Init!$R$15="Yes",IF(Init!$R$6=2024,Rates_current!$C$89,Rates_current!$D$89),Rates_current!$I$45)</f>
        <v>0</v>
      </c>
      <c r="T96" s="117">
        <v>0</v>
      </c>
      <c r="U96" s="117">
        <f>IF('Staging Table'!D98=1, 'Staging Table'!BU98*-1,SUM(O96:T96)*'Staging Table'!BU98*-1)</f>
        <v>0</v>
      </c>
      <c r="V96" s="115">
        <f>'Staging Table'!BX98*Rates_current!$I$44*-1</f>
        <v>0</v>
      </c>
      <c r="W96" s="115">
        <f>IF('Staging Table'!C98=1,"",SUM(O96:V96))</f>
        <v>12406591.684431072</v>
      </c>
      <c r="X96" s="115">
        <f>IF('Staging Table'!C98=1,"",(RT1SC!$C$4*'Staging Table'!BR98*'Staging Table'!$BS$2)+SUM('Staging Table'!BY98:CV98)-IF(Init!$R$12="No",'Staging Table'!DU98, 0))</f>
        <v>320055.36</v>
      </c>
      <c r="Y96" s="69">
        <f>IF('Staging Table'!C98=1,"",IF(X96=0, 0, W96/X96))</f>
        <v>38.763892860382256</v>
      </c>
      <c r="Z96" s="64">
        <f ca="1">IF('Staging Table'!C98=1,"",(Y96/N96-1)+(RAND()/100000000000000))</f>
        <v>0.10042878905437616</v>
      </c>
      <c r="AA96" s="45">
        <f t="shared" ca="1" si="5"/>
        <v>38</v>
      </c>
      <c r="AC96">
        <f t="shared" si="6"/>
        <v>1.113411965844266</v>
      </c>
      <c r="AD96" s="119"/>
      <c r="AE96" s="119"/>
      <c r="AG96" s="119"/>
      <c r="AH96" s="119"/>
    </row>
    <row r="97" spans="2:34">
      <c r="B97" s="2">
        <v>10304</v>
      </c>
      <c r="C97" s="3" t="s">
        <v>101</v>
      </c>
      <c r="D97" s="115">
        <f>IF(Init!$R$9="Yes",'Staging Table'!E99,'Staging Table'!BR99)*Rates_previous!$E$76*100*12</f>
        <v>4837784.5583999995</v>
      </c>
      <c r="E97" s="115">
        <f>IF(Init!$R$9="Yes",'Staging Table'!F99,'Staging Table'!BS99)*Rates_previous!$E$77*100*12</f>
        <v>-987677.11919999984</v>
      </c>
      <c r="F97" s="116">
        <f>IF(Init!$R$9="Yes",SUMPRODUCT('Staging Table'!L99:AI99,LS_Demand_Rates_Restatement!$C$4:$Z$4)-IF(Init!$R$12="No",('Staging Table'!BH99*Rates_previous!$H$34), 0),SUMPRODUCT('Staging Table'!BY99:CV99,LS_Demand_Rates_Restatement!$C$4:$Z$4)-IF(Init!$R$12="No", 'Staging Table'!DU99*Rates_previous!$H$34, 0))</f>
        <v>54875.085341824844</v>
      </c>
      <c r="G97" s="116">
        <f>IF(Init!$R$9="Yes",SUMPRODUCT('Staging Table'!AJ99:AU99,LS_Demand_Rates_Restatement!$C$10:$N$10),SUMPRODUCT(LS_Demand_Rates_Restatement!$C$10:$N$10,'Staging Table'!CW99:DH99))*1000</f>
        <v>227825.96090077457</v>
      </c>
      <c r="H97" s="117">
        <f>IF(Init!$R$9="Yes",'Staging Table'!BQ99,'Staging Table'!ED99)*IF(Init!$R$3=2022,Rates_previous!$C$88,Rates_previous!$D$88)</f>
        <v>0</v>
      </c>
      <c r="I97" s="115">
        <v>0</v>
      </c>
      <c r="J97" s="117">
        <f>IF(Init!$R$9="Yes",IF('Staging Table'!D99=1,'Staging Table'!H99*-1,'Staging Table'!H99*SUM(D97:I97)*(-1)),IF('Staging Table'!D99=1,'Staging Table'!BU99*-1,'Staging Table'!BU99*SUM(D97:I97)*(-1)))</f>
        <v>0</v>
      </c>
      <c r="K97" s="115">
        <f>IF(Init!$R$9="Yes",'Staging Table'!K99,'Staging Table'!BX99)*(-1)*Rates_previous!$H$32</f>
        <v>0</v>
      </c>
      <c r="L97" s="115">
        <f>IF('Staging Table'!C99=1,"",SUM(D97:K97))</f>
        <v>4132808.4854425993</v>
      </c>
      <c r="M97" s="115">
        <f>IF('Staging Table'!C99=1,"",IF(Init!$R$9="Yes",(RT1SC!$C$3*'Staging Table'!E99*'Staging Table'!$F$2)+SUM('Staging Table'!L99:AI99)-IF(Init!$R$12="No",'Staging Table'!BH99, 0),X97))</f>
        <v>118822.8965523048</v>
      </c>
      <c r="N97" s="69">
        <f>IF('Staging Table'!C99=1,"",IF(M97=0, 0, L97/M97))</f>
        <v>34.78124675763457</v>
      </c>
      <c r="O97" s="115">
        <f>'Staging Table'!BR99*Rates_current!$F$77*100*12</f>
        <v>4941144.2885999996</v>
      </c>
      <c r="P97" s="115">
        <f>'Staging Table'!BS99*Rates_current!$F$78*100*12</f>
        <v>-791438.89379999996</v>
      </c>
      <c r="Q97" s="116">
        <f>SUMPRODUCT('Staging Table'!BY99:CV99, LS_Demand_Rates_Restatement!$C$5:$Z$5)-IF(Init!$R$12="No",('Staging Table'!DU99*Rates_current!$I$46), 0)</f>
        <v>141796.45809324755</v>
      </c>
      <c r="R97" s="116">
        <f>SUMPRODUCT('Staging Table'!CW99:DH99, LS_Demand_Rates_Restatement!$C$11:$N$11)*1000</f>
        <v>237862.6163338942</v>
      </c>
      <c r="S97" s="117">
        <f>'Staging Table'!ED99*IF(Init!$R$15="Yes",IF(Init!$R$6=2024,Rates_current!$C$89,Rates_current!$D$89),Rates_current!$I$45)</f>
        <v>-8.7804947767028345</v>
      </c>
      <c r="T97" s="117">
        <v>0</v>
      </c>
      <c r="U97" s="117">
        <f>IF('Staging Table'!D99=1, 'Staging Table'!BU99*-1,SUM(O97:T97)*'Staging Table'!BU99*-1)</f>
        <v>0</v>
      </c>
      <c r="V97" s="115">
        <f>'Staging Table'!BX99*Rates_current!$I$44*-1</f>
        <v>0</v>
      </c>
      <c r="W97" s="115">
        <f>IF('Staging Table'!C99=1,"",SUM(O97:V97))</f>
        <v>4529355.6887323651</v>
      </c>
      <c r="X97" s="115">
        <f>IF('Staging Table'!C99=1,"",(RT1SC!$C$4*'Staging Table'!BR99*'Staging Table'!$BS$2)+SUM('Staging Table'!BY99:CV99)-IF(Init!$R$12="No",'Staging Table'!DU99, 0))</f>
        <v>118822.90301411771</v>
      </c>
      <c r="Y97" s="69">
        <f>IF('Staging Table'!C99=1,"",IF(X97=0, 0, W97/X97))</f>
        <v>38.11854090279396</v>
      </c>
      <c r="Z97" s="64">
        <f ca="1">IF('Staging Table'!C99=1,"",(Y97/N97-1)+(RAND()/100000000000000))</f>
        <v>9.59509637022119E-2</v>
      </c>
      <c r="AA97" s="45">
        <f t="shared" ca="1" si="5"/>
        <v>59</v>
      </c>
      <c r="AC97">
        <f t="shared" si="6"/>
        <v>1.0440540463142869</v>
      </c>
      <c r="AD97" s="119"/>
      <c r="AE97" s="119"/>
      <c r="AG97" s="119"/>
      <c r="AH97" s="119"/>
    </row>
    <row r="98" spans="2:34">
      <c r="B98" s="2">
        <v>10306</v>
      </c>
      <c r="C98" s="3" t="s">
        <v>102</v>
      </c>
      <c r="D98" s="115">
        <f>IF(Init!$R$9="Yes",'Staging Table'!E100,'Staging Table'!BR100)*Rates_previous!$E$76*100*12</f>
        <v>5492205.77544</v>
      </c>
      <c r="E98" s="115">
        <f>IF(Init!$R$9="Yes",'Staging Table'!F100,'Staging Table'!BS100)*Rates_previous!$E$77*100*12</f>
        <v>-1121283.0817199999</v>
      </c>
      <c r="F98" s="116">
        <f>IF(Init!$R$9="Yes",SUMPRODUCT('Staging Table'!L100:AI100,LS_Demand_Rates_Restatement!$C$4:$Z$4)-IF(Init!$R$12="No",('Staging Table'!BH100*Rates_previous!$H$34), 0),SUMPRODUCT('Staging Table'!BY100:CV100,LS_Demand_Rates_Restatement!$C$4:$Z$4)-IF(Init!$R$12="No", 'Staging Table'!DU100*Rates_previous!$H$34, 0))</f>
        <v>550458.33437982854</v>
      </c>
      <c r="G98" s="116">
        <f>IF(Init!$R$9="Yes",SUMPRODUCT('Staging Table'!AJ100:AU100,LS_Demand_Rates_Restatement!$C$10:$N$10),SUMPRODUCT(LS_Demand_Rates_Restatement!$C$10:$N$10,'Staging Table'!CW100:DH100))*1000</f>
        <v>0</v>
      </c>
      <c r="H98" s="117">
        <f>IF(Init!$R$9="Yes",'Staging Table'!BQ100,'Staging Table'!ED100)*IF(Init!$R$3=2022,Rates_previous!$C$88,Rates_previous!$D$88)</f>
        <v>0</v>
      </c>
      <c r="I98" s="115">
        <v>0</v>
      </c>
      <c r="J98" s="117">
        <f>IF(Init!$R$9="Yes",IF('Staging Table'!D100=1,'Staging Table'!H100*-1,'Staging Table'!H100*SUM(D98:I98)*(-1)),IF('Staging Table'!D100=1,'Staging Table'!BU100*-1,'Staging Table'!BU100*SUM(D98:I98)*(-1)))</f>
        <v>0</v>
      </c>
      <c r="K98" s="115">
        <f>IF(Init!$R$9="Yes",'Staging Table'!K100,'Staging Table'!BX100)*(-1)*Rates_previous!$H$32</f>
        <v>0</v>
      </c>
      <c r="L98" s="115">
        <f>IF('Staging Table'!C100=1,"",SUM(D98:K98))</f>
        <v>4921381.0280998284</v>
      </c>
      <c r="M98" s="115">
        <f>IF('Staging Table'!C100=1,"",IF(Init!$R$9="Yes",(RT1SC!$C$3*'Staging Table'!E100*'Staging Table'!$F$2)+SUM('Staging Table'!L100:AI100)-IF(Init!$R$12="No",'Staging Table'!BH100, 0),X98))</f>
        <v>133771.53662701664</v>
      </c>
      <c r="N98" s="69">
        <f>IF('Staging Table'!C100=1,"",IF(M98=0, 0, L98/M98))</f>
        <v>36.789448280179961</v>
      </c>
      <c r="O98" s="115">
        <f>'Staging Table'!BR100*Rates_current!$F$77*100*12</f>
        <v>5562963.432000001</v>
      </c>
      <c r="P98" s="115">
        <f>'Staging Table'!BS100*Rates_current!$F$78*100*12</f>
        <v>-891037.65600000008</v>
      </c>
      <c r="Q98" s="116">
        <f>SUMPRODUCT('Staging Table'!BY100:CV100, LS_Demand_Rates_Restatement!$C$5:$Z$5)-IF(Init!$R$12="No",('Staging Table'!DU100*Rates_current!$I$46), 0)</f>
        <v>739032.63105201162</v>
      </c>
      <c r="R98" s="116">
        <f>SUMPRODUCT('Staging Table'!CW100:DH100, LS_Demand_Rates_Restatement!$C$11:$N$11)*1000</f>
        <v>0</v>
      </c>
      <c r="S98" s="117">
        <f>'Staging Table'!ED100*IF(Init!$R$15="Yes",IF(Init!$R$6=2024,Rates_current!$C$89,Rates_current!$D$89),Rates_current!$I$45)</f>
        <v>0</v>
      </c>
      <c r="T98" s="117">
        <v>0</v>
      </c>
      <c r="U98" s="117">
        <f>IF('Staging Table'!D100=1, 'Staging Table'!BU100*-1,SUM(O98:T98)*'Staging Table'!BU100*-1)</f>
        <v>0</v>
      </c>
      <c r="V98" s="115">
        <f>'Staging Table'!BX100*Rates_current!$I$44*-1</f>
        <v>0</v>
      </c>
      <c r="W98" s="115">
        <f>IF('Staging Table'!C100=1,"",SUM(O98:V98))</f>
        <v>5410958.4070520122</v>
      </c>
      <c r="X98" s="115">
        <f>IF('Staging Table'!C100=1,"",(RT1SC!$C$4*'Staging Table'!BR100*'Staging Table'!$BS$2)+SUM('Staging Table'!BY100:CV100)-IF(Init!$R$12="No",'Staging Table'!DU100, 0))</f>
        <v>133773.96789681053</v>
      </c>
      <c r="Y98" s="69">
        <f>IF('Staging Table'!C100=1,"",IF(X98=0, 0, W98/X98))</f>
        <v>40.448515448281185</v>
      </c>
      <c r="Z98" s="64">
        <f ca="1">IF('Staging Table'!C100=1,"",(Y98/N98-1)+(RAND()/100000000000000))</f>
        <v>9.945969127437343E-2</v>
      </c>
      <c r="AA98" s="45">
        <f t="shared" ca="1" si="5"/>
        <v>40</v>
      </c>
      <c r="AC98" t="str">
        <f t="shared" si="6"/>
        <v/>
      </c>
      <c r="AD98" s="119"/>
      <c r="AE98" s="119"/>
      <c r="AG98" s="119"/>
      <c r="AH98" s="119"/>
    </row>
    <row r="99" spans="2:34">
      <c r="B99" s="2">
        <v>10307</v>
      </c>
      <c r="C99" s="3" t="s">
        <v>103</v>
      </c>
      <c r="D99" s="115">
        <f>IF(Init!$R$9="Yes",'Staging Table'!E101,'Staging Table'!BR101)*Rates_previous!$E$76*100*12</f>
        <v>24763627.682640001</v>
      </c>
      <c r="E99" s="115">
        <f>IF(Init!$R$9="Yes",'Staging Table'!F101,'Staging Table'!BS101)*Rates_previous!$E$77*100*12</f>
        <v>-5055716.7553199995</v>
      </c>
      <c r="F99" s="116">
        <f>IF(Init!$R$9="Yes",SUMPRODUCT('Staging Table'!L101:AI101,LS_Demand_Rates_Restatement!$C$4:$Z$4)-IF(Init!$R$12="No",('Staging Table'!BH101*Rates_previous!$H$34), 0),SUMPRODUCT('Staging Table'!BY101:CV101,LS_Demand_Rates_Restatement!$C$4:$Z$4)-IF(Init!$R$12="No", 'Staging Table'!DU101*Rates_previous!$H$34, 0))</f>
        <v>590666.90227145271</v>
      </c>
      <c r="G99" s="116">
        <f>IF(Init!$R$9="Yes",SUMPRODUCT('Staging Table'!AJ101:AU101,LS_Demand_Rates_Restatement!$C$10:$N$10),SUMPRODUCT(LS_Demand_Rates_Restatement!$C$10:$N$10,'Staging Table'!CW101:DH101))*1000</f>
        <v>1877557.165327511</v>
      </c>
      <c r="H99" s="117">
        <f>IF(Init!$R$9="Yes",'Staging Table'!BQ101,'Staging Table'!ED101)*IF(Init!$R$3=2022,Rates_previous!$C$88,Rates_previous!$D$88)</f>
        <v>0</v>
      </c>
      <c r="I99" s="115">
        <v>0</v>
      </c>
      <c r="J99" s="117">
        <f>IF(Init!$R$9="Yes",IF('Staging Table'!D101=1,'Staging Table'!H101*-1,'Staging Table'!H101*SUM(D99:I99)*(-1)),IF('Staging Table'!D101=1,'Staging Table'!BU101*-1,'Staging Table'!BU101*SUM(D99:I99)*(-1)))</f>
        <v>0</v>
      </c>
      <c r="K99" s="115">
        <f>IF(Init!$R$9="Yes",'Staging Table'!K101,'Staging Table'!BX101)*(-1)*Rates_previous!$H$32</f>
        <v>0</v>
      </c>
      <c r="L99" s="115">
        <f>IF('Staging Table'!C101=1,"",SUM(D99:K99))</f>
        <v>22176134.994918969</v>
      </c>
      <c r="M99" s="115">
        <f>IF('Staging Table'!C101=1,"",IF(Init!$R$9="Yes",(RT1SC!$C$3*'Staging Table'!E101*'Staging Table'!$F$2)+SUM('Staging Table'!L101:AI101)-IF(Init!$R$12="No",'Staging Table'!BH101, 0),X99))</f>
        <v>610200.28282713506</v>
      </c>
      <c r="N99" s="69">
        <f>IF('Staging Table'!C101=1,"",IF(M99=0, 0, L99/M99))</f>
        <v>36.342387276803827</v>
      </c>
      <c r="O99" s="115">
        <f>'Staging Table'!BR101*Rates_current!$F$77*100*12</f>
        <v>25374675.565200001</v>
      </c>
      <c r="P99" s="115">
        <f>'Staging Table'!BS101*Rates_current!$F$78*100*12</f>
        <v>-4064342.9916000003</v>
      </c>
      <c r="Q99" s="116">
        <f>SUMPRODUCT('Staging Table'!BY101:CV101, LS_Demand_Rates_Restatement!$C$5:$Z$5)-IF(Init!$R$12="No",('Staging Table'!DU101*Rates_current!$I$46), 0)</f>
        <v>865981.89154968597</v>
      </c>
      <c r="R99" s="116">
        <f>SUMPRODUCT('Staging Table'!CW101:DH101, LS_Demand_Rates_Restatement!$C$11:$N$11)*1000</f>
        <v>2008074.7789833245</v>
      </c>
      <c r="S99" s="117">
        <f>'Staging Table'!ED101*IF(Init!$R$15="Yes",IF(Init!$R$6=2024,Rates_current!$C$89,Rates_current!$D$89),Rates_current!$I$45)</f>
        <v>14.604241658505051</v>
      </c>
      <c r="T99" s="117">
        <v>0</v>
      </c>
      <c r="U99" s="117">
        <f>IF('Staging Table'!D101=1, 'Staging Table'!BU101*-1,SUM(O99:T99)*'Staging Table'!BU101*-1)</f>
        <v>0</v>
      </c>
      <c r="V99" s="115">
        <f>'Staging Table'!BX101*Rates_current!$I$44*-1</f>
        <v>0</v>
      </c>
      <c r="W99" s="115">
        <f>IF('Staging Table'!C101=1,"",SUM(O99:V99))</f>
        <v>24184403.848374669</v>
      </c>
      <c r="X99" s="115">
        <f>IF('Staging Table'!C101=1,"",(RT1SC!$C$4*'Staging Table'!BR101*'Staging Table'!$BS$2)+SUM('Staging Table'!BY101:CV101)-IF(Init!$R$12="No",'Staging Table'!DU101, 0))</f>
        <v>610200.31602019107</v>
      </c>
      <c r="Y99" s="69">
        <f>IF('Staging Table'!C101=1,"",IF(X99=0, 0, W99/X99))</f>
        <v>39.633548546989651</v>
      </c>
      <c r="Z99" s="64">
        <f ca="1">IF('Staging Table'!C101=1,"",(Y99/N99-1)+(RAND()/100000000000000))</f>
        <v>9.0559853570396892E-2</v>
      </c>
      <c r="AA99" s="45">
        <f t="shared" ca="1" si="5"/>
        <v>74</v>
      </c>
      <c r="AC99">
        <f t="shared" si="6"/>
        <v>1.0695145884589068</v>
      </c>
      <c r="AD99" s="119"/>
      <c r="AE99" s="119"/>
      <c r="AG99" s="119"/>
      <c r="AH99" s="119"/>
    </row>
    <row r="100" spans="2:34">
      <c r="B100" s="2">
        <v>10326</v>
      </c>
      <c r="C100" s="3" t="s">
        <v>104</v>
      </c>
      <c r="D100" s="115">
        <f>IF(Init!$R$9="Yes",'Staging Table'!E102,'Staging Table'!BR102)*Rates_previous!$E$76*100*12</f>
        <v>10985158.89144</v>
      </c>
      <c r="E100" s="115">
        <f>IF(Init!$R$9="Yes",'Staging Table'!F102,'Staging Table'!BS102)*Rates_previous!$E$77*100*12</f>
        <v>-2242718.73972</v>
      </c>
      <c r="F100" s="116">
        <f>IF(Init!$R$9="Yes",SUMPRODUCT('Staging Table'!L102:AI102,LS_Demand_Rates_Restatement!$C$4:$Z$4)-IF(Init!$R$12="No",('Staging Table'!BH102*Rates_previous!$H$34), 0),SUMPRODUCT('Staging Table'!BY102:CV102,LS_Demand_Rates_Restatement!$C$4:$Z$4)-IF(Init!$R$12="No", 'Staging Table'!DU102*Rates_previous!$H$34, 0))</f>
        <v>-2267238.2307232386</v>
      </c>
      <c r="G100" s="116">
        <f>IF(Init!$R$9="Yes",SUMPRODUCT('Staging Table'!AJ102:AU102,LS_Demand_Rates_Restatement!$C$10:$N$10),SUMPRODUCT(LS_Demand_Rates_Restatement!$C$10:$N$10,'Staging Table'!CW102:DH102))*1000</f>
        <v>220322.63786412933</v>
      </c>
      <c r="H100" s="117">
        <f>IF(Init!$R$9="Yes",'Staging Table'!BQ102,'Staging Table'!ED102)*IF(Init!$R$3=2022,Rates_previous!$C$88,Rates_previous!$D$88)</f>
        <v>0</v>
      </c>
      <c r="I100" s="115">
        <v>0</v>
      </c>
      <c r="J100" s="117">
        <f>IF(Init!$R$9="Yes",IF('Staging Table'!D102=1,'Staging Table'!H102*-1,'Staging Table'!H102*SUM(D100:I100)*(-1)),IF('Staging Table'!D102=1,'Staging Table'!BU102*-1,'Staging Table'!BU102*SUM(D100:I100)*(-1)))</f>
        <v>0</v>
      </c>
      <c r="K100" s="115">
        <f>IF(Init!$R$9="Yes",'Staging Table'!K102,'Staging Table'!BX102)*(-1)*Rates_previous!$H$32</f>
        <v>0</v>
      </c>
      <c r="L100" s="115">
        <f>IF('Staging Table'!C102=1,"",SUM(D100:K100))</f>
        <v>6695524.5588608915</v>
      </c>
      <c r="M100" s="115">
        <f>IF('Staging Table'!C102=1,"",IF(Init!$R$9="Yes",(RT1SC!$C$3*'Staging Table'!E102*'Staging Table'!$F$2)+SUM('Staging Table'!L102:AI102)-IF(Init!$R$12="No",'Staging Table'!BH102, 0),X100))</f>
        <v>220300.0982541187</v>
      </c>
      <c r="N100" s="69">
        <f>IF('Staging Table'!C102=1,"",IF(M100=0, 0, L100/M100))</f>
        <v>30.392744315245501</v>
      </c>
      <c r="O100" s="115">
        <f>'Staging Table'!BR102*Rates_current!$F$77*100*12</f>
        <v>10560825.085200001</v>
      </c>
      <c r="P100" s="115">
        <f>'Staging Table'!BS102*Rates_current!$F$78*100*12</f>
        <v>-1691561.1516000002</v>
      </c>
      <c r="Q100" s="116">
        <f>SUMPRODUCT('Staging Table'!BY102:CV102, LS_Demand_Rates_Restatement!$C$5:$Z$5)-IF(Init!$R$12="No",('Staging Table'!DU102*Rates_current!$I$46), 0)</f>
        <v>-2410.0426555995364</v>
      </c>
      <c r="R100" s="116">
        <f>SUMPRODUCT('Staging Table'!CW102:DH102, LS_Demand_Rates_Restatement!$C$11:$N$11)*1000</f>
        <v>241782.60643164162</v>
      </c>
      <c r="S100" s="117">
        <f>'Staging Table'!ED102*IF(Init!$R$15="Yes",IF(Init!$R$6=2024,Rates_current!$C$89,Rates_current!$D$89),Rates_current!$I$45)</f>
        <v>2.9488332109886688</v>
      </c>
      <c r="T100" s="117">
        <v>0</v>
      </c>
      <c r="U100" s="117">
        <f>IF('Staging Table'!D102=1, 'Staging Table'!BU102*-1,SUM(O100:T100)*'Staging Table'!BU102*-1)</f>
        <v>0</v>
      </c>
      <c r="V100" s="115">
        <f>'Staging Table'!BX102*Rates_current!$I$44*-1</f>
        <v>0</v>
      </c>
      <c r="W100" s="115">
        <f>IF('Staging Table'!C102=1,"",SUM(O100:V100))</f>
        <v>9108639.4462092537</v>
      </c>
      <c r="X100" s="115">
        <f>IF('Staging Table'!C102=1,"",(RT1SC!$C$4*'Staging Table'!BR102*'Staging Table'!$BS$2)+SUM('Staging Table'!BY102:CV102)-IF(Init!$R$12="No",'Staging Table'!DU102, 0))</f>
        <v>253960.39999144047</v>
      </c>
      <c r="Y100" s="69">
        <f>IF('Staging Table'!C102=1,"",IF(X100=0, 0, W100/X100))</f>
        <v>35.866376988366113</v>
      </c>
      <c r="Z100" s="64">
        <f ca="1">IF('Staging Table'!C102=1,"",(Y100/N100-1)+(RAND()/100000000000000))</f>
        <v>0.18009669072151663</v>
      </c>
      <c r="AA100" s="45">
        <f t="shared" ref="AA100:AA131" ca="1" si="7">IF(Z100="","",RANK(Z100,$Z$4:$Z$137))</f>
        <v>2</v>
      </c>
      <c r="AC100">
        <f t="shared" si="6"/>
        <v>1.0974024674702125</v>
      </c>
      <c r="AD100" s="119"/>
      <c r="AE100" s="119"/>
      <c r="AG100" s="119"/>
      <c r="AH100" s="119"/>
    </row>
    <row r="101" spans="2:34">
      <c r="B101" s="2">
        <v>10331</v>
      </c>
      <c r="C101" s="3" t="s">
        <v>105</v>
      </c>
      <c r="D101" s="115">
        <f>IF(Init!$R$9="Yes",'Staging Table'!E103,'Staging Table'!BR103)*Rates_previous!$E$76*100*12</f>
        <v>12752370.202320002</v>
      </c>
      <c r="E101" s="115">
        <f>IF(Init!$R$9="Yes",'Staging Table'!F103,'Staging Table'!BS103)*Rates_previous!$E$77*100*12</f>
        <v>-2603510.7831599996</v>
      </c>
      <c r="F101" s="116">
        <f>IF(Init!$R$9="Yes",SUMPRODUCT('Staging Table'!L103:AI103,LS_Demand_Rates_Restatement!$C$4:$Z$4)-IF(Init!$R$12="No",('Staging Table'!BH103*Rates_previous!$H$34), 0),SUMPRODUCT('Staging Table'!BY103:CV103,LS_Demand_Rates_Restatement!$C$4:$Z$4)-IF(Init!$R$12="No", 'Staging Table'!DU103*Rates_previous!$H$34, 0))</f>
        <v>0</v>
      </c>
      <c r="G101" s="116">
        <f>IF(Init!$R$9="Yes",SUMPRODUCT('Staging Table'!AJ103:AU103,LS_Demand_Rates_Restatement!$C$10:$N$10),SUMPRODUCT(LS_Demand_Rates_Restatement!$C$10:$N$10,'Staging Table'!CW103:DH103))*1000</f>
        <v>0</v>
      </c>
      <c r="H101" s="117">
        <f>IF(Init!$R$9="Yes",'Staging Table'!BQ103,'Staging Table'!ED103)*IF(Init!$R$3=2022,Rates_previous!$C$88,Rates_previous!$D$88)</f>
        <v>0</v>
      </c>
      <c r="I101" s="115">
        <v>0</v>
      </c>
      <c r="J101" s="117">
        <f>IF(Init!$R$9="Yes",IF('Staging Table'!D103=1,'Staging Table'!H103*-1,'Staging Table'!H103*SUM(D101:I101)*(-1)),IF('Staging Table'!D103=1,'Staging Table'!BU103*-1,'Staging Table'!BU103*SUM(D101:I101)*(-1)))</f>
        <v>-710420.15934120025</v>
      </c>
      <c r="K101" s="115">
        <f>IF(Init!$R$9="Yes",'Staging Table'!K103,'Staging Table'!BX103)*(-1)*Rates_previous!$H$32</f>
        <v>-1539814.9470600002</v>
      </c>
      <c r="L101" s="115" t="str">
        <f>IF('Staging Table'!C103=1,"",SUM(D101:K101))</f>
        <v/>
      </c>
      <c r="M101" s="115" t="str">
        <f>IF('Staging Table'!C103=1,"",IF(Init!$R$9="Yes",(RT1SC!$C$3*'Staging Table'!E103*'Staging Table'!$F$2)+SUM('Staging Table'!L103:AI103)-IF(Init!$R$12="No",'Staging Table'!BH103, 0),X101))</f>
        <v/>
      </c>
      <c r="N101" s="69" t="str">
        <f>IF('Staging Table'!C103=1,"",IF(M101=0, 0, L101/M101))</f>
        <v/>
      </c>
      <c r="O101" s="115">
        <f>'Staging Table'!BR103*Rates_current!$F$77*100*12</f>
        <v>13410160.452</v>
      </c>
      <c r="P101" s="115">
        <f>'Staging Table'!BS103*Rates_current!$F$78*100*12</f>
        <v>-2147948.3160000001</v>
      </c>
      <c r="Q101" s="116">
        <f>SUMPRODUCT('Staging Table'!BY103:CV103, LS_Demand_Rates_Restatement!$C$5:$Z$5)-IF(Init!$R$12="No",('Staging Table'!DU103*Rates_current!$I$46), 0)</f>
        <v>0</v>
      </c>
      <c r="R101" s="116">
        <f>SUMPRODUCT('Staging Table'!CW103:DH103, LS_Demand_Rates_Restatement!$C$11:$N$11)*1000</f>
        <v>0</v>
      </c>
      <c r="S101" s="117">
        <f>'Staging Table'!ED103*IF(Init!$R$15="Yes",IF(Init!$R$6=2024,Rates_current!$C$89,Rates_current!$D$89),Rates_current!$I$45)</f>
        <v>0</v>
      </c>
      <c r="T101" s="117">
        <v>0</v>
      </c>
      <c r="U101" s="117">
        <f>IF('Staging Table'!D103=1, 'Staging Table'!BU103*-1,SUM(O101:T101)*'Staging Table'!BU103*-1)</f>
        <v>-834076.1328635253</v>
      </c>
      <c r="V101" s="115">
        <f>'Staging Table'!BX103*Rates_current!$I$44*-1</f>
        <v>-1591718.8216800003</v>
      </c>
      <c r="W101" s="115" t="str">
        <f>IF('Staging Table'!C103=1,"",SUM(O101:V101))</f>
        <v/>
      </c>
      <c r="X101" s="115" t="str">
        <f>IF('Staging Table'!C103=1,"",(RT1SC!$C$4*'Staging Table'!BR103*'Staging Table'!$BS$2)+SUM('Staging Table'!BY103:CV103)-IF(Init!$R$12="No",'Staging Table'!DU103, 0))</f>
        <v/>
      </c>
      <c r="Y101" s="69" t="str">
        <f>IF('Staging Table'!C103=1,"",IF(X101=0, 0, W101/X101))</f>
        <v/>
      </c>
      <c r="Z101" s="64" t="str">
        <f ca="1">IF('Staging Table'!C103=1,"",(Y101/N101-1)+(RAND()/100000000000000))</f>
        <v/>
      </c>
      <c r="AA101" s="45" t="str">
        <f t="shared" ca="1" si="7"/>
        <v/>
      </c>
      <c r="AC101" t="str">
        <f t="shared" si="6"/>
        <v/>
      </c>
      <c r="AD101" s="119"/>
      <c r="AE101" s="119"/>
      <c r="AG101" s="119"/>
      <c r="AH101" s="119"/>
    </row>
    <row r="102" spans="2:34">
      <c r="B102" s="2">
        <v>10333</v>
      </c>
      <c r="C102" s="3" t="s">
        <v>106</v>
      </c>
      <c r="D102" s="115">
        <f>IF(Init!$R$9="Yes",'Staging Table'!E104,'Staging Table'!BR104)*Rates_previous!$E$76*100*12</f>
        <v>6677238.7900800006</v>
      </c>
      <c r="E102" s="115">
        <f>IF(Init!$R$9="Yes",'Staging Table'!F104,'Staging Table'!BS104)*Rates_previous!$E$77*100*12</f>
        <v>-1363218.2030400001</v>
      </c>
      <c r="F102" s="116">
        <f>IF(Init!$R$9="Yes",SUMPRODUCT('Staging Table'!L104:AI104,LS_Demand_Rates_Restatement!$C$4:$Z$4)-IF(Init!$R$12="No",('Staging Table'!BH104*Rates_previous!$H$34), 0),SUMPRODUCT('Staging Table'!BY104:CV104,LS_Demand_Rates_Restatement!$C$4:$Z$4)-IF(Init!$R$12="No", 'Staging Table'!DU104*Rates_previous!$H$34, 0))</f>
        <v>0</v>
      </c>
      <c r="G102" s="116">
        <f>IF(Init!$R$9="Yes",SUMPRODUCT('Staging Table'!AJ104:AU104,LS_Demand_Rates_Restatement!$C$10:$N$10),SUMPRODUCT(LS_Demand_Rates_Restatement!$C$10:$N$10,'Staging Table'!CW104:DH104))*1000</f>
        <v>0</v>
      </c>
      <c r="H102" s="117">
        <f>IF(Init!$R$9="Yes",'Staging Table'!BQ104,'Staging Table'!ED104)*IF(Init!$R$3=2022,Rates_previous!$C$88,Rates_previous!$D$88)</f>
        <v>0</v>
      </c>
      <c r="I102" s="115">
        <v>0</v>
      </c>
      <c r="J102" s="117">
        <f>IF(Init!$R$9="Yes",IF('Staging Table'!D104=1,'Staging Table'!H104*-1,'Staging Table'!H104*SUM(D102:I102)*(-1)),IF('Staging Table'!D104=1,'Staging Table'!BU104*-1,'Staging Table'!BU104*SUM(D102:I102)*(-1)))</f>
        <v>-375411.23023755453</v>
      </c>
      <c r="K102" s="115">
        <f>IF(Init!$R$9="Yes",'Staging Table'!K104,'Staging Table'!BX104)*(-1)*Rates_previous!$H$32</f>
        <v>0</v>
      </c>
      <c r="L102" s="115" t="str">
        <f>IF('Staging Table'!C104=1,"",SUM(D102:K102))</f>
        <v/>
      </c>
      <c r="M102" s="115" t="str">
        <f>IF('Staging Table'!C104=1,"",IF(Init!$R$9="Yes",(RT1SC!$C$3*'Staging Table'!E104*'Staging Table'!$F$2)+SUM('Staging Table'!L104:AI104)-IF(Init!$R$12="No",'Staging Table'!BH104, 0),X102))</f>
        <v/>
      </c>
      <c r="N102" s="69" t="str">
        <f>IF('Staging Table'!C104=1,"",IF(M102=0, 0, L102/M102))</f>
        <v/>
      </c>
      <c r="O102" s="115">
        <f>'Staging Table'!BR104*Rates_current!$F$77*100*12</f>
        <v>6783552.1962000001</v>
      </c>
      <c r="P102" s="115">
        <f>'Staging Table'!BS104*Rates_current!$F$78*100*12</f>
        <v>-1086543.2645999999</v>
      </c>
      <c r="Q102" s="116">
        <f>SUMPRODUCT('Staging Table'!BY104:CV104, LS_Demand_Rates_Restatement!$C$5:$Z$5)-IF(Init!$R$12="No",('Staging Table'!DU104*Rates_current!$I$46), 0)</f>
        <v>0</v>
      </c>
      <c r="R102" s="116">
        <f>SUMPRODUCT('Staging Table'!CW104:DH104, LS_Demand_Rates_Restatement!$C$11:$N$11)*1000</f>
        <v>0</v>
      </c>
      <c r="S102" s="117">
        <f>'Staging Table'!ED104*IF(Init!$R$15="Yes",IF(Init!$R$6=2024,Rates_current!$C$89,Rates_current!$D$89),Rates_current!$I$45)</f>
        <v>0</v>
      </c>
      <c r="T102" s="117">
        <v>0</v>
      </c>
      <c r="U102" s="117">
        <f>IF('Staging Table'!D104=1, 'Staging Table'!BU104*-1,SUM(O102:T102)*'Staging Table'!BU104*-1)</f>
        <v>-431084.48531401361</v>
      </c>
      <c r="V102" s="115">
        <f>'Staging Table'!BX104*Rates_current!$I$44*-1</f>
        <v>0</v>
      </c>
      <c r="W102" s="115" t="str">
        <f>IF('Staging Table'!C104=1,"",SUM(O102:V102))</f>
        <v/>
      </c>
      <c r="X102" s="115" t="str">
        <f>IF('Staging Table'!C104=1,"",(RT1SC!$C$4*'Staging Table'!BR104*'Staging Table'!$BS$2)+SUM('Staging Table'!BY104:CV104)-IF(Init!$R$12="No",'Staging Table'!DU104, 0))</f>
        <v/>
      </c>
      <c r="Y102" s="69" t="str">
        <f>IF('Staging Table'!C104=1,"",IF(X102=0, 0, W102/X102))</f>
        <v/>
      </c>
      <c r="Z102" s="64" t="str">
        <f ca="1">IF('Staging Table'!C104=1,"",(Y102/N102-1)+(RAND()/100000000000000))</f>
        <v/>
      </c>
      <c r="AA102" s="45" t="str">
        <f t="shared" ca="1" si="7"/>
        <v/>
      </c>
      <c r="AC102" t="str">
        <f t="shared" si="6"/>
        <v/>
      </c>
      <c r="AD102" s="119"/>
      <c r="AE102" s="119"/>
      <c r="AG102" s="119"/>
      <c r="AH102" s="119"/>
    </row>
    <row r="103" spans="2:34">
      <c r="B103" s="2">
        <v>10338</v>
      </c>
      <c r="C103" s="3" t="s">
        <v>107</v>
      </c>
      <c r="D103" s="115">
        <f>IF(Init!$R$9="Yes",'Staging Table'!E105,'Staging Table'!BR105)*Rates_previous!$E$76*100*12</f>
        <v>855704.9412</v>
      </c>
      <c r="E103" s="115">
        <f>IF(Init!$R$9="Yes",'Staging Table'!F105,'Staging Table'!BS105)*Rates_previous!$E$77*100*12</f>
        <v>-174699.8406</v>
      </c>
      <c r="F103" s="116">
        <f>IF(Init!$R$9="Yes",SUMPRODUCT('Staging Table'!L105:AI105,LS_Demand_Rates_Restatement!$C$4:$Z$4)-IF(Init!$R$12="No",('Staging Table'!BH105*Rates_previous!$H$34), 0),SUMPRODUCT('Staging Table'!BY105:CV105,LS_Demand_Rates_Restatement!$C$4:$Z$4)-IF(Init!$R$12="No", 'Staging Table'!DU105*Rates_previous!$H$34, 0))</f>
        <v>-12499.249789864552</v>
      </c>
      <c r="G103" s="116">
        <f>IF(Init!$R$9="Yes",SUMPRODUCT('Staging Table'!AJ105:AU105,LS_Demand_Rates_Restatement!$C$10:$N$10),SUMPRODUCT(LS_Demand_Rates_Restatement!$C$10:$N$10,'Staging Table'!CW105:DH105))*1000</f>
        <v>51220.967150747871</v>
      </c>
      <c r="H103" s="117">
        <f>IF(Init!$R$9="Yes",'Staging Table'!BQ105,'Staging Table'!ED105)*IF(Init!$R$3=2022,Rates_previous!$C$88,Rates_previous!$D$88)</f>
        <v>0</v>
      </c>
      <c r="I103" s="115">
        <v>0</v>
      </c>
      <c r="J103" s="117">
        <f>IF(Init!$R$9="Yes",IF('Staging Table'!D105=1,'Staging Table'!H105*-1,'Staging Table'!H105*SUM(D103:I103)*(-1)),IF('Staging Table'!D105=1,'Staging Table'!BU105*-1,'Staging Table'!BU105*SUM(D103:I103)*(-1)))</f>
        <v>-25067.602825312686</v>
      </c>
      <c r="K103" s="115">
        <f>IF(Init!$R$9="Yes",'Staging Table'!K105,'Staging Table'!BX105)*(-1)*Rates_previous!$H$32</f>
        <v>-48075.779699999999</v>
      </c>
      <c r="L103" s="115">
        <f>IF('Staging Table'!C105=1,"",SUM(D103:K103))</f>
        <v>646583.43543557078</v>
      </c>
      <c r="M103" s="115">
        <f>IF('Staging Table'!C105=1,"",IF(Init!$R$9="Yes",(RT1SC!$C$3*'Staging Table'!E105*'Staging Table'!$F$2)+SUM('Staging Table'!L105:AI105)-IF(Init!$R$12="No",'Staging Table'!BH105, 0),X103))</f>
        <v>20844.432000000001</v>
      </c>
      <c r="N103" s="69">
        <f>IF('Staging Table'!C105=1,"",IF(M103=0, 0, L103/M103))</f>
        <v>31.019479707366013</v>
      </c>
      <c r="O103" s="115">
        <f>'Staging Table'!BR105*Rates_current!$F$77*100*12</f>
        <v>869148.29040000006</v>
      </c>
      <c r="P103" s="115">
        <f>'Staging Table'!BS105*Rates_current!$F$78*100*12</f>
        <v>-139214.26320000002</v>
      </c>
      <c r="Q103" s="116">
        <f>SUMPRODUCT('Staging Table'!BY105:CV105, LS_Demand_Rates_Restatement!$C$5:$Z$5)-IF(Init!$R$12="No",('Staging Table'!DU105*Rates_current!$I$46), 0)</f>
        <v>2034.5361869351764</v>
      </c>
      <c r="R103" s="116">
        <f>SUMPRODUCT('Staging Table'!CW105:DH105, LS_Demand_Rates_Restatement!$C$11:$N$11)*1000</f>
        <v>54206.754942672727</v>
      </c>
      <c r="S103" s="117">
        <f>'Staging Table'!ED105*IF(Init!$R$15="Yes",IF(Init!$R$6=2024,Rates_current!$C$89,Rates_current!$D$89),Rates_current!$I$45)</f>
        <v>0</v>
      </c>
      <c r="T103" s="117">
        <v>0</v>
      </c>
      <c r="U103" s="117">
        <f>IF('Staging Table'!D105=1, 'Staging Table'!BU105*-1,SUM(O103:T103)*'Staging Table'!BU105*-1)</f>
        <v>-28161.946545528746</v>
      </c>
      <c r="V103" s="115">
        <f>'Staging Table'!BX105*Rates_current!$I$44*-1</f>
        <v>-49696.311600000001</v>
      </c>
      <c r="W103" s="115">
        <f>IF('Staging Table'!C105=1,"",SUM(O103:V103))</f>
        <v>708317.06018407911</v>
      </c>
      <c r="X103" s="115">
        <f>IF('Staging Table'!C105=1,"",(RT1SC!$C$4*'Staging Table'!BR105*'Staging Table'!$BS$2)+SUM('Staging Table'!BY105:CV105)-IF(Init!$R$12="No",'Staging Table'!DU105, 0))</f>
        <v>20901.36</v>
      </c>
      <c r="Y103" s="69">
        <f>IF('Staging Table'!C105=1,"",IF(X103=0, 0, W103/X103))</f>
        <v>33.88856324105604</v>
      </c>
      <c r="Z103" s="64">
        <f ca="1">IF('Staging Table'!C105=1,"",(Y103/N103-1)+(RAND()/100000000000000))</f>
        <v>9.249296122168367E-2</v>
      </c>
      <c r="AA103" s="45">
        <f t="shared" ca="1" si="7"/>
        <v>70</v>
      </c>
      <c r="AC103">
        <f t="shared" si="6"/>
        <v>1.0582922962609709</v>
      </c>
      <c r="AD103" s="119"/>
      <c r="AE103" s="119"/>
      <c r="AG103" s="119"/>
      <c r="AH103" s="119"/>
    </row>
    <row r="104" spans="2:34">
      <c r="B104" s="2">
        <v>10342</v>
      </c>
      <c r="C104" s="3" t="s">
        <v>108</v>
      </c>
      <c r="D104" s="115">
        <f>IF(Init!$R$9="Yes",'Staging Table'!E106,'Staging Table'!BR106)*Rates_previous!$E$76*100*12</f>
        <v>13782703.721039999</v>
      </c>
      <c r="E104" s="115">
        <f>IF(Init!$R$9="Yes",'Staging Table'!F106,'Staging Table'!BS106)*Rates_previous!$E$77*100*12</f>
        <v>-2813862.6145199998</v>
      </c>
      <c r="F104" s="116">
        <f>IF(Init!$R$9="Yes",SUMPRODUCT('Staging Table'!L106:AI106,LS_Demand_Rates_Restatement!$C$4:$Z$4)-IF(Init!$R$12="No",('Staging Table'!BH106*Rates_previous!$H$34), 0),SUMPRODUCT('Staging Table'!BY106:CV106,LS_Demand_Rates_Restatement!$C$4:$Z$4)-IF(Init!$R$12="No", 'Staging Table'!DU106*Rates_previous!$H$34, 0))</f>
        <v>373829.47133727814</v>
      </c>
      <c r="G104" s="116">
        <f>IF(Init!$R$9="Yes",SUMPRODUCT('Staging Table'!AJ106:AU106,LS_Demand_Rates_Restatement!$C$10:$N$10),SUMPRODUCT(LS_Demand_Rates_Restatement!$C$10:$N$10,'Staging Table'!CW106:DH106))*1000</f>
        <v>962950.40668084973</v>
      </c>
      <c r="H104" s="117">
        <f>IF(Init!$R$9="Yes",'Staging Table'!BQ106,'Staging Table'!ED106)*IF(Init!$R$3=2022,Rates_previous!$C$88,Rates_previous!$D$88)</f>
        <v>0</v>
      </c>
      <c r="I104" s="115">
        <v>0</v>
      </c>
      <c r="J104" s="117">
        <f>IF(Init!$R$9="Yes",IF('Staging Table'!D106=1,'Staging Table'!H106*-1,'Staging Table'!H106*SUM(D104:I104)*(-1)),IF('Staging Table'!D106=1,'Staging Table'!BU106*-1,'Staging Table'!BU106*SUM(D104:I104)*(-1)))</f>
        <v>0</v>
      </c>
      <c r="K104" s="115">
        <f>IF(Init!$R$9="Yes",'Staging Table'!K106,'Staging Table'!BX106)*(-1)*Rates_previous!$H$32</f>
        <v>0</v>
      </c>
      <c r="L104" s="115">
        <f>IF('Staging Table'!C106=1,"",SUM(D104:K104))</f>
        <v>12305620.984538127</v>
      </c>
      <c r="M104" s="115">
        <f>IF('Staging Table'!C106=1,"",IF(Init!$R$9="Yes",(RT1SC!$C$3*'Staging Table'!E106*'Staging Table'!$F$2)+SUM('Staging Table'!L106:AI106)-IF(Init!$R$12="No",'Staging Table'!BH106, 0),X104))</f>
        <v>339861.74400000001</v>
      </c>
      <c r="N104" s="69">
        <f>IF('Staging Table'!C106=1,"",IF(M104=0, 0, L104/M104))</f>
        <v>36.207726235107316</v>
      </c>
      <c r="O104" s="115">
        <f>'Staging Table'!BR106*Rates_current!$F$77*100*12</f>
        <v>14175456.399</v>
      </c>
      <c r="P104" s="115">
        <f>'Staging Table'!BS106*Rates_current!$F$78*100*12</f>
        <v>-2270528.2169999997</v>
      </c>
      <c r="Q104" s="116">
        <f>SUMPRODUCT('Staging Table'!BY106:CV106, LS_Demand_Rates_Restatement!$C$5:$Z$5)-IF(Init!$R$12="No",('Staging Table'!DU106*Rates_current!$I$46), 0)</f>
        <v>449903.42310361052</v>
      </c>
      <c r="R104" s="116">
        <f>SUMPRODUCT('Staging Table'!CW106:DH106, LS_Demand_Rates_Restatement!$C$11:$N$11)*1000</f>
        <v>1032336.2331313574</v>
      </c>
      <c r="S104" s="117">
        <f>'Staging Table'!ED106*IF(Init!$R$15="Yes",IF(Init!$R$6=2024,Rates_current!$C$89,Rates_current!$D$89),Rates_current!$I$45)</f>
        <v>0</v>
      </c>
      <c r="T104" s="117">
        <v>0</v>
      </c>
      <c r="U104" s="117">
        <f>IF('Staging Table'!D106=1, 'Staging Table'!BU106*-1,SUM(O104:T104)*'Staging Table'!BU106*-1)</f>
        <v>0</v>
      </c>
      <c r="V104" s="115">
        <f>'Staging Table'!BX106*Rates_current!$I$44*-1</f>
        <v>0</v>
      </c>
      <c r="W104" s="115">
        <f>IF('Staging Table'!C106=1,"",SUM(O104:V104))</f>
        <v>13387167.838234967</v>
      </c>
      <c r="X104" s="115">
        <f>IF('Staging Table'!C106=1,"",(RT1SC!$C$4*'Staging Table'!BR106*'Staging Table'!$BS$2)+SUM('Staging Table'!BY106:CV106)-IF(Init!$R$12="No",'Staging Table'!DU106, 0))</f>
        <v>340886.58512252913</v>
      </c>
      <c r="Y104" s="69">
        <f>IF('Staging Table'!C106=1,"",IF(X104=0, 0, W104/X104))</f>
        <v>39.271618252220307</v>
      </c>
      <c r="Z104" s="64">
        <f ca="1">IF('Staging Table'!C106=1,"",(Y104/N104-1)+(RAND()/100000000000000))</f>
        <v>8.461984045113824E-2</v>
      </c>
      <c r="AA104" s="45">
        <f t="shared" ca="1" si="7"/>
        <v>92</v>
      </c>
      <c r="AC104">
        <f t="shared" si="6"/>
        <v>1.0720554516298202</v>
      </c>
      <c r="AD104" s="119"/>
      <c r="AE104" s="119"/>
      <c r="AG104" s="119"/>
      <c r="AH104" s="119"/>
    </row>
    <row r="105" spans="2:34">
      <c r="B105" s="2">
        <v>10343</v>
      </c>
      <c r="C105" s="3" t="s">
        <v>109</v>
      </c>
      <c r="D105" s="115">
        <f>IF(Init!$R$9="Yes",'Staging Table'!E107,'Staging Table'!BR107)*Rates_previous!$E$76*100*12</f>
        <v>4312902.3717600005</v>
      </c>
      <c r="E105" s="115">
        <f>IF(Init!$R$9="Yes",'Staging Table'!F107,'Staging Table'!BS107)*Rates_previous!$E$77*100*12</f>
        <v>-880517.71188000008</v>
      </c>
      <c r="F105" s="116">
        <f>IF(Init!$R$9="Yes",SUMPRODUCT('Staging Table'!L107:AI107,LS_Demand_Rates_Restatement!$C$4:$Z$4)-IF(Init!$R$12="No",('Staging Table'!BH107*Rates_previous!$H$34), 0),SUMPRODUCT('Staging Table'!BY107:CV107,LS_Demand_Rates_Restatement!$C$4:$Z$4)-IF(Init!$R$12="No", 'Staging Table'!DU107*Rates_previous!$H$34, 0))</f>
        <v>-136908.37115316442</v>
      </c>
      <c r="G105" s="116">
        <f>IF(Init!$R$9="Yes",SUMPRODUCT('Staging Table'!AJ107:AU107,LS_Demand_Rates_Restatement!$C$10:$N$10),SUMPRODUCT(LS_Demand_Rates_Restatement!$C$10:$N$10,'Staging Table'!CW107:DH107))*1000</f>
        <v>0</v>
      </c>
      <c r="H105" s="117">
        <f>IF(Init!$R$9="Yes",'Staging Table'!BQ107,'Staging Table'!ED107)*IF(Init!$R$3=2022,Rates_previous!$C$88,Rates_previous!$D$88)</f>
        <v>0</v>
      </c>
      <c r="I105" s="115">
        <v>0</v>
      </c>
      <c r="J105" s="117">
        <f>IF(Init!$R$9="Yes",IF('Staging Table'!D107=1,'Staging Table'!H107*-1,'Staging Table'!H107*SUM(D105:I105)*(-1)),IF('Staging Table'!D107=1,'Staging Table'!BU107*-1,'Staging Table'!BU107*SUM(D105:I105)*(-1)))</f>
        <v>-230683.34021087849</v>
      </c>
      <c r="K105" s="115">
        <f>IF(Init!$R$9="Yes",'Staging Table'!K107,'Staging Table'!BX107)*(-1)*Rates_previous!$H$32</f>
        <v>-121550.49777</v>
      </c>
      <c r="L105" s="115">
        <f>IF('Staging Table'!C107=1,"",SUM(D105:K105))</f>
        <v>2943242.4507459574</v>
      </c>
      <c r="M105" s="115">
        <f>IF('Staging Table'!C107=1,"",IF(Init!$R$9="Yes",(RT1SC!$C$3*'Staging Table'!E107*'Staging Table'!$F$2)+SUM('Staging Table'!L107:AI107)-IF(Init!$R$12="No",'Staging Table'!BH107, 0),X105))</f>
        <v>103035.83949238172</v>
      </c>
      <c r="N105" s="69">
        <f>IF('Staging Table'!C107=1,"",IF(M105=0, 0, L105/M105))</f>
        <v>28.565229974795084</v>
      </c>
      <c r="O105" s="115">
        <f>'Staging Table'!BR107*Rates_current!$F$77*100*12</f>
        <v>4284621.3695999999</v>
      </c>
      <c r="P105" s="115">
        <f>'Staging Table'!BS107*Rates_current!$F$78*100*12</f>
        <v>-686281.5168000001</v>
      </c>
      <c r="Q105" s="116">
        <f>SUMPRODUCT('Staging Table'!BY107:CV107, LS_Demand_Rates_Restatement!$C$5:$Z$5)-IF(Init!$R$12="No",('Staging Table'!DU107*Rates_current!$I$46), 0)</f>
        <v>71942.613437467371</v>
      </c>
      <c r="R105" s="116">
        <f>SUMPRODUCT('Staging Table'!CW107:DH107, LS_Demand_Rates_Restatement!$C$11:$N$11)*1000</f>
        <v>0</v>
      </c>
      <c r="S105" s="117">
        <f>'Staging Table'!ED107*IF(Init!$R$15="Yes",IF(Init!$R$6=2024,Rates_current!$C$89,Rates_current!$D$89),Rates_current!$I$45)</f>
        <v>-2.8133187875297154</v>
      </c>
      <c r="T105" s="117">
        <v>0</v>
      </c>
      <c r="U105" s="117">
        <f>IF('Staging Table'!D107=1, 'Staging Table'!BU107*-1,SUM(O105:T105)*'Staging Table'!BU107*-1)</f>
        <v>-256919.57570430756</v>
      </c>
      <c r="V105" s="115">
        <f>'Staging Table'!BX107*Rates_current!$I$44*-1</f>
        <v>-125647.70556000002</v>
      </c>
      <c r="W105" s="115">
        <f>IF('Staging Table'!C107=1,"",SUM(O105:V105))</f>
        <v>3287712.3716543713</v>
      </c>
      <c r="X105" s="115">
        <f>IF('Staging Table'!C107=1,"",(RT1SC!$C$4*'Staging Table'!BR107*'Staging Table'!$BS$2)+SUM('Staging Table'!BY107:CV107)-IF(Init!$R$12="No",'Staging Table'!DU107, 0))</f>
        <v>103035.84508216174</v>
      </c>
      <c r="Y105" s="69">
        <f>IF('Staging Table'!C107=1,"",IF(X105=0, 0, W105/X105))</f>
        <v>31.908433118908462</v>
      </c>
      <c r="Z105" s="64">
        <f ca="1">IF('Staging Table'!C107=1,"",(Y105/N105-1)+(RAND()/100000000000000))</f>
        <v>0.11703750143315728</v>
      </c>
      <c r="AA105" s="45">
        <f t="shared" ca="1" si="7"/>
        <v>15</v>
      </c>
      <c r="AC105" t="str">
        <f t="shared" si="6"/>
        <v/>
      </c>
      <c r="AD105" s="119"/>
      <c r="AE105" s="119"/>
      <c r="AG105" s="119"/>
      <c r="AH105" s="119"/>
    </row>
    <row r="106" spans="2:34">
      <c r="B106" s="2">
        <v>10349</v>
      </c>
      <c r="C106" s="3" t="s">
        <v>110</v>
      </c>
      <c r="D106" s="115">
        <f>IF(Init!$R$9="Yes",'Staging Table'!E108,'Staging Table'!BR108)*Rates_previous!$E$76*100*12</f>
        <v>179836544.76911998</v>
      </c>
      <c r="E106" s="115">
        <f>IF(Init!$R$9="Yes",'Staging Table'!F108,'Staging Table'!BS108)*Rates_previous!$E$77*100*12</f>
        <v>-36715243.99656</v>
      </c>
      <c r="F106" s="116">
        <f>IF(Init!$R$9="Yes",SUMPRODUCT('Staging Table'!L108:AI108,LS_Demand_Rates_Restatement!$C$4:$Z$4)-IF(Init!$R$12="No",('Staging Table'!BH108*Rates_previous!$H$34), 0),SUMPRODUCT('Staging Table'!BY108:CV108,LS_Demand_Rates_Restatement!$C$4:$Z$4)-IF(Init!$R$12="No", 'Staging Table'!DU108*Rates_previous!$H$34, 0))</f>
        <v>14911865.655578554</v>
      </c>
      <c r="G106" s="116">
        <f>IF(Init!$R$9="Yes",SUMPRODUCT('Staging Table'!AJ108:AU108,LS_Demand_Rates_Restatement!$C$10:$N$10),SUMPRODUCT(LS_Demand_Rates_Restatement!$C$10:$N$10,'Staging Table'!CW108:DH108))*1000</f>
        <v>0</v>
      </c>
      <c r="H106" s="117">
        <f>IF(Init!$R$9="Yes",'Staging Table'!BQ108,'Staging Table'!ED108)*IF(Init!$R$3=2022,Rates_previous!$C$88,Rates_previous!$D$88)</f>
        <v>0</v>
      </c>
      <c r="I106" s="115">
        <v>0</v>
      </c>
      <c r="J106" s="117">
        <f>IF(Init!$R$9="Yes",IF('Staging Table'!D108=1,'Staging Table'!H108*-1,'Staging Table'!H108*SUM(D106:I106)*(-1)),IF('Staging Table'!D108=1,'Staging Table'!BU108*-1,'Staging Table'!BU108*SUM(D106:I106)*(-1)))</f>
        <v>0</v>
      </c>
      <c r="K106" s="115">
        <f>IF(Init!$R$9="Yes",'Staging Table'!K108,'Staging Table'!BX108)*(-1)*Rates_previous!$H$32</f>
        <v>0</v>
      </c>
      <c r="L106" s="115">
        <f>IF('Staging Table'!C108=1,"",SUM(D106:K106))</f>
        <v>158033166.42813852</v>
      </c>
      <c r="M106" s="115">
        <f>IF('Staging Table'!C108=1,"",IF(Init!$R$9="Yes",(RT1SC!$C$3*'Staging Table'!E108*'Staging Table'!$F$2)+SUM('Staging Table'!L108:AI108)-IF(Init!$R$12="No",'Staging Table'!BH108, 0),X106))</f>
        <v>4380185.5405310066</v>
      </c>
      <c r="N106" s="69">
        <f>IF('Staging Table'!C108=1,"",IF(M106=0, 0, L106/M106))</f>
        <v>36.07910326305042</v>
      </c>
      <c r="O106" s="115">
        <f>'Staging Table'!BR108*Rates_current!$F$77*100*12</f>
        <v>182145356.0706</v>
      </c>
      <c r="P106" s="115">
        <f>'Staging Table'!BS108*Rates_current!$F$78*100*12</f>
        <v>-29174804.599800006</v>
      </c>
      <c r="Q106" s="116">
        <f>SUMPRODUCT('Staging Table'!BY108:CV108, LS_Demand_Rates_Restatement!$C$5:$Z$5)-IF(Init!$R$12="No",('Staging Table'!DU108*Rates_current!$I$46), 0)</f>
        <v>21215384.945291884</v>
      </c>
      <c r="R106" s="116">
        <f>SUMPRODUCT('Staging Table'!CW108:DH108, LS_Demand_Rates_Restatement!$C$11:$N$11)*1000</f>
        <v>0</v>
      </c>
      <c r="S106" s="117">
        <f>'Staging Table'!ED108*IF(Init!$R$15="Yes",IF(Init!$R$6=2024,Rates_current!$C$89,Rates_current!$D$89),Rates_current!$I$45)</f>
        <v>0</v>
      </c>
      <c r="T106" s="117">
        <v>0</v>
      </c>
      <c r="U106" s="117">
        <f>IF('Staging Table'!D108=1, 'Staging Table'!BU108*-1,SUM(O106:T106)*'Staging Table'!BU108*-1)</f>
        <v>0</v>
      </c>
      <c r="V106" s="115">
        <f>'Staging Table'!BX108*Rates_current!$I$44*-1</f>
        <v>0</v>
      </c>
      <c r="W106" s="115">
        <f>IF('Staging Table'!C108=1,"",SUM(O106:V106))</f>
        <v>174185936.41609186</v>
      </c>
      <c r="X106" s="115">
        <f>IF('Staging Table'!C108=1,"",(RT1SC!$C$4*'Staging Table'!BR108*'Staging Table'!$BS$2)+SUM('Staging Table'!BY108:CV108)-IF(Init!$R$12="No",'Staging Table'!DU108, 0))</f>
        <v>4380184.2185613569</v>
      </c>
      <c r="Y106" s="69">
        <f>IF('Staging Table'!C108=1,"",IF(X106=0, 0, W106/X106))</f>
        <v>39.766806080430584</v>
      </c>
      <c r="Z106" s="64">
        <f ca="1">IF('Staging Table'!C108=1,"",(Y106/N106-1)+(RAND()/100000000000000))</f>
        <v>0.10221159851156927</v>
      </c>
      <c r="AA106" s="45">
        <f t="shared" ca="1" si="7"/>
        <v>31</v>
      </c>
      <c r="AC106" t="str">
        <f t="shared" si="6"/>
        <v/>
      </c>
      <c r="AD106" s="119"/>
      <c r="AE106" s="119"/>
      <c r="AG106" s="119"/>
      <c r="AH106" s="119"/>
    </row>
    <row r="107" spans="2:34">
      <c r="B107" s="2">
        <v>10352</v>
      </c>
      <c r="C107" s="3" t="s">
        <v>111</v>
      </c>
      <c r="D107" s="115">
        <f>IF(Init!$R$9="Yes",'Staging Table'!E109,'Staging Table'!BR109)*Rates_previous!$E$76*100*12</f>
        <v>5728863.6194400005</v>
      </c>
      <c r="E107" s="115">
        <f>IF(Init!$R$9="Yes",'Staging Table'!F109,'Staging Table'!BS109)*Rates_previous!$E$77*100*12</f>
        <v>-1169598.9037200001</v>
      </c>
      <c r="F107" s="116">
        <f>IF(Init!$R$9="Yes",SUMPRODUCT('Staging Table'!L109:AI109,LS_Demand_Rates_Restatement!$C$4:$Z$4)-IF(Init!$R$12="No",('Staging Table'!BH109*Rates_previous!$H$34), 0),SUMPRODUCT('Staging Table'!BY109:CV109,LS_Demand_Rates_Restatement!$C$4:$Z$4)-IF(Init!$R$12="No", 'Staging Table'!DU109*Rates_previous!$H$34, 0))</f>
        <v>96843.086457459372</v>
      </c>
      <c r="G107" s="116">
        <f>IF(Init!$R$9="Yes",SUMPRODUCT('Staging Table'!AJ109:AU109,LS_Demand_Rates_Restatement!$C$10:$N$10),SUMPRODUCT(LS_Demand_Rates_Restatement!$C$10:$N$10,'Staging Table'!CW109:DH109))*1000</f>
        <v>368899.85286693374</v>
      </c>
      <c r="H107" s="117">
        <f>IF(Init!$R$9="Yes",'Staging Table'!BQ109,'Staging Table'!ED109)*IF(Init!$R$3=2022,Rates_previous!$C$88,Rates_previous!$D$88)</f>
        <v>0</v>
      </c>
      <c r="I107" s="115">
        <v>0</v>
      </c>
      <c r="J107" s="117">
        <f>IF(Init!$R$9="Yes",IF('Staging Table'!D109=1,'Staging Table'!H109*-1,'Staging Table'!H109*SUM(D107:I107)*(-1)),IF('Staging Table'!D109=1,'Staging Table'!BU109*-1,'Staging Table'!BU109*SUM(D107:I107)*(-1)))</f>
        <v>-251250.38275221965</v>
      </c>
      <c r="K107" s="115">
        <f>IF(Init!$R$9="Yes",'Staging Table'!K109,'Staging Table'!BX109)*(-1)*Rates_previous!$H$32</f>
        <v>0</v>
      </c>
      <c r="L107" s="115">
        <f>IF('Staging Table'!C109=1,"",SUM(D107:K107))</f>
        <v>4773757.2722921744</v>
      </c>
      <c r="M107" s="115">
        <f>IF('Staging Table'!C109=1,"",IF(Init!$R$9="Yes",(RT1SC!$C$3*'Staging Table'!E109*'Staging Table'!$F$2)+SUM('Staging Table'!L109:AI109)-IF(Init!$R$12="No",'Staging Table'!BH109, 0),X107))</f>
        <v>139727.08799999999</v>
      </c>
      <c r="N107" s="69">
        <f>IF('Staging Table'!C109=1,"",IF(M107=0, 0, L107/M107))</f>
        <v>34.164866244776924</v>
      </c>
      <c r="O107" s="115">
        <f>'Staging Table'!BR109*Rates_current!$F$77*100*12</f>
        <v>5827644.4667999996</v>
      </c>
      <c r="P107" s="115">
        <f>'Staging Table'!BS109*Rates_current!$F$78*100*12</f>
        <v>-933432.46439999994</v>
      </c>
      <c r="Q107" s="116">
        <f>SUMPRODUCT('Staging Table'!BY109:CV109, LS_Demand_Rates_Restatement!$C$5:$Z$5)-IF(Init!$R$12="No",('Staging Table'!DU109*Rates_current!$I$46), 0)</f>
        <v>174204.13181154703</v>
      </c>
      <c r="R107" s="116">
        <f>SUMPRODUCT('Staging Table'!CW109:DH109, LS_Demand_Rates_Restatement!$C$11:$N$11)*1000</f>
        <v>383569.49142689625</v>
      </c>
      <c r="S107" s="117">
        <f>'Staging Table'!ED109*IF(Init!$R$15="Yes",IF(Init!$R$6=2024,Rates_current!$C$89,Rates_current!$D$89),Rates_current!$I$45)</f>
        <v>0</v>
      </c>
      <c r="T107" s="117">
        <v>0</v>
      </c>
      <c r="U107" s="117">
        <f>IF('Staging Table'!D109=1, 'Staging Table'!BU109*-1,SUM(O107:T107)*'Staging Table'!BU109*-1)</f>
        <v>-297749.70878361718</v>
      </c>
      <c r="V107" s="115">
        <f>'Staging Table'!BX109*Rates_current!$I$44*-1</f>
        <v>0</v>
      </c>
      <c r="W107" s="115">
        <f>IF('Staging Table'!C109=1,"",SUM(O107:V107))</f>
        <v>5154235.9168548258</v>
      </c>
      <c r="X107" s="115">
        <f>IF('Staging Table'!C109=1,"",(RT1SC!$C$4*'Staging Table'!BR109*'Staging Table'!$BS$2)+SUM('Staging Table'!BY109:CV109)-IF(Init!$R$12="No",'Staging Table'!DU109, 0))</f>
        <v>140142.47999999998</v>
      </c>
      <c r="Y107" s="69">
        <f>IF('Staging Table'!C109=1,"",IF(X107=0, 0, W107/X107))</f>
        <v>36.778540788309343</v>
      </c>
      <c r="Z107" s="64">
        <f ca="1">IF('Staging Table'!C109=1,"",(Y107/N107-1)+(RAND()/100000000000000))</f>
        <v>7.6501822802607644E-2</v>
      </c>
      <c r="AA107" s="45">
        <f t="shared" ca="1" si="7"/>
        <v>99</v>
      </c>
      <c r="AC107">
        <f t="shared" si="6"/>
        <v>1.0397659105742556</v>
      </c>
      <c r="AD107" s="119"/>
      <c r="AE107" s="119"/>
      <c r="AG107" s="119"/>
      <c r="AH107" s="119"/>
    </row>
    <row r="108" spans="2:34">
      <c r="B108" s="2">
        <v>10354</v>
      </c>
      <c r="C108" s="3" t="s">
        <v>112</v>
      </c>
      <c r="D108" s="115">
        <f>IF(Init!$R$9="Yes",'Staging Table'!E110,'Staging Table'!BR110)*Rates_previous!$E$76*100*12</f>
        <v>257945341.62456</v>
      </c>
      <c r="E108" s="115">
        <f>IF(Init!$R$9="Yes",'Staging Table'!F110,'Staging Table'!BS110)*Rates_previous!$E$77*100*12</f>
        <v>-52661855.618280008</v>
      </c>
      <c r="F108" s="116">
        <f>IF(Init!$R$9="Yes",SUMPRODUCT('Staging Table'!L110:AI110,LS_Demand_Rates_Restatement!$C$4:$Z$4)-IF(Init!$R$12="No",('Staging Table'!BH110*Rates_previous!$H$34), 0),SUMPRODUCT('Staging Table'!BY110:CV110,LS_Demand_Rates_Restatement!$C$4:$Z$4)-IF(Init!$R$12="No", 'Staging Table'!DU110*Rates_previous!$H$34, 0))</f>
        <v>20175217.571541354</v>
      </c>
      <c r="G108" s="116">
        <f>IF(Init!$R$9="Yes",SUMPRODUCT('Staging Table'!AJ110:AU110,LS_Demand_Rates_Restatement!$C$10:$N$10),SUMPRODUCT(LS_Demand_Rates_Restatement!$C$10:$N$10,'Staging Table'!CW110:DH110))*1000</f>
        <v>27708493.479292192</v>
      </c>
      <c r="H108" s="117">
        <f>IF(Init!$R$9="Yes",'Staging Table'!BQ110,'Staging Table'!ED110)*IF(Init!$R$3=2022,Rates_previous!$C$88,Rates_previous!$D$88)</f>
        <v>0</v>
      </c>
      <c r="I108" s="115">
        <v>0</v>
      </c>
      <c r="J108" s="117">
        <f>IF(Init!$R$9="Yes",IF('Staging Table'!D110=1,'Staging Table'!H110*-1,'Staging Table'!H110*SUM(D108:I108)*(-1)),IF('Staging Table'!D110=1,'Staging Table'!BU110*-1,'Staging Table'!BU110*SUM(D108:I108)*(-1)))</f>
        <v>0</v>
      </c>
      <c r="K108" s="115">
        <f>IF(Init!$R$9="Yes",'Staging Table'!K110,'Staging Table'!BX110)*(-1)*Rates_previous!$H$32</f>
        <v>0</v>
      </c>
      <c r="L108" s="115">
        <f>IF('Staging Table'!C110=1,"",SUM(D108:K108))</f>
        <v>253167197.05711356</v>
      </c>
      <c r="M108" s="115">
        <f>IF('Staging Table'!C110=1,"",IF(Init!$R$9="Yes",(RT1SC!$C$3*'Staging Table'!E110*'Staging Table'!$F$2)+SUM('Staging Table'!L110:AI110)-IF(Init!$R$12="No",'Staging Table'!BH110, 0),X108))</f>
        <v>6760944.9294482833</v>
      </c>
      <c r="N108" s="69">
        <f>IF('Staging Table'!C110=1,"",IF(M108=0, 0, L108/M108))</f>
        <v>37.445534566389803</v>
      </c>
      <c r="O108" s="115">
        <f>'Staging Table'!BR110*Rates_current!$F$77*100*12</f>
        <v>281146681.4052</v>
      </c>
      <c r="P108" s="115">
        <f>'Staging Table'!BS110*Rates_current!$F$78*100*12</f>
        <v>-45032163.711599991</v>
      </c>
      <c r="Q108" s="116">
        <f>SUMPRODUCT('Staging Table'!BY110:CV110, LS_Demand_Rates_Restatement!$C$5:$Z$5)-IF(Init!$R$12="No",('Staging Table'!DU110*Rates_current!$I$46), 0)</f>
        <v>6941366.9004722377</v>
      </c>
      <c r="R108" s="116">
        <f>SUMPRODUCT('Staging Table'!CW110:DH110, LS_Demand_Rates_Restatement!$C$11:$N$11)*1000</f>
        <v>30411172.87618145</v>
      </c>
      <c r="S108" s="117">
        <f>'Staging Table'!ED110*IF(Init!$R$15="Yes",IF(Init!$R$6=2024,Rates_current!$C$89,Rates_current!$D$89),Rates_current!$I$45)</f>
        <v>-13.886896406784654</v>
      </c>
      <c r="T108" s="117">
        <v>0</v>
      </c>
      <c r="U108" s="117">
        <f>IF('Staging Table'!D110=1, 'Staging Table'!BU110*-1,SUM(O108:T108)*'Staging Table'!BU110*-1)</f>
        <v>0</v>
      </c>
      <c r="V108" s="115">
        <f>'Staging Table'!BX110*Rates_current!$I$44*-1</f>
        <v>0</v>
      </c>
      <c r="W108" s="115">
        <f>IF('Staging Table'!C110=1,"",SUM(O108:V108))</f>
        <v>273467043.58335721</v>
      </c>
      <c r="X108" s="115">
        <f>IF('Staging Table'!C110=1,"",(RT1SC!$C$4*'Staging Table'!BR110*'Staging Table'!$BS$2)+SUM('Staging Table'!BY110:CV110)-IF(Init!$R$12="No",'Staging Table'!DU110, 0))</f>
        <v>6760945.2990970127</v>
      </c>
      <c r="Y108" s="69">
        <f>IF('Staging Table'!C110=1,"",IF(X108=0, 0, W108/X108))</f>
        <v>40.448048532485728</v>
      </c>
      <c r="Z108" s="64">
        <f ca="1">IF('Staging Table'!C110=1,"",(Y108/N108-1)+(RAND()/100000000000000))</f>
        <v>8.0183498536332082E-2</v>
      </c>
      <c r="AA108" s="45">
        <f t="shared" ca="1" si="7"/>
        <v>95</v>
      </c>
      <c r="AC108">
        <f t="shared" si="6"/>
        <v>1.0975397453098306</v>
      </c>
      <c r="AD108" s="119"/>
      <c r="AE108" s="119"/>
      <c r="AG108" s="119"/>
      <c r="AH108" s="119"/>
    </row>
    <row r="109" spans="2:34">
      <c r="B109" s="2">
        <v>10360</v>
      </c>
      <c r="C109" s="3" t="s">
        <v>113</v>
      </c>
      <c r="D109" s="115">
        <f>IF(Init!$R$9="Yes",'Staging Table'!E111,'Staging Table'!BR111)*Rates_previous!$E$76*100*12</f>
        <v>2439817.81488</v>
      </c>
      <c r="E109" s="115">
        <f>IF(Init!$R$9="Yes",'Staging Table'!F111,'Staging Table'!BS111)*Rates_previous!$E$77*100*12</f>
        <v>-498110.69544000004</v>
      </c>
      <c r="F109" s="116">
        <f>IF(Init!$R$9="Yes",SUMPRODUCT('Staging Table'!L111:AI111,LS_Demand_Rates_Restatement!$C$4:$Z$4)-IF(Init!$R$12="No",('Staging Table'!BH111*Rates_previous!$H$34), 0),SUMPRODUCT('Staging Table'!BY111:CV111,LS_Demand_Rates_Restatement!$C$4:$Z$4)-IF(Init!$R$12="No", 'Staging Table'!DU111*Rates_previous!$H$34, 0))</f>
        <v>-51560.474401959713</v>
      </c>
      <c r="G109" s="116">
        <f>IF(Init!$R$9="Yes",SUMPRODUCT('Staging Table'!AJ111:AU111,LS_Demand_Rates_Restatement!$C$10:$N$10),SUMPRODUCT(LS_Demand_Rates_Restatement!$C$10:$N$10,'Staging Table'!CW111:DH111))*1000</f>
        <v>147342.37697486646</v>
      </c>
      <c r="H109" s="117">
        <f>IF(Init!$R$9="Yes",'Staging Table'!BQ111,'Staging Table'!ED111)*IF(Init!$R$3=2022,Rates_previous!$C$88,Rates_previous!$D$88)</f>
        <v>0</v>
      </c>
      <c r="I109" s="115">
        <v>0</v>
      </c>
      <c r="J109" s="117">
        <f>IF(Init!$R$9="Yes",IF('Staging Table'!D111=1,'Staging Table'!H111*-1,'Staging Table'!H111*SUM(D109:I109)*(-1)),IF('Staging Table'!D111=1,'Staging Table'!BU111*-1,'Staging Table'!BU111*SUM(D109:I109)*(-1)))</f>
        <v>-103857.72755444505</v>
      </c>
      <c r="K109" s="115">
        <f>IF(Init!$R$9="Yes",'Staging Table'!K111,'Staging Table'!BX111)*(-1)*Rates_previous!$H$32</f>
        <v>-231508.0638</v>
      </c>
      <c r="L109" s="115">
        <f>IF('Staging Table'!C111=1,"",SUM(D109:K109))</f>
        <v>1702123.2306584618</v>
      </c>
      <c r="M109" s="115">
        <f>IF('Staging Table'!C111=1,"",IF(Init!$R$9="Yes",(RT1SC!$C$3*'Staging Table'!E111*'Staging Table'!$F$2)+SUM('Staging Table'!L111:AI111)-IF(Init!$R$12="No",'Staging Table'!BH111, 0),X109))</f>
        <v>59423.759999999995</v>
      </c>
      <c r="N109" s="69">
        <f>IF('Staging Table'!C111=1,"",IF(M109=0, 0, L109/M109))</f>
        <v>28.643815717121601</v>
      </c>
      <c r="O109" s="115">
        <f>'Staging Table'!BR111*Rates_current!$F$77*100*12</f>
        <v>2478471.1379999993</v>
      </c>
      <c r="P109" s="115">
        <f>'Staging Table'!BS111*Rates_current!$F$78*100*12</f>
        <v>-396984.65399999998</v>
      </c>
      <c r="Q109" s="116">
        <f>SUMPRODUCT('Staging Table'!BY111:CV111, LS_Demand_Rates_Restatement!$C$5:$Z$5)-IF(Init!$R$12="No",('Staging Table'!DU111*Rates_current!$I$46), 0)</f>
        <v>8761.5703960316896</v>
      </c>
      <c r="R109" s="116">
        <f>SUMPRODUCT('Staging Table'!CW111:DH111, LS_Demand_Rates_Restatement!$C$11:$N$11)*1000</f>
        <v>161488.2999944177</v>
      </c>
      <c r="S109" s="117">
        <f>'Staging Table'!ED111*IF(Init!$R$15="Yes",IF(Init!$R$6=2024,Rates_current!$C$89,Rates_current!$D$89),Rates_current!$I$45)</f>
        <v>0</v>
      </c>
      <c r="T109" s="117">
        <v>0</v>
      </c>
      <c r="U109" s="117">
        <f>IF('Staging Table'!D111=1, 'Staging Table'!BU111*-1,SUM(O109:T109)*'Staging Table'!BU111*-1)</f>
        <v>-110278.4901075481</v>
      </c>
      <c r="V109" s="115">
        <f>'Staging Table'!BX111*Rates_current!$I$44*-1</f>
        <v>-239311.70640000002</v>
      </c>
      <c r="W109" s="115">
        <f>IF('Staging Table'!C111=1,"",SUM(O109:V109))</f>
        <v>1902146.1578829009</v>
      </c>
      <c r="X109" s="115">
        <f>IF('Staging Table'!C111=1,"",(RT1SC!$C$4*'Staging Table'!BR111*'Staging Table'!$BS$2)+SUM('Staging Table'!BY111:CV111)-IF(Init!$R$12="No",'Staging Table'!DU111, 0))</f>
        <v>59603.040000000001</v>
      </c>
      <c r="Y109" s="69">
        <f>IF('Staging Table'!C111=1,"",IF(X109=0, 0, W109/X109))</f>
        <v>31.913576184753342</v>
      </c>
      <c r="Z109" s="64">
        <f ca="1">IF('Staging Table'!C111=1,"",(Y109/N109-1)+(RAND()/100000000000000))</f>
        <v>0.11415240552875666</v>
      </c>
      <c r="AA109" s="45">
        <f t="shared" ca="1" si="7"/>
        <v>18</v>
      </c>
      <c r="AC109">
        <f t="shared" si="6"/>
        <v>1.0960071590399565</v>
      </c>
      <c r="AD109" s="119"/>
      <c r="AE109" s="119"/>
      <c r="AG109" s="119"/>
      <c r="AH109" s="119"/>
    </row>
    <row r="110" spans="2:34">
      <c r="B110" s="2">
        <v>10363</v>
      </c>
      <c r="C110" s="3" t="s">
        <v>114</v>
      </c>
      <c r="D110" s="115">
        <f>IF(Init!$R$9="Yes",'Staging Table'!E112,'Staging Table'!BR112)*Rates_previous!$E$76*100*12</f>
        <v>32836649.525279999</v>
      </c>
      <c r="E110" s="115">
        <f>IF(Init!$R$9="Yes",'Staging Table'!F112,'Staging Table'!BS112)*Rates_previous!$E$77*100*12</f>
        <v>-6703896.5906399991</v>
      </c>
      <c r="F110" s="116">
        <f>IF(Init!$R$9="Yes",SUMPRODUCT('Staging Table'!L112:AI112,LS_Demand_Rates_Restatement!$C$4:$Z$4)-IF(Init!$R$12="No",('Staging Table'!BH112*Rates_previous!$H$34), 0),SUMPRODUCT('Staging Table'!BY112:CV112,LS_Demand_Rates_Restatement!$C$4:$Z$4)-IF(Init!$R$12="No", 'Staging Table'!DU112*Rates_previous!$H$34, 0))</f>
        <v>-290792.13741637359</v>
      </c>
      <c r="G110" s="116">
        <f>IF(Init!$R$9="Yes",SUMPRODUCT('Staging Table'!AJ112:AU112,LS_Demand_Rates_Restatement!$C$10:$N$10),SUMPRODUCT(LS_Demand_Rates_Restatement!$C$10:$N$10,'Staging Table'!CW112:DH112))*1000</f>
        <v>1514631.1567218483</v>
      </c>
      <c r="H110" s="117">
        <f>IF(Init!$R$9="Yes",'Staging Table'!BQ112,'Staging Table'!ED112)*IF(Init!$R$3=2022,Rates_previous!$C$88,Rates_previous!$D$88)</f>
        <v>0</v>
      </c>
      <c r="I110" s="115">
        <v>0</v>
      </c>
      <c r="J110" s="117">
        <f>IF(Init!$R$9="Yes",IF('Staging Table'!D112=1,'Staging Table'!H112*-1,'Staging Table'!H112*SUM(D110:I110)*(-1)),IF('Staging Table'!D112=1,'Staging Table'!BU112*-1,'Staging Table'!BU112*SUM(D110:I110)*(-1)))</f>
        <v>0</v>
      </c>
      <c r="K110" s="115">
        <f>IF(Init!$R$9="Yes",'Staging Table'!K112,'Staging Table'!BX112)*(-1)*Rates_previous!$H$32</f>
        <v>0</v>
      </c>
      <c r="L110" s="115">
        <f>IF('Staging Table'!C112=1,"",SUM(D110:K110))</f>
        <v>27356591.953945473</v>
      </c>
      <c r="M110" s="115">
        <f>IF('Staging Table'!C112=1,"",IF(Init!$R$9="Yes",(RT1SC!$C$3*'Staging Table'!E112*'Staging Table'!$F$2)+SUM('Staging Table'!L112:AI112)-IF(Init!$R$12="No",'Staging Table'!BH112, 0),X110))</f>
        <v>787083.68674879021</v>
      </c>
      <c r="N110" s="69">
        <f>IF('Staging Table'!C112=1,"",IF(M110=0, 0, L110/M110))</f>
        <v>34.756903763242072</v>
      </c>
      <c r="O110" s="115">
        <f>'Staging Table'!BR112*Rates_current!$F$77*100*12</f>
        <v>32730063.108599998</v>
      </c>
      <c r="P110" s="115">
        <f>'Staging Table'!BS112*Rates_current!$F$78*100*12</f>
        <v>-5242478.9537999993</v>
      </c>
      <c r="Q110" s="116">
        <f>SUMPRODUCT('Staging Table'!BY112:CV112, LS_Demand_Rates_Restatement!$C$5:$Z$5)-IF(Init!$R$12="No",('Staging Table'!DU112*Rates_current!$I$46), 0)</f>
        <v>903098.3380832331</v>
      </c>
      <c r="R110" s="116">
        <f>SUMPRODUCT('Staging Table'!CW112:DH112, LS_Demand_Rates_Restatement!$C$11:$N$11)*1000</f>
        <v>1624120.9007737183</v>
      </c>
      <c r="S110" s="117">
        <f>'Staging Table'!ED112*IF(Init!$R$15="Yes",IF(Init!$R$6=2024,Rates_current!$C$89,Rates_current!$D$89),Rates_current!$I$45)</f>
        <v>8.8096897410741075</v>
      </c>
      <c r="T110" s="117">
        <v>0</v>
      </c>
      <c r="U110" s="117">
        <f>IF('Staging Table'!D112=1, 'Staging Table'!BU112*-1,SUM(O110:T110)*'Staging Table'!BU112*-1)</f>
        <v>0</v>
      </c>
      <c r="V110" s="115">
        <f>'Staging Table'!BX112*Rates_current!$I$44*-1</f>
        <v>0</v>
      </c>
      <c r="W110" s="115">
        <f>IF('Staging Table'!C112=1,"",SUM(O110:V110))</f>
        <v>30014812.203346692</v>
      </c>
      <c r="X110" s="115">
        <f>IF('Staging Table'!C112=1,"",(RT1SC!$C$4*'Staging Table'!BR112*'Staging Table'!$BS$2)+SUM('Staging Table'!BY112:CV112)-IF(Init!$R$12="No",'Staging Table'!DU112, 0))</f>
        <v>787083.72946140694</v>
      </c>
      <c r="Y110" s="69">
        <f>IF('Staging Table'!C112=1,"",IF(X110=0, 0, W110/X110))</f>
        <v>38.134204888068908</v>
      </c>
      <c r="Z110" s="64">
        <f ca="1">IF('Staging Table'!C112=1,"",(Y110/N110-1)+(RAND()/100000000000000))</f>
        <v>9.7169217023262922E-2</v>
      </c>
      <c r="AA110" s="45">
        <f t="shared" ca="1" si="7"/>
        <v>49</v>
      </c>
      <c r="AC110">
        <f t="shared" si="6"/>
        <v>1.0722880574362679</v>
      </c>
      <c r="AD110" s="119"/>
      <c r="AE110" s="119"/>
      <c r="AG110" s="119"/>
      <c r="AH110" s="119"/>
    </row>
    <row r="111" spans="2:34">
      <c r="B111" s="2">
        <v>10369</v>
      </c>
      <c r="C111" s="3" t="s">
        <v>115</v>
      </c>
      <c r="D111" s="115">
        <f>IF(Init!$R$9="Yes",'Staging Table'!E113,'Staging Table'!BR113)*Rates_previous!$E$76*100*12</f>
        <v>5926161.527280001</v>
      </c>
      <c r="E111" s="115">
        <f>IF(Init!$R$9="Yes",'Staging Table'!F113,'Staging Table'!BS113)*Rates_previous!$E$77*100*12</f>
        <v>-1209879.0416400002</v>
      </c>
      <c r="F111" s="116">
        <f>IF(Init!$R$9="Yes",SUMPRODUCT('Staging Table'!L113:AI113,LS_Demand_Rates_Restatement!$C$4:$Z$4)-IF(Init!$R$12="No",('Staging Table'!BH113*Rates_previous!$H$34), 0),SUMPRODUCT('Staging Table'!BY113:CV113,LS_Demand_Rates_Restatement!$C$4:$Z$4)-IF(Init!$R$12="No", 'Staging Table'!DU113*Rates_previous!$H$34, 0))</f>
        <v>46695.057646112538</v>
      </c>
      <c r="G111" s="116">
        <f>IF(Init!$R$9="Yes",SUMPRODUCT('Staging Table'!AJ113:AU113,LS_Demand_Rates_Restatement!$C$10:$N$10),SUMPRODUCT(LS_Demand_Rates_Restatement!$C$10:$N$10,'Staging Table'!CW113:DH113))*1000</f>
        <v>312042.35473151709</v>
      </c>
      <c r="H111" s="117">
        <f>IF(Init!$R$9="Yes",'Staging Table'!BQ113,'Staging Table'!ED113)*IF(Init!$R$3=2022,Rates_previous!$C$88,Rates_previous!$D$88)</f>
        <v>0</v>
      </c>
      <c r="I111" s="115">
        <v>0</v>
      </c>
      <c r="J111" s="117">
        <f>IF(Init!$R$9="Yes",IF('Staging Table'!D113=1,'Staging Table'!H113*-1,'Staging Table'!H113*SUM(D111:I111)*(-1)),IF('Staging Table'!D113=1,'Staging Table'!BU113*-1,'Staging Table'!BU113*SUM(D111:I111)*(-1)))</f>
        <v>-397301.29300212389</v>
      </c>
      <c r="K111" s="115">
        <f>IF(Init!$R$9="Yes",'Staging Table'!K113,'Staging Table'!BX113)*(-1)*Rates_previous!$H$32</f>
        <v>-534660.1245700001</v>
      </c>
      <c r="L111" s="115">
        <f>IF('Staging Table'!C113=1,"",SUM(D111:K111))</f>
        <v>4143058.4804455061</v>
      </c>
      <c r="M111" s="115">
        <f>IF('Staging Table'!C113=1,"",IF(Init!$R$9="Yes",(RT1SC!$C$3*'Staging Table'!E113*'Staging Table'!$F$2)+SUM('Staging Table'!L113:AI113)-IF(Init!$R$12="No",'Staging Table'!BH113, 0),X111))</f>
        <v>144338.68799999999</v>
      </c>
      <c r="N111" s="69">
        <f>IF('Staging Table'!C113=1,"",IF(M111=0, 0, L111/M111))</f>
        <v>28.703728278626908</v>
      </c>
      <c r="O111" s="115">
        <f>'Staging Table'!BR113*Rates_current!$F$77*100*12</f>
        <v>6020328.1163999997</v>
      </c>
      <c r="P111" s="115">
        <f>'Staging Table'!BS113*Rates_current!$F$78*100*12</f>
        <v>-964295.22120000003</v>
      </c>
      <c r="Q111" s="116">
        <f>SUMPRODUCT('Staging Table'!BY113:CV113, LS_Demand_Rates_Restatement!$C$5:$Z$5)-IF(Init!$R$12="No",('Staging Table'!DU113*Rates_current!$I$46), 0)</f>
        <v>177970.02544985991</v>
      </c>
      <c r="R111" s="116">
        <f>SUMPRODUCT('Staging Table'!CW113:DH113, LS_Demand_Rates_Restatement!$C$11:$N$11)*1000</f>
        <v>342520.00152397616</v>
      </c>
      <c r="S111" s="117">
        <f>'Staging Table'!ED113*IF(Init!$R$15="Yes",IF(Init!$R$6=2024,Rates_current!$C$89,Rates_current!$D$89),Rates_current!$I$45)</f>
        <v>0</v>
      </c>
      <c r="T111" s="117">
        <v>0</v>
      </c>
      <c r="U111" s="117">
        <f>IF('Staging Table'!D113=1, 'Staging Table'!BU113*-1,SUM(O111:T111)*'Staging Table'!BU113*-1)</f>
        <v>-439437.56445169088</v>
      </c>
      <c r="V111" s="115">
        <f>'Staging Table'!BX113*Rates_current!$I$44*-1</f>
        <v>-552682.37596000009</v>
      </c>
      <c r="W111" s="115">
        <f>IF('Staging Table'!C113=1,"",SUM(O111:V111))</f>
        <v>4584402.9817621447</v>
      </c>
      <c r="X111" s="115">
        <f>IF('Staging Table'!C113=1,"",(RT1SC!$C$4*'Staging Table'!BR113*'Staging Table'!$BS$2)+SUM('Staging Table'!BY113:CV113)-IF(Init!$R$12="No",'Staging Table'!DU113, 0))</f>
        <v>144772.78354605482</v>
      </c>
      <c r="Y111" s="69">
        <f>IF('Staging Table'!C113=1,"",IF(X111=0, 0, W111/X111))</f>
        <v>31.66619353080107</v>
      </c>
      <c r="Z111" s="64">
        <f ca="1">IF('Staging Table'!C113=1,"",(Y111/N111-1)+(RAND()/100000000000000))</f>
        <v>0.10320837848720082</v>
      </c>
      <c r="AA111" s="45">
        <f t="shared" ca="1" si="7"/>
        <v>27</v>
      </c>
      <c r="AC111">
        <f t="shared" si="6"/>
        <v>1.0976715062244746</v>
      </c>
      <c r="AD111" s="119"/>
      <c r="AE111" s="119"/>
      <c r="AG111" s="119"/>
      <c r="AH111" s="119"/>
    </row>
    <row r="112" spans="2:34">
      <c r="B112" s="2">
        <v>10370</v>
      </c>
      <c r="C112" s="3" t="s">
        <v>116</v>
      </c>
      <c r="D112" s="115">
        <f>IF(Init!$R$9="Yes",'Staging Table'!E114,'Staging Table'!BR114)*Rates_previous!$E$76*100*12</f>
        <v>120507917.95944002</v>
      </c>
      <c r="E112" s="115">
        <f>IF(Init!$R$9="Yes",'Staging Table'!F114,'Staging Table'!BS114)*Rates_previous!$E$77*100*12</f>
        <v>-9549495.0713999979</v>
      </c>
      <c r="F112" s="116">
        <f>IF(Init!$R$9="Yes",SUMPRODUCT('Staging Table'!L114:AI114,LS_Demand_Rates_Restatement!$C$4:$Z$4)-IF(Init!$R$12="No",('Staging Table'!BH114*Rates_previous!$H$34), 0),SUMPRODUCT('Staging Table'!BY114:CV114,LS_Demand_Rates_Restatement!$C$4:$Z$4)-IF(Init!$R$12="No", 'Staging Table'!DU114*Rates_previous!$H$34, 0))</f>
        <v>-2428969.4468799187</v>
      </c>
      <c r="G112" s="116">
        <f>IF(Init!$R$9="Yes",SUMPRODUCT('Staging Table'!AJ114:AU114,LS_Demand_Rates_Restatement!$C$10:$N$10),SUMPRODUCT(LS_Demand_Rates_Restatement!$C$10:$N$10,'Staging Table'!CW114:DH114))*1000</f>
        <v>0</v>
      </c>
      <c r="H112" s="117">
        <f>IF(Init!$R$9="Yes",'Staging Table'!BQ114,'Staging Table'!ED114)*IF(Init!$R$3=2022,Rates_previous!$C$88,Rates_previous!$D$88)</f>
        <v>0</v>
      </c>
      <c r="I112" s="115">
        <v>0</v>
      </c>
      <c r="J112" s="117">
        <f>IF(Init!$R$9="Yes",IF('Staging Table'!D114=1,'Staging Table'!H114*-1,'Staging Table'!H114*SUM(D112:I112)*(-1)),IF('Staging Table'!D114=1,'Staging Table'!BU114*-1,'Staging Table'!BU114*SUM(D112:I112)*(-1)))</f>
        <v>0</v>
      </c>
      <c r="K112" s="115">
        <f>IF(Init!$R$9="Yes",'Staging Table'!K114,'Staging Table'!BX114)*(-1)*Rates_previous!$H$32</f>
        <v>0</v>
      </c>
      <c r="L112" s="115">
        <f>IF('Staging Table'!C114=1,"",SUM(D112:K112))</f>
        <v>108529453.4411601</v>
      </c>
      <c r="M112" s="115">
        <f>IF('Staging Table'!C114=1,"",IF(Init!$R$9="Yes",(RT1SC!$C$3*'Staging Table'!E114*'Staging Table'!$F$2)+SUM('Staging Table'!L114:AI114)-IF(Init!$R$12="No",'Staging Table'!BH114, 0),X112))</f>
        <v>2935819.1622247137</v>
      </c>
      <c r="N112" s="69">
        <f>IF('Staging Table'!C114=1,"",IF(M112=0, 0, L112/M112))</f>
        <v>36.967349637066313</v>
      </c>
      <c r="O112" s="115">
        <f>'Staging Table'!BR114*Rates_current!$F$77*100*12</f>
        <v>122055250.65239999</v>
      </c>
      <c r="P112" s="115">
        <f>'Staging Table'!BS114*Rates_current!$F$78*100*12</f>
        <v>-7278674.2229999993</v>
      </c>
      <c r="Q112" s="116">
        <f>SUMPRODUCT('Staging Table'!BY114:CV114, LS_Demand_Rates_Restatement!$C$5:$Z$5)-IF(Init!$R$12="No",('Staging Table'!DU114*Rates_current!$I$46), 0)</f>
        <v>988572.23585044709</v>
      </c>
      <c r="R112" s="116">
        <f>SUMPRODUCT('Staging Table'!CW114:DH114, LS_Demand_Rates_Restatement!$C$11:$N$11)*1000</f>
        <v>0</v>
      </c>
      <c r="S112" s="117">
        <f>'Staging Table'!ED114*IF(Init!$R$15="Yes",IF(Init!$R$6=2024,Rates_current!$C$89,Rates_current!$D$89),Rates_current!$I$45)</f>
        <v>0</v>
      </c>
      <c r="T112" s="117">
        <v>0</v>
      </c>
      <c r="U112" s="117">
        <f>IF('Staging Table'!D114=1, 'Staging Table'!BU114*-1,SUM(O112:T112)*'Staging Table'!BU114*-1)</f>
        <v>0</v>
      </c>
      <c r="V112" s="115">
        <f>'Staging Table'!BX114*Rates_current!$I$44*-1</f>
        <v>0</v>
      </c>
      <c r="W112" s="115">
        <f>IF('Staging Table'!C114=1,"",SUM(O112:V112))</f>
        <v>115765148.66525044</v>
      </c>
      <c r="X112" s="115">
        <f>IF('Staging Table'!C114=1,"",(RT1SC!$C$4*'Staging Table'!BR114*'Staging Table'!$BS$2)+SUM('Staging Table'!BY114:CV114)-IF(Init!$R$12="No",'Staging Table'!DU114, 0))</f>
        <v>2940418.7150014737</v>
      </c>
      <c r="Y112" s="69">
        <f>IF('Staging Table'!C114=1,"",IF(X112=0, 0, W112/X112))</f>
        <v>39.370293786608691</v>
      </c>
      <c r="Z112" s="64">
        <f ca="1">IF('Staging Table'!C114=1,"",(Y112/N112-1)+(RAND()/100000000000000))</f>
        <v>6.5001796805396167E-2</v>
      </c>
      <c r="AA112" s="45">
        <f t="shared" ca="1" si="7"/>
        <v>114</v>
      </c>
      <c r="AC112" t="str">
        <f t="shared" si="6"/>
        <v/>
      </c>
      <c r="AD112" s="119"/>
      <c r="AE112" s="119"/>
      <c r="AG112" s="119"/>
      <c r="AH112" s="119"/>
    </row>
    <row r="113" spans="2:34">
      <c r="B113" s="2">
        <v>10371</v>
      </c>
      <c r="C113" s="3" t="s">
        <v>117</v>
      </c>
      <c r="D113" s="115">
        <f>IF(Init!$R$9="Yes",'Staging Table'!E115,'Staging Table'!BR115)*Rates_previous!$E$76*100*12</f>
        <v>3978592.0279199998</v>
      </c>
      <c r="E113" s="115">
        <f>IF(Init!$R$9="Yes",'Staging Table'!F115,'Staging Table'!BS115)*Rates_previous!$E$77*100*12</f>
        <v>-812265.25595999998</v>
      </c>
      <c r="F113" s="116">
        <f>IF(Init!$R$9="Yes",SUMPRODUCT('Staging Table'!L115:AI115,LS_Demand_Rates_Restatement!$C$4:$Z$4)-IF(Init!$R$12="No",('Staging Table'!BH115*Rates_previous!$H$34), 0),SUMPRODUCT('Staging Table'!BY115:CV115,LS_Demand_Rates_Restatement!$C$4:$Z$4)-IF(Init!$R$12="No", 'Staging Table'!DU115*Rates_previous!$H$34, 0))</f>
        <v>27807.080711607821</v>
      </c>
      <c r="G113" s="116">
        <f>IF(Init!$R$9="Yes",SUMPRODUCT('Staging Table'!AJ115:AU115,LS_Demand_Rates_Restatement!$C$10:$N$10),SUMPRODUCT(LS_Demand_Rates_Restatement!$C$10:$N$10,'Staging Table'!CW115:DH115))*1000</f>
        <v>190464.61204799684</v>
      </c>
      <c r="H113" s="117">
        <f>IF(Init!$R$9="Yes",'Staging Table'!BQ115,'Staging Table'!ED115)*IF(Init!$R$3=2022,Rates_previous!$C$88,Rates_previous!$D$88)</f>
        <v>0</v>
      </c>
      <c r="I113" s="115">
        <v>0</v>
      </c>
      <c r="J113" s="117">
        <f>IF(Init!$R$9="Yes",IF('Staging Table'!D115=1,'Staging Table'!H115*-1,'Staging Table'!H115*SUM(D113:I113)*(-1)),IF('Staging Table'!D115=1,'Staging Table'!BU115*-1,'Staging Table'!BU115*SUM(D113:I113)*(-1)))</f>
        <v>0</v>
      </c>
      <c r="K113" s="115">
        <f>IF(Init!$R$9="Yes",'Staging Table'!K115,'Staging Table'!BX115)*(-1)*Rates_previous!$H$32</f>
        <v>0</v>
      </c>
      <c r="L113" s="115">
        <f>IF('Staging Table'!C115=1,"",SUM(D113:K113))</f>
        <v>3384598.4647196042</v>
      </c>
      <c r="M113" s="115">
        <f>IF('Staging Table'!C115=1,"",IF(Init!$R$9="Yes",(RT1SC!$C$3*'Staging Table'!E115*'Staging Table'!$F$2)+SUM('Staging Table'!L115:AI115)-IF(Init!$R$12="No",'Staging Table'!BH115, 0),X113))</f>
        <v>96905.088000000003</v>
      </c>
      <c r="N113" s="69">
        <f>IF('Staging Table'!C115=1,"",IF(M113=0, 0, L113/M113))</f>
        <v>34.926942790863613</v>
      </c>
      <c r="O113" s="115">
        <f>'Staging Table'!BR115*Rates_current!$F$77*100*12</f>
        <v>4041953.9238</v>
      </c>
      <c r="P113" s="115">
        <f>'Staging Table'!BS115*Rates_current!$F$78*100*12</f>
        <v>-647412.69539999997</v>
      </c>
      <c r="Q113" s="116">
        <f>SUMPRODUCT('Staging Table'!BY115:CV115, LS_Demand_Rates_Restatement!$C$5:$Z$5)-IF(Init!$R$12="No",('Staging Table'!DU115*Rates_current!$I$46), 0)</f>
        <v>110543.43735167083</v>
      </c>
      <c r="R113" s="116">
        <f>SUMPRODUCT('Staging Table'!CW115:DH115, LS_Demand_Rates_Restatement!$C$11:$N$11)*1000</f>
        <v>205163.24665592948</v>
      </c>
      <c r="S113" s="117">
        <f>'Staging Table'!ED115*IF(Init!$R$15="Yes",IF(Init!$R$6=2024,Rates_current!$C$89,Rates_current!$D$89),Rates_current!$I$45)</f>
        <v>0</v>
      </c>
      <c r="T113" s="117">
        <v>0</v>
      </c>
      <c r="U113" s="117">
        <f>IF('Staging Table'!D115=1, 'Staging Table'!BU115*-1,SUM(O113:T113)*'Staging Table'!BU115*-1)</f>
        <v>0</v>
      </c>
      <c r="V113" s="115">
        <f>'Staging Table'!BX115*Rates_current!$I$44*-1</f>
        <v>0</v>
      </c>
      <c r="W113" s="115">
        <f>IF('Staging Table'!C115=1,"",SUM(O113:V113))</f>
        <v>3710247.9124076003</v>
      </c>
      <c r="X113" s="115">
        <f>IF('Staging Table'!C115=1,"",(RT1SC!$C$4*'Staging Table'!BR115*'Staging Table'!$BS$2)+SUM('Staging Table'!BY115:CV115)-IF(Init!$R$12="No",'Staging Table'!DU115, 0))</f>
        <v>97197.540737687261</v>
      </c>
      <c r="Y113" s="69">
        <f>IF('Staging Table'!C115=1,"",IF(X113=0, 0, W113/X113))</f>
        <v>38.172240616875946</v>
      </c>
      <c r="Z113" s="64">
        <f ca="1">IF('Staging Table'!C115=1,"",(Y113/N113-1)+(RAND()/100000000000000))</f>
        <v>9.2916744687472241E-2</v>
      </c>
      <c r="AA113" s="45">
        <f t="shared" ca="1" si="7"/>
        <v>68</v>
      </c>
      <c r="AC113">
        <f t="shared" si="6"/>
        <v>1.0771725227583411</v>
      </c>
      <c r="AD113" s="119"/>
      <c r="AE113" s="119"/>
      <c r="AG113" s="119"/>
      <c r="AH113" s="119"/>
    </row>
    <row r="114" spans="2:34">
      <c r="B114" s="2">
        <v>10376</v>
      </c>
      <c r="C114" s="3" t="s">
        <v>118</v>
      </c>
      <c r="D114" s="115">
        <f>IF(Init!$R$9="Yes",'Staging Table'!E116,'Staging Table'!BR116)*Rates_previous!$E$76*100*12</f>
        <v>20206594.061280001</v>
      </c>
      <c r="E114" s="115">
        <f>IF(Init!$R$9="Yes",'Staging Table'!F116,'Staging Table'!BS116)*Rates_previous!$E$77*100*12</f>
        <v>-4125357.4586399999</v>
      </c>
      <c r="F114" s="116">
        <f>IF(Init!$R$9="Yes",SUMPRODUCT('Staging Table'!L116:AI116,LS_Demand_Rates_Restatement!$C$4:$Z$4)-IF(Init!$R$12="No",('Staging Table'!BH116*Rates_previous!$H$34), 0),SUMPRODUCT('Staging Table'!BY116:CV116,LS_Demand_Rates_Restatement!$C$4:$Z$4)-IF(Init!$R$12="No", 'Staging Table'!DU116*Rates_previous!$H$34, 0))</f>
        <v>-325438.80791235296</v>
      </c>
      <c r="G114" s="116">
        <f>IF(Init!$R$9="Yes",SUMPRODUCT('Staging Table'!AJ116:AU116,LS_Demand_Rates_Restatement!$C$10:$N$10),SUMPRODUCT(LS_Demand_Rates_Restatement!$C$10:$N$10,'Staging Table'!CW116:DH116))*1000</f>
        <v>922397.43725427357</v>
      </c>
      <c r="H114" s="117">
        <f>IF(Init!$R$9="Yes",'Staging Table'!BQ116,'Staging Table'!ED116)*IF(Init!$R$3=2022,Rates_previous!$C$88,Rates_previous!$D$88)</f>
        <v>0</v>
      </c>
      <c r="I114" s="115">
        <v>0</v>
      </c>
      <c r="J114" s="117">
        <f>IF(Init!$R$9="Yes",IF('Staging Table'!D116=1,'Staging Table'!H116*-1,'Staging Table'!H116*SUM(D114:I114)*(-1)),IF('Staging Table'!D116=1,'Staging Table'!BU116*-1,'Staging Table'!BU116*SUM(D114:I114)*(-1)))</f>
        <v>0</v>
      </c>
      <c r="K114" s="115">
        <f>IF(Init!$R$9="Yes",'Staging Table'!K116,'Staging Table'!BX116)*(-1)*Rates_previous!$H$32</f>
        <v>0</v>
      </c>
      <c r="L114" s="115">
        <f>IF('Staging Table'!C116=1,"",SUM(D114:K114))</f>
        <v>16678195.231981922</v>
      </c>
      <c r="M114" s="115">
        <f>IF('Staging Table'!C116=1,"",IF(Init!$R$9="Yes",(RT1SC!$C$3*'Staging Table'!E116*'Staging Table'!$F$2)+SUM('Staging Table'!L116:AI116)-IF(Init!$R$12="No",'Staging Table'!BH116, 0),X114))</f>
        <v>483977.61230688216</v>
      </c>
      <c r="N114" s="69">
        <f>IF('Staging Table'!C116=1,"",IF(M114=0, 0, L114/M114))</f>
        <v>34.460675055784513</v>
      </c>
      <c r="O114" s="115">
        <f>'Staging Table'!BR116*Rates_current!$F$77*100*12</f>
        <v>20125858.997400001</v>
      </c>
      <c r="P114" s="115">
        <f>'Staging Table'!BS116*Rates_current!$F$78*100*12</f>
        <v>-3223623.2442000001</v>
      </c>
      <c r="Q114" s="116">
        <f>SUMPRODUCT('Staging Table'!BY116:CV116, LS_Demand_Rates_Restatement!$C$5:$Z$5)-IF(Init!$R$12="No",('Staging Table'!DU116*Rates_current!$I$46), 0)</f>
        <v>495941.21268906863</v>
      </c>
      <c r="R114" s="116">
        <f>SUMPRODUCT('Staging Table'!CW116:DH116, LS_Demand_Rates_Restatement!$C$11:$N$11)*1000</f>
        <v>1043864.4023741098</v>
      </c>
      <c r="S114" s="117">
        <f>'Staging Table'!ED116*IF(Init!$R$15="Yes",IF(Init!$R$6=2024,Rates_current!$C$89,Rates_current!$D$89),Rates_current!$I$45)</f>
        <v>13.973551029220689</v>
      </c>
      <c r="T114" s="117">
        <v>0</v>
      </c>
      <c r="U114" s="117">
        <f>IF('Staging Table'!D116=1, 'Staging Table'!BU116*-1,SUM(O114:T114)*'Staging Table'!BU116*-1)</f>
        <v>0</v>
      </c>
      <c r="V114" s="115">
        <f>'Staging Table'!BX116*Rates_current!$I$44*-1</f>
        <v>0</v>
      </c>
      <c r="W114" s="115">
        <f>IF('Staging Table'!C116=1,"",SUM(O114:V114))</f>
        <v>18442055.341814209</v>
      </c>
      <c r="X114" s="115">
        <f>IF('Staging Table'!C116=1,"",(RT1SC!$C$4*'Staging Table'!BR116*'Staging Table'!$BS$2)+SUM('Staging Table'!BY116:CV116)-IF(Init!$R$12="No",'Staging Table'!DU116, 0))</f>
        <v>483977.63856932241</v>
      </c>
      <c r="Y114" s="69">
        <f>IF('Staging Table'!C116=1,"",IF(X114=0, 0, W114/X114))</f>
        <v>38.10518063671379</v>
      </c>
      <c r="Z114" s="64">
        <f ca="1">IF('Staging Table'!C116=1,"",(Y114/N114-1)+(RAND()/100000000000000))</f>
        <v>0.10575839199406002</v>
      </c>
      <c r="AA114" s="45">
        <f t="shared" ca="1" si="7"/>
        <v>22</v>
      </c>
      <c r="AC114">
        <f t="shared" si="6"/>
        <v>1.1316861476560585</v>
      </c>
      <c r="AD114" s="119"/>
      <c r="AE114" s="119"/>
      <c r="AG114" s="119"/>
      <c r="AH114" s="119"/>
    </row>
    <row r="115" spans="2:34">
      <c r="B115" s="2">
        <v>10378</v>
      </c>
      <c r="C115" s="3" t="s">
        <v>119</v>
      </c>
      <c r="D115" s="115">
        <f>IF(Init!$R$9="Yes",'Staging Table'!E117,'Staging Table'!BR117)*Rates_previous!$E$76*100*12</f>
        <v>728906.15951999999</v>
      </c>
      <c r="E115" s="115">
        <f>IF(Init!$R$9="Yes",'Staging Table'!F117,'Staging Table'!BS117)*Rates_previous!$E$77*100*12</f>
        <v>-148812.73176</v>
      </c>
      <c r="F115" s="116">
        <f>IF(Init!$R$9="Yes",SUMPRODUCT('Staging Table'!L117:AI117,LS_Demand_Rates_Restatement!$C$4:$Z$4)-IF(Init!$R$12="No",('Staging Table'!BH117*Rates_previous!$H$34), 0),SUMPRODUCT('Staging Table'!BY117:CV117,LS_Demand_Rates_Restatement!$C$4:$Z$4)-IF(Init!$R$12="No", 'Staging Table'!DU117*Rates_previous!$H$34, 0))</f>
        <v>20034.148944926794</v>
      </c>
      <c r="G115" s="116">
        <f>IF(Init!$R$9="Yes",SUMPRODUCT('Staging Table'!AJ117:AU117,LS_Demand_Rates_Restatement!$C$10:$N$10),SUMPRODUCT(LS_Demand_Rates_Restatement!$C$10:$N$10,'Staging Table'!CW117:DH117))*1000</f>
        <v>55518.361687499986</v>
      </c>
      <c r="H115" s="117">
        <f>IF(Init!$R$9="Yes",'Staging Table'!BQ117,'Staging Table'!ED117)*IF(Init!$R$3=2022,Rates_previous!$C$88,Rates_previous!$D$88)</f>
        <v>0</v>
      </c>
      <c r="I115" s="115">
        <v>0</v>
      </c>
      <c r="J115" s="117">
        <f>IF(Init!$R$9="Yes",IF('Staging Table'!D117=1,'Staging Table'!H117*-1,'Staging Table'!H117*SUM(D115:I115)*(-1)),IF('Staging Table'!D117=1,'Staging Table'!BU117*-1,'Staging Table'!BU117*SUM(D115:I115)*(-1)))</f>
        <v>0</v>
      </c>
      <c r="K115" s="115">
        <f>IF(Init!$R$9="Yes",'Staging Table'!K117,'Staging Table'!BX117)*(-1)*Rates_previous!$H$32</f>
        <v>0</v>
      </c>
      <c r="L115" s="115">
        <f>IF('Staging Table'!C117=1,"",SUM(D115:K115))</f>
        <v>655645.93839242682</v>
      </c>
      <c r="M115" s="115">
        <f>IF('Staging Table'!C117=1,"",IF(Init!$R$9="Yes",(RT1SC!$C$3*'Staging Table'!E117*'Staging Table'!$F$2)+SUM('Staging Table'!L117:AI117)-IF(Init!$R$12="No",'Staging Table'!BH117, 0),X115))</f>
        <v>17752.464</v>
      </c>
      <c r="N115" s="69">
        <f>IF('Staging Table'!C117=1,"",IF(M115=0, 0, L115/M115))</f>
        <v>36.932672466899625</v>
      </c>
      <c r="O115" s="115">
        <f>'Staging Table'!BR117*Rates_current!$F$77*100*12</f>
        <v>740692.52400000009</v>
      </c>
      <c r="P115" s="115">
        <f>'Staging Table'!BS117*Rates_current!$F$78*100*12</f>
        <v>-118639.092</v>
      </c>
      <c r="Q115" s="116">
        <f>SUMPRODUCT('Staging Table'!BY117:CV117, LS_Demand_Rates_Restatement!$C$5:$Z$5)-IF(Init!$R$12="No",('Staging Table'!DU117*Rates_current!$I$46), 0)</f>
        <v>33221.218743255726</v>
      </c>
      <c r="R115" s="116">
        <f>SUMPRODUCT('Staging Table'!CW117:DH117, LS_Demand_Rates_Restatement!$C$11:$N$11)*1000</f>
        <v>61081.409569524563</v>
      </c>
      <c r="S115" s="117">
        <f>'Staging Table'!ED117*IF(Init!$R$15="Yes",IF(Init!$R$6=2024,Rates_current!$C$89,Rates_current!$D$89),Rates_current!$I$45)</f>
        <v>0</v>
      </c>
      <c r="T115" s="117">
        <v>0</v>
      </c>
      <c r="U115" s="117">
        <f>IF('Staging Table'!D117=1, 'Staging Table'!BU117*-1,SUM(O115:T115)*'Staging Table'!BU117*-1)</f>
        <v>0</v>
      </c>
      <c r="V115" s="115">
        <f>'Staging Table'!BX117*Rates_current!$I$44*-1</f>
        <v>0</v>
      </c>
      <c r="W115" s="115">
        <f>IF('Staging Table'!C117=1,"",SUM(O115:V115))</f>
        <v>716356.06031278032</v>
      </c>
      <c r="X115" s="115">
        <f>IF('Staging Table'!C117=1,"",(RT1SC!$C$4*'Staging Table'!BR117*'Staging Table'!$BS$2)+SUM('Staging Table'!BY117:CV117)-IF(Init!$R$12="No",'Staging Table'!DU117, 0))</f>
        <v>17809.079999999998</v>
      </c>
      <c r="Y115" s="69">
        <f>IF('Staging Table'!C117=1,"",IF(X115=0, 0, W115/X115))</f>
        <v>40.224203626059314</v>
      </c>
      <c r="Z115" s="64">
        <f ca="1">IF('Staging Table'!C117=1,"",(Y115/N115-1)+(RAND()/100000000000000))</f>
        <v>8.9122474473241856E-2</v>
      </c>
      <c r="AA115" s="45">
        <f t="shared" ca="1" si="7"/>
        <v>78</v>
      </c>
      <c r="AC115">
        <f t="shared" si="6"/>
        <v>1.1002019460397208</v>
      </c>
      <c r="AD115" s="119"/>
      <c r="AE115" s="119"/>
      <c r="AG115" s="119"/>
      <c r="AH115" s="119"/>
    </row>
    <row r="116" spans="2:34">
      <c r="B116" s="2">
        <v>10379</v>
      </c>
      <c r="C116" s="3" t="s">
        <v>120</v>
      </c>
      <c r="D116" s="115">
        <f>IF(Init!$R$9="Yes",'Staging Table'!E118,'Staging Table'!BR118)*Rates_previous!$E$76*100*12</f>
        <v>1655359.3404000001</v>
      </c>
      <c r="E116" s="115">
        <f>IF(Init!$R$9="Yes",'Staging Table'!F118,'Staging Table'!BS118)*Rates_previous!$E$77*100*12</f>
        <v>-337956.46019999997</v>
      </c>
      <c r="F116" s="116">
        <f>IF(Init!$R$9="Yes",SUMPRODUCT('Staging Table'!L118:AI118,LS_Demand_Rates_Restatement!$C$4:$Z$4)-IF(Init!$R$12="No",('Staging Table'!BH118*Rates_previous!$H$34), 0),SUMPRODUCT('Staging Table'!BY118:CV118,LS_Demand_Rates_Restatement!$C$4:$Z$4)-IF(Init!$R$12="No", 'Staging Table'!DU118*Rates_previous!$H$34, 0))</f>
        <v>7691.1988266592043</v>
      </c>
      <c r="G116" s="116">
        <f>IF(Init!$R$9="Yes",SUMPRODUCT('Staging Table'!AJ118:AU118,LS_Demand_Rates_Restatement!$C$10:$N$10),SUMPRODUCT(LS_Demand_Rates_Restatement!$C$10:$N$10,'Staging Table'!CW118:DH118))*1000</f>
        <v>114111.4855576656</v>
      </c>
      <c r="H116" s="117">
        <f>IF(Init!$R$9="Yes",'Staging Table'!BQ118,'Staging Table'!ED118)*IF(Init!$R$3=2022,Rates_previous!$C$88,Rates_previous!$D$88)</f>
        <v>0</v>
      </c>
      <c r="I116" s="115">
        <v>0</v>
      </c>
      <c r="J116" s="117">
        <f>IF(Init!$R$9="Yes",IF('Staging Table'!D118=1,'Staging Table'!H118*-1,'Staging Table'!H118*SUM(D116:I116)*(-1)),IF('Staging Table'!D118=1,'Staging Table'!BU118*-1,'Staging Table'!BU118*SUM(D116:I116)*(-1)))</f>
        <v>0</v>
      </c>
      <c r="K116" s="115">
        <f>IF(Init!$R$9="Yes",'Staging Table'!K118,'Staging Table'!BX118)*(-1)*Rates_previous!$H$32</f>
        <v>0</v>
      </c>
      <c r="L116" s="115">
        <f>IF('Staging Table'!C118=1,"",SUM(D116:K116))</f>
        <v>1439205.5645843248</v>
      </c>
      <c r="M116" s="115">
        <f>IF('Staging Table'!C118=1,"",IF(Init!$R$9="Yes",(RT1SC!$C$3*'Staging Table'!E118*'Staging Table'!$F$2)+SUM('Staging Table'!L118:AI118)-IF(Init!$R$12="No",'Staging Table'!BH118, 0),X116))</f>
        <v>40333.771188983796</v>
      </c>
      <c r="N116" s="69">
        <f>IF('Staging Table'!C118=1,"",IF(M116=0, 0, L116/M116))</f>
        <v>35.682395227585594</v>
      </c>
      <c r="O116" s="115">
        <f>'Staging Table'!BR118*Rates_current!$F$77*100*12</f>
        <v>1677176.4983999999</v>
      </c>
      <c r="P116" s="115">
        <f>'Staging Table'!BS118*Rates_current!$F$78*100*12</f>
        <v>-268638.72720000002</v>
      </c>
      <c r="Q116" s="116">
        <f>SUMPRODUCT('Staging Table'!BY118:CV118, LS_Demand_Rates_Restatement!$C$5:$Z$5)-IF(Init!$R$12="No",('Staging Table'!DU118*Rates_current!$I$46), 0)</f>
        <v>50336.961930855832</v>
      </c>
      <c r="R116" s="116">
        <f>SUMPRODUCT('Staging Table'!CW118:DH118, LS_Demand_Rates_Restatement!$C$11:$N$11)*1000</f>
        <v>126047.0785573896</v>
      </c>
      <c r="S116" s="117">
        <f>'Staging Table'!ED118*IF(Init!$R$15="Yes",IF(Init!$R$6=2024,Rates_current!$C$89,Rates_current!$D$89),Rates_current!$I$45)</f>
        <v>-10.605517533121164</v>
      </c>
      <c r="T116" s="117">
        <v>0</v>
      </c>
      <c r="U116" s="117">
        <f>IF('Staging Table'!D118=1, 'Staging Table'!BU118*-1,SUM(O116:T116)*'Staging Table'!BU118*-1)</f>
        <v>0</v>
      </c>
      <c r="V116" s="115">
        <f>'Staging Table'!BX118*Rates_current!$I$44*-1</f>
        <v>0</v>
      </c>
      <c r="W116" s="115">
        <f>IF('Staging Table'!C118=1,"",SUM(O116:V116))</f>
        <v>1584911.2061707121</v>
      </c>
      <c r="X116" s="115">
        <f>IF('Staging Table'!C118=1,"",(RT1SC!$C$4*'Staging Table'!BR118*'Staging Table'!$BS$2)+SUM('Staging Table'!BY118:CV118)-IF(Init!$R$12="No",'Staging Table'!DU118, 0))</f>
        <v>40333.773380807506</v>
      </c>
      <c r="Y116" s="69">
        <f>IF('Staging Table'!C118=1,"",IF(X116=0, 0, W116/X116))</f>
        <v>39.294890443473335</v>
      </c>
      <c r="Z116" s="64">
        <f ca="1">IF('Staging Table'!C118=1,"",(Y116/N116-1)+(RAND()/100000000000000))</f>
        <v>0.10124026688362897</v>
      </c>
      <c r="AA116" s="45">
        <f t="shared" ca="1" si="7"/>
        <v>35</v>
      </c>
      <c r="AC116">
        <f t="shared" si="6"/>
        <v>1.1045958953333617</v>
      </c>
      <c r="AD116" s="119"/>
      <c r="AE116" s="119"/>
      <c r="AG116" s="119"/>
      <c r="AH116" s="119"/>
    </row>
    <row r="117" spans="2:34">
      <c r="B117" s="2">
        <v>10388</v>
      </c>
      <c r="C117" s="3" t="s">
        <v>121</v>
      </c>
      <c r="D117" s="115">
        <f>IF(Init!$R$9="Yes",'Staging Table'!E119,'Staging Table'!BR119)*Rates_previous!$E$76*100*12</f>
        <v>40833193.517279997</v>
      </c>
      <c r="E117" s="115">
        <f>IF(Init!$R$9="Yes",'Staging Table'!F119,'Staging Table'!BS119)*Rates_previous!$E$77*100*12</f>
        <v>-8336462.7866399996</v>
      </c>
      <c r="F117" s="116">
        <f>IF(Init!$R$9="Yes",SUMPRODUCT('Staging Table'!L119:AI119,LS_Demand_Rates_Restatement!$C$4:$Z$4)-IF(Init!$R$12="No",('Staging Table'!BH119*Rates_previous!$H$34), 0),SUMPRODUCT('Staging Table'!BY119:CV119,LS_Demand_Rates_Restatement!$C$4:$Z$4)-IF(Init!$R$12="No", 'Staging Table'!DU119*Rates_previous!$H$34, 0))</f>
        <v>499953.80906699598</v>
      </c>
      <c r="G117" s="116">
        <f>IF(Init!$R$9="Yes",SUMPRODUCT('Staging Table'!AJ119:AU119,LS_Demand_Rates_Restatement!$C$10:$N$10),SUMPRODUCT(LS_Demand_Rates_Restatement!$C$10:$N$10,'Staging Table'!CW119:DH119))*1000</f>
        <v>5448523.7569664894</v>
      </c>
      <c r="H117" s="117">
        <f>IF(Init!$R$9="Yes",'Staging Table'!BQ119,'Staging Table'!ED119)*IF(Init!$R$3=2022,Rates_previous!$C$88,Rates_previous!$D$88)</f>
        <v>0</v>
      </c>
      <c r="I117" s="115">
        <v>0</v>
      </c>
      <c r="J117" s="117">
        <f>IF(Init!$R$9="Yes",IF('Staging Table'!D119=1,'Staging Table'!H119*-1,'Staging Table'!H119*SUM(D117:I117)*(-1)),IF('Staging Table'!D119=1,'Staging Table'!BU119*-1,'Staging Table'!BU119*SUM(D117:I117)*(-1)))</f>
        <v>-3012853.688882858</v>
      </c>
      <c r="K117" s="115">
        <f>IF(Init!$R$9="Yes",'Staging Table'!K119,'Staging Table'!BX119)*(-1)*Rates_previous!$H$32</f>
        <v>-2646896.9803900002</v>
      </c>
      <c r="L117" s="115">
        <f>IF('Staging Table'!C119=1,"",SUM(D117:K117))</f>
        <v>32785457.627400625</v>
      </c>
      <c r="M117" s="115">
        <f>IF('Staging Table'!C119=1,"",IF(Init!$R$9="Yes",(RT1SC!$C$3*'Staging Table'!E119*'Staging Table'!$F$2)+SUM('Staging Table'!L119:AI119)-IF(Init!$R$12="No",'Staging Table'!BH119, 0),X117))</f>
        <v>994550.83199999994</v>
      </c>
      <c r="N117" s="69">
        <f>IF('Staging Table'!C119=1,"",IF(M117=0, 0, L117/M117))</f>
        <v>32.965089940622185</v>
      </c>
      <c r="O117" s="115">
        <f>'Staging Table'!BR119*Rates_current!$F$77*100*12</f>
        <v>41482148.128200002</v>
      </c>
      <c r="P117" s="115">
        <f>'Staging Table'!BS119*Rates_current!$F$78*100*12</f>
        <v>-6644328.4206000008</v>
      </c>
      <c r="Q117" s="116">
        <f>SUMPRODUCT('Staging Table'!BY119:CV119, LS_Demand_Rates_Restatement!$C$5:$Z$5)-IF(Init!$R$12="No",('Staging Table'!DU119*Rates_current!$I$46), 0)</f>
        <v>718659.40044087288</v>
      </c>
      <c r="R117" s="116">
        <f>SUMPRODUCT('Staging Table'!CW119:DH119, LS_Demand_Rates_Restatement!$C$11:$N$11)*1000</f>
        <v>5780407.5864863852</v>
      </c>
      <c r="S117" s="117">
        <f>'Staging Table'!ED119*IF(Init!$R$15="Yes",IF(Init!$R$6=2024,Rates_current!$C$89,Rates_current!$D$89),Rates_current!$I$45)</f>
        <v>0</v>
      </c>
      <c r="T117" s="117">
        <v>0</v>
      </c>
      <c r="U117" s="117">
        <f>IF('Staging Table'!D119=1, 'Staging Table'!BU119*-1,SUM(O117:T117)*'Staging Table'!BU119*-1)</f>
        <v>-3241306.1764396415</v>
      </c>
      <c r="V117" s="115">
        <f>'Staging Table'!BX119*Rates_current!$I$44*-1</f>
        <v>-2736118.2269200003</v>
      </c>
      <c r="W117" s="115">
        <f>IF('Staging Table'!C119=1,"",SUM(O117:V117))</f>
        <v>35359462.291167609</v>
      </c>
      <c r="X117" s="115">
        <f>IF('Staging Table'!C119=1,"",(RT1SC!$C$4*'Staging Table'!BR119*'Staging Table'!$BS$2)+SUM('Staging Table'!BY119:CV119)-IF(Init!$R$12="No",'Staging Table'!DU119, 0))</f>
        <v>997553.76</v>
      </c>
      <c r="Y117" s="69">
        <f>IF('Staging Table'!C119=1,"",IF(X117=0, 0, W117/X117))</f>
        <v>35.446172135291846</v>
      </c>
      <c r="Z117" s="64">
        <f ca="1">IF('Staging Table'!C119=1,"",(Y117/N117-1)+(RAND()/100000000000000))</f>
        <v>7.5263929178988928E-2</v>
      </c>
      <c r="AA117" s="45">
        <f t="shared" ca="1" si="7"/>
        <v>102</v>
      </c>
      <c r="AC117">
        <f t="shared" si="6"/>
        <v>1.060912614925382</v>
      </c>
      <c r="AD117" s="119"/>
      <c r="AE117" s="119"/>
      <c r="AG117" s="119"/>
      <c r="AH117" s="119"/>
    </row>
    <row r="118" spans="2:34">
      <c r="B118" s="2">
        <v>10391</v>
      </c>
      <c r="C118" s="3" t="s">
        <v>122</v>
      </c>
      <c r="D118" s="115">
        <f>IF(Init!$R$9="Yes",'Staging Table'!E120,'Staging Table'!BR120)*Rates_previous!$E$76*100*12</f>
        <v>10811028.540960001</v>
      </c>
      <c r="E118" s="115">
        <f>IF(Init!$R$9="Yes",'Staging Table'!F120,'Staging Table'!BS120)*Rates_previous!$E$77*100*12</f>
        <v>-2207168.4664799999</v>
      </c>
      <c r="F118" s="116">
        <f>IF(Init!$R$9="Yes",SUMPRODUCT('Staging Table'!L120:AI120,LS_Demand_Rates_Restatement!$C$4:$Z$4)-IF(Init!$R$12="No",('Staging Table'!BH120*Rates_previous!$H$34), 0),SUMPRODUCT('Staging Table'!BY120:CV120,LS_Demand_Rates_Restatement!$C$4:$Z$4)-IF(Init!$R$12="No", 'Staging Table'!DU120*Rates_previous!$H$34, 0))</f>
        <v>-99101.057681204751</v>
      </c>
      <c r="G118" s="116">
        <f>IF(Init!$R$9="Yes",SUMPRODUCT('Staging Table'!AJ120:AU120,LS_Demand_Rates_Restatement!$C$10:$N$10),SUMPRODUCT(LS_Demand_Rates_Restatement!$C$10:$N$10,'Staging Table'!CW120:DH120))*1000</f>
        <v>398049.40541426279</v>
      </c>
      <c r="H118" s="117">
        <f>IF(Init!$R$9="Yes",'Staging Table'!BQ120,'Staging Table'!ED120)*IF(Init!$R$3=2022,Rates_previous!$C$88,Rates_previous!$D$88)</f>
        <v>0</v>
      </c>
      <c r="I118" s="115">
        <v>0</v>
      </c>
      <c r="J118" s="117">
        <f>IF(Init!$R$9="Yes",IF('Staging Table'!D120=1,'Staging Table'!H120*-1,'Staging Table'!H120*SUM(D118:I118)*(-1)),IF('Staging Table'!D120=1,'Staging Table'!BU120*-1,'Staging Table'!BU120*SUM(D118:I118)*(-1)))</f>
        <v>-339047.40804506367</v>
      </c>
      <c r="K118" s="115">
        <f>IF(Init!$R$9="Yes",'Staging Table'!K120,'Staging Table'!BX120)*(-1)*Rates_previous!$H$32</f>
        <v>-512205.67021000001</v>
      </c>
      <c r="L118" s="115">
        <f>IF('Staging Table'!C120=1,"",SUM(D118:K118))</f>
        <v>8051555.343957996</v>
      </c>
      <c r="M118" s="115">
        <f>IF('Staging Table'!C120=1,"",IF(Init!$R$9="Yes",(RT1SC!$C$3*'Staging Table'!E120*'Staging Table'!$F$2)+SUM('Staging Table'!L120:AI120)-IF(Init!$R$12="No",'Staging Table'!BH120, 0),X118))</f>
        <v>263317.96799999999</v>
      </c>
      <c r="N118" s="69">
        <f>IF('Staging Table'!C120=1,"",IF(M118=0, 0, L118/M118))</f>
        <v>30.577310789357131</v>
      </c>
      <c r="O118" s="115">
        <f>'Staging Table'!BR120*Rates_current!$F$77*100*12</f>
        <v>10982968.0272</v>
      </c>
      <c r="P118" s="115">
        <f>'Staging Table'!BS120*Rates_current!$F$78*100*12</f>
        <v>-1759177.1376000002</v>
      </c>
      <c r="Q118" s="116">
        <f>SUMPRODUCT('Staging Table'!BY120:CV120, LS_Demand_Rates_Restatement!$C$5:$Z$5)-IF(Init!$R$12="No",('Staging Table'!DU120*Rates_current!$I$46), 0)</f>
        <v>131930.33598324095</v>
      </c>
      <c r="R118" s="116">
        <f>SUMPRODUCT('Staging Table'!CW120:DH120, LS_Demand_Rates_Restatement!$C$11:$N$11)*1000</f>
        <v>443999.10345233243</v>
      </c>
      <c r="S118" s="117">
        <f>'Staging Table'!ED120*IF(Init!$R$15="Yes",IF(Init!$R$6=2024,Rates_current!$C$89,Rates_current!$D$89),Rates_current!$I$45)</f>
        <v>0</v>
      </c>
      <c r="T118" s="117">
        <v>0</v>
      </c>
      <c r="U118" s="117">
        <f>IF('Staging Table'!D120=1, 'Staging Table'!BU120*-1,SUM(O118:T118)*'Staging Table'!BU120*-1)</f>
        <v>-422704.35449123598</v>
      </c>
      <c r="V118" s="115">
        <f>'Staging Table'!BX120*Rates_current!$I$44*-1</f>
        <v>-529471.02988000005</v>
      </c>
      <c r="W118" s="115">
        <f>IF('Staging Table'!C120=1,"",SUM(O118:V118))</f>
        <v>8847544.9446643367</v>
      </c>
      <c r="X118" s="115">
        <f>IF('Staging Table'!C120=1,"",(RT1SC!$C$4*'Staging Table'!BR120*'Staging Table'!$BS$2)+SUM('Staging Table'!BY120:CV120)-IF(Init!$R$12="No",'Staging Table'!DU120, 0))</f>
        <v>264114</v>
      </c>
      <c r="Y118" s="69">
        <f>IF('Staging Table'!C120=1,"",IF(X118=0, 0, W118/X118))</f>
        <v>33.49896235967929</v>
      </c>
      <c r="Z118" s="64">
        <f ca="1">IF('Staging Table'!C120=1,"",(Y118/N118-1)+(RAND()/100000000000000))</f>
        <v>9.5549657406084273E-2</v>
      </c>
      <c r="AA118" s="45">
        <f t="shared" ca="1" si="7"/>
        <v>60</v>
      </c>
      <c r="AC118">
        <f t="shared" si="6"/>
        <v>1.1154371729063339</v>
      </c>
      <c r="AD118" s="119"/>
      <c r="AE118" s="119"/>
      <c r="AG118" s="119"/>
      <c r="AH118" s="119"/>
    </row>
    <row r="119" spans="2:34">
      <c r="B119" s="2">
        <v>10406</v>
      </c>
      <c r="C119" s="3" t="s">
        <v>123</v>
      </c>
      <c r="D119" s="115">
        <f>IF(Init!$R$9="Yes",'Staging Table'!E121,'Staging Table'!BR121)*Rates_previous!$E$76*100*12</f>
        <v>165162.26376</v>
      </c>
      <c r="E119" s="115">
        <f>IF(Init!$R$9="Yes",'Staging Table'!F121,'Staging Table'!BS121)*Rates_previous!$E$77*100*12</f>
        <v>-33719.357880000003</v>
      </c>
      <c r="F119" s="116">
        <f>IF(Init!$R$9="Yes",SUMPRODUCT('Staging Table'!L121:AI121,LS_Demand_Rates_Restatement!$C$4:$Z$4)-IF(Init!$R$12="No",('Staging Table'!BH121*Rates_previous!$H$34), 0),SUMPRODUCT('Staging Table'!BY121:CV121,LS_Demand_Rates_Restatement!$C$4:$Z$4)-IF(Init!$R$12="No", 'Staging Table'!DU121*Rates_previous!$H$34, 0))</f>
        <v>1779.5332960261876</v>
      </c>
      <c r="G119" s="116">
        <f>IF(Init!$R$9="Yes",SUMPRODUCT('Staging Table'!AJ121:AU121,LS_Demand_Rates_Restatement!$C$10:$N$10),SUMPRODUCT(LS_Demand_Rates_Restatement!$C$10:$N$10,'Staging Table'!CW121:DH121))*1000</f>
        <v>6928.5590372863253</v>
      </c>
      <c r="H119" s="117">
        <f>IF(Init!$R$9="Yes",'Staging Table'!BQ121,'Staging Table'!ED121)*IF(Init!$R$3=2022,Rates_previous!$C$88,Rates_previous!$D$88)</f>
        <v>0</v>
      </c>
      <c r="I119" s="115">
        <v>0</v>
      </c>
      <c r="J119" s="117">
        <f>IF(Init!$R$9="Yes",IF('Staging Table'!D121=1,'Staging Table'!H121*-1,'Staging Table'!H121*SUM(D119:I119)*(-1)),IF('Staging Table'!D121=1,'Staging Table'!BU121*-1,'Staging Table'!BU121*SUM(D119:I119)*(-1)))</f>
        <v>0</v>
      </c>
      <c r="K119" s="115">
        <f>IF(Init!$R$9="Yes",'Staging Table'!K121,'Staging Table'!BX121)*(-1)*Rates_previous!$H$32</f>
        <v>0</v>
      </c>
      <c r="L119" s="115">
        <f>IF('Staging Table'!C121=1,"",SUM(D119:K119))</f>
        <v>140150.99821331253</v>
      </c>
      <c r="M119" s="115">
        <f>IF('Staging Table'!C121=1,"",IF(Init!$R$9="Yes",(RT1SC!$C$3*'Staging Table'!E121*'Staging Table'!$F$2)+SUM('Staging Table'!L121:AI121)-IF(Init!$R$12="No",'Staging Table'!BH121, 0),X119))</f>
        <v>4023.0720000000001</v>
      </c>
      <c r="N119" s="69">
        <f>IF('Staging Table'!C121=1,"",IF(M119=0, 0, L119/M119))</f>
        <v>34.836810828469517</v>
      </c>
      <c r="O119" s="115">
        <f>'Staging Table'!BR121*Rates_current!$F$77*100*12</f>
        <v>167821.24319999997</v>
      </c>
      <c r="P119" s="115">
        <f>'Staging Table'!BS121*Rates_current!$F$78*100*12</f>
        <v>-26880.465599999996</v>
      </c>
      <c r="Q119" s="116">
        <f>SUMPRODUCT('Staging Table'!BY121:CV121, LS_Demand_Rates_Restatement!$C$5:$Z$5)-IF(Init!$R$12="No",('Staging Table'!DU121*Rates_current!$I$46), 0)</f>
        <v>6413.1459825546917</v>
      </c>
      <c r="R119" s="116">
        <f>SUMPRODUCT('Staging Table'!CW121:DH121, LS_Demand_Rates_Restatement!$C$11:$N$11)*1000</f>
        <v>7331.0367123397455</v>
      </c>
      <c r="S119" s="117">
        <f>'Staging Table'!ED121*IF(Init!$R$15="Yes",IF(Init!$R$6=2024,Rates_current!$C$89,Rates_current!$D$89),Rates_current!$I$45)</f>
        <v>0</v>
      </c>
      <c r="T119" s="117">
        <v>0</v>
      </c>
      <c r="U119" s="117">
        <f>IF('Staging Table'!D121=1, 'Staging Table'!BU121*-1,SUM(O119:T119)*'Staging Table'!BU121*-1)</f>
        <v>0</v>
      </c>
      <c r="V119" s="115">
        <f>'Staging Table'!BX121*Rates_current!$I$44*-1</f>
        <v>0</v>
      </c>
      <c r="W119" s="115">
        <f>IF('Staging Table'!C121=1,"",SUM(O119:V119))</f>
        <v>154684.96029489444</v>
      </c>
      <c r="X119" s="115">
        <f>IF('Staging Table'!C121=1,"",(RT1SC!$C$4*'Staging Table'!BR121*'Staging Table'!$BS$2)+SUM('Staging Table'!BY121:CV121)-IF(Init!$R$12="No",'Staging Table'!DU121, 0))</f>
        <v>4038.36</v>
      </c>
      <c r="Y119" s="69">
        <f>IF('Staging Table'!C121=1,"",IF(X119=0, 0, W119/X119))</f>
        <v>38.30390561883894</v>
      </c>
      <c r="Z119" s="64">
        <f ca="1">IF('Staging Table'!C121=1,"",(Y119/N119-1)+(RAND()/100000000000000))</f>
        <v>9.9523886025071784E-2</v>
      </c>
      <c r="AA119" s="45">
        <f t="shared" ca="1" si="7"/>
        <v>39</v>
      </c>
      <c r="AC119">
        <f t="shared" si="6"/>
        <v>1.0580896652373848</v>
      </c>
      <c r="AD119" s="119"/>
      <c r="AE119" s="119"/>
      <c r="AG119" s="119"/>
      <c r="AH119" s="119"/>
    </row>
    <row r="120" spans="2:34">
      <c r="B120" s="2">
        <v>10408</v>
      </c>
      <c r="C120" s="3" t="s">
        <v>124</v>
      </c>
      <c r="D120" s="115">
        <f>IF(Init!$R$9="Yes",'Staging Table'!E122,'Staging Table'!BR122)*Rates_previous!$E$76*100*12</f>
        <v>550789.99271999998</v>
      </c>
      <c r="E120" s="115">
        <f>IF(Init!$R$9="Yes",'Staging Table'!F122,'Staging Table'!BS122)*Rates_previous!$E$77*100*12</f>
        <v>-112448.71836</v>
      </c>
      <c r="F120" s="116">
        <f>IF(Init!$R$9="Yes",SUMPRODUCT('Staging Table'!L122:AI122,LS_Demand_Rates_Restatement!$C$4:$Z$4)-IF(Init!$R$12="No",('Staging Table'!BH122*Rates_previous!$H$34), 0),SUMPRODUCT('Staging Table'!BY122:CV122,LS_Demand_Rates_Restatement!$C$4:$Z$4)-IF(Init!$R$12="No", 'Staging Table'!DU122*Rates_previous!$H$34, 0))</f>
        <v>-20293.351461425613</v>
      </c>
      <c r="G120" s="116">
        <f>IF(Init!$R$9="Yes",SUMPRODUCT('Staging Table'!AJ122:AU122,LS_Demand_Rates_Restatement!$C$10:$N$10),SUMPRODUCT(LS_Demand_Rates_Restatement!$C$10:$N$10,'Staging Table'!CW122:DH122))*1000</f>
        <v>33136.848993589723</v>
      </c>
      <c r="H120" s="117">
        <f>IF(Init!$R$9="Yes",'Staging Table'!BQ122,'Staging Table'!ED122)*IF(Init!$R$3=2022,Rates_previous!$C$88,Rates_previous!$D$88)</f>
        <v>0</v>
      </c>
      <c r="I120" s="115">
        <v>0</v>
      </c>
      <c r="J120" s="117">
        <f>IF(Init!$R$9="Yes",IF('Staging Table'!D122=1,'Staging Table'!H122*-1,'Staging Table'!H122*SUM(D120:I120)*(-1)),IF('Staging Table'!D122=1,'Staging Table'!BU122*-1,'Staging Table'!BU122*SUM(D120:I120)*(-1)))</f>
        <v>0</v>
      </c>
      <c r="K120" s="115">
        <f>IF(Init!$R$9="Yes",'Staging Table'!K122,'Staging Table'!BX122)*(-1)*Rates_previous!$H$32</f>
        <v>0</v>
      </c>
      <c r="L120" s="115">
        <f>IF('Staging Table'!C122=1,"",SUM(D120:K120))</f>
        <v>451184.77189216414</v>
      </c>
      <c r="M120" s="115">
        <f>IF('Staging Table'!C122=1,"",IF(Init!$R$9="Yes",(RT1SC!$C$3*'Staging Table'!E122*'Staging Table'!$F$2)+SUM('Staging Table'!L122:AI122)-IF(Init!$R$12="No",'Staging Table'!BH122, 0),X120))</f>
        <v>13413.168</v>
      </c>
      <c r="N120" s="69">
        <f>IF('Staging Table'!C122=1,"",IF(M120=0, 0, L120/M120))</f>
        <v>33.63745029452879</v>
      </c>
      <c r="O120" s="115">
        <f>'Staging Table'!BR122*Rates_current!$F$77*100*12</f>
        <v>559404.14400000009</v>
      </c>
      <c r="P120" s="115">
        <f>'Staging Table'!BS122*Rates_current!$F$78*100*12</f>
        <v>-89601.551999999996</v>
      </c>
      <c r="Q120" s="116">
        <f>SUMPRODUCT('Staging Table'!BY122:CV122, LS_Demand_Rates_Restatement!$C$5:$Z$5)-IF(Init!$R$12="No",('Staging Table'!DU122*Rates_current!$I$46), 0)</f>
        <v>2838.3849449637055</v>
      </c>
      <c r="R120" s="116">
        <f>SUMPRODUCT('Staging Table'!CW122:DH122, LS_Demand_Rates_Restatement!$C$11:$N$11)*1000</f>
        <v>36198.029686921291</v>
      </c>
      <c r="S120" s="117">
        <f>'Staging Table'!ED122*IF(Init!$R$15="Yes",IF(Init!$R$6=2024,Rates_current!$C$89,Rates_current!$D$89),Rates_current!$I$45)</f>
        <v>0</v>
      </c>
      <c r="T120" s="117">
        <v>0</v>
      </c>
      <c r="U120" s="117">
        <f>IF('Staging Table'!D122=1, 'Staging Table'!BU122*-1,SUM(O120:T120)*'Staging Table'!BU122*-1)</f>
        <v>0</v>
      </c>
      <c r="V120" s="115">
        <f>'Staging Table'!BX122*Rates_current!$I$44*-1</f>
        <v>0</v>
      </c>
      <c r="W120" s="115">
        <f>IF('Staging Table'!C122=1,"",SUM(O120:V120))</f>
        <v>508839.00663188507</v>
      </c>
      <c r="X120" s="115">
        <f>IF('Staging Table'!C122=1,"",(RT1SC!$C$4*'Staging Table'!BR122*'Staging Table'!$BS$2)+SUM('Staging Table'!BY122:CV122)-IF(Init!$R$12="No",'Staging Table'!DU122, 0))</f>
        <v>13455.36</v>
      </c>
      <c r="Y120" s="69">
        <f>IF('Staging Table'!C122=1,"",IF(X120=0, 0, W120/X120))</f>
        <v>37.816825906693325</v>
      </c>
      <c r="Z120" s="64">
        <f ca="1">IF('Staging Table'!C122=1,"",(Y120/N120-1)+(RAND()/100000000000000))</f>
        <v>0.12424769343603863</v>
      </c>
      <c r="AA120" s="45">
        <f t="shared" ca="1" si="7"/>
        <v>9</v>
      </c>
      <c r="AC120">
        <f t="shared" si="6"/>
        <v>1.0923799572471042</v>
      </c>
      <c r="AD120" s="119"/>
      <c r="AE120" s="119"/>
      <c r="AG120" s="119"/>
      <c r="AH120" s="119"/>
    </row>
    <row r="121" spans="2:34">
      <c r="B121" s="2">
        <v>10409</v>
      </c>
      <c r="C121" s="3" t="s">
        <v>125</v>
      </c>
      <c r="D121" s="115">
        <f>IF(Init!$R$9="Yes",'Staging Table'!E123,'Staging Table'!BR123)*Rates_previous!$E$76*100*12</f>
        <v>7364792.1052800007</v>
      </c>
      <c r="E121" s="115">
        <f>IF(Init!$R$9="Yes",'Staging Table'!F123,'Staging Table'!BS123)*Rates_previous!$E$77*100*12</f>
        <v>-1503588.3806400001</v>
      </c>
      <c r="F121" s="116">
        <f>IF(Init!$R$9="Yes",SUMPRODUCT('Staging Table'!L123:AI123,LS_Demand_Rates_Restatement!$C$4:$Z$4)-IF(Init!$R$12="No",('Staging Table'!BH123*Rates_previous!$H$34), 0),SUMPRODUCT('Staging Table'!BY123:CV123,LS_Demand_Rates_Restatement!$C$4:$Z$4)-IF(Init!$R$12="No", 'Staging Table'!DU123*Rates_previous!$H$34, 0))</f>
        <v>-94968.765786936099</v>
      </c>
      <c r="G121" s="116">
        <f>IF(Init!$R$9="Yes",SUMPRODUCT('Staging Table'!AJ123:AU123,LS_Demand_Rates_Restatement!$C$10:$N$10),SUMPRODUCT(LS_Demand_Rates_Restatement!$C$10:$N$10,'Staging Table'!CW123:DH123))*1000</f>
        <v>712466.99824879807</v>
      </c>
      <c r="H121" s="117">
        <f>IF(Init!$R$9="Yes",'Staging Table'!BQ123,'Staging Table'!ED123)*IF(Init!$R$3=2022,Rates_previous!$C$88,Rates_previous!$D$88)</f>
        <v>0</v>
      </c>
      <c r="I121" s="115">
        <v>0</v>
      </c>
      <c r="J121" s="117">
        <f>IF(Init!$R$9="Yes",IF('Staging Table'!D123=1,'Staging Table'!H123*-1,'Staging Table'!H123*SUM(D121:I121)*(-1)),IF('Staging Table'!D123=1,'Staging Table'!BU123*-1,'Staging Table'!BU123*SUM(D121:I121)*(-1)))</f>
        <v>0</v>
      </c>
      <c r="K121" s="115">
        <f>IF(Init!$R$9="Yes",'Staging Table'!K123,'Staging Table'!BX123)*(-1)*Rates_previous!$H$32</f>
        <v>0</v>
      </c>
      <c r="L121" s="115">
        <f>IF('Staging Table'!C123=1,"",SUM(D121:K121))</f>
        <v>6478701.9571018619</v>
      </c>
      <c r="M121" s="115">
        <f>IF('Staging Table'!C123=1,"",IF(Init!$R$9="Yes",(RT1SC!$C$3*'Staging Table'!E123*'Staging Table'!$F$2)+SUM('Staging Table'!L123:AI123)-IF(Init!$R$12="No",'Staging Table'!BH123, 0),X121))</f>
        <v>179378.06399999998</v>
      </c>
      <c r="N121" s="69">
        <f>IF('Staging Table'!C123=1,"",IF(M121=0, 0, L121/M121))</f>
        <v>36.117582120307993</v>
      </c>
      <c r="O121" s="115">
        <f>'Staging Table'!BR123*Rates_current!$F$77*100*12</f>
        <v>7481771.4425999997</v>
      </c>
      <c r="P121" s="115">
        <f>'Staging Table'!BS123*Rates_current!$F$78*100*12</f>
        <v>-1198379.2757999999</v>
      </c>
      <c r="Q121" s="116">
        <f>SUMPRODUCT('Staging Table'!BY123:CV123, LS_Demand_Rates_Restatement!$C$5:$Z$5)-IF(Init!$R$12="No",('Staging Table'!DU123*Rates_current!$I$46), 0)</f>
        <v>156042.51620987471</v>
      </c>
      <c r="R121" s="116">
        <f>SUMPRODUCT('Staging Table'!CW123:DH123, LS_Demand_Rates_Restatement!$C$11:$N$11)*1000</f>
        <v>793162.5425916044</v>
      </c>
      <c r="S121" s="117">
        <f>'Staging Table'!ED123*IF(Init!$R$15="Yes",IF(Init!$R$6=2024,Rates_current!$C$89,Rates_current!$D$89),Rates_current!$I$45)</f>
        <v>0</v>
      </c>
      <c r="T121" s="117">
        <v>0</v>
      </c>
      <c r="U121" s="117">
        <f>IF('Staging Table'!D123=1, 'Staging Table'!BU123*-1,SUM(O121:T121)*'Staging Table'!BU123*-1)</f>
        <v>0</v>
      </c>
      <c r="V121" s="115">
        <f>'Staging Table'!BX123*Rates_current!$I$44*-1</f>
        <v>0</v>
      </c>
      <c r="W121" s="115">
        <f>IF('Staging Table'!C123=1,"",SUM(O121:V121))</f>
        <v>7232597.2256014785</v>
      </c>
      <c r="X121" s="115">
        <f>IF('Staging Table'!C123=1,"",(RT1SC!$C$4*'Staging Table'!BR123*'Staging Table'!$BS$2)+SUM('Staging Table'!BY123:CV123)-IF(Init!$R$12="No",'Staging Table'!DU123, 0))</f>
        <v>179917.75162062197</v>
      </c>
      <c r="Y121" s="69">
        <f>IF('Staging Table'!C123=1,"",IF(X121=0, 0, W121/X121))</f>
        <v>40.199464257714112</v>
      </c>
      <c r="Z121" s="64">
        <f ca="1">IF('Staging Table'!C123=1,"",(Y121/N121-1)+(RAND()/100000000000000))</f>
        <v>0.11301648387783579</v>
      </c>
      <c r="AA121" s="45">
        <f t="shared" ca="1" si="7"/>
        <v>19</v>
      </c>
      <c r="AC121">
        <f t="shared" si="6"/>
        <v>1.113262150445075</v>
      </c>
      <c r="AD121" s="119"/>
      <c r="AE121" s="119"/>
      <c r="AG121" s="119"/>
      <c r="AH121" s="119"/>
    </row>
    <row r="122" spans="2:34">
      <c r="B122" s="2">
        <v>10426</v>
      </c>
      <c r="C122" s="3" t="s">
        <v>126</v>
      </c>
      <c r="D122" s="115">
        <f>IF(Init!$R$9="Yes",'Staging Table'!E124,'Staging Table'!BR124)*Rates_previous!$E$76*100*12</f>
        <v>11431072.09224</v>
      </c>
      <c r="E122" s="115">
        <f>IF(Init!$R$9="Yes",'Staging Table'!F124,'Staging Table'!BS124)*Rates_previous!$E$77*100*12</f>
        <v>-2333755.9201200004</v>
      </c>
      <c r="F122" s="116">
        <f>IF(Init!$R$9="Yes",SUMPRODUCT('Staging Table'!L124:AI124,LS_Demand_Rates_Restatement!$C$4:$Z$4)-IF(Init!$R$12="No",('Staging Table'!BH124*Rates_previous!$H$34), 0),SUMPRODUCT('Staging Table'!BY124:CV124,LS_Demand_Rates_Restatement!$C$4:$Z$4)-IF(Init!$R$12="No", 'Staging Table'!DU124*Rates_previous!$H$34, 0))</f>
        <v>1813311.1809128101</v>
      </c>
      <c r="G122" s="116">
        <f>IF(Init!$R$9="Yes",SUMPRODUCT('Staging Table'!AJ124:AU124,LS_Demand_Rates_Restatement!$C$10:$N$10),SUMPRODUCT(LS_Demand_Rates_Restatement!$C$10:$N$10,'Staging Table'!CW124:DH124))*1000</f>
        <v>203445.64033213162</v>
      </c>
      <c r="H122" s="117">
        <f>IF(Init!$R$9="Yes",'Staging Table'!BQ124,'Staging Table'!ED124)*IF(Init!$R$3=2022,Rates_previous!$C$88,Rates_previous!$D$88)</f>
        <v>0</v>
      </c>
      <c r="I122" s="115">
        <v>0</v>
      </c>
      <c r="J122" s="117">
        <f>IF(Init!$R$9="Yes",IF('Staging Table'!D124=1,'Staging Table'!H124*-1,'Staging Table'!H124*SUM(D122:I122)*(-1)),IF('Staging Table'!D124=1,'Staging Table'!BU124*-1,'Staging Table'!BU124*SUM(D122:I122)*(-1)))</f>
        <v>0</v>
      </c>
      <c r="K122" s="115">
        <f>IF(Init!$R$9="Yes",'Staging Table'!K124,'Staging Table'!BX124)*(-1)*Rates_previous!$H$32</f>
        <v>0</v>
      </c>
      <c r="L122" s="115">
        <f>IF('Staging Table'!C124=1,"",SUM(D122:K122))</f>
        <v>11114072.993364939</v>
      </c>
      <c r="M122" s="115">
        <f>IF('Staging Table'!C124=1,"",IF(Init!$R$9="Yes",(RT1SC!$C$3*'Staging Table'!E124*'Staging Table'!$F$2)+SUM('Staging Table'!L124:AI124)-IF(Init!$R$12="No",'Staging Table'!BH124, 0),X122))</f>
        <v>320958.576</v>
      </c>
      <c r="N122" s="69">
        <f>IF('Staging Table'!C124=1,"",IF(M122=0, 0, L122/M122))</f>
        <v>34.62774895089558</v>
      </c>
      <c r="O122" s="115">
        <f>'Staging Table'!BR124*Rates_current!$F$77*100*12</f>
        <v>14219742.560400002</v>
      </c>
      <c r="P122" s="115">
        <f>'Staging Table'!BS124*Rates_current!$F$78*100*12</f>
        <v>-2277621.6732000001</v>
      </c>
      <c r="Q122" s="116">
        <f>SUMPRODUCT('Staging Table'!BY124:CV124, LS_Demand_Rates_Restatement!$C$5:$Z$5)-IF(Init!$R$12="No",('Staging Table'!DU124*Rates_current!$I$46), 0)</f>
        <v>533849.41049906635</v>
      </c>
      <c r="R122" s="116">
        <f>SUMPRODUCT('Staging Table'!CW124:DH124, LS_Demand_Rates_Restatement!$C$11:$N$11)*1000</f>
        <v>274039.0930837965</v>
      </c>
      <c r="S122" s="117">
        <f>'Staging Table'!ED124*IF(Init!$R$15="Yes",IF(Init!$R$6=2024,Rates_current!$C$89,Rates_current!$D$89),Rates_current!$I$45)</f>
        <v>16.838480668142438</v>
      </c>
      <c r="T122" s="117">
        <v>0</v>
      </c>
      <c r="U122" s="117">
        <f>IF('Staging Table'!D124=1, 'Staging Table'!BU124*-1,SUM(O122:T122)*'Staging Table'!BU124*-1)</f>
        <v>0</v>
      </c>
      <c r="V122" s="115">
        <f>'Staging Table'!BX124*Rates_current!$I$44*-1</f>
        <v>0</v>
      </c>
      <c r="W122" s="115">
        <f>IF('Staging Table'!C124=1,"",SUM(O122:V122))</f>
        <v>12750026.229263533</v>
      </c>
      <c r="X122" s="115">
        <f>IF('Staging Table'!C124=1,"",(RT1SC!$C$4*'Staging Table'!BR124*'Staging Table'!$BS$2)+SUM('Staging Table'!BY124:CV124)-IF(Init!$R$12="No",'Staging Table'!DU124, 0))</f>
        <v>341951.02018539479</v>
      </c>
      <c r="Y122" s="69">
        <f>IF('Staging Table'!C124=1,"",IF(X122=0, 0, W122/X122))</f>
        <v>37.286118410615884</v>
      </c>
      <c r="Z122" s="64">
        <f ca="1">IF('Staging Table'!C124=1,"",(Y122/N122-1)+(RAND()/100000000000000))</f>
        <v>7.6769918353345526E-2</v>
      </c>
      <c r="AA122" s="45">
        <f t="shared" ca="1" si="7"/>
        <v>98</v>
      </c>
      <c r="AC122">
        <f t="shared" si="6"/>
        <v>1.3469892627653204</v>
      </c>
      <c r="AD122" s="119"/>
      <c r="AE122" s="119"/>
      <c r="AG122" s="119"/>
      <c r="AH122" s="119"/>
    </row>
    <row r="123" spans="2:34">
      <c r="B123" s="2">
        <v>10434</v>
      </c>
      <c r="C123" s="3" t="s">
        <v>127</v>
      </c>
      <c r="D123" s="115">
        <f>IF(Init!$R$9="Yes",'Staging Table'!E125,'Staging Table'!BR125)*Rates_previous!$E$76*100*12</f>
        <v>9793898.0387999993</v>
      </c>
      <c r="E123" s="115">
        <f>IF(Init!$R$9="Yes",'Staging Table'!F125,'Staging Table'!BS125)*Rates_previous!$E$77*100*12</f>
        <v>-1999512.1494</v>
      </c>
      <c r="F123" s="116">
        <f>IF(Init!$R$9="Yes",SUMPRODUCT('Staging Table'!L125:AI125,LS_Demand_Rates_Restatement!$C$4:$Z$4)-IF(Init!$R$12="No",('Staging Table'!BH125*Rates_previous!$H$34), 0),SUMPRODUCT('Staging Table'!BY125:CV125,LS_Demand_Rates_Restatement!$C$4:$Z$4)-IF(Init!$R$12="No", 'Staging Table'!DU125*Rates_previous!$H$34, 0))</f>
        <v>156483.87985315965</v>
      </c>
      <c r="G123" s="116">
        <f>IF(Init!$R$9="Yes",SUMPRODUCT('Staging Table'!AJ125:AU125,LS_Demand_Rates_Restatement!$C$10:$N$10),SUMPRODUCT(LS_Demand_Rates_Restatement!$C$10:$N$10,'Staging Table'!CW125:DH125))*1000</f>
        <v>1009463.5340448986</v>
      </c>
      <c r="H123" s="117">
        <f>IF(Init!$R$9="Yes",'Staging Table'!BQ125,'Staging Table'!ED125)*IF(Init!$R$3=2022,Rates_previous!$C$88,Rates_previous!$D$88)</f>
        <v>0</v>
      </c>
      <c r="I123" s="115">
        <v>0</v>
      </c>
      <c r="J123" s="117">
        <f>IF(Init!$R$9="Yes",IF('Staging Table'!D125=1,'Staging Table'!H125*-1,'Staging Table'!H125*SUM(D123:I123)*(-1)),IF('Staging Table'!D125=1,'Staging Table'!BU125*-1,'Staging Table'!BU125*SUM(D123:I123)*(-1)))</f>
        <v>0</v>
      </c>
      <c r="K123" s="115">
        <f>IF(Init!$R$9="Yes",'Staging Table'!K125,'Staging Table'!BX125)*(-1)*Rates_previous!$H$32</f>
        <v>0</v>
      </c>
      <c r="L123" s="115">
        <f>IF('Staging Table'!C125=1,"",SUM(D123:K123))</f>
        <v>8960333.303298058</v>
      </c>
      <c r="M123" s="115">
        <f>IF('Staging Table'!C125=1,"",IF(Init!$R$9="Yes",(RT1SC!$C$3*'Staging Table'!E125*'Staging Table'!$F$2)+SUM('Staging Table'!L125:AI125)-IF(Init!$R$12="No",'Staging Table'!BH125, 0),X123))</f>
        <v>238547.08799999999</v>
      </c>
      <c r="N123" s="69">
        <f>IF('Staging Table'!C125=1,"",IF(M123=0, 0, L123/M123))</f>
        <v>37.562115632692439</v>
      </c>
      <c r="O123" s="115">
        <f>'Staging Table'!BR125*Rates_current!$F$77*100*12</f>
        <v>9949365.2777999993</v>
      </c>
      <c r="P123" s="115">
        <f>'Staging Table'!BS125*Rates_current!$F$78*100*12</f>
        <v>-1593621.6773999999</v>
      </c>
      <c r="Q123" s="116">
        <f>SUMPRODUCT('Staging Table'!BY125:CV125, LS_Demand_Rates_Restatement!$C$5:$Z$5)-IF(Init!$R$12="No",('Staging Table'!DU125*Rates_current!$I$46), 0)</f>
        <v>329526.73888846161</v>
      </c>
      <c r="R123" s="116">
        <f>SUMPRODUCT('Staging Table'!CW125:DH125, LS_Demand_Rates_Restatement!$C$11:$N$11)*1000</f>
        <v>1098043.7761110403</v>
      </c>
      <c r="S123" s="117">
        <f>'Staging Table'!ED125*IF(Init!$R$15="Yes",IF(Init!$R$6=2024,Rates_current!$C$89,Rates_current!$D$89),Rates_current!$I$45)</f>
        <v>0</v>
      </c>
      <c r="T123" s="117">
        <v>0</v>
      </c>
      <c r="U123" s="117">
        <f>IF('Staging Table'!D125=1, 'Staging Table'!BU125*-1,SUM(O123:T123)*'Staging Table'!BU125*-1)</f>
        <v>0</v>
      </c>
      <c r="V123" s="115">
        <f>'Staging Table'!BX125*Rates_current!$I$44*-1</f>
        <v>0</v>
      </c>
      <c r="W123" s="115">
        <f>IF('Staging Table'!C125=1,"",SUM(O123:V123))</f>
        <v>9783314.1153995004</v>
      </c>
      <c r="X123" s="115">
        <f>IF('Staging Table'!C125=1,"",(RT1SC!$C$4*'Staging Table'!BR125*'Staging Table'!$BS$2)+SUM('Staging Table'!BY125:CV125)-IF(Init!$R$12="No",'Staging Table'!DU125, 0))</f>
        <v>239261.87999999998</v>
      </c>
      <c r="Y123" s="69">
        <f>IF('Staging Table'!C125=1,"",IF(X123=0, 0, W123/X123))</f>
        <v>40.889564670308118</v>
      </c>
      <c r="Z123" s="64">
        <f ca="1">IF('Staging Table'!C125=1,"",(Y123/N123-1)+(RAND()/100000000000000))</f>
        <v>8.858524024987692E-2</v>
      </c>
      <c r="AA123" s="45">
        <f t="shared" ca="1" si="7"/>
        <v>81</v>
      </c>
      <c r="AC123">
        <f t="shared" si="6"/>
        <v>1.087749818669727</v>
      </c>
      <c r="AD123" s="119"/>
      <c r="AE123" s="119"/>
      <c r="AG123" s="119"/>
      <c r="AH123" s="119"/>
    </row>
    <row r="124" spans="2:34">
      <c r="B124" s="2">
        <v>10436</v>
      </c>
      <c r="C124" s="3" t="s">
        <v>128</v>
      </c>
      <c r="D124" s="115">
        <f>IF(Init!$R$9="Yes",'Staging Table'!E126,'Staging Table'!BR126)*Rates_previous!$E$76*100*12</f>
        <v>6906921.4555200003</v>
      </c>
      <c r="E124" s="115">
        <f>IF(Init!$R$9="Yes",'Staging Table'!F126,'Staging Table'!BS126)*Rates_previous!$E$77*100*12</f>
        <v>-1410109.9797599998</v>
      </c>
      <c r="F124" s="116">
        <f>IF(Init!$R$9="Yes",SUMPRODUCT('Staging Table'!L126:AI126,LS_Demand_Rates_Restatement!$C$4:$Z$4)-IF(Init!$R$12="No",('Staging Table'!BH126*Rates_previous!$H$34), 0),SUMPRODUCT('Staging Table'!BY126:CV126,LS_Demand_Rates_Restatement!$C$4:$Z$4)-IF(Init!$R$12="No", 'Staging Table'!DU126*Rates_previous!$H$34, 0))</f>
        <v>-15226.795443977695</v>
      </c>
      <c r="G124" s="116">
        <f>IF(Init!$R$9="Yes",SUMPRODUCT('Staging Table'!AJ126:AU126,LS_Demand_Rates_Restatement!$C$10:$N$10),SUMPRODUCT(LS_Demand_Rates_Restatement!$C$10:$N$10,'Staging Table'!CW126:DH126))*1000</f>
        <v>641836.49799404398</v>
      </c>
      <c r="H124" s="117">
        <f>IF(Init!$R$9="Yes",'Staging Table'!BQ126,'Staging Table'!ED126)*IF(Init!$R$3=2022,Rates_previous!$C$88,Rates_previous!$D$88)</f>
        <v>0</v>
      </c>
      <c r="I124" s="115">
        <v>0</v>
      </c>
      <c r="J124" s="117">
        <f>IF(Init!$R$9="Yes",IF('Staging Table'!D126=1,'Staging Table'!H126*-1,'Staging Table'!H126*SUM(D124:I124)*(-1)),IF('Staging Table'!D126=1,'Staging Table'!BU126*-1,'Staging Table'!BU126*SUM(D124:I124)*(-1)))</f>
        <v>-557240.27959635993</v>
      </c>
      <c r="K124" s="115">
        <f>IF(Init!$R$9="Yes",'Staging Table'!K126,'Staging Table'!BX126)*(-1)*Rates_previous!$H$32</f>
        <v>-449647.89505999995</v>
      </c>
      <c r="L124" s="115">
        <f>IF('Staging Table'!C126=1,"",SUM(D124:K124))</f>
        <v>5116533.0036537079</v>
      </c>
      <c r="M124" s="115">
        <f>IF('Staging Table'!C126=1,"",IF(Init!$R$9="Yes",(RT1SC!$C$3*'Staging Table'!E126*'Staging Table'!$F$2)+SUM('Staging Table'!L126:AI126)-IF(Init!$R$12="No",'Staging Table'!BH126, 0),X124))</f>
        <v>168231.16800000001</v>
      </c>
      <c r="N124" s="69">
        <f>IF('Staging Table'!C126=1,"",IF(M124=0, 0, L124/M124))</f>
        <v>30.413704336010483</v>
      </c>
      <c r="O124" s="115">
        <f>'Staging Table'!BR126*Rates_current!$F$77*100*12</f>
        <v>7017155.2229999993</v>
      </c>
      <c r="P124" s="115">
        <f>'Staging Table'!BS126*Rates_current!$F$78*100*12</f>
        <v>-1123960.2090000003</v>
      </c>
      <c r="Q124" s="116">
        <f>SUMPRODUCT('Staging Table'!BY126:CV126, LS_Demand_Rates_Restatement!$C$5:$Z$5)-IF(Init!$R$12="No",('Staging Table'!DU126*Rates_current!$I$46), 0)</f>
        <v>148827.22339439881</v>
      </c>
      <c r="R124" s="116">
        <f>SUMPRODUCT('Staging Table'!CW126:DH126, LS_Demand_Rates_Restatement!$C$11:$N$11)*1000</f>
        <v>727146.35562114499</v>
      </c>
      <c r="S124" s="117">
        <f>'Staging Table'!ED126*IF(Init!$R$15="Yes",IF(Init!$R$6=2024,Rates_current!$C$89,Rates_current!$D$89),Rates_current!$I$45)</f>
        <v>0</v>
      </c>
      <c r="T124" s="117">
        <v>0</v>
      </c>
      <c r="U124" s="117">
        <f>IF('Staging Table'!D126=1, 'Staging Table'!BU126*-1,SUM(O124:T124)*'Staging Table'!BU126*-1)</f>
        <v>-633609.36112353229</v>
      </c>
      <c r="V124" s="115">
        <f>'Staging Table'!BX126*Rates_current!$I$44*-1</f>
        <v>-464804.56567999994</v>
      </c>
      <c r="W124" s="115">
        <f>IF('Staging Table'!C126=1,"",SUM(O124:V124))</f>
        <v>5670754.6662120102</v>
      </c>
      <c r="X124" s="115">
        <f>IF('Staging Table'!C126=1,"",(RT1SC!$C$4*'Staging Table'!BR126*'Staging Table'!$BS$2)+SUM('Staging Table'!BY126:CV126)-IF(Init!$R$12="No",'Staging Table'!DU126, 0))</f>
        <v>168743.37696108388</v>
      </c>
      <c r="Y124" s="69">
        <f>IF('Staging Table'!C126=1,"",IF(X124=0, 0, W124/X124))</f>
        <v>33.605791043993491</v>
      </c>
      <c r="Z124" s="64">
        <f ca="1">IF('Staging Table'!C126=1,"",(Y124/N124-1)+(RAND()/100000000000000))</f>
        <v>0.10495553822437895</v>
      </c>
      <c r="AA124" s="45">
        <f t="shared" ca="1" si="7"/>
        <v>24</v>
      </c>
      <c r="AC124">
        <f t="shared" si="6"/>
        <v>1.1329152484997709</v>
      </c>
      <c r="AD124" s="119"/>
      <c r="AE124" s="119"/>
      <c r="AG124" s="119"/>
      <c r="AH124" s="119"/>
    </row>
    <row r="125" spans="2:34">
      <c r="B125" s="2">
        <v>10440</v>
      </c>
      <c r="C125" s="3" t="s">
        <v>129</v>
      </c>
      <c r="D125" s="115">
        <f>IF(Init!$R$9="Yes",'Staging Table'!E127,'Staging Table'!BR127)*Rates_previous!$E$76*100*12</f>
        <v>1805076.5659200002</v>
      </c>
      <c r="E125" s="115">
        <f>IF(Init!$R$9="Yes",'Staging Table'!F127,'Staging Table'!BS127)*Rates_previous!$E$77*100*12</f>
        <v>-368522.57496</v>
      </c>
      <c r="F125" s="116">
        <f>IF(Init!$R$9="Yes",SUMPRODUCT('Staging Table'!L127:AI127,LS_Demand_Rates_Restatement!$C$4:$Z$4)-IF(Init!$R$12="No",('Staging Table'!BH127*Rates_previous!$H$34), 0),SUMPRODUCT('Staging Table'!BY127:CV127,LS_Demand_Rates_Restatement!$C$4:$Z$4)-IF(Init!$R$12="No", 'Staging Table'!DU127*Rates_previous!$H$34, 0))</f>
        <v>15635.800093451777</v>
      </c>
      <c r="G125" s="116">
        <f>IF(Init!$R$9="Yes",SUMPRODUCT('Staging Table'!AJ127:AU127,LS_Demand_Rates_Restatement!$C$10:$N$10),SUMPRODUCT(LS_Demand_Rates_Restatement!$C$10:$N$10,'Staging Table'!CW127:DH127))*1000</f>
        <v>159682.27859326918</v>
      </c>
      <c r="H125" s="117">
        <f>IF(Init!$R$9="Yes",'Staging Table'!BQ127,'Staging Table'!ED127)*IF(Init!$R$3=2022,Rates_previous!$C$88,Rates_previous!$D$88)</f>
        <v>0</v>
      </c>
      <c r="I125" s="115">
        <v>0</v>
      </c>
      <c r="J125" s="117">
        <f>IF(Init!$R$9="Yes",IF('Staging Table'!D127=1,'Staging Table'!H127*-1,'Staging Table'!H127*SUM(D125:I125)*(-1)),IF('Staging Table'!D127=1,'Staging Table'!BU127*-1,'Staging Table'!BU127*SUM(D125:I125)*(-1)))</f>
        <v>-93028.045162467897</v>
      </c>
      <c r="K125" s="115">
        <f>IF(Init!$R$9="Yes",'Staging Table'!K127,'Staging Table'!BX127)*(-1)*Rates_previous!$H$32</f>
        <v>0</v>
      </c>
      <c r="L125" s="115">
        <f>IF('Staging Table'!C127=1,"",SUM(D125:K125))</f>
        <v>1518844.024484253</v>
      </c>
      <c r="M125" s="115">
        <f>IF('Staging Table'!C127=1,"",IF(Init!$R$9="Yes",(RT1SC!$C$3*'Staging Table'!E127*'Staging Table'!$F$2)+SUM('Staging Table'!L127:AI127)-IF(Init!$R$12="No",'Staging Table'!BH127, 0),X125))</f>
        <v>43963.92</v>
      </c>
      <c r="N125" s="69">
        <f>IF('Staging Table'!C127=1,"",IF(M125=0, 0, L125/M125))</f>
        <v>34.547511333935944</v>
      </c>
      <c r="O125" s="115">
        <f>'Staging Table'!BR127*Rates_current!$F$77*100*12</f>
        <v>1833861.4553999999</v>
      </c>
      <c r="P125" s="115">
        <f>'Staging Table'!BS127*Rates_current!$F$78*100*12</f>
        <v>-293735.45819999999</v>
      </c>
      <c r="Q125" s="116">
        <f>SUMPRODUCT('Staging Table'!BY127:CV127, LS_Demand_Rates_Restatement!$C$5:$Z$5)-IF(Init!$R$12="No",('Staging Table'!DU127*Rates_current!$I$46), 0)</f>
        <v>50631.173990050971</v>
      </c>
      <c r="R125" s="116">
        <f>SUMPRODUCT('Staging Table'!CW127:DH127, LS_Demand_Rates_Restatement!$C$11:$N$11)*1000</f>
        <v>172767.07634686609</v>
      </c>
      <c r="S125" s="117">
        <f>'Staging Table'!ED127*IF(Init!$R$15="Yes",IF(Init!$R$6=2024,Rates_current!$C$89,Rates_current!$D$89),Rates_current!$I$45)</f>
        <v>0</v>
      </c>
      <c r="T125" s="117">
        <v>0</v>
      </c>
      <c r="U125" s="117">
        <f>IF('Staging Table'!D127=1, 'Staging Table'!BU127*-1,SUM(O125:T125)*'Staging Table'!BU127*-1)</f>
        <v>-105934.06778162264</v>
      </c>
      <c r="V125" s="115">
        <f>'Staging Table'!BX127*Rates_current!$I$44*-1</f>
        <v>0</v>
      </c>
      <c r="W125" s="115">
        <f>IF('Staging Table'!C127=1,"",SUM(O125:V125))</f>
        <v>1657590.1797552942</v>
      </c>
      <c r="X125" s="115">
        <f>IF('Staging Table'!C127=1,"",(RT1SC!$C$4*'Staging Table'!BR127*'Staging Table'!$BS$2)+SUM('Staging Table'!BY127:CV127)-IF(Init!$R$12="No",'Staging Table'!DU127, 0))</f>
        <v>44097.84</v>
      </c>
      <c r="Y125" s="69">
        <f>IF('Staging Table'!C127=1,"",IF(X125=0, 0, W125/X125))</f>
        <v>37.588919995974734</v>
      </c>
      <c r="Z125" s="64">
        <f ca="1">IF('Staging Table'!C127=1,"",(Y125/N125-1)+(RAND()/100000000000000))</f>
        <v>8.8035535545257518E-2</v>
      </c>
      <c r="AA125" s="45">
        <f t="shared" ca="1" si="7"/>
        <v>83</v>
      </c>
      <c r="AC125">
        <f t="shared" si="6"/>
        <v>1.0819427044057002</v>
      </c>
      <c r="AD125" s="119"/>
      <c r="AE125" s="119"/>
      <c r="AG125" s="119"/>
      <c r="AH125" s="119"/>
    </row>
    <row r="126" spans="2:34">
      <c r="B126" s="2">
        <v>10442</v>
      </c>
      <c r="C126" s="3" t="s">
        <v>130</v>
      </c>
      <c r="D126" s="115">
        <f>IF(Init!$R$9="Yes",'Staging Table'!E128,'Staging Table'!BR128)*Rates_previous!$E$76*100*12</f>
        <v>4538599.2208799999</v>
      </c>
      <c r="E126" s="115">
        <f>IF(Init!$R$9="Yes",'Staging Table'!F128,'Staging Table'!BS128)*Rates_previous!$E$77*100*12</f>
        <v>-926595.74844</v>
      </c>
      <c r="F126" s="116">
        <f>IF(Init!$R$9="Yes",SUMPRODUCT('Staging Table'!L128:AI128,LS_Demand_Rates_Restatement!$C$4:$Z$4)-IF(Init!$R$12="No",('Staging Table'!BH128*Rates_previous!$H$34), 0),SUMPRODUCT('Staging Table'!BY128:CV128,LS_Demand_Rates_Restatement!$C$4:$Z$4)-IF(Init!$R$12="No", 'Staging Table'!DU128*Rates_previous!$H$34, 0))</f>
        <v>210218.25919879106</v>
      </c>
      <c r="G126" s="116">
        <f>IF(Init!$R$9="Yes",SUMPRODUCT('Staging Table'!AJ128:AU128,LS_Demand_Rates_Restatement!$C$10:$N$10),SUMPRODUCT(LS_Demand_Rates_Restatement!$C$10:$N$10,'Staging Table'!CW128:DH128))*1000</f>
        <v>464537.92442401178</v>
      </c>
      <c r="H126" s="117">
        <f>IF(Init!$R$9="Yes",'Staging Table'!BQ128,'Staging Table'!ED128)*IF(Init!$R$3=2022,Rates_previous!$C$88,Rates_previous!$D$88)</f>
        <v>0</v>
      </c>
      <c r="I126" s="115">
        <v>0</v>
      </c>
      <c r="J126" s="117">
        <f>IF(Init!$R$9="Yes",IF('Staging Table'!D128=1,'Staging Table'!H128*-1,'Staging Table'!H128*SUM(D126:I126)*(-1)),IF('Staging Table'!D128=1,'Staging Table'!BU128*-1,'Staging Table'!BU128*SUM(D126:I126)*(-1)))</f>
        <v>-300073.1759243962</v>
      </c>
      <c r="K126" s="115">
        <f>IF(Init!$R$9="Yes",'Staging Table'!K128,'Staging Table'!BX128)*(-1)*Rates_previous!$H$32</f>
        <v>-112614.6281</v>
      </c>
      <c r="L126" s="115">
        <f>IF('Staging Table'!C128=1,"",SUM(D126:K126))</f>
        <v>3874071.8520384063</v>
      </c>
      <c r="M126" s="115">
        <f>IF('Staging Table'!C128=1,"",IF(Init!$R$9="Yes",(RT1SC!$C$3*'Staging Table'!E128*'Staging Table'!$F$2)+SUM('Staging Table'!L128:AI128)-IF(Init!$R$12="No",'Staging Table'!BH128, 0),X126))</f>
        <v>114917.86851814836</v>
      </c>
      <c r="N126" s="69">
        <f>IF('Staging Table'!C128=1,"",IF(M126=0, 0, L126/M126))</f>
        <v>33.711657742995776</v>
      </c>
      <c r="O126" s="115">
        <f>'Staging Table'!BR128*Rates_current!$F$77*100*12</f>
        <v>4778502.7133999998</v>
      </c>
      <c r="P126" s="115">
        <f>'Staging Table'!BS128*Rates_current!$F$78*100*12</f>
        <v>-765388.07219999994</v>
      </c>
      <c r="Q126" s="116">
        <f>SUMPRODUCT('Staging Table'!BY128:CV128, LS_Demand_Rates_Restatement!$C$5:$Z$5)-IF(Init!$R$12="No",('Staging Table'!DU128*Rates_current!$I$46), 0)</f>
        <v>144940.95103871124</v>
      </c>
      <c r="R126" s="116">
        <f>SUMPRODUCT('Staging Table'!CW128:DH128, LS_Demand_Rates_Restatement!$C$11:$N$11)*1000</f>
        <v>534076.36863847054</v>
      </c>
      <c r="S126" s="117">
        <f>'Staging Table'!ED128*IF(Init!$R$15="Yes",IF(Init!$R$6=2024,Rates_current!$C$89,Rates_current!$D$89),Rates_current!$I$45)</f>
        <v>-16.275758981434045</v>
      </c>
      <c r="T126" s="117">
        <v>0</v>
      </c>
      <c r="U126" s="117">
        <f>IF('Staging Table'!D128=1, 'Staging Table'!BU128*-1,SUM(O126:T126)*'Staging Table'!BU128*-1)</f>
        <v>-328448.09795827407</v>
      </c>
      <c r="V126" s="115">
        <f>'Staging Table'!BX128*Rates_current!$I$44*-1</f>
        <v>-116410.62680000001</v>
      </c>
      <c r="W126" s="115">
        <f>IF('Staging Table'!C128=1,"",SUM(O126:V126))</f>
        <v>4247256.9603599263</v>
      </c>
      <c r="X126" s="115">
        <f>IF('Staging Table'!C128=1,"",(RT1SC!$C$4*'Staging Table'!BR128*'Staging Table'!$BS$2)+SUM('Staging Table'!BY128:CV128)-IF(Init!$R$12="No",'Staging Table'!DU128, 0))</f>
        <v>114917.87478324265</v>
      </c>
      <c r="Y126" s="69">
        <f>IF('Staging Table'!C128=1,"",IF(X126=0, 0, W126/X126))</f>
        <v>36.959062881828217</v>
      </c>
      <c r="Z126" s="64">
        <f ca="1">IF('Staging Table'!C128=1,"",(Y126/N126-1)+(RAND()/100000000000000))</f>
        <v>9.6328847533681664E-2</v>
      </c>
      <c r="AA126" s="45">
        <f t="shared" ca="1" si="7"/>
        <v>54</v>
      </c>
      <c r="AC126">
        <f t="shared" si="6"/>
        <v>1.1496937936782676</v>
      </c>
      <c r="AD126" s="119"/>
      <c r="AE126" s="119"/>
      <c r="AG126" s="119"/>
      <c r="AH126" s="119"/>
    </row>
    <row r="127" spans="2:34">
      <c r="B127" s="2">
        <v>10446</v>
      </c>
      <c r="C127" s="3" t="s">
        <v>131</v>
      </c>
      <c r="D127" s="115">
        <f>IF(Init!$R$9="Yes",'Staging Table'!E129,'Staging Table'!BR129)*Rates_previous!$E$76*100*12</f>
        <v>34539091.32096</v>
      </c>
      <c r="E127" s="115">
        <f>IF(Init!$R$9="Yes",'Staging Table'!F129,'Staging Table'!BS129)*Rates_previous!$E$77*100*12</f>
        <v>-7051465.3564799996</v>
      </c>
      <c r="F127" s="116">
        <f>IF(Init!$R$9="Yes",SUMPRODUCT('Staging Table'!L129:AI129,LS_Demand_Rates_Restatement!$C$4:$Z$4)-IF(Init!$R$12="No",('Staging Table'!BH129*Rates_previous!$H$34), 0),SUMPRODUCT('Staging Table'!BY129:CV129,LS_Demand_Rates_Restatement!$C$4:$Z$4)-IF(Init!$R$12="No", 'Staging Table'!DU129*Rates_previous!$H$34, 0))</f>
        <v>-4711758.4332912285</v>
      </c>
      <c r="G127" s="116">
        <f>IF(Init!$R$9="Yes",SUMPRODUCT('Staging Table'!AJ129:AU129,LS_Demand_Rates_Restatement!$C$10:$N$10),SUMPRODUCT(LS_Demand_Rates_Restatement!$C$10:$N$10,'Staging Table'!CW129:DH129))*1000</f>
        <v>1414378.4012183761</v>
      </c>
      <c r="H127" s="117">
        <f>IF(Init!$R$9="Yes",'Staging Table'!BQ129,'Staging Table'!ED129)*IF(Init!$R$3=2022,Rates_previous!$C$88,Rates_previous!$D$88)</f>
        <v>0</v>
      </c>
      <c r="I127" s="115">
        <v>0</v>
      </c>
      <c r="J127" s="117">
        <f>IF(Init!$R$9="Yes",IF('Staging Table'!D129=1,'Staging Table'!H129*-1,'Staging Table'!H129*SUM(D127:I127)*(-1)),IF('Staging Table'!D129=1,'Staging Table'!BU129*-1,'Staging Table'!BU129*SUM(D127:I127)*(-1)))</f>
        <v>-1592691.4399734526</v>
      </c>
      <c r="K127" s="115">
        <f>IF(Init!$R$9="Yes",'Staging Table'!K129,'Staging Table'!BX129)*(-1)*Rates_previous!$H$32</f>
        <v>-82972.4038</v>
      </c>
      <c r="L127" s="115">
        <f>IF('Staging Table'!C129=1,"",SUM(D127:K127))</f>
        <v>22514582.088633697</v>
      </c>
      <c r="M127" s="115">
        <f>IF('Staging Table'!C129=1,"",IF(Init!$R$9="Yes",(RT1SC!$C$3*'Staging Table'!E129*'Staging Table'!$F$2)+SUM('Staging Table'!L129:AI129)-IF(Init!$R$12="No",'Staging Table'!BH129, 0),X127))</f>
        <v>742705.23294314917</v>
      </c>
      <c r="N127" s="69">
        <f>IF('Staging Table'!C129=1,"",IF(M127=0, 0, L127/M127))</f>
        <v>30.31429036714097</v>
      </c>
      <c r="O127" s="115">
        <f>'Staging Table'!BR129*Rates_current!$F$77*100*12</f>
        <v>31336732.416600004</v>
      </c>
      <c r="P127" s="115">
        <f>'Staging Table'!BS129*Rates_current!$F$78*100*12</f>
        <v>-5019304.7178000007</v>
      </c>
      <c r="Q127" s="116">
        <f>SUMPRODUCT('Staging Table'!BY129:CV129, LS_Demand_Rates_Restatement!$C$5:$Z$5)-IF(Init!$R$12="No",('Staging Table'!DU129*Rates_current!$I$46), 0)</f>
        <v>565135.57210921228</v>
      </c>
      <c r="R127" s="116">
        <f>SUMPRODUCT('Staging Table'!CW129:DH129, LS_Demand_Rates_Restatement!$C$11:$N$11)*1000</f>
        <v>1602557.7394512468</v>
      </c>
      <c r="S127" s="117">
        <f>'Staging Table'!ED129*IF(Init!$R$15="Yes",IF(Init!$R$6=2024,Rates_current!$C$89,Rates_current!$D$89),Rates_current!$I$45)</f>
        <v>-3.3580760882003231</v>
      </c>
      <c r="T127" s="117">
        <v>0</v>
      </c>
      <c r="U127" s="117">
        <f>IF('Staging Table'!D129=1, 'Staging Table'!BU129*-1,SUM(O127:T127)*'Staging Table'!BU129*-1)</f>
        <v>-1851532.6473984846</v>
      </c>
      <c r="V127" s="115">
        <f>'Staging Table'!BX129*Rates_current!$I$44*-1</f>
        <v>-85769.226400000014</v>
      </c>
      <c r="W127" s="115">
        <f>IF('Staging Table'!C129=1,"",SUM(O127:V127))</f>
        <v>26547815.778485894</v>
      </c>
      <c r="X127" s="115">
        <f>IF('Staging Table'!C129=1,"",(RT1SC!$C$4*'Staging Table'!BR129*'Staging Table'!$BS$2)+SUM('Staging Table'!BY129:CV129)-IF(Init!$R$12="No",'Staging Table'!DU129, 0))</f>
        <v>753579.86548352789</v>
      </c>
      <c r="Y127" s="69">
        <f>IF('Staging Table'!C129=1,"",IF(X127=0, 0, W127/X127))</f>
        <v>35.228934575437101</v>
      </c>
      <c r="Z127" s="64">
        <f ca="1">IF('Staging Table'!C129=1,"",(Y127/N127-1)+(RAND()/100000000000000))</f>
        <v>0.16212301686017733</v>
      </c>
      <c r="AA127" s="45">
        <f t="shared" ca="1" si="7"/>
        <v>4</v>
      </c>
      <c r="AC127">
        <f t="shared" si="6"/>
        <v>1.1330473783188211</v>
      </c>
      <c r="AD127" s="119"/>
      <c r="AE127" s="119"/>
      <c r="AG127" s="119"/>
      <c r="AH127" s="119"/>
    </row>
    <row r="128" spans="2:34">
      <c r="B128" s="2">
        <v>10448</v>
      </c>
      <c r="C128" s="3" t="s">
        <v>132</v>
      </c>
      <c r="D128" s="115">
        <f>IF(Init!$R$9="Yes",'Staging Table'!E130,'Staging Table'!BR130)*Rates_previous!$E$76*100*12</f>
        <v>2972173.4071200006</v>
      </c>
      <c r="E128" s="115">
        <f>IF(Init!$R$9="Yes",'Staging Table'!F130,'Staging Table'!BS130)*Rates_previous!$E$77*100*12</f>
        <v>-606795.86556000006</v>
      </c>
      <c r="F128" s="116">
        <f>IF(Init!$R$9="Yes",SUMPRODUCT('Staging Table'!L130:AI130,LS_Demand_Rates_Restatement!$C$4:$Z$4)-IF(Init!$R$12="No",('Staging Table'!BH130*Rates_previous!$H$34), 0),SUMPRODUCT('Staging Table'!BY130:CV130,LS_Demand_Rates_Restatement!$C$4:$Z$4)-IF(Init!$R$12="No", 'Staging Table'!DU130*Rates_previous!$H$34, 0))</f>
        <v>0</v>
      </c>
      <c r="G128" s="116">
        <f>IF(Init!$R$9="Yes",SUMPRODUCT('Staging Table'!AJ130:AU130,LS_Demand_Rates_Restatement!$C$10:$N$10),SUMPRODUCT(LS_Demand_Rates_Restatement!$C$10:$N$10,'Staging Table'!CW130:DH130))*1000</f>
        <v>0</v>
      </c>
      <c r="H128" s="117">
        <f>IF(Init!$R$9="Yes",'Staging Table'!BQ130,'Staging Table'!ED130)*IF(Init!$R$3=2022,Rates_previous!$C$88,Rates_previous!$D$88)</f>
        <v>0</v>
      </c>
      <c r="I128" s="115">
        <v>0</v>
      </c>
      <c r="J128" s="117">
        <f>IF(Init!$R$9="Yes",IF('Staging Table'!D130=1,'Staging Table'!H130*-1,'Staging Table'!H130*SUM(D128:I128)*(-1)),IF('Staging Table'!D130=1,'Staging Table'!BU130*-1,'Staging Table'!BU130*SUM(D128:I128)*(-1)))</f>
        <v>-165576.42790920008</v>
      </c>
      <c r="K128" s="115">
        <f>IF(Init!$R$9="Yes",'Staging Table'!K130,'Staging Table'!BX130)*(-1)*Rates_previous!$H$32</f>
        <v>0</v>
      </c>
      <c r="L128" s="115" t="str">
        <f>IF('Staging Table'!C130=1,"",SUM(D128:K128))</f>
        <v/>
      </c>
      <c r="M128" s="115" t="str">
        <f>IF('Staging Table'!C130=1,"",IF(Init!$R$9="Yes",(RT1SC!$C$3*'Staging Table'!E130*'Staging Table'!$F$2)+SUM('Staging Table'!L130:AI130)-IF(Init!$R$12="No",'Staging Table'!BH130, 0),X128))</f>
        <v/>
      </c>
      <c r="N128" s="69" t="str">
        <f>IF('Staging Table'!C130=1,"",IF(M128=0, 0, L128/M128))</f>
        <v/>
      </c>
      <c r="O128" s="115">
        <f>'Staging Table'!BR130*Rates_current!$F$77*100*12</f>
        <v>3107282.8331999998</v>
      </c>
      <c r="P128" s="115">
        <f>'Staging Table'!BS130*Rates_current!$F$78*100*12</f>
        <v>-497703.43559999997</v>
      </c>
      <c r="Q128" s="116">
        <f>SUMPRODUCT('Staging Table'!BY130:CV130, LS_Demand_Rates_Restatement!$C$5:$Z$5)-IF(Init!$R$12="No",('Staging Table'!DU130*Rates_current!$I$46), 0)</f>
        <v>0</v>
      </c>
      <c r="R128" s="116">
        <f>SUMPRODUCT('Staging Table'!CW130:DH130, LS_Demand_Rates_Restatement!$C$11:$N$11)*1000</f>
        <v>0</v>
      </c>
      <c r="S128" s="117">
        <f>'Staging Table'!ED130*IF(Init!$R$15="Yes",IF(Init!$R$6=2024,Rates_current!$C$89,Rates_current!$D$89),Rates_current!$I$45)</f>
        <v>0</v>
      </c>
      <c r="T128" s="117">
        <v>0</v>
      </c>
      <c r="U128" s="117">
        <f>IF('Staging Table'!D130=1, 'Staging Table'!BU130*-1,SUM(O128:T128)*'Staging Table'!BU130*-1)</f>
        <v>-194877.14844914421</v>
      </c>
      <c r="V128" s="115">
        <f>'Staging Table'!BX130*Rates_current!$I$44*-1</f>
        <v>0</v>
      </c>
      <c r="W128" s="115" t="str">
        <f>IF('Staging Table'!C130=1,"",SUM(O128:V128))</f>
        <v/>
      </c>
      <c r="X128" s="115" t="str">
        <f>IF('Staging Table'!C130=1,"",(RT1SC!$C$4*'Staging Table'!BR130*'Staging Table'!$BS$2)+SUM('Staging Table'!BY130:CV130)-IF(Init!$R$12="No",'Staging Table'!DU130, 0))</f>
        <v/>
      </c>
      <c r="Y128" s="69" t="str">
        <f>IF('Staging Table'!C130=1,"",IF(X128=0, 0, W128/X128))</f>
        <v/>
      </c>
      <c r="Z128" s="64" t="str">
        <f ca="1">IF('Staging Table'!C130=1,"",(Y128/N128-1)+(RAND()/100000000000000))</f>
        <v/>
      </c>
      <c r="AA128" s="45" t="str">
        <f t="shared" ca="1" si="7"/>
        <v/>
      </c>
      <c r="AD128" s="119"/>
      <c r="AE128" s="119"/>
      <c r="AG128" s="119"/>
      <c r="AH128" s="119"/>
    </row>
    <row r="129" spans="1:34">
      <c r="B129" s="2">
        <v>10451</v>
      </c>
      <c r="C129" s="3" t="s">
        <v>133</v>
      </c>
      <c r="D129" s="115">
        <f>IF(Init!$R$9="Yes",'Staging Table'!E131,'Staging Table'!BR131)*Rates_previous!$E$76*100*12</f>
        <v>9464071.7383200005</v>
      </c>
      <c r="E129" s="115">
        <f>IF(Init!$R$9="Yes",'Staging Table'!F131,'Staging Table'!BS131)*Rates_previous!$E$77*100*12</f>
        <v>-1932175.1511600001</v>
      </c>
      <c r="F129" s="116">
        <f>IF(Init!$R$9="Yes",SUMPRODUCT('Staging Table'!L131:AI131,LS_Demand_Rates_Restatement!$C$4:$Z$4)-IF(Init!$R$12="No",('Staging Table'!BH131*Rates_previous!$H$34), 0),SUMPRODUCT('Staging Table'!BY131:CV131,LS_Demand_Rates_Restatement!$C$4:$Z$4)-IF(Init!$R$12="No", 'Staging Table'!DU131*Rates_previous!$H$34, 0))</f>
        <v>-42118.300746413646</v>
      </c>
      <c r="G129" s="116">
        <f>IF(Init!$R$9="Yes",SUMPRODUCT('Staging Table'!AJ131:AU131,LS_Demand_Rates_Restatement!$C$10:$N$10),SUMPRODUCT(LS_Demand_Rates_Restatement!$C$10:$N$10,'Staging Table'!CW131:DH131))*1000</f>
        <v>203295.44575018695</v>
      </c>
      <c r="H129" s="117">
        <f>IF(Init!$R$9="Yes",'Staging Table'!BQ131,'Staging Table'!ED131)*IF(Init!$R$3=2022,Rates_previous!$C$88,Rates_previous!$D$88)</f>
        <v>0</v>
      </c>
      <c r="I129" s="115">
        <v>0</v>
      </c>
      <c r="J129" s="117">
        <f>IF(Init!$R$9="Yes",IF('Staging Table'!D131=1,'Staging Table'!H131*-1,'Staging Table'!H131*SUM(D129:I129)*(-1)),IF('Staging Table'!D131=1,'Staging Table'!BU131*-1,'Staging Table'!BU131*SUM(D129:I129)*(-1)))</f>
        <v>0</v>
      </c>
      <c r="K129" s="115">
        <f>IF(Init!$R$9="Yes",'Staging Table'!K131,'Staging Table'!BX131)*(-1)*Rates_previous!$H$32</f>
        <v>0</v>
      </c>
      <c r="L129" s="115">
        <f>IF('Staging Table'!C131=1,"",SUM(D129:K129))</f>
        <v>7693073.7321637738</v>
      </c>
      <c r="M129" s="115">
        <f>IF('Staging Table'!C131=1,"",IF(Init!$R$9="Yes",(RT1SC!$C$3*'Staging Table'!E131*'Staging Table'!$F$2)+SUM('Staging Table'!L131:AI131)-IF(Init!$R$12="No",'Staging Table'!BH131, 0),X129))</f>
        <v>235701.07199999999</v>
      </c>
      <c r="N129" s="69">
        <f>IF('Staging Table'!C131=1,"",IF(M129=0, 0, L129/M129))</f>
        <v>32.639112189374238</v>
      </c>
      <c r="O129" s="115">
        <f>'Staging Table'!BR131*Rates_current!$F$77*100*12</f>
        <v>9830750.8805999998</v>
      </c>
      <c r="P129" s="115">
        <f>'Staging Table'!BS131*Rates_current!$F$78*100*12</f>
        <v>-1574622.8297999999</v>
      </c>
      <c r="Q129" s="116">
        <f>SUMPRODUCT('Staging Table'!BY131:CV131, LS_Demand_Rates_Restatement!$C$5:$Z$5)-IF(Init!$R$12="No",('Staging Table'!DU131*Rates_current!$I$46), 0)</f>
        <v>150273.91389367764</v>
      </c>
      <c r="R129" s="116">
        <f>SUMPRODUCT('Staging Table'!CW131:DH131, LS_Demand_Rates_Restatement!$C$11:$N$11)*1000</f>
        <v>249892.77985389944</v>
      </c>
      <c r="S129" s="117">
        <f>'Staging Table'!ED131*IF(Init!$R$15="Yes",IF(Init!$R$6=2024,Rates_current!$C$89,Rates_current!$D$89),Rates_current!$I$45)</f>
        <v>0</v>
      </c>
      <c r="T129" s="117">
        <v>0</v>
      </c>
      <c r="U129" s="117">
        <f>IF('Staging Table'!D131=1, 'Staging Table'!BU131*-1,SUM(O129:T129)*'Staging Table'!BU131*-1)</f>
        <v>0</v>
      </c>
      <c r="V129" s="115">
        <f>'Staging Table'!BX131*Rates_current!$I$44*-1</f>
        <v>0</v>
      </c>
      <c r="W129" s="115">
        <f>IF('Staging Table'!C131=1,"",SUM(O129:V129))</f>
        <v>8656294.7445475757</v>
      </c>
      <c r="X129" s="115">
        <f>IF('Staging Table'!C131=1,"",(RT1SC!$C$4*'Staging Table'!BR131*'Staging Table'!$BS$2)+SUM('Staging Table'!BY131:CV131)-IF(Init!$R$12="No",'Staging Table'!DU131, 0))</f>
        <v>236406.12</v>
      </c>
      <c r="Y129" s="69">
        <f>IF('Staging Table'!C131=1,"",IF(X129=0, 0, W129/X129))</f>
        <v>36.616204117505823</v>
      </c>
      <c r="Z129" s="64">
        <f ca="1">IF('Staging Table'!C131=1,"",(Y129/N129-1)+(RAND()/100000000000000))</f>
        <v>0.12185049351392679</v>
      </c>
      <c r="AA129" s="45">
        <f t="shared" ca="1" si="7"/>
        <v>12</v>
      </c>
      <c r="AC129">
        <f t="shared" ref="AC129:AC132" si="8">R129/G129</f>
        <v>1.2292099261336731</v>
      </c>
      <c r="AD129" s="119"/>
      <c r="AE129" s="119"/>
      <c r="AG129" s="119"/>
      <c r="AH129" s="119"/>
    </row>
    <row r="130" spans="1:34">
      <c r="B130" s="2">
        <v>10482</v>
      </c>
      <c r="C130" s="3" t="s">
        <v>134</v>
      </c>
      <c r="D130" s="115">
        <f>IF(Init!$R$9="Yes",'Staging Table'!E132,'Staging Table'!BR132)*Rates_previous!$E$76*100*12</f>
        <v>1000689.00984</v>
      </c>
      <c r="E130" s="115">
        <f>IF(Init!$R$9="Yes",'Staging Table'!F132,'Staging Table'!BS132)*Rates_previous!$E$77*100*12</f>
        <v>-204299.63892</v>
      </c>
      <c r="F130" s="116">
        <f>IF(Init!$R$9="Yes",SUMPRODUCT('Staging Table'!L132:AI132,LS_Demand_Rates_Restatement!$C$4:$Z$4)-IF(Init!$R$12="No",('Staging Table'!BH132*Rates_previous!$H$34), 0),SUMPRODUCT('Staging Table'!BY132:CV132,LS_Demand_Rates_Restatement!$C$4:$Z$4)-IF(Init!$R$12="No", 'Staging Table'!DU132*Rates_previous!$H$34, 0))</f>
        <v>-52829.058670403239</v>
      </c>
      <c r="G130" s="116">
        <f>IF(Init!$R$9="Yes",SUMPRODUCT('Staging Table'!AJ132:AU132,LS_Demand_Rates_Restatement!$C$10:$N$10),SUMPRODUCT(LS_Demand_Rates_Restatement!$C$10:$N$10,'Staging Table'!CW132:DH132))*1000</f>
        <v>43527.581694017084</v>
      </c>
      <c r="H130" s="117">
        <f>IF(Init!$R$9="Yes",'Staging Table'!BQ132,'Staging Table'!ED132)*IF(Init!$R$3=2022,Rates_previous!$C$88,Rates_previous!$D$88)</f>
        <v>0</v>
      </c>
      <c r="I130" s="115">
        <v>0</v>
      </c>
      <c r="J130" s="117">
        <f>IF(Init!$R$9="Yes",IF('Staging Table'!D132=1,'Staging Table'!H132*-1,'Staging Table'!H132*SUM(D130:I130)*(-1)),IF('Staging Table'!D132=1,'Staging Table'!BU132*-1,'Staging Table'!BU132*SUM(D130:I130)*(-1)))</f>
        <v>0</v>
      </c>
      <c r="K130" s="115">
        <f>IF(Init!$R$9="Yes",'Staging Table'!K132,'Staging Table'!BX132)*(-1)*Rates_previous!$H$32</f>
        <v>0</v>
      </c>
      <c r="L130" s="115">
        <f>IF('Staging Table'!C132=1,"",SUM(D130:K130))</f>
        <v>787087.89394361374</v>
      </c>
      <c r="M130" s="115">
        <f>IF('Staging Table'!C132=1,"",IF(Init!$R$9="Yes",(RT1SC!$C$3*'Staging Table'!E132*'Staging Table'!$F$2)+SUM('Staging Table'!L132:AI132)-IF(Init!$R$12="No",'Staging Table'!BH132, 0),X130))</f>
        <v>23558.505114243479</v>
      </c>
      <c r="N130" s="69">
        <f>IF('Staging Table'!C132=1,"",IF(M130=0, 0, L130/M130))</f>
        <v>33.409925210735899</v>
      </c>
      <c r="O130" s="115">
        <f>'Staging Table'!BR132*Rates_current!$F$77*100*12</f>
        <v>979475.21879999992</v>
      </c>
      <c r="P130" s="115">
        <f>'Staging Table'!BS132*Rates_current!$F$78*100*12</f>
        <v>-156885.68040000001</v>
      </c>
      <c r="Q130" s="116">
        <f>SUMPRODUCT('Staging Table'!BY132:CV132, LS_Demand_Rates_Restatement!$C$5:$Z$5)-IF(Init!$R$12="No",('Staging Table'!DU132*Rates_current!$I$46), 0)</f>
        <v>16591.090024039146</v>
      </c>
      <c r="R130" s="116">
        <f>SUMPRODUCT('Staging Table'!CW132:DH132, LS_Demand_Rates_Restatement!$C$11:$N$11)*1000</f>
        <v>48001.281265420235</v>
      </c>
      <c r="S130" s="117">
        <f>'Staging Table'!ED132*IF(Init!$R$15="Yes",IF(Init!$R$6=2024,Rates_current!$C$89,Rates_current!$D$89),Rates_current!$I$45)</f>
        <v>-11.121594742170418</v>
      </c>
      <c r="T130" s="117">
        <v>0</v>
      </c>
      <c r="U130" s="117">
        <f>IF('Staging Table'!D132=1, 'Staging Table'!BU132*-1,SUM(O130:T130)*'Staging Table'!BU132*-1)</f>
        <v>0</v>
      </c>
      <c r="V130" s="115">
        <f>'Staging Table'!BX132*Rates_current!$I$44*-1</f>
        <v>0</v>
      </c>
      <c r="W130" s="115">
        <f>IF('Staging Table'!C132=1,"",SUM(O130:V130))</f>
        <v>887170.78809471719</v>
      </c>
      <c r="X130" s="115">
        <f>IF('Staging Table'!C132=1,"",(RT1SC!$C$4*'Staging Table'!BR132*'Staging Table'!$BS$2)+SUM('Staging Table'!BY132:CV132)-IF(Init!$R$12="No",'Staging Table'!DU132, 0))</f>
        <v>23558.506390397466</v>
      </c>
      <c r="Y130" s="69">
        <f>IF('Staging Table'!C132=1,"",IF(X130=0, 0, W130/X130))</f>
        <v>37.658193324867625</v>
      </c>
      <c r="Z130" s="64">
        <f ca="1">IF('Staging Table'!C132=1,"",(Y130/N130-1)+(RAND()/100000000000000))</f>
        <v>0.12715587021926769</v>
      </c>
      <c r="AA130" s="45">
        <f t="shared" ca="1" si="7"/>
        <v>7</v>
      </c>
      <c r="AC130">
        <f t="shared" si="8"/>
        <v>1.1027785003736623</v>
      </c>
      <c r="AD130" s="119"/>
      <c r="AE130" s="119"/>
      <c r="AG130" s="119"/>
      <c r="AH130" s="119"/>
    </row>
    <row r="131" spans="1:34">
      <c r="B131" s="2">
        <v>10502</v>
      </c>
      <c r="C131" s="3" t="s">
        <v>135</v>
      </c>
      <c r="D131" s="115">
        <f>IF(Init!$R$9="Yes",'Staging Table'!E133,'Staging Table'!BR133)*Rates_previous!$E$76*100*12</f>
        <v>6713360.2504800009</v>
      </c>
      <c r="E131" s="115">
        <f>IF(Init!$R$9="Yes",'Staging Table'!F133,'Staging Table'!BS133)*Rates_previous!$E$77*100*12</f>
        <v>-1370592.72324</v>
      </c>
      <c r="F131" s="116">
        <f>IF(Init!$R$9="Yes",SUMPRODUCT('Staging Table'!L133:AI133,LS_Demand_Rates_Restatement!$C$4:$Z$4)-IF(Init!$R$12="No",('Staging Table'!BH133*Rates_previous!$H$34), 0),SUMPRODUCT('Staging Table'!BY133:CV133,LS_Demand_Rates_Restatement!$C$4:$Z$4)-IF(Init!$R$12="No", 'Staging Table'!DU133*Rates_previous!$H$34, 0))</f>
        <v>39925.319294849425</v>
      </c>
      <c r="G131" s="116">
        <f>IF(Init!$R$9="Yes",SUMPRODUCT('Staging Table'!AJ133:AU133,LS_Demand_Rates_Restatement!$C$10:$N$10),SUMPRODUCT(LS_Demand_Rates_Restatement!$C$10:$N$10,'Staging Table'!CW133:DH133))*1000</f>
        <v>275358.67006501078</v>
      </c>
      <c r="H131" s="117">
        <f>IF(Init!$R$9="Yes",'Staging Table'!BQ133,'Staging Table'!ED133)*IF(Init!$R$3=2022,Rates_previous!$C$88,Rates_previous!$D$88)</f>
        <v>0</v>
      </c>
      <c r="I131" s="115">
        <v>0</v>
      </c>
      <c r="J131" s="117">
        <f>IF(Init!$R$9="Yes",IF('Staging Table'!D133=1,'Staging Table'!H133*-1,'Staging Table'!H133*SUM(D131:I131)*(-1)),IF('Staging Table'!D133=1,'Staging Table'!BU133*-1,'Staging Table'!BU133*SUM(D131:I131)*(-1)))</f>
        <v>-396063.60616199032</v>
      </c>
      <c r="K131" s="115">
        <f>IF(Init!$R$9="Yes",'Staging Table'!K133,'Staging Table'!BX133)*(-1)*Rates_previous!$H$32</f>
        <v>-83184.794289999991</v>
      </c>
      <c r="L131" s="115">
        <f>IF('Staging Table'!C133=1,"",SUM(D131:K131))</f>
        <v>5178803.1161478711</v>
      </c>
      <c r="M131" s="115">
        <f>IF('Staging Table'!C133=1,"",IF(Init!$R$9="Yes",(RT1SC!$C$3*'Staging Table'!E133*'Staging Table'!$F$2)+SUM('Staging Table'!L133:AI133)-IF(Init!$R$12="No",'Staging Table'!BH133, 0),X131))</f>
        <v>164322.288</v>
      </c>
      <c r="N131" s="69">
        <f>IF('Staging Table'!C133=1,"",IF(M131=0, 0, L131/M131))</f>
        <v>31.516133198850486</v>
      </c>
      <c r="O131" s="115">
        <f>'Staging Table'!BR133*Rates_current!$F$77*100*12</f>
        <v>6852441.7806000011</v>
      </c>
      <c r="P131" s="115">
        <f>'Staging Table'!BS133*Rates_current!$F$78*100*12</f>
        <v>-1097577.5298000001</v>
      </c>
      <c r="Q131" s="116">
        <f>SUMPRODUCT('Staging Table'!BY133:CV133, LS_Demand_Rates_Restatement!$C$5:$Z$5)-IF(Init!$R$12="No",('Staging Table'!DU133*Rates_current!$I$46), 0)</f>
        <v>164530.22822025101</v>
      </c>
      <c r="R131" s="116">
        <f>SUMPRODUCT('Staging Table'!CW133:DH133, LS_Demand_Rates_Restatement!$C$11:$N$11)*1000</f>
        <v>331365.20200453175</v>
      </c>
      <c r="S131" s="117">
        <f>'Staging Table'!ED133*IF(Init!$R$15="Yes",IF(Init!$R$6=2024,Rates_current!$C$89,Rates_current!$D$89),Rates_current!$I$45)</f>
        <v>-8.996661798798014</v>
      </c>
      <c r="T131" s="117">
        <v>0</v>
      </c>
      <c r="U131" s="117">
        <f>IF('Staging Table'!D133=1, 'Staging Table'!BU133*-1,SUM(O131:T131)*'Staging Table'!BU133*-1)</f>
        <v>-437552.54790540895</v>
      </c>
      <c r="V131" s="115">
        <f>'Staging Table'!BX133*Rates_current!$I$44*-1</f>
        <v>-85988.776119999995</v>
      </c>
      <c r="W131" s="115">
        <f>IF('Staging Table'!C133=1,"",SUM(O131:V131))</f>
        <v>5727209.3603375759</v>
      </c>
      <c r="X131" s="115">
        <f>IF('Staging Table'!C133=1,"",(RT1SC!$C$4*'Staging Table'!BR133*'Staging Table'!$BS$2)+SUM('Staging Table'!BY133:CV133)-IF(Init!$R$12="No",'Staging Table'!DU133, 0))</f>
        <v>164786.67872726772</v>
      </c>
      <c r="Y131" s="69">
        <f>IF('Staging Table'!C133=1,"",IF(X131=0, 0, W131/X131))</f>
        <v>34.755293356063483</v>
      </c>
      <c r="Z131" s="64">
        <f ca="1">IF('Staging Table'!C133=1,"",(Y131/N131-1)+(RAND()/100000000000000))</f>
        <v>0.10277784196353389</v>
      </c>
      <c r="AA131" s="45">
        <f t="shared" ca="1" si="7"/>
        <v>28</v>
      </c>
      <c r="AC131">
        <f t="shared" si="8"/>
        <v>1.2033948374543577</v>
      </c>
      <c r="AD131" s="119"/>
      <c r="AE131" s="119"/>
      <c r="AG131" s="119"/>
      <c r="AH131" s="119"/>
    </row>
    <row r="132" spans="1:34">
      <c r="B132" s="2">
        <v>13927</v>
      </c>
      <c r="C132" s="3" t="s">
        <v>238</v>
      </c>
      <c r="D132" s="115">
        <f>IF(Init!$R$9="Yes",'Staging Table'!E134,'Staging Table'!BR134)*Rates_previous!$E$76*100*12</f>
        <v>1286173.1037599999</v>
      </c>
      <c r="E132" s="115">
        <f>IF(Init!$R$9="Yes",'Staging Table'!F134,'Staging Table'!BS134)*Rates_previous!$E$77*100*12</f>
        <v>-262583.77788000001</v>
      </c>
      <c r="F132" s="116">
        <f>IF(Init!$R$9="Yes",SUMPRODUCT('Staging Table'!L134:AI134,LS_Demand_Rates_Restatement!$C$4:$Z$4)-IF(Init!$R$12="No",('Staging Table'!BH134*Rates_previous!$H$34), 0),SUMPRODUCT('Staging Table'!BY134:CV134,LS_Demand_Rates_Restatement!$C$4:$Z$4)-IF(Init!$R$12="No", 'Staging Table'!DU134*Rates_previous!$H$34, 0))</f>
        <v>164021.71653257476</v>
      </c>
      <c r="G132" s="116">
        <f>IF(Init!$R$9="Yes",SUMPRODUCT('Staging Table'!AJ134:AU134,LS_Demand_Rates_Restatement!$C$10:$N$10),SUMPRODUCT(LS_Demand_Rates_Restatement!$C$10:$N$10,'Staging Table'!CW134:DH134))*1000</f>
        <v>37707.543042868601</v>
      </c>
      <c r="H132" s="117">
        <f>IF(Init!$R$9="Yes",'Staging Table'!BQ134,'Staging Table'!ED134)*IF(Init!$R$3=2022,Rates_previous!$C$88,Rates_previous!$D$88)</f>
        <v>0</v>
      </c>
      <c r="I132" s="115">
        <v>0</v>
      </c>
      <c r="J132" s="117">
        <f>IF(Init!$R$9="Yes",IF('Staging Table'!D134=1,'Staging Table'!H134*-1,'Staging Table'!H134*SUM(D132:I132)*(-1)),IF('Staging Table'!D134=1,'Staging Table'!BU134*-1,'Staging Table'!BU134*SUM(D132:I132)*(-1)))</f>
        <v>0</v>
      </c>
      <c r="K132" s="115">
        <f>IF(Init!$R$9="Yes",'Staging Table'!K134,'Staging Table'!BX134)*(-1)*Rates_previous!$H$32</f>
        <v>0</v>
      </c>
      <c r="L132" s="115">
        <f>IF('Staging Table'!C134=1,"",SUM(D132:K132))</f>
        <v>1225318.5854554432</v>
      </c>
      <c r="M132" s="115">
        <f>IF('Staging Table'!C134=1,"",IF(Init!$R$9="Yes",(RT1SC!$C$3*'Staging Table'!E134*'Staging Table'!$F$2)+SUM('Staging Table'!L134:AI134)-IF(Init!$R$12="No",'Staging Table'!BH134, 0),X132))</f>
        <v>35777.232000000004</v>
      </c>
      <c r="N132" s="69">
        <f>IF('Staging Table'!C134=1,"",IF(M132=0, 0, L132/M132))</f>
        <v>34.248557447245865</v>
      </c>
      <c r="O132" s="115">
        <f>'Staging Table'!BR134*Rates_current!$F$77*100*12</f>
        <v>1492521.3341999999</v>
      </c>
      <c r="P132" s="115">
        <f>'Staging Table'!BS134*Rates_current!$F$78*100*12</f>
        <v>-239061.91860000003</v>
      </c>
      <c r="Q132" s="116">
        <f>SUMPRODUCT('Staging Table'!BY134:CV134, LS_Demand_Rates_Restatement!$C$5:$Z$5)-IF(Init!$R$12="No",('Staging Table'!DU134*Rates_current!$I$46), 0)</f>
        <v>34054.360273627215</v>
      </c>
      <c r="R132" s="116">
        <f>SUMPRODUCT('Staging Table'!CW134:DH134, LS_Demand_Rates_Restatement!$C$11:$N$11)*1000</f>
        <v>39840.400913701938</v>
      </c>
      <c r="S132" s="117">
        <f>'Staging Table'!ED134*IF(Init!$R$15="Yes",IF(Init!$R$6=2024,Rates_current!$C$89,Rates_current!$D$89),Rates_current!$I$45)</f>
        <v>0</v>
      </c>
      <c r="T132" s="117">
        <v>0</v>
      </c>
      <c r="U132" s="117">
        <f>IF('Staging Table'!D134=1, 'Staging Table'!BU134*-1,SUM(O132:T132)*'Staging Table'!BU134*-1)</f>
        <v>0</v>
      </c>
      <c r="V132" s="115">
        <f>'Staging Table'!BX134*Rates_current!$I$44*-1</f>
        <v>0</v>
      </c>
      <c r="W132" s="115">
        <f>IF('Staging Table'!C134=1,"",SUM(O132:V132))</f>
        <v>1327354.1767873289</v>
      </c>
      <c r="X132" s="115">
        <f>IF('Staging Table'!C134=1,"",(RT1SC!$C$4*'Staging Table'!BR134*'Staging Table'!$BS$2)+SUM('Staging Table'!BY134:CV134)-IF(Init!$R$12="No",'Staging Table'!DU134, 0))</f>
        <v>35889.72</v>
      </c>
      <c r="Y132" s="69">
        <f>IF('Staging Table'!C134=1,"",IF(X132=0, 0, W132/X132))</f>
        <v>36.98424442395563</v>
      </c>
      <c r="Z132" s="64">
        <f ca="1">IF('Staging Table'!C134=1,"",(Y132/N132-1)+(RAND()/100000000000000))</f>
        <v>7.9877436616822312E-2</v>
      </c>
      <c r="AA132" s="45">
        <f t="shared" ref="AA132:AA137" ca="1" si="9">IF(Z132="","",RANK(Z132,$Z$4:$Z$137))</f>
        <v>96</v>
      </c>
      <c r="AC132">
        <f t="shared" si="8"/>
        <v>1.0565631621346572</v>
      </c>
      <c r="AD132" s="119"/>
      <c r="AE132" s="119"/>
      <c r="AG132" s="119"/>
      <c r="AH132" s="119"/>
    </row>
    <row r="133" spans="1:34">
      <c r="B133" s="2">
        <v>10597</v>
      </c>
      <c r="C133" s="3" t="s">
        <v>136</v>
      </c>
      <c r="D133" s="115">
        <f>IF(Init!$R$9="Yes",'Staging Table'!E135,'Staging Table'!BR135)*Rates_previous!$E$76*100*12</f>
        <v>4441444.9480799995</v>
      </c>
      <c r="E133" s="115">
        <f>IF(Init!$R$9="Yes",'Staging Table'!F135,'Staging Table'!BS135)*Rates_previous!$E$77*100*12</f>
        <v>-906760.83204000012</v>
      </c>
      <c r="F133" s="116">
        <f>IF(Init!$R$9="Yes",SUMPRODUCT('Staging Table'!L135:AI135,LS_Demand_Rates_Restatement!$C$4:$Z$4)-IF(Init!$R$12="No",('Staging Table'!BH135*Rates_previous!$H$34), 0),SUMPRODUCT('Staging Table'!BY135:CV135,LS_Demand_Rates_Restatement!$C$4:$Z$4)-IF(Init!$R$12="No", 'Staging Table'!DU135*Rates_previous!$H$34, 0))</f>
        <v>308658.29348113597</v>
      </c>
      <c r="G133" s="116">
        <f>IF(Init!$R$9="Yes",SUMPRODUCT('Staging Table'!AJ135:AU135,LS_Demand_Rates_Restatement!$C$10:$N$10),SUMPRODUCT(LS_Demand_Rates_Restatement!$C$10:$N$10,'Staging Table'!CW135:DH135))*1000</f>
        <v>318011.77460905438</v>
      </c>
      <c r="H133" s="117">
        <f>IF(Init!$R$9="Yes",'Staging Table'!BQ135,'Staging Table'!ED135)*IF(Init!$R$3=2022,Rates_previous!$C$88,Rates_previous!$D$88)</f>
        <v>0</v>
      </c>
      <c r="I133" s="115">
        <v>0</v>
      </c>
      <c r="J133" s="117">
        <f>IF(Init!$R$9="Yes",IF('Staging Table'!D135=1,'Staging Table'!H135*-1,'Staging Table'!H135*SUM(D133:I133)*(-1)),IF('Staging Table'!D135=1,'Staging Table'!BU135*-1,'Staging Table'!BU135*SUM(D133:I133)*(-1)))</f>
        <v>0</v>
      </c>
      <c r="K133" s="115">
        <f>IF(Init!$R$9="Yes",'Staging Table'!K135,'Staging Table'!BX135)*(-1)*Rates_previous!$H$32</f>
        <v>0</v>
      </c>
      <c r="L133" s="115">
        <f>IF('Staging Table'!C135=1,"",SUM(D133:K133))</f>
        <v>4161354.1841301899</v>
      </c>
      <c r="M133" s="115">
        <f>IF('Staging Table'!C135=1,"",IF(Init!$R$9="Yes",(RT1SC!$C$3*'Staging Table'!E135*'Staging Table'!$F$2)+SUM('Staging Table'!L135:AI135)-IF(Init!$R$12="No",'Staging Table'!BH135, 0),X133))</f>
        <v>113638.60799999999</v>
      </c>
      <c r="N133" s="69">
        <f>IF('Staging Table'!C135=1,"",IF(M133=0, 0, L133/M133))</f>
        <v>36.619193576624859</v>
      </c>
      <c r="O133" s="115">
        <f>'Staging Table'!BR135*Rates_current!$F$77*100*12</f>
        <v>4727224.0001999997</v>
      </c>
      <c r="P133" s="115">
        <f>'Staging Table'!BS135*Rates_current!$F$78*100*12</f>
        <v>-757174.59659999993</v>
      </c>
      <c r="Q133" s="116">
        <f>SUMPRODUCT('Staging Table'!BY135:CV135, LS_Demand_Rates_Restatement!$C$5:$Z$5)-IF(Init!$R$12="No",('Staging Table'!DU135*Rates_current!$I$46), 0)</f>
        <v>186299.92918081579</v>
      </c>
      <c r="R133" s="116">
        <f>SUMPRODUCT('Staging Table'!CW135:DH135, LS_Demand_Rates_Restatement!$C$11:$N$11)*1000</f>
        <v>350327.12458349357</v>
      </c>
      <c r="S133" s="117">
        <f>'Staging Table'!ED135*IF(Init!$R$15="Yes",IF(Init!$R$6=2024,Rates_current!$C$89,Rates_current!$D$89),Rates_current!$I$45)</f>
        <v>9.7438034509745197</v>
      </c>
      <c r="T133" s="117">
        <v>0</v>
      </c>
      <c r="U133" s="117">
        <f>IF('Staging Table'!D135=1, 'Staging Table'!BU135*-1,SUM(O133:T133)*'Staging Table'!BU135*-1)</f>
        <v>0</v>
      </c>
      <c r="V133" s="115">
        <f>'Staging Table'!BX135*Rates_current!$I$44*-1</f>
        <v>0</v>
      </c>
      <c r="W133" s="115">
        <f>IF('Staging Table'!C135=1,"",SUM(O133:V133))</f>
        <v>4506686.2011677604</v>
      </c>
      <c r="X133" s="115">
        <f>IF('Staging Table'!C135=1,"",(RT1SC!$C$4*'Staging Table'!BR135*'Staging Table'!$BS$2)+SUM('Staging Table'!BY135:CV135)-IF(Init!$R$12="No",'Staging Table'!DU135, 0))</f>
        <v>113676.00871045078</v>
      </c>
      <c r="Y133" s="69">
        <f>IF('Staging Table'!C135=1,"",IF(X133=0, 0, W133/X133))</f>
        <v>39.645007352843827</v>
      </c>
      <c r="Z133" s="64">
        <f ca="1">IF('Staging Table'!C135=1,"",(Y133/N133-1)+(RAND()/100000000000000))</f>
        <v>8.2629175595785379E-2</v>
      </c>
      <c r="AA133" s="45">
        <f t="shared" ca="1" si="9"/>
        <v>93</v>
      </c>
      <c r="AC133">
        <f t="shared" ref="AC133:AC137" si="10">R133/G133</f>
        <v>1.1016168348299866</v>
      </c>
      <c r="AD133" s="119"/>
      <c r="AE133" s="119"/>
      <c r="AG133" s="119"/>
      <c r="AH133" s="119"/>
    </row>
    <row r="134" spans="1:34">
      <c r="B134" s="2">
        <v>10706</v>
      </c>
      <c r="C134" s="3" t="s">
        <v>137</v>
      </c>
      <c r="D134" s="115">
        <f>IF(Init!$R$9="Yes",'Staging Table'!E136,'Staging Table'!BR136)*Rates_previous!$E$76*100*12</f>
        <v>6041750.2005599998</v>
      </c>
      <c r="E134" s="115">
        <f>IF(Init!$R$9="Yes",'Staging Table'!F136,'Staging Table'!BS136)*Rates_previous!$E$77*100*12</f>
        <v>-1233477.5062800001</v>
      </c>
      <c r="F134" s="116">
        <f>IF(Init!$R$9="Yes",SUMPRODUCT('Staging Table'!L136:AI136,LS_Demand_Rates_Restatement!$C$4:$Z$4)-IF(Init!$R$12="No",('Staging Table'!BH136*Rates_previous!$H$34), 0),SUMPRODUCT('Staging Table'!BY136:CV136,LS_Demand_Rates_Restatement!$C$4:$Z$4)-IF(Init!$R$12="No", 'Staging Table'!DU136*Rates_previous!$H$34, 0))</f>
        <v>-99728.59507542674</v>
      </c>
      <c r="G134" s="116">
        <f>IF(Init!$R$9="Yes",SUMPRODUCT('Staging Table'!AJ136:AU136,LS_Demand_Rates_Restatement!$C$10:$N$10),SUMPRODUCT(LS_Demand_Rates_Restatement!$C$10:$N$10,'Staging Table'!CW136:DH136))*1000</f>
        <v>223928.2236344284</v>
      </c>
      <c r="H134" s="117">
        <f>IF(Init!$R$9="Yes",'Staging Table'!BQ136,'Staging Table'!ED136)*IF(Init!$R$3=2022,Rates_previous!$C$88,Rates_previous!$D$88)</f>
        <v>0</v>
      </c>
      <c r="I134" s="115">
        <v>0</v>
      </c>
      <c r="J134" s="117">
        <f>IF(Init!$R$9="Yes",IF('Staging Table'!D136=1,'Staging Table'!H136*-1,'Staging Table'!H136*SUM(D134:I134)*(-1)),IF('Staging Table'!D136=1,'Staging Table'!BU136*-1,'Staging Table'!BU136*SUM(D134:I134)*(-1)))</f>
        <v>0</v>
      </c>
      <c r="K134" s="115">
        <f>IF(Init!$R$9="Yes",'Staging Table'!K136,'Staging Table'!BX136)*(-1)*Rates_previous!$H$32</f>
        <v>0</v>
      </c>
      <c r="L134" s="115">
        <f>IF('Staging Table'!C136=1,"",SUM(D134:K134))</f>
        <v>4932472.3228390012</v>
      </c>
      <c r="M134" s="115">
        <f>IF('Staging Table'!C136=1,"",IF(Init!$R$9="Yes",(RT1SC!$C$3*'Staging Table'!E136*'Staging Table'!$F$2)+SUM('Staging Table'!L136:AI136)-IF(Init!$R$12="No",'Staging Table'!BH136, 0),X134))</f>
        <v>147450.32468975533</v>
      </c>
      <c r="N134" s="69">
        <f>IF('Staging Table'!C136=1,"",IF(M134=0, 0, L134/M134))</f>
        <v>33.451756265828713</v>
      </c>
      <c r="O134" s="115">
        <f>'Staging Table'!BR136*Rates_current!$F$77*100*12</f>
        <v>6131431.9949999992</v>
      </c>
      <c r="P134" s="115">
        <f>'Staging Table'!BS136*Rates_current!$F$78*100*12</f>
        <v>-982091.08499999985</v>
      </c>
      <c r="Q134" s="116">
        <f>SUMPRODUCT('Staging Table'!BY136:CV136, LS_Demand_Rates_Restatement!$C$5:$Z$5)-IF(Init!$R$12="No",('Staging Table'!DU136*Rates_current!$I$46), 0)</f>
        <v>131002.2804653006</v>
      </c>
      <c r="R134" s="116">
        <f>SUMPRODUCT('Staging Table'!CW136:DH136, LS_Demand_Rates_Restatement!$C$11:$N$11)*1000</f>
        <v>247907.61895315172</v>
      </c>
      <c r="S134" s="117">
        <f>'Staging Table'!ED136*IF(Init!$R$15="Yes",IF(Init!$R$6=2024,Rates_current!$C$89,Rates_current!$D$89),Rates_current!$I$45)</f>
        <v>-7.8092906294646669</v>
      </c>
      <c r="T134" s="117">
        <v>0</v>
      </c>
      <c r="U134" s="117">
        <f>IF('Staging Table'!D136=1, 'Staging Table'!BU136*-1,SUM(O134:T134)*'Staging Table'!BU136*-1)</f>
        <v>0</v>
      </c>
      <c r="V134" s="115">
        <f>'Staging Table'!BX136*Rates_current!$I$44*-1</f>
        <v>0</v>
      </c>
      <c r="W134" s="115">
        <f>IF('Staging Table'!C136=1,"",SUM(O134:V134))</f>
        <v>5528243.0001278212</v>
      </c>
      <c r="X134" s="115">
        <f>IF('Staging Table'!C136=1,"",(RT1SC!$C$4*'Staging Table'!BR136*'Staging Table'!$BS$2)+SUM('Staging Table'!BY136:CV136)-IF(Init!$R$12="No",'Staging Table'!DU136, 0))</f>
        <v>147450.33270377049</v>
      </c>
      <c r="Y134" s="69">
        <f>IF('Staging Table'!C136=1,"",IF(X134=0, 0, W134/X134))</f>
        <v>37.492238225288567</v>
      </c>
      <c r="Z134" s="64">
        <f ca="1">IF('Staging Table'!C136=1,"",(Y134/N134-1)+(RAND()/100000000000000))</f>
        <v>0.12078534613704164</v>
      </c>
      <c r="AA134" s="45">
        <f t="shared" ca="1" si="9"/>
        <v>13</v>
      </c>
      <c r="AC134">
        <f t="shared" si="10"/>
        <v>1.1070851852862935</v>
      </c>
      <c r="AD134" s="119"/>
      <c r="AE134" s="119"/>
      <c r="AG134" s="119"/>
      <c r="AH134" s="119"/>
    </row>
    <row r="135" spans="1:34">
      <c r="B135" s="2">
        <v>11680</v>
      </c>
      <c r="C135" s="3" t="s">
        <v>138</v>
      </c>
      <c r="D135" s="115">
        <f>IF(Init!$R$9="Yes",'Staging Table'!E137,'Staging Table'!BR137)*Rates_previous!$E$76*100*12</f>
        <v>2282627.1837599999</v>
      </c>
      <c r="E135" s="115">
        <f>IF(Init!$R$9="Yes",'Staging Table'!F137,'Staging Table'!BS137)*Rates_previous!$E$77*100*12</f>
        <v>-466018.81787999999</v>
      </c>
      <c r="F135" s="116">
        <f>IF(Init!$R$9="Yes",SUMPRODUCT('Staging Table'!L137:AI137,LS_Demand_Rates_Restatement!$C$4:$Z$4)-IF(Init!$R$12="No",('Staging Table'!BH137*Rates_previous!$H$34), 0),SUMPRODUCT('Staging Table'!BY137:CV137,LS_Demand_Rates_Restatement!$C$4:$Z$4)-IF(Init!$R$12="No", 'Staging Table'!DU137*Rates_previous!$H$34, 0))</f>
        <v>49066.893976315376</v>
      </c>
      <c r="G135" s="116">
        <f>IF(Init!$R$9="Yes",SUMPRODUCT('Staging Table'!AJ137:AU137,LS_Demand_Rates_Restatement!$C$10:$N$10),SUMPRODUCT(LS_Demand_Rates_Restatement!$C$10:$N$10,'Staging Table'!CW137:DH137))*1000</f>
        <v>117970.75878058228</v>
      </c>
      <c r="H135" s="117">
        <f>IF(Init!$R$9="Yes",'Staging Table'!BQ137,'Staging Table'!ED137)*IF(Init!$R$3=2022,Rates_previous!$C$88,Rates_previous!$D$88)</f>
        <v>0</v>
      </c>
      <c r="I135" s="115">
        <v>0</v>
      </c>
      <c r="J135" s="117">
        <f>IF(Init!$R$9="Yes",IF('Staging Table'!D137=1,'Staging Table'!H137*-1,'Staging Table'!H137*SUM(D135:I135)*(-1)),IF('Staging Table'!D137=1,'Staging Table'!BU137*-1,'Staging Table'!BU137*SUM(D135:I135)*(-1)))</f>
        <v>0</v>
      </c>
      <c r="K135" s="115">
        <f>IF(Init!$R$9="Yes",'Staging Table'!K137,'Staging Table'!BX137)*(-1)*Rates_previous!$H$32</f>
        <v>0</v>
      </c>
      <c r="L135" s="115">
        <f>IF('Staging Table'!C137=1,"",SUM(D135:K135))</f>
        <v>1983646.0186368977</v>
      </c>
      <c r="M135" s="115">
        <f>IF('Staging Table'!C137=1,"",IF(Init!$R$9="Yes",(RT1SC!$C$3*'Staging Table'!E137*'Staging Table'!$F$2)+SUM('Staging Table'!L137:AI137)-IF(Init!$R$12="No",'Staging Table'!BH137, 0),X135))</f>
        <v>55593.935999999994</v>
      </c>
      <c r="N135" s="69">
        <f>IF('Staging Table'!C137=1,"",IF(M135=0, 0, L135/M135))</f>
        <v>35.680978203034549</v>
      </c>
      <c r="O135" s="115">
        <f>'Staging Table'!BR137*Rates_current!$F$77*100*12</f>
        <v>2318678.3802000005</v>
      </c>
      <c r="P135" s="115">
        <f>'Staging Table'!BS137*Rates_current!$F$78*100*12</f>
        <v>-371390.13660000003</v>
      </c>
      <c r="Q135" s="116">
        <f>SUMPRODUCT('Staging Table'!BY137:CV137, LS_Demand_Rates_Restatement!$C$5:$Z$5)-IF(Init!$R$12="No",('Staging Table'!DU137*Rates_current!$I$46), 0)</f>
        <v>86594.42945327473</v>
      </c>
      <c r="R135" s="116">
        <f>SUMPRODUCT('Staging Table'!CW137:DH137, LS_Demand_Rates_Restatement!$C$11:$N$11)*1000</f>
        <v>129695.01029613605</v>
      </c>
      <c r="S135" s="117">
        <f>'Staging Table'!ED137*IF(Init!$R$15="Yes",IF(Init!$R$6=2024,Rates_current!$C$89,Rates_current!$D$89),Rates_current!$I$45)</f>
        <v>0</v>
      </c>
      <c r="T135" s="117">
        <v>0</v>
      </c>
      <c r="U135" s="117">
        <f>IF('Staging Table'!D137=1, 'Staging Table'!BU137*-1,SUM(O135:T135)*'Staging Table'!BU137*-1)</f>
        <v>0</v>
      </c>
      <c r="V135" s="115">
        <f>'Staging Table'!BX137*Rates_current!$I$44*-1</f>
        <v>0</v>
      </c>
      <c r="W135" s="115">
        <f>IF('Staging Table'!C137=1,"",SUM(O135:V135))</f>
        <v>2163577.683349411</v>
      </c>
      <c r="X135" s="115">
        <f>IF('Staging Table'!C137=1,"",(RT1SC!$C$4*'Staging Table'!BR137*'Staging Table'!$BS$2)+SUM('Staging Table'!BY137:CV137)-IF(Init!$R$12="No",'Staging Table'!DU137, 0))</f>
        <v>55757.4</v>
      </c>
      <c r="Y135" s="69">
        <f>IF('Staging Table'!C137=1,"",IF(X135=0, 0, W135/X135))</f>
        <v>38.803417723018129</v>
      </c>
      <c r="Z135" s="64">
        <f ca="1">IF('Staging Table'!C137=1,"",(Y135/N135-1)+(RAND()/100000000000000))</f>
        <v>8.750991921287532E-2</v>
      </c>
      <c r="AA135" s="45">
        <f t="shared" ca="1" si="9"/>
        <v>85</v>
      </c>
      <c r="AC135">
        <f t="shared" si="10"/>
        <v>1.0993826914122007</v>
      </c>
      <c r="AD135" s="119"/>
      <c r="AE135" s="119"/>
      <c r="AG135" s="119"/>
      <c r="AH135" s="119"/>
    </row>
    <row r="136" spans="1:34">
      <c r="B136" s="2">
        <v>12026</v>
      </c>
      <c r="C136" s="3" t="s">
        <v>139</v>
      </c>
      <c r="D136" s="115">
        <f>IF(Init!$R$9="Yes",'Staging Table'!E138,'Staging Table'!BR138)*Rates_previous!$E$76*100*12</f>
        <v>16291276.867439998</v>
      </c>
      <c r="E136" s="115">
        <f>IF(Init!$R$9="Yes",'Staging Table'!F138,'Staging Table'!BS138)*Rates_previous!$E$77*100*12</f>
        <v>-3326010.3277200004</v>
      </c>
      <c r="F136" s="116">
        <f>IF(Init!$R$9="Yes",SUMPRODUCT('Staging Table'!L138:AI138,LS_Demand_Rates_Restatement!$C$4:$Z$4)-IF(Init!$R$12="No",('Staging Table'!BH138*Rates_previous!$H$34), 0),SUMPRODUCT('Staging Table'!BY138:CV138,LS_Demand_Rates_Restatement!$C$4:$Z$4)-IF(Init!$R$12="No", 'Staging Table'!DU138*Rates_previous!$H$34, 0))</f>
        <v>12147.974935243372</v>
      </c>
      <c r="G136" s="116">
        <f>IF(Init!$R$9="Yes",SUMPRODUCT('Staging Table'!AJ138:AU138,LS_Demand_Rates_Restatement!$C$10:$N$10),SUMPRODUCT(LS_Demand_Rates_Restatement!$C$10:$N$10,'Staging Table'!CW138:DH138))*1000</f>
        <v>791873.77435811982</v>
      </c>
      <c r="H136" s="117">
        <f>IF(Init!$R$9="Yes",'Staging Table'!BQ138,'Staging Table'!ED138)*IF(Init!$R$3=2022,Rates_previous!$C$88,Rates_previous!$D$88)</f>
        <v>0</v>
      </c>
      <c r="I136" s="115">
        <v>0</v>
      </c>
      <c r="J136" s="117">
        <f>IF(Init!$R$9="Yes",IF('Staging Table'!D138=1,'Staging Table'!H138*-1,'Staging Table'!H138*SUM(D136:I136)*(-1)),IF('Staging Table'!D138=1,'Staging Table'!BU138*-1,'Staging Table'!BU138*SUM(D136:I136)*(-1)))</f>
        <v>0</v>
      </c>
      <c r="K136" s="115">
        <f>IF(Init!$R$9="Yes",'Staging Table'!K138,'Staging Table'!BX138)*(-1)*Rates_previous!$H$32</f>
        <v>0</v>
      </c>
      <c r="L136" s="115">
        <f>IF('Staging Table'!C138=1,"",SUM(D136:K136))</f>
        <v>13769288.289013362</v>
      </c>
      <c r="M136" s="115">
        <f>IF('Staging Table'!C138=1,"",IF(Init!$R$9="Yes",(RT1SC!$C$3*'Staging Table'!E138*'Staging Table'!$F$2)+SUM('Staging Table'!L138:AI138)-IF(Init!$R$12="No",'Staging Table'!BH138, 0),X136))</f>
        <v>396799.63200000004</v>
      </c>
      <c r="N136" s="69">
        <f>IF('Staging Table'!C138=1,"",IF(M136=0, 0, L136/M136))</f>
        <v>34.700859523512257</v>
      </c>
      <c r="O136" s="115">
        <f>'Staging Table'!BR138*Rates_current!$F$77*100*12</f>
        <v>16550075.193599999</v>
      </c>
      <c r="P136" s="115">
        <f>'Staging Table'!BS138*Rates_current!$F$78*100*12</f>
        <v>-2650878.5088</v>
      </c>
      <c r="Q136" s="116">
        <f>SUMPRODUCT('Staging Table'!BY138:CV138, LS_Demand_Rates_Restatement!$C$5:$Z$5)-IF(Init!$R$12="No",('Staging Table'!DU138*Rates_current!$I$46), 0)</f>
        <v>405116.31661008339</v>
      </c>
      <c r="R136" s="116">
        <f>SUMPRODUCT('Staging Table'!CW138:DH138, LS_Demand_Rates_Restatement!$C$11:$N$11)*1000</f>
        <v>856560.51770192338</v>
      </c>
      <c r="S136" s="117">
        <f>'Staging Table'!ED138*IF(Init!$R$15="Yes",IF(Init!$R$6=2024,Rates_current!$C$89,Rates_current!$D$89),Rates_current!$I$45)</f>
        <v>0</v>
      </c>
      <c r="T136" s="117">
        <v>0</v>
      </c>
      <c r="U136" s="117">
        <f>IF('Staging Table'!D138=1, 'Staging Table'!BU138*-1,SUM(O136:T136)*'Staging Table'!BU138*-1)</f>
        <v>0</v>
      </c>
      <c r="V136" s="115">
        <f>'Staging Table'!BX138*Rates_current!$I$44*-1</f>
        <v>0</v>
      </c>
      <c r="W136" s="115">
        <f>IF('Staging Table'!C138=1,"",SUM(O136:V136))</f>
        <v>15160873.519112006</v>
      </c>
      <c r="X136" s="115">
        <f>IF('Staging Table'!C138=1,"",(RT1SC!$C$4*'Staging Table'!BR138*'Staging Table'!$BS$2)+SUM('Staging Table'!BY138:CV138)-IF(Init!$R$12="No",'Staging Table'!DU138, 0))</f>
        <v>397989.88749337906</v>
      </c>
      <c r="Y136" s="69">
        <f>IF('Staging Table'!C138=1,"",IF(X136=0, 0, W136/X136))</f>
        <v>38.093614927249178</v>
      </c>
      <c r="Z136" s="64">
        <f ca="1">IF('Staging Table'!C138=1,"",(Y136/N136-1)+(RAND()/100000000000000))</f>
        <v>9.7771509130438861E-2</v>
      </c>
      <c r="AA136" s="45">
        <f t="shared" ca="1" si="9"/>
        <v>45</v>
      </c>
      <c r="AC136">
        <f t="shared" si="10"/>
        <v>1.0816882001127486</v>
      </c>
      <c r="AD136" s="119"/>
      <c r="AE136" s="119"/>
      <c r="AG136" s="119"/>
      <c r="AH136" s="119"/>
    </row>
    <row r="137" spans="1:34">
      <c r="B137" s="2">
        <v>10298</v>
      </c>
      <c r="C137" s="3" t="s">
        <v>140</v>
      </c>
      <c r="D137" s="115">
        <f>IF(Init!$R$9="Yes",'Staging Table'!E139,'Staging Table'!BR139)*Rates_previous!$E$76*100*12</f>
        <v>271928581.72920001</v>
      </c>
      <c r="E137" s="115">
        <f>IF(Init!$R$9="Yes",'Staging Table'!F139,'Staging Table'!BS139)*Rates_previous!$E$77*100*12</f>
        <v>-55516659.534599997</v>
      </c>
      <c r="F137" s="116">
        <f>IF(Init!$R$9="Yes",SUMPRODUCT('Staging Table'!L139:AI139,LS_Demand_Rates_Restatement!$C$4:$Z$4)-IF(Init!$R$12="No",('Staging Table'!BH139*Rates_previous!$H$34), 0),SUMPRODUCT('Staging Table'!BY139:CV139,LS_Demand_Rates_Restatement!$C$4:$Z$4)-IF(Init!$R$12="No", 'Staging Table'!DU139*Rates_previous!$H$34, 0))</f>
        <v>-49309433.462299243</v>
      </c>
      <c r="G137" s="116">
        <f>IF(Init!$R$9="Yes",SUMPRODUCT('Staging Table'!AJ139:AU139,LS_Demand_Rates_Restatement!$C$10:$N$10),SUMPRODUCT(LS_Demand_Rates_Restatement!$C$10:$N$10,'Staging Table'!CW139:DH139))*1000</f>
        <v>29596809.392930456</v>
      </c>
      <c r="H137" s="117">
        <f>IF(Init!$R$9="Yes",'Staging Table'!BQ139,'Staging Table'!ED139)*IF(Init!$R$3=2022,Rates_previous!$C$88,Rates_previous!$D$88)</f>
        <v>0</v>
      </c>
      <c r="I137" s="115">
        <v>0</v>
      </c>
      <c r="J137" s="117">
        <f>IF(Init!$R$9="Yes",IF('Staging Table'!D139=1,'Staging Table'!H139*-1,'Staging Table'!H139*SUM(D137:I137)*(-1)),IF('Staging Table'!D139=1,'Staging Table'!BU139*-1,'Staging Table'!BU139*SUM(D137:I137)*(-1)))</f>
        <v>0</v>
      </c>
      <c r="K137" s="115">
        <f>IF(Init!$R$9="Yes",'Staging Table'!K139,'Staging Table'!BX139)*(-1)*Rates_previous!$H$32</f>
        <v>-3223344.2888400001</v>
      </c>
      <c r="L137" s="115">
        <f>IF('Staging Table'!C139=1,"",SUM(D137:K137))</f>
        <v>193475953.83639121</v>
      </c>
      <c r="M137" s="115">
        <f>IF('Staging Table'!C139=1,"",IF(Init!$R$9="Yes",(RT1SC!$C$3*'Staging Table'!E139*'Staging Table'!$F$2)+SUM('Staging Table'!L139:AI139)-IF(Init!$R$12="No",'Staging Table'!BH139, 0),X137))</f>
        <v>5290392.3840000005</v>
      </c>
      <c r="N137" s="69">
        <f>IF('Staging Table'!C139=1,"",IF(M137=0, 0, L137/M137))</f>
        <v>36.571191660854922</v>
      </c>
      <c r="O137" s="115">
        <f>'Staging Table'!BR139*Rates_current!$F$77*100*12</f>
        <v>277377695.98500001</v>
      </c>
      <c r="P137" s="115">
        <f>'Staging Table'!BS139*Rates_current!$F$78*100*12</f>
        <v>-44428473.255000003</v>
      </c>
      <c r="Q137" s="116">
        <f>SUMPRODUCT('Staging Table'!BY139:CV139, LS_Demand_Rates_Restatement!$C$5:$Z$5)-IF(Init!$R$12="No",('Staging Table'!DU139*Rates_current!$I$46), 0)</f>
        <v>8971369.4566769209</v>
      </c>
      <c r="R137" s="116">
        <f>SUMPRODUCT('Staging Table'!CW139:DH139, LS_Demand_Rates_Restatement!$C$11:$N$11)*1000</f>
        <v>26983790.77364134</v>
      </c>
      <c r="S137" s="117">
        <f>'Staging Table'!ED139*IF(Init!$R$15="Yes",IF(Init!$R$6=2024,Rates_current!$C$89,Rates_current!$D$89),Rates_current!$I$45)</f>
        <v>0</v>
      </c>
      <c r="T137" s="117">
        <v>0</v>
      </c>
      <c r="U137" s="117">
        <f>IF('Staging Table'!D139=1, 'Staging Table'!BU139*-1,SUM(O137:T137)*'Staging Table'!BU139*-1)</f>
        <v>0</v>
      </c>
      <c r="V137" s="115">
        <f>'Staging Table'!BX139*Rates_current!$I$44*-1</f>
        <v>-3331996.3435200001</v>
      </c>
      <c r="W137" s="115">
        <f>IF('Staging Table'!C139=1,"",SUM(O137:V137))</f>
        <v>265572386.61679828</v>
      </c>
      <c r="X137" s="115">
        <f>IF('Staging Table'!C139=1,"",(RT1SC!$C$4*'Staging Table'!BR139*'Staging Table'!$BS$2)+SUM('Staging Table'!BY139:CV139)-IF(Init!$R$12="No",'Staging Table'!DU139, 0))</f>
        <v>6670331.4187468123</v>
      </c>
      <c r="Y137" s="69">
        <f>IF('Staging Table'!C139=1,"",IF(X137=0, 0, W137/X137))</f>
        <v>39.813971742155601</v>
      </c>
      <c r="Z137" s="64">
        <f ca="1">IF('Staging Table'!C139=1,"",(Y137/N137-1)+(RAND()/100000000000000))</f>
        <v>8.8670342256632409E-2</v>
      </c>
      <c r="AA137" s="45">
        <f t="shared" ca="1" si="9"/>
        <v>80</v>
      </c>
      <c r="AC137">
        <f t="shared" si="10"/>
        <v>0.91171282739979176</v>
      </c>
      <c r="AD137" s="119"/>
      <c r="AE137" s="119"/>
      <c r="AG137" s="119"/>
      <c r="AH137" s="119"/>
    </row>
    <row r="138" spans="1:34">
      <c r="AD138" s="119"/>
      <c r="AE138" s="119"/>
      <c r="AG138" s="119"/>
      <c r="AH138" s="119"/>
    </row>
    <row r="139" spans="1:34">
      <c r="A139" s="16"/>
      <c r="D139" s="119"/>
      <c r="E139" s="119"/>
      <c r="F139" s="119"/>
      <c r="G139" s="119"/>
      <c r="H139" s="119"/>
      <c r="I139" s="119"/>
      <c r="J139" s="119"/>
      <c r="K139" s="119"/>
      <c r="L139" s="119"/>
      <c r="M139" s="119"/>
      <c r="N139" s="266"/>
      <c r="O139" s="119"/>
      <c r="P139" s="119"/>
      <c r="Q139" s="119"/>
      <c r="R139" s="119"/>
      <c r="S139" s="119"/>
      <c r="T139" s="119"/>
      <c r="U139" s="119"/>
      <c r="V139" s="119"/>
      <c r="W139" s="119"/>
      <c r="X139" s="119"/>
      <c r="Y139" s="266"/>
      <c r="Z139" s="263"/>
      <c r="AD139" s="119"/>
      <c r="AE139" s="119"/>
      <c r="AG139" s="119"/>
      <c r="AH139" s="119"/>
    </row>
    <row r="140" spans="1:34">
      <c r="A140" s="16"/>
      <c r="E140" s="119"/>
      <c r="AD140" s="119"/>
      <c r="AE140" s="119"/>
      <c r="AG140" s="119"/>
      <c r="AH140" s="119"/>
    </row>
    <row r="141" spans="1:34">
      <c r="A141" s="16"/>
      <c r="E141" s="119"/>
    </row>
    <row r="142" spans="1:34">
      <c r="S142" s="36"/>
      <c r="T142" s="36"/>
    </row>
    <row r="143" spans="1:34">
      <c r="B143" s="2"/>
      <c r="C143" s="3"/>
      <c r="G143" s="36"/>
    </row>
    <row r="144" spans="1:34">
      <c r="B144" s="2"/>
      <c r="C144" s="3"/>
    </row>
    <row r="145" spans="2:3">
      <c r="B145" s="2"/>
      <c r="C145" s="3"/>
    </row>
    <row r="146" spans="2:3">
      <c r="B146" s="2"/>
      <c r="C146" s="3"/>
    </row>
    <row r="147" spans="2:3">
      <c r="B147" s="2"/>
      <c r="C147" s="3"/>
    </row>
    <row r="148" spans="2:3">
      <c r="B148" s="2"/>
      <c r="C148" s="3"/>
    </row>
    <row r="149" spans="2:3">
      <c r="B149" s="2"/>
      <c r="C149" s="3"/>
    </row>
    <row r="150" spans="2:3">
      <c r="B150" s="2"/>
      <c r="C150" s="3"/>
    </row>
    <row r="151" spans="2:3">
      <c r="B151" s="2"/>
      <c r="C151" s="3"/>
    </row>
    <row r="152" spans="2:3">
      <c r="B152" s="2"/>
      <c r="C152" s="3"/>
    </row>
    <row r="153" spans="2:3">
      <c r="B153" s="2"/>
      <c r="C153" s="3"/>
    </row>
    <row r="154" spans="2:3">
      <c r="B154" s="2"/>
      <c r="C154" s="3"/>
    </row>
    <row r="155" spans="2:3">
      <c r="B155" s="2"/>
      <c r="C155" s="3"/>
    </row>
    <row r="156" spans="2:3">
      <c r="B156" s="2"/>
      <c r="C156" s="3"/>
    </row>
    <row r="157" spans="2:3">
      <c r="B157" s="2"/>
      <c r="C157" s="3"/>
    </row>
    <row r="158" spans="2:3">
      <c r="B158" s="2"/>
      <c r="C158" s="3"/>
    </row>
    <row r="159" spans="2:3">
      <c r="B159" s="2"/>
      <c r="C159" s="3"/>
    </row>
    <row r="160" spans="2:3">
      <c r="B160" s="2"/>
      <c r="C160" s="3"/>
    </row>
    <row r="161" spans="2:3">
      <c r="B161" s="2"/>
      <c r="C161" s="3"/>
    </row>
    <row r="162" spans="2:3">
      <c r="B162" s="2"/>
      <c r="C162" s="3"/>
    </row>
    <row r="163" spans="2:3">
      <c r="B163" s="2"/>
      <c r="C163" s="3"/>
    </row>
    <row r="164" spans="2:3">
      <c r="B164" s="2"/>
      <c r="C164" s="3"/>
    </row>
    <row r="165" spans="2:3">
      <c r="B165" s="2"/>
      <c r="C165" s="3"/>
    </row>
    <row r="166" spans="2:3">
      <c r="B166" s="2"/>
      <c r="C166" s="3"/>
    </row>
    <row r="167" spans="2:3">
      <c r="B167" s="19"/>
      <c r="C167" s="19"/>
    </row>
    <row r="168" spans="2:3">
      <c r="B168" s="19"/>
      <c r="C168" s="19"/>
    </row>
    <row r="169" spans="2:3">
      <c r="B169" s="19"/>
      <c r="C169" s="19"/>
    </row>
  </sheetData>
  <conditionalFormatting sqref="B2">
    <cfRule type="expression" dxfId="2" priority="5" stopIfTrue="1">
      <formula>A1 &gt; 30</formula>
    </cfRule>
  </conditionalFormatting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2">
    <tabColor theme="9" tint="0.39997558519241921"/>
  </sheetPr>
  <dimension ref="A1:AI169"/>
  <sheetViews>
    <sheetView topLeftCell="B1" zoomScaleNormal="100" workbookViewId="0">
      <pane xSplit="2" ySplit="3" topLeftCell="Q4" activePane="bottomRight" state="frozen"/>
      <selection activeCell="B1" sqref="B1"/>
      <selection pane="topRight" activeCell="D1" sqref="D1"/>
      <selection pane="bottomLeft" activeCell="B4" sqref="B4"/>
      <selection pane="bottomRight" activeCell="AE10" sqref="AE10"/>
    </sheetView>
  </sheetViews>
  <sheetFormatPr defaultColWidth="9.140625" defaultRowHeight="15"/>
  <cols>
    <col min="1" max="1" width="9.5703125" customWidth="1"/>
    <col min="3" max="3" width="28.42578125" bestFit="1" customWidth="1"/>
    <col min="4" max="11" width="12.7109375" customWidth="1"/>
    <col min="12" max="12" width="15" customWidth="1"/>
    <col min="13" max="14" width="12.7109375" customWidth="1"/>
    <col min="15" max="15" width="15.28515625" customWidth="1"/>
    <col min="16" max="19" width="12.7109375" customWidth="1"/>
    <col min="20" max="20" width="13.5703125" customWidth="1"/>
    <col min="21" max="22" width="12.7109375" customWidth="1"/>
    <col min="23" max="23" width="14.85546875" customWidth="1"/>
    <col min="24" max="25" width="12.7109375" customWidth="1"/>
    <col min="26" max="26" width="15" bestFit="1" customWidth="1"/>
    <col min="27" max="27" width="8.42578125" style="45" bestFit="1" customWidth="1"/>
    <col min="28" max="28" width="13.5703125" bestFit="1" customWidth="1"/>
    <col min="29" max="29" width="10.85546875" bestFit="1" customWidth="1"/>
    <col min="30" max="30" width="9.85546875" bestFit="1" customWidth="1"/>
    <col min="33" max="33" width="9.85546875" bestFit="1" customWidth="1"/>
  </cols>
  <sheetData>
    <row r="1" spans="1:35" ht="15.75">
      <c r="B1" s="39" t="s">
        <v>214</v>
      </c>
      <c r="C1" s="40"/>
      <c r="D1" s="285">
        <f t="shared" ref="D1:E1" si="0">SUM(D4:D137)</f>
        <v>2378572259.5339203</v>
      </c>
      <c r="E1" s="285">
        <f t="shared" si="0"/>
        <v>-485606865.85896003</v>
      </c>
      <c r="F1" s="285">
        <f>SUM(F4:F137)</f>
        <v>-25436317.551629879</v>
      </c>
      <c r="G1" s="285">
        <f>SUM(G4:G137)</f>
        <v>134064019.64614016</v>
      </c>
      <c r="H1" s="285">
        <f t="shared" ref="H1:M1" si="1">SUM(H4:H137)</f>
        <v>0</v>
      </c>
      <c r="I1" s="285">
        <f t="shared" si="1"/>
        <v>8911</v>
      </c>
      <c r="J1" s="285">
        <f t="shared" si="1"/>
        <v>-33808149.748040974</v>
      </c>
      <c r="K1" s="285">
        <f t="shared" si="1"/>
        <v>-24993508.862920005</v>
      </c>
      <c r="L1" s="285">
        <f t="shared" si="1"/>
        <v>1741072982.4689932</v>
      </c>
      <c r="M1" s="285">
        <f t="shared" si="1"/>
        <v>50183648.652674861</v>
      </c>
      <c r="N1" s="288">
        <f>L1/M1</f>
        <v>34.694029414224175</v>
      </c>
      <c r="O1" s="285">
        <f t="shared" ref="O1:X1" si="2">SUM(O4:O137)</f>
        <v>2430903397.9385996</v>
      </c>
      <c r="P1" s="285">
        <f t="shared" si="2"/>
        <v>-389365576.84380007</v>
      </c>
      <c r="Q1" s="285">
        <f t="shared" si="2"/>
        <v>71554578.634715363</v>
      </c>
      <c r="R1" s="285">
        <f t="shared" si="2"/>
        <v>141637482.98624638</v>
      </c>
      <c r="S1" s="285">
        <f t="shared" si="2"/>
        <v>-45.310036112904591</v>
      </c>
      <c r="T1" s="285">
        <f t="shared" si="2"/>
        <v>8911</v>
      </c>
      <c r="U1" s="285">
        <f t="shared" si="2"/>
        <v>-39581949.498786546</v>
      </c>
      <c r="V1" s="285">
        <f t="shared" si="2"/>
        <v>-25835986.68976</v>
      </c>
      <c r="W1" s="285">
        <f t="shared" si="2"/>
        <v>1972860882.4836783</v>
      </c>
      <c r="X1" s="285">
        <f t="shared" si="2"/>
        <v>51806620.18212124</v>
      </c>
      <c r="Y1" s="286">
        <f>W1/X1</f>
        <v>38.081250534164816</v>
      </c>
      <c r="Z1" s="291">
        <f>Y1/N1-1</f>
        <v>9.7631240220022342E-2</v>
      </c>
      <c r="AA1" s="287"/>
      <c r="AB1" s="290">
        <f>Y1/(1+Rates_previous!G78)</f>
        <v>34.692788456463632</v>
      </c>
    </row>
    <row r="2" spans="1:35">
      <c r="A2" s="41" t="s">
        <v>0</v>
      </c>
      <c r="B2" s="42"/>
      <c r="C2" s="40"/>
      <c r="D2" s="38" t="s">
        <v>149</v>
      </c>
      <c r="O2" s="38" t="s">
        <v>150</v>
      </c>
    </row>
    <row r="3" spans="1:35" s="49" customFormat="1">
      <c r="A3" s="47" t="s">
        <v>1</v>
      </c>
      <c r="B3" s="48" t="s">
        <v>2</v>
      </c>
      <c r="C3" s="43" t="s">
        <v>3</v>
      </c>
      <c r="D3" s="114" t="s">
        <v>159</v>
      </c>
      <c r="E3" s="114" t="s">
        <v>257</v>
      </c>
      <c r="F3" s="114" t="s">
        <v>208</v>
      </c>
      <c r="G3" s="114" t="s">
        <v>203</v>
      </c>
      <c r="H3" s="114" t="s">
        <v>239</v>
      </c>
      <c r="I3" s="114" t="s">
        <v>264</v>
      </c>
      <c r="J3" s="114" t="s">
        <v>258</v>
      </c>
      <c r="K3" s="114" t="s">
        <v>215</v>
      </c>
      <c r="L3" s="114" t="s">
        <v>179</v>
      </c>
      <c r="M3" s="114" t="s">
        <v>216</v>
      </c>
      <c r="N3" s="114" t="s">
        <v>221</v>
      </c>
      <c r="O3" s="118" t="s">
        <v>159</v>
      </c>
      <c r="P3" s="118" t="s">
        <v>257</v>
      </c>
      <c r="Q3" s="118" t="s">
        <v>208</v>
      </c>
      <c r="R3" s="118" t="s">
        <v>203</v>
      </c>
      <c r="S3" s="118" t="s">
        <v>239</v>
      </c>
      <c r="T3" s="118" t="s">
        <v>264</v>
      </c>
      <c r="U3" s="118" t="s">
        <v>258</v>
      </c>
      <c r="V3" s="118" t="s">
        <v>215</v>
      </c>
      <c r="W3" s="118" t="s">
        <v>179</v>
      </c>
      <c r="X3" s="118" t="s">
        <v>216</v>
      </c>
      <c r="Y3" s="118" t="s">
        <v>221</v>
      </c>
      <c r="Z3" s="71" t="s">
        <v>222</v>
      </c>
      <c r="AA3" s="120" t="s">
        <v>224</v>
      </c>
      <c r="AB3"/>
      <c r="AC3"/>
      <c r="AD3" t="s">
        <v>617</v>
      </c>
      <c r="AE3"/>
      <c r="AF3"/>
      <c r="AG3"/>
      <c r="AH3"/>
      <c r="AI3"/>
    </row>
    <row r="4" spans="1:35">
      <c r="B4" s="2">
        <v>10015</v>
      </c>
      <c r="C4" s="3" t="s">
        <v>8</v>
      </c>
      <c r="D4" s="115">
        <f>IF(Init!$R$9="Yes",'Staging Table'!F6,'Staging Table'!BS6)*Rates_previous!$E$76*100*12</f>
        <v>206764.22159999999</v>
      </c>
      <c r="E4" s="115">
        <f>IF(Init!$R$9="Yes",'Staging Table'!F6,'Staging Table'!BS6)*Rates_previous!$E$77*100*12</f>
        <v>-42212.770799999998</v>
      </c>
      <c r="F4" s="116">
        <f t="array" ref="F4">IF(Init!$R$9="Yes",SUMPRODUCT('Staging Table'!L6:AI6,LS_Demand_Rates_Restatement!$C$4:$Z$4)-IF(Init!$R$12="No",('Staging Table'!BH6*Rates_previous!$H$34), 0),SUMPRODUCT('Staging Table'!BY6:CV6,LS_Demand_Rates_Restatement!$C$4:$Z$4)-IF(Init!$R$12="No", 'Staging Table'!DU6*Rates_previous!$H$34, 0))</f>
        <v>-1985.7062859155485</v>
      </c>
      <c r="G4" s="116">
        <f>IF(Init!$R$9="Yes",SUMPRODUCT('Staging Table'!AJ6:AU6,LS_Demand_Rates_Restatement!$C$10:$N$10),SUMPRODUCT(LS_Demand_Rates_Restatement!$C$10:$N$10,'Staging Table'!CW6:DH6))*1000</f>
        <v>33714.16324567308</v>
      </c>
      <c r="H4" s="117">
        <f>IF(Init!$R$9="Yes",'Staging Table'!BQ6,'Staging Table'!ED6)*IF(Init!$R$3=2022,Rates_previous!$C$88,Rates_previous!$D$88)</f>
        <v>0</v>
      </c>
      <c r="I4" s="115">
        <v>0</v>
      </c>
      <c r="J4" s="117">
        <f>IF(Init!$R$9="Yes",IF('Staging Table'!D6=1,'Staging Table'!H6*-1*'Staging Table'!BS6/'Staging Table'!BR6,'Staging Table'!H6*SUM(D4:I4)*(-1)),IF('Staging Table'!D6=1,'Staging Table'!BU6*-1*'Staging Table'!BS6/'Staging Table'!BR6,'Staging Table'!BU6*SUM(D4:I4)*(-1)))</f>
        <v>0</v>
      </c>
      <c r="K4" s="115">
        <f>IF(Init!$R$9="Yes",'Staging Table'!K6,'Staging Table'!BX6)*(-1)*Rates_previous!$H$32</f>
        <v>0</v>
      </c>
      <c r="L4" s="115">
        <f>IF('Staging Table'!C6=1,"",SUM(D4:K4))</f>
        <v>196279.90775975754</v>
      </c>
      <c r="M4" s="115">
        <f>IF('Staging Table'!C6=1,"",IF(Init!$R$9="Yes",(RT1SC!$C$3*'Staging Table'!F6*'Staging Table'!$F$2)+SUM('Staging Table'!L6:AI6)-IF(Init!$R$12="No",'Staging Table'!BH6, 0),X4))</f>
        <v>5033.232</v>
      </c>
      <c r="N4" s="69">
        <f>IF('Staging Table'!C6=1,"",IF(M4=0, 0, L4/M4))</f>
        <v>38.996793265193723</v>
      </c>
      <c r="O4" s="115">
        <f>'Staging Table'!BS6*Rates_current!$F$77*100*12</f>
        <v>210294.5208</v>
      </c>
      <c r="P4" s="115">
        <f>'Staging Table'!BS6*Rates_current!$F$78*100*12</f>
        <v>-33683.546399999999</v>
      </c>
      <c r="Q4" s="116">
        <f t="array" ref="Q4">SUMPRODUCT('Staging Table'!BY6:CV6, LS_Demand_Rates_Restatement!$C$5:$Z$5)-IF(Init!$R$12="No",('Staging Table'!DU6*Rates_current!$I$46), 0)</f>
        <v>6973.698202474443</v>
      </c>
      <c r="R4" s="116">
        <f>SUMPRODUCT('Staging Table'!CW6:DH6, LS_Demand_Rates_Restatement!$C$11:$N$11)*1000</f>
        <v>38354.911118767799</v>
      </c>
      <c r="S4" s="117">
        <f>'Staging Table'!ED6*IF(Init!$R$15="Yes",IF(Init!$R$6=2024,Rates_current!$C$89,Rates_current!$D$89),Rates_current!$I$45)</f>
        <v>0</v>
      </c>
      <c r="T4" s="117">
        <v>0</v>
      </c>
      <c r="U4" s="117">
        <f>IF('Staging Table'!D6=1, 'Staging Table'!BU6*-1*'Staging Table'!BS6/'Staging Table'!BR6,SUM(O4:T4)*'Staging Table'!BU6*-1)</f>
        <v>0</v>
      </c>
      <c r="V4" s="115">
        <f>'Staging Table'!BX6*Rates_current!$I$44*-1</f>
        <v>0</v>
      </c>
      <c r="W4" s="115">
        <f>IF('Staging Table'!C6=1,"", SUM(O4:V4))</f>
        <v>221939.58372124226</v>
      </c>
      <c r="X4" s="115">
        <f>IF('Staging Table'!C6=1,"", (RT1SC!$C$4*'Staging Table'!BS6*'Staging Table'!$BS$2)+SUM('Staging Table'!BY6:CV6)-IF(Init!$R$12="No",'Staging Table'!DU6, 0))</f>
        <v>5054.5199999999995</v>
      </c>
      <c r="Y4" s="69">
        <f>IF('Staging Table'!C6=1,"",IF(X4=0, 0, W4/X4))</f>
        <v>43.909131573570249</v>
      </c>
      <c r="Z4" s="64">
        <f ca="1">IF('Staging Table'!C6=1,"",(Y4/N4-1)+(RAND()/100000000000000))</f>
        <v>0.12596775009091263</v>
      </c>
      <c r="AA4" s="45">
        <f t="shared" ref="AA4:AA35" ca="1" si="3">IF(Z4="","",RANK(Z4,$Z$4:$Z$137))</f>
        <v>13</v>
      </c>
      <c r="AC4" s="284" t="s">
        <v>616</v>
      </c>
      <c r="AD4" s="277">
        <v>35.630000000000003</v>
      </c>
      <c r="AE4" s="119"/>
      <c r="AG4" s="119"/>
      <c r="AH4" s="119"/>
    </row>
    <row r="5" spans="1:35">
      <c r="B5" s="2">
        <v>10024</v>
      </c>
      <c r="C5" s="3" t="s">
        <v>9</v>
      </c>
      <c r="D5" s="115">
        <f>IF(Init!$R$9="Yes",'Staging Table'!F7,'Staging Table'!BS7)*Rates_previous!$E$76*100*12</f>
        <v>72461642.470559999</v>
      </c>
      <c r="E5" s="115">
        <f>IF(Init!$R$9="Yes",'Staging Table'!F7,'Staging Table'!BS7)*Rates_previous!$E$77*100*12</f>
        <v>-14793694.391279999</v>
      </c>
      <c r="F5" s="116">
        <f>IF(Init!$R$9="Yes",SUMPRODUCT('Staging Table'!L7:AI7,LS_Demand_Rates_Restatement!$C$4:$Z$4)-IF(Init!$R$12="No",('Staging Table'!BH7*Rates_previous!$H$34), 0),SUMPRODUCT('Staging Table'!BY7:CV7,LS_Demand_Rates_Restatement!$C$4:$Z$4)-IF(Init!$R$12="No", 'Staging Table'!DU7*Rates_previous!$H$34, 0))</f>
        <v>-725540.67497691256</v>
      </c>
      <c r="G5" s="116">
        <f>IF(Init!$R$9="Yes",SUMPRODUCT('Staging Table'!AJ7:AU7,LS_Demand_Rates_Restatement!$C$10:$N$10),SUMPRODUCT(LS_Demand_Rates_Restatement!$C$10:$N$10,'Staging Table'!CW7:DH7))*1000</f>
        <v>3763233.7262085732</v>
      </c>
      <c r="H5" s="117">
        <f>IF(Init!$R$9="Yes",'Staging Table'!BQ7,'Staging Table'!ED7)*IF(Init!$R$3=2022,Rates_previous!$C$88,Rates_previous!$D$88)</f>
        <v>0</v>
      </c>
      <c r="I5" s="115">
        <v>1</v>
      </c>
      <c r="J5" s="117">
        <f>IF(Init!$R$9="Yes",IF('Staging Table'!D7=1,'Staging Table'!H7*-1*'Staging Table'!BS7/'Staging Table'!BR7,'Staging Table'!H7*SUM(D5:I5)*(-1)),IF('Staging Table'!D7=1,'Staging Table'!BU7*-1*'Staging Table'!BS7/'Staging Table'!BR7,'Staging Table'!BU7*SUM(D5:I5)*(-1)))</f>
        <v>0</v>
      </c>
      <c r="K5" s="115">
        <f>IF(Init!$R$9="Yes",'Staging Table'!K7,'Staging Table'!BX7)*(-1)*Rates_previous!$H$32</f>
        <v>-3612607.5440000002</v>
      </c>
      <c r="L5" s="115">
        <f>IF('Staging Table'!C7=1,"",SUM(D5:K5))</f>
        <v>57093034.586511664</v>
      </c>
      <c r="M5" s="115">
        <f>IF('Staging Table'!C7=1,"",IF(Init!$R$9="Yes",(RT1SC!$C$3*'Staging Table'!F7*'Staging Table'!$F$2)+SUM('Staging Table'!L7:AI7)-IF(Init!$R$12="No",'Staging Table'!BH7, 0),X5))</f>
        <v>1764907.632</v>
      </c>
      <c r="N5" s="69">
        <f>IF('Staging Table'!C7=1,"",IF(M5=0, 0, L5/M5))</f>
        <v>32.34902130363254</v>
      </c>
      <c r="O5" s="115">
        <f>'Staging Table'!BS7*Rates_current!$F$77*100*12</f>
        <v>73613182.632599995</v>
      </c>
      <c r="P5" s="115">
        <f>'Staging Table'!BS7*Rates_current!$F$78*100*12</f>
        <v>-11790859.045799999</v>
      </c>
      <c r="Q5" s="116">
        <f>SUMPRODUCT('Staging Table'!BY7:CV7, LS_Demand_Rates_Restatement!$C$5:$Z$5)-IF(Init!$R$12="No",('Staging Table'!DU7*Rates_current!$I$46), 0)</f>
        <v>914611.21487061097</v>
      </c>
      <c r="R5" s="116">
        <f>SUMPRODUCT('Staging Table'!CW7:DH7, LS_Demand_Rates_Restatement!$C$11:$N$11)*1000</f>
        <v>4146076.8696862441</v>
      </c>
      <c r="S5" s="117">
        <f>'Staging Table'!ED7*IF(Init!$R$15="Yes",IF(Init!$R$6=2024,Rates_current!$C$89,Rates_current!$D$89),Rates_current!$I$45)</f>
        <v>0</v>
      </c>
      <c r="T5" s="117">
        <v>1</v>
      </c>
      <c r="U5" s="117">
        <f>IF('Staging Table'!D7=1, 'Staging Table'!BU7*-1*'Staging Table'!BS7/'Staging Table'!BR7,SUM(O5:T5)*'Staging Table'!BU7*-1)</f>
        <v>0</v>
      </c>
      <c r="V5" s="115">
        <f>'Staging Table'!BX7*Rates_current!$I$44*-1</f>
        <v>-3734380.8320000004</v>
      </c>
      <c r="W5" s="115">
        <f>IF('Staging Table'!C7=1,"", SUM(O5:V5))</f>
        <v>63148631.839356847</v>
      </c>
      <c r="X5" s="115">
        <f>IF('Staging Table'!C7=1,"", (RT1SC!$C$4*'Staging Table'!BS7*'Staging Table'!$BS$2)+SUM('Staging Table'!BY7:CV7)-IF(Init!$R$12="No",'Staging Table'!DU7, 0))</f>
        <v>1770227.6334963473</v>
      </c>
      <c r="Y5" s="69">
        <f>IF('Staging Table'!C7=1,"",IF(X5=0, 0, W5/X5))</f>
        <v>35.672605400828047</v>
      </c>
      <c r="Z5" s="64">
        <f ca="1">IF('Staging Table'!C7=1,"",(Y5/N5-1)+(RAND()/100000000000000))</f>
        <v>0.10274141112338799</v>
      </c>
      <c r="AA5" s="45">
        <f t="shared" ca="1" si="3"/>
        <v>36</v>
      </c>
      <c r="AC5" s="284" t="s">
        <v>615</v>
      </c>
      <c r="AD5" s="277">
        <v>39.11</v>
      </c>
      <c r="AE5" s="119"/>
      <c r="AG5" s="119"/>
      <c r="AH5" s="119"/>
    </row>
    <row r="6" spans="1:35">
      <c r="B6" s="2">
        <v>10025</v>
      </c>
      <c r="C6" s="3" t="s">
        <v>10</v>
      </c>
      <c r="D6" s="115">
        <f>IF(Init!$R$9="Yes",'Staging Table'!F8,'Staging Table'!BS8)*Rates_previous!$E$76*100*12</f>
        <v>21515685.608879998</v>
      </c>
      <c r="E6" s="115">
        <f>IF(Init!$R$9="Yes",'Staging Table'!F8,'Staging Table'!BS8)*Rates_previous!$E$77*100*12</f>
        <v>-4392620.2424400002</v>
      </c>
      <c r="F6" s="116">
        <f>IF(Init!$R$9="Yes",SUMPRODUCT('Staging Table'!L8:AI8,LS_Demand_Rates_Restatement!$C$4:$Z$4)-IF(Init!$R$12="No",('Staging Table'!BH8*Rates_previous!$H$34), 0),SUMPRODUCT('Staging Table'!BY8:CV8,LS_Demand_Rates_Restatement!$C$4:$Z$4)-IF(Init!$R$12="No", 'Staging Table'!DU8*Rates_previous!$H$34, 0))</f>
        <v>-60981.912684642244</v>
      </c>
      <c r="G6" s="116">
        <f>IF(Init!$R$9="Yes",SUMPRODUCT('Staging Table'!AJ8:AU8,LS_Demand_Rates_Restatement!$C$10:$N$10),SUMPRODUCT(LS_Demand_Rates_Restatement!$C$10:$N$10,'Staging Table'!CW8:DH8))*1000</f>
        <v>1529911.9823596419</v>
      </c>
      <c r="H6" s="117">
        <f>IF(Init!$R$9="Yes",'Staging Table'!BQ8,'Staging Table'!ED8)*IF(Init!$R$3=2022,Rates_previous!$C$88,Rates_previous!$D$88)</f>
        <v>0</v>
      </c>
      <c r="I6" s="115">
        <v>2</v>
      </c>
      <c r="J6" s="117">
        <f>IF(Init!$R$9="Yes",IF('Staging Table'!D8=1,'Staging Table'!H8*-1*'Staging Table'!BS8/'Staging Table'!BR8,'Staging Table'!H8*SUM(D6:I6)*(-1)),IF('Staging Table'!D8=1,'Staging Table'!BU8*-1*'Staging Table'!BS8/'Staging Table'!BR8,'Staging Table'!BU8*SUM(D6:I6)*(-1)))</f>
        <v>-1111088.3571452678</v>
      </c>
      <c r="K6" s="115">
        <f>IF(Init!$R$9="Yes",'Staging Table'!K8,'Staging Table'!BX8)*(-1)*Rates_previous!$H$32</f>
        <v>-959162.91549000004</v>
      </c>
      <c r="L6" s="115">
        <f>IF('Staging Table'!C8=1,"",SUM(D6:K6))</f>
        <v>16521746.163479729</v>
      </c>
      <c r="M6" s="115">
        <f>IF('Staging Table'!C8=1,"",IF(Init!$R$9="Yes",(RT1SC!$C$3*'Staging Table'!F8*'Staging Table'!$F$2)+SUM('Staging Table'!L8:AI8)-IF(Init!$R$12="No",'Staging Table'!BH8, 0),X6))</f>
        <v>524044.65600000002</v>
      </c>
      <c r="N6" s="69">
        <f>IF('Staging Table'!C8=1,"",IF(M6=0, 0, L6/M6))</f>
        <v>31.527363125099264</v>
      </c>
      <c r="O6" s="115">
        <f>'Staging Table'!BS8*Rates_current!$F$77*100*12</f>
        <v>21857680.9932</v>
      </c>
      <c r="P6" s="115">
        <f>'Staging Table'!BS8*Rates_current!$F$78*100*12</f>
        <v>-3501014.7155999998</v>
      </c>
      <c r="Q6" s="116">
        <f>SUMPRODUCT('Staging Table'!BY8:CV8, LS_Demand_Rates_Restatement!$C$5:$Z$5)-IF(Init!$R$12="No",('Staging Table'!DU8*Rates_current!$I$46), 0)</f>
        <v>539916.72716192424</v>
      </c>
      <c r="R6" s="116">
        <f>SUMPRODUCT('Staging Table'!CW8:DH8, LS_Demand_Rates_Restatement!$C$11:$N$11)*1000</f>
        <v>1670720.3329102925</v>
      </c>
      <c r="S6" s="117">
        <f>'Staging Table'!ED8*IF(Init!$R$15="Yes",IF(Init!$R$6=2024,Rates_current!$C$89,Rates_current!$D$89),Rates_current!$I$45)</f>
        <v>0</v>
      </c>
      <c r="T6" s="117">
        <v>2</v>
      </c>
      <c r="U6" s="117">
        <f>IF('Staging Table'!D8=1, 'Staging Table'!BU8*-1*'Staging Table'!BS8/'Staging Table'!BR8,SUM(O6:T6)*'Staging Table'!BU8*-1)</f>
        <v>-1410255.3233696879</v>
      </c>
      <c r="V6" s="115">
        <f>'Staging Table'!BX8*Rates_current!$I$44*-1</f>
        <v>-991494.24972000008</v>
      </c>
      <c r="W6" s="115">
        <f>IF('Staging Table'!C8=1,"", SUM(O6:V6))</f>
        <v>18165555.76458253</v>
      </c>
      <c r="X6" s="115">
        <f>IF('Staging Table'!C8=1,"", (RT1SC!$C$4*'Staging Table'!BS8*'Staging Table'!$BS$2)+SUM('Staging Table'!BY8:CV8)-IF(Init!$R$12="No",'Staging Table'!DU8, 0))</f>
        <v>525626.28</v>
      </c>
      <c r="Y6" s="69">
        <f>IF('Staging Table'!C8=1,"",IF(X6=0, 0, W6/X6))</f>
        <v>34.559831682279146</v>
      </c>
      <c r="Z6" s="64">
        <f ca="1">IF('Staging Table'!C8=1,"",(Y6/N6-1)+(RAND()/100000000000000))</f>
        <v>9.6185289748060426E-2</v>
      </c>
      <c r="AA6" s="45">
        <f t="shared" ca="1" si="3"/>
        <v>63</v>
      </c>
      <c r="AC6" s="264"/>
      <c r="AD6" s="278">
        <f>AD5/AD4-1</f>
        <v>9.7670502385629909E-2</v>
      </c>
      <c r="AE6" s="119"/>
      <c r="AG6" s="119"/>
      <c r="AH6" s="119"/>
    </row>
    <row r="7" spans="1:35">
      <c r="B7" s="2">
        <v>10027</v>
      </c>
      <c r="C7" s="3" t="s">
        <v>11</v>
      </c>
      <c r="D7" s="115">
        <f>IF(Init!$R$9="Yes",'Staging Table'!F9,'Staging Table'!BS9)*Rates_previous!$E$76*100*12</f>
        <v>22069215.85032</v>
      </c>
      <c r="E7" s="115">
        <f>IF(Init!$R$9="Yes",'Staging Table'!F9,'Staging Table'!BS9)*Rates_previous!$E$77*100*12</f>
        <v>-4505628.4071599999</v>
      </c>
      <c r="F7" s="116">
        <f>IF(Init!$R$9="Yes",SUMPRODUCT('Staging Table'!L9:AI9,LS_Demand_Rates_Restatement!$C$4:$Z$4)-IF(Init!$R$12="No",('Staging Table'!BH9*Rates_previous!$H$34), 0),SUMPRODUCT('Staging Table'!BY9:CV9,LS_Demand_Rates_Restatement!$C$4:$Z$4)-IF(Init!$R$12="No", 'Staging Table'!DU9*Rates_previous!$H$34, 0))</f>
        <v>-1216108.9203317862</v>
      </c>
      <c r="G7" s="116">
        <f>IF(Init!$R$9="Yes",SUMPRODUCT('Staging Table'!AJ9:AU9,LS_Demand_Rates_Restatement!$C$10:$N$10),SUMPRODUCT(LS_Demand_Rates_Restatement!$C$10:$N$10,'Staging Table'!CW9:DH9))*1000</f>
        <v>1423795.8694122329</v>
      </c>
      <c r="H7" s="117">
        <f>IF(Init!$R$9="Yes",'Staging Table'!BQ9,'Staging Table'!ED9)*IF(Init!$R$3=2022,Rates_previous!$C$88,Rates_previous!$D$88)</f>
        <v>0</v>
      </c>
      <c r="I7" s="115">
        <v>3</v>
      </c>
      <c r="J7" s="117">
        <f>IF(Init!$R$9="Yes",IF('Staging Table'!D9=1,'Staging Table'!H9*-1*'Staging Table'!BS9/'Staging Table'!BR9,'Staging Table'!H9*SUM(D7:I7)*(-1)),IF('Staging Table'!D9=1,'Staging Table'!BU9*-1*'Staging Table'!BS9/'Staging Table'!BR9,'Staging Table'!BU9*SUM(D7:I7)*(-1)))</f>
        <v>-1378097.3069061683</v>
      </c>
      <c r="K7" s="115">
        <f>IF(Init!$R$9="Yes",'Staging Table'!K9,'Staging Table'!BX9)*(-1)*Rates_previous!$H$32</f>
        <v>-2425876.5778000001</v>
      </c>
      <c r="L7" s="115">
        <f>IF('Staging Table'!C9=1,"",SUM(D7:K7))</f>
        <v>13967303.507534282</v>
      </c>
      <c r="M7" s="115">
        <f>IF('Staging Table'!C9=1,"",IF(Init!$R$9="Yes",(RT1SC!$C$3*'Staging Table'!F9*'Staging Table'!$F$2)+SUM('Staging Table'!L9:AI9)-IF(Init!$R$12="No",'Staging Table'!BH9, 0),X7))</f>
        <v>537528.09600000002</v>
      </c>
      <c r="N7" s="69">
        <f>IF('Staging Table'!C9=1,"",IF(M7=0, 0, L7/M7))</f>
        <v>25.984322701402164</v>
      </c>
      <c r="O7" s="115">
        <f>'Staging Table'!BS9*Rates_current!$F$77*100*12</f>
        <v>22419933.954599999</v>
      </c>
      <c r="P7" s="115">
        <f>'Staging Table'!BS9*Rates_current!$F$78*100*12</f>
        <v>-3591072.5718</v>
      </c>
      <c r="Q7" s="116">
        <f>SUMPRODUCT('Staging Table'!BY9:CV9, LS_Demand_Rates_Restatement!$C$5:$Z$5)-IF(Init!$R$12="No",('Staging Table'!DU9*Rates_current!$I$46), 0)</f>
        <v>-471183.7483394728</v>
      </c>
      <c r="R7" s="116">
        <f>SUMPRODUCT('Staging Table'!CW9:DH9, LS_Demand_Rates_Restatement!$C$11:$N$11)*1000</f>
        <v>1540933.0914544696</v>
      </c>
      <c r="S7" s="117">
        <f>'Staging Table'!ED9*IF(Init!$R$15="Yes",IF(Init!$R$6=2024,Rates_current!$C$89,Rates_current!$D$89),Rates_current!$I$45)</f>
        <v>0</v>
      </c>
      <c r="T7" s="117">
        <v>3</v>
      </c>
      <c r="U7" s="117">
        <f>IF('Staging Table'!D9=1, 'Staging Table'!BU9*-1*'Staging Table'!BS9/'Staging Table'!BR9,SUM(O7:T7)*'Staging Table'!BU9*-1)</f>
        <v>-1642098.7705452067</v>
      </c>
      <c r="V7" s="115">
        <f>'Staging Table'!BX9*Rates_current!$I$44*-1</f>
        <v>-2507647.6984000001</v>
      </c>
      <c r="W7" s="115">
        <f>IF('Staging Table'!C9=1,"", SUM(O7:V7))</f>
        <v>15748867.256969785</v>
      </c>
      <c r="X7" s="115">
        <f>IF('Staging Table'!C9=1,"", (RT1SC!$C$4*'Staging Table'!BS9*'Staging Table'!$BS$2)+SUM('Staging Table'!BY9:CV9)-IF(Init!$R$12="No",'Staging Table'!DU9, 0))</f>
        <v>539151.72</v>
      </c>
      <c r="Y7" s="69">
        <f>IF('Staging Table'!C9=1,"",IF(X7=0, 0, W7/X7))</f>
        <v>29.210455374175169</v>
      </c>
      <c r="Z7" s="64">
        <f ca="1">IF('Staging Table'!C9=1,"",(Y7/N7-1)+(RAND()/100000000000000))</f>
        <v>0.12415688913065331</v>
      </c>
      <c r="AA7" s="45">
        <f t="shared" ca="1" si="3"/>
        <v>16</v>
      </c>
      <c r="AB7" s="76"/>
      <c r="AC7" s="264"/>
      <c r="AD7" s="119"/>
      <c r="AE7" s="119"/>
      <c r="AG7" s="119"/>
      <c r="AH7" s="119"/>
    </row>
    <row r="8" spans="1:35">
      <c r="B8" s="2">
        <v>10029</v>
      </c>
      <c r="C8" s="3" t="s">
        <v>12</v>
      </c>
      <c r="D8" s="115">
        <f>IF(Init!$R$9="Yes",'Staging Table'!F10,'Staging Table'!BS10)*Rates_previous!$E$76*100*12</f>
        <v>6353142.1005600002</v>
      </c>
      <c r="E8" s="115">
        <f>IF(Init!$R$9="Yes",'Staging Table'!F10,'Staging Table'!BS10)*Rates_previous!$E$77*100*12</f>
        <v>-1297050.95628</v>
      </c>
      <c r="F8" s="116">
        <f>IF(Init!$R$9="Yes",SUMPRODUCT('Staging Table'!L10:AI10,LS_Demand_Rates_Restatement!$C$4:$Z$4)-IF(Init!$R$12="No",('Staging Table'!BH10*Rates_previous!$H$34), 0),SUMPRODUCT('Staging Table'!BY10:CV10,LS_Demand_Rates_Restatement!$C$4:$Z$4)-IF(Init!$R$12="No", 'Staging Table'!DU10*Rates_previous!$H$34, 0))</f>
        <v>0</v>
      </c>
      <c r="G8" s="116">
        <f>IF(Init!$R$9="Yes",SUMPRODUCT('Staging Table'!AJ10:AU10,LS_Demand_Rates_Restatement!$C$10:$N$10),SUMPRODUCT(LS_Demand_Rates_Restatement!$C$10:$N$10,'Staging Table'!CW10:DH10))*1000</f>
        <v>0</v>
      </c>
      <c r="H8" s="117">
        <f>IF(Init!$R$9="Yes",'Staging Table'!BQ10,'Staging Table'!ED10)*IF(Init!$R$3=2022,Rates_previous!$C$88,Rates_previous!$D$88)</f>
        <v>0</v>
      </c>
      <c r="I8" s="115">
        <v>4</v>
      </c>
      <c r="J8" s="117">
        <f>IF(Init!$R$9="Yes",IF('Staging Table'!D10=1,'Staging Table'!H10*-1*'Staging Table'!BS10/'Staging Table'!BR10,'Staging Table'!H10*SUM(D8:I8)*(-1)),IF('Staging Table'!D10=1,'Staging Table'!BU10*-1*'Staging Table'!BS10/'Staging Table'!BR10,'Staging Table'!BU10*SUM(D8:I8)*(-1)))</f>
        <v>-404445.99404717289</v>
      </c>
      <c r="K8" s="115">
        <f>IF(Init!$R$9="Yes",'Staging Table'!K10,'Staging Table'!BX10)*(-1)*Rates_previous!$H$32</f>
        <v>0</v>
      </c>
      <c r="L8" s="115" t="str">
        <f>IF('Staging Table'!C10=1,"",SUM(D8:K8))</f>
        <v/>
      </c>
      <c r="M8" s="115" t="str">
        <f>IF('Staging Table'!C10=1,"",IF(Init!$R$9="Yes",(RT1SC!$C$3*'Staging Table'!F10*'Staging Table'!$F$2)+SUM('Staging Table'!L10:AI10)-IF(Init!$R$12="No",'Staging Table'!BH10, 0),X8))</f>
        <v/>
      </c>
      <c r="N8" s="69" t="str">
        <f>IF('Staging Table'!C10=1,"",IF(M8=0, 0, L8/M8))</f>
        <v/>
      </c>
      <c r="O8" s="115">
        <f>'Staging Table'!BS10*Rates_current!$F$77*100*12</f>
        <v>6454125.3114</v>
      </c>
      <c r="P8" s="115">
        <f>'Staging Table'!BS10*Rates_current!$F$78*100*12</f>
        <v>-1033777.9062000001</v>
      </c>
      <c r="Q8" s="116">
        <f>SUMPRODUCT('Staging Table'!BY10:CV10, LS_Demand_Rates_Restatement!$C$5:$Z$5)-IF(Init!$R$12="No",('Staging Table'!DU10*Rates_current!$I$46), 0)</f>
        <v>0</v>
      </c>
      <c r="R8" s="116">
        <f>SUMPRODUCT('Staging Table'!CW10:DH10, LS_Demand_Rates_Restatement!$C$11:$N$11)*1000</f>
        <v>0</v>
      </c>
      <c r="S8" s="117">
        <f>'Staging Table'!ED10*IF(Init!$R$15="Yes",IF(Init!$R$6=2024,Rates_current!$C$89,Rates_current!$D$89),Rates_current!$I$45)</f>
        <v>0</v>
      </c>
      <c r="T8" s="117">
        <v>4</v>
      </c>
      <c r="U8" s="117">
        <f>IF('Staging Table'!D10=1, 'Staging Table'!BU10*-1*'Staging Table'!BS10/'Staging Table'!BR10,SUM(O8:T8)*'Staging Table'!BU10*-1)</f>
        <v>-461591.0439089624</v>
      </c>
      <c r="V8" s="115">
        <f>'Staging Table'!BX10*Rates_current!$I$44*-1</f>
        <v>0</v>
      </c>
      <c r="W8" s="115" t="str">
        <f>IF('Staging Table'!C10=1,"", SUM(O8:V8))</f>
        <v/>
      </c>
      <c r="X8" s="115" t="str">
        <f>IF('Staging Table'!C10=1,"", (RT1SC!$C$4*'Staging Table'!BS10*'Staging Table'!$BS$2)+SUM('Staging Table'!BY10:CV10)-IF(Init!$R$12="No",'Staging Table'!DU10, 0))</f>
        <v/>
      </c>
      <c r="Y8" s="69" t="str">
        <f>IF('Staging Table'!C10=1,"",IF(X8=0, 0, W8/X8))</f>
        <v/>
      </c>
      <c r="Z8" s="64" t="str">
        <f ca="1">IF('Staging Table'!C10=1,"",(Y8/N8-1)+(RAND()/100000000000000))</f>
        <v/>
      </c>
      <c r="AA8" s="45" t="str">
        <f t="shared" ca="1" si="3"/>
        <v/>
      </c>
      <c r="AB8" s="76"/>
      <c r="AC8" s="264"/>
      <c r="AD8" s="119"/>
      <c r="AE8" s="119"/>
      <c r="AG8" s="119"/>
      <c r="AH8" s="119"/>
    </row>
    <row r="9" spans="1:35">
      <c r="B9" s="2">
        <v>10044</v>
      </c>
      <c r="C9" s="3" t="s">
        <v>13</v>
      </c>
      <c r="D9" s="115">
        <f>IF(Init!$R$9="Yes",'Staging Table'!F11,'Staging Table'!BS11)*Rates_previous!$E$76*100*12</f>
        <v>7324186.60152</v>
      </c>
      <c r="E9" s="115">
        <f>IF(Init!$R$9="Yes",'Staging Table'!F11,'Staging Table'!BS11)*Rates_previous!$E$77*100*12</f>
        <v>-1495298.4027600002</v>
      </c>
      <c r="F9" s="116">
        <f>IF(Init!$R$9="Yes",SUMPRODUCT('Staging Table'!L11:AI11,LS_Demand_Rates_Restatement!$C$4:$Z$4)-IF(Init!$R$12="No",('Staging Table'!BH11*Rates_previous!$H$34), 0),SUMPRODUCT('Staging Table'!BY11:CV11,LS_Demand_Rates_Restatement!$C$4:$Z$4)-IF(Init!$R$12="No", 'Staging Table'!DU11*Rates_previous!$H$34, 0))</f>
        <v>-464929.17794186599</v>
      </c>
      <c r="G9" s="116">
        <f>IF(Init!$R$9="Yes",SUMPRODUCT('Staging Table'!AJ11:AU11,LS_Demand_Rates_Restatement!$C$10:$N$10),SUMPRODUCT(LS_Demand_Rates_Restatement!$C$10:$N$10,'Staging Table'!CW11:DH11))*1000</f>
        <v>444502.72548223817</v>
      </c>
      <c r="H9" s="117">
        <f>IF(Init!$R$9="Yes",'Staging Table'!BQ11,'Staging Table'!ED11)*IF(Init!$R$3=2022,Rates_previous!$C$88,Rates_previous!$D$88)</f>
        <v>0</v>
      </c>
      <c r="I9" s="115">
        <v>5</v>
      </c>
      <c r="J9" s="117">
        <f>IF(Init!$R$9="Yes",IF('Staging Table'!D11=1,'Staging Table'!H11*-1*'Staging Table'!BS11/'Staging Table'!BR11,'Staging Table'!H11*SUM(D9:I9)*(-1)),IF('Staging Table'!D11=1,'Staging Table'!BU11*-1*'Staging Table'!BS11/'Staging Table'!BR11,'Staging Table'!BU11*SUM(D9:I9)*(-1)))</f>
        <v>0</v>
      </c>
      <c r="K9" s="115">
        <f>IF(Init!$R$9="Yes",'Staging Table'!K11,'Staging Table'!BX11)*(-1)*Rates_previous!$H$32</f>
        <v>0</v>
      </c>
      <c r="L9" s="115">
        <f>IF('Staging Table'!C11=1,"",SUM(D9:K9))</f>
        <v>5808466.7463003723</v>
      </c>
      <c r="M9" s="115">
        <f>IF('Staging Table'!C11=1,"",IF(Init!$R$9="Yes",(RT1SC!$C$3*'Staging Table'!F11*'Staging Table'!$F$2)+SUM('Staging Table'!L11:AI11)-IF(Init!$R$12="No",'Staging Table'!BH11, 0),X9))</f>
        <v>164569.12683616445</v>
      </c>
      <c r="N9" s="69">
        <f>IF('Staging Table'!C11=1,"",IF(M9=0, 0, L9/M9))</f>
        <v>35.294996442941255</v>
      </c>
      <c r="O9" s="115">
        <f>'Staging Table'!BS11*Rates_current!$F$77*100*12</f>
        <v>7440593.0820000004</v>
      </c>
      <c r="P9" s="115">
        <f>'Staging Table'!BS11*Rates_current!$F$78*100*12</f>
        <v>-1191783.6059999999</v>
      </c>
      <c r="Q9" s="116">
        <f>SUMPRODUCT('Staging Table'!BY11:CV11, LS_Demand_Rates_Restatement!$C$5:$Z$5)-IF(Init!$R$12="No",('Staging Table'!DU11*Rates_current!$I$46), 0)</f>
        <v>209143.40736531821</v>
      </c>
      <c r="R9" s="116">
        <f>SUMPRODUCT('Staging Table'!CW11:DH11, LS_Demand_Rates_Restatement!$C$11:$N$11)*1000</f>
        <v>480662.25775714929</v>
      </c>
      <c r="S9" s="117">
        <f>'Staging Table'!ED11*IF(Init!$R$15="Yes",IF(Init!$R$6=2024,Rates_current!$C$89,Rates_current!$D$89),Rates_current!$I$45)</f>
        <v>0</v>
      </c>
      <c r="T9" s="117">
        <v>5</v>
      </c>
      <c r="U9" s="117">
        <f>IF('Staging Table'!D11=1, 'Staging Table'!BU11*-1*'Staging Table'!BS11/'Staging Table'!BR11,SUM(O9:T9)*'Staging Table'!BU11*-1)</f>
        <v>0</v>
      </c>
      <c r="V9" s="115">
        <f>'Staging Table'!BX11*Rates_current!$I$44*-1</f>
        <v>0</v>
      </c>
      <c r="W9" s="115">
        <f>IF('Staging Table'!C11=1,"", SUM(O9:V9))</f>
        <v>6938620.1411224687</v>
      </c>
      <c r="X9" s="115">
        <f>IF('Staging Table'!C11=1,"", (RT1SC!$C$4*'Staging Table'!BS11*'Staging Table'!$BS$2)+SUM('Staging Table'!BY11:CV11)-IF(Init!$R$12="No",'Staging Table'!DU11, 0))</f>
        <v>178931.75999999998</v>
      </c>
      <c r="Y9" s="69">
        <f>IF('Staging Table'!C11=1,"",IF(X9=0, 0, W9/X9))</f>
        <v>38.77802432124107</v>
      </c>
      <c r="Z9" s="64">
        <f ca="1">IF('Staging Table'!C11=1,"",(Y9/N9-1)+(RAND()/100000000000000))</f>
        <v>9.8683332747480063E-2</v>
      </c>
      <c r="AA9" s="45">
        <f t="shared" ca="1" si="3"/>
        <v>49</v>
      </c>
      <c r="AB9" s="76"/>
      <c r="AC9" s="264"/>
      <c r="AD9" s="119"/>
      <c r="AE9" s="119"/>
      <c r="AG9" s="119"/>
      <c r="AH9" s="119"/>
    </row>
    <row r="10" spans="1:35">
      <c r="B10" s="2">
        <v>10046</v>
      </c>
      <c r="C10" s="3" t="s">
        <v>14</v>
      </c>
      <c r="D10" s="115">
        <f>IF(Init!$R$9="Yes",'Staging Table'!F12,'Staging Table'!BS12)*Rates_previous!$E$76*100*12</f>
        <v>29518955.665919997</v>
      </c>
      <c r="E10" s="115">
        <f>IF(Init!$R$9="Yes",'Staging Table'!F12,'Staging Table'!BS12)*Rates_previous!$E$77*100*12</f>
        <v>-6026559.6249599997</v>
      </c>
      <c r="F10" s="116">
        <f>IF(Init!$R$9="Yes",SUMPRODUCT('Staging Table'!L12:AI12,LS_Demand_Rates_Restatement!$C$4:$Z$4)-IF(Init!$R$12="No",('Staging Table'!BH12*Rates_previous!$H$34), 0),SUMPRODUCT('Staging Table'!BY12:CV12,LS_Demand_Rates_Restatement!$C$4:$Z$4)-IF(Init!$R$12="No", 'Staging Table'!DU12*Rates_previous!$H$34, 0))</f>
        <v>0</v>
      </c>
      <c r="G10" s="116">
        <f>IF(Init!$R$9="Yes",SUMPRODUCT('Staging Table'!AJ12:AU12,LS_Demand_Rates_Restatement!$C$10:$N$10),SUMPRODUCT(LS_Demand_Rates_Restatement!$C$10:$N$10,'Staging Table'!CW12:DH12))*1000</f>
        <v>0</v>
      </c>
      <c r="H10" s="117">
        <f>IF(Init!$R$9="Yes",'Staging Table'!BQ12,'Staging Table'!ED12)*IF(Init!$R$3=2022,Rates_previous!$C$88,Rates_previous!$D$88)</f>
        <v>0</v>
      </c>
      <c r="I10" s="115">
        <v>6</v>
      </c>
      <c r="J10" s="117">
        <f>IF(Init!$R$9="Yes",IF('Staging Table'!D12=1,'Staging Table'!H12*-1*'Staging Table'!BS12/'Staging Table'!BR12,'Staging Table'!H12*SUM(D10:I10)*(-1)),IF('Staging Table'!D12=1,'Staging Table'!BU12*-1*'Staging Table'!BS12/'Staging Table'!BR12,'Staging Table'!BU12*SUM(D10:I10)*(-1)))</f>
        <v>-1844679.2267843455</v>
      </c>
      <c r="K10" s="115">
        <f>IF(Init!$R$9="Yes",'Staging Table'!K12,'Staging Table'!BX12)*(-1)*Rates_previous!$H$32</f>
        <v>-475358.73749000003</v>
      </c>
      <c r="L10" s="115" t="str">
        <f>IF('Staging Table'!C12=1,"",SUM(D10:K10))</f>
        <v/>
      </c>
      <c r="M10" s="115" t="str">
        <f>IF('Staging Table'!C12=1,"",IF(Init!$R$9="Yes",(RT1SC!$C$3*'Staging Table'!F12*'Staging Table'!$F$2)+SUM('Staging Table'!L12:AI12)-IF(Init!$R$12="No",'Staging Table'!BH12, 0),X10))</f>
        <v/>
      </c>
      <c r="N10" s="69" t="str">
        <f>IF('Staging Table'!C12=1,"",IF(M10=0, 0, L10/M10))</f>
        <v/>
      </c>
      <c r="O10" s="115">
        <f>'Staging Table'!BS12*Rates_current!$F$77*100*12</f>
        <v>29988205.852799997</v>
      </c>
      <c r="P10" s="115">
        <f>'Staging Table'!BS12*Rates_current!$F$78*100*12</f>
        <v>-4803306.9024</v>
      </c>
      <c r="Q10" s="116">
        <f>SUMPRODUCT('Staging Table'!BY12:CV12, LS_Demand_Rates_Restatement!$C$5:$Z$5)-IF(Init!$R$12="No",('Staging Table'!DU12*Rates_current!$I$46), 0)</f>
        <v>0</v>
      </c>
      <c r="R10" s="116">
        <f>SUMPRODUCT('Staging Table'!CW12:DH12, LS_Demand_Rates_Restatement!$C$11:$N$11)*1000</f>
        <v>0</v>
      </c>
      <c r="S10" s="117">
        <f>'Staging Table'!ED12*IF(Init!$R$15="Yes",IF(Init!$R$6=2024,Rates_current!$C$89,Rates_current!$D$89),Rates_current!$I$45)</f>
        <v>0</v>
      </c>
      <c r="T10" s="117">
        <v>6</v>
      </c>
      <c r="U10" s="117">
        <f>IF('Staging Table'!D12=1, 'Staging Table'!BU12*-1*'Staging Table'!BS12/'Staging Table'!BR12,SUM(O10:T10)*'Staging Table'!BU12*-1)</f>
        <v>-2037071.5975068351</v>
      </c>
      <c r="V10" s="115">
        <f>'Staging Table'!BX12*Rates_current!$I$44*-1</f>
        <v>-491382.06572000007</v>
      </c>
      <c r="W10" s="115" t="str">
        <f>IF('Staging Table'!C12=1,"", SUM(O10:V10))</f>
        <v/>
      </c>
      <c r="X10" s="115" t="str">
        <f>IF('Staging Table'!C12=1,"", (RT1SC!$C$4*'Staging Table'!BS12*'Staging Table'!$BS$2)+SUM('Staging Table'!BY12:CV12)-IF(Init!$R$12="No",'Staging Table'!DU12, 0))</f>
        <v/>
      </c>
      <c r="Y10" s="69" t="str">
        <f>IF('Staging Table'!C12=1,"",IF(X10=0, 0, W10/X10))</f>
        <v/>
      </c>
      <c r="Z10" s="64" t="str">
        <f ca="1">IF('Staging Table'!C12=1,"",(Y10/N10-1)+(RAND()/100000000000000))</f>
        <v/>
      </c>
      <c r="AA10" s="45" t="str">
        <f t="shared" ca="1" si="3"/>
        <v/>
      </c>
      <c r="AB10" s="76"/>
      <c r="AC10" s="264"/>
      <c r="AD10" s="119"/>
      <c r="AE10" s="119"/>
      <c r="AG10" s="119"/>
      <c r="AH10" s="119"/>
    </row>
    <row r="11" spans="1:35">
      <c r="B11" s="2">
        <v>10047</v>
      </c>
      <c r="C11" s="3" t="s">
        <v>15</v>
      </c>
      <c r="D11" s="115">
        <f>IF(Init!$R$9="Yes",'Staging Table'!F13,'Staging Table'!BS13)*Rates_previous!$E$76*100*12</f>
        <v>54930776.727600008</v>
      </c>
      <c r="E11" s="115">
        <f>IF(Init!$R$9="Yes",'Staging Table'!F13,'Staging Table'!BS13)*Rates_previous!$E$77*100*12</f>
        <v>-11214610.8738</v>
      </c>
      <c r="F11" s="116">
        <f>IF(Init!$R$9="Yes",SUMPRODUCT('Staging Table'!L13:AI13,LS_Demand_Rates_Restatement!$C$4:$Z$4)-IF(Init!$R$12="No",('Staging Table'!BH13*Rates_previous!$H$34), 0),SUMPRODUCT('Staging Table'!BY13:CV13,LS_Demand_Rates_Restatement!$C$4:$Z$4)-IF(Init!$R$12="No", 'Staging Table'!DU13*Rates_previous!$H$34, 0))</f>
        <v>-1080975.3780364622</v>
      </c>
      <c r="G11" s="116">
        <f>IF(Init!$R$9="Yes",SUMPRODUCT('Staging Table'!AJ13:AU13,LS_Demand_Rates_Restatement!$C$10:$N$10),SUMPRODUCT(LS_Demand_Rates_Restatement!$C$10:$N$10,'Staging Table'!CW13:DH13))*1000</f>
        <v>1765987.1303468221</v>
      </c>
      <c r="H11" s="117">
        <f>IF(Init!$R$9="Yes",'Staging Table'!BQ13,'Staging Table'!ED13)*IF(Init!$R$3=2022,Rates_previous!$C$88,Rates_previous!$D$88)</f>
        <v>0</v>
      </c>
      <c r="I11" s="115">
        <v>7</v>
      </c>
      <c r="J11" s="117">
        <f>IF(Init!$R$9="Yes",IF('Staging Table'!D13=1,'Staging Table'!H13*-1*'Staging Table'!BS13/'Staging Table'!BR13,'Staging Table'!H13*SUM(D11:I11)*(-1)),IF('Staging Table'!D13=1,'Staging Table'!BU13*-1*'Staging Table'!BS13/'Staging Table'!BR13,'Staging Table'!BU13*SUM(D11:I11)*(-1)))</f>
        <v>0</v>
      </c>
      <c r="K11" s="115">
        <f>IF(Init!$R$9="Yes",'Staging Table'!K13,'Staging Table'!BX13)*(-1)*Rates_previous!$H$32</f>
        <v>0</v>
      </c>
      <c r="L11" s="115">
        <f>IF('Staging Table'!C13=1,"",SUM(D11:K11))</f>
        <v>44401184.606110364</v>
      </c>
      <c r="M11" s="115">
        <f>IF('Staging Table'!C13=1,"",IF(Init!$R$9="Yes",(RT1SC!$C$3*'Staging Table'!F13*'Staging Table'!$F$2)+SUM('Staging Table'!L13:AI13)-IF(Init!$R$12="No",'Staging Table'!BH13, 0),X11))</f>
        <v>1327312.9622711623</v>
      </c>
      <c r="N11" s="69">
        <f>IF('Staging Table'!C13=1,"",IF(M11=0, 0, L11/M11))</f>
        <v>33.451933242733951</v>
      </c>
      <c r="O11" s="115">
        <f>'Staging Table'!BS13*Rates_current!$F$77*100*12</f>
        <v>55195060.174799994</v>
      </c>
      <c r="P11" s="115">
        <f>'Staging Table'!BS13*Rates_current!$F$78*100*12</f>
        <v>-8840769.4284000006</v>
      </c>
      <c r="Q11" s="116">
        <f>SUMPRODUCT('Staging Table'!BY13:CV13, LS_Demand_Rates_Restatement!$C$5:$Z$5)-IF(Init!$R$12="No",('Staging Table'!DU13*Rates_current!$I$46), 0)</f>
        <v>1156551.2163641716</v>
      </c>
      <c r="R11" s="116">
        <f>SUMPRODUCT('Staging Table'!CW13:DH13, LS_Demand_Rates_Restatement!$C$11:$N$11)*1000</f>
        <v>1977416.6997575769</v>
      </c>
      <c r="S11" s="117">
        <f>'Staging Table'!ED13*IF(Init!$R$15="Yes",IF(Init!$R$6=2024,Rates_current!$C$89,Rates_current!$D$89),Rates_current!$I$45)</f>
        <v>8.4027172937523567</v>
      </c>
      <c r="T11" s="117">
        <v>7</v>
      </c>
      <c r="U11" s="117">
        <f>IF('Staging Table'!D13=1, 'Staging Table'!BU13*-1*'Staging Table'!BS13/'Staging Table'!BR13,SUM(O11:T11)*'Staging Table'!BU13*-1)</f>
        <v>0</v>
      </c>
      <c r="V11" s="115">
        <f>'Staging Table'!BX13*Rates_current!$I$44*-1</f>
        <v>0</v>
      </c>
      <c r="W11" s="115">
        <f>IF('Staging Table'!C13=1,"", SUM(O11:V11))</f>
        <v>49488274.065239035</v>
      </c>
      <c r="X11" s="115">
        <f>IF('Staging Table'!C13=1,"", (RT1SC!$C$4*'Staging Table'!BS13*'Staging Table'!$BS$2)+SUM('Staging Table'!BY13:CV13)-IF(Init!$R$12="No",'Staging Table'!DU13, 0))</f>
        <v>1327313.0343512131</v>
      </c>
      <c r="Y11" s="69">
        <f>IF('Staging Table'!C13=1,"",IF(X11=0, 0, W11/X11))</f>
        <v>37.284553669307378</v>
      </c>
      <c r="Z11" s="64">
        <f ca="1">IF('Staging Table'!C13=1,"",(Y11/N11-1)+(RAND()/100000000000000))</f>
        <v>0.11457096959878153</v>
      </c>
      <c r="AA11" s="45">
        <f t="shared" ca="1" si="3"/>
        <v>24</v>
      </c>
      <c r="AB11" s="76"/>
      <c r="AC11" s="264"/>
      <c r="AD11" s="119"/>
      <c r="AE11" s="119"/>
      <c r="AG11" s="119"/>
      <c r="AH11" s="119"/>
    </row>
    <row r="12" spans="1:35">
      <c r="B12" s="2">
        <v>10055</v>
      </c>
      <c r="C12" s="3" t="s">
        <v>16</v>
      </c>
      <c r="D12" s="115">
        <f>IF(Init!$R$9="Yes",'Staging Table'!F14,'Staging Table'!BS14)*Rates_previous!$E$76*100*12</f>
        <v>140998.25232000003</v>
      </c>
      <c r="E12" s="115">
        <f>IF(Init!$R$9="Yes",'Staging Table'!F14,'Staging Table'!BS14)*Rates_previous!$E$77*100*12</f>
        <v>-28786.058159999997</v>
      </c>
      <c r="F12" s="116">
        <f>IF(Init!$R$9="Yes",SUMPRODUCT('Staging Table'!L14:AI14,LS_Demand_Rates_Restatement!$C$4:$Z$4)-IF(Init!$R$12="No",('Staging Table'!BH14*Rates_previous!$H$34), 0),SUMPRODUCT('Staging Table'!BY14:CV14,LS_Demand_Rates_Restatement!$C$4:$Z$4)-IF(Init!$R$12="No", 'Staging Table'!DU14*Rates_previous!$H$34, 0))</f>
        <v>4714.6844379366812</v>
      </c>
      <c r="G12" s="116">
        <f>IF(Init!$R$9="Yes",SUMPRODUCT('Staging Table'!AJ14:AU14,LS_Demand_Rates_Restatement!$C$10:$N$10),SUMPRODUCT(LS_Demand_Rates_Restatement!$C$10:$N$10,'Staging Table'!CW14:DH14))*1000</f>
        <v>24101.74533928953</v>
      </c>
      <c r="H12" s="117">
        <f>IF(Init!$R$9="Yes",'Staging Table'!BQ14,'Staging Table'!ED14)*IF(Init!$R$3=2022,Rates_previous!$C$88,Rates_previous!$D$88)</f>
        <v>0</v>
      </c>
      <c r="I12" s="115">
        <v>8</v>
      </c>
      <c r="J12" s="117">
        <f>IF(Init!$R$9="Yes",IF('Staging Table'!D14=1,'Staging Table'!H14*-1*'Staging Table'!BS14/'Staging Table'!BR14,'Staging Table'!H14*SUM(D12:I12)*(-1)),IF('Staging Table'!D14=1,'Staging Table'!BU14*-1*'Staging Table'!BS14/'Staging Table'!BR14,'Staging Table'!BU14*SUM(D12:I12)*(-1)))</f>
        <v>0</v>
      </c>
      <c r="K12" s="115">
        <f>IF(Init!$R$9="Yes",'Staging Table'!K14,'Staging Table'!BX14)*(-1)*Rates_previous!$H$32</f>
        <v>0</v>
      </c>
      <c r="L12" s="115">
        <f>IF('Staging Table'!C14=1,"",SUM(D12:K12))</f>
        <v>141036.62393722625</v>
      </c>
      <c r="M12" s="115">
        <f>IF('Staging Table'!C14=1,"",IF(Init!$R$9="Yes",(RT1SC!$C$3*'Staging Table'!F14*'Staging Table'!$F$2)+SUM('Staging Table'!L14:AI14)-IF(Init!$R$12="No",'Staging Table'!BH14, 0),X12))</f>
        <v>3496.0320000000002</v>
      </c>
      <c r="N12" s="69">
        <f>IF('Staging Table'!C14=1,"",IF(M12=0, 0, L12/M12))</f>
        <v>40.341914472529496</v>
      </c>
      <c r="O12" s="115">
        <f>'Staging Table'!BS14*Rates_current!$F$77*100*12</f>
        <v>145807.65419999999</v>
      </c>
      <c r="P12" s="115">
        <f>'Staging Table'!BS14*Rates_current!$F$78*100*12</f>
        <v>-23354.478600000002</v>
      </c>
      <c r="Q12" s="116">
        <f>SUMPRODUCT('Staging Table'!BY14:CV14, LS_Demand_Rates_Restatement!$C$5:$Z$5)-IF(Init!$R$12="No",('Staging Table'!DU14*Rates_current!$I$46), 0)</f>
        <v>5432.6115601569218</v>
      </c>
      <c r="R12" s="116">
        <f>SUMPRODUCT('Staging Table'!CW14:DH14, LS_Demand_Rates_Restatement!$C$11:$N$11)*1000</f>
        <v>26354.007274207623</v>
      </c>
      <c r="S12" s="117">
        <f>'Staging Table'!ED14*IF(Init!$R$15="Yes",IF(Init!$R$6=2024,Rates_current!$C$89,Rates_current!$D$89),Rates_current!$I$45)</f>
        <v>0</v>
      </c>
      <c r="T12" s="117">
        <v>8</v>
      </c>
      <c r="U12" s="117">
        <f>IF('Staging Table'!D14=1, 'Staging Table'!BU14*-1*'Staging Table'!BS14/'Staging Table'!BR14,SUM(O12:T12)*'Staging Table'!BU14*-1)</f>
        <v>0</v>
      </c>
      <c r="V12" s="115">
        <f>'Staging Table'!BX14*Rates_current!$I$44*-1</f>
        <v>0</v>
      </c>
      <c r="W12" s="115">
        <f>IF('Staging Table'!C14=1,"", SUM(O12:V12))</f>
        <v>154247.79443436454</v>
      </c>
      <c r="X12" s="115">
        <f>IF('Staging Table'!C14=1,"", (RT1SC!$C$4*'Staging Table'!BS14*'Staging Table'!$BS$2)+SUM('Staging Table'!BY14:CV14)-IF(Init!$R$12="No",'Staging Table'!DU14, 0))</f>
        <v>3504</v>
      </c>
      <c r="Y12" s="69">
        <f>IF('Staging Table'!C14=1,"",IF(X12=0, 0, W12/X12))</f>
        <v>44.020489279213621</v>
      </c>
      <c r="Z12" s="64">
        <f ca="1">IF('Staging Table'!C14=1,"",(Y12/N12-1)+(RAND()/100000000000000))</f>
        <v>9.1184933952239478E-2</v>
      </c>
      <c r="AA12" s="45">
        <f t="shared" ca="1" si="3"/>
        <v>80</v>
      </c>
      <c r="AB12" s="76"/>
      <c r="AC12" s="264"/>
      <c r="AD12" s="119"/>
      <c r="AE12" s="119"/>
      <c r="AG12" s="119"/>
      <c r="AH12" s="119"/>
    </row>
    <row r="13" spans="1:35">
      <c r="B13" s="2">
        <v>10057</v>
      </c>
      <c r="C13" s="3" t="s">
        <v>17</v>
      </c>
      <c r="D13" s="115">
        <f>IF(Init!$R$9="Yes",'Staging Table'!F15,'Staging Table'!BS15)*Rates_previous!$E$76*100*12</f>
        <v>7210590.8364000004</v>
      </c>
      <c r="E13" s="115">
        <f>IF(Init!$R$9="Yes",'Staging Table'!F15,'Staging Table'!BS15)*Rates_previous!$E$77*100*12</f>
        <v>-1472106.8082000001</v>
      </c>
      <c r="F13" s="116">
        <f>IF(Init!$R$9="Yes",SUMPRODUCT('Staging Table'!L15:AI15,LS_Demand_Rates_Restatement!$C$4:$Z$4)-IF(Init!$R$12="No",('Staging Table'!BH15*Rates_previous!$H$34), 0),SUMPRODUCT('Staging Table'!BY15:CV15,LS_Demand_Rates_Restatement!$C$4:$Z$4)-IF(Init!$R$12="No", 'Staging Table'!DU15*Rates_previous!$H$34, 0))</f>
        <v>-157995.45730980334</v>
      </c>
      <c r="G13" s="116">
        <f>IF(Init!$R$9="Yes",SUMPRODUCT('Staging Table'!AJ15:AU15,LS_Demand_Rates_Restatement!$C$10:$N$10),SUMPRODUCT(LS_Demand_Rates_Restatement!$C$10:$N$10,'Staging Table'!CW15:DH15))*1000</f>
        <v>493938.07872446574</v>
      </c>
      <c r="H13" s="117">
        <f>IF(Init!$R$9="Yes",'Staging Table'!BQ15,'Staging Table'!ED15)*IF(Init!$R$3=2022,Rates_previous!$C$88,Rates_previous!$D$88)</f>
        <v>0</v>
      </c>
      <c r="I13" s="115">
        <v>9</v>
      </c>
      <c r="J13" s="117">
        <f>IF(Init!$R$9="Yes",IF('Staging Table'!D15=1,'Staging Table'!H15*-1*'Staging Table'!BS15/'Staging Table'!BR15,'Staging Table'!H15*SUM(D13:I13)*(-1)),IF('Staging Table'!D15=1,'Staging Table'!BU15*-1*'Staging Table'!BS15/'Staging Table'!BR15,'Staging Table'!BU15*SUM(D13:I13)*(-1)))</f>
        <v>0</v>
      </c>
      <c r="K13" s="115">
        <f>IF(Init!$R$9="Yes",'Staging Table'!K15,'Staging Table'!BX15)*(-1)*Rates_previous!$H$32</f>
        <v>0</v>
      </c>
      <c r="L13" s="115">
        <f>IF('Staging Table'!C15=1,"",SUM(D13:K13))</f>
        <v>6074435.6496146629</v>
      </c>
      <c r="M13" s="115">
        <f>IF('Staging Table'!C15=1,"",IF(Init!$R$9="Yes",(RT1SC!$C$3*'Staging Table'!F15*'Staging Table'!$F$2)+SUM('Staging Table'!L15:AI15)-IF(Init!$R$12="No",'Staging Table'!BH15, 0),X13))</f>
        <v>168349.31182319578</v>
      </c>
      <c r="N13" s="69">
        <f>IF('Staging Table'!C15=1,"",IF(M13=0, 0, L13/M13))</f>
        <v>36.08233133732184</v>
      </c>
      <c r="O13" s="115">
        <f>'Staging Table'!BS15*Rates_current!$F$77*100*12</f>
        <v>7000580.2853999995</v>
      </c>
      <c r="P13" s="115">
        <f>'Staging Table'!BS15*Rates_current!$F$78*100*12</f>
        <v>-1121305.3481999999</v>
      </c>
      <c r="Q13" s="116">
        <f>SUMPRODUCT('Staging Table'!BY15:CV15, LS_Demand_Rates_Restatement!$C$5:$Z$5)-IF(Init!$R$12="No",('Staging Table'!DU15*Rates_current!$I$46), 0)</f>
        <v>257645.43412750401</v>
      </c>
      <c r="R13" s="116">
        <f>SUMPRODUCT('Staging Table'!CW15:DH15, LS_Demand_Rates_Restatement!$C$11:$N$11)*1000</f>
        <v>536309.60634972388</v>
      </c>
      <c r="S13" s="117">
        <f>'Staging Table'!ED15*IF(Init!$R$15="Yes",IF(Init!$R$6=2024,Rates_current!$C$89,Rates_current!$D$89),Rates_current!$I$45)</f>
        <v>1.393162285812432</v>
      </c>
      <c r="T13" s="117">
        <v>9</v>
      </c>
      <c r="U13" s="117">
        <f>IF('Staging Table'!D15=1, 'Staging Table'!BU15*-1*'Staging Table'!BS15/'Staging Table'!BR15,SUM(O13:T13)*'Staging Table'!BU15*-1)</f>
        <v>0</v>
      </c>
      <c r="V13" s="115">
        <f>'Staging Table'!BX15*Rates_current!$I$44*-1</f>
        <v>0</v>
      </c>
      <c r="W13" s="115">
        <f>IF('Staging Table'!C15=1,"", SUM(O13:V13))</f>
        <v>6673240.3708395138</v>
      </c>
      <c r="X13" s="115">
        <f>IF('Staging Table'!C15=1,"", (RT1SC!$C$4*'Staging Table'!BS15*'Staging Table'!$BS$2)+SUM('Staging Table'!BY15:CV15)-IF(Init!$R$12="No",'Staging Table'!DU15, 0))</f>
        <v>168349.3209375552</v>
      </c>
      <c r="Y13" s="69">
        <f>IF('Staging Table'!C15=1,"",IF(X13=0, 0, W13/X13))</f>
        <v>39.639247332127816</v>
      </c>
      <c r="Z13" s="64">
        <f ca="1">IF('Staging Table'!C15=1,"",(Y13/N13-1)+(RAND()/100000000000000))</f>
        <v>9.8577776517647486E-2</v>
      </c>
      <c r="AA13" s="45">
        <f t="shared" ca="1" si="3"/>
        <v>50</v>
      </c>
      <c r="AB13" s="76"/>
      <c r="AC13" s="264"/>
      <c r="AD13" s="119"/>
      <c r="AE13" s="119"/>
      <c r="AG13" s="119"/>
      <c r="AH13" s="119"/>
    </row>
    <row r="14" spans="1:35">
      <c r="B14" s="2">
        <v>10059</v>
      </c>
      <c r="C14" s="3" t="s">
        <v>18</v>
      </c>
      <c r="D14" s="115">
        <f>IF(Init!$R$9="Yes",'Staging Table'!F16,'Staging Table'!BS16)*Rates_previous!$E$76*100*12</f>
        <v>2742241.6281599998</v>
      </c>
      <c r="E14" s="115">
        <f>IF(Init!$R$9="Yes",'Staging Table'!F16,'Staging Table'!BS16)*Rates_previous!$E$77*100*12</f>
        <v>-559853.23008000012</v>
      </c>
      <c r="F14" s="116">
        <f>IF(Init!$R$9="Yes",SUMPRODUCT('Staging Table'!L16:AI16,LS_Demand_Rates_Restatement!$C$4:$Z$4)-IF(Init!$R$12="No",('Staging Table'!BH16*Rates_previous!$H$34), 0),SUMPRODUCT('Staging Table'!BY16:CV16,LS_Demand_Rates_Restatement!$C$4:$Z$4)-IF(Init!$R$12="No", 'Staging Table'!DU16*Rates_previous!$H$34, 0))</f>
        <v>4065.0862855400701</v>
      </c>
      <c r="G14" s="116">
        <f>IF(Init!$R$9="Yes",SUMPRODUCT('Staging Table'!AJ16:AU16,LS_Demand_Rates_Restatement!$C$10:$N$10),SUMPRODUCT(LS_Demand_Rates_Restatement!$C$10:$N$10,'Staging Table'!CW16:DH16))*1000</f>
        <v>86151.483227029908</v>
      </c>
      <c r="H14" s="117">
        <f>IF(Init!$R$9="Yes",'Staging Table'!BQ16,'Staging Table'!ED16)*IF(Init!$R$3=2022,Rates_previous!$C$88,Rates_previous!$D$88)</f>
        <v>0</v>
      </c>
      <c r="I14" s="115">
        <v>10</v>
      </c>
      <c r="J14" s="117">
        <f>IF(Init!$R$9="Yes",IF('Staging Table'!D16=1,'Staging Table'!H16*-1*'Staging Table'!BS16/'Staging Table'!BR16,'Staging Table'!H16*SUM(D14:I14)*(-1)),IF('Staging Table'!D16=1,'Staging Table'!BU16*-1*'Staging Table'!BS16/'Staging Table'!BR16,'Staging Table'!BU16*SUM(D14:I14)*(-1)))</f>
        <v>0</v>
      </c>
      <c r="K14" s="115">
        <f>IF(Init!$R$9="Yes",'Staging Table'!K16,'Staging Table'!BX16)*(-1)*Rates_previous!$H$32</f>
        <v>0</v>
      </c>
      <c r="L14" s="115">
        <f>IF('Staging Table'!C16=1,"",SUM(D14:K14))</f>
        <v>2272614.9675925695</v>
      </c>
      <c r="M14" s="115">
        <f>IF('Staging Table'!C16=1,"",IF(Init!$R$9="Yes",(RT1SC!$C$3*'Staging Table'!F16*'Staging Table'!$F$2)+SUM('Staging Table'!L16:AI16)-IF(Init!$R$12="No",'Staging Table'!BH16, 0),X14))</f>
        <v>67100.975999999995</v>
      </c>
      <c r="N14" s="69">
        <f>IF('Staging Table'!C16=1,"",IF(M14=0, 0, L14/M14))</f>
        <v>33.868582889056185</v>
      </c>
      <c r="O14" s="115">
        <f>'Staging Table'!BS16*Rates_current!$F$77*100*12</f>
        <v>2798833.6038000002</v>
      </c>
      <c r="P14" s="115">
        <f>'Staging Table'!BS16*Rates_current!$F$78*100*12</f>
        <v>-448298.13539999997</v>
      </c>
      <c r="Q14" s="116">
        <f>SUMPRODUCT('Staging Table'!BY16:CV16, LS_Demand_Rates_Restatement!$C$5:$Z$5)-IF(Init!$R$12="No",('Staging Table'!DU16*Rates_current!$I$46), 0)</f>
        <v>53896.645400029942</v>
      </c>
      <c r="R14" s="116">
        <f>SUMPRODUCT('Staging Table'!CW16:DH16, LS_Demand_Rates_Restatement!$C$11:$N$11)*1000</f>
        <v>94992.242967467915</v>
      </c>
      <c r="S14" s="117">
        <f>'Staging Table'!ED16*IF(Init!$R$15="Yes",IF(Init!$R$6=2024,Rates_current!$C$89,Rates_current!$D$89),Rates_current!$I$45)</f>
        <v>0</v>
      </c>
      <c r="T14" s="117">
        <v>10</v>
      </c>
      <c r="U14" s="117">
        <f>IF('Staging Table'!D16=1, 'Staging Table'!BU16*-1*'Staging Table'!BS16/'Staging Table'!BR16,SUM(O14:T14)*'Staging Table'!BU16*-1)</f>
        <v>0</v>
      </c>
      <c r="V14" s="115">
        <f>'Staging Table'!BX16*Rates_current!$I$44*-1</f>
        <v>0</v>
      </c>
      <c r="W14" s="115">
        <f>IF('Staging Table'!C16=1,"", SUM(O14:V14))</f>
        <v>2499434.356767498</v>
      </c>
      <c r="X14" s="115">
        <f>IF('Staging Table'!C16=1,"", (RT1SC!$C$4*'Staging Table'!BS16*'Staging Table'!$BS$2)+SUM('Staging Table'!BY16:CV16)-IF(Init!$R$12="No",'Staging Table'!DU16, 0))</f>
        <v>67303.08</v>
      </c>
      <c r="Y14" s="69">
        <f>IF('Staging Table'!C16=1,"",IF(X14=0, 0, W14/X14))</f>
        <v>37.136998139869647</v>
      </c>
      <c r="Z14" s="64">
        <f ca="1">IF('Staging Table'!C16=1,"",(Y14/N14-1)+(RAND()/100000000000000))</f>
        <v>9.6502864070811503E-2</v>
      </c>
      <c r="AA14" s="45">
        <f t="shared" ca="1" si="3"/>
        <v>58</v>
      </c>
      <c r="AB14" s="76"/>
      <c r="AC14" s="264"/>
      <c r="AD14" s="119"/>
      <c r="AE14" s="119"/>
      <c r="AG14" s="119"/>
      <c r="AH14" s="119"/>
    </row>
    <row r="15" spans="1:35">
      <c r="B15" s="2">
        <v>10061</v>
      </c>
      <c r="C15" s="3" t="s">
        <v>19</v>
      </c>
      <c r="D15" s="115">
        <f>IF(Init!$R$9="Yes",'Staging Table'!F17,'Staging Table'!BS17)*Rates_previous!$E$76*100*12</f>
        <v>3154524.5037599998</v>
      </c>
      <c r="E15" s="115">
        <f>IF(Init!$R$9="Yes",'Staging Table'!F17,'Staging Table'!BS17)*Rates_previous!$E$77*100*12</f>
        <v>-644024.4778799999</v>
      </c>
      <c r="F15" s="116">
        <f>IF(Init!$R$9="Yes",SUMPRODUCT('Staging Table'!L17:AI17,LS_Demand_Rates_Restatement!$C$4:$Z$4)-IF(Init!$R$12="No",('Staging Table'!BH17*Rates_previous!$H$34), 0),SUMPRODUCT('Staging Table'!BY17:CV17,LS_Demand_Rates_Restatement!$C$4:$Z$4)-IF(Init!$R$12="No", 'Staging Table'!DU17*Rates_previous!$H$34, 0))</f>
        <v>3952.6904467111453</v>
      </c>
      <c r="G15" s="116">
        <f>IF(Init!$R$9="Yes",SUMPRODUCT('Staging Table'!AJ17:AU17,LS_Demand_Rates_Restatement!$C$10:$N$10),SUMPRODUCT(LS_Demand_Rates_Restatement!$C$10:$N$10,'Staging Table'!CW17:DH17))*1000</f>
        <v>171957.19904249461</v>
      </c>
      <c r="H15" s="117">
        <f>IF(Init!$R$9="Yes",'Staging Table'!BQ17,'Staging Table'!ED17)*IF(Init!$R$3=2022,Rates_previous!$C$88,Rates_previous!$D$88)</f>
        <v>0</v>
      </c>
      <c r="I15" s="115">
        <v>11</v>
      </c>
      <c r="J15" s="117">
        <f>IF(Init!$R$9="Yes",IF('Staging Table'!D17=1,'Staging Table'!H17*-1*'Staging Table'!BS17/'Staging Table'!BR17,'Staging Table'!H17*SUM(D15:I15)*(-1)),IF('Staging Table'!D17=1,'Staging Table'!BU17*-1*'Staging Table'!BS17/'Staging Table'!BR17,'Staging Table'!BU17*SUM(D15:I15)*(-1)))</f>
        <v>0</v>
      </c>
      <c r="K15" s="115">
        <f>IF(Init!$R$9="Yes",'Staging Table'!K17,'Staging Table'!BX17)*(-1)*Rates_previous!$H$32</f>
        <v>0</v>
      </c>
      <c r="L15" s="115">
        <f>IF('Staging Table'!C17=1,"",SUM(D15:K15))</f>
        <v>2686420.9153692052</v>
      </c>
      <c r="M15" s="115">
        <f>IF('Staging Table'!C17=1,"",IF(Init!$R$9="Yes",(RT1SC!$C$3*'Staging Table'!F17*'Staging Table'!$F$2)+SUM('Staging Table'!L17:AI17)-IF(Init!$R$12="No",'Staging Table'!BH17, 0),X15))</f>
        <v>76833.648000000001</v>
      </c>
      <c r="N15" s="69">
        <f>IF('Staging Table'!C17=1,"",IF(M15=0, 0, L15/M15))</f>
        <v>34.964120346976173</v>
      </c>
      <c r="O15" s="115">
        <f>'Staging Table'!BS17*Rates_current!$F$77*100*12</f>
        <v>3204401.6081999997</v>
      </c>
      <c r="P15" s="115">
        <f>'Staging Table'!BS17*Rates_current!$F$78*100*12</f>
        <v>-513259.26059999998</v>
      </c>
      <c r="Q15" s="116">
        <f>SUMPRODUCT('Staging Table'!BY17:CV17, LS_Demand_Rates_Restatement!$C$5:$Z$5)-IF(Init!$R$12="No",('Staging Table'!DU17*Rates_current!$I$46), 0)</f>
        <v>73093.441886048793</v>
      </c>
      <c r="R15" s="116">
        <f>SUMPRODUCT('Staging Table'!CW17:DH17, LS_Demand_Rates_Restatement!$C$11:$N$11)*1000</f>
        <v>189911.50715538632</v>
      </c>
      <c r="S15" s="117">
        <f>'Staging Table'!ED17*IF(Init!$R$15="Yes",IF(Init!$R$6=2024,Rates_current!$C$89,Rates_current!$D$89),Rates_current!$I$45)</f>
        <v>0</v>
      </c>
      <c r="T15" s="117">
        <v>11</v>
      </c>
      <c r="U15" s="117">
        <f>IF('Staging Table'!D17=1, 'Staging Table'!BU17*-1*'Staging Table'!BS17/'Staging Table'!BR17,SUM(O15:T15)*'Staging Table'!BU17*-1)</f>
        <v>0</v>
      </c>
      <c r="V15" s="115">
        <f>'Staging Table'!BX17*Rates_current!$I$44*-1</f>
        <v>0</v>
      </c>
      <c r="W15" s="115">
        <f>IF('Staging Table'!C17=1,"", SUM(O15:V15))</f>
        <v>2954158.2966414345</v>
      </c>
      <c r="X15" s="115">
        <f>IF('Staging Table'!C17=1,"", (RT1SC!$C$4*'Staging Table'!BS17*'Staging Table'!$BS$2)+SUM('Staging Table'!BY17:CV17)-IF(Init!$R$12="No",'Staging Table'!DU17, 0))</f>
        <v>77061.27154875407</v>
      </c>
      <c r="Y15" s="69">
        <f>IF('Staging Table'!C17=1,"",IF(X15=0, 0, W15/X15))</f>
        <v>38.335187536743902</v>
      </c>
      <c r="Z15" s="64">
        <f ca="1">IF('Staging Table'!C17=1,"",(Y15/N15-1)+(RAND()/100000000000000))</f>
        <v>9.6415043659450889E-2</v>
      </c>
      <c r="AA15" s="45">
        <f t="shared" ca="1" si="3"/>
        <v>60</v>
      </c>
      <c r="AB15" s="76"/>
      <c r="AC15" s="264"/>
      <c r="AD15" s="119"/>
      <c r="AE15" s="119"/>
      <c r="AG15" s="119"/>
      <c r="AH15" s="119"/>
    </row>
    <row r="16" spans="1:35">
      <c r="B16" s="2">
        <v>10062</v>
      </c>
      <c r="C16" s="3" t="s">
        <v>20</v>
      </c>
      <c r="D16" s="115">
        <f>IF(Init!$R$9="Yes",'Staging Table'!F18,'Staging Table'!BS18)*Rates_previous!$E$76*100*12</f>
        <v>1918672.3310399996</v>
      </c>
      <c r="E16" s="115">
        <f>IF(Init!$R$9="Yes",'Staging Table'!F18,'Staging Table'!BS18)*Rates_previous!$E$77*100*12</f>
        <v>-391714.16952</v>
      </c>
      <c r="F16" s="116">
        <f>IF(Init!$R$9="Yes",SUMPRODUCT('Staging Table'!L18:AI18,LS_Demand_Rates_Restatement!$C$4:$Z$4)-IF(Init!$R$12="No",('Staging Table'!BH18*Rates_previous!$H$34), 0),SUMPRODUCT('Staging Table'!BY18:CV18,LS_Demand_Rates_Restatement!$C$4:$Z$4)-IF(Init!$R$12="No", 'Staging Table'!DU18*Rates_previous!$H$34, 0))</f>
        <v>201290.10551584093</v>
      </c>
      <c r="G16" s="116">
        <f>IF(Init!$R$9="Yes",SUMPRODUCT('Staging Table'!AJ18:AU18,LS_Demand_Rates_Restatement!$C$10:$N$10),SUMPRODUCT(LS_Demand_Rates_Restatement!$C$10:$N$10,'Staging Table'!CW18:DH18))*1000</f>
        <v>131083.51516164534</v>
      </c>
      <c r="H16" s="117">
        <f>IF(Init!$R$9="Yes",'Staging Table'!BQ18,'Staging Table'!ED18)*IF(Init!$R$3=2022,Rates_previous!$C$88,Rates_previous!$D$88)</f>
        <v>0</v>
      </c>
      <c r="I16" s="115">
        <v>12</v>
      </c>
      <c r="J16" s="117">
        <f>IF(Init!$R$9="Yes",IF('Staging Table'!D18=1,'Staging Table'!H18*-1*'Staging Table'!BS18/'Staging Table'!BR18,'Staging Table'!H18*SUM(D16:I16)*(-1)),IF('Staging Table'!D18=1,'Staging Table'!BU18*-1*'Staging Table'!BS18/'Staging Table'!BR18,'Staging Table'!BU18*SUM(D16:I16)*(-1)))</f>
        <v>0</v>
      </c>
      <c r="K16" s="115">
        <f>IF(Init!$R$9="Yes",'Staging Table'!K18,'Staging Table'!BX18)*(-1)*Rates_previous!$H$32</f>
        <v>0</v>
      </c>
      <c r="L16" s="115">
        <f>IF('Staging Table'!C18=1,"",SUM(D16:K16))</f>
        <v>1859343.7821974859</v>
      </c>
      <c r="M16" s="115">
        <f>IF('Staging Table'!C18=1,"",IF(Init!$R$9="Yes",(RT1SC!$C$3*'Staging Table'!F18*'Staging Table'!$F$2)+SUM('Staging Table'!L18:AI18)-IF(Init!$R$12="No",'Staging Table'!BH18, 0),X16))</f>
        <v>46730.880000000005</v>
      </c>
      <c r="N16" s="69">
        <f>IF('Staging Table'!C18=1,"",IF(M16=0, 0, L16/M16))</f>
        <v>39.788332301841649</v>
      </c>
      <c r="O16" s="115">
        <f>'Staging Table'!BS18*Rates_current!$F$77*100*12</f>
        <v>1948850.085</v>
      </c>
      <c r="P16" s="115">
        <f>'Staging Table'!BS18*Rates_current!$F$78*100*12</f>
        <v>-312153.55500000005</v>
      </c>
      <c r="Q16" s="116">
        <f>SUMPRODUCT('Staging Table'!BY18:CV18, LS_Demand_Rates_Restatement!$C$5:$Z$5)-IF(Init!$R$12="No",('Staging Table'!DU18*Rates_current!$I$46), 0)</f>
        <v>206064.53015121995</v>
      </c>
      <c r="R16" s="116">
        <f>SUMPRODUCT('Staging Table'!CW18:DH18, LS_Demand_Rates_Restatement!$C$11:$N$11)*1000</f>
        <v>138986.75569422188</v>
      </c>
      <c r="S16" s="117">
        <f>'Staging Table'!ED18*IF(Init!$R$15="Yes",IF(Init!$R$6=2024,Rates_current!$C$89,Rates_current!$D$89),Rates_current!$I$45)</f>
        <v>0</v>
      </c>
      <c r="T16" s="117">
        <v>12</v>
      </c>
      <c r="U16" s="117">
        <f>IF('Staging Table'!D18=1, 'Staging Table'!BU18*-1*'Staging Table'!BS18/'Staging Table'!BR18,SUM(O16:T16)*'Staging Table'!BU18*-1)</f>
        <v>0</v>
      </c>
      <c r="V16" s="115">
        <f>'Staging Table'!BX18*Rates_current!$I$44*-1</f>
        <v>0</v>
      </c>
      <c r="W16" s="115">
        <f>IF('Staging Table'!C18=1,"", SUM(O16:V16))</f>
        <v>1981759.8158454418</v>
      </c>
      <c r="X16" s="115">
        <f>IF('Staging Table'!C18=1,"", (RT1SC!$C$4*'Staging Table'!BS18*'Staging Table'!$BS$2)+SUM('Staging Table'!BY18:CV18)-IF(Init!$R$12="No",'Staging Table'!DU18, 0))</f>
        <v>46862.443766457145</v>
      </c>
      <c r="Y16" s="69">
        <f>IF('Staging Table'!C18=1,"",IF(X16=0, 0, W16/X16))</f>
        <v>42.28887050196753</v>
      </c>
      <c r="Z16" s="64">
        <f ca="1">IF('Staging Table'!C18=1,"",(Y16/N16-1)+(RAND()/100000000000000))</f>
        <v>6.2846016795991611E-2</v>
      </c>
      <c r="AA16" s="45">
        <f t="shared" ca="1" si="3"/>
        <v>115</v>
      </c>
      <c r="AB16" s="76"/>
      <c r="AC16" s="264"/>
      <c r="AD16" s="119"/>
      <c r="AE16" s="119"/>
      <c r="AG16" s="119"/>
      <c r="AH16" s="119"/>
    </row>
    <row r="17" spans="2:34">
      <c r="B17" s="2">
        <v>10064</v>
      </c>
      <c r="C17" s="3" t="s">
        <v>21</v>
      </c>
      <c r="D17" s="115">
        <f>IF(Init!$R$9="Yes",'Staging Table'!F19,'Staging Table'!BS19)*Rates_previous!$E$76*100*12</f>
        <v>5072200.3807199998</v>
      </c>
      <c r="E17" s="115">
        <f>IF(Init!$R$9="Yes",'Staging Table'!F19,'Staging Table'!BS19)*Rates_previous!$E$77*100*12</f>
        <v>-1035535.2123599999</v>
      </c>
      <c r="F17" s="116">
        <f>IF(Init!$R$9="Yes",SUMPRODUCT('Staging Table'!L19:AI19,LS_Demand_Rates_Restatement!$C$4:$Z$4)-IF(Init!$R$12="No",('Staging Table'!BH19*Rates_previous!$H$34), 0),SUMPRODUCT('Staging Table'!BY19:CV19,LS_Demand_Rates_Restatement!$C$4:$Z$4)-IF(Init!$R$12="No", 'Staging Table'!DU19*Rates_previous!$H$34, 0))</f>
        <v>79839.732885638368</v>
      </c>
      <c r="G17" s="116">
        <f>IF(Init!$R$9="Yes",SUMPRODUCT('Staging Table'!AJ19:AU19,LS_Demand_Rates_Restatement!$C$10:$N$10),SUMPRODUCT(LS_Demand_Rates_Restatement!$C$10:$N$10,'Staging Table'!CW19:DH19))*1000</f>
        <v>255330.58759067842</v>
      </c>
      <c r="H17" s="117">
        <f>IF(Init!$R$9="Yes",'Staging Table'!BQ19,'Staging Table'!ED19)*IF(Init!$R$3=2022,Rates_previous!$C$88,Rates_previous!$D$88)</f>
        <v>0</v>
      </c>
      <c r="I17" s="115">
        <v>13</v>
      </c>
      <c r="J17" s="117">
        <f>IF(Init!$R$9="Yes",IF('Staging Table'!D19=1,'Staging Table'!H19*-1*'Staging Table'!BS19/'Staging Table'!BR19,'Staging Table'!H19*SUM(D17:I17)*(-1)),IF('Staging Table'!D19=1,'Staging Table'!BU19*-1*'Staging Table'!BS19/'Staging Table'!BR19,'Staging Table'!BU19*SUM(D17:I17)*(-1)))</f>
        <v>0</v>
      </c>
      <c r="K17" s="115">
        <f>IF(Init!$R$9="Yes",'Staging Table'!K19,'Staging Table'!BX19)*(-1)*Rates_previous!$H$32</f>
        <v>0</v>
      </c>
      <c r="L17" s="115">
        <f>IF('Staging Table'!C19=1,"",SUM(D17:K17))</f>
        <v>4371848.4888363164</v>
      </c>
      <c r="M17" s="115">
        <f>IF('Staging Table'!C19=1,"",IF(Init!$R$9="Yes",(RT1SC!$C$3*'Staging Table'!F19*'Staging Table'!$F$2)+SUM('Staging Table'!L19:AI19)-IF(Init!$R$12="No",'Staging Table'!BH19, 0),X17))</f>
        <v>123538.17600000001</v>
      </c>
      <c r="N17" s="69">
        <f>IF('Staging Table'!C19=1,"",IF(M17=0, 0, L17/M17))</f>
        <v>35.388643659724394</v>
      </c>
      <c r="O17" s="115">
        <f>'Staging Table'!BS19*Rates_current!$F$77*100*12</f>
        <v>5152733.7263999991</v>
      </c>
      <c r="P17" s="115">
        <f>'Staging Table'!BS19*Rates_current!$F$78*100*12</f>
        <v>-825329.85119999992</v>
      </c>
      <c r="Q17" s="116">
        <f>SUMPRODUCT('Staging Table'!BY19:CV19, LS_Demand_Rates_Restatement!$C$5:$Z$5)-IF(Init!$R$12="No",('Staging Table'!DU19*Rates_current!$I$46), 0)</f>
        <v>149265.85309486592</v>
      </c>
      <c r="R17" s="116">
        <f>SUMPRODUCT('Staging Table'!CW19:DH19, LS_Demand_Rates_Restatement!$C$11:$N$11)*1000</f>
        <v>284676.85353354702</v>
      </c>
      <c r="S17" s="117">
        <f>'Staging Table'!ED19*IF(Init!$R$15="Yes",IF(Init!$R$6=2024,Rates_current!$C$89,Rates_current!$D$89),Rates_current!$I$45)</f>
        <v>0</v>
      </c>
      <c r="T17" s="117">
        <v>13</v>
      </c>
      <c r="U17" s="117">
        <f>IF('Staging Table'!D19=1, 'Staging Table'!BU19*-1*'Staging Table'!BS19/'Staging Table'!BR19,SUM(O17:T17)*'Staging Table'!BU19*-1)</f>
        <v>0</v>
      </c>
      <c r="V17" s="115">
        <f>'Staging Table'!BX19*Rates_current!$I$44*-1</f>
        <v>0</v>
      </c>
      <c r="W17" s="115">
        <f>IF('Staging Table'!C19=1,"", SUM(O17:V17))</f>
        <v>4761359.5818284126</v>
      </c>
      <c r="X17" s="115">
        <f>IF('Staging Table'!C19=1,"", (RT1SC!$C$4*'Staging Table'!BS19*'Staging Table'!$BS$2)+SUM('Staging Table'!BY19:CV19)-IF(Init!$R$12="No",'Staging Table'!DU19, 0))</f>
        <v>123908.28431447591</v>
      </c>
      <c r="Y17" s="69">
        <f>IF('Staging Table'!C19=1,"",IF(X17=0, 0, W17/X17))</f>
        <v>38.426483008546946</v>
      </c>
      <c r="Z17" s="64">
        <f ca="1">IF('Staging Table'!C19=1,"",(Y17/N17-1)+(RAND()/100000000000000))</f>
        <v>8.5842209100544672E-2</v>
      </c>
      <c r="AA17" s="45">
        <f t="shared" ca="1" si="3"/>
        <v>97</v>
      </c>
      <c r="AB17" s="76"/>
      <c r="AC17" s="264"/>
      <c r="AD17" s="119"/>
      <c r="AE17" s="119"/>
      <c r="AG17" s="119"/>
      <c r="AH17" s="119"/>
    </row>
    <row r="18" spans="2:34">
      <c r="B18" s="2">
        <v>10065</v>
      </c>
      <c r="C18" s="3" t="s">
        <v>22</v>
      </c>
      <c r="D18" s="115">
        <f>IF(Init!$R$9="Yes",'Staging Table'!F20,'Staging Table'!BS20)*Rates_previous!$E$76*100*12</f>
        <v>857697.84936000011</v>
      </c>
      <c r="E18" s="115">
        <f>IF(Init!$R$9="Yes",'Staging Table'!F20,'Staging Table'!BS20)*Rates_previous!$E$77*100*12</f>
        <v>-175106.71067999999</v>
      </c>
      <c r="F18" s="116">
        <f>IF(Init!$R$9="Yes",SUMPRODUCT('Staging Table'!L20:AI20,LS_Demand_Rates_Restatement!$C$4:$Z$4)-IF(Init!$R$12="No",('Staging Table'!BH20*Rates_previous!$H$34), 0),SUMPRODUCT('Staging Table'!BY20:CV20,LS_Demand_Rates_Restatement!$C$4:$Z$4)-IF(Init!$R$12="No", 'Staging Table'!DU20*Rates_previous!$H$34, 0))</f>
        <v>8229.6679491377436</v>
      </c>
      <c r="G18" s="116">
        <f>IF(Init!$R$9="Yes",SUMPRODUCT('Staging Table'!AJ20:AU20,LS_Demand_Rates_Restatement!$C$10:$N$10),SUMPRODUCT(LS_Demand_Rates_Restatement!$C$10:$N$10,'Staging Table'!CW20:DH20))*1000</f>
        <v>84458.184549278842</v>
      </c>
      <c r="H18" s="117">
        <f>IF(Init!$R$9="Yes",'Staging Table'!BQ20,'Staging Table'!ED20)*IF(Init!$R$3=2022,Rates_previous!$C$88,Rates_previous!$D$88)</f>
        <v>0</v>
      </c>
      <c r="I18" s="115">
        <v>14</v>
      </c>
      <c r="J18" s="117">
        <f>IF(Init!$R$9="Yes",IF('Staging Table'!D20=1,'Staging Table'!H20*-1*'Staging Table'!BS20/'Staging Table'!BR20,'Staging Table'!H20*SUM(D18:I18)*(-1)),IF('Staging Table'!D20=1,'Staging Table'!BU20*-1*'Staging Table'!BS20/'Staging Table'!BR20,'Staging Table'!BU20*SUM(D18:I18)*(-1)))</f>
        <v>-58789.248178844449</v>
      </c>
      <c r="K18" s="115">
        <f>IF(Init!$R$9="Yes",'Staging Table'!K20,'Staging Table'!BX20)*(-1)*Rates_previous!$H$32</f>
        <v>0</v>
      </c>
      <c r="L18" s="115">
        <f>IF('Staging Table'!C20=1,"",SUM(D18:K18))</f>
        <v>716503.74299957219</v>
      </c>
      <c r="M18" s="115">
        <f>IF('Staging Table'!C20=1,"",IF(Init!$R$9="Yes",(RT1SC!$C$3*'Staging Table'!F20*'Staging Table'!$F$2)+SUM('Staging Table'!L20:AI20)-IF(Init!$R$12="No",'Staging Table'!BH20, 0),X18))</f>
        <v>20888.352000000003</v>
      </c>
      <c r="N18" s="69">
        <f>IF('Staging Table'!C20=1,"",IF(M18=0, 0, L18/M18))</f>
        <v>34.301592724958489</v>
      </c>
      <c r="O18" s="115">
        <f>'Staging Table'!BS20*Rates_current!$F$77*100*12</f>
        <v>870961.17419999989</v>
      </c>
      <c r="P18" s="115">
        <f>'Staging Table'!BS20*Rates_current!$F$78*100*12</f>
        <v>-139504.63860000001</v>
      </c>
      <c r="Q18" s="116">
        <f>SUMPRODUCT('Staging Table'!BY20:CV20, LS_Demand_Rates_Restatement!$C$5:$Z$5)-IF(Init!$R$12="No",('Staging Table'!DU20*Rates_current!$I$46), 0)</f>
        <v>18480.944360614427</v>
      </c>
      <c r="R18" s="116">
        <f>SUMPRODUCT('Staging Table'!CW20:DH20, LS_Demand_Rates_Restatement!$C$11:$N$11)*1000</f>
        <v>93827.455890215468</v>
      </c>
      <c r="S18" s="117">
        <f>'Staging Table'!ED20*IF(Init!$R$15="Yes",IF(Init!$R$6=2024,Rates_current!$C$89,Rates_current!$D$89),Rates_current!$I$45)</f>
        <v>0</v>
      </c>
      <c r="T18" s="117">
        <v>14</v>
      </c>
      <c r="U18" s="117">
        <f>IF('Staging Table'!D20=1, 'Staging Table'!BU20*-1*'Staging Table'!BS20/'Staging Table'!BR20,SUM(O18:T18)*'Staging Table'!BU20*-1)</f>
        <v>-71680.626286081373</v>
      </c>
      <c r="V18" s="115">
        <f>'Staging Table'!BX20*Rates_current!$I$44*-1</f>
        <v>0</v>
      </c>
      <c r="W18" s="115">
        <f>IF('Staging Table'!C20=1,"", SUM(O18:V18))</f>
        <v>772098.30956474831</v>
      </c>
      <c r="X18" s="115">
        <f>IF('Staging Table'!C20=1,"", (RT1SC!$C$4*'Staging Table'!BS20*'Staging Table'!$BS$2)+SUM('Staging Table'!BY20:CV20)-IF(Init!$R$12="No",'Staging Table'!DU20, 0))</f>
        <v>20943.751236358195</v>
      </c>
      <c r="Y18" s="69">
        <f>IF('Staging Table'!C20=1,"",IF(X18=0, 0, W18/X18))</f>
        <v>36.865330420101216</v>
      </c>
      <c r="Z18" s="64">
        <f ca="1">IF('Staging Table'!C20=1,"",(Y18/N18-1)+(RAND()/100000000000000))</f>
        <v>7.4741068605753469E-2</v>
      </c>
      <c r="AA18" s="45">
        <f t="shared" ca="1" si="3"/>
        <v>109</v>
      </c>
      <c r="AB18" s="76"/>
      <c r="AC18" s="264"/>
      <c r="AD18" s="119"/>
      <c r="AE18" s="119"/>
      <c r="AG18" s="119"/>
      <c r="AH18" s="119"/>
    </row>
    <row r="19" spans="2:34">
      <c r="B19" s="2">
        <v>10066</v>
      </c>
      <c r="C19" s="3" t="s">
        <v>23</v>
      </c>
      <c r="D19" s="115">
        <f>IF(Init!$R$9="Yes",'Staging Table'!F21,'Staging Table'!BS21)*Rates_previous!$E$76*100*12</f>
        <v>8789223.2126400005</v>
      </c>
      <c r="E19" s="115">
        <f>IF(Init!$R$9="Yes",'Staging Table'!F21,'Staging Table'!BS21)*Rates_previous!$E$77*100*12</f>
        <v>-1794398.7703200001</v>
      </c>
      <c r="F19" s="116">
        <f>IF(Init!$R$9="Yes",SUMPRODUCT('Staging Table'!L21:AI21,LS_Demand_Rates_Restatement!$C$4:$Z$4)-IF(Init!$R$12="No",('Staging Table'!BH21*Rates_previous!$H$34), 0),SUMPRODUCT('Staging Table'!BY21:CV21,LS_Demand_Rates_Restatement!$C$4:$Z$4)-IF(Init!$R$12="No", 'Staging Table'!DU21*Rates_previous!$H$34, 0))</f>
        <v>136787.02467751235</v>
      </c>
      <c r="G19" s="116">
        <f>IF(Init!$R$9="Yes",SUMPRODUCT('Staging Table'!AJ21:AU21,LS_Demand_Rates_Restatement!$C$10:$N$10),SUMPRODUCT(LS_Demand_Rates_Restatement!$C$10:$N$10,'Staging Table'!CW21:DH21))*1000</f>
        <v>339694.25582489319</v>
      </c>
      <c r="H19" s="117">
        <f>IF(Init!$R$9="Yes",'Staging Table'!BQ21,'Staging Table'!ED21)*IF(Init!$R$3=2022,Rates_previous!$C$88,Rates_previous!$D$88)</f>
        <v>0</v>
      </c>
      <c r="I19" s="115">
        <v>15</v>
      </c>
      <c r="J19" s="117">
        <f>IF(Init!$R$9="Yes",IF('Staging Table'!D21=1,'Staging Table'!H21*-1*'Staging Table'!BS21/'Staging Table'!BR21,'Staging Table'!H21*SUM(D19:I19)*(-1)),IF('Staging Table'!D21=1,'Staging Table'!BU21*-1*'Staging Table'!BS21/'Staging Table'!BR21,'Staging Table'!BU21*SUM(D19:I19)*(-1)))</f>
        <v>0</v>
      </c>
      <c r="K19" s="115">
        <f>IF(Init!$R$9="Yes",'Staging Table'!K21,'Staging Table'!BX21)*(-1)*Rates_previous!$H$32</f>
        <v>0</v>
      </c>
      <c r="L19" s="115">
        <f>IF('Staging Table'!C21=1,"",SUM(D19:K19))</f>
        <v>7471320.7228224054</v>
      </c>
      <c r="M19" s="115">
        <f>IF('Staging Table'!C21=1,"",IF(Init!$R$9="Yes",(RT1SC!$C$3*'Staging Table'!F21*'Staging Table'!$F$2)+SUM('Staging Table'!L21:AI21)-IF(Init!$R$12="No",'Staging Table'!BH21, 0),X19))</f>
        <v>214074.864</v>
      </c>
      <c r="N19" s="69">
        <f>IF('Staging Table'!C21=1,"",IF(M19=0, 0, L19/M19))</f>
        <v>34.90050435263808</v>
      </c>
      <c r="O19" s="115">
        <f>'Staging Table'!BS21*Rates_current!$F$77*100*12</f>
        <v>8929229.6652000006</v>
      </c>
      <c r="P19" s="115">
        <f>'Staging Table'!BS21*Rates_current!$F$78*100*12</f>
        <v>-1430223.2915999999</v>
      </c>
      <c r="Q19" s="116">
        <f>SUMPRODUCT('Staging Table'!BY21:CV21, LS_Demand_Rates_Restatement!$C$5:$Z$5)-IF(Init!$R$12="No",('Staging Table'!DU21*Rates_current!$I$46), 0)</f>
        <v>226777.56233500736</v>
      </c>
      <c r="R19" s="116">
        <f>SUMPRODUCT('Staging Table'!CW21:DH21, LS_Demand_Rates_Restatement!$C$11:$N$11)*1000</f>
        <v>335777.14824879821</v>
      </c>
      <c r="S19" s="117">
        <f>'Staging Table'!ED21*IF(Init!$R$15="Yes",IF(Init!$R$6=2024,Rates_current!$C$89,Rates_current!$D$89),Rates_current!$I$45)</f>
        <v>0</v>
      </c>
      <c r="T19" s="117">
        <v>15</v>
      </c>
      <c r="U19" s="117">
        <f>IF('Staging Table'!D21=1, 'Staging Table'!BU21*-1*'Staging Table'!BS21/'Staging Table'!BR21,SUM(O19:T19)*'Staging Table'!BU21*-1)</f>
        <v>0</v>
      </c>
      <c r="V19" s="115">
        <f>'Staging Table'!BX21*Rates_current!$I$44*-1</f>
        <v>0</v>
      </c>
      <c r="W19" s="115">
        <f>IF('Staging Table'!C21=1,"", SUM(O19:V19))</f>
        <v>8061576.0841838056</v>
      </c>
      <c r="X19" s="115">
        <f>IF('Staging Table'!C21=1,"", (RT1SC!$C$4*'Staging Table'!BS21*'Staging Table'!$BS$2)+SUM('Staging Table'!BY21:CV21)-IF(Init!$R$12="No",'Staging Table'!DU21, 0))</f>
        <v>214718.7136753368</v>
      </c>
      <c r="Y19" s="69">
        <f>IF('Staging Table'!C21=1,"",IF(X19=0, 0, W19/X19))</f>
        <v>37.544822927605779</v>
      </c>
      <c r="Z19" s="64">
        <f ca="1">IF('Staging Table'!C21=1,"",(Y19/N19-1)+(RAND()/100000000000000))</f>
        <v>7.576734560192476E-2</v>
      </c>
      <c r="AA19" s="45">
        <f t="shared" ca="1" si="3"/>
        <v>107</v>
      </c>
      <c r="AB19" s="76"/>
      <c r="AC19" s="264"/>
      <c r="AD19" s="119"/>
      <c r="AE19" s="119"/>
      <c r="AG19" s="119"/>
      <c r="AH19" s="119"/>
    </row>
    <row r="20" spans="2:34">
      <c r="B20" s="2">
        <v>10067</v>
      </c>
      <c r="C20" s="3" t="s">
        <v>24</v>
      </c>
      <c r="D20" s="115">
        <f>IF(Init!$R$9="Yes",'Staging Table'!F22,'Staging Table'!BS22)*Rates_previous!$E$76*100*12</f>
        <v>5704201.3809599997</v>
      </c>
      <c r="E20" s="115">
        <f>IF(Init!$R$9="Yes",'Staging Table'!F22,'Staging Table'!BS22)*Rates_previous!$E$77*100*12</f>
        <v>-1164563.8864799999</v>
      </c>
      <c r="F20" s="116">
        <f>IF(Init!$R$9="Yes",SUMPRODUCT('Staging Table'!L22:AI22,LS_Demand_Rates_Restatement!$C$4:$Z$4)-IF(Init!$R$12="No",('Staging Table'!BH22*Rates_previous!$H$34), 0),SUMPRODUCT('Staging Table'!BY22:CV22,LS_Demand_Rates_Restatement!$C$4:$Z$4)-IF(Init!$R$12="No", 'Staging Table'!DU22*Rates_previous!$H$34, 0))</f>
        <v>-293170.05512241257</v>
      </c>
      <c r="G20" s="116">
        <f>IF(Init!$R$9="Yes",SUMPRODUCT('Staging Table'!AJ22:AU22,LS_Demand_Rates_Restatement!$C$10:$N$10),SUMPRODUCT(LS_Demand_Rates_Restatement!$C$10:$N$10,'Staging Table'!CW22:DH22))*1000</f>
        <v>692403.76494791661</v>
      </c>
      <c r="H20" s="117">
        <f>IF(Init!$R$9="Yes",'Staging Table'!BQ22,'Staging Table'!ED22)*IF(Init!$R$3=2022,Rates_previous!$C$88,Rates_previous!$D$88)</f>
        <v>0</v>
      </c>
      <c r="I20" s="115">
        <v>16</v>
      </c>
      <c r="J20" s="117">
        <f>IF(Init!$R$9="Yes",IF('Staging Table'!D22=1,'Staging Table'!H22*-1*'Staging Table'!BS22/'Staging Table'!BR22,'Staging Table'!H22*SUM(D20:I20)*(-1)),IF('Staging Table'!D22=1,'Staging Table'!BU22*-1*'Staging Table'!BS22/'Staging Table'!BR22,'Staging Table'!BU22*SUM(D20:I20)*(-1)))</f>
        <v>0</v>
      </c>
      <c r="K20" s="115">
        <f>IF(Init!$R$9="Yes",'Staging Table'!K22,'Staging Table'!BX22)*(-1)*Rates_previous!$H$32</f>
        <v>0</v>
      </c>
      <c r="L20" s="115">
        <f>IF('Staging Table'!C22=1,"",SUM(D20:K20))</f>
        <v>4938887.2043055035</v>
      </c>
      <c r="M20" s="115">
        <f>IF('Staging Table'!C22=1,"",IF(Init!$R$9="Yes",(RT1SC!$C$3*'Staging Table'!F22*'Staging Table'!$F$2)+SUM('Staging Table'!L22:AI22)-IF(Init!$R$12="No",'Staging Table'!BH22, 0),X20))</f>
        <v>130835.74965121911</v>
      </c>
      <c r="N20" s="69">
        <f>IF('Staging Table'!C22=1,"",IF(M20=0, 0, L20/M20))</f>
        <v>37.748759169199161</v>
      </c>
      <c r="O20" s="115">
        <f>'Staging Table'!BS22*Rates_current!$F$77*100*12</f>
        <v>5795012.5584000004</v>
      </c>
      <c r="P20" s="115">
        <f>'Staging Table'!BS22*Rates_current!$F$78*100*12</f>
        <v>-928205.70720000006</v>
      </c>
      <c r="Q20" s="116">
        <f>SUMPRODUCT('Staging Table'!BY22:CV22, LS_Demand_Rates_Restatement!$C$5:$Z$5)-IF(Init!$R$12="No",('Staging Table'!DU22*Rates_current!$I$46), 0)</f>
        <v>154839.0214690229</v>
      </c>
      <c r="R20" s="116">
        <f>SUMPRODUCT('Staging Table'!CW22:DH22, LS_Demand_Rates_Restatement!$C$11:$N$11)*1000</f>
        <v>775372.64280694432</v>
      </c>
      <c r="S20" s="117">
        <f>'Staging Table'!ED22*IF(Init!$R$15="Yes",IF(Init!$R$6=2024,Rates_current!$C$89,Rates_current!$D$89),Rates_current!$I$45)</f>
        <v>0</v>
      </c>
      <c r="T20" s="117">
        <v>16</v>
      </c>
      <c r="U20" s="117">
        <f>IF('Staging Table'!D22=1, 'Staging Table'!BU22*-1*'Staging Table'!BS22/'Staging Table'!BR22,SUM(O20:T20)*'Staging Table'!BU22*-1)</f>
        <v>0</v>
      </c>
      <c r="V20" s="115">
        <f>'Staging Table'!BX22*Rates_current!$I$44*-1</f>
        <v>0</v>
      </c>
      <c r="W20" s="115">
        <f>IF('Staging Table'!C22=1,"", SUM(O20:V20))</f>
        <v>5797034.5154759679</v>
      </c>
      <c r="X20" s="115">
        <f>IF('Staging Table'!C22=1,"", (RT1SC!$C$4*'Staging Table'!BS22*'Staging Table'!$BS$2)+SUM('Staging Table'!BY22:CV22)-IF(Init!$R$12="No",'Staging Table'!DU22, 0))</f>
        <v>139354.07999999999</v>
      </c>
      <c r="Y20" s="69">
        <f>IF('Staging Table'!C22=1,"",IF(X20=0, 0, W20/X20))</f>
        <v>41.599316758260457</v>
      </c>
      <c r="Z20" s="64">
        <f ca="1">IF('Staging Table'!C22=1,"",(Y20/N20-1)+(RAND()/100000000000000))</f>
        <v>0.10200487840679223</v>
      </c>
      <c r="AA20" s="45">
        <f t="shared" ca="1" si="3"/>
        <v>39</v>
      </c>
      <c r="AB20" s="76"/>
      <c r="AC20" s="264"/>
      <c r="AD20" s="119"/>
      <c r="AE20" s="119"/>
      <c r="AG20" s="119"/>
      <c r="AH20" s="119"/>
    </row>
    <row r="21" spans="2:34">
      <c r="B21" s="2">
        <v>10068</v>
      </c>
      <c r="C21" s="3" t="s">
        <v>25</v>
      </c>
      <c r="D21" s="115">
        <f>IF(Init!$R$9="Yes",'Staging Table'!F23,'Staging Table'!BS23)*Rates_previous!$E$76*100*12</f>
        <v>909513.4615199999</v>
      </c>
      <c r="E21" s="115">
        <f>IF(Init!$R$9="Yes",'Staging Table'!F23,'Staging Table'!BS23)*Rates_previous!$E$77*100*12</f>
        <v>-185685.33275999999</v>
      </c>
      <c r="F21" s="116">
        <f>IF(Init!$R$9="Yes",SUMPRODUCT('Staging Table'!L23:AI23,LS_Demand_Rates_Restatement!$C$4:$Z$4)-IF(Init!$R$12="No",('Staging Table'!BH23*Rates_previous!$H$34), 0),SUMPRODUCT('Staging Table'!BY23:CV23,LS_Demand_Rates_Restatement!$C$4:$Z$4)-IF(Init!$R$12="No", 'Staging Table'!DU23*Rates_previous!$H$34, 0))</f>
        <v>7189.7062804625402</v>
      </c>
      <c r="G21" s="116">
        <f>IF(Init!$R$9="Yes",SUMPRODUCT('Staging Table'!AJ23:AU23,LS_Demand_Rates_Restatement!$C$10:$N$10),SUMPRODUCT(LS_Demand_Rates_Restatement!$C$10:$N$10,'Staging Table'!CW23:DH23))*1000</f>
        <v>74915.035095592946</v>
      </c>
      <c r="H21" s="117">
        <f>IF(Init!$R$9="Yes",'Staging Table'!BQ23,'Staging Table'!ED23)*IF(Init!$R$3=2022,Rates_previous!$C$88,Rates_previous!$D$88)</f>
        <v>0</v>
      </c>
      <c r="I21" s="115">
        <v>17</v>
      </c>
      <c r="J21" s="117">
        <f>IF(Init!$R$9="Yes",IF('Staging Table'!D23=1,'Staging Table'!H23*-1*'Staging Table'!BS23/'Staging Table'!BR23,'Staging Table'!H23*SUM(D21:I21)*(-1)),IF('Staging Table'!D23=1,'Staging Table'!BU23*-1*'Staging Table'!BS23/'Staging Table'!BR23,'Staging Table'!BU23*SUM(D21:I21)*(-1)))</f>
        <v>0</v>
      </c>
      <c r="K21" s="115">
        <f>IF(Init!$R$9="Yes",'Staging Table'!K23,'Staging Table'!BX23)*(-1)*Rates_previous!$H$32</f>
        <v>0</v>
      </c>
      <c r="L21" s="115">
        <f>IF('Staging Table'!C23=1,"",SUM(D21:K21))</f>
        <v>805949.8701360554</v>
      </c>
      <c r="M21" s="115">
        <f>IF('Staging Table'!C23=1,"",IF(Init!$R$9="Yes",(RT1SC!$C$3*'Staging Table'!F23*'Staging Table'!$F$2)+SUM('Staging Table'!L23:AI23)-IF(Init!$R$12="No",'Staging Table'!BH23, 0),X21))</f>
        <v>22078.49410383444</v>
      </c>
      <c r="N21" s="69">
        <f>IF('Staging Table'!C23=1,"",IF(M21=0, 0, L21/M21))</f>
        <v>36.503842442591392</v>
      </c>
      <c r="O21" s="115">
        <f>'Staging Table'!BS23*Rates_current!$F$77*100*12</f>
        <v>918096.15299999993</v>
      </c>
      <c r="P21" s="115">
        <f>'Staging Table'!BS23*Rates_current!$F$78*100*12</f>
        <v>-147054.399</v>
      </c>
      <c r="Q21" s="116">
        <f>SUMPRODUCT('Staging Table'!BY23:CV23, LS_Demand_Rates_Restatement!$C$5:$Z$5)-IF(Init!$R$12="No",('Staging Table'!DU23*Rates_current!$I$46), 0)</f>
        <v>29884.0912092857</v>
      </c>
      <c r="R21" s="116">
        <f>SUMPRODUCT('Staging Table'!CW23:DH23, LS_Demand_Rates_Restatement!$C$11:$N$11)*1000</f>
        <v>80483.402736057702</v>
      </c>
      <c r="S21" s="117">
        <f>'Staging Table'!ED23*IF(Init!$R$15="Yes",IF(Init!$R$6=2024,Rates_current!$C$89,Rates_current!$D$89),Rates_current!$I$45)</f>
        <v>-12.785776679253322</v>
      </c>
      <c r="T21" s="117">
        <v>17</v>
      </c>
      <c r="U21" s="117">
        <f>IF('Staging Table'!D23=1, 'Staging Table'!BU23*-1*'Staging Table'!BS23/'Staging Table'!BR23,SUM(O21:T21)*'Staging Table'!BU23*-1)</f>
        <v>0</v>
      </c>
      <c r="V21" s="115">
        <f>'Staging Table'!BX23*Rates_current!$I$44*-1</f>
        <v>0</v>
      </c>
      <c r="W21" s="115">
        <f>IF('Staging Table'!C23=1,"", SUM(O21:V21))</f>
        <v>881413.46216866409</v>
      </c>
      <c r="X21" s="115">
        <f>IF('Staging Table'!C23=1,"", (RT1SC!$C$4*'Staging Table'!BS23*'Staging Table'!$BS$2)+SUM('Staging Table'!BY23:CV23)-IF(Init!$R$12="No",'Staging Table'!DU23, 0))</f>
        <v>22078.49530326785</v>
      </c>
      <c r="Y21" s="69">
        <f>IF('Staging Table'!C23=1,"",IF(X21=0, 0, W21/X21))</f>
        <v>39.921808531861572</v>
      </c>
      <c r="Z21" s="64">
        <f ca="1">IF('Staging Table'!C23=1,"",(Y21/N21-1)+(RAND()/100000000000000))</f>
        <v>9.3633049579522648E-2</v>
      </c>
      <c r="AA21" s="45">
        <f t="shared" ca="1" si="3"/>
        <v>71</v>
      </c>
      <c r="AB21" s="76"/>
      <c r="AC21" s="264"/>
      <c r="AD21" s="119"/>
      <c r="AE21" s="119"/>
      <c r="AG21" s="119"/>
      <c r="AH21" s="119"/>
    </row>
    <row r="22" spans="2:34">
      <c r="B22" s="2">
        <v>10070</v>
      </c>
      <c r="C22" s="3" t="s">
        <v>26</v>
      </c>
      <c r="D22" s="115">
        <f>IF(Init!$R$9="Yes",'Staging Table'!F24,'Staging Table'!BS24)*Rates_previous!$E$76*100*12</f>
        <v>129539.0304</v>
      </c>
      <c r="E22" s="115">
        <f>IF(Init!$R$9="Yes",'Staging Table'!F24,'Staging Table'!BS24)*Rates_previous!$E$77*100*12</f>
        <v>-26446.555199999995</v>
      </c>
      <c r="F22" s="116">
        <f>IF(Init!$R$9="Yes",SUMPRODUCT('Staging Table'!L24:AI24,LS_Demand_Rates_Restatement!$C$4:$Z$4)-IF(Init!$R$12="No",('Staging Table'!BH24*Rates_previous!$H$34), 0),SUMPRODUCT('Staging Table'!BY24:CV24,LS_Demand_Rates_Restatement!$C$4:$Z$4)-IF(Init!$R$12="No", 'Staging Table'!DU24*Rates_previous!$H$34, 0))</f>
        <v>1624.3281930447411</v>
      </c>
      <c r="G22" s="116">
        <f>IF(Init!$R$9="Yes",SUMPRODUCT('Staging Table'!AJ24:AU24,LS_Demand_Rates_Restatement!$C$10:$N$10),SUMPRODUCT(LS_Demand_Rates_Restatement!$C$10:$N$10,'Staging Table'!CW24:DH24))*1000</f>
        <v>19764.953159642093</v>
      </c>
      <c r="H22" s="117">
        <f>IF(Init!$R$9="Yes",'Staging Table'!BQ24,'Staging Table'!ED24)*IF(Init!$R$3=2022,Rates_previous!$C$88,Rates_previous!$D$88)</f>
        <v>0</v>
      </c>
      <c r="I22" s="115">
        <v>18</v>
      </c>
      <c r="J22" s="117">
        <f>IF(Init!$R$9="Yes",IF('Staging Table'!D24=1,'Staging Table'!H24*-1*'Staging Table'!BS24/'Staging Table'!BR24,'Staging Table'!H24*SUM(D22:I22)*(-1)),IF('Staging Table'!D24=1,'Staging Table'!BU24*-1*'Staging Table'!BS24/'Staging Table'!BR24,'Staging Table'!BU24*SUM(D22:I22)*(-1)))</f>
        <v>0</v>
      </c>
      <c r="K22" s="115">
        <f>IF(Init!$R$9="Yes",'Staging Table'!K24,'Staging Table'!BX24)*(-1)*Rates_previous!$H$32</f>
        <v>0</v>
      </c>
      <c r="L22" s="115">
        <f>IF('Staging Table'!C24=1,"",SUM(D22:K22))</f>
        <v>124499.75655268686</v>
      </c>
      <c r="M22" s="115">
        <f>IF('Staging Table'!C24=1,"",IF(Init!$R$9="Yes",(RT1SC!$C$3*'Staging Table'!F24*'Staging Table'!$F$2)+SUM('Staging Table'!L24:AI24)-IF(Init!$R$12="No",'Staging Table'!BH24, 0),X22))</f>
        <v>3153.4559999999997</v>
      </c>
      <c r="N22" s="69">
        <f>IF('Staging Table'!C24=1,"",IF(M22=0, 0, L22/M22))</f>
        <v>39.480416581898361</v>
      </c>
      <c r="O22" s="115">
        <f>'Staging Table'!BS24*Rates_current!$F$77*100*12</f>
        <v>131563.56719999999</v>
      </c>
      <c r="P22" s="115">
        <f>'Staging Table'!BS24*Rates_current!$F$78*100*12</f>
        <v>-21072.957600000002</v>
      </c>
      <c r="Q22" s="116">
        <f>SUMPRODUCT('Staging Table'!BY24:CV24, LS_Demand_Rates_Restatement!$C$5:$Z$5)-IF(Init!$R$12="No",('Staging Table'!DU24*Rates_current!$I$46), 0)</f>
        <v>4306.3914959333815</v>
      </c>
      <c r="R22" s="116">
        <f>SUMPRODUCT('Staging Table'!CW24:DH24, LS_Demand_Rates_Restatement!$C$11:$N$11)*1000</f>
        <v>22199.799708831906</v>
      </c>
      <c r="S22" s="117">
        <f>'Staging Table'!ED24*IF(Init!$R$15="Yes",IF(Init!$R$6=2024,Rates_current!$C$89,Rates_current!$D$89),Rates_current!$I$45)</f>
        <v>0</v>
      </c>
      <c r="T22" s="117">
        <v>18</v>
      </c>
      <c r="U22" s="117">
        <f>IF('Staging Table'!D24=1, 'Staging Table'!BU24*-1*'Staging Table'!BS24/'Staging Table'!BR24,SUM(O22:T22)*'Staging Table'!BU24*-1)</f>
        <v>0</v>
      </c>
      <c r="V22" s="115">
        <f>'Staging Table'!BX24*Rates_current!$I$44*-1</f>
        <v>0</v>
      </c>
      <c r="W22" s="115">
        <f>IF('Staging Table'!C24=1,"", SUM(O22:V22))</f>
        <v>137014.80080476528</v>
      </c>
      <c r="X22" s="115">
        <f>IF('Staging Table'!C24=1,"", (RT1SC!$C$4*'Staging Table'!BS24*'Staging Table'!$BS$2)+SUM('Staging Table'!BY24:CV24)-IF(Init!$R$12="No",'Staging Table'!DU24, 0))</f>
        <v>3162.3599999999997</v>
      </c>
      <c r="Y22" s="69">
        <f>IF('Staging Table'!C24=1,"",IF(X22=0, 0, W22/X22))</f>
        <v>43.326756221545082</v>
      </c>
      <c r="Z22" s="64">
        <f ca="1">IF('Staging Table'!C24=1,"",(Y22/N22-1)+(RAND()/100000000000000))</f>
        <v>9.7423988211168377E-2</v>
      </c>
      <c r="AA22" s="45">
        <f t="shared" ca="1" si="3"/>
        <v>53</v>
      </c>
      <c r="AB22" s="76"/>
      <c r="AC22" s="264"/>
      <c r="AD22" s="119"/>
      <c r="AE22" s="119"/>
      <c r="AG22" s="119"/>
      <c r="AH22" s="119"/>
    </row>
    <row r="23" spans="2:34">
      <c r="B23" s="2">
        <v>10071</v>
      </c>
      <c r="C23" s="3" t="s">
        <v>27</v>
      </c>
      <c r="D23" s="115">
        <f>IF(Init!$R$9="Yes",'Staging Table'!F25,'Staging Table'!BS25)*Rates_previous!$E$76*100*12</f>
        <v>672606.50399999996</v>
      </c>
      <c r="E23" s="115">
        <f>IF(Init!$R$9="Yes",'Staging Table'!F25,'Staging Table'!BS25)*Rates_previous!$E$77*100*12</f>
        <v>-137318.652</v>
      </c>
      <c r="F23" s="116">
        <f>IF(Init!$R$9="Yes",SUMPRODUCT('Staging Table'!L25:AI25,LS_Demand_Rates_Restatement!$C$4:$Z$4)-IF(Init!$R$12="No",('Staging Table'!BH25*Rates_previous!$H$34), 0),SUMPRODUCT('Staging Table'!BY25:CV25,LS_Demand_Rates_Restatement!$C$4:$Z$4)-IF(Init!$R$12="No", 'Staging Table'!DU25*Rates_previous!$H$34, 0))</f>
        <v>13040.369524105372</v>
      </c>
      <c r="G23" s="116">
        <f>IF(Init!$R$9="Yes",SUMPRODUCT('Staging Table'!AJ25:AU25,LS_Demand_Rates_Restatement!$C$10:$N$10),SUMPRODUCT(LS_Demand_Rates_Restatement!$C$10:$N$10,'Staging Table'!CW25:DH25))*1000</f>
        <v>27849.788338995721</v>
      </c>
      <c r="H23" s="117">
        <f>IF(Init!$R$9="Yes",'Staging Table'!BQ25,'Staging Table'!ED25)*IF(Init!$R$3=2022,Rates_previous!$C$88,Rates_previous!$D$88)</f>
        <v>0</v>
      </c>
      <c r="I23" s="115">
        <v>19</v>
      </c>
      <c r="J23" s="117">
        <f>IF(Init!$R$9="Yes",IF('Staging Table'!D25=1,'Staging Table'!H25*-1*'Staging Table'!BS25/'Staging Table'!BR25,'Staging Table'!H25*SUM(D23:I23)*(-1)),IF('Staging Table'!D25=1,'Staging Table'!BU25*-1*'Staging Table'!BS25/'Staging Table'!BR25,'Staging Table'!BU25*SUM(D23:I23)*(-1)))</f>
        <v>0</v>
      </c>
      <c r="K23" s="115">
        <f>IF(Init!$R$9="Yes",'Staging Table'!K25,'Staging Table'!BX25)*(-1)*Rates_previous!$H$32</f>
        <v>0</v>
      </c>
      <c r="L23" s="115">
        <f>IF('Staging Table'!C25=1,"",SUM(D23:K23))</f>
        <v>576197.00986310106</v>
      </c>
      <c r="M23" s="115">
        <f>IF('Staging Table'!C25=1,"",IF(Init!$R$9="Yes",(RT1SC!$C$3*'Staging Table'!F25*'Staging Table'!$F$2)+SUM('Staging Table'!L25:AI25)-IF(Init!$R$12="No",'Staging Table'!BH25, 0),X23))</f>
        <v>16637.720076788002</v>
      </c>
      <c r="N23" s="69">
        <f>IF('Staging Table'!C25=1,"",IF(M23=0, 0, L23/M23))</f>
        <v>34.631969236396657</v>
      </c>
      <c r="O23" s="115">
        <f>'Staging Table'!BS25*Rates_current!$F$77*100*12</f>
        <v>691744.66139999998</v>
      </c>
      <c r="P23" s="115">
        <f>'Staging Table'!BS25*Rates_current!$F$78*100*12</f>
        <v>-110798.95619999999</v>
      </c>
      <c r="Q23" s="116">
        <f>SUMPRODUCT('Staging Table'!BY25:CV25, LS_Demand_Rates_Restatement!$C$5:$Z$5)-IF(Init!$R$12="No",('Staging Table'!DU25*Rates_current!$I$46), 0)</f>
        <v>15561.525479182574</v>
      </c>
      <c r="R23" s="116">
        <f>SUMPRODUCT('Staging Table'!CW25:DH25, LS_Demand_Rates_Restatement!$C$11:$N$11)*1000</f>
        <v>30311.465829122139</v>
      </c>
      <c r="S23" s="117">
        <f>'Staging Table'!ED25*IF(Init!$R$15="Yes",IF(Init!$R$6=2024,Rates_current!$C$89,Rates_current!$D$89),Rates_current!$I$45)</f>
        <v>-9.626209983152366</v>
      </c>
      <c r="T23" s="117">
        <v>19</v>
      </c>
      <c r="U23" s="117">
        <f>IF('Staging Table'!D25=1, 'Staging Table'!BU25*-1*'Staging Table'!BS25/'Staging Table'!BR25,SUM(O23:T23)*'Staging Table'!BU25*-1)</f>
        <v>0</v>
      </c>
      <c r="V23" s="115">
        <f>'Staging Table'!BX25*Rates_current!$I$44*-1</f>
        <v>0</v>
      </c>
      <c r="W23" s="115">
        <f>IF('Staging Table'!C25=1,"", SUM(O23:V23))</f>
        <v>626828.07029832155</v>
      </c>
      <c r="X23" s="115">
        <f>IF('Staging Table'!C25=1,"", (RT1SC!$C$4*'Staging Table'!BS25*'Staging Table'!$BS$2)+SUM('Staging Table'!BY25:CV25)-IF(Init!$R$12="No",'Staging Table'!DU25, 0))</f>
        <v>16637.720981954422</v>
      </c>
      <c r="Y23" s="69">
        <f>IF('Staging Table'!C25=1,"",IF(X23=0, 0, W23/X23))</f>
        <v>37.675116139896254</v>
      </c>
      <c r="Z23" s="64">
        <f ca="1">IF('Staging Table'!C25=1,"",(Y23/N23-1)+(RAND()/100000000000000))</f>
        <v>8.7871032765339599E-2</v>
      </c>
      <c r="AA23" s="45">
        <f t="shared" ca="1" si="3"/>
        <v>91</v>
      </c>
      <c r="AB23" s="76"/>
      <c r="AC23" s="264"/>
      <c r="AD23" s="119"/>
      <c r="AE23" s="119"/>
      <c r="AG23" s="119"/>
      <c r="AH23" s="119"/>
    </row>
    <row r="24" spans="2:34">
      <c r="B24" s="2">
        <v>10072</v>
      </c>
      <c r="C24" s="3" t="s">
        <v>28</v>
      </c>
      <c r="D24" s="115">
        <f>IF(Init!$R$9="Yes",'Staging Table'!F26,'Staging Table'!BS26)*Rates_previous!$E$76*100*12</f>
        <v>8648972.30088</v>
      </c>
      <c r="E24" s="115">
        <f>IF(Init!$R$9="Yes",'Staging Table'!F26,'Staging Table'!BS26)*Rates_previous!$E$77*100*12</f>
        <v>-1765765.2884400003</v>
      </c>
      <c r="F24" s="116">
        <f>IF(Init!$R$9="Yes",SUMPRODUCT('Staging Table'!L26:AI26,LS_Demand_Rates_Restatement!$C$4:$Z$4)-IF(Init!$R$12="No",('Staging Table'!BH26*Rates_previous!$H$34), 0),SUMPRODUCT('Staging Table'!BY26:CV26,LS_Demand_Rates_Restatement!$C$4:$Z$4)-IF(Init!$R$12="No", 'Staging Table'!DU26*Rates_previous!$H$34, 0))</f>
        <v>80354.174539176398</v>
      </c>
      <c r="G24" s="116">
        <f>IF(Init!$R$9="Yes",SUMPRODUCT('Staging Table'!AJ26:AU26,LS_Demand_Rates_Restatement!$C$10:$N$10),SUMPRODUCT(LS_Demand_Rates_Restatement!$C$10:$N$10,'Staging Table'!CW26:DH26))*1000</f>
        <v>1056562.1840608441</v>
      </c>
      <c r="H24" s="117">
        <f>IF(Init!$R$9="Yes",'Staging Table'!BQ26,'Staging Table'!ED26)*IF(Init!$R$3=2022,Rates_previous!$C$88,Rates_previous!$D$88)</f>
        <v>0</v>
      </c>
      <c r="I24" s="115">
        <v>20</v>
      </c>
      <c r="J24" s="117">
        <f>IF(Init!$R$9="Yes",IF('Staging Table'!D26=1,'Staging Table'!H26*-1*'Staging Table'!BS26/'Staging Table'!BR26,'Staging Table'!H26*SUM(D24:I24)*(-1)),IF('Staging Table'!D26=1,'Staging Table'!BU26*-1*'Staging Table'!BS26/'Staging Table'!BR26,'Staging Table'!BU26*SUM(D24:I24)*(-1)))</f>
        <v>0</v>
      </c>
      <c r="K24" s="115">
        <f>IF(Init!$R$9="Yes",'Staging Table'!K26,'Staging Table'!BX26)*(-1)*Rates_previous!$H$32</f>
        <v>0</v>
      </c>
      <c r="L24" s="115">
        <f>IF('Staging Table'!C26=1,"",SUM(D24:K24))</f>
        <v>8020143.3710400201</v>
      </c>
      <c r="M24" s="115">
        <f>IF('Staging Table'!C26=1,"",IF(Init!$R$9="Yes",(RT1SC!$C$3*'Staging Table'!F26*'Staging Table'!$F$2)+SUM('Staging Table'!L26:AI26)-IF(Init!$R$12="No",'Staging Table'!BH26, 0),X24))</f>
        <v>210657.88800000001</v>
      </c>
      <c r="N24" s="69">
        <f>IF('Staging Table'!C26=1,"",IF(M24=0, 0, L24/M24))</f>
        <v>38.071887301177256</v>
      </c>
      <c r="O24" s="115">
        <f>'Staging Table'!BS26*Rates_current!$F$77*100*12</f>
        <v>8786270.8283999991</v>
      </c>
      <c r="P24" s="115">
        <f>'Staging Table'!BS26*Rates_current!$F$78*100*12</f>
        <v>-1407325.1172</v>
      </c>
      <c r="Q24" s="116">
        <f>SUMPRODUCT('Staging Table'!BY26:CV26, LS_Demand_Rates_Restatement!$C$5:$Z$5)-IF(Init!$R$12="No",('Staging Table'!DU26*Rates_current!$I$46), 0)</f>
        <v>280451.42144178483</v>
      </c>
      <c r="R24" s="116">
        <f>SUMPRODUCT('Staging Table'!CW26:DH26, LS_Demand_Rates_Restatement!$C$11:$N$11)*1000</f>
        <v>1157427.2346317933</v>
      </c>
      <c r="S24" s="117">
        <f>'Staging Table'!ED26*IF(Init!$R$15="Yes",IF(Init!$R$6=2024,Rates_current!$C$89,Rates_current!$D$89),Rates_current!$I$45)</f>
        <v>0</v>
      </c>
      <c r="T24" s="117">
        <v>20</v>
      </c>
      <c r="U24" s="117">
        <f>IF('Staging Table'!D26=1, 'Staging Table'!BU26*-1*'Staging Table'!BS26/'Staging Table'!BR26,SUM(O24:T24)*'Staging Table'!BU26*-1)</f>
        <v>0</v>
      </c>
      <c r="V24" s="115">
        <f>'Staging Table'!BX26*Rates_current!$I$44*-1</f>
        <v>0</v>
      </c>
      <c r="W24" s="115">
        <f>IF('Staging Table'!C26=1,"", SUM(O24:V24))</f>
        <v>8816844.3672735766</v>
      </c>
      <c r="X24" s="115">
        <f>IF('Staging Table'!C26=1,"", (RT1SC!$C$4*'Staging Table'!BS26*'Staging Table'!$BS$2)+SUM('Staging Table'!BY26:CV26)-IF(Init!$R$12="No",'Staging Table'!DU26, 0))</f>
        <v>211289.30247240202</v>
      </c>
      <c r="Y24" s="69">
        <f>IF('Staging Table'!C26=1,"",IF(X24=0, 0, W24/X24))</f>
        <v>41.728777860986156</v>
      </c>
      <c r="Z24" s="64">
        <f ca="1">IF('Staging Table'!C26=1,"",(Y24/N24-1)+(RAND()/100000000000000))</f>
        <v>9.605225322506758E-2</v>
      </c>
      <c r="AA24" s="45">
        <f t="shared" ca="1" si="3"/>
        <v>65</v>
      </c>
      <c r="AB24" s="76"/>
      <c r="AC24" s="264"/>
      <c r="AD24" s="119"/>
      <c r="AE24" s="119"/>
      <c r="AG24" s="119"/>
      <c r="AH24" s="119"/>
    </row>
    <row r="25" spans="2:34">
      <c r="B25" s="2">
        <v>10074</v>
      </c>
      <c r="C25" s="3" t="s">
        <v>29</v>
      </c>
      <c r="D25" s="115">
        <f>IF(Init!$R$9="Yes",'Staging Table'!F27,'Staging Table'!BS27)*Rates_previous!$E$76*100*12</f>
        <v>9622757.0505599994</v>
      </c>
      <c r="E25" s="115">
        <f>IF(Init!$R$9="Yes",'Staging Table'!F27,'Staging Table'!BS27)*Rates_previous!$E$77*100*12</f>
        <v>-1964572.1812800001</v>
      </c>
      <c r="F25" s="116">
        <f>IF(Init!$R$9="Yes",SUMPRODUCT('Staging Table'!L27:AI27,LS_Demand_Rates_Restatement!$C$4:$Z$4)-IF(Init!$R$12="No",('Staging Table'!BH27*Rates_previous!$H$34), 0),SUMPRODUCT('Staging Table'!BY27:CV27,LS_Demand_Rates_Restatement!$C$4:$Z$4)-IF(Init!$R$12="No", 'Staging Table'!DU27*Rates_previous!$H$34, 0))</f>
        <v>136101.7884462158</v>
      </c>
      <c r="G25" s="116">
        <f>IF(Init!$R$9="Yes",SUMPRODUCT('Staging Table'!AJ27:AU27,LS_Demand_Rates_Restatement!$C$10:$N$10),SUMPRODUCT(LS_Demand_Rates_Restatement!$C$10:$N$10,'Staging Table'!CW27:DH27))*1000</f>
        <v>682937.79526941758</v>
      </c>
      <c r="H25" s="117">
        <f>IF(Init!$R$9="Yes",'Staging Table'!BQ27,'Staging Table'!ED27)*IF(Init!$R$3=2022,Rates_previous!$C$88,Rates_previous!$D$88)</f>
        <v>0</v>
      </c>
      <c r="I25" s="115">
        <v>21</v>
      </c>
      <c r="J25" s="117">
        <f>IF(Init!$R$9="Yes",IF('Staging Table'!D27=1,'Staging Table'!H27*-1*'Staging Table'!BS27/'Staging Table'!BR27,'Staging Table'!H27*SUM(D25:I25)*(-1)),IF('Staging Table'!D27=1,'Staging Table'!BU27*-1*'Staging Table'!BS27/'Staging Table'!BR27,'Staging Table'!BU27*SUM(D25:I25)*(-1)))</f>
        <v>0</v>
      </c>
      <c r="K25" s="115">
        <f>IF(Init!$R$9="Yes",'Staging Table'!K27,'Staging Table'!BX27)*(-1)*Rates_previous!$H$32</f>
        <v>0</v>
      </c>
      <c r="L25" s="115">
        <f>IF('Staging Table'!C27=1,"",SUM(D25:K25))</f>
        <v>8477245.4529956318</v>
      </c>
      <c r="M25" s="115">
        <f>IF('Staging Table'!C27=1,"",IF(Init!$R$9="Yes",(RT1SC!$C$3*'Staging Table'!F27*'Staging Table'!$F$2)+SUM('Staging Table'!L27:AI27)-IF(Init!$R$12="No",'Staging Table'!BH27, 0),X25))</f>
        <v>234374.68799999999</v>
      </c>
      <c r="N25" s="69">
        <f>IF('Staging Table'!C27=1,"",IF(M25=0, 0, L25/M25))</f>
        <v>36.169628748457818</v>
      </c>
      <c r="O25" s="115">
        <f>'Staging Table'!BS27*Rates_current!$F$77*100*12</f>
        <v>9775587.4164000005</v>
      </c>
      <c r="P25" s="115">
        <f>'Staging Table'!BS27*Rates_current!$F$78*100*12</f>
        <v>-1565787.1212000002</v>
      </c>
      <c r="Q25" s="116">
        <f>SUMPRODUCT('Staging Table'!BY27:CV27, LS_Demand_Rates_Restatement!$C$5:$Z$5)-IF(Init!$R$12="No",('Staging Table'!DU27*Rates_current!$I$46), 0)</f>
        <v>298520.84244927129</v>
      </c>
      <c r="R25" s="116">
        <f>SUMPRODUCT('Staging Table'!CW27:DH27, LS_Demand_Rates_Restatement!$C$11:$N$11)*1000</f>
        <v>719237.24624166649</v>
      </c>
      <c r="S25" s="117">
        <f>'Staging Table'!ED27*IF(Init!$R$15="Yes",IF(Init!$R$6=2024,Rates_current!$C$89,Rates_current!$D$89),Rates_current!$I$45)</f>
        <v>0</v>
      </c>
      <c r="T25" s="117">
        <v>21</v>
      </c>
      <c r="U25" s="117">
        <f>IF('Staging Table'!D27=1, 'Staging Table'!BU27*-1*'Staging Table'!BS27/'Staging Table'!BR27,SUM(O25:T25)*'Staging Table'!BU27*-1)</f>
        <v>0</v>
      </c>
      <c r="V25" s="115">
        <f>'Staging Table'!BX27*Rates_current!$I$44*-1</f>
        <v>0</v>
      </c>
      <c r="W25" s="115">
        <f>IF('Staging Table'!C27=1,"", SUM(O25:V25))</f>
        <v>9227579.383890938</v>
      </c>
      <c r="X25" s="115">
        <f>IF('Staging Table'!C27=1,"", (RT1SC!$C$4*'Staging Table'!BS27*'Staging Table'!$BS$2)+SUM('Staging Table'!BY27:CV27)-IF(Init!$R$12="No",'Staging Table'!DU27, 0))</f>
        <v>235083.36</v>
      </c>
      <c r="Y25" s="69">
        <f>IF('Staging Table'!C27=1,"",IF(X25=0, 0, W25/X25))</f>
        <v>39.252371515750575</v>
      </c>
      <c r="Z25" s="64">
        <f ca="1">IF('Staging Table'!C27=1,"",(Y25/N25-1)+(RAND()/100000000000000))</f>
        <v>8.5230146782314359E-2</v>
      </c>
      <c r="AA25" s="45">
        <f t="shared" ca="1" si="3"/>
        <v>98</v>
      </c>
      <c r="AB25" s="76"/>
      <c r="AC25" s="264"/>
      <c r="AD25" s="119"/>
      <c r="AE25" s="119"/>
      <c r="AG25" s="119"/>
      <c r="AH25" s="119"/>
    </row>
    <row r="26" spans="2:34">
      <c r="B26" s="2">
        <v>10076</v>
      </c>
      <c r="C26" s="3" t="s">
        <v>30</v>
      </c>
      <c r="D26" s="115">
        <f>IF(Init!$R$9="Yes",'Staging Table'!F28,'Staging Table'!BS28)*Rates_previous!$E$76*100*12</f>
        <v>1737317.6884800005</v>
      </c>
      <c r="E26" s="115">
        <f>IF(Init!$R$9="Yes",'Staging Table'!F28,'Staging Table'!BS28)*Rates_previous!$E$77*100*12</f>
        <v>-354688.99223999999</v>
      </c>
      <c r="F26" s="116">
        <f>IF(Init!$R$9="Yes",SUMPRODUCT('Staging Table'!L28:AI28,LS_Demand_Rates_Restatement!$C$4:$Z$4)-IF(Init!$R$12="No",('Staging Table'!BH28*Rates_previous!$H$34), 0),SUMPRODUCT('Staging Table'!BY28:CV28,LS_Demand_Rates_Restatement!$C$4:$Z$4)-IF(Init!$R$12="No", 'Staging Table'!DU28*Rates_previous!$H$34, 0))</f>
        <v>-123984.47584671451</v>
      </c>
      <c r="G26" s="116">
        <f>IF(Init!$R$9="Yes",SUMPRODUCT('Staging Table'!AJ28:AU28,LS_Demand_Rates_Restatement!$C$10:$N$10),SUMPRODUCT(LS_Demand_Rates_Restatement!$C$10:$N$10,'Staging Table'!CW28:DH28))*1000</f>
        <v>112055.18759273498</v>
      </c>
      <c r="H26" s="117">
        <f>IF(Init!$R$9="Yes",'Staging Table'!BQ28,'Staging Table'!ED28)*IF(Init!$R$3=2022,Rates_previous!$C$88,Rates_previous!$D$88)</f>
        <v>0</v>
      </c>
      <c r="I26" s="115">
        <v>22</v>
      </c>
      <c r="J26" s="117">
        <f>IF(Init!$R$9="Yes",IF('Staging Table'!D28=1,'Staging Table'!H28*-1*'Staging Table'!BS28/'Staging Table'!BR28,'Staging Table'!H28*SUM(D26:I26)*(-1)),IF('Staging Table'!D28=1,'Staging Table'!BU28*-1*'Staging Table'!BS28/'Staging Table'!BR28,'Staging Table'!BU28*SUM(D26:I26)*(-1)))</f>
        <v>0</v>
      </c>
      <c r="K26" s="115">
        <f>IF(Init!$R$9="Yes",'Staging Table'!K28,'Staging Table'!BX28)*(-1)*Rates_previous!$H$32</f>
        <v>0</v>
      </c>
      <c r="L26" s="115">
        <f>IF('Staging Table'!C28=1,"",SUM(D26:K26))</f>
        <v>1370721.4079860209</v>
      </c>
      <c r="M26" s="115">
        <f>IF('Staging Table'!C28=1,"",IF(Init!$R$9="Yes",(RT1SC!$C$3*'Staging Table'!F28*'Staging Table'!$F$2)+SUM('Staging Table'!L28:AI28)-IF(Init!$R$12="No",'Staging Table'!BH28, 0),X26))</f>
        <v>39262.849198340562</v>
      </c>
      <c r="N26" s="69">
        <f>IF('Staging Table'!C28=1,"",IF(M26=0, 0, L26/M26))</f>
        <v>34.911409537847653</v>
      </c>
      <c r="O26" s="115">
        <f>'Staging Table'!BS28*Rates_current!$F$77*100*12</f>
        <v>1764971.8710000003</v>
      </c>
      <c r="P26" s="115">
        <f>'Staging Table'!BS28*Rates_current!$F$78*100*12</f>
        <v>-282701.19299999997</v>
      </c>
      <c r="Q26" s="116">
        <f>SUMPRODUCT('Staging Table'!BY28:CV28, LS_Demand_Rates_Restatement!$C$5:$Z$5)-IF(Init!$R$12="No",('Staging Table'!DU28*Rates_current!$I$46), 0)</f>
        <v>44860.667718161247</v>
      </c>
      <c r="R26" s="116">
        <f>SUMPRODUCT('Staging Table'!CW28:DH28, LS_Demand_Rates_Restatement!$C$11:$N$11)*1000</f>
        <v>125183.42670128202</v>
      </c>
      <c r="S26" s="117">
        <f>'Staging Table'!ED28*IF(Init!$R$15="Yes",IF(Init!$R$6=2024,Rates_current!$C$89,Rates_current!$D$89),Rates_current!$I$45)</f>
        <v>0</v>
      </c>
      <c r="T26" s="117">
        <v>22</v>
      </c>
      <c r="U26" s="117">
        <f>IF('Staging Table'!D28=1, 'Staging Table'!BU28*-1*'Staging Table'!BS28/'Staging Table'!BR28,SUM(O26:T26)*'Staging Table'!BU28*-1)</f>
        <v>0</v>
      </c>
      <c r="V26" s="115">
        <f>'Staging Table'!BX28*Rates_current!$I$44*-1</f>
        <v>0</v>
      </c>
      <c r="W26" s="115">
        <f>IF('Staging Table'!C28=1,"", SUM(O26:V26))</f>
        <v>1652336.7724194436</v>
      </c>
      <c r="X26" s="115">
        <f>IF('Staging Table'!C28=1,"", (RT1SC!$C$4*'Staging Table'!BS28*'Staging Table'!$BS$2)+SUM('Staging Table'!BY28:CV28)-IF(Init!$R$12="No",'Staging Table'!DU28, 0))</f>
        <v>42441.14750543594</v>
      </c>
      <c r="Y26" s="69">
        <f>IF('Staging Table'!C28=1,"",IF(X26=0, 0, W26/X26))</f>
        <v>38.932424534652583</v>
      </c>
      <c r="Z26" s="64">
        <f ca="1">IF('Staging Table'!C28=1,"",(Y26/N26-1)+(RAND()/100000000000000))</f>
        <v>0.11517767543718875</v>
      </c>
      <c r="AA26" s="45">
        <f t="shared" ca="1" si="3"/>
        <v>23</v>
      </c>
      <c r="AB26" s="76"/>
      <c r="AC26" s="264"/>
      <c r="AD26" s="119"/>
      <c r="AE26" s="119"/>
      <c r="AG26" s="119"/>
      <c r="AH26" s="119"/>
    </row>
    <row r="27" spans="2:34">
      <c r="B27" s="2">
        <v>10078</v>
      </c>
      <c r="C27" s="3" t="s">
        <v>31</v>
      </c>
      <c r="D27" s="115">
        <f>IF(Init!$R$9="Yes",'Staging Table'!F29,'Staging Table'!BS29)*Rates_previous!$E$76*100*12</f>
        <v>1340978.07816</v>
      </c>
      <c r="E27" s="115">
        <f>IF(Init!$R$9="Yes",'Staging Table'!F29,'Staging Table'!BS29)*Rates_previous!$E$77*100*12</f>
        <v>-273772.70507999999</v>
      </c>
      <c r="F27" s="116">
        <f>IF(Init!$R$9="Yes",SUMPRODUCT('Staging Table'!L29:AI29,LS_Demand_Rates_Restatement!$C$4:$Z$4)-IF(Init!$R$12="No",('Staging Table'!BH29*Rates_previous!$H$34), 0),SUMPRODUCT('Staging Table'!BY29:CV29,LS_Demand_Rates_Restatement!$C$4:$Z$4)-IF(Init!$R$12="No", 'Staging Table'!DU29*Rates_previous!$H$34, 0))</f>
        <v>9596.7743754367366</v>
      </c>
      <c r="G27" s="116">
        <f>IF(Init!$R$9="Yes",SUMPRODUCT('Staging Table'!AJ29:AU29,LS_Demand_Rates_Restatement!$C$10:$N$10),SUMPRODUCT(LS_Demand_Rates_Restatement!$C$10:$N$10,'Staging Table'!CW29:DH29))*1000</f>
        <v>120577.47893298611</v>
      </c>
      <c r="H27" s="117">
        <f>IF(Init!$R$9="Yes",'Staging Table'!BQ29,'Staging Table'!ED29)*IF(Init!$R$3=2022,Rates_previous!$C$88,Rates_previous!$D$88)</f>
        <v>0</v>
      </c>
      <c r="I27" s="115">
        <v>23</v>
      </c>
      <c r="J27" s="117">
        <f>IF(Init!$R$9="Yes",IF('Staging Table'!D29=1,'Staging Table'!H29*-1*'Staging Table'!BS29/'Staging Table'!BR29,'Staging Table'!H29*SUM(D27:I27)*(-1)),IF('Staging Table'!D29=1,'Staging Table'!BU29*-1*'Staging Table'!BS29/'Staging Table'!BR29,'Staging Table'!BU29*SUM(D27:I27)*(-1)))</f>
        <v>0</v>
      </c>
      <c r="K27" s="115">
        <f>IF(Init!$R$9="Yes",'Staging Table'!K29,'Staging Table'!BX29)*(-1)*Rates_previous!$H$32</f>
        <v>0</v>
      </c>
      <c r="L27" s="115">
        <f>IF('Staging Table'!C29=1,"",SUM(D27:K27))</f>
        <v>1197402.6263884229</v>
      </c>
      <c r="M27" s="115">
        <f>IF('Staging Table'!C29=1,"",IF(Init!$R$9="Yes",(RT1SC!$C$3*'Staging Table'!F29*'Staging Table'!$F$2)+SUM('Staging Table'!L29:AI29)-IF(Init!$R$12="No",'Staging Table'!BH29, 0),X27))</f>
        <v>32586.423153092517</v>
      </c>
      <c r="N27" s="69">
        <f>IF('Staging Table'!C29=1,"",IF(M27=0, 0, L27/M27))</f>
        <v>36.745445204678347</v>
      </c>
      <c r="O27" s="115">
        <f>'Staging Table'!BS29*Rates_current!$F$77*100*12</f>
        <v>1355001.1488000003</v>
      </c>
      <c r="P27" s="115">
        <f>'Staging Table'!BS29*Rates_current!$F$78*100*12</f>
        <v>-217034.87040000001</v>
      </c>
      <c r="Q27" s="116">
        <f>SUMPRODUCT('Staging Table'!BY29:CV29, LS_Demand_Rates_Restatement!$C$5:$Z$5)-IF(Init!$R$12="No",('Staging Table'!DU29*Rates_current!$I$46), 0)</f>
        <v>29436.144816200973</v>
      </c>
      <c r="R27" s="116">
        <f>SUMPRODUCT('Staging Table'!CW29:DH29, LS_Demand_Rates_Restatement!$C$11:$N$11)*1000</f>
        <v>133981.42546033653</v>
      </c>
      <c r="S27" s="117">
        <f>'Staging Table'!ED29*IF(Init!$R$15="Yes",IF(Init!$R$6=2024,Rates_current!$C$89,Rates_current!$D$89),Rates_current!$I$45)</f>
        <v>3.0072969405101322</v>
      </c>
      <c r="T27" s="117">
        <v>23</v>
      </c>
      <c r="U27" s="117">
        <f>IF('Staging Table'!D29=1, 'Staging Table'!BU29*-1*'Staging Table'!BS29/'Staging Table'!BR29,SUM(O27:T27)*'Staging Table'!BU29*-1)</f>
        <v>0</v>
      </c>
      <c r="V27" s="115">
        <f>'Staging Table'!BX29*Rates_current!$I$44*-1</f>
        <v>0</v>
      </c>
      <c r="W27" s="115">
        <f>IF('Staging Table'!C29=1,"", SUM(O27:V27))</f>
        <v>1301409.8559734782</v>
      </c>
      <c r="X27" s="115">
        <f>IF('Staging Table'!C29=1,"", (RT1SC!$C$4*'Staging Table'!BS29*'Staging Table'!$BS$2)+SUM('Staging Table'!BY29:CV29)-IF(Init!$R$12="No",'Staging Table'!DU29, 0))</f>
        <v>32586.424923468941</v>
      </c>
      <c r="Y27" s="69">
        <f>IF('Staging Table'!C29=1,"",IF(X27=0, 0, W27/X27))</f>
        <v>39.93717810499043</v>
      </c>
      <c r="Z27" s="64">
        <f ca="1">IF('Staging Table'!C29=1,"",(Y27/N27-1)+(RAND()/100000000000000))</f>
        <v>8.6860640346949042E-2</v>
      </c>
      <c r="AA27" s="45">
        <f t="shared" ca="1" si="3"/>
        <v>94</v>
      </c>
      <c r="AB27" s="76"/>
      <c r="AC27" s="264"/>
      <c r="AD27" s="119"/>
      <c r="AE27" s="119"/>
      <c r="AG27" s="119"/>
      <c r="AH27" s="119"/>
    </row>
    <row r="28" spans="2:34">
      <c r="B28" s="2">
        <v>10079</v>
      </c>
      <c r="C28" s="3" t="s">
        <v>32</v>
      </c>
      <c r="D28" s="115">
        <f>IF(Init!$R$9="Yes",'Staging Table'!F30,'Staging Table'!BS30)*Rates_previous!$E$76*100*12</f>
        <v>29490805.838160001</v>
      </c>
      <c r="E28" s="115">
        <f>IF(Init!$R$9="Yes",'Staging Table'!F30,'Staging Table'!BS30)*Rates_previous!$E$77*100*12</f>
        <v>-6020812.5850799996</v>
      </c>
      <c r="F28" s="116">
        <f>IF(Init!$R$9="Yes",SUMPRODUCT('Staging Table'!L30:AI30,LS_Demand_Rates_Restatement!$C$4:$Z$4)-IF(Init!$R$12="No",('Staging Table'!BH30*Rates_previous!$H$34), 0),SUMPRODUCT('Staging Table'!BY30:CV30,LS_Demand_Rates_Restatement!$C$4:$Z$4)-IF(Init!$R$12="No", 'Staging Table'!DU30*Rates_previous!$H$34, 0))</f>
        <v>915383.17561318236</v>
      </c>
      <c r="G28" s="116">
        <f>IF(Init!$R$9="Yes",SUMPRODUCT('Staging Table'!AJ30:AU30,LS_Demand_Rates_Restatement!$C$10:$N$10),SUMPRODUCT(LS_Demand_Rates_Restatement!$C$10:$N$10,'Staging Table'!CW30:DH30))*1000</f>
        <v>2365509.3607588671</v>
      </c>
      <c r="H28" s="117">
        <f>IF(Init!$R$9="Yes",'Staging Table'!BQ30,'Staging Table'!ED30)*IF(Init!$R$3=2022,Rates_previous!$C$88,Rates_previous!$D$88)</f>
        <v>0</v>
      </c>
      <c r="I28" s="115">
        <v>24</v>
      </c>
      <c r="J28" s="117">
        <f>IF(Init!$R$9="Yes",IF('Staging Table'!D30=1,'Staging Table'!H30*-1*'Staging Table'!BS30/'Staging Table'!BR30,'Staging Table'!H30*SUM(D28:I28)*(-1)),IF('Staging Table'!D30=1,'Staging Table'!BU30*-1*'Staging Table'!BS30/'Staging Table'!BR30,'Staging Table'!BU30*SUM(D28:I28)*(-1)))</f>
        <v>0</v>
      </c>
      <c r="K28" s="115">
        <f>IF(Init!$R$9="Yes",'Staging Table'!K30,'Staging Table'!BX30)*(-1)*Rates_previous!$H$32</f>
        <v>0</v>
      </c>
      <c r="L28" s="115">
        <f>IF('Staging Table'!C30=1,"",SUM(D28:K28))</f>
        <v>26750909.789452054</v>
      </c>
      <c r="M28" s="115">
        <f>IF('Staging Table'!C30=1,"",IF(Init!$R$9="Yes",(RT1SC!$C$3*'Staging Table'!F30*'Staging Table'!$F$2)+SUM('Staging Table'!L30:AI30)-IF(Init!$R$12="No",'Staging Table'!BH30, 0),X28))</f>
        <v>738880.13036681246</v>
      </c>
      <c r="N28" s="69">
        <f>IF('Staging Table'!C30=1,"",IF(M28=0, 0, L28/M28))</f>
        <v>36.204667969852878</v>
      </c>
      <c r="O28" s="115">
        <f>'Staging Table'!BS30*Rates_current!$F$77*100*12</f>
        <v>30725531.592600003</v>
      </c>
      <c r="P28" s="115">
        <f>'Staging Table'!BS30*Rates_current!$F$78*100*12</f>
        <v>-4921406.7257999992</v>
      </c>
      <c r="Q28" s="116">
        <f>SUMPRODUCT('Staging Table'!BY30:CV30, LS_Demand_Rates_Restatement!$C$5:$Z$5)-IF(Init!$R$12="No",('Staging Table'!DU30*Rates_current!$I$46), 0)</f>
        <v>720344.47399369464</v>
      </c>
      <c r="R28" s="116">
        <f>SUMPRODUCT('Staging Table'!CW30:DH30, LS_Demand_Rates_Restatement!$C$11:$N$11)*1000</f>
        <v>2624834.1517735925</v>
      </c>
      <c r="S28" s="117">
        <f>'Staging Table'!ED30*IF(Init!$R$15="Yes",IF(Init!$R$6=2024,Rates_current!$C$89,Rates_current!$D$89),Rates_current!$I$45)</f>
        <v>-1.7483897244697437</v>
      </c>
      <c r="T28" s="117">
        <v>24</v>
      </c>
      <c r="U28" s="117">
        <f>IF('Staging Table'!D30=1, 'Staging Table'!BU30*-1*'Staging Table'!BS30/'Staging Table'!BR30,SUM(O28:T28)*'Staging Table'!BU30*-1)</f>
        <v>0</v>
      </c>
      <c r="V28" s="115">
        <f>'Staging Table'!BX30*Rates_current!$I$44*-1</f>
        <v>0</v>
      </c>
      <c r="W28" s="115">
        <f>IF('Staging Table'!C30=1,"", SUM(O28:V28))</f>
        <v>29149325.744177569</v>
      </c>
      <c r="X28" s="115">
        <f>IF('Staging Table'!C30=1,"", (RT1SC!$C$4*'Staging Table'!BS30*'Staging Table'!$BS$2)+SUM('Staging Table'!BY30:CV30)-IF(Init!$R$12="No",'Staging Table'!DU30, 0))</f>
        <v>738880.17061590834</v>
      </c>
      <c r="Y28" s="69">
        <f>IF('Staging Table'!C30=1,"",IF(X28=0, 0, W28/X28))</f>
        <v>39.450680778020562</v>
      </c>
      <c r="Z28" s="64">
        <f ca="1">IF('Staging Table'!C30=1,"",(Y28/N28-1)+(RAND()/100000000000000))</f>
        <v>8.965730084503816E-2</v>
      </c>
      <c r="AA28" s="45">
        <f t="shared" ca="1" si="3"/>
        <v>84</v>
      </c>
      <c r="AB28" s="76"/>
      <c r="AC28" s="264"/>
      <c r="AD28" s="119"/>
      <c r="AE28" s="119"/>
      <c r="AG28" s="119"/>
      <c r="AH28" s="119"/>
    </row>
    <row r="29" spans="2:34">
      <c r="B29" s="2">
        <v>10080</v>
      </c>
      <c r="C29" s="3" t="s">
        <v>33</v>
      </c>
      <c r="D29" s="115">
        <f>IF(Init!$R$9="Yes",'Staging Table'!F31,'Staging Table'!BS31)*Rates_previous!$E$76*100*12</f>
        <v>2383019.9323200001</v>
      </c>
      <c r="E29" s="115">
        <f>IF(Init!$R$9="Yes",'Staging Table'!F31,'Staging Table'!BS31)*Rates_previous!$E$77*100*12</f>
        <v>-486514.89815999998</v>
      </c>
      <c r="F29" s="116">
        <f>IF(Init!$R$9="Yes",SUMPRODUCT('Staging Table'!L31:AI31,LS_Demand_Rates_Restatement!$C$4:$Z$4)-IF(Init!$R$12="No",('Staging Table'!BH31*Rates_previous!$H$34), 0),SUMPRODUCT('Staging Table'!BY31:CV31,LS_Demand_Rates_Restatement!$C$4:$Z$4)-IF(Init!$R$12="No", 'Staging Table'!DU31*Rates_previous!$H$34, 0))</f>
        <v>23453.013256826576</v>
      </c>
      <c r="G29" s="116">
        <f>IF(Init!$R$9="Yes",SUMPRODUCT('Staging Table'!AJ31:AU31,LS_Demand_Rates_Restatement!$C$10:$N$10),SUMPRODUCT(LS_Demand_Rates_Restatement!$C$10:$N$10,'Staging Table'!CW31:DH31))*1000</f>
        <v>115088.6584752137</v>
      </c>
      <c r="H29" s="117">
        <f>IF(Init!$R$9="Yes",'Staging Table'!BQ31,'Staging Table'!ED31)*IF(Init!$R$3=2022,Rates_previous!$C$88,Rates_previous!$D$88)</f>
        <v>0</v>
      </c>
      <c r="I29" s="115">
        <v>25</v>
      </c>
      <c r="J29" s="117">
        <f>IF(Init!$R$9="Yes",IF('Staging Table'!D31=1,'Staging Table'!H31*-1*'Staging Table'!BS31/'Staging Table'!BR31,'Staging Table'!H31*SUM(D29:I29)*(-1)),IF('Staging Table'!D31=1,'Staging Table'!BU31*-1*'Staging Table'!BS31/'Staging Table'!BR31,'Staging Table'!BU31*SUM(D29:I29)*(-1)))</f>
        <v>0</v>
      </c>
      <c r="K29" s="115">
        <f>IF(Init!$R$9="Yes",'Staging Table'!K31,'Staging Table'!BX31)*(-1)*Rates_previous!$H$32</f>
        <v>0</v>
      </c>
      <c r="L29" s="115">
        <f>IF('Staging Table'!C31=1,"",SUM(D29:K29))</f>
        <v>2035071.7058920406</v>
      </c>
      <c r="M29" s="115">
        <f>IF('Staging Table'!C31=1,"",IF(Init!$R$9="Yes",(RT1SC!$C$3*'Staging Table'!F31*'Staging Table'!$F$2)+SUM('Staging Table'!L31:AI31)-IF(Init!$R$12="No",'Staging Table'!BH31, 0),X29))</f>
        <v>58386.082272057029</v>
      </c>
      <c r="N29" s="69">
        <f>IF('Staging Table'!C31=1,"",IF(M29=0, 0, L29/M29))</f>
        <v>34.855424900910073</v>
      </c>
      <c r="O29" s="115">
        <f>'Staging Table'!BS31*Rates_current!$F$77*100*12</f>
        <v>2427969.375</v>
      </c>
      <c r="P29" s="115">
        <f>'Staging Table'!BS31*Rates_current!$F$78*100*12</f>
        <v>-388895.62499999994</v>
      </c>
      <c r="Q29" s="116">
        <f>SUMPRODUCT('Staging Table'!BY31:CV31, LS_Demand_Rates_Restatement!$C$5:$Z$5)-IF(Init!$R$12="No",('Staging Table'!DU31*Rates_current!$I$46), 0)</f>
        <v>73308.874063978496</v>
      </c>
      <c r="R29" s="116">
        <f>SUMPRODUCT('Staging Table'!CW31:DH31, LS_Demand_Rates_Restatement!$C$11:$N$11)*1000</f>
        <v>122355.9324206731</v>
      </c>
      <c r="S29" s="117">
        <f>'Staging Table'!ED31*IF(Init!$R$15="Yes",IF(Init!$R$6=2024,Rates_current!$C$89,Rates_current!$D$89),Rates_current!$I$45)</f>
        <v>-2.659532741320727</v>
      </c>
      <c r="T29" s="117">
        <v>25</v>
      </c>
      <c r="U29" s="117">
        <f>IF('Staging Table'!D31=1, 'Staging Table'!BU31*-1*'Staging Table'!BS31/'Staging Table'!BR31,SUM(O29:T29)*'Staging Table'!BU31*-1)</f>
        <v>0</v>
      </c>
      <c r="V29" s="115">
        <f>'Staging Table'!BX31*Rates_current!$I$44*-1</f>
        <v>0</v>
      </c>
      <c r="W29" s="115">
        <f>IF('Staging Table'!C31=1,"", SUM(O29:V29))</f>
        <v>2234760.8969519106</v>
      </c>
      <c r="X29" s="115">
        <f>IF('Staging Table'!C31=1,"", (RT1SC!$C$4*'Staging Table'!BS31*'Staging Table'!$BS$2)+SUM('Staging Table'!BY31:CV31)-IF(Init!$R$12="No",'Staging Table'!DU31, 0))</f>
        <v>58386.085446582816</v>
      </c>
      <c r="Y29" s="69">
        <f>IF('Staging Table'!C31=1,"",IF(X29=0, 0, W29/X29))</f>
        <v>38.275573364076344</v>
      </c>
      <c r="Z29" s="64">
        <f ca="1">IF('Staging Table'!C31=1,"",(Y29/N29-1)+(RAND()/100000000000000))</f>
        <v>9.8123849383263975E-2</v>
      </c>
      <c r="AA29" s="45">
        <f t="shared" ca="1" si="3"/>
        <v>51</v>
      </c>
      <c r="AB29" s="76"/>
      <c r="AC29" s="264"/>
      <c r="AD29" s="119"/>
      <c r="AE29" s="119"/>
      <c r="AG29" s="119"/>
      <c r="AH29" s="119"/>
    </row>
    <row r="30" spans="2:34">
      <c r="B30" s="2">
        <v>10081</v>
      </c>
      <c r="C30" s="3" t="s">
        <v>34</v>
      </c>
      <c r="D30" s="115">
        <f>IF(Init!$R$9="Yes",'Staging Table'!F32,'Staging Table'!BS32)*Rates_previous!$E$76*100*12</f>
        <v>3286554.6693599997</v>
      </c>
      <c r="E30" s="115">
        <f>IF(Init!$R$9="Yes",'Staging Table'!F32,'Staging Table'!BS32)*Rates_previous!$E$77*100*12</f>
        <v>-670979.62068000005</v>
      </c>
      <c r="F30" s="116">
        <f>IF(Init!$R$9="Yes",SUMPRODUCT('Staging Table'!L32:AI32,LS_Demand_Rates_Restatement!$C$4:$Z$4)-IF(Init!$R$12="No",('Staging Table'!BH32*Rates_previous!$H$34), 0),SUMPRODUCT('Staging Table'!BY32:CV32,LS_Demand_Rates_Restatement!$C$4:$Z$4)-IF(Init!$R$12="No", 'Staging Table'!DU32*Rates_previous!$H$34, 0))</f>
        <v>189836.59333160825</v>
      </c>
      <c r="G30" s="116">
        <f>IF(Init!$R$9="Yes",SUMPRODUCT('Staging Table'!AJ32:AU32,LS_Demand_Rates_Restatement!$C$10:$N$10),SUMPRODUCT(LS_Demand_Rates_Restatement!$C$10:$N$10,'Staging Table'!CW32:DH32))*1000</f>
        <v>141799.10477395827</v>
      </c>
      <c r="H30" s="117">
        <f>IF(Init!$R$9="Yes",'Staging Table'!BQ32,'Staging Table'!ED32)*IF(Init!$R$3=2022,Rates_previous!$C$88,Rates_previous!$D$88)</f>
        <v>0</v>
      </c>
      <c r="I30" s="115">
        <v>26</v>
      </c>
      <c r="J30" s="117">
        <f>IF(Init!$R$9="Yes",IF('Staging Table'!D32=1,'Staging Table'!H32*-1*'Staging Table'!BS32/'Staging Table'!BR32,'Staging Table'!H32*SUM(D30:I30)*(-1)),IF('Staging Table'!D32=1,'Staging Table'!BU32*-1*'Staging Table'!BS32/'Staging Table'!BR32,'Staging Table'!BU32*SUM(D30:I30)*(-1)))</f>
        <v>0</v>
      </c>
      <c r="K30" s="115">
        <f>IF(Init!$R$9="Yes",'Staging Table'!K32,'Staging Table'!BX32)*(-1)*Rates_previous!$H$32</f>
        <v>0</v>
      </c>
      <c r="L30" s="115">
        <f>IF('Staging Table'!C32=1,"",SUM(D30:K30))</f>
        <v>2947236.7467855662</v>
      </c>
      <c r="M30" s="115">
        <f>IF('Staging Table'!C32=1,"",IF(Init!$R$9="Yes",(RT1SC!$C$3*'Staging Table'!F32*'Staging Table'!$F$2)+SUM('Staging Table'!L32:AI32)-IF(Init!$R$12="No",'Staging Table'!BH32, 0),X30))</f>
        <v>81857.486375208915</v>
      </c>
      <c r="N30" s="69">
        <f>IF('Staging Table'!C32=1,"",IF(M30=0, 0, L30/M30))</f>
        <v>36.004486300451028</v>
      </c>
      <c r="O30" s="115">
        <f>'Staging Table'!BS32*Rates_current!$F$77*100*12</f>
        <v>3403818.8262000005</v>
      </c>
      <c r="P30" s="115">
        <f>'Staging Table'!BS32*Rates_current!$F$78*100*12</f>
        <v>-545200.55459999992</v>
      </c>
      <c r="Q30" s="116">
        <f>SUMPRODUCT('Staging Table'!BY32:CV32, LS_Demand_Rates_Restatement!$C$5:$Z$5)-IF(Init!$R$12="No",('Staging Table'!DU32*Rates_current!$I$46), 0)</f>
        <v>162580.88444119654</v>
      </c>
      <c r="R30" s="116">
        <f>SUMPRODUCT('Staging Table'!CW32:DH32, LS_Demand_Rates_Restatement!$C$11:$N$11)*1000</f>
        <v>149658.84134663458</v>
      </c>
      <c r="S30" s="117">
        <f>'Staging Table'!ED32*IF(Init!$R$15="Yes",IF(Init!$R$6=2024,Rates_current!$C$89,Rates_current!$D$89),Rates_current!$I$45)</f>
        <v>-15.717227513604447</v>
      </c>
      <c r="T30" s="117">
        <v>26</v>
      </c>
      <c r="U30" s="117">
        <f>IF('Staging Table'!D32=1, 'Staging Table'!BU32*-1*'Staging Table'!BS32/'Staging Table'!BR32,SUM(O30:T30)*'Staging Table'!BU32*-1)</f>
        <v>0</v>
      </c>
      <c r="V30" s="115">
        <f>'Staging Table'!BX32*Rates_current!$I$44*-1</f>
        <v>0</v>
      </c>
      <c r="W30" s="115">
        <f>IF('Staging Table'!C32=1,"", SUM(O30:V30))</f>
        <v>3170868.2801603181</v>
      </c>
      <c r="X30" s="115">
        <f>IF('Staging Table'!C32=1,"", (RT1SC!$C$4*'Staging Table'!BS32*'Staging Table'!$BS$2)+SUM('Staging Table'!BY32:CV32)-IF(Init!$R$12="No",'Staging Table'!DU32, 0))</f>
        <v>81857.490831833391</v>
      </c>
      <c r="Y30" s="69">
        <f>IF('Staging Table'!C32=1,"",IF(X30=0, 0, W30/X30))</f>
        <v>38.73644608377375</v>
      </c>
      <c r="Z30" s="64">
        <f ca="1">IF('Staging Table'!C32=1,"",(Y30/N30-1)+(RAND()/100000000000000))</f>
        <v>7.5878315844448249E-2</v>
      </c>
      <c r="AA30" s="45">
        <f t="shared" ca="1" si="3"/>
        <v>106</v>
      </c>
      <c r="AB30" s="76"/>
      <c r="AC30" s="264"/>
      <c r="AD30" s="119"/>
      <c r="AE30" s="119"/>
      <c r="AG30" s="119"/>
      <c r="AH30" s="119"/>
    </row>
    <row r="31" spans="2:34">
      <c r="B31" s="2">
        <v>10082</v>
      </c>
      <c r="C31" s="3" t="s">
        <v>35</v>
      </c>
      <c r="D31" s="115">
        <f>IF(Init!$R$9="Yes",'Staging Table'!F33,'Staging Table'!BS33)*Rates_previous!$E$76*100*12</f>
        <v>35623.233359999998</v>
      </c>
      <c r="E31" s="115">
        <f>IF(Init!$R$9="Yes",'Staging Table'!F33,'Staging Table'!BS33)*Rates_previous!$E$77*100*12</f>
        <v>-7272.8026800000007</v>
      </c>
      <c r="F31" s="116">
        <f>IF(Init!$R$9="Yes",SUMPRODUCT('Staging Table'!L33:AI33,LS_Demand_Rates_Restatement!$C$4:$Z$4)-IF(Init!$R$12="No",('Staging Table'!BH33*Rates_previous!$H$34), 0),SUMPRODUCT('Staging Table'!BY33:CV33,LS_Demand_Rates_Restatement!$C$4:$Z$4)-IF(Init!$R$12="No", 'Staging Table'!DU33*Rates_previous!$H$34, 0))</f>
        <v>6425.818545098914</v>
      </c>
      <c r="G31" s="116">
        <f>IF(Init!$R$9="Yes",SUMPRODUCT('Staging Table'!AJ33:AU33,LS_Demand_Rates_Restatement!$C$10:$N$10),SUMPRODUCT(LS_Demand_Rates_Restatement!$C$10:$N$10,'Staging Table'!CW33:DH33))*1000</f>
        <v>2932.8872439903844</v>
      </c>
      <c r="H31" s="117">
        <f>IF(Init!$R$9="Yes",'Staging Table'!BQ33,'Staging Table'!ED33)*IF(Init!$R$3=2022,Rates_previous!$C$88,Rates_previous!$D$88)</f>
        <v>0</v>
      </c>
      <c r="I31" s="115">
        <v>27</v>
      </c>
      <c r="J31" s="117">
        <f>IF(Init!$R$9="Yes",IF('Staging Table'!D33=1,'Staging Table'!H33*-1*'Staging Table'!BS33/'Staging Table'!BR33,'Staging Table'!H33*SUM(D31:I31)*(-1)),IF('Staging Table'!D33=1,'Staging Table'!BU33*-1*'Staging Table'!BS33/'Staging Table'!BR33,'Staging Table'!BU33*SUM(D31:I31)*(-1)))</f>
        <v>0</v>
      </c>
      <c r="K31" s="115">
        <f>IF(Init!$R$9="Yes",'Staging Table'!K33,'Staging Table'!BX33)*(-1)*Rates_previous!$H$32</f>
        <v>0</v>
      </c>
      <c r="L31" s="115">
        <f>IF('Staging Table'!C33=1,"",SUM(D31:K31))</f>
        <v>37736.136469089295</v>
      </c>
      <c r="M31" s="115">
        <f>IF('Staging Table'!C33=1,"",IF(Init!$R$9="Yes",(RT1SC!$C$3*'Staging Table'!F33*'Staging Table'!$F$2)+SUM('Staging Table'!L33:AI33)-IF(Init!$R$12="No",'Staging Table'!BH33, 0),X31))</f>
        <v>1011.8620040669199</v>
      </c>
      <c r="N31" s="69">
        <f>IF('Staging Table'!C33=1,"",IF(M31=0, 0, L31/M31))</f>
        <v>37.29375776283581</v>
      </c>
      <c r="O31" s="115">
        <f>'Staging Table'!BS33*Rates_current!$F$77*100*12</f>
        <v>42214.294199999997</v>
      </c>
      <c r="P31" s="115">
        <f>'Staging Table'!BS33*Rates_current!$F$78*100*12</f>
        <v>-6761.5985999999994</v>
      </c>
      <c r="Q31" s="116">
        <f>SUMPRODUCT('Staging Table'!BY33:CV33, LS_Demand_Rates_Restatement!$C$5:$Z$5)-IF(Init!$R$12="No",('Staging Table'!DU33*Rates_current!$I$46), 0)</f>
        <v>1561.0126558430391</v>
      </c>
      <c r="R31" s="116">
        <f>SUMPRODUCT('Staging Table'!CW33:DH33, LS_Demand_Rates_Restatement!$C$11:$N$11)*1000</f>
        <v>3333.0954517004984</v>
      </c>
      <c r="S31" s="117">
        <f>'Staging Table'!ED33*IF(Init!$R$15="Yes",IF(Init!$R$6=2024,Rates_current!$C$89,Rates_current!$D$89),Rates_current!$I$45)</f>
        <v>16.676007492604022</v>
      </c>
      <c r="T31" s="117">
        <v>27</v>
      </c>
      <c r="U31" s="117">
        <f>IF('Staging Table'!D33=1, 'Staging Table'!BU33*-1*'Staging Table'!BS33/'Staging Table'!BR33,SUM(O31:T31)*'Staging Table'!BU33*-1)</f>
        <v>0</v>
      </c>
      <c r="V31" s="115">
        <f>'Staging Table'!BX33*Rates_current!$I$44*-1</f>
        <v>0</v>
      </c>
      <c r="W31" s="115">
        <f>IF('Staging Table'!C33=1,"", SUM(O31:V31))</f>
        <v>40390.479715036148</v>
      </c>
      <c r="X31" s="115">
        <f>IF('Staging Table'!C33=1,"", (RT1SC!$C$4*'Staging Table'!BS33*'Staging Table'!$BS$2)+SUM('Staging Table'!BY33:CV33)-IF(Init!$R$12="No",'Staging Table'!DU33, 0))</f>
        <v>1011.8620599245867</v>
      </c>
      <c r="Y31" s="69">
        <f>IF('Staging Table'!C33=1,"",IF(X31=0, 0, W31/X31))</f>
        <v>39.916982081575846</v>
      </c>
      <c r="Z31" s="64">
        <f ca="1">IF('Staging Table'!C33=1,"",(Y31/N31-1)+(RAND()/100000000000000))</f>
        <v>7.0339501195407106E-2</v>
      </c>
      <c r="AA31" s="45">
        <f t="shared" ca="1" si="3"/>
        <v>113</v>
      </c>
      <c r="AB31" s="76"/>
      <c r="AC31" s="264"/>
      <c r="AD31" s="119"/>
      <c r="AE31" s="119"/>
      <c r="AG31" s="119"/>
      <c r="AH31" s="119"/>
    </row>
    <row r="32" spans="2:34">
      <c r="B32" s="2">
        <v>10083</v>
      </c>
      <c r="C32" s="3" t="s">
        <v>36</v>
      </c>
      <c r="D32" s="115">
        <f>IF(Init!$R$9="Yes",'Staging Table'!F34,'Staging Table'!BS34)*Rates_previous!$E$76*100*12</f>
        <v>3016017.3866400002</v>
      </c>
      <c r="E32" s="115">
        <f>IF(Init!$R$9="Yes",'Staging Table'!F34,'Staging Table'!BS34)*Rates_previous!$E$77*100*12</f>
        <v>-615747.00732000009</v>
      </c>
      <c r="F32" s="116">
        <f>IF(Init!$R$9="Yes",SUMPRODUCT('Staging Table'!L34:AI34,LS_Demand_Rates_Restatement!$C$4:$Z$4)-IF(Init!$R$12="No",('Staging Table'!BH34*Rates_previous!$H$34), 0),SUMPRODUCT('Staging Table'!BY34:CV34,LS_Demand_Rates_Restatement!$C$4:$Z$4)-IF(Init!$R$12="No", 'Staging Table'!DU34*Rates_previous!$H$34, 0))</f>
        <v>29821.792154077732</v>
      </c>
      <c r="G32" s="116">
        <f>IF(Init!$R$9="Yes",SUMPRODUCT('Staging Table'!AJ34:AU34,LS_Demand_Rates_Restatement!$C$10:$N$10),SUMPRODUCT(LS_Demand_Rates_Restatement!$C$10:$N$10,'Staging Table'!CW34:DH34))*1000</f>
        <v>258697.87208293262</v>
      </c>
      <c r="H32" s="117">
        <f>IF(Init!$R$9="Yes",'Staging Table'!BQ34,'Staging Table'!ED34)*IF(Init!$R$3=2022,Rates_previous!$C$88,Rates_previous!$D$88)</f>
        <v>0</v>
      </c>
      <c r="I32" s="115">
        <v>28</v>
      </c>
      <c r="J32" s="117">
        <f>IF(Init!$R$9="Yes",IF('Staging Table'!D34=1,'Staging Table'!H34*-1*'Staging Table'!BS34/'Staging Table'!BR34,'Staging Table'!H34*SUM(D32:I32)*(-1)),IF('Staging Table'!D34=1,'Staging Table'!BU34*-1*'Staging Table'!BS34/'Staging Table'!BR34,'Staging Table'!BU34*SUM(D32:I32)*(-1)))</f>
        <v>0</v>
      </c>
      <c r="K32" s="115">
        <f>IF(Init!$R$9="Yes",'Staging Table'!K34,'Staging Table'!BX34)*(-1)*Rates_previous!$H$32</f>
        <v>0</v>
      </c>
      <c r="L32" s="115">
        <f>IF('Staging Table'!C34=1,"",SUM(D32:K32))</f>
        <v>2688818.0435570106</v>
      </c>
      <c r="M32" s="115">
        <f>IF('Staging Table'!C34=1,"",IF(Init!$R$9="Yes",(RT1SC!$C$3*'Staging Table'!F34*'Staging Table'!$F$2)+SUM('Staging Table'!L34:AI34)-IF(Init!$R$12="No",'Staging Table'!BH34, 0),X32))</f>
        <v>73460.59199999999</v>
      </c>
      <c r="N32" s="69">
        <f>IF('Staging Table'!C34=1,"",IF(M32=0, 0, L32/M32))</f>
        <v>36.602183161783003</v>
      </c>
      <c r="O32" s="115">
        <f>'Staging Table'!BS34*Rates_current!$F$77*100*12</f>
        <v>3064032.6054000007</v>
      </c>
      <c r="P32" s="115">
        <f>'Staging Table'!BS34*Rates_current!$F$78*100*12</f>
        <v>-490775.90820000001</v>
      </c>
      <c r="Q32" s="116">
        <f>SUMPRODUCT('Staging Table'!BY34:CV34, LS_Demand_Rates_Restatement!$C$5:$Z$5)-IF(Init!$R$12="No",('Staging Table'!DU34*Rates_current!$I$46), 0)</f>
        <v>90266.899922649871</v>
      </c>
      <c r="R32" s="116">
        <f>SUMPRODUCT('Staging Table'!CW34:DH34, LS_Demand_Rates_Restatement!$C$11:$N$11)*1000</f>
        <v>279533.37789546832</v>
      </c>
      <c r="S32" s="117">
        <f>'Staging Table'!ED34*IF(Init!$R$15="Yes",IF(Init!$R$6=2024,Rates_current!$C$89,Rates_current!$D$89),Rates_current!$I$45)</f>
        <v>0</v>
      </c>
      <c r="T32" s="117">
        <v>28</v>
      </c>
      <c r="U32" s="117">
        <f>IF('Staging Table'!D34=1, 'Staging Table'!BU34*-1*'Staging Table'!BS34/'Staging Table'!BR34,SUM(O32:T32)*'Staging Table'!BU34*-1)</f>
        <v>0</v>
      </c>
      <c r="V32" s="115">
        <f>'Staging Table'!BX34*Rates_current!$I$44*-1</f>
        <v>0</v>
      </c>
      <c r="W32" s="115">
        <f>IF('Staging Table'!C34=1,"", SUM(O32:V32))</f>
        <v>2943084.975018119</v>
      </c>
      <c r="X32" s="115">
        <f>IF('Staging Table'!C34=1,"", (RT1SC!$C$4*'Staging Table'!BS34*'Staging Table'!$BS$2)+SUM('Staging Table'!BY34:CV34)-IF(Init!$R$12="No",'Staging Table'!DU34, 0))</f>
        <v>73680.36</v>
      </c>
      <c r="Y32" s="69">
        <f>IF('Staging Table'!C34=1,"",IF(X32=0, 0, W32/X32))</f>
        <v>39.943954875059227</v>
      </c>
      <c r="Z32" s="64">
        <f ca="1">IF('Staging Table'!C34=1,"",(Y32/N32-1)+(RAND()/100000000000000))</f>
        <v>9.1299792105447128E-2</v>
      </c>
      <c r="AA32" s="45">
        <f t="shared" ca="1" si="3"/>
        <v>79</v>
      </c>
      <c r="AB32" s="76"/>
      <c r="AC32" s="264"/>
      <c r="AD32" s="119"/>
      <c r="AE32" s="119"/>
      <c r="AG32" s="119"/>
      <c r="AH32" s="119"/>
    </row>
    <row r="33" spans="2:34">
      <c r="B33" s="2">
        <v>10086</v>
      </c>
      <c r="C33" s="3" t="s">
        <v>37</v>
      </c>
      <c r="D33" s="115">
        <f>IF(Init!$R$9="Yes",'Staging Table'!F35,'Staging Table'!BS35)*Rates_previous!$E$76*100*12</f>
        <v>1395284.8255200002</v>
      </c>
      <c r="E33" s="115">
        <f>IF(Init!$R$9="Yes",'Staging Table'!F35,'Staging Table'!BS35)*Rates_previous!$E$77*100*12</f>
        <v>-284859.91476000001</v>
      </c>
      <c r="F33" s="116">
        <f>IF(Init!$R$9="Yes",SUMPRODUCT('Staging Table'!L35:AI35,LS_Demand_Rates_Restatement!$C$4:$Z$4)-IF(Init!$R$12="No",('Staging Table'!BH35*Rates_previous!$H$34), 0),SUMPRODUCT('Staging Table'!BY35:CV35,LS_Demand_Rates_Restatement!$C$4:$Z$4)-IF(Init!$R$12="No", 'Staging Table'!DU35*Rates_previous!$H$34, 0))</f>
        <v>-472324.4898554614</v>
      </c>
      <c r="G33" s="116">
        <f>IF(Init!$R$9="Yes",SUMPRODUCT('Staging Table'!AJ35:AU35,LS_Demand_Rates_Restatement!$C$10:$N$10),SUMPRODUCT(LS_Demand_Rates_Restatement!$C$10:$N$10,'Staging Table'!CW35:DH35))*1000</f>
        <v>26764.025798103634</v>
      </c>
      <c r="H33" s="117">
        <f>IF(Init!$R$9="Yes",'Staging Table'!BQ35,'Staging Table'!ED35)*IF(Init!$R$3=2022,Rates_previous!$C$88,Rates_previous!$D$88)</f>
        <v>0</v>
      </c>
      <c r="I33" s="115">
        <v>29</v>
      </c>
      <c r="J33" s="117">
        <f>IF(Init!$R$9="Yes",IF('Staging Table'!D35=1,'Staging Table'!H35*-1*'Staging Table'!BS35/'Staging Table'!BR35,'Staging Table'!H35*SUM(D33:I33)*(-1)),IF('Staging Table'!D35=1,'Staging Table'!BU35*-1*'Staging Table'!BS35/'Staging Table'!BR35,'Staging Table'!BU35*SUM(D33:I33)*(-1)))</f>
        <v>0</v>
      </c>
      <c r="K33" s="115">
        <f>IF(Init!$R$9="Yes",'Staging Table'!K35,'Staging Table'!BX35)*(-1)*Rates_previous!$H$32</f>
        <v>0</v>
      </c>
      <c r="L33" s="115">
        <f>IF('Staging Table'!C35=1,"",SUM(D33:K33))</f>
        <v>664893.44670264237</v>
      </c>
      <c r="M33" s="115">
        <f>IF('Staging Table'!C35=1,"",IF(Init!$R$9="Yes",(RT1SC!$C$3*'Staging Table'!F35*'Staging Table'!$F$2)+SUM('Staging Table'!L35:AI35)-IF(Init!$R$12="No",'Staging Table'!BH35, 0),X33))</f>
        <v>22348.468159292439</v>
      </c>
      <c r="N33" s="69">
        <f>IF('Staging Table'!C35=1,"",IF(M33=0, 0, L33/M33))</f>
        <v>29.751186612142867</v>
      </c>
      <c r="O33" s="115">
        <f>'Staging Table'!BS35*Rates_current!$F$77*100*12</f>
        <v>929232.43920000014</v>
      </c>
      <c r="P33" s="115">
        <f>'Staging Table'!BS35*Rates_current!$F$78*100*12</f>
        <v>-148838.1336</v>
      </c>
      <c r="Q33" s="116">
        <f>SUMPRODUCT('Staging Table'!BY35:CV35, LS_Demand_Rates_Restatement!$C$5:$Z$5)-IF(Init!$R$12="No",('Staging Table'!DU35*Rates_current!$I$46), 0)</f>
        <v>24085.449020949858</v>
      </c>
      <c r="R33" s="116">
        <f>SUMPRODUCT('Staging Table'!CW35:DH35, LS_Demand_Rates_Restatement!$C$11:$N$11)*1000</f>
        <v>28924.41934895833</v>
      </c>
      <c r="S33" s="117">
        <f>'Staging Table'!ED35*IF(Init!$R$15="Yes",IF(Init!$R$6=2024,Rates_current!$C$89,Rates_current!$D$89),Rates_current!$I$45)</f>
        <v>-6.6321580155528501</v>
      </c>
      <c r="T33" s="117">
        <v>29</v>
      </c>
      <c r="U33" s="117">
        <f>IF('Staging Table'!D35=1, 'Staging Table'!BU35*-1*'Staging Table'!BS35/'Staging Table'!BR35,SUM(O33:T33)*'Staging Table'!BU35*-1)</f>
        <v>0</v>
      </c>
      <c r="V33" s="115">
        <f>'Staging Table'!BX35*Rates_current!$I$44*-1</f>
        <v>0</v>
      </c>
      <c r="W33" s="115">
        <f>IF('Staging Table'!C35=1,"", SUM(O33:V33))</f>
        <v>833426.54181189276</v>
      </c>
      <c r="X33" s="115">
        <f>IF('Staging Table'!C35=1,"", (RT1SC!$C$4*'Staging Table'!BS35*'Staging Table'!$BS$2)+SUM('Staging Table'!BY35:CV35)-IF(Init!$R$12="No",'Staging Table'!DU35, 0))</f>
        <v>22348.469319076175</v>
      </c>
      <c r="Y33" s="69">
        <f>IF('Staging Table'!C35=1,"",IF(X33=0, 0, W33/X33))</f>
        <v>37.29233219120281</v>
      </c>
      <c r="Z33" s="64">
        <f ca="1">IF('Staging Table'!C35=1,"",(Y33/N33-1)+(RAND()/100000000000000))</f>
        <v>0.25347377492439466</v>
      </c>
      <c r="AA33" s="45">
        <f t="shared" ca="1" si="3"/>
        <v>1</v>
      </c>
      <c r="AB33" s="76"/>
      <c r="AC33" s="264"/>
      <c r="AD33" s="119"/>
      <c r="AE33" s="119"/>
      <c r="AG33" s="119"/>
      <c r="AH33" s="119"/>
    </row>
    <row r="34" spans="2:34">
      <c r="B34" s="2">
        <v>10087</v>
      </c>
      <c r="C34" s="3" t="s">
        <v>38</v>
      </c>
      <c r="D34" s="115">
        <f>IF(Init!$R$9="Yes",'Staging Table'!F36,'Staging Table'!BS36)*Rates_previous!$E$76*100*12</f>
        <v>16874949.844799999</v>
      </c>
      <c r="E34" s="115">
        <f>IF(Init!$R$9="Yes",'Staging Table'!F36,'Staging Table'!BS36)*Rates_previous!$E$77*100*12</f>
        <v>-3445172.4023999996</v>
      </c>
      <c r="F34" s="116">
        <f>IF(Init!$R$9="Yes",SUMPRODUCT('Staging Table'!L36:AI36,LS_Demand_Rates_Restatement!$C$4:$Z$4)-IF(Init!$R$12="No",('Staging Table'!BH36*Rates_previous!$H$34), 0),SUMPRODUCT('Staging Table'!BY36:CV36,LS_Demand_Rates_Restatement!$C$4:$Z$4)-IF(Init!$R$12="No", 'Staging Table'!DU36*Rates_previous!$H$34, 0))</f>
        <v>471207.56736944517</v>
      </c>
      <c r="G34" s="116">
        <f>IF(Init!$R$9="Yes",SUMPRODUCT('Staging Table'!AJ36:AU36,LS_Demand_Rates_Restatement!$C$10:$N$10),SUMPRODUCT(LS_Demand_Rates_Restatement!$C$10:$N$10,'Staging Table'!CW36:DH36))*1000</f>
        <v>11366.80447499997</v>
      </c>
      <c r="H34" s="117">
        <f>IF(Init!$R$9="Yes",'Staging Table'!BQ36,'Staging Table'!ED36)*IF(Init!$R$3=2022,Rates_previous!$C$88,Rates_previous!$D$88)</f>
        <v>0</v>
      </c>
      <c r="I34" s="115">
        <v>30</v>
      </c>
      <c r="J34" s="117">
        <f>IF(Init!$R$9="Yes",IF('Staging Table'!D36=1,'Staging Table'!H36*-1*'Staging Table'!BS36/'Staging Table'!BR36,'Staging Table'!H36*SUM(D34:I34)*(-1)),IF('Staging Table'!D36=1,'Staging Table'!BU36*-1*'Staging Table'!BS36/'Staging Table'!BR36,'Staging Table'!BU36*SUM(D34:I34)*(-1)))</f>
        <v>0</v>
      </c>
      <c r="K34" s="115">
        <f>IF(Init!$R$9="Yes",'Staging Table'!K36,'Staging Table'!BX36)*(-1)*Rates_previous!$H$32</f>
        <v>0</v>
      </c>
      <c r="L34" s="115">
        <f>IF('Staging Table'!C36=1,"",SUM(D34:K34))</f>
        <v>13912381.814244444</v>
      </c>
      <c r="M34" s="115">
        <f>IF('Staging Table'!C36=1,"",IF(Init!$R$9="Yes",(RT1SC!$C$3*'Staging Table'!F36*'Staging Table'!$F$2)+SUM('Staging Table'!L36:AI36)-IF(Init!$R$12="No",'Staging Table'!BH36, 0),X34))</f>
        <v>428169.55992652552</v>
      </c>
      <c r="N34" s="69">
        <f>IF('Staging Table'!C36=1,"",IF(M34=0, 0, L34/M34))</f>
        <v>32.492692419871759</v>
      </c>
      <c r="O34" s="115">
        <f>'Staging Table'!BS36*Rates_current!$F$77*100*12</f>
        <v>17805108.75</v>
      </c>
      <c r="P34" s="115">
        <f>'Staging Table'!BS36*Rates_current!$F$78*100*12</f>
        <v>-2851901.25</v>
      </c>
      <c r="Q34" s="116">
        <f>SUMPRODUCT('Staging Table'!BY36:CV36, LS_Demand_Rates_Restatement!$C$5:$Z$5)-IF(Init!$R$12="No",('Staging Table'!DU36*Rates_current!$I$46), 0)</f>
        <v>384838.61207250803</v>
      </c>
      <c r="R34" s="116">
        <f>SUMPRODUCT('Staging Table'!CW36:DH36, LS_Demand_Rates_Restatement!$C$11:$N$11)*1000</f>
        <v>42480.578725961546</v>
      </c>
      <c r="S34" s="117">
        <f>'Staging Table'!ED36*IF(Init!$R$15="Yes",IF(Init!$R$6=2024,Rates_current!$C$89,Rates_current!$D$89),Rates_current!$I$45)</f>
        <v>6.5832932303124103</v>
      </c>
      <c r="T34" s="117">
        <v>30</v>
      </c>
      <c r="U34" s="117">
        <f>IF('Staging Table'!D36=1, 'Staging Table'!BU36*-1*'Staging Table'!BS36/'Staging Table'!BR36,SUM(O34:T34)*'Staging Table'!BU36*-1)</f>
        <v>0</v>
      </c>
      <c r="V34" s="115">
        <f>'Staging Table'!BX36*Rates_current!$I$44*-1</f>
        <v>0</v>
      </c>
      <c r="W34" s="115">
        <f>IF('Staging Table'!C36=1,"", SUM(O34:V34))</f>
        <v>15380563.274091702</v>
      </c>
      <c r="X34" s="115">
        <f>IF('Staging Table'!C36=1,"", (RT1SC!$C$4*'Staging Table'!BS36*'Staging Table'!$BS$2)+SUM('Staging Table'!BY36:CV36)-IF(Init!$R$12="No",'Staging Table'!DU36, 0))</f>
        <v>428169.58327494067</v>
      </c>
      <c r="Y34" s="69">
        <f>IF('Staging Table'!C36=1,"",IF(X34=0, 0, W34/X34))</f>
        <v>35.92166252551241</v>
      </c>
      <c r="Z34" s="64">
        <f ca="1">IF('Staging Table'!C36=1,"",(Y34/N34-1)+(RAND()/100000000000000))</f>
        <v>0.10553050086867573</v>
      </c>
      <c r="AA34" s="45">
        <f t="shared" ca="1" si="3"/>
        <v>30</v>
      </c>
      <c r="AB34" s="76"/>
      <c r="AC34" s="264"/>
      <c r="AD34" s="119"/>
      <c r="AE34" s="119"/>
      <c r="AG34" s="119"/>
      <c r="AH34" s="119"/>
    </row>
    <row r="35" spans="2:34">
      <c r="B35" s="2">
        <v>10089</v>
      </c>
      <c r="C35" s="3" t="s">
        <v>39</v>
      </c>
      <c r="D35" s="115">
        <f>IF(Init!$R$9="Yes",'Staging Table'!F37,'Staging Table'!BS37)*Rates_previous!$E$76*100*12</f>
        <v>37583756.762400001</v>
      </c>
      <c r="E35" s="115">
        <f>IF(Init!$R$9="Yes",'Staging Table'!F37,'Staging Table'!BS37)*Rates_previous!$E$77*100*12</f>
        <v>-7673061.1212000009</v>
      </c>
      <c r="F35" s="116">
        <f>IF(Init!$R$9="Yes",SUMPRODUCT('Staging Table'!L37:AI37,LS_Demand_Rates_Restatement!$C$4:$Z$4)-IF(Init!$R$12="No",('Staging Table'!BH37*Rates_previous!$H$34), 0),SUMPRODUCT('Staging Table'!BY37:CV37,LS_Demand_Rates_Restatement!$C$4:$Z$4)-IF(Init!$R$12="No", 'Staging Table'!DU37*Rates_previous!$H$34, 0))</f>
        <v>545057.32351306186</v>
      </c>
      <c r="G35" s="116">
        <f>IF(Init!$R$9="Yes",SUMPRODUCT('Staging Table'!AJ37:AU37,LS_Demand_Rates_Restatement!$C$10:$N$10),SUMPRODUCT(LS_Demand_Rates_Restatement!$C$10:$N$10,'Staging Table'!CW37:DH37))*1000</f>
        <v>760578.70560283109</v>
      </c>
      <c r="H35" s="117">
        <f>IF(Init!$R$9="Yes",'Staging Table'!BQ37,'Staging Table'!ED37)*IF(Init!$R$3=2022,Rates_previous!$C$88,Rates_previous!$D$88)</f>
        <v>0</v>
      </c>
      <c r="I35" s="115">
        <v>31</v>
      </c>
      <c r="J35" s="117">
        <f>IF(Init!$R$9="Yes",IF('Staging Table'!D37=1,'Staging Table'!H37*-1*'Staging Table'!BS37/'Staging Table'!BR37,'Staging Table'!H37*SUM(D35:I35)*(-1)),IF('Staging Table'!D37=1,'Staging Table'!BU37*-1*'Staging Table'!BS37/'Staging Table'!BR37,'Staging Table'!BU37*SUM(D35:I35)*(-1)))</f>
        <v>0</v>
      </c>
      <c r="K35" s="115">
        <f>IF(Init!$R$9="Yes",'Staging Table'!K37,'Staging Table'!BX37)*(-1)*Rates_previous!$H$32</f>
        <v>0</v>
      </c>
      <c r="L35" s="115">
        <f>IF('Staging Table'!C37=1,"",SUM(D35:K35))</f>
        <v>31216362.670315892</v>
      </c>
      <c r="M35" s="115">
        <f>IF('Staging Table'!C37=1,"",IF(Init!$R$9="Yes",(RT1SC!$C$3*'Staging Table'!F37*'Staging Table'!$F$2)+SUM('Staging Table'!L37:AI37)-IF(Init!$R$12="No",'Staging Table'!BH37, 0),X35))</f>
        <v>915406.99199999997</v>
      </c>
      <c r="N35" s="69">
        <f>IF('Staging Table'!C37=1,"",IF(M35=0, 0, L35/M35))</f>
        <v>34.101075197288743</v>
      </c>
      <c r="O35" s="115">
        <f>'Staging Table'!BS37*Rates_current!$F$77*100*12</f>
        <v>38181145.711799994</v>
      </c>
      <c r="P35" s="115">
        <f>'Staging Table'!BS37*Rates_current!$F$78*100*12</f>
        <v>-6115596.2993999999</v>
      </c>
      <c r="Q35" s="116">
        <f>SUMPRODUCT('Staging Table'!BY37:CV37, LS_Demand_Rates_Restatement!$C$5:$Z$5)-IF(Init!$R$12="No",('Staging Table'!DU37*Rates_current!$I$46), 0)</f>
        <v>1264842.5532451698</v>
      </c>
      <c r="R35" s="116">
        <f>SUMPRODUCT('Staging Table'!CW37:DH37, LS_Demand_Rates_Restatement!$C$11:$N$11)*1000</f>
        <v>889738.55120480759</v>
      </c>
      <c r="S35" s="117">
        <f>'Staging Table'!ED37*IF(Init!$R$15="Yes",IF(Init!$R$6=2024,Rates_current!$C$89,Rates_current!$D$89),Rates_current!$I$45)</f>
        <v>0</v>
      </c>
      <c r="T35" s="117">
        <v>31</v>
      </c>
      <c r="U35" s="117">
        <f>IF('Staging Table'!D37=1, 'Staging Table'!BU37*-1*'Staging Table'!BS37/'Staging Table'!BR37,SUM(O35:T35)*'Staging Table'!BU37*-1)</f>
        <v>0</v>
      </c>
      <c r="V35" s="115">
        <f>'Staging Table'!BX37*Rates_current!$I$44*-1</f>
        <v>0</v>
      </c>
      <c r="W35" s="115">
        <f>IF('Staging Table'!C37=1,"", SUM(O35:V35))</f>
        <v>34220161.516849965</v>
      </c>
      <c r="X35" s="115">
        <f>IF('Staging Table'!C37=1,"", (RT1SC!$C$4*'Staging Table'!BS37*'Staging Table'!$BS$2)+SUM('Staging Table'!BY37:CV37)-IF(Init!$R$12="No",'Staging Table'!DU37, 0))</f>
        <v>918170.6399999999</v>
      </c>
      <c r="Y35" s="69">
        <f>IF('Staging Table'!C37=1,"",IF(X35=0, 0, W35/X35))</f>
        <v>37.269936573935723</v>
      </c>
      <c r="Z35" s="64">
        <f ca="1">IF('Staging Table'!C37=1,"",(Y35/N35-1)+(RAND()/100000000000000))</f>
        <v>9.29255561097104E-2</v>
      </c>
      <c r="AA35" s="45">
        <f t="shared" ca="1" si="3"/>
        <v>74</v>
      </c>
      <c r="AB35" s="76"/>
      <c r="AC35" s="264"/>
      <c r="AD35" s="119"/>
      <c r="AE35" s="119"/>
      <c r="AG35" s="119"/>
      <c r="AH35" s="119"/>
    </row>
    <row r="36" spans="2:34">
      <c r="B36" s="2">
        <v>10091</v>
      </c>
      <c r="C36" s="3" t="s">
        <v>40</v>
      </c>
      <c r="D36" s="115">
        <f>IF(Init!$R$9="Yes",'Staging Table'!F38,'Staging Table'!BS38)*Rates_previous!$E$76*100*12</f>
        <v>3258404.8415999999</v>
      </c>
      <c r="E36" s="115">
        <f>IF(Init!$R$9="Yes",'Staging Table'!F38,'Staging Table'!BS38)*Rates_previous!$E$77*100*12</f>
        <v>-665232.58079999988</v>
      </c>
      <c r="F36" s="116">
        <f>IF(Init!$R$9="Yes",SUMPRODUCT('Staging Table'!L38:AI38,LS_Demand_Rates_Restatement!$C$4:$Z$4)-IF(Init!$R$12="No",('Staging Table'!BH38*Rates_previous!$H$34), 0),SUMPRODUCT('Staging Table'!BY38:CV38,LS_Demand_Rates_Restatement!$C$4:$Z$4)-IF(Init!$R$12="No", 'Staging Table'!DU38*Rates_previous!$H$34, 0))</f>
        <v>160812.9073627803</v>
      </c>
      <c r="G36" s="116">
        <f>IF(Init!$R$9="Yes",SUMPRODUCT('Staging Table'!AJ38:AU38,LS_Demand_Rates_Restatement!$C$10:$N$10),SUMPRODUCT(LS_Demand_Rates_Restatement!$C$10:$N$10,'Staging Table'!CW38:DH38))*1000</f>
        <v>172094.08032160791</v>
      </c>
      <c r="H36" s="117">
        <f>IF(Init!$R$9="Yes",'Staging Table'!BQ38,'Staging Table'!ED38)*IF(Init!$R$3=2022,Rates_previous!$C$88,Rates_previous!$D$88)</f>
        <v>0</v>
      </c>
      <c r="I36" s="115">
        <v>32</v>
      </c>
      <c r="J36" s="117">
        <f>IF(Init!$R$9="Yes",IF('Staging Table'!D38=1,'Staging Table'!H38*-1*'Staging Table'!BS38/'Staging Table'!BR38,'Staging Table'!H38*SUM(D36:I36)*(-1)),IF('Staging Table'!D38=1,'Staging Table'!BU38*-1*'Staging Table'!BS38/'Staging Table'!BR38,'Staging Table'!BU38*SUM(D36:I36)*(-1)))</f>
        <v>0</v>
      </c>
      <c r="K36" s="115">
        <f>IF(Init!$R$9="Yes",'Staging Table'!K38,'Staging Table'!BX38)*(-1)*Rates_previous!$H$32</f>
        <v>0</v>
      </c>
      <c r="L36" s="115">
        <f>IF('Staging Table'!C38=1,"",SUM(D36:K36))</f>
        <v>2926111.2484843889</v>
      </c>
      <c r="M36" s="115">
        <f>IF('Staging Table'!C38=1,"",IF(Init!$R$9="Yes",(RT1SC!$C$3*'Staging Table'!F38*'Staging Table'!$F$2)+SUM('Staging Table'!L38:AI38)-IF(Init!$R$12="No",'Staging Table'!BH38, 0),X36))</f>
        <v>82762.847999999998</v>
      </c>
      <c r="N36" s="69">
        <f>IF('Staging Table'!C38=1,"",IF(M36=0, 0, L36/M36))</f>
        <v>35.355371633469993</v>
      </c>
      <c r="O36" s="115">
        <f>'Staging Table'!BS38*Rates_current!$F$77*100*12</f>
        <v>3445256.1702000001</v>
      </c>
      <c r="P36" s="115">
        <f>'Staging Table'!BS38*Rates_current!$F$78*100*12</f>
        <v>-551837.70660000003</v>
      </c>
      <c r="Q36" s="116">
        <f>SUMPRODUCT('Staging Table'!BY38:CV38, LS_Demand_Rates_Restatement!$C$5:$Z$5)-IF(Init!$R$12="No",('Staging Table'!DU38*Rates_current!$I$46), 0)</f>
        <v>103753.52008343526</v>
      </c>
      <c r="R36" s="116">
        <f>SUMPRODUCT('Staging Table'!CW38:DH38, LS_Demand_Rates_Restatement!$C$11:$N$11)*1000</f>
        <v>190746.64687624646</v>
      </c>
      <c r="S36" s="117">
        <f>'Staging Table'!ED38*IF(Init!$R$15="Yes",IF(Init!$R$6=2024,Rates_current!$C$89,Rates_current!$D$89),Rates_current!$I$45)</f>
        <v>-15.504055741633055</v>
      </c>
      <c r="T36" s="117">
        <v>32</v>
      </c>
      <c r="U36" s="117">
        <f>IF('Staging Table'!D38=1, 'Staging Table'!BU38*-1*'Staging Table'!BS38/'Staging Table'!BR38,SUM(O36:T36)*'Staging Table'!BU38*-1)</f>
        <v>0</v>
      </c>
      <c r="V36" s="115">
        <f>'Staging Table'!BX38*Rates_current!$I$44*-1</f>
        <v>0</v>
      </c>
      <c r="W36" s="115">
        <f>IF('Staging Table'!C38=1,"", SUM(O36:V36))</f>
        <v>3187935.1265039402</v>
      </c>
      <c r="X36" s="115">
        <f>IF('Staging Table'!C38=1,"", (RT1SC!$C$4*'Staging Table'!BS38*'Staging Table'!$BS$2)+SUM('Staging Table'!BY38:CV38)-IF(Init!$R$12="No",'Staging Table'!DU38, 0))</f>
        <v>82856.075890655062</v>
      </c>
      <c r="Y36" s="69">
        <f>IF('Staging Table'!C38=1,"",IF(X36=0, 0, W36/X36))</f>
        <v>38.475574569945231</v>
      </c>
      <c r="Z36" s="64">
        <f ca="1">IF('Staging Table'!C38=1,"",(Y36/N36-1)+(RAND()/100000000000000))</f>
        <v>8.8252584892125202E-2</v>
      </c>
      <c r="AA36" s="45">
        <f t="shared" ref="AA36:AA67" ca="1" si="4">IF(Z36="","",RANK(Z36,$Z$4:$Z$137))</f>
        <v>89</v>
      </c>
      <c r="AB36" s="76"/>
      <c r="AC36" s="264"/>
      <c r="AD36" s="119"/>
      <c r="AE36" s="119"/>
      <c r="AG36" s="119"/>
      <c r="AH36" s="119"/>
    </row>
    <row r="37" spans="2:34">
      <c r="B37" s="2">
        <v>10094</v>
      </c>
      <c r="C37" s="3" t="s">
        <v>41</v>
      </c>
      <c r="D37" s="115">
        <f>IF(Init!$R$9="Yes",'Staging Table'!F39,'Staging Table'!BS39)*Rates_previous!$E$76*100*12</f>
        <v>1093359.2392799999</v>
      </c>
      <c r="E37" s="115">
        <f>IF(Init!$R$9="Yes",'Staging Table'!F39,'Staging Table'!BS39)*Rates_previous!$E$77*100*12</f>
        <v>-223219.09763999999</v>
      </c>
      <c r="F37" s="116">
        <f>IF(Init!$R$9="Yes",SUMPRODUCT('Staging Table'!L39:AI39,LS_Demand_Rates_Restatement!$C$4:$Z$4)-IF(Init!$R$12="No",('Staging Table'!BH39*Rates_previous!$H$34), 0),SUMPRODUCT('Staging Table'!BY39:CV39,LS_Demand_Rates_Restatement!$C$4:$Z$4)-IF(Init!$R$12="No", 'Staging Table'!DU39*Rates_previous!$H$34, 0))</f>
        <v>-82471.847847348632</v>
      </c>
      <c r="G37" s="116">
        <f>IF(Init!$R$9="Yes",SUMPRODUCT('Staging Table'!AJ39:AU39,LS_Demand_Rates_Restatement!$C$10:$N$10),SUMPRODUCT(LS_Demand_Rates_Restatement!$C$10:$N$10,'Staging Table'!CW39:DH39))*1000</f>
        <v>55940.169555608969</v>
      </c>
      <c r="H37" s="117">
        <f>IF(Init!$R$9="Yes",'Staging Table'!BQ39,'Staging Table'!ED39)*IF(Init!$R$3=2022,Rates_previous!$C$88,Rates_previous!$D$88)</f>
        <v>0</v>
      </c>
      <c r="I37" s="115">
        <v>33</v>
      </c>
      <c r="J37" s="117">
        <f>IF(Init!$R$9="Yes",IF('Staging Table'!D39=1,'Staging Table'!H39*-1*'Staging Table'!BS39/'Staging Table'!BR39,'Staging Table'!H39*SUM(D37:I37)*(-1)),IF('Staging Table'!D39=1,'Staging Table'!BU39*-1*'Staging Table'!BS39/'Staging Table'!BR39,'Staging Table'!BU39*SUM(D37:I37)*(-1)))</f>
        <v>0</v>
      </c>
      <c r="K37" s="115">
        <f>IF(Init!$R$9="Yes",'Staging Table'!K39,'Staging Table'!BX39)*(-1)*Rates_previous!$H$32</f>
        <v>0</v>
      </c>
      <c r="L37" s="115">
        <f>IF('Staging Table'!C39=1,"",SUM(D37:K37))</f>
        <v>843641.46334826015</v>
      </c>
      <c r="M37" s="115">
        <f>IF('Staging Table'!C39=1,"",IF(Init!$R$9="Yes",(RT1SC!$C$3*'Staging Table'!F39*'Staging Table'!$F$2)+SUM('Staging Table'!L39:AI39)-IF(Init!$R$12="No",'Staging Table'!BH39, 0),X37))</f>
        <v>24420.534124823156</v>
      </c>
      <c r="N37" s="69">
        <f>IF('Staging Table'!C39=1,"",IF(M37=0, 0, L37/M37))</f>
        <v>34.546396857499914</v>
      </c>
      <c r="O37" s="115">
        <f>'Staging Table'!BS39*Rates_current!$F$77*100*12</f>
        <v>1015473.9114</v>
      </c>
      <c r="P37" s="115">
        <f>'Staging Table'!BS39*Rates_current!$F$78*100*12</f>
        <v>-162651.70620000002</v>
      </c>
      <c r="Q37" s="116">
        <f>SUMPRODUCT('Staging Table'!BY39:CV39, LS_Demand_Rates_Restatement!$C$5:$Z$5)-IF(Init!$R$12="No",('Staging Table'!DU39*Rates_current!$I$46), 0)</f>
        <v>31183.195971046371</v>
      </c>
      <c r="R37" s="116">
        <f>SUMPRODUCT('Staging Table'!CW39:DH39, LS_Demand_Rates_Restatement!$C$11:$N$11)*1000</f>
        <v>63174.666409553058</v>
      </c>
      <c r="S37" s="117">
        <f>'Staging Table'!ED39*IF(Init!$R$15="Yes",IF(Init!$R$6=2024,Rates_current!$C$89,Rates_current!$D$89),Rates_current!$I$45)</f>
        <v>9.0968869846613956</v>
      </c>
      <c r="T37" s="117">
        <v>33</v>
      </c>
      <c r="U37" s="117">
        <f>IF('Staging Table'!D39=1, 'Staging Table'!BU39*-1*'Staging Table'!BS39/'Staging Table'!BR39,SUM(O37:T37)*'Staging Table'!BU39*-1)</f>
        <v>0</v>
      </c>
      <c r="V37" s="115">
        <f>'Staging Table'!BX39*Rates_current!$I$44*-1</f>
        <v>0</v>
      </c>
      <c r="W37" s="115">
        <f>IF('Staging Table'!C39=1,"", SUM(O37:V37))</f>
        <v>947222.16446758399</v>
      </c>
      <c r="X37" s="115">
        <f>IF('Staging Table'!C39=1,"", (RT1SC!$C$4*'Staging Table'!BS39*'Staging Table'!$BS$2)+SUM('Staging Table'!BY39:CV39)-IF(Init!$R$12="No",'Staging Table'!DU39, 0))</f>
        <v>24420.535441498796</v>
      </c>
      <c r="Y37" s="69">
        <f>IF('Staging Table'!C39=1,"",IF(X37=0, 0, W37/X37))</f>
        <v>38.787935945824159</v>
      </c>
      <c r="Z37" s="64">
        <f ca="1">IF('Staging Table'!C39=1,"",(Y37/N37-1)+(RAND()/100000000000000))</f>
        <v>0.12277804558954049</v>
      </c>
      <c r="AA37" s="45">
        <f t="shared" ca="1" si="4"/>
        <v>17</v>
      </c>
      <c r="AB37" s="76"/>
      <c r="AC37" s="264"/>
      <c r="AD37" s="119"/>
      <c r="AE37" s="119"/>
      <c r="AG37" s="119"/>
      <c r="AH37" s="119"/>
    </row>
    <row r="38" spans="2:34">
      <c r="B38" s="2">
        <v>10095</v>
      </c>
      <c r="C38" s="3" t="s">
        <v>42</v>
      </c>
      <c r="D38" s="115">
        <f>IF(Init!$R$9="Yes",'Staging Table'!F40,'Staging Table'!BS40)*Rates_previous!$E$76*100*12</f>
        <v>1313824.7044800001</v>
      </c>
      <c r="E38" s="115">
        <f>IF(Init!$R$9="Yes",'Staging Table'!F40,'Staging Table'!BS40)*Rates_previous!$E$77*100*12</f>
        <v>-268229.10024000006</v>
      </c>
      <c r="F38" s="116">
        <f>IF(Init!$R$9="Yes",SUMPRODUCT('Staging Table'!L40:AI40,LS_Demand_Rates_Restatement!$C$4:$Z$4)-IF(Init!$R$12="No",('Staging Table'!BH40*Rates_previous!$H$34), 0),SUMPRODUCT('Staging Table'!BY40:CV40,LS_Demand_Rates_Restatement!$C$4:$Z$4)-IF(Init!$R$12="No", 'Staging Table'!DU40*Rates_previous!$H$34, 0))</f>
        <v>-10837.888651520367</v>
      </c>
      <c r="G38" s="116">
        <f>IF(Init!$R$9="Yes",SUMPRODUCT('Staging Table'!AJ40:AU40,LS_Demand_Rates_Restatement!$C$10:$N$10),SUMPRODUCT(LS_Demand_Rates_Restatement!$C$10:$N$10,'Staging Table'!CW40:DH40))*1000</f>
        <v>32024.408155128222</v>
      </c>
      <c r="H38" s="117">
        <f>IF(Init!$R$9="Yes",'Staging Table'!BQ40,'Staging Table'!ED40)*IF(Init!$R$3=2022,Rates_previous!$C$88,Rates_previous!$D$88)</f>
        <v>0</v>
      </c>
      <c r="I38" s="115">
        <v>34</v>
      </c>
      <c r="J38" s="117">
        <f>IF(Init!$R$9="Yes",IF('Staging Table'!D40=1,'Staging Table'!H40*-1*'Staging Table'!BS40/'Staging Table'!BR40,'Staging Table'!H40*SUM(D38:I38)*(-1)),IF('Staging Table'!D40=1,'Staging Table'!BU40*-1*'Staging Table'!BS40/'Staging Table'!BR40,'Staging Table'!BU40*SUM(D38:I38)*(-1)))</f>
        <v>0</v>
      </c>
      <c r="K38" s="115">
        <f>IF(Init!$R$9="Yes",'Staging Table'!K40,'Staging Table'!BX40)*(-1)*Rates_previous!$H$32</f>
        <v>0</v>
      </c>
      <c r="L38" s="115">
        <f>IF('Staging Table'!C40=1,"",SUM(D38:K38))</f>
        <v>1066816.1237436079</v>
      </c>
      <c r="M38" s="115">
        <f>IF('Staging Table'!C40=1,"",IF(Init!$R$9="Yes",(RT1SC!$C$3*'Staging Table'!F40*'Staging Table'!$F$2)+SUM('Staging Table'!L40:AI40)-IF(Init!$R$12="No",'Staging Table'!BH40, 0),X38))</f>
        <v>32000.111999999997</v>
      </c>
      <c r="N38" s="69">
        <f>IF('Staging Table'!C40=1,"",IF(M38=0, 0, L38/M38))</f>
        <v>33.337887184382602</v>
      </c>
      <c r="O38" s="115">
        <f>'Staging Table'!BS40*Rates_current!$F$77*100*12</f>
        <v>1334800.4435999999</v>
      </c>
      <c r="P38" s="115">
        <f>'Staging Table'!BS40*Rates_current!$F$78*100*12</f>
        <v>-213799.25879999998</v>
      </c>
      <c r="Q38" s="116">
        <f>SUMPRODUCT('Staging Table'!BY40:CV40, LS_Demand_Rates_Restatement!$C$5:$Z$5)-IF(Init!$R$12="No",('Staging Table'!DU40*Rates_current!$I$46), 0)</f>
        <v>18600.062226003072</v>
      </c>
      <c r="R38" s="116">
        <f>SUMPRODUCT('Staging Table'!CW40:DH40, LS_Demand_Rates_Restatement!$C$11:$N$11)*1000</f>
        <v>36759.737648450842</v>
      </c>
      <c r="S38" s="117">
        <f>'Staging Table'!ED40*IF(Init!$R$15="Yes",IF(Init!$R$6=2024,Rates_current!$C$89,Rates_current!$D$89),Rates_current!$I$45)</f>
        <v>0</v>
      </c>
      <c r="T38" s="117">
        <v>34</v>
      </c>
      <c r="U38" s="117">
        <f>IF('Staging Table'!D40=1, 'Staging Table'!BU40*-1*'Staging Table'!BS40/'Staging Table'!BR40,SUM(O38:T38)*'Staging Table'!BU40*-1)</f>
        <v>0</v>
      </c>
      <c r="V38" s="115">
        <f>'Staging Table'!BX40*Rates_current!$I$44*-1</f>
        <v>0</v>
      </c>
      <c r="W38" s="115">
        <f>IF('Staging Table'!C40=1,"", SUM(O38:V38))</f>
        <v>1176394.9846744537</v>
      </c>
      <c r="X38" s="115">
        <f>IF('Staging Table'!C40=1,"", (RT1SC!$C$4*'Staging Table'!BS40*'Staging Table'!$BS$2)+SUM('Staging Table'!BY40:CV40)-IF(Init!$R$12="No",'Staging Table'!DU40, 0))</f>
        <v>32096.640000000003</v>
      </c>
      <c r="Y38" s="69">
        <f>IF('Staging Table'!C40=1,"",IF(X38=0, 0, W38/X38))</f>
        <v>36.65165527215477</v>
      </c>
      <c r="Z38" s="64">
        <f ca="1">IF('Staging Table'!C40=1,"",(Y38/N38-1)+(RAND()/100000000000000))</f>
        <v>9.939946312268845E-2</v>
      </c>
      <c r="AA38" s="45">
        <f t="shared" ca="1" si="4"/>
        <v>48</v>
      </c>
      <c r="AB38" s="76"/>
      <c r="AC38" s="264"/>
      <c r="AD38" s="119"/>
      <c r="AE38" s="119"/>
      <c r="AG38" s="119"/>
      <c r="AH38" s="119"/>
    </row>
    <row r="39" spans="2:34">
      <c r="B39" s="2">
        <v>10097</v>
      </c>
      <c r="C39" s="3" t="s">
        <v>43</v>
      </c>
      <c r="D39" s="115">
        <f>IF(Init!$R$9="Yes",'Staging Table'!F41,'Staging Table'!BS41)*Rates_previous!$E$76*100*12</f>
        <v>720187.18631999998</v>
      </c>
      <c r="E39" s="115">
        <f>IF(Init!$R$9="Yes",'Staging Table'!F41,'Staging Table'!BS41)*Rates_previous!$E$77*100*12</f>
        <v>-147032.67515999998</v>
      </c>
      <c r="F39" s="116">
        <f>IF(Init!$R$9="Yes",SUMPRODUCT('Staging Table'!L41:AI41,LS_Demand_Rates_Restatement!$C$4:$Z$4)-IF(Init!$R$12="No",('Staging Table'!BH41*Rates_previous!$H$34), 0),SUMPRODUCT('Staging Table'!BY41:CV41,LS_Demand_Rates_Restatement!$C$4:$Z$4)-IF(Init!$R$12="No", 'Staging Table'!DU41*Rates_previous!$H$34, 0))</f>
        <v>6154.5193305662151</v>
      </c>
      <c r="G39" s="116">
        <f>IF(Init!$R$9="Yes",SUMPRODUCT('Staging Table'!AJ41:AU41,LS_Demand_Rates_Restatement!$C$10:$N$10),SUMPRODUCT(LS_Demand_Rates_Restatement!$C$10:$N$10,'Staging Table'!CW41:DH41))*1000</f>
        <v>45515.573684481846</v>
      </c>
      <c r="H39" s="117">
        <f>IF(Init!$R$9="Yes",'Staging Table'!BQ41,'Staging Table'!ED41)*IF(Init!$R$3=2022,Rates_previous!$C$88,Rates_previous!$D$88)</f>
        <v>0</v>
      </c>
      <c r="I39" s="115">
        <v>35</v>
      </c>
      <c r="J39" s="117">
        <f>IF(Init!$R$9="Yes",IF('Staging Table'!D41=1,'Staging Table'!H41*-1*'Staging Table'!BS41/'Staging Table'!BR41,'Staging Table'!H41*SUM(D39:I39)*(-1)),IF('Staging Table'!D41=1,'Staging Table'!BU41*-1*'Staging Table'!BS41/'Staging Table'!BR41,'Staging Table'!BU41*SUM(D39:I39)*(-1)))</f>
        <v>0</v>
      </c>
      <c r="K39" s="115">
        <f>IF(Init!$R$9="Yes",'Staging Table'!K41,'Staging Table'!BX41)*(-1)*Rates_previous!$H$32</f>
        <v>0</v>
      </c>
      <c r="L39" s="115">
        <f>IF('Staging Table'!C41=1,"",SUM(D39:K39))</f>
        <v>624859.60417504795</v>
      </c>
      <c r="M39" s="115">
        <f>IF('Staging Table'!C41=1,"",IF(Init!$R$9="Yes",(RT1SC!$C$3*'Staging Table'!F41*'Staging Table'!$F$2)+SUM('Staging Table'!L41:AI41)-IF(Init!$R$12="No",'Staging Table'!BH41, 0),X39))</f>
        <v>17550.477082220037</v>
      </c>
      <c r="N39" s="69">
        <f>IF('Staging Table'!C41=1,"",IF(M39=0, 0, L39/M39))</f>
        <v>35.603567996910925</v>
      </c>
      <c r="O39" s="115">
        <f>'Staging Table'!BS41*Rates_current!$F$77*100*12</f>
        <v>729556.2378</v>
      </c>
      <c r="P39" s="115">
        <f>'Staging Table'!BS41*Rates_current!$F$78*100*12</f>
        <v>-116855.35740000001</v>
      </c>
      <c r="Q39" s="116">
        <f>SUMPRODUCT('Staging Table'!BY41:CV41, LS_Demand_Rates_Restatement!$C$5:$Z$5)-IF(Init!$R$12="No",('Staging Table'!DU41*Rates_current!$I$46), 0)</f>
        <v>24300.206444600193</v>
      </c>
      <c r="R39" s="116">
        <f>SUMPRODUCT('Staging Table'!CW41:DH41, LS_Demand_Rates_Restatement!$C$11:$N$11)*1000</f>
        <v>50919.674718376074</v>
      </c>
      <c r="S39" s="117">
        <f>'Staging Table'!ED41*IF(Init!$R$15="Yes",IF(Init!$R$6=2024,Rates_current!$C$89,Rates_current!$D$89),Rates_current!$I$45)</f>
        <v>-16.288378241312458</v>
      </c>
      <c r="T39" s="117">
        <v>35</v>
      </c>
      <c r="U39" s="117">
        <f>IF('Staging Table'!D41=1, 'Staging Table'!BU41*-1*'Staging Table'!BS41/'Staging Table'!BR41,SUM(O39:T39)*'Staging Table'!BU41*-1)</f>
        <v>0</v>
      </c>
      <c r="V39" s="115">
        <f>'Staging Table'!BX41*Rates_current!$I$44*-1</f>
        <v>0</v>
      </c>
      <c r="W39" s="115">
        <f>IF('Staging Table'!C41=1,"", SUM(O39:V39))</f>
        <v>687939.47318473493</v>
      </c>
      <c r="X39" s="115">
        <f>IF('Staging Table'!C41=1,"", (RT1SC!$C$4*'Staging Table'!BS41*'Staging Table'!$BS$2)+SUM('Staging Table'!BY41:CV41)-IF(Init!$R$12="No",'Staging Table'!DU41, 0))</f>
        <v>17550.478035629207</v>
      </c>
      <c r="Y39" s="69">
        <f>IF('Staging Table'!C41=1,"",IF(X39=0, 0, W39/X39))</f>
        <v>39.197762692739751</v>
      </c>
      <c r="Z39" s="64">
        <f ca="1">IF('Staging Table'!C41=1,"",(Y39/N39-1)+(RAND()/100000000000000))</f>
        <v>0.10095040744626907</v>
      </c>
      <c r="AA39" s="45">
        <f t="shared" ca="1" si="4"/>
        <v>44</v>
      </c>
      <c r="AB39" s="76"/>
      <c r="AC39" s="264"/>
      <c r="AD39" s="119"/>
      <c r="AE39" s="119"/>
      <c r="AG39" s="119"/>
      <c r="AH39" s="119"/>
    </row>
    <row r="40" spans="2:34">
      <c r="B40" s="2">
        <v>10101</v>
      </c>
      <c r="C40" s="3" t="s">
        <v>44</v>
      </c>
      <c r="D40" s="115">
        <f>IF(Init!$R$9="Yes",'Staging Table'!F42,'Staging Table'!BS42)*Rates_previous!$E$76*100*12</f>
        <v>27418928.692319997</v>
      </c>
      <c r="E40" s="115">
        <f>IF(Init!$R$9="Yes",'Staging Table'!F42,'Staging Table'!BS42)*Rates_previous!$E$77*100*12</f>
        <v>-5597820.2781600002</v>
      </c>
      <c r="F40" s="116">
        <f>IF(Init!$R$9="Yes",SUMPRODUCT('Staging Table'!L42:AI42,LS_Demand_Rates_Restatement!$C$4:$Z$4)-IF(Init!$R$12="No",('Staging Table'!BH42*Rates_previous!$H$34), 0),SUMPRODUCT('Staging Table'!BY42:CV42,LS_Demand_Rates_Restatement!$C$4:$Z$4)-IF(Init!$R$12="No", 'Staging Table'!DU42*Rates_previous!$H$34, 0))</f>
        <v>228018.5988210775</v>
      </c>
      <c r="G40" s="116">
        <f>IF(Init!$R$9="Yes",SUMPRODUCT('Staging Table'!AJ42:AU42,LS_Demand_Rates_Restatement!$C$10:$N$10),SUMPRODUCT(LS_Demand_Rates_Restatement!$C$10:$N$10,'Staging Table'!CW42:DH42))*1000</f>
        <v>1225757.332925854</v>
      </c>
      <c r="H40" s="117">
        <f>IF(Init!$R$9="Yes",'Staging Table'!BQ42,'Staging Table'!ED42)*IF(Init!$R$3=2022,Rates_previous!$C$88,Rates_previous!$D$88)</f>
        <v>0</v>
      </c>
      <c r="I40" s="115">
        <v>36</v>
      </c>
      <c r="J40" s="117">
        <f>IF(Init!$R$9="Yes",IF('Staging Table'!D42=1,'Staging Table'!H42*-1*'Staging Table'!BS42/'Staging Table'!BR42,'Staging Table'!H42*SUM(D40:I40)*(-1)),IF('Staging Table'!D42=1,'Staging Table'!BU42*-1*'Staging Table'!BS42/'Staging Table'!BR42,'Staging Table'!BU42*SUM(D40:I40)*(-1)))</f>
        <v>-1185940.8892514447</v>
      </c>
      <c r="K40" s="115">
        <f>IF(Init!$R$9="Yes",'Staging Table'!K42,'Staging Table'!BX42)*(-1)*Rates_previous!$H$32</f>
        <v>0</v>
      </c>
      <c r="L40" s="115">
        <f>IF('Staging Table'!C42=1,"",SUM(D40:K40))</f>
        <v>22088979.456655484</v>
      </c>
      <c r="M40" s="115">
        <f>IF('Staging Table'!C42=1,"",IF(Init!$R$9="Yes",(RT1SC!$C$3*'Staging Table'!F42*'Staging Table'!$F$2)+SUM('Staging Table'!L42:AI42)-IF(Init!$R$12="No",'Staging Table'!BH42, 0),X40))</f>
        <v>667829.95200000005</v>
      </c>
      <c r="N40" s="69">
        <f>IF('Staging Table'!C42=1,"",IF(M40=0, 0, L40/M40))</f>
        <v>33.075754375053073</v>
      </c>
      <c r="O40" s="115">
        <f>'Staging Table'!BS42*Rates_current!$F$77*100*12</f>
        <v>27854700.603599995</v>
      </c>
      <c r="P40" s="115">
        <f>'Staging Table'!BS42*Rates_current!$F$78*100*12</f>
        <v>-4461576.5388000002</v>
      </c>
      <c r="Q40" s="116">
        <f>SUMPRODUCT('Staging Table'!BY42:CV42, LS_Demand_Rates_Restatement!$C$5:$Z$5)-IF(Init!$R$12="No",('Staging Table'!DU42*Rates_current!$I$46), 0)</f>
        <v>818673.42042516556</v>
      </c>
      <c r="R40" s="116">
        <f>SUMPRODUCT('Staging Table'!CW42:DH42, LS_Demand_Rates_Restatement!$C$11:$N$11)*1000</f>
        <v>1287864.3739850961</v>
      </c>
      <c r="S40" s="117">
        <f>'Staging Table'!ED42*IF(Init!$R$15="Yes",IF(Init!$R$6=2024,Rates_current!$C$89,Rates_current!$D$89),Rates_current!$I$45)</f>
        <v>0</v>
      </c>
      <c r="T40" s="117">
        <v>36</v>
      </c>
      <c r="U40" s="117">
        <f>IF('Staging Table'!D42=1, 'Staging Table'!BU42*-1*'Staging Table'!BS42/'Staging Table'!BR42,SUM(O40:T40)*'Staging Table'!BU42*-1)</f>
        <v>-1347949.7909752543</v>
      </c>
      <c r="V40" s="115">
        <f>'Staging Table'!BX42*Rates_current!$I$44*-1</f>
        <v>0</v>
      </c>
      <c r="W40" s="115">
        <f>IF('Staging Table'!C42=1,"", SUM(O40:V40))</f>
        <v>24151748.068235002</v>
      </c>
      <c r="X40" s="115">
        <f>IF('Staging Table'!C42=1,"", (RT1SC!$C$4*'Staging Table'!BS42*'Staging Table'!$BS$2)+SUM('Staging Table'!BY42:CV42)-IF(Init!$R$12="No",'Staging Table'!DU42, 0))</f>
        <v>669837.91354066867</v>
      </c>
      <c r="Y40" s="69">
        <f>IF('Staging Table'!C42=1,"",IF(X40=0, 0, W40/X40))</f>
        <v>36.056107873279778</v>
      </c>
      <c r="Z40" s="64">
        <f ca="1">IF('Staging Table'!C42=1,"",(Y40/N40-1)+(RAND()/100000000000000))</f>
        <v>9.0106894144635241E-2</v>
      </c>
      <c r="AA40" s="45">
        <f t="shared" ca="1" si="4"/>
        <v>83</v>
      </c>
      <c r="AB40" s="76"/>
      <c r="AC40" s="264"/>
      <c r="AD40" s="119"/>
      <c r="AE40" s="119"/>
      <c r="AG40" s="119"/>
      <c r="AH40" s="119"/>
    </row>
    <row r="41" spans="2:34">
      <c r="B41" s="2">
        <v>10103</v>
      </c>
      <c r="C41" s="3" t="s">
        <v>45</v>
      </c>
      <c r="D41" s="115">
        <f>IF(Init!$R$9="Yes",'Staging Table'!F43,'Staging Table'!BS43)*Rates_previous!$E$76*100*12</f>
        <v>114862756.48272</v>
      </c>
      <c r="E41" s="115">
        <f>IF(Init!$R$9="Yes",'Staging Table'!F43,'Staging Table'!BS43)*Rates_previous!$E$77*100*12</f>
        <v>-23450262.213359997</v>
      </c>
      <c r="F41" s="116">
        <f>IF(Init!$R$9="Yes",SUMPRODUCT('Staging Table'!L43:AI43,LS_Demand_Rates_Restatement!$C$4:$Z$4)-IF(Init!$R$12="No",('Staging Table'!BH43*Rates_previous!$H$34), 0),SUMPRODUCT('Staging Table'!BY43:CV43,LS_Demand_Rates_Restatement!$C$4:$Z$4)-IF(Init!$R$12="No", 'Staging Table'!DU43*Rates_previous!$H$34, 0))</f>
        <v>1123543.9691726509</v>
      </c>
      <c r="G41" s="116">
        <f>IF(Init!$R$9="Yes",SUMPRODUCT('Staging Table'!AJ43:AU43,LS_Demand_Rates_Restatement!$C$10:$N$10),SUMPRODUCT(LS_Demand_Rates_Restatement!$C$10:$N$10,'Staging Table'!CW43:DH43))*1000</f>
        <v>11250757.943974812</v>
      </c>
      <c r="H41" s="117">
        <f>IF(Init!$R$9="Yes",'Staging Table'!BQ43,'Staging Table'!ED43)*IF(Init!$R$3=2022,Rates_previous!$C$88,Rates_previous!$D$88)</f>
        <v>0</v>
      </c>
      <c r="I41" s="115">
        <v>37</v>
      </c>
      <c r="J41" s="117">
        <f>IF(Init!$R$9="Yes",IF('Staging Table'!D43=1,'Staging Table'!H43*-1*'Staging Table'!BS43/'Staging Table'!BR43,'Staging Table'!H43*SUM(D41:I41)*(-1)),IF('Staging Table'!D43=1,'Staging Table'!BU43*-1*'Staging Table'!BS43/'Staging Table'!BR43,'Staging Table'!BU43*SUM(D41:I41)*(-1)))</f>
        <v>0</v>
      </c>
      <c r="K41" s="115">
        <f>IF(Init!$R$9="Yes",'Staging Table'!K43,'Staging Table'!BX43)*(-1)*Rates_previous!$H$32</f>
        <v>0</v>
      </c>
      <c r="L41" s="115">
        <f>IF('Staging Table'!C43=1,"",SUM(D41:K41))</f>
        <v>103786833.18250747</v>
      </c>
      <c r="M41" s="115">
        <f>IF('Staging Table'!C43=1,"",IF(Init!$R$9="Yes",(RT1SC!$C$3*'Staging Table'!F43*'Staging Table'!$F$2)+SUM('Staging Table'!L43:AI43)-IF(Init!$R$12="No",'Staging Table'!BH43, 0),X41))</f>
        <v>2797651.2960000001</v>
      </c>
      <c r="N41" s="69">
        <f>IF('Staging Table'!C43=1,"",IF(M41=0, 0, L41/M41))</f>
        <v>37.097844656658552</v>
      </c>
      <c r="O41" s="115">
        <f>'Staging Table'!BS43*Rates_current!$F$77*100*12</f>
        <v>116688078.6708</v>
      </c>
      <c r="P41" s="115">
        <f>'Staging Table'!BS43*Rates_current!$F$78*100*12</f>
        <v>-18690302.996399999</v>
      </c>
      <c r="Q41" s="116">
        <f>SUMPRODUCT('Staging Table'!BY43:CV43, LS_Demand_Rates_Restatement!$C$5:$Z$5)-IF(Init!$R$12="No",('Staging Table'!DU43*Rates_current!$I$46), 0)</f>
        <v>1378160.1640383939</v>
      </c>
      <c r="R41" s="116">
        <f>SUMPRODUCT('Staging Table'!CW43:DH43, LS_Demand_Rates_Restatement!$C$11:$N$11)*1000</f>
        <v>12233202.905460317</v>
      </c>
      <c r="S41" s="117">
        <f>'Staging Table'!ED43*IF(Init!$R$15="Yes",IF(Init!$R$6=2024,Rates_current!$C$89,Rates_current!$D$89),Rates_current!$I$45)</f>
        <v>0</v>
      </c>
      <c r="T41" s="117">
        <v>37</v>
      </c>
      <c r="U41" s="117">
        <f>IF('Staging Table'!D43=1, 'Staging Table'!BU43*-1*'Staging Table'!BS43/'Staging Table'!BR43,SUM(O41:T41)*'Staging Table'!BU43*-1)</f>
        <v>0</v>
      </c>
      <c r="V41" s="115">
        <f>'Staging Table'!BX43*Rates_current!$I$44*-1</f>
        <v>0</v>
      </c>
      <c r="W41" s="115">
        <f>IF('Staging Table'!C43=1,"", SUM(O41:V41))</f>
        <v>111609175.7438987</v>
      </c>
      <c r="X41" s="115">
        <f>IF('Staging Table'!C43=1,"", (RT1SC!$C$4*'Staging Table'!BS43*'Staging Table'!$BS$2)+SUM('Staging Table'!BY43:CV43)-IF(Init!$R$12="No",'Staging Table'!DU43, 0))</f>
        <v>2806082.04</v>
      </c>
      <c r="Y41" s="69">
        <f>IF('Staging Table'!C43=1,"",IF(X41=0, 0, W41/X41))</f>
        <v>39.774024477166996</v>
      </c>
      <c r="Z41" s="64">
        <f ca="1">IF('Staging Table'!C43=1,"",(Y41/N41-1)+(RAND()/100000000000000))</f>
        <v>7.2138417885914366E-2</v>
      </c>
      <c r="AA41" s="45">
        <f t="shared" ca="1" si="4"/>
        <v>111</v>
      </c>
      <c r="AB41" s="76"/>
      <c r="AC41" s="264"/>
      <c r="AD41" s="119"/>
      <c r="AE41" s="119"/>
      <c r="AG41" s="119"/>
      <c r="AH41" s="119"/>
    </row>
    <row r="42" spans="2:34">
      <c r="B42" s="2">
        <v>10105</v>
      </c>
      <c r="C42" s="3" t="s">
        <v>46</v>
      </c>
      <c r="D42" s="115">
        <f>IF(Init!$R$9="Yes",'Staging Table'!F44,'Staging Table'!BS44)*Rates_previous!$E$76*100*12</f>
        <v>13074972.210720001</v>
      </c>
      <c r="E42" s="115">
        <f>IF(Init!$R$9="Yes",'Staging Table'!F44,'Staging Table'!BS44)*Rates_previous!$E$77*100*12</f>
        <v>-2669372.8773599998</v>
      </c>
      <c r="F42" s="116">
        <f>IF(Init!$R$9="Yes",SUMPRODUCT('Staging Table'!L44:AI44,LS_Demand_Rates_Restatement!$C$4:$Z$4)-IF(Init!$R$12="No",('Staging Table'!BH44*Rates_previous!$H$34), 0),SUMPRODUCT('Staging Table'!BY44:CV44,LS_Demand_Rates_Restatement!$C$4:$Z$4)-IF(Init!$R$12="No", 'Staging Table'!DU44*Rates_previous!$H$34, 0))</f>
        <v>-663916.56717588601</v>
      </c>
      <c r="G42" s="116">
        <f>IF(Init!$R$9="Yes",SUMPRODUCT('Staging Table'!AJ44:AU44,LS_Demand_Rates_Restatement!$C$10:$N$10),SUMPRODUCT(LS_Demand_Rates_Restatement!$C$10:$N$10,'Staging Table'!CW44:DH44))*1000</f>
        <v>0</v>
      </c>
      <c r="H42" s="117">
        <f>IF(Init!$R$9="Yes",'Staging Table'!BQ44,'Staging Table'!ED44)*IF(Init!$R$3=2022,Rates_previous!$C$88,Rates_previous!$D$88)</f>
        <v>0</v>
      </c>
      <c r="I42" s="115">
        <v>38</v>
      </c>
      <c r="J42" s="117">
        <f>IF(Init!$R$9="Yes",IF('Staging Table'!D44=1,'Staging Table'!H44*-1*'Staging Table'!BS44/'Staging Table'!BR44,'Staging Table'!H44*SUM(D42:I42)*(-1)),IF('Staging Table'!D44=1,'Staging Table'!BU44*-1*'Staging Table'!BS44/'Staging Table'!BR44,'Staging Table'!BU44*SUM(D42:I42)*(-1)))</f>
        <v>0</v>
      </c>
      <c r="K42" s="115">
        <f>IF(Init!$R$9="Yes",'Staging Table'!K44,'Staging Table'!BX44)*(-1)*Rates_previous!$H$32</f>
        <v>0</v>
      </c>
      <c r="L42" s="115">
        <f>IF('Staging Table'!C44=1,"",SUM(D42:K42))</f>
        <v>9741720.7661841158</v>
      </c>
      <c r="M42" s="115">
        <f>IF('Staging Table'!C44=1,"",IF(Init!$R$9="Yes",(RT1SC!$C$3*'Staging Table'!F44*'Staging Table'!$F$2)+SUM('Staging Table'!L44:AI44)-IF(Init!$R$12="No",'Staging Table'!BH44, 0),X42))</f>
        <v>308528.23548650905</v>
      </c>
      <c r="N42" s="69">
        <f>IF('Staging Table'!C44=1,"",IF(M42=0, 0, L42/M42))</f>
        <v>31.574811137861285</v>
      </c>
      <c r="O42" s="115">
        <f>'Staging Table'!BS44*Rates_current!$F$77*100*12</f>
        <v>12769435.520399999</v>
      </c>
      <c r="P42" s="115">
        <f>'Staging Table'!BS44*Rates_current!$F$78*100*12</f>
        <v>-2045321.3531999998</v>
      </c>
      <c r="Q42" s="116">
        <f>SUMPRODUCT('Staging Table'!BY44:CV44, LS_Demand_Rates_Restatement!$C$5:$Z$5)-IF(Init!$R$12="No",('Staging Table'!DU44*Rates_current!$I$46), 0)</f>
        <v>339068.76618983119</v>
      </c>
      <c r="R42" s="116">
        <f>SUMPRODUCT('Staging Table'!CW44:DH44, LS_Demand_Rates_Restatement!$C$11:$N$11)*1000</f>
        <v>0</v>
      </c>
      <c r="S42" s="117">
        <f>'Staging Table'!ED44*IF(Init!$R$15="Yes",IF(Init!$R$6=2024,Rates_current!$C$89,Rates_current!$D$89),Rates_current!$I$45)</f>
        <v>0</v>
      </c>
      <c r="T42" s="117">
        <v>38</v>
      </c>
      <c r="U42" s="117">
        <f>IF('Staging Table'!D44=1, 'Staging Table'!BU44*-1*'Staging Table'!BS44/'Staging Table'!BR44,SUM(O42:T42)*'Staging Table'!BU44*-1)</f>
        <v>0</v>
      </c>
      <c r="V42" s="115">
        <f>'Staging Table'!BX44*Rates_current!$I$44*-1</f>
        <v>0</v>
      </c>
      <c r="W42" s="115">
        <f>IF('Staging Table'!C44=1,"", SUM(O42:V42))</f>
        <v>11063220.933389829</v>
      </c>
      <c r="X42" s="115">
        <f>IF('Staging Table'!C44=1,"", (RT1SC!$C$4*'Staging Table'!BS44*'Staging Table'!$BS$2)+SUM('Staging Table'!BY44:CV44)-IF(Init!$R$12="No",'Staging Table'!DU44, 0))</f>
        <v>308132.65465163591</v>
      </c>
      <c r="Y42" s="69">
        <f>IF('Staging Table'!C44=1,"",IF(X42=0, 0, W42/X42))</f>
        <v>35.904084706301326</v>
      </c>
      <c r="Z42" s="64">
        <f ca="1">IF('Staging Table'!C44=1,"",(Y42/N42-1)+(RAND()/100000000000000))</f>
        <v>0.13711162196783749</v>
      </c>
      <c r="AA42" s="45">
        <f t="shared" ca="1" si="4"/>
        <v>7</v>
      </c>
      <c r="AB42" s="76"/>
      <c r="AC42" s="264"/>
      <c r="AD42" s="119"/>
      <c r="AE42" s="119"/>
      <c r="AG42" s="119"/>
      <c r="AH42" s="119"/>
    </row>
    <row r="43" spans="2:34">
      <c r="B43" s="2">
        <v>10106</v>
      </c>
      <c r="C43" s="3" t="s">
        <v>47</v>
      </c>
      <c r="D43" s="115">
        <f>IF(Init!$R$9="Yes",'Staging Table'!F45,'Staging Table'!BS45)*Rates_previous!$E$76*100*12</f>
        <v>8611854.3863999993</v>
      </c>
      <c r="E43" s="115">
        <f>IF(Init!$R$9="Yes",'Staging Table'!F45,'Staging Table'!BS45)*Rates_previous!$E$77*100*12</f>
        <v>-1758187.3332000002</v>
      </c>
      <c r="F43" s="116">
        <f>IF(Init!$R$9="Yes",SUMPRODUCT('Staging Table'!L45:AI45,LS_Demand_Rates_Restatement!$C$4:$Z$4)-IF(Init!$R$12="No",('Staging Table'!BH45*Rates_previous!$H$34), 0),SUMPRODUCT('Staging Table'!BY45:CV45,LS_Demand_Rates_Restatement!$C$4:$Z$4)-IF(Init!$R$12="No", 'Staging Table'!DU45*Rates_previous!$H$34, 0))</f>
        <v>0</v>
      </c>
      <c r="G43" s="116">
        <f>IF(Init!$R$9="Yes",SUMPRODUCT('Staging Table'!AJ45:AU45,LS_Demand_Rates_Restatement!$C$10:$N$10),SUMPRODUCT(LS_Demand_Rates_Restatement!$C$10:$N$10,'Staging Table'!CW45:DH45))*1000</f>
        <v>0</v>
      </c>
      <c r="H43" s="117">
        <f>IF(Init!$R$9="Yes",'Staging Table'!BQ45,'Staging Table'!ED45)*IF(Init!$R$3=2022,Rates_previous!$C$88,Rates_previous!$D$88)</f>
        <v>0</v>
      </c>
      <c r="I43" s="115">
        <v>39</v>
      </c>
      <c r="J43" s="117">
        <f>IF(Init!$R$9="Yes",IF('Staging Table'!D45=1,'Staging Table'!H45*-1*'Staging Table'!BS45/'Staging Table'!BR45,'Staging Table'!H45*SUM(D43:I43)*(-1)),IF('Staging Table'!D45=1,'Staging Table'!BU45*-1*'Staging Table'!BS45/'Staging Table'!BR45,'Staging Table'!BU45*SUM(D43:I43)*(-1)))</f>
        <v>-484802.33236149413</v>
      </c>
      <c r="K43" s="115">
        <f>IF(Init!$R$9="Yes",'Staging Table'!K45,'Staging Table'!BX45)*(-1)*Rates_previous!$H$32</f>
        <v>0</v>
      </c>
      <c r="L43" s="115" t="str">
        <f>IF('Staging Table'!C45=1,"",SUM(D43:K43))</f>
        <v/>
      </c>
      <c r="M43" s="115" t="str">
        <f>IF('Staging Table'!C45=1,"",IF(Init!$R$9="Yes",(RT1SC!$C$3*'Staging Table'!F45*'Staging Table'!$F$2)+SUM('Staging Table'!L45:AI45)-IF(Init!$R$12="No",'Staging Table'!BH45, 0),X43))</f>
        <v/>
      </c>
      <c r="N43" s="69" t="str">
        <f>IF('Staging Table'!C45=1,"",IF(M43=0, 0, L43/M43))</f>
        <v/>
      </c>
      <c r="O43" s="115">
        <f>'Staging Table'!BS45*Rates_current!$F$77*100*12</f>
        <v>8748459.2520000003</v>
      </c>
      <c r="P43" s="115">
        <f>'Staging Table'!BS45*Rates_current!$F$78*100*12</f>
        <v>-1401268.7159999998</v>
      </c>
      <c r="Q43" s="116">
        <f>SUMPRODUCT('Staging Table'!BY45:CV45, LS_Demand_Rates_Restatement!$C$5:$Z$5)-IF(Init!$R$12="No",('Staging Table'!DU45*Rates_current!$I$46), 0)</f>
        <v>0</v>
      </c>
      <c r="R43" s="116">
        <f>SUMPRODUCT('Staging Table'!CW45:DH45, LS_Demand_Rates_Restatement!$C$11:$N$11)*1000</f>
        <v>0</v>
      </c>
      <c r="S43" s="117">
        <f>'Staging Table'!ED45*IF(Init!$R$15="Yes",IF(Init!$R$6=2024,Rates_current!$C$89,Rates_current!$D$89),Rates_current!$I$45)</f>
        <v>0</v>
      </c>
      <c r="T43" s="117">
        <v>39</v>
      </c>
      <c r="U43" s="117">
        <f>IF('Staging Table'!D45=1, 'Staging Table'!BU45*-1*'Staging Table'!BS45/'Staging Table'!BR45,SUM(O43:T43)*'Staging Table'!BU45*-1)</f>
        <v>-587096.13761912065</v>
      </c>
      <c r="V43" s="115">
        <f>'Staging Table'!BX45*Rates_current!$I$44*-1</f>
        <v>0</v>
      </c>
      <c r="W43" s="115" t="str">
        <f>IF('Staging Table'!C45=1,"", SUM(O43:V43))</f>
        <v/>
      </c>
      <c r="X43" s="115" t="str">
        <f>IF('Staging Table'!C45=1,"", (RT1SC!$C$4*'Staging Table'!BS45*'Staging Table'!$BS$2)+SUM('Staging Table'!BY45:CV45)-IF(Init!$R$12="No",'Staging Table'!DU45, 0))</f>
        <v/>
      </c>
      <c r="Y43" s="69" t="str">
        <f>IF('Staging Table'!C45=1,"",IF(X43=0, 0, W43/X43))</f>
        <v/>
      </c>
      <c r="Z43" s="64" t="str">
        <f ca="1">IF('Staging Table'!C45=1,"",(Y43/N43-1)+(RAND()/100000000000000))</f>
        <v/>
      </c>
      <c r="AA43" s="45" t="str">
        <f t="shared" ca="1" si="4"/>
        <v/>
      </c>
      <c r="AB43" s="76"/>
      <c r="AC43" s="264"/>
      <c r="AD43" s="119"/>
      <c r="AE43" s="119"/>
      <c r="AG43" s="119"/>
      <c r="AH43" s="119"/>
    </row>
    <row r="44" spans="2:34">
      <c r="B44" s="2">
        <v>10109</v>
      </c>
      <c r="C44" s="3" t="s">
        <v>48</v>
      </c>
      <c r="D44" s="115">
        <f>IF(Init!$R$9="Yes",'Staging Table'!F46,'Staging Table'!BS46)*Rates_previous!$E$76*100*12</f>
        <v>4370198.4813599996</v>
      </c>
      <c r="E44" s="115">
        <f>IF(Init!$R$9="Yes",'Staging Table'!F46,'Staging Table'!BS46)*Rates_previous!$E$77*100*12</f>
        <v>-892215.22668000008</v>
      </c>
      <c r="F44" s="116">
        <f>IF(Init!$R$9="Yes",SUMPRODUCT('Staging Table'!L46:AI46,LS_Demand_Rates_Restatement!$C$4:$Z$4)-IF(Init!$R$12="No",('Staging Table'!BH46*Rates_previous!$H$34), 0),SUMPRODUCT('Staging Table'!BY46:CV46,LS_Demand_Rates_Restatement!$C$4:$Z$4)-IF(Init!$R$12="No", 'Staging Table'!DU46*Rates_previous!$H$34, 0))</f>
        <v>-182652.76599777956</v>
      </c>
      <c r="G44" s="116">
        <f>IF(Init!$R$9="Yes",SUMPRODUCT('Staging Table'!AJ46:AU46,LS_Demand_Rates_Restatement!$C$10:$N$10),SUMPRODUCT(LS_Demand_Rates_Restatement!$C$10:$N$10,'Staging Table'!CW46:DH46))*1000</f>
        <v>522800.11697259615</v>
      </c>
      <c r="H44" s="117">
        <f>IF(Init!$R$9="Yes",'Staging Table'!BQ46,'Staging Table'!ED46)*IF(Init!$R$3=2022,Rates_previous!$C$88,Rates_previous!$D$88)</f>
        <v>0</v>
      </c>
      <c r="I44" s="115">
        <v>40</v>
      </c>
      <c r="J44" s="117">
        <f>IF(Init!$R$9="Yes",IF('Staging Table'!D46=1,'Staging Table'!H46*-1*'Staging Table'!BS46/'Staging Table'!BR46,'Staging Table'!H46*SUM(D44:I44)*(-1)),IF('Staging Table'!D46=1,'Staging Table'!BU46*-1*'Staging Table'!BS46/'Staging Table'!BR46,'Staging Table'!BU46*SUM(D44:I44)*(-1)))</f>
        <v>-327175.44095559069</v>
      </c>
      <c r="K44" s="115">
        <f>IF(Init!$R$9="Yes",'Staging Table'!K46,'Staging Table'!BX46)*(-1)*Rates_previous!$H$32</f>
        <v>-244130.87595000005</v>
      </c>
      <c r="L44" s="115">
        <f>IF('Staging Table'!C46=1,"",SUM(D44:K44))</f>
        <v>3246864.2887492254</v>
      </c>
      <c r="M44" s="115">
        <f>IF('Staging Table'!C46=1,"",IF(Init!$R$9="Yes",(RT1SC!$C$3*'Staging Table'!F46*'Staging Table'!$F$2)+SUM('Staging Table'!L46:AI46)-IF(Init!$R$12="No",'Staging Table'!BH46, 0),X44))</f>
        <v>106444.512</v>
      </c>
      <c r="N44" s="69">
        <f>IF('Staging Table'!C46=1,"",IF(M44=0, 0, L44/M44))</f>
        <v>30.502881057402238</v>
      </c>
      <c r="O44" s="115">
        <f>'Staging Table'!BS46*Rates_current!$F$77*100*12</f>
        <v>4439752.4261999996</v>
      </c>
      <c r="P44" s="115">
        <f>'Staging Table'!BS46*Rates_current!$F$78*100*12</f>
        <v>-711129.35459999996</v>
      </c>
      <c r="Q44" s="116">
        <f>SUMPRODUCT('Staging Table'!BY46:CV46, LS_Demand_Rates_Restatement!$C$5:$Z$5)-IF(Init!$R$12="No",('Staging Table'!DU46*Rates_current!$I$46), 0)</f>
        <v>-135973.19323283993</v>
      </c>
      <c r="R44" s="116">
        <f>SUMPRODUCT('Staging Table'!CW46:DH46, LS_Demand_Rates_Restatement!$C$11:$N$11)*1000</f>
        <v>609500.00306534895</v>
      </c>
      <c r="S44" s="117">
        <f>'Staging Table'!ED46*IF(Init!$R$15="Yes",IF(Init!$R$6=2024,Rates_current!$C$89,Rates_current!$D$89),Rates_current!$I$45)</f>
        <v>0</v>
      </c>
      <c r="T44" s="117">
        <v>40</v>
      </c>
      <c r="U44" s="117">
        <f>IF('Staging Table'!D46=1, 'Staging Table'!BU46*-1*'Staging Table'!BS46/'Staging Table'!BR46,SUM(O44:T44)*'Staging Table'!BU46*-1)</f>
        <v>-685883.03223089362</v>
      </c>
      <c r="V44" s="115">
        <f>'Staging Table'!BX46*Rates_current!$I$44*-1</f>
        <v>-252360.00660000005</v>
      </c>
      <c r="W44" s="115">
        <f>IF('Staging Table'!C46=1,"", SUM(O44:V44))</f>
        <v>3263946.8426016145</v>
      </c>
      <c r="X44" s="115">
        <f>IF('Staging Table'!C46=1,"", (RT1SC!$C$4*'Staging Table'!BS46*'Staging Table'!$BS$2)+SUM('Staging Table'!BY46:CV46)-IF(Init!$R$12="No",'Staging Table'!DU46, 0))</f>
        <v>106765.38830237537</v>
      </c>
      <c r="Y44" s="69">
        <f>IF('Staging Table'!C46=1,"",IF(X44=0, 0, W44/X44))</f>
        <v>30.571207528020544</v>
      </c>
      <c r="Z44" s="64">
        <f ca="1">IF('Staging Table'!C46=1,"",(Y44/N44-1)+(RAND()/100000000000000))</f>
        <v>2.2400005589592892E-3</v>
      </c>
      <c r="AA44" s="45">
        <f t="shared" ca="1" si="4"/>
        <v>116</v>
      </c>
      <c r="AB44" s="76"/>
      <c r="AC44" s="264"/>
      <c r="AD44" s="119"/>
      <c r="AE44" s="119"/>
      <c r="AG44" s="119"/>
      <c r="AH44" s="119"/>
    </row>
    <row r="45" spans="2:34">
      <c r="B45" s="2">
        <v>10111</v>
      </c>
      <c r="C45" s="3" t="s">
        <v>49</v>
      </c>
      <c r="D45" s="115">
        <f>IF(Init!$R$9="Yes",'Staging Table'!F47,'Staging Table'!BS47)*Rates_previous!$E$76*100*12</f>
        <v>1131224.4943200001</v>
      </c>
      <c r="E45" s="115">
        <f>IF(Init!$R$9="Yes",'Staging Table'!F47,'Staging Table'!BS47)*Rates_previous!$E$77*100*12</f>
        <v>-230949.62916000001</v>
      </c>
      <c r="F45" s="116">
        <f>IF(Init!$R$9="Yes",SUMPRODUCT('Staging Table'!L47:AI47,LS_Demand_Rates_Restatement!$C$4:$Z$4)-IF(Init!$R$12="No",('Staging Table'!BH47*Rates_previous!$H$34), 0),SUMPRODUCT('Staging Table'!BY47:CV47,LS_Demand_Rates_Restatement!$C$4:$Z$4)-IF(Init!$R$12="No", 'Staging Table'!DU47*Rates_previous!$H$34, 0))</f>
        <v>35732.081428630627</v>
      </c>
      <c r="G45" s="116">
        <f>IF(Init!$R$9="Yes",SUMPRODUCT('Staging Table'!AJ47:AU47,LS_Demand_Rates_Restatement!$C$10:$N$10),SUMPRODUCT(LS_Demand_Rates_Restatement!$C$10:$N$10,'Staging Table'!CW47:DH47))*1000</f>
        <v>81413.357709829055</v>
      </c>
      <c r="H45" s="117">
        <f>IF(Init!$R$9="Yes",'Staging Table'!BQ47,'Staging Table'!ED47)*IF(Init!$R$3=2022,Rates_previous!$C$88,Rates_previous!$D$88)</f>
        <v>0</v>
      </c>
      <c r="I45" s="115">
        <v>41</v>
      </c>
      <c r="J45" s="117">
        <f>IF(Init!$R$9="Yes",IF('Staging Table'!D47=1,'Staging Table'!H47*-1*'Staging Table'!BS47/'Staging Table'!BR47,'Staging Table'!H47*SUM(D45:I45)*(-1)),IF('Staging Table'!D47=1,'Staging Table'!BU47*-1*'Staging Table'!BS47/'Staging Table'!BR47,'Staging Table'!BU47*SUM(D45:I45)*(-1)))</f>
        <v>-71222.29130089219</v>
      </c>
      <c r="K45" s="115">
        <f>IF(Init!$R$9="Yes",'Staging Table'!K47,'Staging Table'!BX47)*(-1)*Rates_previous!$H$32</f>
        <v>-60483.898929999996</v>
      </c>
      <c r="L45" s="115">
        <f>IF('Staging Table'!C47=1,"",SUM(D45:K45))</f>
        <v>885755.11406756763</v>
      </c>
      <c r="M45" s="115">
        <f>IF('Staging Table'!C47=1,"",IF(Init!$R$9="Yes",(RT1SC!$C$3*'Staging Table'!F47*'Staging Table'!$F$2)+SUM('Staging Table'!L47:AI47)-IF(Init!$R$12="No",'Staging Table'!BH47, 0),X45))</f>
        <v>28176.786129146039</v>
      </c>
      <c r="N45" s="69">
        <f>IF('Staging Table'!C47=1,"",IF(M45=0, 0, L45/M45))</f>
        <v>31.435633219763961</v>
      </c>
      <c r="O45" s="115">
        <f>'Staging Table'!BS47*Rates_current!$F$77*100*12</f>
        <v>1171899.885</v>
      </c>
      <c r="P45" s="115">
        <f>'Staging Table'!BS47*Rates_current!$F$78*100*12</f>
        <v>-187706.95500000002</v>
      </c>
      <c r="Q45" s="116">
        <f>SUMPRODUCT('Staging Table'!BY47:CV47, LS_Demand_Rates_Restatement!$C$5:$Z$5)-IF(Init!$R$12="No",('Staging Table'!DU47*Rates_current!$I$46), 0)</f>
        <v>41711.705456746931</v>
      </c>
      <c r="R45" s="116">
        <f>SUMPRODUCT('Staging Table'!CW47:DH47, LS_Demand_Rates_Restatement!$C$11:$N$11)*1000</f>
        <v>91318.616042984329</v>
      </c>
      <c r="S45" s="117">
        <f>'Staging Table'!ED47*IF(Init!$R$15="Yes",IF(Init!$R$6=2024,Rates_current!$C$89,Rates_current!$D$89),Rates_current!$I$45)</f>
        <v>16.033465423524177</v>
      </c>
      <c r="T45" s="117">
        <v>41</v>
      </c>
      <c r="U45" s="117">
        <f>IF('Staging Table'!D47=1, 'Staging Table'!BU47*-1*'Staging Table'!BS47/'Staging Table'!BR47,SUM(O45:T45)*'Staging Table'!BU47*-1)</f>
        <v>-78209.619947560859</v>
      </c>
      <c r="V45" s="115">
        <f>'Staging Table'!BX47*Rates_current!$I$44*-1</f>
        <v>-62522.68204</v>
      </c>
      <c r="W45" s="115">
        <f>IF('Staging Table'!C47=1,"", SUM(O45:V45))</f>
        <v>976547.98297759413</v>
      </c>
      <c r="X45" s="115">
        <f>IF('Staging Table'!C47=1,"", (RT1SC!$C$4*'Staging Table'!BS47*'Staging Table'!$BS$2)+SUM('Staging Table'!BY47:CV47)-IF(Init!$R$12="No",'Staging Table'!DU47, 0))</f>
        <v>28176.78766355064</v>
      </c>
      <c r="Y45" s="69">
        <f>IF('Staging Table'!C47=1,"",IF(X45=0, 0, W45/X45))</f>
        <v>34.657889133361074</v>
      </c>
      <c r="Z45" s="64">
        <f ca="1">IF('Staging Table'!C47=1,"",(Y45/N45-1)+(RAND()/100000000000000))</f>
        <v>0.10250329271469902</v>
      </c>
      <c r="AA45" s="45">
        <f t="shared" ca="1" si="4"/>
        <v>37</v>
      </c>
      <c r="AB45" s="76"/>
      <c r="AC45" s="264"/>
      <c r="AD45" s="119"/>
      <c r="AE45" s="119"/>
      <c r="AG45" s="119"/>
      <c r="AH45" s="119"/>
    </row>
    <row r="46" spans="2:34">
      <c r="B46" s="2">
        <v>10112</v>
      </c>
      <c r="C46" s="3" t="s">
        <v>50</v>
      </c>
      <c r="D46" s="115">
        <f>IF(Init!$R$9="Yes",'Staging Table'!F48,'Staging Table'!BS48)*Rates_previous!$E$76*100*12</f>
        <v>21007494.028079998</v>
      </c>
      <c r="E46" s="115">
        <f>IF(Init!$R$9="Yes",'Staging Table'!F48,'Staging Table'!BS48)*Rates_previous!$E$77*100*12</f>
        <v>-4288868.3720399998</v>
      </c>
      <c r="F46" s="116">
        <f>IF(Init!$R$9="Yes",SUMPRODUCT('Staging Table'!L48:AI48,LS_Demand_Rates_Restatement!$C$4:$Z$4)-IF(Init!$R$12="No",('Staging Table'!BH48*Rates_previous!$H$34), 0),SUMPRODUCT('Staging Table'!BY48:CV48,LS_Demand_Rates_Restatement!$C$4:$Z$4)-IF(Init!$R$12="No", 'Staging Table'!DU48*Rates_previous!$H$34, 0))</f>
        <v>77190.122134790523</v>
      </c>
      <c r="G46" s="116">
        <f>IF(Init!$R$9="Yes",SUMPRODUCT('Staging Table'!AJ48:AU48,LS_Demand_Rates_Restatement!$C$10:$N$10),SUMPRODUCT(LS_Demand_Rates_Restatement!$C$10:$N$10,'Staging Table'!CW48:DH48))*1000</f>
        <v>1616899.5810508009</v>
      </c>
      <c r="H46" s="117">
        <f>IF(Init!$R$9="Yes",'Staging Table'!BQ48,'Staging Table'!ED48)*IF(Init!$R$3=2022,Rates_previous!$C$88,Rates_previous!$D$88)</f>
        <v>0</v>
      </c>
      <c r="I46" s="115">
        <v>42</v>
      </c>
      <c r="J46" s="117">
        <f>IF(Init!$R$9="Yes",IF('Staging Table'!D48=1,'Staging Table'!H48*-1*'Staging Table'!BS48/'Staging Table'!BR48,'Staging Table'!H48*SUM(D46:I46)*(-1)),IF('Staging Table'!D48=1,'Staging Table'!BU48*-1*'Staging Table'!BS48/'Staging Table'!BR48,'Staging Table'!BU48*SUM(D46:I46)*(-1)))</f>
        <v>0</v>
      </c>
      <c r="K46" s="115">
        <f>IF(Init!$R$9="Yes",'Staging Table'!K48,'Staging Table'!BX48)*(-1)*Rates_previous!$H$32</f>
        <v>0</v>
      </c>
      <c r="L46" s="115">
        <f>IF('Staging Table'!C48=1,"",SUM(D46:K46))</f>
        <v>18412757.35922559</v>
      </c>
      <c r="M46" s="115">
        <f>IF('Staging Table'!C48=1,"",IF(Init!$R$9="Yes",(RT1SC!$C$3*'Staging Table'!F48*'Staging Table'!$F$2)+SUM('Staging Table'!L48:AI48)-IF(Init!$R$12="No",'Staging Table'!BH48, 0),X46))</f>
        <v>511668</v>
      </c>
      <c r="N46" s="69">
        <f>IF('Staging Table'!C48=1,"",IF(M46=0, 0, L46/M46))</f>
        <v>35.985751227799256</v>
      </c>
      <c r="O46" s="115">
        <f>'Staging Table'!BS48*Rates_current!$F$77*100*12</f>
        <v>21341527.077</v>
      </c>
      <c r="P46" s="115">
        <f>'Staging Table'!BS48*Rates_current!$F$78*100*12</f>
        <v>-3418340.6909999996</v>
      </c>
      <c r="Q46" s="116">
        <f>SUMPRODUCT('Staging Table'!BY48:CV48, LS_Demand_Rates_Restatement!$C$5:$Z$5)-IF(Init!$R$12="No",('Staging Table'!DU48*Rates_current!$I$46), 0)</f>
        <v>526252.01015886932</v>
      </c>
      <c r="R46" s="116">
        <f>SUMPRODUCT('Staging Table'!CW48:DH48, LS_Demand_Rates_Restatement!$C$11:$N$11)*1000</f>
        <v>1767215.6802262729</v>
      </c>
      <c r="S46" s="117">
        <f>'Staging Table'!ED48*IF(Init!$R$15="Yes",IF(Init!$R$6=2024,Rates_current!$C$89,Rates_current!$D$89),Rates_current!$I$45)</f>
        <v>0</v>
      </c>
      <c r="T46" s="117">
        <v>42</v>
      </c>
      <c r="U46" s="117">
        <f>IF('Staging Table'!D48=1, 'Staging Table'!BU48*-1*'Staging Table'!BS48/'Staging Table'!BR48,SUM(O46:T46)*'Staging Table'!BU48*-1)</f>
        <v>0</v>
      </c>
      <c r="V46" s="115">
        <f>'Staging Table'!BX48*Rates_current!$I$44*-1</f>
        <v>0</v>
      </c>
      <c r="W46" s="115">
        <f>IF('Staging Table'!C48=1,"", SUM(O46:V46))</f>
        <v>20216696.076385144</v>
      </c>
      <c r="X46" s="115">
        <f>IF('Staging Table'!C48=1,"", (RT1SC!$C$4*'Staging Table'!BS48*'Staging Table'!$BS$2)+SUM('Staging Table'!BY48:CV48)-IF(Init!$R$12="No",'Staging Table'!DU48, 0))</f>
        <v>513211.42429500347</v>
      </c>
      <c r="Y46" s="69">
        <f>IF('Staging Table'!C48=1,"",IF(X46=0, 0, W46/X46))</f>
        <v>39.392529315099992</v>
      </c>
      <c r="Z46" s="64">
        <f ca="1">IF('Staging Table'!C48=1,"",(Y46/N46-1)+(RAND()/100000000000000))</f>
        <v>9.4670195037337868E-2</v>
      </c>
      <c r="AA46" s="45">
        <f t="shared" ca="1" si="4"/>
        <v>70</v>
      </c>
      <c r="AB46" s="76"/>
      <c r="AC46" s="264"/>
      <c r="AD46" s="119"/>
      <c r="AE46" s="119"/>
      <c r="AG46" s="119"/>
      <c r="AH46" s="119"/>
    </row>
    <row r="47" spans="2:34">
      <c r="B47" s="2">
        <v>10113</v>
      </c>
      <c r="C47" s="3" t="s">
        <v>51</v>
      </c>
      <c r="D47" s="115">
        <f>IF(Init!$R$9="Yes",'Staging Table'!F49,'Staging Table'!BS49)*Rates_previous!$E$76*100*12</f>
        <v>13593626.559360001</v>
      </c>
      <c r="E47" s="115">
        <f>IF(Init!$R$9="Yes",'Staging Table'!F49,'Staging Table'!BS49)*Rates_previous!$E$77*100*12</f>
        <v>-2775260.81568</v>
      </c>
      <c r="F47" s="116">
        <f>IF(Init!$R$9="Yes",SUMPRODUCT('Staging Table'!L49:AI49,LS_Demand_Rates_Restatement!$C$4:$Z$4)-IF(Init!$R$12="No",('Staging Table'!BH49*Rates_previous!$H$34), 0),SUMPRODUCT('Staging Table'!BY49:CV49,LS_Demand_Rates_Restatement!$C$4:$Z$4)-IF(Init!$R$12="No", 'Staging Table'!DU49*Rates_previous!$H$34, 0))</f>
        <v>-354898.23900974629</v>
      </c>
      <c r="G47" s="116">
        <f>IF(Init!$R$9="Yes",SUMPRODUCT('Staging Table'!AJ49:AU49,LS_Demand_Rates_Restatement!$C$10:$N$10),SUMPRODUCT(LS_Demand_Rates_Restatement!$C$10:$N$10,'Staging Table'!CW49:DH49))*1000</f>
        <v>675212.12239652791</v>
      </c>
      <c r="H47" s="117">
        <f>IF(Init!$R$9="Yes",'Staging Table'!BQ49,'Staging Table'!ED49)*IF(Init!$R$3=2022,Rates_previous!$C$88,Rates_previous!$D$88)</f>
        <v>0</v>
      </c>
      <c r="I47" s="115">
        <v>43</v>
      </c>
      <c r="J47" s="117">
        <f>IF(Init!$R$9="Yes",IF('Staging Table'!D49=1,'Staging Table'!H49*-1*'Staging Table'!BS49/'Staging Table'!BR49,'Staging Table'!H49*SUM(D47:I47)*(-1)),IF('Staging Table'!D49=1,'Staging Table'!BU49*-1*'Staging Table'!BS49/'Staging Table'!BR49,'Staging Table'!BU49*SUM(D47:I47)*(-1)))</f>
        <v>-900391.65322960552</v>
      </c>
      <c r="K47" s="115">
        <f>IF(Init!$R$9="Yes",'Staging Table'!K49,'Staging Table'!BX49)*(-1)*Rates_previous!$H$32</f>
        <v>-1557969.48034</v>
      </c>
      <c r="L47" s="115">
        <f>IF('Staging Table'!C49=1,"",SUM(D47:K47))</f>
        <v>8680361.493497178</v>
      </c>
      <c r="M47" s="115">
        <f>IF('Staging Table'!C49=1,"",IF(Init!$R$9="Yes",(RT1SC!$C$3*'Staging Table'!F49*'Staging Table'!$F$2)+SUM('Staging Table'!L49:AI49)-IF(Init!$R$12="No",'Staging Table'!BH49, 0),X47))</f>
        <v>331095.31199999998</v>
      </c>
      <c r="N47" s="69">
        <f>IF('Staging Table'!C49=1,"",IF(M47=0, 0, L47/M47))</f>
        <v>26.217107820291876</v>
      </c>
      <c r="O47" s="115">
        <f>'Staging Table'!BS49*Rates_current!$F$77*100*12</f>
        <v>13809771.838200001</v>
      </c>
      <c r="P47" s="115">
        <f>'Staging Table'!BS49*Rates_current!$F$78*100*12</f>
        <v>-2211955.3506</v>
      </c>
      <c r="Q47" s="116">
        <f>SUMPRODUCT('Staging Table'!BY49:CV49, LS_Demand_Rates_Restatement!$C$5:$Z$5)-IF(Init!$R$12="No",('Staging Table'!DU49*Rates_current!$I$46), 0)</f>
        <v>-79454.198032893328</v>
      </c>
      <c r="R47" s="116">
        <f>SUMPRODUCT('Staging Table'!CW49:DH49, LS_Demand_Rates_Restatement!$C$11:$N$11)*1000</f>
        <v>735105.15570154926</v>
      </c>
      <c r="S47" s="117">
        <f>'Staging Table'!ED49*IF(Init!$R$15="Yes",IF(Init!$R$6=2024,Rates_current!$C$89,Rates_current!$D$89),Rates_current!$I$45)</f>
        <v>0</v>
      </c>
      <c r="T47" s="117">
        <v>43</v>
      </c>
      <c r="U47" s="117">
        <f>IF('Staging Table'!D49=1, 'Staging Table'!BU49*-1*'Staging Table'!BS49/'Staging Table'!BR49,SUM(O47:T47)*'Staging Table'!BU49*-1)</f>
        <v>-1006239.1427662967</v>
      </c>
      <c r="V47" s="115">
        <f>'Staging Table'!BX49*Rates_current!$I$44*-1</f>
        <v>-1610485.3055200002</v>
      </c>
      <c r="W47" s="115">
        <f>IF('Staging Table'!C49=1,"", SUM(O47:V47))</f>
        <v>9636785.9969823603</v>
      </c>
      <c r="X47" s="115">
        <f>IF('Staging Table'!C49=1,"", (RT1SC!$C$4*'Staging Table'!BS49*'Staging Table'!$BS$2)+SUM('Staging Table'!BY49:CV49)-IF(Init!$R$12="No",'Staging Table'!DU49, 0))</f>
        <v>332089.34160342778</v>
      </c>
      <c r="Y47" s="69">
        <f>IF('Staging Table'!C49=1,"",IF(X47=0, 0, W47/X47))</f>
        <v>29.01865489103939</v>
      </c>
      <c r="Z47" s="64">
        <f ca="1">IF('Staging Table'!C49=1,"",(Y47/N47-1)+(RAND()/100000000000000))</f>
        <v>0.10685950143514218</v>
      </c>
      <c r="AA47" s="45">
        <f t="shared" ca="1" si="4"/>
        <v>27</v>
      </c>
      <c r="AB47" s="76"/>
      <c r="AC47" s="264"/>
      <c r="AD47" s="119"/>
      <c r="AE47" s="119"/>
      <c r="AG47" s="119"/>
      <c r="AH47" s="119"/>
    </row>
    <row r="48" spans="2:34">
      <c r="B48" s="2">
        <v>10116</v>
      </c>
      <c r="C48" s="3" t="s">
        <v>52</v>
      </c>
      <c r="D48" s="115">
        <f>IF(Init!$R$9="Yes",'Staging Table'!F50,'Staging Table'!BS50)*Rates_previous!$E$76*100*12</f>
        <v>82207.46160000001</v>
      </c>
      <c r="E48" s="115">
        <f>IF(Init!$R$9="Yes",'Staging Table'!F50,'Staging Table'!BS50)*Rates_previous!$E$77*100*12</f>
        <v>-16783.390800000001</v>
      </c>
      <c r="F48" s="116">
        <f>IF(Init!$R$9="Yes",SUMPRODUCT('Staging Table'!L50:AI50,LS_Demand_Rates_Restatement!$C$4:$Z$4)-IF(Init!$R$12="No",('Staging Table'!BH50*Rates_previous!$H$34), 0),SUMPRODUCT('Staging Table'!BY50:CV50,LS_Demand_Rates_Restatement!$C$4:$Z$4)-IF(Init!$R$12="No", 'Staging Table'!DU50*Rates_previous!$H$34, 0))</f>
        <v>-2380.8287457774404</v>
      </c>
      <c r="G48" s="116">
        <f>IF(Init!$R$9="Yes",SUMPRODUCT('Staging Table'!AJ50:AU50,LS_Demand_Rates_Restatement!$C$10:$N$10),SUMPRODUCT(LS_Demand_Rates_Restatement!$C$10:$N$10,'Staging Table'!CW50:DH50))*1000</f>
        <v>48508.045390625004</v>
      </c>
      <c r="H48" s="117">
        <f>IF(Init!$R$9="Yes",'Staging Table'!BQ50,'Staging Table'!ED50)*IF(Init!$R$3=2022,Rates_previous!$C$88,Rates_previous!$D$88)</f>
        <v>0</v>
      </c>
      <c r="I48" s="115">
        <v>44</v>
      </c>
      <c r="J48" s="117">
        <f>IF(Init!$R$9="Yes",IF('Staging Table'!D50=1,'Staging Table'!H50*-1*'Staging Table'!BS50/'Staging Table'!BR50,'Staging Table'!H50*SUM(D48:I48)*(-1)),IF('Staging Table'!D50=1,'Staging Table'!BU50*-1*'Staging Table'!BS50/'Staging Table'!BR50,'Staging Table'!BU50*SUM(D48:I48)*(-1)))</f>
        <v>0</v>
      </c>
      <c r="K48" s="115">
        <f>IF(Init!$R$9="Yes",'Staging Table'!K50,'Staging Table'!BX50)*(-1)*Rates_previous!$H$32</f>
        <v>0</v>
      </c>
      <c r="L48" s="115">
        <f>IF('Staging Table'!C50=1,"",SUM(D48:K48))</f>
        <v>111595.28744484758</v>
      </c>
      <c r="M48" s="115">
        <f>IF('Staging Table'!C50=1,"",IF(Init!$R$9="Yes",(RT1SC!$C$3*'Staging Table'!F50*'Staging Table'!$F$2)+SUM('Staging Table'!L50:AI50)-IF(Init!$R$12="No",'Staging Table'!BH50, 0),X48))</f>
        <v>2002.7520000000002</v>
      </c>
      <c r="N48" s="69">
        <f>IF('Staging Table'!C50=1,"",IF(M48=0, 0, L48/M48))</f>
        <v>55.720971665412179</v>
      </c>
      <c r="O48" s="115">
        <f>'Staging Table'!BS50*Rates_current!$F$77*100*12</f>
        <v>83392.654799999989</v>
      </c>
      <c r="P48" s="115">
        <f>'Staging Table'!BS50*Rates_current!$F$78*100*12</f>
        <v>-13357.268399999997</v>
      </c>
      <c r="Q48" s="116">
        <f>SUMPRODUCT('Staging Table'!BY50:CV50, LS_Demand_Rates_Restatement!$C$5:$Z$5)-IF(Init!$R$12="No",('Staging Table'!DU50*Rates_current!$I$46), 0)</f>
        <v>894.83090446251663</v>
      </c>
      <c r="R48" s="116">
        <f>SUMPRODUCT('Staging Table'!CW50:DH50, LS_Demand_Rates_Restatement!$C$11:$N$11)*1000</f>
        <v>54247.317101424516</v>
      </c>
      <c r="S48" s="117">
        <f>'Staging Table'!ED50*IF(Init!$R$15="Yes",IF(Init!$R$6=2024,Rates_current!$C$89,Rates_current!$D$89),Rates_current!$I$45)</f>
        <v>0</v>
      </c>
      <c r="T48" s="117">
        <v>44</v>
      </c>
      <c r="U48" s="117">
        <f>IF('Staging Table'!D50=1, 'Staging Table'!BU50*-1*'Staging Table'!BS50/'Staging Table'!BR50,SUM(O48:T48)*'Staging Table'!BU50*-1)</f>
        <v>0</v>
      </c>
      <c r="V48" s="115">
        <f>'Staging Table'!BX50*Rates_current!$I$44*-1</f>
        <v>0</v>
      </c>
      <c r="W48" s="115">
        <f>IF('Staging Table'!C50=1,"", SUM(O48:V48))</f>
        <v>125221.53440588703</v>
      </c>
      <c r="X48" s="115">
        <f>IF('Staging Table'!C50=1,"", (RT1SC!$C$4*'Staging Table'!BS50*'Staging Table'!$BS$2)+SUM('Staging Table'!BY50:CV50)-IF(Init!$R$12="No",'Staging Table'!DU50, 0))</f>
        <v>2006.0400000000002</v>
      </c>
      <c r="Y48" s="69">
        <f>IF('Staging Table'!C50=1,"",IF(X48=0, 0, W48/X48))</f>
        <v>62.422252001897775</v>
      </c>
      <c r="Z48" s="64">
        <f ca="1">IF('Staging Table'!C50=1,"",(Y48/N48-1)+(RAND()/100000000000000))</f>
        <v>0.1202649583486317</v>
      </c>
      <c r="AA48" s="45">
        <f t="shared" ca="1" si="4"/>
        <v>20</v>
      </c>
      <c r="AB48" s="76"/>
      <c r="AC48" s="264"/>
      <c r="AD48" s="119"/>
      <c r="AE48" s="119"/>
      <c r="AG48" s="119"/>
      <c r="AH48" s="119"/>
    </row>
    <row r="49" spans="2:34">
      <c r="B49" s="2">
        <v>10118</v>
      </c>
      <c r="C49" s="3" t="s">
        <v>53</v>
      </c>
      <c r="D49" s="115">
        <f>IF(Init!$R$9="Yes",'Staging Table'!F51,'Staging Table'!BS51)*Rates_previous!$E$76*100*12</f>
        <v>16472133.282960001</v>
      </c>
      <c r="E49" s="115">
        <f>IF(Init!$R$9="Yes",'Staging Table'!F51,'Staging Table'!BS51)*Rates_previous!$E$77*100*12</f>
        <v>-3362933.7874800004</v>
      </c>
      <c r="F49" s="116">
        <f>IF(Init!$R$9="Yes",SUMPRODUCT('Staging Table'!L51:AI51,LS_Demand_Rates_Restatement!$C$4:$Z$4)-IF(Init!$R$12="No",('Staging Table'!BH51*Rates_previous!$H$34), 0),SUMPRODUCT('Staging Table'!BY51:CV51,LS_Demand_Rates_Restatement!$C$4:$Z$4)-IF(Init!$R$12="No", 'Staging Table'!DU51*Rates_previous!$H$34, 0))</f>
        <v>0</v>
      </c>
      <c r="G49" s="116">
        <f>IF(Init!$R$9="Yes",SUMPRODUCT('Staging Table'!AJ51:AU51,LS_Demand_Rates_Restatement!$C$10:$N$10),SUMPRODUCT(LS_Demand_Rates_Restatement!$C$10:$N$10,'Staging Table'!CW51:DH51))*1000</f>
        <v>0</v>
      </c>
      <c r="H49" s="117">
        <f>IF(Init!$R$9="Yes",'Staging Table'!BQ51,'Staging Table'!ED51)*IF(Init!$R$3=2022,Rates_previous!$C$88,Rates_previous!$D$88)</f>
        <v>0</v>
      </c>
      <c r="I49" s="115">
        <v>45</v>
      </c>
      <c r="J49" s="117">
        <f>IF(Init!$R$9="Yes",IF('Staging Table'!D51=1,'Staging Table'!H51*-1*'Staging Table'!BS51/'Staging Table'!BR51,'Staging Table'!H51*SUM(D49:I49)*(-1)),IF('Staging Table'!D51=1,'Staging Table'!BU51*-1*'Staging Table'!BS51/'Staging Table'!BR51,'Staging Table'!BU51*SUM(D49:I49)*(-1)))</f>
        <v>-918199.62367457512</v>
      </c>
      <c r="K49" s="115">
        <f>IF(Init!$R$9="Yes",'Staging Table'!K51,'Staging Table'!BX51)*(-1)*Rates_previous!$H$32</f>
        <v>0</v>
      </c>
      <c r="L49" s="115" t="str">
        <f>IF('Staging Table'!C51=1,"",SUM(D49:K49))</f>
        <v/>
      </c>
      <c r="M49" s="115" t="str">
        <f>IF('Staging Table'!C51=1,"",IF(Init!$R$9="Yes",(RT1SC!$C$3*'Staging Table'!F51*'Staging Table'!$F$2)+SUM('Staging Table'!L51:AI51)-IF(Init!$R$12="No",'Staging Table'!BH51, 0),X49))</f>
        <v/>
      </c>
      <c r="N49" s="69" t="str">
        <f>IF('Staging Table'!C51=1,"",IF(M49=0, 0, L49/M49))</f>
        <v/>
      </c>
      <c r="O49" s="115">
        <f>'Staging Table'!BS51*Rates_current!$F$77*100*12</f>
        <v>16733694.424199998</v>
      </c>
      <c r="P49" s="115">
        <f>'Staging Table'!BS51*Rates_current!$F$78*100*12</f>
        <v>-2680289.3885999997</v>
      </c>
      <c r="Q49" s="116">
        <f>SUMPRODUCT('Staging Table'!BY51:CV51, LS_Demand_Rates_Restatement!$C$5:$Z$5)-IF(Init!$R$12="No",('Staging Table'!DU51*Rates_current!$I$46), 0)</f>
        <v>0</v>
      </c>
      <c r="R49" s="116">
        <f>SUMPRODUCT('Staging Table'!CW51:DH51, LS_Demand_Rates_Restatement!$C$11:$N$11)*1000</f>
        <v>0</v>
      </c>
      <c r="S49" s="117">
        <f>'Staging Table'!ED51*IF(Init!$R$15="Yes",IF(Init!$R$6=2024,Rates_current!$C$89,Rates_current!$D$89),Rates_current!$I$45)</f>
        <v>0</v>
      </c>
      <c r="T49" s="117">
        <v>45</v>
      </c>
      <c r="U49" s="117">
        <f>IF('Staging Table'!D51=1, 'Staging Table'!BU51*-1*'Staging Table'!BS51/'Staging Table'!BR51,SUM(O49:T49)*'Staging Table'!BU51*-1)</f>
        <v>-983649.72386016347</v>
      </c>
      <c r="V49" s="115">
        <f>'Staging Table'!BX51*Rates_current!$I$44*-1</f>
        <v>0</v>
      </c>
      <c r="W49" s="115" t="str">
        <f>IF('Staging Table'!C51=1,"", SUM(O49:V49))</f>
        <v/>
      </c>
      <c r="X49" s="115" t="str">
        <f>IF('Staging Table'!C51=1,"", (RT1SC!$C$4*'Staging Table'!BS51*'Staging Table'!$BS$2)+SUM('Staging Table'!BY51:CV51)-IF(Init!$R$12="No",'Staging Table'!DU51, 0))</f>
        <v/>
      </c>
      <c r="Y49" s="69" t="str">
        <f>IF('Staging Table'!C51=1,"",IF(X49=0, 0, W49/X49))</f>
        <v/>
      </c>
      <c r="Z49" s="64" t="str">
        <f ca="1">IF('Staging Table'!C51=1,"",(Y49/N49-1)+(RAND()/100000000000000))</f>
        <v/>
      </c>
      <c r="AA49" s="45" t="str">
        <f t="shared" ca="1" si="4"/>
        <v/>
      </c>
      <c r="AB49" s="76"/>
      <c r="AC49" s="264"/>
      <c r="AD49" s="119"/>
      <c r="AE49" s="119"/>
      <c r="AG49" s="119"/>
      <c r="AH49" s="119"/>
    </row>
    <row r="50" spans="2:34">
      <c r="B50" s="2">
        <v>10121</v>
      </c>
      <c r="C50" s="3" t="s">
        <v>54</v>
      </c>
      <c r="D50" s="115">
        <f>IF(Init!$R$9="Yes",'Staging Table'!F52,'Staging Table'!BS52)*Rates_previous!$E$76*100*12</f>
        <v>14243314.619519999</v>
      </c>
      <c r="E50" s="115">
        <f>IF(Init!$R$9="Yes",'Staging Table'!F52,'Staging Table'!BS52)*Rates_previous!$E$77*100*12</f>
        <v>-2907900.4617600003</v>
      </c>
      <c r="F50" s="116">
        <f>IF(Init!$R$9="Yes",SUMPRODUCT('Staging Table'!L52:AI52,LS_Demand_Rates_Restatement!$C$4:$Z$4)-IF(Init!$R$12="No",('Staging Table'!BH52*Rates_previous!$H$34), 0),SUMPRODUCT('Staging Table'!BY52:CV52,LS_Demand_Rates_Restatement!$C$4:$Z$4)-IF(Init!$R$12="No", 'Staging Table'!DU52*Rates_previous!$H$34, 0))</f>
        <v>0</v>
      </c>
      <c r="G50" s="116">
        <f>IF(Init!$R$9="Yes",SUMPRODUCT('Staging Table'!AJ52:AU52,LS_Demand_Rates_Restatement!$C$10:$N$10),SUMPRODUCT(LS_Demand_Rates_Restatement!$C$10:$N$10,'Staging Table'!CW52:DH52))*1000</f>
        <v>0</v>
      </c>
      <c r="H50" s="117">
        <f>IF(Init!$R$9="Yes",'Staging Table'!BQ52,'Staging Table'!ED52)*IF(Init!$R$3=2022,Rates_previous!$C$88,Rates_previous!$D$88)</f>
        <v>0</v>
      </c>
      <c r="I50" s="115">
        <v>46</v>
      </c>
      <c r="J50" s="117">
        <f>IF(Init!$R$9="Yes",IF('Staging Table'!D52=1,'Staging Table'!H52*-1*'Staging Table'!BS52/'Staging Table'!BR52,'Staging Table'!H52*SUM(D50:I50)*(-1)),IF('Staging Table'!D52=1,'Staging Table'!BU52*-1*'Staging Table'!BS52/'Staging Table'!BR52,'Staging Table'!BU52*SUM(D50:I50)*(-1)))</f>
        <v>-680127.60946559987</v>
      </c>
      <c r="K50" s="115">
        <f>IF(Init!$R$9="Yes",'Staging Table'!K52,'Staging Table'!BX52)*(-1)*Rates_previous!$H$32</f>
        <v>0</v>
      </c>
      <c r="L50" s="115" t="str">
        <f>IF('Staging Table'!C52=1,"",SUM(D50:K50))</f>
        <v/>
      </c>
      <c r="M50" s="115" t="str">
        <f>IF('Staging Table'!C52=1,"",IF(Init!$R$9="Yes",(RT1SC!$C$3*'Staging Table'!F52*'Staging Table'!$F$2)+SUM('Staging Table'!L52:AI52)-IF(Init!$R$12="No",'Staging Table'!BH52, 0),X50))</f>
        <v/>
      </c>
      <c r="N50" s="69" t="str">
        <f>IF('Staging Table'!C52=1,"",IF(M50=0, 0, L50/M50))</f>
        <v/>
      </c>
      <c r="O50" s="115">
        <f>'Staging Table'!BS52*Rates_current!$F$77*100*12</f>
        <v>14639813.635199999</v>
      </c>
      <c r="P50" s="115">
        <f>'Staging Table'!BS52*Rates_current!$F$78*100*12</f>
        <v>-2344905.8016000004</v>
      </c>
      <c r="Q50" s="116">
        <f>SUMPRODUCT('Staging Table'!BY52:CV52, LS_Demand_Rates_Restatement!$C$5:$Z$5)-IF(Init!$R$12="No",('Staging Table'!DU52*Rates_current!$I$46), 0)</f>
        <v>0</v>
      </c>
      <c r="R50" s="116">
        <f>SUMPRODUCT('Staging Table'!CW52:DH52, LS_Demand_Rates_Restatement!$C$11:$N$11)*1000</f>
        <v>0</v>
      </c>
      <c r="S50" s="117">
        <f>'Staging Table'!ED52*IF(Init!$R$15="Yes",IF(Init!$R$6=2024,Rates_current!$C$89,Rates_current!$D$89),Rates_current!$I$45)</f>
        <v>4.2300557105778713</v>
      </c>
      <c r="T50" s="117">
        <v>46</v>
      </c>
      <c r="U50" s="117">
        <f>IF('Staging Table'!D52=1, 'Staging Table'!BU52*-1*'Staging Table'!BS52/'Staging Table'!BR52,SUM(O50:T50)*'Staging Table'!BU52*-1)</f>
        <v>-737697.48381934257</v>
      </c>
      <c r="V50" s="115">
        <f>'Staging Table'!BX52*Rates_current!$I$44*-1</f>
        <v>0</v>
      </c>
      <c r="W50" s="115" t="str">
        <f>IF('Staging Table'!C52=1,"", SUM(O50:V50))</f>
        <v/>
      </c>
      <c r="X50" s="115" t="str">
        <f>IF('Staging Table'!C52=1,"", (RT1SC!$C$4*'Staging Table'!BS52*'Staging Table'!$BS$2)+SUM('Staging Table'!BY52:CV52)-IF(Init!$R$12="No",'Staging Table'!DU52, 0))</f>
        <v/>
      </c>
      <c r="Y50" s="69" t="str">
        <f>IF('Staging Table'!C52=1,"",IF(X50=0, 0, W50/X50))</f>
        <v/>
      </c>
      <c r="Z50" s="64" t="str">
        <f ca="1">IF('Staging Table'!C52=1,"",(Y50/N50-1)+(RAND()/100000000000000))</f>
        <v/>
      </c>
      <c r="AA50" s="45" t="str">
        <f t="shared" ca="1" si="4"/>
        <v/>
      </c>
      <c r="AB50" s="76"/>
      <c r="AC50" s="264"/>
      <c r="AD50" s="119"/>
      <c r="AE50" s="119"/>
      <c r="AG50" s="119"/>
      <c r="AH50" s="119"/>
    </row>
    <row r="51" spans="2:34">
      <c r="B51" s="2">
        <v>10123</v>
      </c>
      <c r="C51" s="3" t="s">
        <v>55</v>
      </c>
      <c r="D51" s="115">
        <f>IF(Init!$R$9="Yes",'Staging Table'!F53,'Staging Table'!BS53)*Rates_previous!$E$76*100*12</f>
        <v>66583559.852639988</v>
      </c>
      <c r="E51" s="115">
        <f>IF(Init!$R$9="Yes",'Staging Table'!F53,'Staging Table'!BS53)*Rates_previous!$E$77*100*12</f>
        <v>-13593631.090319995</v>
      </c>
      <c r="F51" s="116">
        <f>IF(Init!$R$9="Yes",SUMPRODUCT('Staging Table'!L53:AI53,LS_Demand_Rates_Restatement!$C$4:$Z$4)-IF(Init!$R$12="No",('Staging Table'!BH53*Rates_previous!$H$34), 0),SUMPRODUCT('Staging Table'!BY53:CV53,LS_Demand_Rates_Restatement!$C$4:$Z$4)-IF(Init!$R$12="No", 'Staging Table'!DU53*Rates_previous!$H$34, 0))</f>
        <v>-3623906.7523003947</v>
      </c>
      <c r="G51" s="116">
        <f>IF(Init!$R$9="Yes",SUMPRODUCT('Staging Table'!AJ53:AU53,LS_Demand_Rates_Restatement!$C$10:$N$10),SUMPRODUCT(LS_Demand_Rates_Restatement!$C$10:$N$10,'Staging Table'!CW53:DH53))*1000</f>
        <v>0</v>
      </c>
      <c r="H51" s="117">
        <f>IF(Init!$R$9="Yes",'Staging Table'!BQ53,'Staging Table'!ED53)*IF(Init!$R$3=2022,Rates_previous!$C$88,Rates_previous!$D$88)</f>
        <v>0</v>
      </c>
      <c r="I51" s="115">
        <v>47</v>
      </c>
      <c r="J51" s="117">
        <f>IF(Init!$R$9="Yes",IF('Staging Table'!D53=1,'Staging Table'!H53*-1*'Staging Table'!BS53/'Staging Table'!BR53,'Staging Table'!H53*SUM(D51:I51)*(-1)),IF('Staging Table'!D53=1,'Staging Table'!BU53*-1*'Staging Table'!BS53/'Staging Table'!BR53,'Staging Table'!BU53*SUM(D51:I51)*(-1)))</f>
        <v>0</v>
      </c>
      <c r="K51" s="115">
        <f>IF(Init!$R$9="Yes",'Staging Table'!K53,'Staging Table'!BX53)*(-1)*Rates_previous!$H$32</f>
        <v>0</v>
      </c>
      <c r="L51" s="115">
        <f>IF('Staging Table'!C53=1,"",SUM(D51:K51))</f>
        <v>49366069.0100196</v>
      </c>
      <c r="M51" s="115">
        <f>IF('Staging Table'!C53=1,"",IF(Init!$R$9="Yes",(RT1SC!$C$3*'Staging Table'!F53*'Staging Table'!$F$2)+SUM('Staging Table'!L53:AI53)-IF(Init!$R$12="No",'Staging Table'!BH53, 0),X51))</f>
        <v>1567160.8525027058</v>
      </c>
      <c r="N51" s="69">
        <f>IF('Staging Table'!C53=1,"",IF(M51=0, 0, L51/M51))</f>
        <v>31.500320424150186</v>
      </c>
      <c r="O51" s="115">
        <f>'Staging Table'!BS53*Rates_current!$F$77*100*12</f>
        <v>64835199.273000002</v>
      </c>
      <c r="P51" s="115">
        <f>'Staging Table'!BS53*Rates_current!$F$78*100*12</f>
        <v>-10384861.359000001</v>
      </c>
      <c r="Q51" s="116">
        <f>SUMPRODUCT('Staging Table'!BY53:CV53, LS_Demand_Rates_Restatement!$C$5:$Z$5)-IF(Init!$R$12="No",('Staging Table'!DU53*Rates_current!$I$46), 0)</f>
        <v>1561311.9505494609</v>
      </c>
      <c r="R51" s="116">
        <f>SUMPRODUCT('Staging Table'!CW53:DH53, LS_Demand_Rates_Restatement!$C$11:$N$11)*1000</f>
        <v>0</v>
      </c>
      <c r="S51" s="117">
        <f>'Staging Table'!ED53*IF(Init!$R$15="Yes",IF(Init!$R$6=2024,Rates_current!$C$89,Rates_current!$D$89),Rates_current!$I$45)</f>
        <v>0</v>
      </c>
      <c r="T51" s="117">
        <v>47</v>
      </c>
      <c r="U51" s="117">
        <f>IF('Staging Table'!D53=1, 'Staging Table'!BU53*-1*'Staging Table'!BS53/'Staging Table'!BR53,SUM(O51:T51)*'Staging Table'!BU53*-1)</f>
        <v>0</v>
      </c>
      <c r="V51" s="115">
        <f>'Staging Table'!BX53*Rates_current!$I$44*-1</f>
        <v>0</v>
      </c>
      <c r="W51" s="115">
        <f>IF('Staging Table'!C53=1,"", SUM(O51:V51))</f>
        <v>56011696.864549465</v>
      </c>
      <c r="X51" s="115">
        <f>IF('Staging Table'!C53=1,"", (RT1SC!$C$4*'Staging Table'!BS53*'Staging Table'!$BS$2)+SUM('Staging Table'!BY53:CV53)-IF(Init!$R$12="No",'Staging Table'!DU53, 0))</f>
        <v>1565651.043301746</v>
      </c>
      <c r="Y51" s="69">
        <f>IF('Staging Table'!C53=1,"",IF(X51=0, 0, W51/X51))</f>
        <v>35.7753390221798</v>
      </c>
      <c r="Z51" s="64">
        <f ca="1">IF('Staging Table'!C53=1,"",(Y51/N51-1)+(RAND()/100000000000000))</f>
        <v>0.13571349562375223</v>
      </c>
      <c r="AA51" s="45">
        <f t="shared" ca="1" si="4"/>
        <v>8</v>
      </c>
      <c r="AB51" s="76"/>
      <c r="AC51" s="264"/>
      <c r="AD51" s="119"/>
      <c r="AE51" s="119"/>
      <c r="AG51" s="119"/>
      <c r="AH51" s="119"/>
    </row>
    <row r="52" spans="2:34">
      <c r="B52" s="2">
        <v>10136</v>
      </c>
      <c r="C52" s="3" t="s">
        <v>56</v>
      </c>
      <c r="D52" s="115">
        <f>IF(Init!$R$9="Yes",'Staging Table'!F54,'Staging Table'!BS54)*Rates_previous!$E$76*100*12</f>
        <v>6634391.2646399997</v>
      </c>
      <c r="E52" s="115">
        <f>IF(Init!$R$9="Yes",'Staging Table'!F54,'Staging Table'!BS54)*Rates_previous!$E$77*100*12</f>
        <v>-1354470.4963200002</v>
      </c>
      <c r="F52" s="116">
        <f>IF(Init!$R$9="Yes",SUMPRODUCT('Staging Table'!L54:AI54,LS_Demand_Rates_Restatement!$C$4:$Z$4)-IF(Init!$R$12="No",('Staging Table'!BH54*Rates_previous!$H$34), 0),SUMPRODUCT('Staging Table'!BY54:CV54,LS_Demand_Rates_Restatement!$C$4:$Z$4)-IF(Init!$R$12="No", 'Staging Table'!DU54*Rates_previous!$H$34, 0))</f>
        <v>0</v>
      </c>
      <c r="G52" s="116">
        <f>IF(Init!$R$9="Yes",SUMPRODUCT('Staging Table'!AJ54:AU54,LS_Demand_Rates_Restatement!$C$10:$N$10),SUMPRODUCT(LS_Demand_Rates_Restatement!$C$10:$N$10,'Staging Table'!CW54:DH54))*1000</f>
        <v>0</v>
      </c>
      <c r="H52" s="117">
        <f>IF(Init!$R$9="Yes",'Staging Table'!BQ54,'Staging Table'!ED54)*IF(Init!$R$3=2022,Rates_previous!$C$88,Rates_previous!$D$88)</f>
        <v>0</v>
      </c>
      <c r="I52" s="115">
        <v>48</v>
      </c>
      <c r="J52" s="117">
        <f>IF(Init!$R$9="Yes",IF('Staging Table'!D54=1,'Staging Table'!H54*-1*'Staging Table'!BS54/'Staging Table'!BR54,'Staging Table'!H54*SUM(D52:I52)*(-1)),IF('Staging Table'!D54=1,'Staging Table'!BU54*-1*'Staging Table'!BS54/'Staging Table'!BR54,'Staging Table'!BU54*SUM(D52:I52)*(-1)))</f>
        <v>-369597.81378240004</v>
      </c>
      <c r="K52" s="115">
        <f>IF(Init!$R$9="Yes",'Staging Table'!K54,'Staging Table'!BX54)*(-1)*Rates_previous!$H$32</f>
        <v>0</v>
      </c>
      <c r="L52" s="115" t="str">
        <f>IF('Staging Table'!C54=1,"",SUM(D52:K52))</f>
        <v/>
      </c>
      <c r="M52" s="115" t="str">
        <f>IF('Staging Table'!C54=1,"",IF(Init!$R$9="Yes",(RT1SC!$C$3*'Staging Table'!F54*'Staging Table'!$F$2)+SUM('Staging Table'!L54:AI54)-IF(Init!$R$12="No",'Staging Table'!BH54, 0),X52))</f>
        <v/>
      </c>
      <c r="N52" s="69" t="str">
        <f>IF('Staging Table'!C54=1,"",IF(M52=0, 0, L52/M52))</f>
        <v/>
      </c>
      <c r="O52" s="115">
        <f>'Staging Table'!BS54*Rates_current!$F$77*100*12</f>
        <v>6731755.5162000004</v>
      </c>
      <c r="P52" s="115">
        <f>'Staging Table'!BS54*Rates_current!$F$78*100*12</f>
        <v>-1078246.8245999999</v>
      </c>
      <c r="Q52" s="116">
        <f>SUMPRODUCT('Staging Table'!BY54:CV54, LS_Demand_Rates_Restatement!$C$5:$Z$5)-IF(Init!$R$12="No",('Staging Table'!DU54*Rates_current!$I$46), 0)</f>
        <v>0</v>
      </c>
      <c r="R52" s="116">
        <f>SUMPRODUCT('Staging Table'!CW54:DH54, LS_Demand_Rates_Restatement!$C$11:$N$11)*1000</f>
        <v>0</v>
      </c>
      <c r="S52" s="117">
        <f>'Staging Table'!ED54*IF(Init!$R$15="Yes",IF(Init!$R$6=2024,Rates_current!$C$89,Rates_current!$D$89),Rates_current!$I$45)</f>
        <v>4.8089529522205705</v>
      </c>
      <c r="T52" s="117">
        <v>48</v>
      </c>
      <c r="U52" s="117">
        <f>IF('Staging Table'!D54=1, 'Staging Table'!BU54*-1*'Staging Table'!BS54/'Staging Table'!BR54,SUM(O52:T52)*'Staging Table'!BU54*-1)</f>
        <v>-395749.30503870669</v>
      </c>
      <c r="V52" s="115">
        <f>'Staging Table'!BX54*Rates_current!$I$44*-1</f>
        <v>0</v>
      </c>
      <c r="W52" s="115" t="str">
        <f>IF('Staging Table'!C54=1,"", SUM(O52:V52))</f>
        <v/>
      </c>
      <c r="X52" s="115" t="str">
        <f>IF('Staging Table'!C54=1,"", (RT1SC!$C$4*'Staging Table'!BS54*'Staging Table'!$BS$2)+SUM('Staging Table'!BY54:CV54)-IF(Init!$R$12="No",'Staging Table'!DU54, 0))</f>
        <v/>
      </c>
      <c r="Y52" s="69" t="str">
        <f>IF('Staging Table'!C54=1,"",IF(X52=0, 0, W52/X52))</f>
        <v/>
      </c>
      <c r="Z52" s="64" t="str">
        <f ca="1">IF('Staging Table'!C54=1,"",(Y52/N52-1)+(RAND()/100000000000000))</f>
        <v/>
      </c>
      <c r="AA52" s="45" t="str">
        <f t="shared" ca="1" si="4"/>
        <v/>
      </c>
      <c r="AB52" s="76"/>
      <c r="AC52" s="264"/>
      <c r="AD52" s="119"/>
      <c r="AE52" s="119"/>
      <c r="AG52" s="119"/>
      <c r="AH52" s="119"/>
    </row>
    <row r="53" spans="2:34">
      <c r="B53" s="2">
        <v>10142</v>
      </c>
      <c r="C53" s="3" t="s">
        <v>57</v>
      </c>
      <c r="D53" s="115">
        <f>IF(Init!$R$9="Yes",'Staging Table'!F55,'Staging Table'!BS55)*Rates_previous!$E$76*100*12</f>
        <v>969051.59279999998</v>
      </c>
      <c r="E53" s="115">
        <f>IF(Init!$R$9="Yes",'Staging Table'!F55,'Staging Table'!BS55)*Rates_previous!$E$77*100*12</f>
        <v>-197840.57640000002</v>
      </c>
      <c r="F53" s="116">
        <f>IF(Init!$R$9="Yes",SUMPRODUCT('Staging Table'!L55:AI55,LS_Demand_Rates_Restatement!$C$4:$Z$4)-IF(Init!$R$12="No",('Staging Table'!BH55*Rates_previous!$H$34), 0),SUMPRODUCT('Staging Table'!BY55:CV55,LS_Demand_Rates_Restatement!$C$4:$Z$4)-IF(Init!$R$12="No", 'Staging Table'!DU55*Rates_previous!$H$34, 0))</f>
        <v>-7756.2693292695913</v>
      </c>
      <c r="G53" s="116">
        <f>IF(Init!$R$9="Yes",SUMPRODUCT('Staging Table'!AJ55:AU55,LS_Demand_Rates_Restatement!$C$10:$N$10),SUMPRODUCT(LS_Demand_Rates_Restatement!$C$10:$N$10,'Staging Table'!CW55:DH55))*1000</f>
        <v>107343.62881498397</v>
      </c>
      <c r="H53" s="117">
        <f>IF(Init!$R$9="Yes",'Staging Table'!BQ55,'Staging Table'!ED55)*IF(Init!$R$3=2022,Rates_previous!$C$88,Rates_previous!$D$88)</f>
        <v>0</v>
      </c>
      <c r="I53" s="115">
        <v>49</v>
      </c>
      <c r="J53" s="117">
        <f>IF(Init!$R$9="Yes",IF('Staging Table'!D55=1,'Staging Table'!H55*-1*'Staging Table'!BS55/'Staging Table'!BR55,'Staging Table'!H55*SUM(D53:I53)*(-1)),IF('Staging Table'!D55=1,'Staging Table'!BU55*-1*'Staging Table'!BS55/'Staging Table'!BR55,'Staging Table'!BU55*SUM(D53:I53)*(-1)))</f>
        <v>-26851.39750358446</v>
      </c>
      <c r="K53" s="115">
        <f>IF(Init!$R$9="Yes",'Staging Table'!K55,'Staging Table'!BX55)*(-1)*Rates_previous!$H$32</f>
        <v>-66752.929880000011</v>
      </c>
      <c r="L53" s="115">
        <f>IF('Staging Table'!C55=1,"",SUM(D53:K53))</f>
        <v>777243.04850212997</v>
      </c>
      <c r="M53" s="115">
        <f>IF('Staging Table'!C55=1,"",IF(Init!$R$9="Yes",(RT1SC!$C$3*'Staging Table'!F55*'Staging Table'!$F$2)+SUM('Staging Table'!L55:AI55)-IF(Init!$R$12="No",'Staging Table'!BH55, 0),X53))</f>
        <v>23602.608</v>
      </c>
      <c r="N53" s="69">
        <f>IF('Staging Table'!C55=1,"",IF(M53=0, 0, L53/M53))</f>
        <v>32.930388391915415</v>
      </c>
      <c r="O53" s="115">
        <f>'Staging Table'!BS55*Rates_current!$F$77*100*12</f>
        <v>984395.90340000018</v>
      </c>
      <c r="P53" s="115">
        <f>'Staging Table'!BS55*Rates_current!$F$78*100*12</f>
        <v>-157673.84219999998</v>
      </c>
      <c r="Q53" s="116">
        <f>SUMPRODUCT('Staging Table'!BY55:CV55, LS_Demand_Rates_Restatement!$C$5:$Z$5)-IF(Init!$R$12="No",('Staging Table'!DU55*Rates_current!$I$46), 0)</f>
        <v>6618.8924433775246</v>
      </c>
      <c r="R53" s="116">
        <f>SUMPRODUCT('Staging Table'!CW55:DH55, LS_Demand_Rates_Restatement!$C$11:$N$11)*1000</f>
        <v>118985.54485521725</v>
      </c>
      <c r="S53" s="117">
        <f>'Staging Table'!ED55*IF(Init!$R$15="Yes",IF(Init!$R$6=2024,Rates_current!$C$89,Rates_current!$D$89),Rates_current!$I$45)</f>
        <v>0</v>
      </c>
      <c r="T53" s="117">
        <v>49</v>
      </c>
      <c r="U53" s="117">
        <f>IF('Staging Table'!D55=1, 'Staging Table'!BU55*-1*'Staging Table'!BS55/'Staging Table'!BR55,SUM(O53:T53)*'Staging Table'!BU55*-1)</f>
        <v>-31290.575454927006</v>
      </c>
      <c r="V53" s="115">
        <f>'Staging Table'!BX55*Rates_current!$I$44*-1</f>
        <v>-69003.028640000004</v>
      </c>
      <c r="W53" s="115">
        <f>IF('Staging Table'!C55=1,"", SUM(O53:V53))</f>
        <v>852081.89440366789</v>
      </c>
      <c r="X53" s="115">
        <f>IF('Staging Table'!C55=1,"", (RT1SC!$C$4*'Staging Table'!BS55*'Staging Table'!$BS$2)+SUM('Staging Table'!BY55:CV55)-IF(Init!$R$12="No",'Staging Table'!DU55, 0))</f>
        <v>23669.52</v>
      </c>
      <c r="Y53" s="69">
        <f>IF('Staging Table'!C55=1,"",IF(X53=0, 0, W53/X53))</f>
        <v>35.99912015130294</v>
      </c>
      <c r="Z53" s="64">
        <f ca="1">IF('Staging Table'!C55=1,"",(Y53/N53-1)+(RAND()/100000000000000))</f>
        <v>9.3188447183366843E-2</v>
      </c>
      <c r="AA53" s="45">
        <f t="shared" ca="1" si="4"/>
        <v>72</v>
      </c>
      <c r="AB53" s="76"/>
      <c r="AC53" s="264"/>
      <c r="AD53" s="119"/>
      <c r="AE53" s="119"/>
      <c r="AG53" s="119"/>
      <c r="AH53" s="119"/>
    </row>
    <row r="54" spans="2:34">
      <c r="B54" s="2">
        <v>10144</v>
      </c>
      <c r="C54" s="3" t="s">
        <v>58</v>
      </c>
      <c r="D54" s="115">
        <f>IF(Init!$R$9="Yes",'Staging Table'!F56,'Staging Table'!BS56)*Rates_previous!$E$76*100*12</f>
        <v>1174570.2468000001</v>
      </c>
      <c r="E54" s="115">
        <f>IF(Init!$R$9="Yes",'Staging Table'!F56,'Staging Table'!BS56)*Rates_previous!$E$77*100*12</f>
        <v>-239799.0534</v>
      </c>
      <c r="F54" s="116">
        <f>IF(Init!$R$9="Yes",SUMPRODUCT('Staging Table'!L56:AI56,LS_Demand_Rates_Restatement!$C$4:$Z$4)-IF(Init!$R$12="No",('Staging Table'!BH56*Rates_previous!$H$34), 0),SUMPRODUCT('Staging Table'!BY56:CV56,LS_Demand_Rates_Restatement!$C$4:$Z$4)-IF(Init!$R$12="No", 'Staging Table'!DU56*Rates_previous!$H$34, 0))</f>
        <v>34476.47940231736</v>
      </c>
      <c r="G54" s="116">
        <f>IF(Init!$R$9="Yes",SUMPRODUCT('Staging Table'!AJ56:AU56,LS_Demand_Rates_Restatement!$C$10:$N$10),SUMPRODUCT(LS_Demand_Rates_Restatement!$C$10:$N$10,'Staging Table'!CW56:DH56))*1000</f>
        <v>91742.898232638865</v>
      </c>
      <c r="H54" s="117">
        <f>IF(Init!$R$9="Yes",'Staging Table'!BQ56,'Staging Table'!ED56)*IF(Init!$R$3=2022,Rates_previous!$C$88,Rates_previous!$D$88)</f>
        <v>0</v>
      </c>
      <c r="I54" s="115">
        <v>50</v>
      </c>
      <c r="J54" s="117">
        <f>IF(Init!$R$9="Yes",IF('Staging Table'!D56=1,'Staging Table'!H56*-1*'Staging Table'!BS56/'Staging Table'!BR56,'Staging Table'!H56*SUM(D54:I54)*(-1)),IF('Staging Table'!D56=1,'Staging Table'!BU56*-1*'Staging Table'!BS56/'Staging Table'!BR56,'Staging Table'!BU56*SUM(D54:I54)*(-1)))</f>
        <v>0</v>
      </c>
      <c r="K54" s="115">
        <f>IF(Init!$R$9="Yes",'Staging Table'!K56,'Staging Table'!BX56)*(-1)*Rates_previous!$H$32</f>
        <v>0</v>
      </c>
      <c r="L54" s="115">
        <f>IF('Staging Table'!C56=1,"",SUM(D54:K54))</f>
        <v>1061040.5710349563</v>
      </c>
      <c r="M54" s="115">
        <f>IF('Staging Table'!C56=1,"",IF(Init!$R$9="Yes",(RT1SC!$C$3*'Staging Table'!F56*'Staging Table'!$F$2)+SUM('Staging Table'!L56:AI56)-IF(Init!$R$12="No",'Staging Table'!BH56, 0),X54))</f>
        <v>29093.6051340946</v>
      </c>
      <c r="N54" s="69">
        <f>IF('Staging Table'!C56=1,"",IF(M54=0, 0, L54/M54))</f>
        <v>36.469889728156446</v>
      </c>
      <c r="O54" s="115">
        <f>'Staging Table'!BS56*Rates_current!$F$77*100*12</f>
        <v>1209711.4614000001</v>
      </c>
      <c r="P54" s="115">
        <f>'Staging Table'!BS56*Rates_current!$F$78*100*12</f>
        <v>-193763.35620000004</v>
      </c>
      <c r="Q54" s="116">
        <f>SUMPRODUCT('Staging Table'!BY56:CV56, LS_Demand_Rates_Restatement!$C$5:$Z$5)-IF(Init!$R$12="No",('Staging Table'!DU56*Rates_current!$I$46), 0)</f>
        <v>40870.778022164537</v>
      </c>
      <c r="R54" s="116">
        <f>SUMPRODUCT('Staging Table'!CW56:DH56, LS_Demand_Rates_Restatement!$C$11:$N$11)*1000</f>
        <v>99878.22584281514</v>
      </c>
      <c r="S54" s="117">
        <f>'Staging Table'!ED56*IF(Init!$R$15="Yes",IF(Init!$R$6=2024,Rates_current!$C$89,Rates_current!$D$89),Rates_current!$I$45)</f>
        <v>-6.3892628346284619</v>
      </c>
      <c r="T54" s="117">
        <v>50</v>
      </c>
      <c r="U54" s="117">
        <f>IF('Staging Table'!D56=1, 'Staging Table'!BU56*-1*'Staging Table'!BS56/'Staging Table'!BR56,SUM(O54:T54)*'Staging Table'!BU56*-1)</f>
        <v>0</v>
      </c>
      <c r="V54" s="115">
        <f>'Staging Table'!BX56*Rates_current!$I$44*-1</f>
        <v>0</v>
      </c>
      <c r="W54" s="115">
        <f>IF('Staging Table'!C56=1,"", SUM(O54:V54))</f>
        <v>1156740.7198021451</v>
      </c>
      <c r="X54" s="115">
        <f>IF('Staging Table'!C56=1,"", (RT1SC!$C$4*'Staging Table'!BS56*'Staging Table'!$BS$2)+SUM('Staging Table'!BY56:CV56)-IF(Init!$R$12="No",'Staging Table'!DU56, 0))</f>
        <v>29093.606717225422</v>
      </c>
      <c r="Y54" s="69">
        <f>IF('Staging Table'!C56=1,"",IF(X54=0, 0, W54/X54))</f>
        <v>39.759275329630235</v>
      </c>
      <c r="Z54" s="64">
        <f ca="1">IF('Staging Table'!C56=1,"",(Y54/N54-1)+(RAND()/100000000000000))</f>
        <v>9.0194558469818956E-2</v>
      </c>
      <c r="AA54" s="45">
        <f t="shared" ca="1" si="4"/>
        <v>82</v>
      </c>
      <c r="AB54" s="76"/>
      <c r="AC54" s="264"/>
      <c r="AD54" s="119"/>
      <c r="AE54" s="119"/>
      <c r="AG54" s="119"/>
      <c r="AH54" s="119"/>
    </row>
    <row r="55" spans="2:34">
      <c r="B55" s="2">
        <v>10156</v>
      </c>
      <c r="C55" s="3" t="s">
        <v>59</v>
      </c>
      <c r="D55" s="115">
        <f>IF(Init!$R$9="Yes",'Staging Table'!F57,'Staging Table'!BS57)*Rates_previous!$E$76*100*12</f>
        <v>11626377.09192</v>
      </c>
      <c r="E55" s="115">
        <f>IF(Init!$R$9="Yes",'Staging Table'!F57,'Staging Table'!BS57)*Rates_previous!$E$77*100*12</f>
        <v>-2373629.1879600002</v>
      </c>
      <c r="F55" s="116">
        <f>IF(Init!$R$9="Yes",SUMPRODUCT('Staging Table'!L57:AI57,LS_Demand_Rates_Restatement!$C$4:$Z$4)-IF(Init!$R$12="No",('Staging Table'!BH57*Rates_previous!$H$34), 0),SUMPRODUCT('Staging Table'!BY57:CV57,LS_Demand_Rates_Restatement!$C$4:$Z$4)-IF(Init!$R$12="No", 'Staging Table'!DU57*Rates_previous!$H$34, 0))</f>
        <v>110175.43355221895</v>
      </c>
      <c r="G55" s="116">
        <f>IF(Init!$R$9="Yes",SUMPRODUCT('Staging Table'!AJ57:AU57,LS_Demand_Rates_Restatement!$C$10:$N$10),SUMPRODUCT(LS_Demand_Rates_Restatement!$C$10:$N$10,'Staging Table'!CW57:DH57))*1000</f>
        <v>734165.15160560887</v>
      </c>
      <c r="H55" s="117">
        <f>IF(Init!$R$9="Yes",'Staging Table'!BQ57,'Staging Table'!ED57)*IF(Init!$R$3=2022,Rates_previous!$C$88,Rates_previous!$D$88)</f>
        <v>0</v>
      </c>
      <c r="I55" s="115">
        <v>51</v>
      </c>
      <c r="J55" s="117">
        <f>IF(Init!$R$9="Yes",IF('Staging Table'!D57=1,'Staging Table'!H57*-1*'Staging Table'!BS57/'Staging Table'!BR57,'Staging Table'!H57*SUM(D55:I55)*(-1)),IF('Staging Table'!D57=1,'Staging Table'!BU57*-1*'Staging Table'!BS57/'Staging Table'!BR57,'Staging Table'!BU57*SUM(D55:I55)*(-1)))</f>
        <v>0</v>
      </c>
      <c r="K55" s="115">
        <f>IF(Init!$R$9="Yes",'Staging Table'!K57,'Staging Table'!BX57)*(-1)*Rates_previous!$H$32</f>
        <v>0</v>
      </c>
      <c r="L55" s="115">
        <f>IF('Staging Table'!C57=1,"",SUM(D55:K55))</f>
        <v>10097139.489117827</v>
      </c>
      <c r="M55" s="115">
        <f>IF('Staging Table'!C57=1,"",IF(Init!$R$9="Yes",(RT1SC!$C$3*'Staging Table'!F57*'Staging Table'!$F$2)+SUM('Staging Table'!L57:AI57)-IF(Init!$R$12="No",'Staging Table'!BH57, 0),X55))</f>
        <v>283178.592</v>
      </c>
      <c r="N55" s="69">
        <f>IF('Staging Table'!C57=1,"",IF(M55=0, 0, L55/M55))</f>
        <v>35.656436518752898</v>
      </c>
      <c r="O55" s="115">
        <f>'Staging Table'!BS57*Rates_current!$F$77*100*12</f>
        <v>11811196.940400001</v>
      </c>
      <c r="P55" s="115">
        <f>'Staging Table'!BS57*Rates_current!$F$78*100*12</f>
        <v>-1891837.2131999996</v>
      </c>
      <c r="Q55" s="116">
        <f>SUMPRODUCT('Staging Table'!BY57:CV57, LS_Demand_Rates_Restatement!$C$5:$Z$5)-IF(Init!$R$12="No",('Staging Table'!DU57*Rates_current!$I$46), 0)</f>
        <v>400558.97205916862</v>
      </c>
      <c r="R55" s="116">
        <f>SUMPRODUCT('Staging Table'!CW57:DH57, LS_Demand_Rates_Restatement!$C$11:$N$11)*1000</f>
        <v>788290.62449285958</v>
      </c>
      <c r="S55" s="117">
        <f>'Staging Table'!ED57*IF(Init!$R$15="Yes",IF(Init!$R$6=2024,Rates_current!$C$89,Rates_current!$D$89),Rates_current!$I$45)</f>
        <v>0</v>
      </c>
      <c r="T55" s="117">
        <v>51</v>
      </c>
      <c r="U55" s="117">
        <f>IF('Staging Table'!D57=1, 'Staging Table'!BU57*-1*'Staging Table'!BS57/'Staging Table'!BR57,SUM(O55:T55)*'Staging Table'!BU57*-1)</f>
        <v>0</v>
      </c>
      <c r="V55" s="115">
        <f>'Staging Table'!BX57*Rates_current!$I$44*-1</f>
        <v>0</v>
      </c>
      <c r="W55" s="115">
        <f>IF('Staging Table'!C57=1,"", SUM(O55:V55))</f>
        <v>11108260.323752029</v>
      </c>
      <c r="X55" s="115">
        <f>IF('Staging Table'!C57=1,"", (RT1SC!$C$4*'Staging Table'!BS57*'Staging Table'!$BS$2)+SUM('Staging Table'!BY57:CV57)-IF(Init!$R$12="No",'Staging Table'!DU57, 0))</f>
        <v>284034.24</v>
      </c>
      <c r="Y55" s="69">
        <f>IF('Staging Table'!C57=1,"",IF(X55=0, 0, W55/X55))</f>
        <v>39.108877590786342</v>
      </c>
      <c r="Z55" s="64">
        <f ca="1">IF('Staging Table'!C57=1,"",(Y55/N55-1)+(RAND()/100000000000000))</f>
        <v>9.6825185271051273E-2</v>
      </c>
      <c r="AA55" s="45">
        <f t="shared" ca="1" si="4"/>
        <v>57</v>
      </c>
      <c r="AB55" s="76"/>
      <c r="AC55" s="264"/>
      <c r="AD55" s="119"/>
      <c r="AE55" s="119"/>
      <c r="AG55" s="119"/>
      <c r="AH55" s="119"/>
    </row>
    <row r="56" spans="2:34">
      <c r="B56" s="2">
        <v>10157</v>
      </c>
      <c r="C56" s="3" t="s">
        <v>60</v>
      </c>
      <c r="D56" s="115">
        <f>IF(Init!$R$9="Yes",'Staging Table'!F58,'Staging Table'!BS58)*Rates_previous!$E$76*100*12</f>
        <v>18017135.333999999</v>
      </c>
      <c r="E56" s="115">
        <f>IF(Init!$R$9="Yes",'Staging Table'!F58,'Staging Table'!BS58)*Rates_previous!$E$77*100*12</f>
        <v>-3678359.8169999998</v>
      </c>
      <c r="F56" s="116">
        <f>IF(Init!$R$9="Yes",SUMPRODUCT('Staging Table'!L58:AI58,LS_Demand_Rates_Restatement!$C$4:$Z$4)-IF(Init!$R$12="No",('Staging Table'!BH58*Rates_previous!$H$34), 0),SUMPRODUCT('Staging Table'!BY58:CV58,LS_Demand_Rates_Restatement!$C$4:$Z$4)-IF(Init!$R$12="No", 'Staging Table'!DU58*Rates_previous!$H$34, 0))</f>
        <v>175127.54690380255</v>
      </c>
      <c r="G56" s="116">
        <f>IF(Init!$R$9="Yes",SUMPRODUCT('Staging Table'!AJ58:AU58,LS_Demand_Rates_Restatement!$C$10:$N$10),SUMPRODUCT(LS_Demand_Rates_Restatement!$C$10:$N$10,'Staging Table'!CW58:DH58))*1000</f>
        <v>1495103.9577617524</v>
      </c>
      <c r="H56" s="117">
        <f>IF(Init!$R$9="Yes",'Staging Table'!BQ58,'Staging Table'!ED58)*IF(Init!$R$3=2022,Rates_previous!$C$88,Rates_previous!$D$88)</f>
        <v>0</v>
      </c>
      <c r="I56" s="115">
        <v>52</v>
      </c>
      <c r="J56" s="117">
        <f>IF(Init!$R$9="Yes",IF('Staging Table'!D58=1,'Staging Table'!H58*-1*'Staging Table'!BS58/'Staging Table'!BR58,'Staging Table'!H58*SUM(D56:I56)*(-1)),IF('Staging Table'!D58=1,'Staging Table'!BU58*-1*'Staging Table'!BS58/'Staging Table'!BR58,'Staging Table'!BU58*SUM(D56:I56)*(-1)))</f>
        <v>-965255.76382512623</v>
      </c>
      <c r="K56" s="115">
        <f>IF(Init!$R$9="Yes",'Staging Table'!K58,'Staging Table'!BX58)*(-1)*Rates_previous!$H$32</f>
        <v>0</v>
      </c>
      <c r="L56" s="115">
        <f>IF('Staging Table'!C58=1,"",SUM(D56:K56))</f>
        <v>15043803.257840429</v>
      </c>
      <c r="M56" s="115">
        <f>IF('Staging Table'!C58=1,"",IF(Init!$R$9="Yes",(RT1SC!$C$3*'Staging Table'!F58*'Staging Table'!$F$2)+SUM('Staging Table'!L58:AI58)-IF(Init!$R$12="No",'Staging Table'!BH58, 0),X56))</f>
        <v>438831.07199999999</v>
      </c>
      <c r="N56" s="69">
        <f>IF('Staging Table'!C58=1,"",IF(M56=0, 0, L56/M56))</f>
        <v>34.281536148471339</v>
      </c>
      <c r="O56" s="115">
        <f>'Staging Table'!BS58*Rates_current!$F$77*100*12</f>
        <v>18303392.8116</v>
      </c>
      <c r="P56" s="115">
        <f>'Staging Table'!BS58*Rates_current!$F$78*100*12</f>
        <v>-2931713.0027999999</v>
      </c>
      <c r="Q56" s="116">
        <f>SUMPRODUCT('Staging Table'!BY58:CV58, LS_Demand_Rates_Restatement!$C$5:$Z$5)-IF(Init!$R$12="No",('Staging Table'!DU58*Rates_current!$I$46), 0)</f>
        <v>515887.15658893739</v>
      </c>
      <c r="R56" s="116">
        <f>SUMPRODUCT('Staging Table'!CW58:DH58, LS_Demand_Rates_Restatement!$C$11:$N$11)*1000</f>
        <v>1720005.6916770837</v>
      </c>
      <c r="S56" s="117">
        <f>'Staging Table'!ED58*IF(Init!$R$15="Yes",IF(Init!$R$6=2024,Rates_current!$C$89,Rates_current!$D$89),Rates_current!$I$45)</f>
        <v>0</v>
      </c>
      <c r="T56" s="117">
        <v>52</v>
      </c>
      <c r="U56" s="117">
        <f>IF('Staging Table'!D58=1, 'Staging Table'!BU58*-1*'Staging Table'!BS58/'Staging Table'!BR58,SUM(O56:T56)*'Staging Table'!BU58*-1)</f>
        <v>-1133131.2101680213</v>
      </c>
      <c r="V56" s="115">
        <f>'Staging Table'!BX58*Rates_current!$I$44*-1</f>
        <v>0</v>
      </c>
      <c r="W56" s="115">
        <f>IF('Staging Table'!C58=1,"", SUM(O56:V56))</f>
        <v>16474493.446898</v>
      </c>
      <c r="X56" s="115">
        <f>IF('Staging Table'!C58=1,"", (RT1SC!$C$4*'Staging Table'!BS58*'Staging Table'!$BS$2)+SUM('Staging Table'!BY58:CV58)-IF(Init!$R$12="No",'Staging Table'!DU58, 0))</f>
        <v>440154.96</v>
      </c>
      <c r="Y56" s="69">
        <f>IF('Staging Table'!C58=1,"",IF(X56=0, 0, W56/X56))</f>
        <v>37.428848801108593</v>
      </c>
      <c r="Z56" s="64">
        <f ca="1">IF('Staging Table'!C58=1,"",(Y56/N56-1)+(RAND()/100000000000000))</f>
        <v>9.1807806949104134E-2</v>
      </c>
      <c r="AA56" s="45">
        <f t="shared" ca="1" si="4"/>
        <v>78</v>
      </c>
      <c r="AB56" s="76"/>
      <c r="AC56" s="264"/>
      <c r="AD56" s="119"/>
      <c r="AE56" s="119"/>
      <c r="AG56" s="119"/>
      <c r="AH56" s="119"/>
    </row>
    <row r="57" spans="2:34">
      <c r="B57" s="2">
        <v>10158</v>
      </c>
      <c r="C57" s="3" t="s">
        <v>61</v>
      </c>
      <c r="D57" s="115">
        <f>IF(Init!$R$9="Yes",'Staging Table'!F59,'Staging Table'!BS59)*Rates_previous!$E$76*100*12</f>
        <v>818337.91320000007</v>
      </c>
      <c r="E57" s="115">
        <f>IF(Init!$R$9="Yes",'Staging Table'!F59,'Staging Table'!BS59)*Rates_previous!$E$77*100*12</f>
        <v>-167071.02659999998</v>
      </c>
      <c r="F57" s="116">
        <f>IF(Init!$R$9="Yes",SUMPRODUCT('Staging Table'!L59:AI59,LS_Demand_Rates_Restatement!$C$4:$Z$4)-IF(Init!$R$12="No",('Staging Table'!BH59*Rates_previous!$H$34), 0),SUMPRODUCT('Staging Table'!BY59:CV59,LS_Demand_Rates_Restatement!$C$4:$Z$4)-IF(Init!$R$12="No", 'Staging Table'!DU59*Rates_previous!$H$34, 0))</f>
        <v>-4498.1153386718306</v>
      </c>
      <c r="G57" s="116">
        <f>IF(Init!$R$9="Yes",SUMPRODUCT('Staging Table'!AJ59:AU59,LS_Demand_Rates_Restatement!$C$10:$N$10),SUMPRODUCT(LS_Demand_Rates_Restatement!$C$10:$N$10,'Staging Table'!CW59:DH59))*1000</f>
        <v>36595.208149786333</v>
      </c>
      <c r="H57" s="117">
        <f>IF(Init!$R$9="Yes",'Staging Table'!BQ59,'Staging Table'!ED59)*IF(Init!$R$3=2022,Rates_previous!$C$88,Rates_previous!$D$88)</f>
        <v>0</v>
      </c>
      <c r="I57" s="115">
        <v>53</v>
      </c>
      <c r="J57" s="117">
        <f>IF(Init!$R$9="Yes",IF('Staging Table'!D59=1,'Staging Table'!H59*-1*'Staging Table'!BS59/'Staging Table'!BR59,'Staging Table'!H59*SUM(D57:I57)*(-1)),IF('Staging Table'!D59=1,'Staging Table'!BU59*-1*'Staging Table'!BS59/'Staging Table'!BR59,'Staging Table'!BU59*SUM(D57:I57)*(-1)))</f>
        <v>0</v>
      </c>
      <c r="K57" s="115">
        <f>IF(Init!$R$9="Yes",'Staging Table'!K59,'Staging Table'!BX59)*(-1)*Rates_previous!$H$32</f>
        <v>0</v>
      </c>
      <c r="L57" s="115">
        <f>IF('Staging Table'!C59=1,"",SUM(D57:K57))</f>
        <v>683416.97941111459</v>
      </c>
      <c r="M57" s="115">
        <f>IF('Staging Table'!C59=1,"",IF(Init!$R$9="Yes",(RT1SC!$C$3*'Staging Table'!F59*'Staging Table'!$F$2)+SUM('Staging Table'!L59:AI59)-IF(Init!$R$12="No",'Staging Table'!BH59, 0),X57))</f>
        <v>19868.205093425397</v>
      </c>
      <c r="N57" s="69">
        <f>IF('Staging Table'!C59=1,"",IF(M57=0, 0, L57/M57))</f>
        <v>34.397519866415344</v>
      </c>
      <c r="O57" s="115">
        <f>'Staging Table'!BS59*Rates_current!$F$77*100*12</f>
        <v>826157.04599999986</v>
      </c>
      <c r="P57" s="115">
        <f>'Staging Table'!BS59*Rates_current!$F$78*100*12</f>
        <v>-132328.21799999999</v>
      </c>
      <c r="Q57" s="116">
        <f>SUMPRODUCT('Staging Table'!BY59:CV59, LS_Demand_Rates_Restatement!$C$5:$Z$5)-IF(Init!$R$12="No",('Staging Table'!DU59*Rates_current!$I$46), 0)</f>
        <v>20858.575662756361</v>
      </c>
      <c r="R57" s="116">
        <f>SUMPRODUCT('Staging Table'!CW59:DH59, LS_Demand_Rates_Restatement!$C$11:$N$11)*1000</f>
        <v>38313.961910701568</v>
      </c>
      <c r="S57" s="117">
        <f>'Staging Table'!ED59*IF(Init!$R$15="Yes",IF(Init!$R$6=2024,Rates_current!$C$89,Rates_current!$D$89),Rates_current!$I$45)</f>
        <v>-2.0415502981323517</v>
      </c>
      <c r="T57" s="117">
        <v>53</v>
      </c>
      <c r="U57" s="117">
        <f>IF('Staging Table'!D59=1, 'Staging Table'!BU59*-1*'Staging Table'!BS59/'Staging Table'!BR59,SUM(O57:T57)*'Staging Table'!BU59*-1)</f>
        <v>0</v>
      </c>
      <c r="V57" s="115">
        <f>'Staging Table'!BX59*Rates_current!$I$44*-1</f>
        <v>0</v>
      </c>
      <c r="W57" s="115">
        <f>IF('Staging Table'!C59=1,"", SUM(O57:V57))</f>
        <v>753052.32402315969</v>
      </c>
      <c r="X57" s="115">
        <f>IF('Staging Table'!C59=1,"", (RT1SC!$C$4*'Staging Table'!BS59*'Staging Table'!$BS$2)+SUM('Staging Table'!BY59:CV59)-IF(Init!$R$12="No",'Staging Table'!DU59, 0))</f>
        <v>19868.206172757247</v>
      </c>
      <c r="Y57" s="69">
        <f>IF('Staging Table'!C59=1,"",IF(X57=0, 0, W57/X57))</f>
        <v>37.902381195123944</v>
      </c>
      <c r="Z57" s="64">
        <f ca="1">IF('Staging Table'!C59=1,"",(Y57/N57-1)+(RAND()/100000000000000))</f>
        <v>0.10189284990080696</v>
      </c>
      <c r="AA57" s="45">
        <f t="shared" ca="1" si="4"/>
        <v>40</v>
      </c>
      <c r="AB57" s="76"/>
      <c r="AC57" s="264"/>
      <c r="AD57" s="119"/>
      <c r="AE57" s="119"/>
      <c r="AG57" s="119"/>
      <c r="AH57" s="119"/>
    </row>
    <row r="58" spans="2:34">
      <c r="B58" s="2">
        <v>10170</v>
      </c>
      <c r="C58" s="3" t="s">
        <v>62</v>
      </c>
      <c r="D58" s="115">
        <f>IF(Init!$R$9="Yes",'Staging Table'!F60,'Staging Table'!BS60)*Rates_previous!$E$76*100*12</f>
        <v>44812034.658720002</v>
      </c>
      <c r="E58" s="115">
        <f>IF(Init!$R$9="Yes",'Staging Table'!F60,'Staging Table'!BS60)*Rates_previous!$E$77*100*12</f>
        <v>-9148778.9013600014</v>
      </c>
      <c r="F58" s="116">
        <f>IF(Init!$R$9="Yes",SUMPRODUCT('Staging Table'!L60:AI60,LS_Demand_Rates_Restatement!$C$4:$Z$4)-IF(Init!$R$12="No",('Staging Table'!BH60*Rates_previous!$H$34), 0),SUMPRODUCT('Staging Table'!BY60:CV60,LS_Demand_Rates_Restatement!$C$4:$Z$4)-IF(Init!$R$12="No", 'Staging Table'!DU60*Rates_previous!$H$34, 0))</f>
        <v>-992831.36001512571</v>
      </c>
      <c r="G58" s="116">
        <f>IF(Init!$R$9="Yes",SUMPRODUCT('Staging Table'!AJ60:AU60,LS_Demand_Rates_Restatement!$C$10:$N$10),SUMPRODUCT(LS_Demand_Rates_Restatement!$C$10:$N$10,'Staging Table'!CW60:DH60))*1000</f>
        <v>0</v>
      </c>
      <c r="H58" s="117">
        <f>IF(Init!$R$9="Yes",'Staging Table'!BQ60,'Staging Table'!ED60)*IF(Init!$R$3=2022,Rates_previous!$C$88,Rates_previous!$D$88)</f>
        <v>0</v>
      </c>
      <c r="I58" s="115">
        <v>54</v>
      </c>
      <c r="J58" s="117">
        <f>IF(Init!$R$9="Yes",IF('Staging Table'!D60=1,'Staging Table'!H60*-1*'Staging Table'!BS60/'Staging Table'!BR60,'Staging Table'!H60*SUM(D58:I58)*(-1)),IF('Staging Table'!D60=1,'Staging Table'!BU60*-1*'Staging Table'!BS60/'Staging Table'!BR60,'Staging Table'!BU60*SUM(D58:I58)*(-1)))</f>
        <v>0</v>
      </c>
      <c r="K58" s="115">
        <f>IF(Init!$R$9="Yes",'Staging Table'!K60,'Staging Table'!BX60)*(-1)*Rates_previous!$H$32</f>
        <v>0</v>
      </c>
      <c r="L58" s="115">
        <f>IF('Staging Table'!C60=1,"",SUM(D58:K58))</f>
        <v>34670478.397344872</v>
      </c>
      <c r="M58" s="115">
        <f>IF('Staging Table'!C60=1,"",IF(Init!$R$9="Yes",(RT1SC!$C$3*'Staging Table'!F60*'Staging Table'!$F$2)+SUM('Staging Table'!L60:AI60)-IF(Init!$R$12="No",'Staging Table'!BH60, 0),X58))</f>
        <v>1066685.7086053859</v>
      </c>
      <c r="N58" s="69">
        <f>IF('Staging Table'!C60=1,"",IF(M58=0, 0, L58/M58))</f>
        <v>32.502993260005333</v>
      </c>
      <c r="O58" s="115">
        <f>'Staging Table'!BS60*Rates_current!$F$77*100*12</f>
        <v>44217012.832199998</v>
      </c>
      <c r="P58" s="115">
        <f>'Staging Table'!BS60*Rates_current!$F$78*100*12</f>
        <v>-7082380.4525999995</v>
      </c>
      <c r="Q58" s="116">
        <f>SUMPRODUCT('Staging Table'!BY60:CV60, LS_Demand_Rates_Restatement!$C$5:$Z$5)-IF(Init!$R$12="No",('Staging Table'!DU60*Rates_current!$I$46), 0)</f>
        <v>1867598.5897608232</v>
      </c>
      <c r="R58" s="116">
        <f>SUMPRODUCT('Staging Table'!CW60:DH60, LS_Demand_Rates_Restatement!$C$11:$N$11)*1000</f>
        <v>0</v>
      </c>
      <c r="S58" s="117">
        <f>'Staging Table'!ED60*IF(Init!$R$15="Yes",IF(Init!$R$6=2024,Rates_current!$C$89,Rates_current!$D$89),Rates_current!$I$45)</f>
        <v>0</v>
      </c>
      <c r="T58" s="117">
        <v>54</v>
      </c>
      <c r="U58" s="117">
        <f>IF('Staging Table'!D60=1, 'Staging Table'!BU60*-1*'Staging Table'!BS60/'Staging Table'!BR60,SUM(O58:T58)*'Staging Table'!BU60*-1)</f>
        <v>0</v>
      </c>
      <c r="V58" s="115">
        <f>'Staging Table'!BX60*Rates_current!$I$44*-1</f>
        <v>0</v>
      </c>
      <c r="W58" s="115">
        <f>IF('Staging Table'!C60=1,"", SUM(O58:V58))</f>
        <v>39002284.969360821</v>
      </c>
      <c r="X58" s="115">
        <f>IF('Staging Table'!C60=1,"", (RT1SC!$C$4*'Staging Table'!BS60*'Staging Table'!$BS$2)+SUM('Staging Table'!BY60:CV60)-IF(Init!$R$12="No",'Staging Table'!DU60, 0))</f>
        <v>1066139.5143174527</v>
      </c>
      <c r="Y58" s="69">
        <f>IF('Staging Table'!C60=1,"",IF(X58=0, 0, W58/X58))</f>
        <v>36.582721534648549</v>
      </c>
      <c r="Z58" s="64">
        <f ca="1">IF('Staging Table'!C60=1,"",(Y58/N58-1)+(RAND()/100000000000000))</f>
        <v>0.1255185404620405</v>
      </c>
      <c r="AA58" s="45">
        <f t="shared" ca="1" si="4"/>
        <v>14</v>
      </c>
      <c r="AB58" s="76"/>
      <c r="AC58" s="264"/>
      <c r="AD58" s="119"/>
      <c r="AE58" s="119"/>
      <c r="AG58" s="119"/>
      <c r="AH58" s="119"/>
    </row>
    <row r="59" spans="2:34">
      <c r="B59" s="2">
        <v>10172</v>
      </c>
      <c r="C59" s="3" t="s">
        <v>63</v>
      </c>
      <c r="D59" s="115">
        <f>IF(Init!$R$9="Yes",'Staging Table'!F61,'Staging Table'!BS61)*Rates_previous!$E$76*100*12</f>
        <v>1901732.6116800001</v>
      </c>
      <c r="E59" s="115">
        <f>IF(Init!$R$9="Yes",'Staging Table'!F61,'Staging Table'!BS61)*Rates_previous!$E$77*100*12</f>
        <v>-388255.77384000004</v>
      </c>
      <c r="F59" s="116">
        <f>IF(Init!$R$9="Yes",SUMPRODUCT('Staging Table'!L61:AI61,LS_Demand_Rates_Restatement!$C$4:$Z$4)-IF(Init!$R$12="No",('Staging Table'!BH61*Rates_previous!$H$34), 0),SUMPRODUCT('Staging Table'!BY61:CV61,LS_Demand_Rates_Restatement!$C$4:$Z$4)-IF(Init!$R$12="No", 'Staging Table'!DU61*Rates_previous!$H$34, 0))</f>
        <v>-27815.964455488775</v>
      </c>
      <c r="G59" s="116">
        <f>IF(Init!$R$9="Yes",SUMPRODUCT('Staging Table'!AJ61:AU61,LS_Demand_Rates_Restatement!$C$10:$N$10),SUMPRODUCT(LS_Demand_Rates_Restatement!$C$10:$N$10,'Staging Table'!CW61:DH61))*1000</f>
        <v>222954.5056551015</v>
      </c>
      <c r="H59" s="117">
        <f>IF(Init!$R$9="Yes",'Staging Table'!BQ61,'Staging Table'!ED61)*IF(Init!$R$3=2022,Rates_previous!$C$88,Rates_previous!$D$88)</f>
        <v>0</v>
      </c>
      <c r="I59" s="115">
        <v>55</v>
      </c>
      <c r="J59" s="117">
        <f>IF(Init!$R$9="Yes",IF('Staging Table'!D61=1,'Staging Table'!H61*-1*'Staging Table'!BS61/'Staging Table'!BR61,'Staging Table'!H61*SUM(D59:I59)*(-1)),IF('Staging Table'!D61=1,'Staging Table'!BU61*-1*'Staging Table'!BS61/'Staging Table'!BR61,'Staging Table'!BU61*SUM(D59:I59)*(-1)))</f>
        <v>0</v>
      </c>
      <c r="K59" s="115">
        <f>IF(Init!$R$9="Yes",'Staging Table'!K61,'Staging Table'!BX61)*(-1)*Rates_previous!$H$32</f>
        <v>0</v>
      </c>
      <c r="L59" s="115">
        <f>IF('Staging Table'!C61=1,"",SUM(D59:K59))</f>
        <v>1708670.3790396128</v>
      </c>
      <c r="M59" s="115">
        <f>IF('Staging Table'!C61=1,"",IF(Init!$R$9="Yes",(RT1SC!$C$3*'Staging Table'!F61*'Staging Table'!$F$2)+SUM('Staging Table'!L61:AI61)-IF(Init!$R$12="No",'Staging Table'!BH61, 0),X59))</f>
        <v>45691.072217110952</v>
      </c>
      <c r="N59" s="69">
        <f>IF('Staging Table'!C61=1,"",IF(M59=0, 0, L59/M59))</f>
        <v>37.396154130953597</v>
      </c>
      <c r="O59" s="115">
        <f>'Staging Table'!BS61*Rates_current!$F$77*100*12</f>
        <v>1900161.2058000001</v>
      </c>
      <c r="P59" s="115">
        <f>'Staging Table'!BS61*Rates_current!$F$78*100*12</f>
        <v>-304354.90139999997</v>
      </c>
      <c r="Q59" s="116">
        <f>SUMPRODUCT('Staging Table'!BY61:CV61, LS_Demand_Rates_Restatement!$C$5:$Z$5)-IF(Init!$R$12="No",('Staging Table'!DU61*Rates_current!$I$46), 0)</f>
        <v>44908.496915339645</v>
      </c>
      <c r="R59" s="116">
        <f>SUMPRODUCT('Staging Table'!CW61:DH61, LS_Demand_Rates_Restatement!$C$11:$N$11)*1000</f>
        <v>249011.79984919875</v>
      </c>
      <c r="S59" s="117">
        <f>'Staging Table'!ED61*IF(Init!$R$15="Yes",IF(Init!$R$6=2024,Rates_current!$C$89,Rates_current!$D$89),Rates_current!$I$45)</f>
        <v>4.2109743143414375</v>
      </c>
      <c r="T59" s="117">
        <v>55</v>
      </c>
      <c r="U59" s="117">
        <f>IF('Staging Table'!D61=1, 'Staging Table'!BU61*-1*'Staging Table'!BS61/'Staging Table'!BR61,SUM(O59:T59)*'Staging Table'!BU61*-1)</f>
        <v>0</v>
      </c>
      <c r="V59" s="115">
        <f>'Staging Table'!BX61*Rates_current!$I$44*-1</f>
        <v>0</v>
      </c>
      <c r="W59" s="115">
        <f>IF('Staging Table'!C61=1,"", SUM(O59:V59))</f>
        <v>1889785.8121388529</v>
      </c>
      <c r="X59" s="115">
        <f>IF('Staging Table'!C61=1,"", (RT1SC!$C$4*'Staging Table'!BS61*'Staging Table'!$BS$2)+SUM('Staging Table'!BY61:CV61)-IF(Init!$R$12="No",'Staging Table'!DU61, 0))</f>
        <v>45691.074697341668</v>
      </c>
      <c r="Y59" s="69">
        <f>IF('Staging Table'!C61=1,"",IF(X59=0, 0, W59/X59))</f>
        <v>41.360064841039986</v>
      </c>
      <c r="Z59" s="64">
        <f ca="1">IF('Staging Table'!C61=1,"",(Y59/N59-1)+(RAND()/100000000000000))</f>
        <v>0.10599781721419649</v>
      </c>
      <c r="AA59" s="45">
        <f t="shared" ca="1" si="4"/>
        <v>28</v>
      </c>
      <c r="AB59" s="76"/>
      <c r="AC59" s="264"/>
      <c r="AD59" s="119"/>
      <c r="AE59" s="119"/>
      <c r="AG59" s="119"/>
      <c r="AH59" s="119"/>
    </row>
    <row r="60" spans="2:34">
      <c r="B60" s="2">
        <v>10173</v>
      </c>
      <c r="C60" s="3" t="s">
        <v>64</v>
      </c>
      <c r="D60" s="115">
        <f>IF(Init!$R$9="Yes",'Staging Table'!F62,'Staging Table'!BS62)*Rates_previous!$E$76*100*12</f>
        <v>11948231.75976</v>
      </c>
      <c r="E60" s="115">
        <f>IF(Init!$R$9="Yes",'Staging Table'!F62,'Staging Table'!BS62)*Rates_previous!$E$77*100*12</f>
        <v>-2439338.7058800003</v>
      </c>
      <c r="F60" s="116">
        <f>IF(Init!$R$9="Yes",SUMPRODUCT('Staging Table'!L62:AI62,LS_Demand_Rates_Restatement!$C$4:$Z$4)-IF(Init!$R$12="No",('Staging Table'!BH62*Rates_previous!$H$34), 0),SUMPRODUCT('Staging Table'!BY62:CV62,LS_Demand_Rates_Restatement!$C$4:$Z$4)-IF(Init!$R$12="No", 'Staging Table'!DU62*Rates_previous!$H$34, 0))</f>
        <v>0</v>
      </c>
      <c r="G60" s="116">
        <f>IF(Init!$R$9="Yes",SUMPRODUCT('Staging Table'!AJ62:AU62,LS_Demand_Rates_Restatement!$C$10:$N$10),SUMPRODUCT(LS_Demand_Rates_Restatement!$C$10:$N$10,'Staging Table'!CW62:DH62))*1000</f>
        <v>0</v>
      </c>
      <c r="H60" s="117">
        <f>IF(Init!$R$9="Yes",'Staging Table'!BQ62,'Staging Table'!ED62)*IF(Init!$R$3=2022,Rates_previous!$C$88,Rates_previous!$D$88)</f>
        <v>0</v>
      </c>
      <c r="I60" s="115">
        <v>56</v>
      </c>
      <c r="J60" s="117">
        <f>IF(Init!$R$9="Yes",IF('Staging Table'!D62=1,'Staging Table'!H62*-1*'Staging Table'!BS62/'Staging Table'!BR62,'Staging Table'!H62*SUM(D60:I60)*(-1)),IF('Staging Table'!D62=1,'Staging Table'!BU62*-1*'Staging Table'!BS62/'Staging Table'!BR62,'Staging Table'!BU62*SUM(D60:I60)*(-1)))</f>
        <v>-806125.24606754899</v>
      </c>
      <c r="K60" s="115">
        <f>IF(Init!$R$9="Yes",'Staging Table'!K62,'Staging Table'!BX62)*(-1)*Rates_previous!$H$32</f>
        <v>-512666.65372</v>
      </c>
      <c r="L60" s="115" t="str">
        <f>IF('Staging Table'!C62=1,"",SUM(D60:K60))</f>
        <v/>
      </c>
      <c r="M60" s="115" t="str">
        <f>IF('Staging Table'!C62=1,"",IF(Init!$R$9="Yes",(RT1SC!$C$3*'Staging Table'!F62*'Staging Table'!$F$2)+SUM('Staging Table'!L62:AI62)-IF(Init!$R$12="No",'Staging Table'!BH62, 0),X60))</f>
        <v/>
      </c>
      <c r="N60" s="69" t="str">
        <f>IF('Staging Table'!C62=1,"",IF(M60=0, 0, L60/M60))</f>
        <v/>
      </c>
      <c r="O60" s="115">
        <f>'Staging Table'!BS62*Rates_current!$F$77*100*12</f>
        <v>12138033.9912</v>
      </c>
      <c r="P60" s="115">
        <f>'Staging Table'!BS62*Rates_current!$F$78*100*12</f>
        <v>-1944187.7496</v>
      </c>
      <c r="Q60" s="116">
        <f>SUMPRODUCT('Staging Table'!BY62:CV62, LS_Demand_Rates_Restatement!$C$5:$Z$5)-IF(Init!$R$12="No",('Staging Table'!DU62*Rates_current!$I$46), 0)</f>
        <v>0</v>
      </c>
      <c r="R60" s="116">
        <f>SUMPRODUCT('Staging Table'!CW62:DH62, LS_Demand_Rates_Restatement!$C$11:$N$11)*1000</f>
        <v>0</v>
      </c>
      <c r="S60" s="117">
        <f>'Staging Table'!ED62*IF(Init!$R$15="Yes",IF(Init!$R$6=2024,Rates_current!$C$89,Rates_current!$D$89),Rates_current!$I$45)</f>
        <v>0</v>
      </c>
      <c r="T60" s="117">
        <v>56</v>
      </c>
      <c r="U60" s="117">
        <f>IF('Staging Table'!D62=1, 'Staging Table'!BU62*-1*'Staging Table'!BS62/'Staging Table'!BR62,SUM(O60:T60)*'Staging Table'!BU62*-1)</f>
        <v>-1003298.2924080072</v>
      </c>
      <c r="V60" s="115">
        <f>'Staging Table'!BX62*Rates_current!$I$44*-1</f>
        <v>-529947.55216000008</v>
      </c>
      <c r="W60" s="115" t="str">
        <f>IF('Staging Table'!C62=1,"", SUM(O60:V60))</f>
        <v/>
      </c>
      <c r="X60" s="115" t="str">
        <f>IF('Staging Table'!C62=1,"", (RT1SC!$C$4*'Staging Table'!BS62*'Staging Table'!$BS$2)+SUM('Staging Table'!BY62:CV62)-IF(Init!$R$12="No",'Staging Table'!DU62, 0))</f>
        <v/>
      </c>
      <c r="Y60" s="69" t="str">
        <f>IF('Staging Table'!C62=1,"",IF(X60=0, 0, W60/X60))</f>
        <v/>
      </c>
      <c r="Z60" s="64" t="str">
        <f ca="1">IF('Staging Table'!C62=1,"",(Y60/N60-1)+(RAND()/100000000000000))</f>
        <v/>
      </c>
      <c r="AA60" s="45" t="str">
        <f t="shared" ca="1" si="4"/>
        <v/>
      </c>
      <c r="AB60" s="76"/>
      <c r="AC60" s="264"/>
      <c r="AD60" s="119"/>
      <c r="AE60" s="119"/>
      <c r="AG60" s="119"/>
      <c r="AH60" s="119"/>
    </row>
    <row r="61" spans="2:34">
      <c r="B61" s="2">
        <v>10174</v>
      </c>
      <c r="C61" s="3" t="s">
        <v>65</v>
      </c>
      <c r="D61" s="115">
        <f>IF(Init!$R$9="Yes",'Staging Table'!F63,'Staging Table'!BS63)*Rates_previous!$E$76*100*12</f>
        <v>178863.50735999999</v>
      </c>
      <c r="E61" s="115">
        <f>IF(Init!$R$9="Yes",'Staging Table'!F63,'Staging Table'!BS63)*Rates_previous!$E$77*100*12</f>
        <v>-36516.589679999997</v>
      </c>
      <c r="F61" s="116">
        <f>IF(Init!$R$9="Yes",SUMPRODUCT('Staging Table'!L63:AI63,LS_Demand_Rates_Restatement!$C$4:$Z$4)-IF(Init!$R$12="No",('Staging Table'!BH63*Rates_previous!$H$34), 0),SUMPRODUCT('Staging Table'!BY63:CV63,LS_Demand_Rates_Restatement!$C$4:$Z$4)-IF(Init!$R$12="No", 'Staging Table'!DU63*Rates_previous!$H$34, 0))</f>
        <v>5458.1249842823527</v>
      </c>
      <c r="G61" s="116">
        <f>IF(Init!$R$9="Yes",SUMPRODUCT('Staging Table'!AJ63:AU63,LS_Demand_Rates_Restatement!$C$10:$N$10),SUMPRODUCT(LS_Demand_Rates_Restatement!$C$10:$N$10,'Staging Table'!CW63:DH63))*1000</f>
        <v>38960.666878766024</v>
      </c>
      <c r="H61" s="117">
        <f>IF(Init!$R$9="Yes",'Staging Table'!BQ63,'Staging Table'!ED63)*IF(Init!$R$3=2022,Rates_previous!$C$88,Rates_previous!$D$88)</f>
        <v>0</v>
      </c>
      <c r="I61" s="115">
        <v>57</v>
      </c>
      <c r="J61" s="117">
        <f>IF(Init!$R$9="Yes",IF('Staging Table'!D63=1,'Staging Table'!H63*-1*'Staging Table'!BS63/'Staging Table'!BR63,'Staging Table'!H63*SUM(D61:I61)*(-1)),IF('Staging Table'!D63=1,'Staging Table'!BU63*-1*'Staging Table'!BS63/'Staging Table'!BR63,'Staging Table'!BU63*SUM(D61:I61)*(-1)))</f>
        <v>0</v>
      </c>
      <c r="K61" s="115">
        <f>IF(Init!$R$9="Yes",'Staging Table'!K63,'Staging Table'!BX63)*(-1)*Rates_previous!$H$32</f>
        <v>0</v>
      </c>
      <c r="L61" s="115">
        <f>IF('Staging Table'!C63=1,"",SUM(D61:K61))</f>
        <v>186822.70954304838</v>
      </c>
      <c r="M61" s="115">
        <f>IF('Staging Table'!C63=1,"",IF(Init!$R$9="Yes",(RT1SC!$C$3*'Staging Table'!F63*'Staging Table'!$F$2)+SUM('Staging Table'!L63:AI63)-IF(Init!$R$12="No",'Staging Table'!BH63, 0),X61))</f>
        <v>4453.4880000000003</v>
      </c>
      <c r="N61" s="69">
        <f>IF('Staging Table'!C63=1,"",IF(M61=0, 0, L61/M61))</f>
        <v>41.949750295285035</v>
      </c>
      <c r="O61" s="115">
        <f>'Staging Table'!BS63*Rates_current!$F$77*100*12</f>
        <v>185691.09779999999</v>
      </c>
      <c r="P61" s="115">
        <f>'Staging Table'!BS63*Rates_current!$F$78*100*12</f>
        <v>-29742.737399999998</v>
      </c>
      <c r="Q61" s="116">
        <f>SUMPRODUCT('Staging Table'!BY63:CV63, LS_Demand_Rates_Restatement!$C$5:$Z$5)-IF(Init!$R$12="No",('Staging Table'!DU63*Rates_current!$I$46), 0)</f>
        <v>6149.4432881776083</v>
      </c>
      <c r="R61" s="116">
        <f>SUMPRODUCT('Staging Table'!CW63:DH63, LS_Demand_Rates_Restatement!$C$11:$N$11)*1000</f>
        <v>43143.195509241465</v>
      </c>
      <c r="S61" s="117">
        <f>'Staging Table'!ED63*IF(Init!$R$15="Yes",IF(Init!$R$6=2024,Rates_current!$C$89,Rates_current!$D$89),Rates_current!$I$45)</f>
        <v>0</v>
      </c>
      <c r="T61" s="117">
        <v>57</v>
      </c>
      <c r="U61" s="117">
        <f>IF('Staging Table'!D63=1, 'Staging Table'!BU63*-1*'Staging Table'!BS63/'Staging Table'!BR63,SUM(O61:T61)*'Staging Table'!BU63*-1)</f>
        <v>0</v>
      </c>
      <c r="V61" s="115">
        <f>'Staging Table'!BX63*Rates_current!$I$44*-1</f>
        <v>0</v>
      </c>
      <c r="W61" s="115">
        <f>IF('Staging Table'!C63=1,"", SUM(O61:V61))</f>
        <v>205297.99919741906</v>
      </c>
      <c r="X61" s="115">
        <f>IF('Staging Table'!C63=1,"", (RT1SC!$C$4*'Staging Table'!BS63*'Staging Table'!$BS$2)+SUM('Staging Table'!BY63:CV63)-IF(Init!$R$12="No",'Staging Table'!DU63, 0))</f>
        <v>4467.6000000000004</v>
      </c>
      <c r="Y61" s="69">
        <f>IF('Staging Table'!C63=1,"",IF(X61=0, 0, W61/X61))</f>
        <v>45.952636582822777</v>
      </c>
      <c r="Z61" s="64">
        <f ca="1">IF('Staging Table'!C63=1,"",(Y61/N61-1)+(RAND()/100000000000000))</f>
        <v>9.5420980085971191E-2</v>
      </c>
      <c r="AA61" s="45">
        <f t="shared" ca="1" si="4"/>
        <v>68</v>
      </c>
      <c r="AB61" s="76"/>
      <c r="AC61" s="264"/>
      <c r="AD61" s="119"/>
      <c r="AE61" s="119"/>
      <c r="AG61" s="119"/>
      <c r="AH61" s="119"/>
    </row>
    <row r="62" spans="2:34">
      <c r="B62" s="2">
        <v>10177</v>
      </c>
      <c r="C62" s="3" t="s">
        <v>66</v>
      </c>
      <c r="D62" s="115">
        <f>IF(Init!$R$9="Yes",'Staging Table'!F64,'Staging Table'!BS64)*Rates_previous!$E$76*100*12</f>
        <v>3122139.7461599996</v>
      </c>
      <c r="E62" s="115">
        <f>IF(Init!$R$9="Yes",'Staging Table'!F64,'Staging Table'!BS64)*Rates_previous!$E$77*100*12</f>
        <v>-637412.83907999995</v>
      </c>
      <c r="F62" s="116">
        <f>IF(Init!$R$9="Yes",SUMPRODUCT('Staging Table'!L64:AI64,LS_Demand_Rates_Restatement!$C$4:$Z$4)-IF(Init!$R$12="No",('Staging Table'!BH64*Rates_previous!$H$34), 0),SUMPRODUCT('Staging Table'!BY64:CV64,LS_Demand_Rates_Restatement!$C$4:$Z$4)-IF(Init!$R$12="No", 'Staging Table'!DU64*Rates_previous!$H$34, 0))</f>
        <v>351485.11545038258</v>
      </c>
      <c r="G62" s="116">
        <f>IF(Init!$R$9="Yes",SUMPRODUCT('Staging Table'!AJ64:AU64,LS_Demand_Rates_Restatement!$C$10:$N$10),SUMPRODUCT(LS_Demand_Rates_Restatement!$C$10:$N$10,'Staging Table'!CW64:DH64))*1000</f>
        <v>516624.75541752134</v>
      </c>
      <c r="H62" s="117">
        <f>IF(Init!$R$9="Yes",'Staging Table'!BQ64,'Staging Table'!ED64)*IF(Init!$R$3=2022,Rates_previous!$C$88,Rates_previous!$D$88)</f>
        <v>0</v>
      </c>
      <c r="I62" s="115">
        <v>58</v>
      </c>
      <c r="J62" s="117">
        <f>IF(Init!$R$9="Yes",IF('Staging Table'!D64=1,'Staging Table'!H64*-1*'Staging Table'!BS64/'Staging Table'!BR64,'Staging Table'!H64*SUM(D62:I62)*(-1)),IF('Staging Table'!D64=1,'Staging Table'!BU64*-1*'Staging Table'!BS64/'Staging Table'!BR64,'Staging Table'!BU64*SUM(D62:I62)*(-1)))</f>
        <v>-234702.63445635326</v>
      </c>
      <c r="K62" s="115">
        <f>IF(Init!$R$9="Yes",'Staging Table'!K64,'Staging Table'!BX64)*(-1)*Rates_previous!$H$32</f>
        <v>0</v>
      </c>
      <c r="L62" s="115">
        <f>IF('Staging Table'!C64=1,"",SUM(D62:K62))</f>
        <v>3118192.1434915503</v>
      </c>
      <c r="M62" s="115">
        <f>IF('Staging Table'!C64=1,"",IF(Init!$R$9="Yes",(RT1SC!$C$3*'Staging Table'!F64*'Staging Table'!$F$2)+SUM('Staging Table'!L64:AI64)-IF(Init!$R$12="No",'Staging Table'!BH64, 0),X62))</f>
        <v>84648.90035643852</v>
      </c>
      <c r="N62" s="69">
        <f>IF('Staging Table'!C64=1,"",IF(M62=0, 0, L62/M62))</f>
        <v>36.836770830589721</v>
      </c>
      <c r="O62" s="115">
        <f>'Staging Table'!BS64*Rates_current!$F$77*100*12</f>
        <v>3520102.3728</v>
      </c>
      <c r="P62" s="115">
        <f>'Staging Table'!BS64*Rates_current!$F$78*100*12</f>
        <v>-563826.06239999994</v>
      </c>
      <c r="Q62" s="116">
        <f>SUMPRODUCT('Staging Table'!BY64:CV64, LS_Demand_Rates_Restatement!$C$5:$Z$5)-IF(Init!$R$12="No",('Staging Table'!DU64*Rates_current!$I$46), 0)</f>
        <v>97825.725210665929</v>
      </c>
      <c r="R62" s="116">
        <f>SUMPRODUCT('Staging Table'!CW64:DH64, LS_Demand_Rates_Restatement!$C$11:$N$11)*1000</f>
        <v>569457.20466515305</v>
      </c>
      <c r="S62" s="117">
        <f>'Staging Table'!ED64*IF(Init!$R$15="Yes",IF(Init!$R$6=2024,Rates_current!$C$89,Rates_current!$D$89),Rates_current!$I$45)</f>
        <v>-3.9769879787176614</v>
      </c>
      <c r="T62" s="117">
        <v>58</v>
      </c>
      <c r="U62" s="117">
        <f>IF('Staging Table'!D64=1, 'Staging Table'!BU64*-1*'Staging Table'!BS64/'Staging Table'!BR64,SUM(O62:T62)*'Staging Table'!BU64*-1)</f>
        <v>-253652.92843014881</v>
      </c>
      <c r="V62" s="115">
        <f>'Staging Table'!BX64*Rates_current!$I$44*-1</f>
        <v>0</v>
      </c>
      <c r="W62" s="115">
        <f>IF('Staging Table'!C64=1,"", SUM(O62:V62))</f>
        <v>3369960.3348576911</v>
      </c>
      <c r="X62" s="115">
        <f>IF('Staging Table'!C64=1,"", (RT1SC!$C$4*'Staging Table'!BS64*'Staging Table'!$BS$2)+SUM('Staging Table'!BY64:CV64)-IF(Init!$R$12="No",'Staging Table'!DU64, 0))</f>
        <v>84648.904996901736</v>
      </c>
      <c r="Y62" s="69">
        <f>IF('Staging Table'!C64=1,"",IF(X62=0, 0, W62/X62))</f>
        <v>39.811032818215857</v>
      </c>
      <c r="Z62" s="64">
        <f ca="1">IF('Staging Table'!C64=1,"",(Y62/N62-1)+(RAND()/100000000000000))</f>
        <v>8.074165896095381E-2</v>
      </c>
      <c r="AA62" s="45">
        <f t="shared" ca="1" si="4"/>
        <v>101</v>
      </c>
      <c r="AB62" s="76"/>
      <c r="AC62" s="264"/>
      <c r="AD62" s="119"/>
      <c r="AE62" s="119"/>
      <c r="AG62" s="119"/>
      <c r="AH62" s="119"/>
    </row>
    <row r="63" spans="2:34">
      <c r="B63" s="2">
        <v>10179</v>
      </c>
      <c r="C63" s="3" t="s">
        <v>67</v>
      </c>
      <c r="D63" s="115">
        <f>IF(Init!$R$9="Yes",'Staging Table'!F65,'Staging Table'!BS65)*Rates_previous!$E$76*100*12</f>
        <v>60163157.101679996</v>
      </c>
      <c r="E63" s="115">
        <f>IF(Init!$R$9="Yes",'Staging Table'!F65,'Staging Table'!BS65)*Rates_previous!$E$77*100*12</f>
        <v>-12282848.26884</v>
      </c>
      <c r="F63" s="116">
        <f>IF(Init!$R$9="Yes",SUMPRODUCT('Staging Table'!L65:AI65,LS_Demand_Rates_Restatement!$C$4:$Z$4)-IF(Init!$R$12="No",('Staging Table'!BH65*Rates_previous!$H$34), 0),SUMPRODUCT('Staging Table'!BY65:CV65,LS_Demand_Rates_Restatement!$C$4:$Z$4)-IF(Init!$R$12="No", 'Staging Table'!DU65*Rates_previous!$H$34, 0))</f>
        <v>0</v>
      </c>
      <c r="G63" s="116">
        <f>IF(Init!$R$9="Yes",SUMPRODUCT('Staging Table'!AJ65:AU65,LS_Demand_Rates_Restatement!$C$10:$N$10),SUMPRODUCT(LS_Demand_Rates_Restatement!$C$10:$N$10,'Staging Table'!CW65:DH65))*1000</f>
        <v>0</v>
      </c>
      <c r="H63" s="117">
        <f>IF(Init!$R$9="Yes",'Staging Table'!BQ65,'Staging Table'!ED65)*IF(Init!$R$3=2022,Rates_previous!$C$88,Rates_previous!$D$88)</f>
        <v>0</v>
      </c>
      <c r="I63" s="115">
        <v>59</v>
      </c>
      <c r="J63" s="117">
        <f>IF(Init!$R$9="Yes",IF('Staging Table'!D65=1,'Staging Table'!H65*-1*'Staging Table'!BS65/'Staging Table'!BR65,'Staging Table'!H65*SUM(D63:I63)*(-1)),IF('Staging Table'!D65=1,'Staging Table'!BU65*-1*'Staging Table'!BS65/'Staging Table'!BR65,'Staging Table'!BU65*SUM(D63:I63)*(-1)))</f>
        <v>0</v>
      </c>
      <c r="K63" s="115">
        <f>IF(Init!$R$9="Yes",'Staging Table'!K65,'Staging Table'!BX65)*(-1)*Rates_previous!$H$32</f>
        <v>0</v>
      </c>
      <c r="L63" s="115" t="str">
        <f>IF('Staging Table'!C65=1,"",SUM(D63:K63))</f>
        <v/>
      </c>
      <c r="M63" s="115" t="str">
        <f>IF('Staging Table'!C65=1,"",IF(Init!$R$9="Yes",(RT1SC!$C$3*'Staging Table'!F65*'Staging Table'!$F$2)+SUM('Staging Table'!L65:AI65)-IF(Init!$R$12="No",'Staging Table'!BH65, 0),X63))</f>
        <v/>
      </c>
      <c r="N63" s="69" t="str">
        <f>IF('Staging Table'!C65=1,"",IF(M63=0, 0, L63/M63))</f>
        <v/>
      </c>
      <c r="O63" s="115">
        <f>'Staging Table'!BS65*Rates_current!$F$77*100*12</f>
        <v>61119564.433200002</v>
      </c>
      <c r="P63" s="115">
        <f>'Staging Table'!BS65*Rates_current!$F$78*100*12</f>
        <v>-9789716.2356000002</v>
      </c>
      <c r="Q63" s="116">
        <f>SUMPRODUCT('Staging Table'!BY65:CV65, LS_Demand_Rates_Restatement!$C$5:$Z$5)-IF(Init!$R$12="No",('Staging Table'!DU65*Rates_current!$I$46), 0)</f>
        <v>0</v>
      </c>
      <c r="R63" s="116">
        <f>SUMPRODUCT('Staging Table'!CW65:DH65, LS_Demand_Rates_Restatement!$C$11:$N$11)*1000</f>
        <v>0</v>
      </c>
      <c r="S63" s="117">
        <f>'Staging Table'!ED65*IF(Init!$R$15="Yes",IF(Init!$R$6=2024,Rates_current!$C$89,Rates_current!$D$89),Rates_current!$I$45)</f>
        <v>0</v>
      </c>
      <c r="T63" s="117">
        <v>59</v>
      </c>
      <c r="U63" s="117">
        <f>IF('Staging Table'!D65=1, 'Staging Table'!BU65*-1*'Staging Table'!BS65/'Staging Table'!BR65,SUM(O63:T63)*'Staging Table'!BU65*-1)</f>
        <v>0</v>
      </c>
      <c r="V63" s="115">
        <f>'Staging Table'!BX65*Rates_current!$I$44*-1</f>
        <v>0</v>
      </c>
      <c r="W63" s="115" t="str">
        <f>IF('Staging Table'!C65=1,"", SUM(O63:V63))</f>
        <v/>
      </c>
      <c r="X63" s="115" t="str">
        <f>IF('Staging Table'!C65=1,"", (RT1SC!$C$4*'Staging Table'!BS65*'Staging Table'!$BS$2)+SUM('Staging Table'!BY65:CV65)-IF(Init!$R$12="No",'Staging Table'!DU65, 0))</f>
        <v/>
      </c>
      <c r="Y63" s="69" t="str">
        <f>IF('Staging Table'!C65=1,"",IF(X63=0, 0, W63/X63))</f>
        <v/>
      </c>
      <c r="Z63" s="64" t="str">
        <f ca="1">IF('Staging Table'!C65=1,"",(Y63/N63-1)+(RAND()/100000000000000))</f>
        <v/>
      </c>
      <c r="AA63" s="45" t="str">
        <f t="shared" ca="1" si="4"/>
        <v/>
      </c>
      <c r="AB63" s="76"/>
      <c r="AC63" s="264"/>
      <c r="AD63" s="119"/>
      <c r="AE63" s="119"/>
      <c r="AG63" s="119"/>
      <c r="AH63" s="119"/>
    </row>
    <row r="64" spans="2:34">
      <c r="B64" s="2">
        <v>10183</v>
      </c>
      <c r="C64" s="3" t="s">
        <v>68</v>
      </c>
      <c r="D64" s="115">
        <f>IF(Init!$R$9="Yes",'Staging Table'!F66,'Staging Table'!BS66)*Rates_previous!$E$76*100*12</f>
        <v>22925668.132079996</v>
      </c>
      <c r="E64" s="115">
        <f>IF(Init!$R$9="Yes",'Staging Table'!F66,'Staging Table'!BS66)*Rates_previous!$E$77*100*12</f>
        <v>-4680480.8240400003</v>
      </c>
      <c r="F64" s="116">
        <f>IF(Init!$R$9="Yes",SUMPRODUCT('Staging Table'!L66:AI66,LS_Demand_Rates_Restatement!$C$4:$Z$4)-IF(Init!$R$12="No",('Staging Table'!BH66*Rates_previous!$H$34), 0),SUMPRODUCT('Staging Table'!BY66:CV66,LS_Demand_Rates_Restatement!$C$4:$Z$4)-IF(Init!$R$12="No", 'Staging Table'!DU66*Rates_previous!$H$34, 0))</f>
        <v>-553123.18232913222</v>
      </c>
      <c r="G64" s="116">
        <f>IF(Init!$R$9="Yes",SUMPRODUCT('Staging Table'!AJ66:AU66,LS_Demand_Rates_Restatement!$C$10:$N$10),SUMPRODUCT(LS_Demand_Rates_Restatement!$C$10:$N$10,'Staging Table'!CW66:DH66))*1000</f>
        <v>0</v>
      </c>
      <c r="H64" s="117">
        <f>IF(Init!$R$9="Yes",'Staging Table'!BQ66,'Staging Table'!ED66)*IF(Init!$R$3=2022,Rates_previous!$C$88,Rates_previous!$D$88)</f>
        <v>0</v>
      </c>
      <c r="I64" s="115">
        <v>60</v>
      </c>
      <c r="J64" s="117">
        <f>IF(Init!$R$9="Yes",IF('Staging Table'!D66=1,'Staging Table'!H66*-1*'Staging Table'!BS66/'Staging Table'!BR66,'Staging Table'!H66*SUM(D64:I64)*(-1)),IF('Staging Table'!D66=1,'Staging Table'!BU66*-1*'Staging Table'!BS66/'Staging Table'!BR66,'Staging Table'!BU66*SUM(D64:I64)*(-1)))</f>
        <v>0</v>
      </c>
      <c r="K64" s="115">
        <f>IF(Init!$R$9="Yes",'Staging Table'!K66,'Staging Table'!BX66)*(-1)*Rates_previous!$H$32</f>
        <v>-1092291.84779</v>
      </c>
      <c r="L64" s="115">
        <f>IF('Staging Table'!C66=1,"",SUM(D64:K64))</f>
        <v>16599832.277920865</v>
      </c>
      <c r="M64" s="115">
        <f>IF('Staging Table'!C66=1,"",IF(Init!$R$9="Yes",(RT1SC!$C$3*'Staging Table'!F66*'Staging Table'!$F$2)+SUM('Staging Table'!L66:AI66)-IF(Init!$R$12="No",'Staging Table'!BH66, 0),X64))</f>
        <v>547757.52519391559</v>
      </c>
      <c r="N64" s="69">
        <f>IF('Staging Table'!C66=1,"",IF(M64=0, 0, L64/M64))</f>
        <v>30.305073895688132</v>
      </c>
      <c r="O64" s="115">
        <f>'Staging Table'!BS66*Rates_current!$F$77*100*12</f>
        <v>22840781.979599997</v>
      </c>
      <c r="P64" s="115">
        <f>'Staging Table'!BS66*Rates_current!$F$78*100*12</f>
        <v>-3658481.1468000002</v>
      </c>
      <c r="Q64" s="116">
        <f>SUMPRODUCT('Staging Table'!BY66:CV66, LS_Demand_Rates_Restatement!$C$5:$Z$5)-IF(Init!$R$12="No",('Staging Table'!DU66*Rates_current!$I$46), 0)</f>
        <v>803220.74594875658</v>
      </c>
      <c r="R64" s="116">
        <f>SUMPRODUCT('Staging Table'!CW66:DH66, LS_Demand_Rates_Restatement!$C$11:$N$11)*1000</f>
        <v>0</v>
      </c>
      <c r="S64" s="117">
        <f>'Staging Table'!ED66*IF(Init!$R$15="Yes",IF(Init!$R$6=2024,Rates_current!$C$89,Rates_current!$D$89),Rates_current!$I$45)</f>
        <v>0</v>
      </c>
      <c r="T64" s="117">
        <v>60</v>
      </c>
      <c r="U64" s="117">
        <f>IF('Staging Table'!D66=1, 'Staging Table'!BU66*-1*'Staging Table'!BS66/'Staging Table'!BR66,SUM(O64:T64)*'Staging Table'!BU66*-1)</f>
        <v>0</v>
      </c>
      <c r="V64" s="115">
        <f>'Staging Table'!BX66*Rates_current!$I$44*-1</f>
        <v>-1129110.6741200001</v>
      </c>
      <c r="W64" s="115">
        <f>IF('Staging Table'!C66=1,"", SUM(O64:V64))</f>
        <v>18856470.904628754</v>
      </c>
      <c r="X64" s="115">
        <f>IF('Staging Table'!C66=1,"", (RT1SC!$C$4*'Staging Table'!BS66*'Staging Table'!$BS$2)+SUM('Staging Table'!BY66:CV66)-IF(Init!$R$12="No",'Staging Table'!DU66, 0))</f>
        <v>550496.55962966464</v>
      </c>
      <c r="Y64" s="69">
        <f>IF('Staging Table'!C66=1,"",IF(X64=0, 0, W64/X64))</f>
        <v>34.253567210872419</v>
      </c>
      <c r="Z64" s="64">
        <f ca="1">IF('Staging Table'!C66=1,"",(Y64/N64-1)+(RAND()/100000000000000))</f>
        <v>0.13029149273073526</v>
      </c>
      <c r="AA64" s="45">
        <f t="shared" ca="1" si="4"/>
        <v>9</v>
      </c>
      <c r="AB64" s="76"/>
      <c r="AC64" s="264"/>
      <c r="AD64" s="119"/>
      <c r="AE64" s="119"/>
      <c r="AG64" s="119"/>
      <c r="AH64" s="119"/>
    </row>
    <row r="65" spans="2:34">
      <c r="B65" s="2">
        <v>10186</v>
      </c>
      <c r="C65" s="3" t="s">
        <v>69</v>
      </c>
      <c r="D65" s="115">
        <f>IF(Init!$R$9="Yes",'Staging Table'!F67,'Staging Table'!BS67)*Rates_previous!$E$76*100*12</f>
        <v>6364352.2089599986</v>
      </c>
      <c r="E65" s="115">
        <f>IF(Init!$R$9="Yes",'Staging Table'!F67,'Staging Table'!BS67)*Rates_previous!$E$77*100*12</f>
        <v>-1299339.60048</v>
      </c>
      <c r="F65" s="116">
        <f>IF(Init!$R$9="Yes",SUMPRODUCT('Staging Table'!L67:AI67,LS_Demand_Rates_Restatement!$C$4:$Z$4)-IF(Init!$R$12="No",('Staging Table'!BH67*Rates_previous!$H$34), 0),SUMPRODUCT('Staging Table'!BY67:CV67,LS_Demand_Rates_Restatement!$C$4:$Z$4)-IF(Init!$R$12="No", 'Staging Table'!DU67*Rates_previous!$H$34, 0))</f>
        <v>242547.43288235748</v>
      </c>
      <c r="G65" s="116">
        <f>IF(Init!$R$9="Yes",SUMPRODUCT('Staging Table'!AJ67:AU67,LS_Demand_Rates_Restatement!$C$10:$N$10),SUMPRODUCT(LS_Demand_Rates_Restatement!$C$10:$N$10,'Staging Table'!CW67:DH67))*1000</f>
        <v>325419.2650684563</v>
      </c>
      <c r="H65" s="117">
        <f>IF(Init!$R$9="Yes",'Staging Table'!BQ67,'Staging Table'!ED67)*IF(Init!$R$3=2022,Rates_previous!$C$88,Rates_previous!$D$88)</f>
        <v>0</v>
      </c>
      <c r="I65" s="115">
        <v>61</v>
      </c>
      <c r="J65" s="117">
        <f>IF(Init!$R$9="Yes",IF('Staging Table'!D67=1,'Staging Table'!H67*-1*'Staging Table'!BS67/'Staging Table'!BR67,'Staging Table'!H67*SUM(D65:I65)*(-1)),IF('Staging Table'!D67=1,'Staging Table'!BU67*-1*'Staging Table'!BS67/'Staging Table'!BR67,'Staging Table'!BU67*SUM(D65:I65)*(-1)))</f>
        <v>-394312.82145015692</v>
      </c>
      <c r="K65" s="115">
        <f>IF(Init!$R$9="Yes",'Staging Table'!K67,'Staging Table'!BX67)*(-1)*Rates_previous!$H$32</f>
        <v>0</v>
      </c>
      <c r="L65" s="115">
        <f>IF('Staging Table'!C67=1,"",SUM(D65:K65))</f>
        <v>5238727.4849806558</v>
      </c>
      <c r="M65" s="115">
        <f>IF('Staging Table'!C67=1,"",IF(Init!$R$9="Yes",(RT1SC!$C$3*'Staging Table'!F67*'Staging Table'!$F$2)+SUM('Staging Table'!L67:AI67)-IF(Init!$R$12="No",'Staging Table'!BH67, 0),X65))</f>
        <v>161980.05872658512</v>
      </c>
      <c r="N65" s="69">
        <f>IF('Staging Table'!C67=1,"",IF(M65=0, 0, L65/M65))</f>
        <v>32.341805072582339</v>
      </c>
      <c r="O65" s="115">
        <f>'Staging Table'!BS67*Rates_current!$F$77*100*12</f>
        <v>6735899.2506000008</v>
      </c>
      <c r="P65" s="115">
        <f>'Staging Table'!BS67*Rates_current!$F$78*100*12</f>
        <v>-1078910.5398000001</v>
      </c>
      <c r="Q65" s="116">
        <f>SUMPRODUCT('Staging Table'!BY67:CV67, LS_Demand_Rates_Restatement!$C$5:$Z$5)-IF(Init!$R$12="No",('Staging Table'!DU67*Rates_current!$I$46), 0)</f>
        <v>148549.31612957956</v>
      </c>
      <c r="R65" s="116">
        <f>SUMPRODUCT('Staging Table'!CW67:DH67, LS_Demand_Rates_Restatement!$C$11:$N$11)*1000</f>
        <v>363808.38154387474</v>
      </c>
      <c r="S65" s="117">
        <f>'Staging Table'!ED67*IF(Init!$R$15="Yes",IF(Init!$R$6=2024,Rates_current!$C$89,Rates_current!$D$89),Rates_current!$I$45)</f>
        <v>4.2386600928904956</v>
      </c>
      <c r="T65" s="117">
        <v>61</v>
      </c>
      <c r="U65" s="117">
        <f>IF('Staging Table'!D67=1, 'Staging Table'!BU67*-1*'Staging Table'!BS67/'Staging Table'!BR67,SUM(O65:T65)*'Staging Table'!BU67*-1)</f>
        <v>-431858.81529934832</v>
      </c>
      <c r="V65" s="115">
        <f>'Staging Table'!BX67*Rates_current!$I$44*-1</f>
        <v>0</v>
      </c>
      <c r="W65" s="115">
        <f>IF('Staging Table'!C67=1,"", SUM(O65:V65))</f>
        <v>5737552.8318341989</v>
      </c>
      <c r="X65" s="115">
        <f>IF('Staging Table'!C67=1,"", (RT1SC!$C$4*'Staging Table'!BS67*'Staging Table'!$BS$2)+SUM('Staging Table'!BY67:CV67)-IF(Init!$R$12="No",'Staging Table'!DU67, 0))</f>
        <v>161980.06756183173</v>
      </c>
      <c r="Y65" s="69">
        <f>IF('Staging Table'!C67=1,"",IF(X65=0, 0, W65/X65))</f>
        <v>35.421351022983337</v>
      </c>
      <c r="Z65" s="64">
        <f ca="1">IF('Staging Table'!C67=1,"",(Y65/N65-1)+(RAND()/100000000000000))</f>
        <v>9.5218740682216987E-2</v>
      </c>
      <c r="AA65" s="45">
        <f t="shared" ca="1" si="4"/>
        <v>69</v>
      </c>
      <c r="AB65" s="76"/>
      <c r="AC65" s="264"/>
      <c r="AD65" s="119"/>
      <c r="AE65" s="119"/>
      <c r="AG65" s="119"/>
      <c r="AH65" s="119"/>
    </row>
    <row r="66" spans="2:34">
      <c r="B66" s="2">
        <v>10190</v>
      </c>
      <c r="C66" s="3" t="s">
        <v>70</v>
      </c>
      <c r="D66" s="115">
        <f>IF(Init!$R$9="Yes",'Staging Table'!F68,'Staging Table'!BS68)*Rates_previous!$E$76*100*12</f>
        <v>1872337.2163199997</v>
      </c>
      <c r="E66" s="115">
        <f>IF(Init!$R$9="Yes",'Staging Table'!F68,'Staging Table'!BS68)*Rates_previous!$E$77*100*12</f>
        <v>-382254.44015999994</v>
      </c>
      <c r="F66" s="116">
        <f>IF(Init!$R$9="Yes",SUMPRODUCT('Staging Table'!L68:AI68,LS_Demand_Rates_Restatement!$C$4:$Z$4)-IF(Init!$R$12="No",('Staging Table'!BH68*Rates_previous!$H$34), 0),SUMPRODUCT('Staging Table'!BY68:CV68,LS_Demand_Rates_Restatement!$C$4:$Z$4)-IF(Init!$R$12="No", 'Staging Table'!DU68*Rates_previous!$H$34, 0))</f>
        <v>59535.285173806275</v>
      </c>
      <c r="G66" s="116">
        <f>IF(Init!$R$9="Yes",SUMPRODUCT('Staging Table'!AJ68:AU68,LS_Demand_Rates_Restatement!$C$10:$N$10),SUMPRODUCT(LS_Demand_Rates_Restatement!$C$10:$N$10,'Staging Table'!CW68:DH68))*1000</f>
        <v>167171.56674409725</v>
      </c>
      <c r="H66" s="117">
        <f>IF(Init!$R$9="Yes",'Staging Table'!BQ68,'Staging Table'!ED68)*IF(Init!$R$3=2022,Rates_previous!$C$88,Rates_previous!$D$88)</f>
        <v>0</v>
      </c>
      <c r="I66" s="115">
        <v>62</v>
      </c>
      <c r="J66" s="117">
        <f>IF(Init!$R$9="Yes",IF('Staging Table'!D68=1,'Staging Table'!H68*-1*'Staging Table'!BS68/'Staging Table'!BR68,'Staging Table'!H68*SUM(D66:I66)*(-1)),IF('Staging Table'!D68=1,'Staging Table'!BU68*-1*'Staging Table'!BS68/'Staging Table'!BR68,'Staging Table'!BU68*SUM(D66:I66)*(-1)))</f>
        <v>0</v>
      </c>
      <c r="K66" s="115">
        <f>IF(Init!$R$9="Yes",'Staging Table'!K68,'Staging Table'!BX68)*(-1)*Rates_previous!$H$32</f>
        <v>0</v>
      </c>
      <c r="L66" s="115">
        <f>IF('Staging Table'!C68=1,"",SUM(D66:K66))</f>
        <v>1716851.6280779033</v>
      </c>
      <c r="M66" s="115">
        <f>IF('Staging Table'!C68=1,"",IF(Init!$R$9="Yes",(RT1SC!$C$3*'Staging Table'!F68*'Staging Table'!$F$2)+SUM('Staging Table'!L68:AI68)-IF(Init!$R$12="No",'Staging Table'!BH68, 0),X66))</f>
        <v>45606.527999999998</v>
      </c>
      <c r="N66" s="69">
        <f>IF('Staging Table'!C68=1,"",IF(M66=0, 0, L66/M66))</f>
        <v>37.644865841966819</v>
      </c>
      <c r="O66" s="115">
        <f>'Staging Table'!BS68*Rates_current!$F$77*100*12</f>
        <v>1901974.0896000001</v>
      </c>
      <c r="P66" s="115">
        <f>'Staging Table'!BS68*Rates_current!$F$78*100*12</f>
        <v>-304645.27679999999</v>
      </c>
      <c r="Q66" s="116">
        <f>SUMPRODUCT('Staging Table'!BY68:CV68, LS_Demand_Rates_Restatement!$C$5:$Z$5)-IF(Init!$R$12="No",('Staging Table'!DU68*Rates_current!$I$46), 0)</f>
        <v>92318.107643750118</v>
      </c>
      <c r="R66" s="116">
        <f>SUMPRODUCT('Staging Table'!CW68:DH68, LS_Demand_Rates_Restatement!$C$11:$N$11)*1000</f>
        <v>182193.63029383909</v>
      </c>
      <c r="S66" s="117">
        <f>'Staging Table'!ED68*IF(Init!$R$15="Yes",IF(Init!$R$6=2024,Rates_current!$C$89,Rates_current!$D$89),Rates_current!$I$45)</f>
        <v>0</v>
      </c>
      <c r="T66" s="117">
        <v>62</v>
      </c>
      <c r="U66" s="117">
        <f>IF('Staging Table'!D68=1, 'Staging Table'!BU68*-1*'Staging Table'!BS68/'Staging Table'!BR68,SUM(O66:T66)*'Staging Table'!BU68*-1)</f>
        <v>0</v>
      </c>
      <c r="V66" s="115">
        <f>'Staging Table'!BX68*Rates_current!$I$44*-1</f>
        <v>0</v>
      </c>
      <c r="W66" s="115">
        <f>IF('Staging Table'!C68=1,"", SUM(O66:V66))</f>
        <v>1871902.5507375891</v>
      </c>
      <c r="X66" s="115">
        <f>IF('Staging Table'!C68=1,"", (RT1SC!$C$4*'Staging Table'!BS68*'Staging Table'!$BS$2)+SUM('Staging Table'!BY68:CV68)-IF(Init!$R$12="No",'Staging Table'!DU68, 0))</f>
        <v>45733.990699915114</v>
      </c>
      <c r="Y66" s="69">
        <f>IF('Staging Table'!C68=1,"",IF(X66=0, 0, W66/X66))</f>
        <v>40.930225464471953</v>
      </c>
      <c r="Z66" s="64">
        <f ca="1">IF('Staging Table'!C68=1,"",(Y66/N66-1)+(RAND()/100000000000000))</f>
        <v>8.7272448686553053E-2</v>
      </c>
      <c r="AA66" s="45">
        <f t="shared" ca="1" si="4"/>
        <v>93</v>
      </c>
      <c r="AB66" s="76"/>
      <c r="AC66" s="264"/>
      <c r="AD66" s="119"/>
      <c r="AE66" s="119"/>
      <c r="AG66" s="119"/>
      <c r="AH66" s="119"/>
    </row>
    <row r="67" spans="2:34">
      <c r="B67" s="2">
        <v>10191</v>
      </c>
      <c r="C67" s="3" t="s">
        <v>71</v>
      </c>
      <c r="D67" s="115">
        <f>IF(Init!$R$9="Yes",'Staging Table'!F69,'Staging Table'!BS69)*Rates_previous!$E$76*100*12</f>
        <v>43445647.00152</v>
      </c>
      <c r="E67" s="115">
        <f>IF(Init!$R$9="Yes",'Staging Table'!F69,'Staging Table'!BS69)*Rates_previous!$E$77*100*12</f>
        <v>-8869818.6027599983</v>
      </c>
      <c r="F67" s="116">
        <f>IF(Init!$R$9="Yes",SUMPRODUCT('Staging Table'!L69:AI69,LS_Demand_Rates_Restatement!$C$4:$Z$4)-IF(Init!$R$12="No",('Staging Table'!BH69*Rates_previous!$H$34), 0),SUMPRODUCT('Staging Table'!BY69:CV69,LS_Demand_Rates_Restatement!$C$4:$Z$4)-IF(Init!$R$12="No", 'Staging Table'!DU69*Rates_previous!$H$34, 0))</f>
        <v>2215785.7004304603</v>
      </c>
      <c r="G67" s="116">
        <f>IF(Init!$R$9="Yes",SUMPRODUCT('Staging Table'!AJ69:AU69,LS_Demand_Rates_Restatement!$C$10:$N$10),SUMPRODUCT(LS_Demand_Rates_Restatement!$C$10:$N$10,'Staging Table'!CW69:DH69))*1000</f>
        <v>2294759.9369259626</v>
      </c>
      <c r="H67" s="117">
        <f>IF(Init!$R$9="Yes",'Staging Table'!BQ69,'Staging Table'!ED69)*IF(Init!$R$3=2022,Rates_previous!$C$88,Rates_previous!$D$88)</f>
        <v>0</v>
      </c>
      <c r="I67" s="115">
        <v>63</v>
      </c>
      <c r="J67" s="117">
        <f>IF(Init!$R$9="Yes",IF('Staging Table'!D69=1,'Staging Table'!H69*-1*'Staging Table'!BS69/'Staging Table'!BR69,'Staging Table'!H69*SUM(D67:I67)*(-1)),IF('Staging Table'!D69=1,'Staging Table'!BU69*-1*'Staging Table'!BS69/'Staging Table'!BR69,'Staging Table'!BU69*SUM(D67:I67)*(-1)))</f>
        <v>0</v>
      </c>
      <c r="K67" s="115">
        <f>IF(Init!$R$9="Yes",'Staging Table'!K69,'Staging Table'!BX69)*(-1)*Rates_previous!$H$32</f>
        <v>0</v>
      </c>
      <c r="L67" s="115">
        <f>IF('Staging Table'!C69=1,"",SUM(D67:K67))</f>
        <v>39086437.036116429</v>
      </c>
      <c r="M67" s="115">
        <f>IF('Staging Table'!C69=1,"",IF(Init!$R$9="Yes",(RT1SC!$C$3*'Staging Table'!F69*'Staging Table'!$F$2)+SUM('Staging Table'!L69:AI69)-IF(Init!$R$12="No",'Staging Table'!BH69, 0),X67))</f>
        <v>1116286.6929599643</v>
      </c>
      <c r="N67" s="69">
        <f>IF('Staging Table'!C69=1,"",IF(M67=0, 0, L67/M67))</f>
        <v>35.01469405899141</v>
      </c>
      <c r="O67" s="115">
        <f>'Staging Table'!BS69*Rates_current!$F$77*100*12</f>
        <v>46419666.649200007</v>
      </c>
      <c r="P67" s="115">
        <f>'Staging Table'!BS69*Rates_current!$F$78*100*12</f>
        <v>-7435186.5636000009</v>
      </c>
      <c r="Q67" s="116">
        <f>SUMPRODUCT('Staging Table'!BY69:CV69, LS_Demand_Rates_Restatement!$C$5:$Z$5)-IF(Init!$R$12="No",('Staging Table'!DU69*Rates_current!$I$46), 0)</f>
        <v>1068186.6385528478</v>
      </c>
      <c r="R67" s="116">
        <f>SUMPRODUCT('Staging Table'!CW69:DH69, LS_Demand_Rates_Restatement!$C$11:$N$11)*1000</f>
        <v>2412319.0458835033</v>
      </c>
      <c r="S67" s="117">
        <f>'Staging Table'!ED69*IF(Init!$R$15="Yes",IF(Init!$R$6=2024,Rates_current!$C$89,Rates_current!$D$89),Rates_current!$I$45)</f>
        <v>0.17889030330814421</v>
      </c>
      <c r="T67" s="117">
        <v>63</v>
      </c>
      <c r="U67" s="117">
        <f>IF('Staging Table'!D69=1, 'Staging Table'!BU69*-1*'Staging Table'!BS69/'Staging Table'!BR69,SUM(O67:T67)*'Staging Table'!BU69*-1)</f>
        <v>0</v>
      </c>
      <c r="V67" s="115">
        <f>'Staging Table'!BX69*Rates_current!$I$44*-1</f>
        <v>0</v>
      </c>
      <c r="W67" s="115">
        <f>IF('Staging Table'!C69=1,"", SUM(O67:V67))</f>
        <v>42465048.948926657</v>
      </c>
      <c r="X67" s="115">
        <f>IF('Staging Table'!C69=1,"", (RT1SC!$C$4*'Staging Table'!BS69*'Staging Table'!$BS$2)+SUM('Staging Table'!BY69:CV69)-IF(Init!$R$12="No",'Staging Table'!DU69, 0))</f>
        <v>1116286.7538942518</v>
      </c>
      <c r="Y67" s="69">
        <f>IF('Staging Table'!C69=1,"",IF(X67=0, 0, W67/X67))</f>
        <v>38.041344484993736</v>
      </c>
      <c r="Z67" s="64">
        <f ca="1">IF('Staging Table'!C69=1,"",(Y67/N67-1)+(RAND()/100000000000000))</f>
        <v>8.6439436566355499E-2</v>
      </c>
      <c r="AA67" s="45">
        <f t="shared" ca="1" si="4"/>
        <v>96</v>
      </c>
      <c r="AB67" s="76"/>
      <c r="AC67" s="264"/>
      <c r="AD67" s="119"/>
      <c r="AE67" s="119"/>
      <c r="AG67" s="119"/>
      <c r="AH67" s="119"/>
    </row>
    <row r="68" spans="2:34">
      <c r="B68" s="2">
        <v>10197</v>
      </c>
      <c r="C68" s="3" t="s">
        <v>72</v>
      </c>
      <c r="D68" s="115">
        <f>IF(Init!$R$9="Yes",'Staging Table'!F70,'Staging Table'!BS70)*Rates_previous!$E$76*100*12</f>
        <v>8205799.3487999998</v>
      </c>
      <c r="E68" s="115">
        <f>IF(Init!$R$9="Yes",'Staging Table'!F70,'Staging Table'!BS70)*Rates_previous!$E$77*100*12</f>
        <v>-1675287.5543999998</v>
      </c>
      <c r="F68" s="116">
        <f>IF(Init!$R$9="Yes",SUMPRODUCT('Staging Table'!L70:AI70,LS_Demand_Rates_Restatement!$C$4:$Z$4)-IF(Init!$R$12="No",('Staging Table'!BH70*Rates_previous!$H$34), 0),SUMPRODUCT('Staging Table'!BY70:CV70,LS_Demand_Rates_Restatement!$C$4:$Z$4)-IF(Init!$R$12="No", 'Staging Table'!DU70*Rates_previous!$H$34, 0))</f>
        <v>-862311.67984791473</v>
      </c>
      <c r="G68" s="116">
        <f>IF(Init!$R$9="Yes",SUMPRODUCT('Staging Table'!AJ70:AU70,LS_Demand_Rates_Restatement!$C$10:$N$10),SUMPRODUCT(LS_Demand_Rates_Restatement!$C$10:$N$10,'Staging Table'!CW70:DH70))*1000</f>
        <v>627924.96343832801</v>
      </c>
      <c r="H68" s="117">
        <f>IF(Init!$R$9="Yes",'Staging Table'!BQ70,'Staging Table'!ED70)*IF(Init!$R$3=2022,Rates_previous!$C$88,Rates_previous!$D$88)</f>
        <v>0</v>
      </c>
      <c r="I68" s="115">
        <v>64</v>
      </c>
      <c r="J68" s="117">
        <f>IF(Init!$R$9="Yes",IF('Staging Table'!D70=1,'Staging Table'!H70*-1*'Staging Table'!BS70/'Staging Table'!BR70,'Staging Table'!H70*SUM(D68:I68)*(-1)),IF('Staging Table'!D70=1,'Staging Table'!BU70*-1*'Staging Table'!BS70/'Staging Table'!BR70,'Staging Table'!BU70*SUM(D68:I68)*(-1)))</f>
        <v>-546863.30169594241</v>
      </c>
      <c r="K68" s="115">
        <f>IF(Init!$R$9="Yes",'Staging Table'!K70,'Staging Table'!BX70)*(-1)*Rates_previous!$H$32</f>
        <v>-1155833.8018499999</v>
      </c>
      <c r="L68" s="115">
        <f>IF('Staging Table'!C70=1,"",SUM(D68:K68))</f>
        <v>4593491.9744444713</v>
      </c>
      <c r="M68" s="115">
        <f>IF('Staging Table'!C70=1,"",IF(Init!$R$9="Yes",(RT1SC!$C$3*'Staging Table'!F70*'Staging Table'!$F$2)+SUM('Staging Table'!L70:AI70)-IF(Init!$R$12="No",'Staging Table'!BH70, 0),X68))</f>
        <v>185575.2639368136</v>
      </c>
      <c r="N68" s="69">
        <f>IF('Staging Table'!C70=1,"",IF(M68=0, 0, L68/M68))</f>
        <v>24.752716913869008</v>
      </c>
      <c r="O68" s="115">
        <f>'Staging Table'!BS70*Rates_current!$F$77*100*12</f>
        <v>8336157.6792000001</v>
      </c>
      <c r="P68" s="115">
        <f>'Staging Table'!BS70*Rates_current!$F$78*100*12</f>
        <v>-1335229.0536</v>
      </c>
      <c r="Q68" s="116">
        <f>SUMPRODUCT('Staging Table'!BY70:CV70, LS_Demand_Rates_Restatement!$C$5:$Z$5)-IF(Init!$R$12="No",('Staging Table'!DU70*Rates_current!$I$46), 0)</f>
        <v>-119445.15933640726</v>
      </c>
      <c r="R68" s="116">
        <f>SUMPRODUCT('Staging Table'!CW70:DH70, LS_Demand_Rates_Restatement!$C$11:$N$11)*1000</f>
        <v>696305.35517503566</v>
      </c>
      <c r="S68" s="117">
        <f>'Staging Table'!ED70*IF(Init!$R$15="Yes",IF(Init!$R$6=2024,Rates_current!$C$89,Rates_current!$D$89),Rates_current!$I$45)</f>
        <v>0</v>
      </c>
      <c r="T68" s="117">
        <v>64</v>
      </c>
      <c r="U68" s="117">
        <f>IF('Staging Table'!D70=1, 'Staging Table'!BU70*-1*'Staging Table'!BS70/'Staging Table'!BR70,SUM(O68:T68)*'Staging Table'!BU70*-1)</f>
        <v>-618417.56159855286</v>
      </c>
      <c r="V68" s="115">
        <f>'Staging Table'!BX70*Rates_current!$I$44*-1</f>
        <v>-1194794.4918</v>
      </c>
      <c r="W68" s="115">
        <f>IF('Staging Table'!C70=1,"", SUM(O68:V68))</f>
        <v>5764640.768040075</v>
      </c>
      <c r="X68" s="115">
        <f>IF('Staging Table'!C70=1,"", (RT1SC!$C$4*'Staging Table'!BS70*'Staging Table'!$BS$2)+SUM('Staging Table'!BY70:CV70)-IF(Init!$R$12="No",'Staging Table'!DU70, 0))</f>
        <v>200458.6108334515</v>
      </c>
      <c r="Y68" s="69">
        <f>IF('Staging Table'!C70=1,"",IF(X68=0, 0, W68/X68))</f>
        <v>28.757261881005221</v>
      </c>
      <c r="Z68" s="64">
        <f ca="1">IF('Staging Table'!C70=1,"",(Y68/N68-1)+(RAND()/100000000000000))</f>
        <v>0.16178203714245451</v>
      </c>
      <c r="AA68" s="45">
        <f t="shared" ref="AA68:AA99" ca="1" si="5">IF(Z68="","",RANK(Z68,$Z$4:$Z$137))</f>
        <v>5</v>
      </c>
      <c r="AB68" s="76"/>
      <c r="AC68" s="264"/>
      <c r="AD68" s="119"/>
      <c r="AE68" s="119"/>
      <c r="AG68" s="119"/>
      <c r="AH68" s="119"/>
    </row>
    <row r="69" spans="2:34">
      <c r="B69" s="2">
        <v>10202</v>
      </c>
      <c r="C69" s="3" t="s">
        <v>73</v>
      </c>
      <c r="D69" s="115">
        <f>IF(Init!$R$9="Yes",'Staging Table'!F71,'Staging Table'!BS71)*Rates_previous!$E$76*100*12</f>
        <v>4724188.7932799999</v>
      </c>
      <c r="E69" s="115">
        <f>IF(Init!$R$9="Yes",'Staging Table'!F71,'Staging Table'!BS71)*Rates_previous!$E$77*100*12</f>
        <v>-964485.52463999984</v>
      </c>
      <c r="F69" s="116">
        <f>IF(Init!$R$9="Yes",SUMPRODUCT('Staging Table'!L71:AI71,LS_Demand_Rates_Restatement!$C$4:$Z$4)-IF(Init!$R$12="No",('Staging Table'!BH71*Rates_previous!$H$34), 0),SUMPRODUCT('Staging Table'!BY71:CV71,LS_Demand_Rates_Restatement!$C$4:$Z$4)-IF(Init!$R$12="No", 'Staging Table'!DU71*Rates_previous!$H$34, 0))</f>
        <v>141492.15807164938</v>
      </c>
      <c r="G69" s="116">
        <f>IF(Init!$R$9="Yes",SUMPRODUCT('Staging Table'!AJ71:AU71,LS_Demand_Rates_Restatement!$C$10:$N$10),SUMPRODUCT(LS_Demand_Rates_Restatement!$C$10:$N$10,'Staging Table'!CW71:DH71))*1000</f>
        <v>320057.9370056623</v>
      </c>
      <c r="H69" s="117">
        <f>IF(Init!$R$9="Yes",'Staging Table'!BQ71,'Staging Table'!ED71)*IF(Init!$R$3=2022,Rates_previous!$C$88,Rates_previous!$D$88)</f>
        <v>0</v>
      </c>
      <c r="I69" s="115">
        <v>65</v>
      </c>
      <c r="J69" s="117">
        <f>IF(Init!$R$9="Yes",IF('Staging Table'!D71=1,'Staging Table'!H71*-1*'Staging Table'!BS71/'Staging Table'!BR71,'Staging Table'!H71*SUM(D69:I69)*(-1)),IF('Staging Table'!D71=1,'Staging Table'!BU71*-1*'Staging Table'!BS71/'Staging Table'!BR71,'Staging Table'!BU71*SUM(D69:I69)*(-1)))</f>
        <v>0</v>
      </c>
      <c r="K69" s="115">
        <f>IF(Init!$R$9="Yes",'Staging Table'!K71,'Staging Table'!BX71)*(-1)*Rates_previous!$H$32</f>
        <v>0</v>
      </c>
      <c r="L69" s="115">
        <f>IF('Staging Table'!C71=1,"",SUM(D69:K69))</f>
        <v>4221318.3637173111</v>
      </c>
      <c r="M69" s="115">
        <f>IF('Staging Table'!C71=1,"",IF(Init!$R$9="Yes",(RT1SC!$C$3*'Staging Table'!F71*'Staging Table'!$F$2)+SUM('Staging Table'!L71:AI71)-IF(Init!$R$12="No",'Staging Table'!BH71, 0),X69))</f>
        <v>115061.61599999999</v>
      </c>
      <c r="N69" s="69">
        <f>IF('Staging Table'!C71=1,"",IF(M69=0, 0, L69/M69))</f>
        <v>36.68745938452065</v>
      </c>
      <c r="O69" s="115">
        <f>'Staging Table'!BS71*Rates_current!$F$77*100*12</f>
        <v>4798962.4020000007</v>
      </c>
      <c r="P69" s="115">
        <f>'Staging Table'!BS71*Rates_current!$F$78*100*12</f>
        <v>-768665.16599999997</v>
      </c>
      <c r="Q69" s="116">
        <f>SUMPRODUCT('Staging Table'!BY71:CV71, LS_Demand_Rates_Restatement!$C$5:$Z$5)-IF(Init!$R$12="No",('Staging Table'!DU71*Rates_current!$I$46), 0)</f>
        <v>248013.12646362878</v>
      </c>
      <c r="R69" s="116">
        <f>SUMPRODUCT('Staging Table'!CW71:DH71, LS_Demand_Rates_Restatement!$C$11:$N$11)*1000</f>
        <v>366885.53388638725</v>
      </c>
      <c r="S69" s="117">
        <f>'Staging Table'!ED71*IF(Init!$R$15="Yes",IF(Init!$R$6=2024,Rates_current!$C$89,Rates_current!$D$89),Rates_current!$I$45)</f>
        <v>0</v>
      </c>
      <c r="T69" s="117">
        <v>65</v>
      </c>
      <c r="U69" s="117">
        <f>IF('Staging Table'!D71=1, 'Staging Table'!BU71*-1*'Staging Table'!BS71/'Staging Table'!BR71,SUM(O69:T69)*'Staging Table'!BU71*-1)</f>
        <v>0</v>
      </c>
      <c r="V69" s="115">
        <f>'Staging Table'!BX71*Rates_current!$I$44*-1</f>
        <v>0</v>
      </c>
      <c r="W69" s="115">
        <f>IF('Staging Table'!C71=1,"", SUM(O69:V69))</f>
        <v>4645260.8963500159</v>
      </c>
      <c r="X69" s="115">
        <f>IF('Staging Table'!C71=1,"", (RT1SC!$C$4*'Staging Table'!BS71*'Staging Table'!$BS$2)+SUM('Staging Table'!BY71:CV71)-IF(Init!$R$12="No",'Staging Table'!DU71, 0))</f>
        <v>115401.16081228585</v>
      </c>
      <c r="Y69" s="69">
        <f>IF('Staging Table'!C71=1,"",IF(X69=0, 0, W69/X69))</f>
        <v>40.25315571917082</v>
      </c>
      <c r="Z69" s="64">
        <f ca="1">IF('Staging Table'!C71=1,"",(Y69/N69-1)+(RAND()/100000000000000))</f>
        <v>9.7191149086618495E-2</v>
      </c>
      <c r="AA69" s="45">
        <f t="shared" ca="1" si="5"/>
        <v>55</v>
      </c>
      <c r="AB69" s="76"/>
      <c r="AC69" s="264"/>
      <c r="AD69" s="119"/>
      <c r="AE69" s="119"/>
      <c r="AG69" s="119"/>
      <c r="AH69" s="119"/>
    </row>
    <row r="70" spans="2:34">
      <c r="B70" s="2">
        <v>10203</v>
      </c>
      <c r="C70" s="3" t="s">
        <v>74</v>
      </c>
      <c r="D70" s="115">
        <f>IF(Init!$R$9="Yes",'Staging Table'!F72,'Staging Table'!BS72)*Rates_previous!$E$76*100*12</f>
        <v>2240776.1124</v>
      </c>
      <c r="E70" s="115">
        <f>IF(Init!$R$9="Yes",'Staging Table'!F72,'Staging Table'!BS72)*Rates_previous!$E$77*100*12</f>
        <v>-457474.54619999998</v>
      </c>
      <c r="F70" s="116">
        <f>IF(Init!$R$9="Yes",SUMPRODUCT('Staging Table'!L72:AI72,LS_Demand_Rates_Restatement!$C$4:$Z$4)-IF(Init!$R$12="No",('Staging Table'!BH72*Rates_previous!$H$34), 0),SUMPRODUCT('Staging Table'!BY72:CV72,LS_Demand_Rates_Restatement!$C$4:$Z$4)-IF(Init!$R$12="No", 'Staging Table'!DU72*Rates_previous!$H$34, 0))</f>
        <v>79825.485370539245</v>
      </c>
      <c r="G70" s="116">
        <f>IF(Init!$R$9="Yes",SUMPRODUCT('Staging Table'!AJ72:AU72,LS_Demand_Rates_Restatement!$C$10:$N$10),SUMPRODUCT(LS_Demand_Rates_Restatement!$C$10:$N$10,'Staging Table'!CW72:DH72))*1000</f>
        <v>346406.8810511753</v>
      </c>
      <c r="H70" s="117">
        <f>IF(Init!$R$9="Yes",'Staging Table'!BQ72,'Staging Table'!ED72)*IF(Init!$R$3=2022,Rates_previous!$C$88,Rates_previous!$D$88)</f>
        <v>0</v>
      </c>
      <c r="I70" s="115">
        <v>66</v>
      </c>
      <c r="J70" s="117">
        <f>IF(Init!$R$9="Yes",IF('Staging Table'!D72=1,'Staging Table'!H72*-1*'Staging Table'!BS72/'Staging Table'!BR72,'Staging Table'!H72*SUM(D70:I70)*(-1)),IF('Staging Table'!D72=1,'Staging Table'!BU72*-1*'Staging Table'!BS72/'Staging Table'!BR72,'Staging Table'!BU72*SUM(D70:I70)*(-1)))</f>
        <v>-167517.76215400072</v>
      </c>
      <c r="K70" s="115">
        <f>IF(Init!$R$9="Yes",'Staging Table'!K72,'Staging Table'!BX72)*(-1)*Rates_previous!$H$32</f>
        <v>0</v>
      </c>
      <c r="L70" s="115">
        <f>IF('Staging Table'!C72=1,"",SUM(D70:K70))</f>
        <v>2042082.1704677138</v>
      </c>
      <c r="M70" s="115">
        <f>IF('Staging Table'!C72=1,"",IF(Init!$R$9="Yes",(RT1SC!$C$3*'Staging Table'!F72*'Staging Table'!$F$2)+SUM('Staging Table'!L72:AI72)-IF(Init!$R$12="No",'Staging Table'!BH72, 0),X70))</f>
        <v>54574.991999999998</v>
      </c>
      <c r="N70" s="69">
        <f>IF('Staging Table'!C72=1,"",IF(M70=0, 0, L70/M70))</f>
        <v>37.417910578305055</v>
      </c>
      <c r="O70" s="115">
        <f>'Staging Table'!BS72*Rates_current!$F$77*100*12</f>
        <v>2276464.0860000001</v>
      </c>
      <c r="P70" s="115">
        <f>'Staging Table'!BS72*Rates_current!$F$78*100*12</f>
        <v>-364628.538</v>
      </c>
      <c r="Q70" s="116">
        <f>SUMPRODUCT('Staging Table'!BY72:CV72, LS_Demand_Rates_Restatement!$C$5:$Z$5)-IF(Init!$R$12="No",('Staging Table'!DU72*Rates_current!$I$46), 0)</f>
        <v>106249.5200511061</v>
      </c>
      <c r="R70" s="116">
        <f>SUMPRODUCT('Staging Table'!CW72:DH72, LS_Demand_Rates_Restatement!$C$11:$N$11)*1000</f>
        <v>389174.45342178602</v>
      </c>
      <c r="S70" s="117">
        <f>'Staging Table'!ED72*IF(Init!$R$15="Yes",IF(Init!$R$6=2024,Rates_current!$C$89,Rates_current!$D$89),Rates_current!$I$45)</f>
        <v>0</v>
      </c>
      <c r="T70" s="117">
        <v>66</v>
      </c>
      <c r="U70" s="117">
        <f>IF('Staging Table'!D72=1, 'Staging Table'!BU72*-1*'Staging Table'!BS72/'Staging Table'!BR72,SUM(O70:T70)*'Staging Table'!BU72*-1)</f>
        <v>-224845.51350021898</v>
      </c>
      <c r="V70" s="115">
        <f>'Staging Table'!BX72*Rates_current!$I$44*-1</f>
        <v>0</v>
      </c>
      <c r="W70" s="115">
        <f>IF('Staging Table'!C72=1,"", SUM(O70:V70))</f>
        <v>2182480.0079726735</v>
      </c>
      <c r="X70" s="115">
        <f>IF('Staging Table'!C72=1,"", (RT1SC!$C$4*'Staging Table'!BS72*'Staging Table'!$BS$2)+SUM('Staging Table'!BY72:CV72)-IF(Init!$R$12="No",'Staging Table'!DU72, 0))</f>
        <v>54739.558231516057</v>
      </c>
      <c r="Y70" s="69">
        <f>IF('Staging Table'!C72=1,"",IF(X70=0, 0, W70/X70))</f>
        <v>39.870252491663706</v>
      </c>
      <c r="Z70" s="64">
        <f ca="1">IF('Staging Table'!C72=1,"",(Y70/N70-1)+(RAND()/100000000000000))</f>
        <v>6.5539253139930698E-2</v>
      </c>
      <c r="AA70" s="45">
        <f t="shared" ca="1" si="5"/>
        <v>114</v>
      </c>
      <c r="AB70" s="76"/>
      <c r="AC70" s="264"/>
      <c r="AD70" s="119"/>
      <c r="AE70" s="119"/>
      <c r="AG70" s="119"/>
      <c r="AH70" s="119"/>
    </row>
    <row r="71" spans="2:34">
      <c r="B71" s="2">
        <v>10204</v>
      </c>
      <c r="C71" s="3" t="s">
        <v>75</v>
      </c>
      <c r="D71" s="115">
        <f>IF(Init!$R$9="Yes",'Staging Table'!F73,'Staging Table'!BS73)*Rates_previous!$E$76*100*12</f>
        <v>15022790.823600002</v>
      </c>
      <c r="E71" s="115">
        <f>IF(Init!$R$9="Yes",'Staging Table'!F73,'Staging Table'!BS73)*Rates_previous!$E$77*100*12</f>
        <v>-3067037.5218000002</v>
      </c>
      <c r="F71" s="116">
        <f>IF(Init!$R$9="Yes",SUMPRODUCT('Staging Table'!L73:AI73,LS_Demand_Rates_Restatement!$C$4:$Z$4)-IF(Init!$R$12="No",('Staging Table'!BH73*Rates_previous!$H$34), 0),SUMPRODUCT('Staging Table'!BY73:CV73,LS_Demand_Rates_Restatement!$C$4:$Z$4)-IF(Init!$R$12="No", 'Staging Table'!DU73*Rates_previous!$H$34, 0))</f>
        <v>-436725.09947855608</v>
      </c>
      <c r="G71" s="116">
        <f>IF(Init!$R$9="Yes",SUMPRODUCT('Staging Table'!AJ73:AU73,LS_Demand_Rates_Restatement!$C$10:$N$10),SUMPRODUCT(LS_Demand_Rates_Restatement!$C$10:$N$10,'Staging Table'!CW73:DH73))*1000</f>
        <v>0</v>
      </c>
      <c r="H71" s="117">
        <f>IF(Init!$R$9="Yes",'Staging Table'!BQ73,'Staging Table'!ED73)*IF(Init!$R$3=2022,Rates_previous!$C$88,Rates_previous!$D$88)</f>
        <v>0</v>
      </c>
      <c r="I71" s="115">
        <v>67</v>
      </c>
      <c r="J71" s="117">
        <f>IF(Init!$R$9="Yes",IF('Staging Table'!D73=1,'Staging Table'!H73*-1*'Staging Table'!BS73/'Staging Table'!BR73,'Staging Table'!H73*SUM(D71:I71)*(-1)),IF('Staging Table'!D73=1,'Staging Table'!BU73*-1*'Staging Table'!BS73/'Staging Table'!BR73,'Staging Table'!BU73*SUM(D71:I71)*(-1)))</f>
        <v>0</v>
      </c>
      <c r="K71" s="115">
        <f>IF(Init!$R$9="Yes",'Staging Table'!K73,'Staging Table'!BX73)*(-1)*Rates_previous!$H$32</f>
        <v>0</v>
      </c>
      <c r="L71" s="115">
        <f>IF('Staging Table'!C73=1,"",SUM(D71:K71))</f>
        <v>11519095.202321446</v>
      </c>
      <c r="M71" s="115">
        <f>IF('Staging Table'!C73=1,"",IF(Init!$R$9="Yes",(RT1SC!$C$3*'Staging Table'!F73*'Staging Table'!$F$2)+SUM('Staging Table'!L73:AI73)-IF(Init!$R$12="No",'Staging Table'!BH73, 0),X71))</f>
        <v>358408.94883205649</v>
      </c>
      <c r="N71" s="69">
        <f>IF('Staging Table'!C73=1,"",IF(M71=0, 0, L71/M71))</f>
        <v>32.139530108995885</v>
      </c>
      <c r="O71" s="115">
        <f>'Staging Table'!BS73*Rates_current!$F$77*100*12</f>
        <v>14945155.0638</v>
      </c>
      <c r="P71" s="115">
        <f>'Staging Table'!BS73*Rates_current!$F$78*100*12</f>
        <v>-2393813.3154000002</v>
      </c>
      <c r="Q71" s="116">
        <f>SUMPRODUCT('Staging Table'!BY73:CV73, LS_Demand_Rates_Restatement!$C$5:$Z$5)-IF(Init!$R$12="No",('Staging Table'!DU73*Rates_current!$I$46), 0)</f>
        <v>409907.95039181993</v>
      </c>
      <c r="R71" s="116">
        <f>SUMPRODUCT('Staging Table'!CW73:DH73, LS_Demand_Rates_Restatement!$C$11:$N$11)*1000</f>
        <v>0</v>
      </c>
      <c r="S71" s="117">
        <f>'Staging Table'!ED73*IF(Init!$R$15="Yes",IF(Init!$R$6=2024,Rates_current!$C$89,Rates_current!$D$89),Rates_current!$I$45)</f>
        <v>0</v>
      </c>
      <c r="T71" s="117">
        <v>67</v>
      </c>
      <c r="U71" s="117">
        <f>IF('Staging Table'!D73=1, 'Staging Table'!BU73*-1*'Staging Table'!BS73/'Staging Table'!BR73,SUM(O71:T71)*'Staging Table'!BU73*-1)</f>
        <v>0</v>
      </c>
      <c r="V71" s="115">
        <f>'Staging Table'!BX73*Rates_current!$I$44*-1</f>
        <v>0</v>
      </c>
      <c r="W71" s="115">
        <f>IF('Staging Table'!C73=1,"", SUM(O71:V71))</f>
        <v>12961316.698791819</v>
      </c>
      <c r="X71" s="115">
        <f>IF('Staging Table'!C73=1,"", (RT1SC!$C$4*'Staging Table'!BS73*'Staging Table'!$BS$2)+SUM('Staging Table'!BY73:CV73)-IF(Init!$R$12="No",'Staging Table'!DU73, 0))</f>
        <v>360259.48538395436</v>
      </c>
      <c r="Y71" s="69">
        <f>IF('Staging Table'!C73=1,"",IF(X71=0, 0, W71/X71))</f>
        <v>35.977725013896617</v>
      </c>
      <c r="Z71" s="64">
        <f ca="1">IF('Staging Table'!C73=1,"",(Y71/N71-1)+(RAND()/100000000000000))</f>
        <v>0.11942286934140607</v>
      </c>
      <c r="AA71" s="45">
        <f t="shared" ca="1" si="5"/>
        <v>21</v>
      </c>
      <c r="AB71" s="76"/>
      <c r="AC71" s="264"/>
      <c r="AD71" s="119"/>
      <c r="AE71" s="119"/>
      <c r="AG71" s="119"/>
      <c r="AH71" s="119"/>
    </row>
    <row r="72" spans="2:34">
      <c r="B72" s="2">
        <v>10209</v>
      </c>
      <c r="C72" s="3" t="s">
        <v>76</v>
      </c>
      <c r="D72" s="115">
        <f>IF(Init!$R$9="Yes",'Staging Table'!F74,'Staging Table'!BS74)*Rates_previous!$E$76*100*12</f>
        <v>37827888.012000002</v>
      </c>
      <c r="E72" s="115">
        <f>IF(Init!$R$9="Yes",'Staging Table'!F74,'Staging Table'!BS74)*Rates_previous!$E$77*100*12</f>
        <v>-7722902.7060000002</v>
      </c>
      <c r="F72" s="116">
        <f>IF(Init!$R$9="Yes",SUMPRODUCT('Staging Table'!L74:AI74,LS_Demand_Rates_Restatement!$C$4:$Z$4)-IF(Init!$R$12="No",('Staging Table'!BH74*Rates_previous!$H$34), 0),SUMPRODUCT('Staging Table'!BY74:CV74,LS_Demand_Rates_Restatement!$C$4:$Z$4)-IF(Init!$R$12="No", 'Staging Table'!DU74*Rates_previous!$H$34, 0))</f>
        <v>0</v>
      </c>
      <c r="G72" s="116">
        <f>IF(Init!$R$9="Yes",SUMPRODUCT('Staging Table'!AJ74:AU74,LS_Demand_Rates_Restatement!$C$10:$N$10),SUMPRODUCT(LS_Demand_Rates_Restatement!$C$10:$N$10,'Staging Table'!CW74:DH74))*1000</f>
        <v>0</v>
      </c>
      <c r="H72" s="117">
        <f>IF(Init!$R$9="Yes",'Staging Table'!BQ74,'Staging Table'!ED74)*IF(Init!$R$3=2022,Rates_previous!$C$88,Rates_previous!$D$88)</f>
        <v>0</v>
      </c>
      <c r="I72" s="115">
        <v>68</v>
      </c>
      <c r="J72" s="117">
        <f>IF(Init!$R$9="Yes",IF('Staging Table'!D74=1,'Staging Table'!H74*-1*'Staging Table'!BS74/'Staging Table'!BR74,'Staging Table'!H74*SUM(D72:I72)*(-1)),IF('Staging Table'!D74=1,'Staging Table'!BU74*-1*'Staging Table'!BS74/'Staging Table'!BR74,'Staging Table'!BU74*SUM(D72:I72)*(-1)))</f>
        <v>-2569488.8303819876</v>
      </c>
      <c r="K72" s="115">
        <f>IF(Init!$R$9="Yes",'Staging Table'!K74,'Staging Table'!BX74)*(-1)*Rates_previous!$H$32</f>
        <v>-695503.95056999999</v>
      </c>
      <c r="L72" s="115" t="str">
        <f>IF('Staging Table'!C74=1,"",SUM(D72:K72))</f>
        <v/>
      </c>
      <c r="M72" s="115" t="str">
        <f>IF('Staging Table'!C74=1,"",IF(Init!$R$9="Yes",(RT1SC!$C$3*'Staging Table'!F74*'Staging Table'!$F$2)+SUM('Staging Table'!L74:AI74)-IF(Init!$R$12="No",'Staging Table'!BH74, 0),X72))</f>
        <v/>
      </c>
      <c r="N72" s="69" t="str">
        <f>IF('Staging Table'!C74=1,"",IF(M72=0, 0, L72/M72))</f>
        <v/>
      </c>
      <c r="O72" s="115">
        <f>'Staging Table'!BS74*Rates_current!$F$77*100*12</f>
        <v>38429251.808999993</v>
      </c>
      <c r="P72" s="115">
        <f>'Staging Table'!BS74*Rates_current!$F$78*100*12</f>
        <v>-6155336.2469999995</v>
      </c>
      <c r="Q72" s="116">
        <f>SUMPRODUCT('Staging Table'!BY74:CV74, LS_Demand_Rates_Restatement!$C$5:$Z$5)-IF(Init!$R$12="No",('Staging Table'!DU74*Rates_current!$I$46), 0)</f>
        <v>0</v>
      </c>
      <c r="R72" s="116">
        <f>SUMPRODUCT('Staging Table'!CW74:DH74, LS_Demand_Rates_Restatement!$C$11:$N$11)*1000</f>
        <v>0</v>
      </c>
      <c r="S72" s="117">
        <f>'Staging Table'!ED74*IF(Init!$R$15="Yes",IF(Init!$R$6=2024,Rates_current!$C$89,Rates_current!$D$89),Rates_current!$I$45)</f>
        <v>0</v>
      </c>
      <c r="T72" s="117">
        <v>68</v>
      </c>
      <c r="U72" s="117">
        <f>IF('Staging Table'!D74=1, 'Staging Table'!BU74*-1*'Staging Table'!BS74/'Staging Table'!BR74,SUM(O72:T72)*'Staging Table'!BU74*-1)</f>
        <v>-3018984.2010114831</v>
      </c>
      <c r="V72" s="115">
        <f>'Staging Table'!BX74*Rates_current!$I$44*-1</f>
        <v>-718947.90396000003</v>
      </c>
      <c r="W72" s="115" t="str">
        <f>IF('Staging Table'!C74=1,"", SUM(O72:V72))</f>
        <v/>
      </c>
      <c r="X72" s="115" t="str">
        <f>IF('Staging Table'!C74=1,"", (RT1SC!$C$4*'Staging Table'!BS74*'Staging Table'!$BS$2)+SUM('Staging Table'!BY74:CV74)-IF(Init!$R$12="No",'Staging Table'!DU74, 0))</f>
        <v/>
      </c>
      <c r="Y72" s="69" t="str">
        <f>IF('Staging Table'!C74=1,"",IF(X72=0, 0, W72/X72))</f>
        <v/>
      </c>
      <c r="Z72" s="64" t="str">
        <f ca="1">IF('Staging Table'!C74=1,"",(Y72/N72-1)+(RAND()/100000000000000))</f>
        <v/>
      </c>
      <c r="AA72" s="45" t="str">
        <f t="shared" ca="1" si="5"/>
        <v/>
      </c>
      <c r="AB72" s="76"/>
      <c r="AC72" s="264"/>
      <c r="AD72" s="119"/>
      <c r="AE72" s="119"/>
      <c r="AG72" s="119"/>
      <c r="AH72" s="119"/>
    </row>
    <row r="73" spans="2:34">
      <c r="B73" s="2">
        <v>10230</v>
      </c>
      <c r="C73" s="3" t="s">
        <v>77</v>
      </c>
      <c r="D73" s="115">
        <f>IF(Init!$R$9="Yes",'Staging Table'!F75,'Staging Table'!BS75)*Rates_previous!$E$76*100*12</f>
        <v>3499048.5019199997</v>
      </c>
      <c r="E73" s="115">
        <f>IF(Init!$R$9="Yes",'Staging Table'!F75,'Staging Table'!BS75)*Rates_previous!$E$77*100*12</f>
        <v>-714362.14295999985</v>
      </c>
      <c r="F73" s="116">
        <f>IF(Init!$R$9="Yes",SUMPRODUCT('Staging Table'!L75:AI75,LS_Demand_Rates_Restatement!$C$4:$Z$4)-IF(Init!$R$12="No",('Staging Table'!BH75*Rates_previous!$H$34), 0),SUMPRODUCT('Staging Table'!BY75:CV75,LS_Demand_Rates_Restatement!$C$4:$Z$4)-IF(Init!$R$12="No", 'Staging Table'!DU75*Rates_previous!$H$34, 0))</f>
        <v>79162.346679210721</v>
      </c>
      <c r="G73" s="116">
        <f>IF(Init!$R$9="Yes",SUMPRODUCT('Staging Table'!AJ75:AU75,LS_Demand_Rates_Restatement!$C$10:$N$10),SUMPRODUCT(LS_Demand_Rates_Restatement!$C$10:$N$10,'Staging Table'!CW75:DH75))*1000</f>
        <v>504708.26914284198</v>
      </c>
      <c r="H73" s="117">
        <f>IF(Init!$R$9="Yes",'Staging Table'!BQ75,'Staging Table'!ED75)*IF(Init!$R$3=2022,Rates_previous!$C$88,Rates_previous!$D$88)</f>
        <v>0</v>
      </c>
      <c r="I73" s="115">
        <v>69</v>
      </c>
      <c r="J73" s="117">
        <f>IF(Init!$R$9="Yes",IF('Staging Table'!D75=1,'Staging Table'!H75*-1*'Staging Table'!BS75/'Staging Table'!BR75,'Staging Table'!H75*SUM(D73:I73)*(-1)),IF('Staging Table'!D75=1,'Staging Table'!BU75*-1*'Staging Table'!BS75/'Staging Table'!BR75,'Staging Table'!BU75*SUM(D73:I73)*(-1)))</f>
        <v>-299870.90387345571</v>
      </c>
      <c r="K73" s="115">
        <f>IF(Init!$R$9="Yes",'Staging Table'!K75,'Staging Table'!BX75)*(-1)*Rates_previous!$H$32</f>
        <v>0</v>
      </c>
      <c r="L73" s="115">
        <f>IF('Staging Table'!C75=1,"",SUM(D73:K73))</f>
        <v>3068755.0709085967</v>
      </c>
      <c r="M73" s="115">
        <f>IF('Staging Table'!C75=1,"",IF(Init!$R$9="Yes",(RT1SC!$C$3*'Staging Table'!F75*'Staging Table'!$F$2)+SUM('Staging Table'!L75:AI75)-IF(Init!$R$12="No",'Staging Table'!BH75, 0),X73))</f>
        <v>85222.368000000002</v>
      </c>
      <c r="N73" s="69">
        <f>IF('Staging Table'!C75=1,"",IF(M73=0, 0, L73/M73))</f>
        <v>36.008798428466534</v>
      </c>
      <c r="O73" s="115">
        <f>'Staging Table'!BS75*Rates_current!$F$77*100*12</f>
        <v>3554547.165</v>
      </c>
      <c r="P73" s="115">
        <f>'Staging Table'!BS75*Rates_current!$F$78*100*12</f>
        <v>-569343.19500000007</v>
      </c>
      <c r="Q73" s="116">
        <f>SUMPRODUCT('Staging Table'!BY75:CV75, LS_Demand_Rates_Restatement!$C$5:$Z$5)-IF(Init!$R$12="No",('Staging Table'!DU75*Rates_current!$I$46), 0)</f>
        <v>116247.83402046445</v>
      </c>
      <c r="R73" s="116">
        <f>SUMPRODUCT('Staging Table'!CW75:DH75, LS_Demand_Rates_Restatement!$C$11:$N$11)*1000</f>
        <v>553594.6456198541</v>
      </c>
      <c r="S73" s="117">
        <f>'Staging Table'!ED75*IF(Init!$R$15="Yes",IF(Init!$R$6=2024,Rates_current!$C$89,Rates_current!$D$89),Rates_current!$I$45)</f>
        <v>0</v>
      </c>
      <c r="T73" s="117">
        <v>69</v>
      </c>
      <c r="U73" s="117">
        <f>IF('Staging Table'!D75=1, 'Staging Table'!BU75*-1*'Staging Table'!BS75/'Staging Table'!BR75,SUM(O73:T73)*'Staging Table'!BU75*-1)</f>
        <v>-357147.25638128258</v>
      </c>
      <c r="V73" s="115">
        <f>'Staging Table'!BX75*Rates_current!$I$44*-1</f>
        <v>0</v>
      </c>
      <c r="W73" s="115">
        <f>IF('Staging Table'!C75=1,"", SUM(O73:V73))</f>
        <v>3297968.1932590362</v>
      </c>
      <c r="X73" s="115">
        <f>IF('Staging Table'!C75=1,"", (RT1SC!$C$4*'Staging Table'!BS75*'Staging Table'!$BS$2)+SUM('Staging Table'!BY75:CV75)-IF(Init!$R$12="No",'Staging Table'!DU75, 0))</f>
        <v>85477.851045797244</v>
      </c>
      <c r="Y73" s="69">
        <f>IF('Staging Table'!C75=1,"",IF(X73=0, 0, W73/X73))</f>
        <v>38.582722341628056</v>
      </c>
      <c r="Z73" s="64">
        <f ca="1">IF('Staging Table'!C75=1,"",(Y73/N73-1)+(RAND()/100000000000000))</f>
        <v>7.1480416606374261E-2</v>
      </c>
      <c r="AA73" s="45">
        <f t="shared" ca="1" si="5"/>
        <v>112</v>
      </c>
      <c r="AB73" s="76"/>
      <c r="AC73" s="264"/>
      <c r="AD73" s="119"/>
      <c r="AE73" s="119"/>
      <c r="AG73" s="119"/>
      <c r="AH73" s="119"/>
    </row>
    <row r="74" spans="2:34">
      <c r="B74" s="2">
        <v>10231</v>
      </c>
      <c r="C74" s="3" t="s">
        <v>78</v>
      </c>
      <c r="D74" s="115">
        <f>IF(Init!$R$9="Yes",'Staging Table'!F76,'Staging Table'!BS76)*Rates_previous!$E$76*100*12</f>
        <v>13220703.61992</v>
      </c>
      <c r="E74" s="115">
        <f>IF(Init!$R$9="Yes",'Staging Table'!F76,'Staging Table'!BS76)*Rates_previous!$E$77*100*12</f>
        <v>-2699125.2519600005</v>
      </c>
      <c r="F74" s="116">
        <f>IF(Init!$R$9="Yes",SUMPRODUCT('Staging Table'!L76:AI76,LS_Demand_Rates_Restatement!$C$4:$Z$4)-IF(Init!$R$12="No",('Staging Table'!BH76*Rates_previous!$H$34), 0),SUMPRODUCT('Staging Table'!BY76:CV76,LS_Demand_Rates_Restatement!$C$4:$Z$4)-IF(Init!$R$12="No", 'Staging Table'!DU76*Rates_previous!$H$34, 0))</f>
        <v>-1898193.1970165444</v>
      </c>
      <c r="G74" s="116">
        <f>IF(Init!$R$9="Yes",SUMPRODUCT('Staging Table'!AJ76:AU76,LS_Demand_Rates_Restatement!$C$10:$N$10),SUMPRODUCT(LS_Demand_Rates_Restatement!$C$10:$N$10,'Staging Table'!CW76:DH76))*1000</f>
        <v>392349.51214946591</v>
      </c>
      <c r="H74" s="117">
        <f>IF(Init!$R$9="Yes",'Staging Table'!BQ76,'Staging Table'!ED76)*IF(Init!$R$3=2022,Rates_previous!$C$88,Rates_previous!$D$88)</f>
        <v>0</v>
      </c>
      <c r="I74" s="115">
        <v>70</v>
      </c>
      <c r="J74" s="117">
        <f>IF(Init!$R$9="Yes",IF('Staging Table'!D76=1,'Staging Table'!H76*-1*'Staging Table'!BS76/'Staging Table'!BR76,'Staging Table'!H76*SUM(D74:I74)*(-1)),IF('Staging Table'!D76=1,'Staging Table'!BU76*-1*'Staging Table'!BS76/'Staging Table'!BR76,'Staging Table'!BU76*SUM(D74:I74)*(-1)))</f>
        <v>-979222.78093245276</v>
      </c>
      <c r="K74" s="115">
        <f>IF(Init!$R$9="Yes",'Staging Table'!K76,'Staging Table'!BX76)*(-1)*Rates_previous!$H$32</f>
        <v>-250290.67452999999</v>
      </c>
      <c r="L74" s="115">
        <f>IF('Staging Table'!C76=1,"",SUM(D74:K74))</f>
        <v>7786291.227630469</v>
      </c>
      <c r="M74" s="115">
        <f>IF('Staging Table'!C76=1,"",IF(Init!$R$9="Yes",(RT1SC!$C$3*'Staging Table'!F76*'Staging Table'!$F$2)+SUM('Staging Table'!L76:AI76)-IF(Init!$R$12="No",'Staging Table'!BH76, 0),X74))</f>
        <v>264499.8385093392</v>
      </c>
      <c r="N74" s="69">
        <f>IF('Staging Table'!C76=1,"",IF(M74=0, 0, L74/M74))</f>
        <v>29.437791990771078</v>
      </c>
      <c r="O74" s="115">
        <f>'Staging Table'!BS76*Rates_current!$F$77*100*12</f>
        <v>13430879.123999998</v>
      </c>
      <c r="P74" s="115">
        <f>'Staging Table'!BS76*Rates_current!$F$78*100*12</f>
        <v>-2151266.892</v>
      </c>
      <c r="Q74" s="116">
        <f>SUMPRODUCT('Staging Table'!BY76:CV76, LS_Demand_Rates_Restatement!$C$5:$Z$5)-IF(Init!$R$12="No",('Staging Table'!DU76*Rates_current!$I$46), 0)</f>
        <v>661663.13178903481</v>
      </c>
      <c r="R74" s="116">
        <f>SUMPRODUCT('Staging Table'!CW76:DH76, LS_Demand_Rates_Restatement!$C$11:$N$11)*1000</f>
        <v>346061.0260248399</v>
      </c>
      <c r="S74" s="117">
        <f>'Staging Table'!ED76*IF(Init!$R$15="Yes",IF(Init!$R$6=2024,Rates_current!$C$89,Rates_current!$D$89),Rates_current!$I$45)</f>
        <v>0</v>
      </c>
      <c r="T74" s="117">
        <v>70</v>
      </c>
      <c r="U74" s="117">
        <f>IF('Staging Table'!D76=1, 'Staging Table'!BU76*-1*'Staging Table'!BS76/'Staging Table'!BR76,SUM(O74:T74)*'Staging Table'!BU76*-1)</f>
        <v>-1177384.8124375762</v>
      </c>
      <c r="V74" s="115">
        <f>'Staging Table'!BX76*Rates_current!$I$44*-1</f>
        <v>-258727.43884000002</v>
      </c>
      <c r="W74" s="115">
        <f>IF('Staging Table'!C76=1,"", SUM(O74:V74))</f>
        <v>10851294.138536295</v>
      </c>
      <c r="X74" s="115">
        <f>IF('Staging Table'!C76=1,"", (RT1SC!$C$4*'Staging Table'!BS76*'Staging Table'!$BS$2)+SUM('Staging Table'!BY76:CV76)-IF(Init!$R$12="No",'Staging Table'!DU76, 0))</f>
        <v>322981.19999999995</v>
      </c>
      <c r="Y74" s="69">
        <f>IF('Staging Table'!C76=1,"",IF(X74=0, 0, W74/X74))</f>
        <v>33.597293398303975</v>
      </c>
      <c r="Z74" s="64">
        <f ca="1">IF('Staging Table'!C76=1,"",(Y74/N74-1)+(RAND()/100000000000000))</f>
        <v>0.14129800933565873</v>
      </c>
      <c r="AA74" s="45">
        <f t="shared" ca="1" si="5"/>
        <v>6</v>
      </c>
      <c r="AB74" s="76"/>
      <c r="AC74" s="264"/>
      <c r="AD74" s="119"/>
      <c r="AE74" s="119"/>
      <c r="AG74" s="119"/>
      <c r="AH74" s="119"/>
    </row>
    <row r="75" spans="2:34">
      <c r="B75" s="2">
        <v>10234</v>
      </c>
      <c r="C75" s="3" t="s">
        <v>79</v>
      </c>
      <c r="D75" s="115">
        <f>IF(Init!$R$9="Yes",'Staging Table'!F77,'Staging Table'!BS77)*Rates_previous!$E$76*100*12</f>
        <v>18392549.408640001</v>
      </c>
      <c r="E75" s="115">
        <f>IF(Init!$R$9="Yes",'Staging Table'!F77,'Staging Table'!BS77)*Rates_previous!$E$77*100*12</f>
        <v>-3755003.96832</v>
      </c>
      <c r="F75" s="116">
        <f>IF(Init!$R$9="Yes",SUMPRODUCT('Staging Table'!L77:AI77,LS_Demand_Rates_Restatement!$C$4:$Z$4)-IF(Init!$R$12="No",('Staging Table'!BH77*Rates_previous!$H$34), 0),SUMPRODUCT('Staging Table'!BY77:CV77,LS_Demand_Rates_Restatement!$C$4:$Z$4)-IF(Init!$R$12="No", 'Staging Table'!DU77*Rates_previous!$H$34, 0))</f>
        <v>0</v>
      </c>
      <c r="G75" s="116">
        <f>IF(Init!$R$9="Yes",SUMPRODUCT('Staging Table'!AJ77:AU77,LS_Demand_Rates_Restatement!$C$10:$N$10),SUMPRODUCT(LS_Demand_Rates_Restatement!$C$10:$N$10,'Staging Table'!CW77:DH77))*1000</f>
        <v>0</v>
      </c>
      <c r="H75" s="117">
        <f>IF(Init!$R$9="Yes",'Staging Table'!BQ77,'Staging Table'!ED77)*IF(Init!$R$3=2022,Rates_previous!$C$88,Rates_previous!$D$88)</f>
        <v>0</v>
      </c>
      <c r="I75" s="115">
        <v>71</v>
      </c>
      <c r="J75" s="117">
        <f>IF(Init!$R$9="Yes",IF('Staging Table'!D77=1,'Staging Table'!H77*-1*'Staging Table'!BS77/'Staging Table'!BR77,'Staging Table'!H77*SUM(D75:I75)*(-1)),IF('Staging Table'!D77=1,'Staging Table'!BU77*-1*'Staging Table'!BS77/'Staging Table'!BR77,'Staging Table'!BU77*SUM(D75:I75)*(-1)))</f>
        <v>0</v>
      </c>
      <c r="K75" s="115">
        <f>IF(Init!$R$9="Yes",'Staging Table'!K77,'Staging Table'!BX77)*(-1)*Rates_previous!$H$32</f>
        <v>0</v>
      </c>
      <c r="L75" s="115" t="str">
        <f>IF('Staging Table'!C77=1,"",SUM(D75:K75))</f>
        <v/>
      </c>
      <c r="M75" s="115" t="str">
        <f>IF('Staging Table'!C77=1,"",IF(Init!$R$9="Yes",(RT1SC!$C$3*'Staging Table'!F77*'Staging Table'!$F$2)+SUM('Staging Table'!L77:AI77)-IF(Init!$R$12="No",'Staging Table'!BH77, 0),X75))</f>
        <v/>
      </c>
      <c r="N75" s="69" t="str">
        <f>IF('Staging Table'!C77=1,"",IF(M75=0, 0, L75/M75))</f>
        <v/>
      </c>
      <c r="O75" s="115">
        <f>'Staging Table'!BS77*Rates_current!$F$77*100*12</f>
        <v>18684875.3598</v>
      </c>
      <c r="P75" s="115">
        <f>'Staging Table'!BS77*Rates_current!$F$78*100*12</f>
        <v>-2992816.2834000001</v>
      </c>
      <c r="Q75" s="116">
        <f>SUMPRODUCT('Staging Table'!BY77:CV77, LS_Demand_Rates_Restatement!$C$5:$Z$5)-IF(Init!$R$12="No",('Staging Table'!DU77*Rates_current!$I$46), 0)</f>
        <v>0</v>
      </c>
      <c r="R75" s="116">
        <f>SUMPRODUCT('Staging Table'!CW77:DH77, LS_Demand_Rates_Restatement!$C$11:$N$11)*1000</f>
        <v>0</v>
      </c>
      <c r="S75" s="117">
        <f>'Staging Table'!ED77*IF(Init!$R$15="Yes",IF(Init!$R$6=2024,Rates_current!$C$89,Rates_current!$D$89),Rates_current!$I$45)</f>
        <v>0</v>
      </c>
      <c r="T75" s="117">
        <v>71</v>
      </c>
      <c r="U75" s="117">
        <f>IF('Staging Table'!D77=1, 'Staging Table'!BU77*-1*'Staging Table'!BS77/'Staging Table'!BR77,SUM(O75:T75)*'Staging Table'!BU77*-1)</f>
        <v>0</v>
      </c>
      <c r="V75" s="115">
        <f>'Staging Table'!BX77*Rates_current!$I$44*-1</f>
        <v>0</v>
      </c>
      <c r="W75" s="115" t="str">
        <f>IF('Staging Table'!C77=1,"", SUM(O75:V75))</f>
        <v/>
      </c>
      <c r="X75" s="115" t="str">
        <f>IF('Staging Table'!C77=1,"", (RT1SC!$C$4*'Staging Table'!BS77*'Staging Table'!$BS$2)+SUM('Staging Table'!BY77:CV77)-IF(Init!$R$12="No",'Staging Table'!DU77, 0))</f>
        <v/>
      </c>
      <c r="Y75" s="69" t="str">
        <f>IF('Staging Table'!C77=1,"",IF(X75=0, 0, W75/X75))</f>
        <v/>
      </c>
      <c r="Z75" s="64" t="str">
        <f ca="1">IF('Staging Table'!C77=1,"",(Y75/N75-1)+(RAND()/100000000000000))</f>
        <v/>
      </c>
      <c r="AA75" s="45" t="str">
        <f t="shared" ca="1" si="5"/>
        <v/>
      </c>
      <c r="AB75" s="76"/>
      <c r="AC75" s="264"/>
      <c r="AD75" s="119"/>
      <c r="AE75" s="119"/>
      <c r="AG75" s="119"/>
      <c r="AH75" s="119"/>
    </row>
    <row r="76" spans="2:34">
      <c r="B76" s="2">
        <v>10235</v>
      </c>
      <c r="C76" s="3" t="s">
        <v>80</v>
      </c>
      <c r="D76" s="115">
        <f>IF(Init!$R$9="Yes",'Staging Table'!F78,'Staging Table'!BS78)*Rates_previous!$E$76*100*12</f>
        <v>10904446.110959999</v>
      </c>
      <c r="E76" s="115">
        <f>IF(Init!$R$9="Yes",'Staging Table'!F78,'Staging Table'!BS78)*Rates_previous!$E$77*100*12</f>
        <v>-2226240.5014800001</v>
      </c>
      <c r="F76" s="116">
        <f>IF(Init!$R$9="Yes",SUMPRODUCT('Staging Table'!L78:AI78,LS_Demand_Rates_Restatement!$C$4:$Z$4)-IF(Init!$R$12="No",('Staging Table'!BH78*Rates_previous!$H$34), 0),SUMPRODUCT('Staging Table'!BY78:CV78,LS_Demand_Rates_Restatement!$C$4:$Z$4)-IF(Init!$R$12="No", 'Staging Table'!DU78*Rates_previous!$H$34, 0))</f>
        <v>115735.54728506922</v>
      </c>
      <c r="G76" s="116">
        <f>IF(Init!$R$9="Yes",SUMPRODUCT('Staging Table'!AJ78:AU78,LS_Demand_Rates_Restatement!$C$10:$N$10),SUMPRODUCT(LS_Demand_Rates_Restatement!$C$10:$N$10,'Staging Table'!CW78:DH78))*1000</f>
        <v>492368.29885555565</v>
      </c>
      <c r="H76" s="117">
        <f>IF(Init!$R$9="Yes",'Staging Table'!BQ78,'Staging Table'!ED78)*IF(Init!$R$3=2022,Rates_previous!$C$88,Rates_previous!$D$88)</f>
        <v>0</v>
      </c>
      <c r="I76" s="115">
        <v>72</v>
      </c>
      <c r="J76" s="117">
        <f>IF(Init!$R$9="Yes",IF('Staging Table'!D78=1,'Staging Table'!H78*-1*'Staging Table'!BS78/'Staging Table'!BR78,'Staging Table'!H78*SUM(D76:I76)*(-1)),IF('Staging Table'!D78=1,'Staging Table'!BU78*-1*'Staging Table'!BS78/'Staging Table'!BR78,'Staging Table'!BU78*SUM(D76:I76)*(-1)))</f>
        <v>0</v>
      </c>
      <c r="K76" s="115">
        <f>IF(Init!$R$9="Yes",'Staging Table'!K78,'Staging Table'!BX78)*(-1)*Rates_previous!$H$32</f>
        <v>0</v>
      </c>
      <c r="L76" s="115">
        <f>IF('Staging Table'!C78=1,"",SUM(D76:K76))</f>
        <v>9286381.4556206241</v>
      </c>
      <c r="M76" s="115">
        <f>IF('Staging Table'!C78=1,"",IF(Init!$R$9="Yes",(RT1SC!$C$3*'Staging Table'!F78*'Staging Table'!$F$2)+SUM('Staging Table'!L78:AI78)-IF(Init!$R$12="No",'Staging Table'!BH78, 0),X76))</f>
        <v>267122.29224490415</v>
      </c>
      <c r="N76" s="69">
        <f>IF('Staging Table'!C78=1,"",IF(M76=0, 0, L76/M76))</f>
        <v>34.764531921231963</v>
      </c>
      <c r="O76" s="115">
        <f>'Staging Table'!BS78*Rates_current!$F$77*100*12</f>
        <v>11107798.025999999</v>
      </c>
      <c r="P76" s="115">
        <f>'Staging Table'!BS78*Rates_current!$F$78*100*12</f>
        <v>-1779171.558</v>
      </c>
      <c r="Q76" s="116">
        <f>SUMPRODUCT('Staging Table'!BY78:CV78, LS_Demand_Rates_Restatement!$C$5:$Z$5)-IF(Init!$R$12="No",('Staging Table'!DU78*Rates_current!$I$46), 0)</f>
        <v>311130.55686194968</v>
      </c>
      <c r="R76" s="116">
        <f>SUMPRODUCT('Staging Table'!CW78:DH78, LS_Demand_Rates_Restatement!$C$11:$N$11)*1000</f>
        <v>540634.59428197134</v>
      </c>
      <c r="S76" s="117">
        <f>'Staging Table'!ED78*IF(Init!$R$15="Yes",IF(Init!$R$6=2024,Rates_current!$C$89,Rates_current!$D$89),Rates_current!$I$45)</f>
        <v>-14.071859400342218</v>
      </c>
      <c r="T76" s="117">
        <v>72</v>
      </c>
      <c r="U76" s="117">
        <f>IF('Staging Table'!D78=1, 'Staging Table'!BU78*-1*'Staging Table'!BS78/'Staging Table'!BR78,SUM(O76:T76)*'Staging Table'!BU78*-1)</f>
        <v>0</v>
      </c>
      <c r="V76" s="115">
        <f>'Staging Table'!BX78*Rates_current!$I$44*-1</f>
        <v>0</v>
      </c>
      <c r="W76" s="115">
        <f>IF('Staging Table'!C78=1,"", SUM(O76:V76))</f>
        <v>10180449.547284519</v>
      </c>
      <c r="X76" s="115">
        <f>IF('Staging Table'!C78=1,"", (RT1SC!$C$4*'Staging Table'!BS78*'Staging Table'!$BS$2)+SUM('Staging Table'!BY78:CV78)-IF(Init!$R$12="No",'Staging Table'!DU78, 0))</f>
        <v>267122.30676788668</v>
      </c>
      <c r="Y76" s="69">
        <f>IF('Staging Table'!C78=1,"",IF(X76=0, 0, W76/X76))</f>
        <v>38.11156645981918</v>
      </c>
      <c r="Z76" s="64">
        <f ca="1">IF('Staging Table'!C78=1,"",(Y76/N76-1)+(RAND()/100000000000000))</f>
        <v>9.6277278985687789E-2</v>
      </c>
      <c r="AA76" s="45">
        <f t="shared" ca="1" si="5"/>
        <v>62</v>
      </c>
      <c r="AB76" s="76"/>
      <c r="AC76" s="264"/>
      <c r="AD76" s="119"/>
      <c r="AE76" s="119"/>
      <c r="AG76" s="119"/>
      <c r="AH76" s="119"/>
    </row>
    <row r="77" spans="2:34">
      <c r="B77" s="2">
        <v>10236</v>
      </c>
      <c r="C77" s="3" t="s">
        <v>81</v>
      </c>
      <c r="D77" s="115">
        <f>IF(Init!$R$9="Yes",'Staging Table'!F79,'Staging Table'!BS79)*Rates_previous!$E$76*100*12</f>
        <v>10124222.566320002</v>
      </c>
      <c r="E77" s="115">
        <f>IF(Init!$R$9="Yes",'Staging Table'!F79,'Staging Table'!BS79)*Rates_previous!$E$77*100*12</f>
        <v>-2066950.86516</v>
      </c>
      <c r="F77" s="116">
        <f>IF(Init!$R$9="Yes",SUMPRODUCT('Staging Table'!L79:AI79,LS_Demand_Rates_Restatement!$C$4:$Z$4)-IF(Init!$R$12="No",('Staging Table'!BH79*Rates_previous!$H$34), 0),SUMPRODUCT('Staging Table'!BY79:CV79,LS_Demand_Rates_Restatement!$C$4:$Z$4)-IF(Init!$R$12="No", 'Staging Table'!DU79*Rates_previous!$H$34, 0))</f>
        <v>0</v>
      </c>
      <c r="G77" s="116">
        <f>IF(Init!$R$9="Yes",SUMPRODUCT('Staging Table'!AJ79:AU79,LS_Demand_Rates_Restatement!$C$10:$N$10),SUMPRODUCT(LS_Demand_Rates_Restatement!$C$10:$N$10,'Staging Table'!CW79:DH79))*1000</f>
        <v>0</v>
      </c>
      <c r="H77" s="117">
        <f>IF(Init!$R$9="Yes",'Staging Table'!BQ79,'Staging Table'!ED79)*IF(Init!$R$3=2022,Rates_previous!$C$88,Rates_previous!$D$88)</f>
        <v>0</v>
      </c>
      <c r="I77" s="115">
        <v>73</v>
      </c>
      <c r="J77" s="117">
        <f>IF(Init!$R$9="Yes",IF('Staging Table'!D79=1,'Staging Table'!H79*-1*'Staging Table'!BS79/'Staging Table'!BR79,'Staging Table'!H79*SUM(D77:I77)*(-1)),IF('Staging Table'!D79=1,'Staging Table'!BU79*-1*'Staging Table'!BS79/'Staging Table'!BR79,'Staging Table'!BU79*SUM(D77:I77)*(-1)))</f>
        <v>-523727.40557540016</v>
      </c>
      <c r="K77" s="115">
        <f>IF(Init!$R$9="Yes",'Staging Table'!K79,'Staging Table'!BX79)*(-1)*Rates_previous!$H$32</f>
        <v>0</v>
      </c>
      <c r="L77" s="115" t="str">
        <f>IF('Staging Table'!C79=1,"",SUM(D77:K77))</f>
        <v/>
      </c>
      <c r="M77" s="115" t="str">
        <f>IF('Staging Table'!C79=1,"",IF(Init!$R$9="Yes",(RT1SC!$C$3*'Staging Table'!F79*'Staging Table'!$F$2)+SUM('Staging Table'!L79:AI79)-IF(Init!$R$12="No",'Staging Table'!BH79, 0),X77))</f>
        <v/>
      </c>
      <c r="N77" s="69" t="str">
        <f>IF('Staging Table'!C79=1,"",IF(M77=0, 0, L77/M77))</f>
        <v/>
      </c>
      <c r="O77" s="115">
        <f>'Staging Table'!BS79*Rates_current!$F$77*100*12</f>
        <v>10662605.561400002</v>
      </c>
      <c r="P77" s="115">
        <f>'Staging Table'!BS79*Rates_current!$F$78*100*12</f>
        <v>-1707863.6562000001</v>
      </c>
      <c r="Q77" s="116">
        <f>SUMPRODUCT('Staging Table'!BY79:CV79, LS_Demand_Rates_Restatement!$C$5:$Z$5)-IF(Init!$R$12="No",('Staging Table'!DU79*Rates_current!$I$46), 0)</f>
        <v>0</v>
      </c>
      <c r="R77" s="116">
        <f>SUMPRODUCT('Staging Table'!CW79:DH79, LS_Demand_Rates_Restatement!$C$11:$N$11)*1000</f>
        <v>0</v>
      </c>
      <c r="S77" s="117">
        <f>'Staging Table'!ED79*IF(Init!$R$15="Yes",IF(Init!$R$6=2024,Rates_current!$C$89,Rates_current!$D$89),Rates_current!$I$45)</f>
        <v>0</v>
      </c>
      <c r="T77" s="117">
        <v>73</v>
      </c>
      <c r="U77" s="117">
        <f>IF('Staging Table'!D79=1, 'Staging Table'!BU79*-1*'Staging Table'!BS79/'Staging Table'!BR79,SUM(O77:T77)*'Staging Table'!BU79*-1)</f>
        <v>-588843.8602449816</v>
      </c>
      <c r="V77" s="115">
        <f>'Staging Table'!BX79*Rates_current!$I$44*-1</f>
        <v>0</v>
      </c>
      <c r="W77" s="115" t="str">
        <f>IF('Staging Table'!C79=1,"", SUM(O77:V77))</f>
        <v/>
      </c>
      <c r="X77" s="115" t="str">
        <f>IF('Staging Table'!C79=1,"", (RT1SC!$C$4*'Staging Table'!BS79*'Staging Table'!$BS$2)+SUM('Staging Table'!BY79:CV79)-IF(Init!$R$12="No",'Staging Table'!DU79, 0))</f>
        <v/>
      </c>
      <c r="Y77" s="69" t="str">
        <f>IF('Staging Table'!C79=1,"",IF(X77=0, 0, W77/X77))</f>
        <v/>
      </c>
      <c r="Z77" s="64" t="str">
        <f ca="1">IF('Staging Table'!C79=1,"",(Y77/N77-1)+(RAND()/100000000000000))</f>
        <v/>
      </c>
      <c r="AA77" s="45" t="str">
        <f t="shared" ca="1" si="5"/>
        <v/>
      </c>
      <c r="AB77" s="76"/>
      <c r="AC77" s="264"/>
      <c r="AD77" s="119"/>
      <c r="AE77" s="119"/>
      <c r="AG77" s="119"/>
      <c r="AH77" s="119"/>
    </row>
    <row r="78" spans="2:34">
      <c r="B78" s="2">
        <v>10237</v>
      </c>
      <c r="C78" s="3" t="s">
        <v>82</v>
      </c>
      <c r="D78" s="115">
        <f>IF(Init!$R$9="Yes",'Staging Table'!F80,'Staging Table'!BS80)*Rates_previous!$E$76*100*12</f>
        <v>17100397.580399998</v>
      </c>
      <c r="E78" s="115">
        <f>IF(Init!$R$9="Yes",'Staging Table'!F80,'Staging Table'!BS80)*Rates_previous!$E$77*100*12</f>
        <v>-3491199.5801999993</v>
      </c>
      <c r="F78" s="116">
        <f>IF(Init!$R$9="Yes",SUMPRODUCT('Staging Table'!L80:AI80,LS_Demand_Rates_Restatement!$C$4:$Z$4)-IF(Init!$R$12="No",('Staging Table'!BH80*Rates_previous!$H$34), 0),SUMPRODUCT('Staging Table'!BY80:CV80,LS_Demand_Rates_Restatement!$C$4:$Z$4)-IF(Init!$R$12="No", 'Staging Table'!DU80*Rates_previous!$H$34, 0))</f>
        <v>-792255.03340384061</v>
      </c>
      <c r="G78" s="116">
        <f>IF(Init!$R$9="Yes",SUMPRODUCT('Staging Table'!AJ80:AU80,LS_Demand_Rates_Restatement!$C$10:$N$10),SUMPRODUCT(LS_Demand_Rates_Restatement!$C$10:$N$10,'Staging Table'!CW80:DH80))*1000</f>
        <v>0</v>
      </c>
      <c r="H78" s="117">
        <f>IF(Init!$R$9="Yes",'Staging Table'!BQ80,'Staging Table'!ED80)*IF(Init!$R$3=2022,Rates_previous!$C$88,Rates_previous!$D$88)</f>
        <v>0</v>
      </c>
      <c r="I78" s="115">
        <v>74</v>
      </c>
      <c r="J78" s="117">
        <f>IF(Init!$R$9="Yes",IF('Staging Table'!D80=1,'Staging Table'!H80*-1*'Staging Table'!BS80/'Staging Table'!BR80,'Staging Table'!H80*SUM(D78:I78)*(-1)),IF('Staging Table'!D80=1,'Staging Table'!BU80*-1*'Staging Table'!BS80/'Staging Table'!BR80,'Staging Table'!BU80*SUM(D78:I78)*(-1)))</f>
        <v>-2.0661138167386624E-2</v>
      </c>
      <c r="K78" s="115">
        <f>IF(Init!$R$9="Yes",'Staging Table'!K80,'Staging Table'!BX80)*(-1)*Rates_previous!$H$32</f>
        <v>0</v>
      </c>
      <c r="L78" s="115">
        <f>IF('Staging Table'!C80=1,"",SUM(D78:K78))</f>
        <v>12817016.94613502</v>
      </c>
      <c r="M78" s="115">
        <f>IF('Staging Table'!C80=1,"",IF(Init!$R$9="Yes",(RT1SC!$C$3*'Staging Table'!F80*'Staging Table'!$F$2)+SUM('Staging Table'!L80:AI80)-IF(Init!$R$12="No",'Staging Table'!BH80, 0),X78))</f>
        <v>403387.32772051624</v>
      </c>
      <c r="N78" s="69">
        <f>IF('Staging Table'!C80=1,"",IF(M78=0, 0, L78/M78))</f>
        <v>31.773474438481095</v>
      </c>
      <c r="O78" s="115">
        <f>'Staging Table'!BS80*Rates_current!$F$77*100*12</f>
        <v>16818123.012600001</v>
      </c>
      <c r="P78" s="115">
        <f>'Staging Table'!BS80*Rates_current!$F$78*100*12</f>
        <v>-2693812.5858000005</v>
      </c>
      <c r="Q78" s="116">
        <f>SUMPRODUCT('Staging Table'!BY80:CV80, LS_Demand_Rates_Restatement!$C$5:$Z$5)-IF(Init!$R$12="No",('Staging Table'!DU80*Rates_current!$I$46), 0)</f>
        <v>430638.77784667769</v>
      </c>
      <c r="R78" s="116">
        <f>SUMPRODUCT('Staging Table'!CW80:DH80, LS_Demand_Rates_Restatement!$C$11:$N$11)*1000</f>
        <v>0</v>
      </c>
      <c r="S78" s="117">
        <f>'Staging Table'!ED80*IF(Init!$R$15="Yes",IF(Init!$R$6=2024,Rates_current!$C$89,Rates_current!$D$89),Rates_current!$I$45)</f>
        <v>0</v>
      </c>
      <c r="T78" s="117">
        <v>74</v>
      </c>
      <c r="U78" s="117">
        <f>IF('Staging Table'!D80=1, 'Staging Table'!BU80*-1*'Staging Table'!BS80/'Staging Table'!BR80,SUM(O78:T78)*'Staging Table'!BU80*-1)</f>
        <v>-2.0598752155222375E-2</v>
      </c>
      <c r="V78" s="115">
        <f>'Staging Table'!BX80*Rates_current!$I$44*-1</f>
        <v>0</v>
      </c>
      <c r="W78" s="115">
        <f>IF('Staging Table'!C80=1,"", SUM(O78:V78))</f>
        <v>14555023.184047926</v>
      </c>
      <c r="X78" s="115">
        <f>IF('Staging Table'!C80=1,"", (RT1SC!$C$4*'Staging Table'!BS80*'Staging Table'!$BS$2)+SUM('Staging Table'!BY80:CV80)-IF(Init!$R$12="No",'Staging Table'!DU80, 0))</f>
        <v>405951.54030514858</v>
      </c>
      <c r="Y78" s="69">
        <f>IF('Staging Table'!C80=1,"",IF(X78=0, 0, W78/X78))</f>
        <v>35.85409030128843</v>
      </c>
      <c r="Z78" s="64">
        <f ca="1">IF('Staging Table'!C80=1,"",(Y78/N78-1)+(RAND()/100000000000000))</f>
        <v>0.12842838043124188</v>
      </c>
      <c r="AA78" s="45">
        <f t="shared" ca="1" si="5"/>
        <v>10</v>
      </c>
      <c r="AB78" s="76"/>
      <c r="AC78" s="264"/>
      <c r="AD78" s="119"/>
      <c r="AE78" s="119"/>
      <c r="AG78" s="119"/>
      <c r="AH78" s="119"/>
    </row>
    <row r="79" spans="2:34">
      <c r="B79" s="2">
        <v>10239</v>
      </c>
      <c r="C79" s="3" t="s">
        <v>83</v>
      </c>
      <c r="D79" s="115">
        <f>IF(Init!$R$9="Yes",'Staging Table'!F81,'Staging Table'!BS81)*Rates_previous!$E$76*100*12</f>
        <v>5049032.8233599998</v>
      </c>
      <c r="E79" s="115">
        <f>IF(Init!$R$9="Yes",'Staging Table'!F81,'Staging Table'!BS81)*Rates_previous!$E$77*100*12</f>
        <v>-1030805.3476799999</v>
      </c>
      <c r="F79" s="116">
        <f>IF(Init!$R$9="Yes",SUMPRODUCT('Staging Table'!L81:AI81,LS_Demand_Rates_Restatement!$C$4:$Z$4)-IF(Init!$R$12="No",('Staging Table'!BH81*Rates_previous!$H$34), 0),SUMPRODUCT('Staging Table'!BY81:CV81,LS_Demand_Rates_Restatement!$C$4:$Z$4)-IF(Init!$R$12="No", 'Staging Table'!DU81*Rates_previous!$H$34, 0))</f>
        <v>0</v>
      </c>
      <c r="G79" s="116">
        <f>IF(Init!$R$9="Yes",SUMPRODUCT('Staging Table'!AJ81:AU81,LS_Demand_Rates_Restatement!$C$10:$N$10),SUMPRODUCT(LS_Demand_Rates_Restatement!$C$10:$N$10,'Staging Table'!CW81:DH81))*1000</f>
        <v>0</v>
      </c>
      <c r="H79" s="117">
        <f>IF(Init!$R$9="Yes",'Staging Table'!BQ81,'Staging Table'!ED81)*IF(Init!$R$3=2022,Rates_previous!$C$88,Rates_previous!$D$88)</f>
        <v>0</v>
      </c>
      <c r="I79" s="115">
        <v>75</v>
      </c>
      <c r="J79" s="117">
        <f>IF(Init!$R$9="Yes",IF('Staging Table'!D81=1,'Staging Table'!H81*-1*'Staging Table'!BS81/'Staging Table'!BR81,'Staging Table'!H81*SUM(D79:I79)*(-1)),IF('Staging Table'!D81=1,'Staging Table'!BU81*-1*'Staging Table'!BS81/'Staging Table'!BR81,'Staging Table'!BU81*SUM(D79:I79)*(-1)))</f>
        <v>-303160.83027767768</v>
      </c>
      <c r="K79" s="115">
        <f>IF(Init!$R$9="Yes",'Staging Table'!K81,'Staging Table'!BX81)*(-1)*Rates_previous!$H$32</f>
        <v>0</v>
      </c>
      <c r="L79" s="115" t="str">
        <f>IF('Staging Table'!C81=1,"",SUM(D79:K79))</f>
        <v/>
      </c>
      <c r="M79" s="115" t="str">
        <f>IF('Staging Table'!C81=1,"",IF(Init!$R$9="Yes",(RT1SC!$C$3*'Staging Table'!F81*'Staging Table'!$F$2)+SUM('Staging Table'!L81:AI81)-IF(Init!$R$12="No",'Staging Table'!BH81, 0),X79))</f>
        <v/>
      </c>
      <c r="N79" s="69" t="str">
        <f>IF('Staging Table'!C81=1,"",IF(M79=0, 0, L79/M79))</f>
        <v/>
      </c>
      <c r="O79" s="115">
        <f>'Staging Table'!BS81*Rates_current!$F$77*100*12</f>
        <v>5129425.2204</v>
      </c>
      <c r="P79" s="115">
        <f>'Staging Table'!BS81*Rates_current!$F$78*100*12</f>
        <v>-821596.45319999987</v>
      </c>
      <c r="Q79" s="116">
        <f>SUMPRODUCT('Staging Table'!BY81:CV81, LS_Demand_Rates_Restatement!$C$5:$Z$5)-IF(Init!$R$12="No",('Staging Table'!DU81*Rates_current!$I$46), 0)</f>
        <v>0</v>
      </c>
      <c r="R79" s="116">
        <f>SUMPRODUCT('Staging Table'!CW81:DH81, LS_Demand_Rates_Restatement!$C$11:$N$11)*1000</f>
        <v>0</v>
      </c>
      <c r="S79" s="117">
        <f>'Staging Table'!ED81*IF(Init!$R$15="Yes",IF(Init!$R$6=2024,Rates_current!$C$89,Rates_current!$D$89),Rates_current!$I$45)</f>
        <v>0</v>
      </c>
      <c r="T79" s="117">
        <v>75</v>
      </c>
      <c r="U79" s="117">
        <f>IF('Staging Table'!D81=1, 'Staging Table'!BU81*-1*'Staging Table'!BS81/'Staging Table'!BR81,SUM(O79:T79)*'Staging Table'!BU81*-1)</f>
        <v>-338173.96400467755</v>
      </c>
      <c r="V79" s="115">
        <f>'Staging Table'!BX81*Rates_current!$I$44*-1</f>
        <v>0</v>
      </c>
      <c r="W79" s="115" t="str">
        <f>IF('Staging Table'!C81=1,"", SUM(O79:V79))</f>
        <v/>
      </c>
      <c r="X79" s="115" t="str">
        <f>IF('Staging Table'!C81=1,"", (RT1SC!$C$4*'Staging Table'!BS81*'Staging Table'!$BS$2)+SUM('Staging Table'!BY81:CV81)-IF(Init!$R$12="No",'Staging Table'!DU81, 0))</f>
        <v/>
      </c>
      <c r="Y79" s="69" t="str">
        <f>IF('Staging Table'!C81=1,"",IF(X79=0, 0, W79/X79))</f>
        <v/>
      </c>
      <c r="Z79" s="64" t="str">
        <f ca="1">IF('Staging Table'!C81=1,"",(Y79/N79-1)+(RAND()/100000000000000))</f>
        <v/>
      </c>
      <c r="AA79" s="45" t="str">
        <f t="shared" ca="1" si="5"/>
        <v/>
      </c>
      <c r="AB79" s="76"/>
      <c r="AC79" s="264"/>
      <c r="AD79" s="119"/>
      <c r="AE79" s="119"/>
      <c r="AG79" s="119"/>
      <c r="AH79" s="119"/>
    </row>
    <row r="80" spans="2:34">
      <c r="B80" s="2">
        <v>10242</v>
      </c>
      <c r="C80" s="3" t="s">
        <v>84</v>
      </c>
      <c r="D80" s="115">
        <f>IF(Init!$R$9="Yes",'Staging Table'!F82,'Staging Table'!BS82)*Rates_previous!$E$76*100*12</f>
        <v>3435524.5543200001</v>
      </c>
      <c r="E80" s="115">
        <f>IF(Init!$R$9="Yes",'Staging Table'!F82,'Staging Table'!BS82)*Rates_previous!$E$77*100*12</f>
        <v>-701393.15916000004</v>
      </c>
      <c r="F80" s="116">
        <f>IF(Init!$R$9="Yes",SUMPRODUCT('Staging Table'!L82:AI82,LS_Demand_Rates_Restatement!$C$4:$Z$4)-IF(Init!$R$12="No",('Staging Table'!BH82*Rates_previous!$H$34), 0),SUMPRODUCT('Staging Table'!BY82:CV82,LS_Demand_Rates_Restatement!$C$4:$Z$4)-IF(Init!$R$12="No", 'Staging Table'!DU82*Rates_previous!$H$34, 0))</f>
        <v>-312768.10841434193</v>
      </c>
      <c r="G80" s="116">
        <f>IF(Init!$R$9="Yes",SUMPRODUCT('Staging Table'!AJ82:AU82,LS_Demand_Rates_Restatement!$C$10:$N$10),SUMPRODUCT(LS_Demand_Rates_Restatement!$C$10:$N$10,'Staging Table'!CW82:DH82))*1000</f>
        <v>240641.68814543277</v>
      </c>
      <c r="H80" s="117">
        <f>IF(Init!$R$9="Yes",'Staging Table'!BQ82,'Staging Table'!ED82)*IF(Init!$R$3=2022,Rates_previous!$C$88,Rates_previous!$D$88)</f>
        <v>0</v>
      </c>
      <c r="I80" s="115">
        <v>76</v>
      </c>
      <c r="J80" s="117">
        <f>IF(Init!$R$9="Yes",IF('Staging Table'!D82=1,'Staging Table'!H82*-1*'Staging Table'!BS82/'Staging Table'!BR82,'Staging Table'!H82*SUM(D80:I80)*(-1)),IF('Staging Table'!D82=1,'Staging Table'!BU82*-1*'Staging Table'!BS82/'Staging Table'!BR82,'Staging Table'!BU82*SUM(D80:I80)*(-1)))</f>
        <v>-221106.97964975648</v>
      </c>
      <c r="K80" s="115">
        <f>IF(Init!$R$9="Yes",'Staging Table'!K82,'Staging Table'!BX82)*(-1)*Rates_previous!$H$32</f>
        <v>-434556.40358000004</v>
      </c>
      <c r="L80" s="115">
        <f>IF('Staging Table'!C82=1,"",SUM(D80:K80))</f>
        <v>2006417.591661334</v>
      </c>
      <c r="M80" s="115">
        <f>IF('Staging Table'!C82=1,"",IF(Init!$R$9="Yes",(RT1SC!$C$3*'Staging Table'!F82*'Staging Table'!$F$2)+SUM('Staging Table'!L82:AI82)-IF(Init!$R$12="No",'Staging Table'!BH82, 0),X80))</f>
        <v>76599.768392216036</v>
      </c>
      <c r="N80" s="69">
        <f>IF('Staging Table'!C82=1,"",IF(M80=0, 0, L80/M80))</f>
        <v>26.193520343140143</v>
      </c>
      <c r="O80" s="115">
        <f>'Staging Table'!BS82*Rates_current!$F$77*100*12</f>
        <v>3490060.2984000002</v>
      </c>
      <c r="P80" s="115">
        <f>'Staging Table'!BS82*Rates_current!$F$78*100*12</f>
        <v>-559014.12719999999</v>
      </c>
      <c r="Q80" s="116">
        <f>SUMPRODUCT('Staging Table'!BY82:CV82, LS_Demand_Rates_Restatement!$C$5:$Z$5)-IF(Init!$R$12="No",('Staging Table'!DU82*Rates_current!$I$46), 0)</f>
        <v>49857.84525770857</v>
      </c>
      <c r="R80" s="116">
        <f>SUMPRODUCT('Staging Table'!CW82:DH82, LS_Demand_Rates_Restatement!$C$11:$N$11)*1000</f>
        <v>278852.79984632309</v>
      </c>
      <c r="S80" s="117">
        <f>'Staging Table'!ED82*IF(Init!$R$15="Yes",IF(Init!$R$6=2024,Rates_current!$C$89,Rates_current!$D$89),Rates_current!$I$45)</f>
        <v>0</v>
      </c>
      <c r="T80" s="117">
        <v>76</v>
      </c>
      <c r="U80" s="117">
        <f>IF('Staging Table'!D82=1, 'Staging Table'!BU82*-1*'Staging Table'!BS82/'Staging Table'!BR82,SUM(O80:T80)*'Staging Table'!BU82*-1)</f>
        <v>-250695.12740936616</v>
      </c>
      <c r="V80" s="115">
        <f>'Staging Table'!BX82*Rates_current!$I$44*-1</f>
        <v>-449204.37224000006</v>
      </c>
      <c r="W80" s="115">
        <f>IF('Staging Table'!C82=1,"", SUM(O80:V80))</f>
        <v>2559933.3166546659</v>
      </c>
      <c r="X80" s="115">
        <f>IF('Staging Table'!C82=1,"", (RT1SC!$C$4*'Staging Table'!BS82*'Staging Table'!$BS$2)+SUM('Staging Table'!BY82:CV82)-IF(Init!$R$12="No",'Staging Table'!DU82, 0))</f>
        <v>83929.56</v>
      </c>
      <c r="Y80" s="69">
        <f>IF('Staging Table'!C82=1,"",IF(X80=0, 0, W80/X80))</f>
        <v>30.500973872073985</v>
      </c>
      <c r="Z80" s="64">
        <f ca="1">IF('Staging Table'!C82=1,"",(Y80/N80-1)+(RAND()/100000000000000))</f>
        <v>0.16444729354838758</v>
      </c>
      <c r="AA80" s="45">
        <f t="shared" ca="1" si="5"/>
        <v>3</v>
      </c>
      <c r="AB80" s="76"/>
      <c r="AC80" s="264"/>
      <c r="AD80" s="119"/>
      <c r="AE80" s="119"/>
      <c r="AG80" s="119"/>
      <c r="AH80" s="119"/>
    </row>
    <row r="81" spans="2:34">
      <c r="B81" s="2">
        <v>10244</v>
      </c>
      <c r="C81" s="3" t="s">
        <v>85</v>
      </c>
      <c r="D81" s="115">
        <f>IF(Init!$R$9="Yes",'Staging Table'!F83,'Staging Table'!BS83)*Rates_previous!$E$76*100*12</f>
        <v>31029081.824160002</v>
      </c>
      <c r="E81" s="115">
        <f>IF(Init!$R$9="Yes",'Staging Table'!F83,'Staging Table'!BS83)*Rates_previous!$E$77*100*12</f>
        <v>-6334865.42808</v>
      </c>
      <c r="F81" s="116">
        <f>IF(Init!$R$9="Yes",SUMPRODUCT('Staging Table'!L83:AI83,LS_Demand_Rates_Restatement!$C$4:$Z$4)-IF(Init!$R$12="No",('Staging Table'!BH83*Rates_previous!$H$34), 0),SUMPRODUCT('Staging Table'!BY83:CV83,LS_Demand_Rates_Restatement!$C$4:$Z$4)-IF(Init!$R$12="No", 'Staging Table'!DU83*Rates_previous!$H$34, 0))</f>
        <v>476425.32968956279</v>
      </c>
      <c r="G81" s="116">
        <f>IF(Init!$R$9="Yes",SUMPRODUCT('Staging Table'!AJ83:AU83,LS_Demand_Rates_Restatement!$C$10:$N$10),SUMPRODUCT(LS_Demand_Rates_Restatement!$C$10:$N$10,'Staging Table'!CW83:DH83))*1000</f>
        <v>3225398.9433337334</v>
      </c>
      <c r="H81" s="117">
        <f>IF(Init!$R$9="Yes",'Staging Table'!BQ83,'Staging Table'!ED83)*IF(Init!$R$3=2022,Rates_previous!$C$88,Rates_previous!$D$88)</f>
        <v>0</v>
      </c>
      <c r="I81" s="115">
        <v>77</v>
      </c>
      <c r="J81" s="117">
        <f>IF(Init!$R$9="Yes",IF('Staging Table'!D83=1,'Staging Table'!H83*-1*'Staging Table'!BS83/'Staging Table'!BR83,'Staging Table'!H83*SUM(D81:I81)*(-1)),IF('Staging Table'!D83=1,'Staging Table'!BU83*-1*'Staging Table'!BS83/'Staging Table'!BR83,'Staging Table'!BU83*SUM(D81:I81)*(-1)))</f>
        <v>-1979536.6047613211</v>
      </c>
      <c r="K81" s="115">
        <f>IF(Init!$R$9="Yes",'Staging Table'!K83,'Staging Table'!BX83)*(-1)*Rates_previous!$H$32</f>
        <v>0</v>
      </c>
      <c r="L81" s="115">
        <f>IF('Staging Table'!C83=1,"",SUM(D81:K81))</f>
        <v>26416581.064341977</v>
      </c>
      <c r="M81" s="115">
        <f>IF('Staging Table'!C83=1,"",IF(Init!$R$9="Yes",(RT1SC!$C$3*'Staging Table'!F83*'Staging Table'!$F$2)+SUM('Staging Table'!L83:AI83)-IF(Init!$R$12="No",'Staging Table'!BH83, 0),X81))</f>
        <v>755757.79200000002</v>
      </c>
      <c r="N81" s="69">
        <f>IF('Staging Table'!C83=1,"",IF(M81=0, 0, L81/M81))</f>
        <v>34.953766066287514</v>
      </c>
      <c r="O81" s="115">
        <f>'Staging Table'!BS83*Rates_current!$F$77*100*12</f>
        <v>31521905.547600001</v>
      </c>
      <c r="P81" s="115">
        <f>'Staging Table'!BS83*Rates_current!$F$78*100*12</f>
        <v>-5048964.4908000007</v>
      </c>
      <c r="Q81" s="116">
        <f>SUMPRODUCT('Staging Table'!BY83:CV83, LS_Demand_Rates_Restatement!$C$5:$Z$5)-IF(Init!$R$12="No",('Staging Table'!DU83*Rates_current!$I$46), 0)</f>
        <v>1272038.8246461537</v>
      </c>
      <c r="R81" s="116">
        <f>SUMPRODUCT('Staging Table'!CW83:DH83, LS_Demand_Rates_Restatement!$C$11:$N$11)*1000</f>
        <v>3653454.917465678</v>
      </c>
      <c r="S81" s="117">
        <f>'Staging Table'!ED83*IF(Init!$R$15="Yes",IF(Init!$R$6=2024,Rates_current!$C$89,Rates_current!$D$89),Rates_current!$I$45)</f>
        <v>0</v>
      </c>
      <c r="T81" s="117">
        <v>77</v>
      </c>
      <c r="U81" s="117">
        <f>IF('Staging Table'!D83=1, 'Staging Table'!BU83*-1*'Staging Table'!BS83/'Staging Table'!BR83,SUM(O81:T81)*'Staging Table'!BU83*-1)</f>
        <v>-2441531.557348595</v>
      </c>
      <c r="V81" s="115">
        <f>'Staging Table'!BX83*Rates_current!$I$44*-1</f>
        <v>0</v>
      </c>
      <c r="W81" s="115">
        <f>IF('Staging Table'!C83=1,"", SUM(O81:V81))</f>
        <v>28956980.241563238</v>
      </c>
      <c r="X81" s="115">
        <f>IF('Staging Table'!C83=1,"", (RT1SC!$C$4*'Staging Table'!BS83*'Staging Table'!$BS$2)+SUM('Staging Table'!BY83:CV83)-IF(Init!$R$12="No",'Staging Table'!DU83, 0))</f>
        <v>758029.08</v>
      </c>
      <c r="Y81" s="69">
        <f>IF('Staging Table'!C83=1,"",IF(X81=0, 0, W81/X81))</f>
        <v>38.200355376291419</v>
      </c>
      <c r="Z81" s="64">
        <f ca="1">IF('Staging Table'!C83=1,"",(Y81/N81-1)+(RAND()/100000000000000))</f>
        <v>9.2882389378221381E-2</v>
      </c>
      <c r="AA81" s="45">
        <f t="shared" ca="1" si="5"/>
        <v>76</v>
      </c>
      <c r="AB81" s="76"/>
      <c r="AC81" s="264"/>
      <c r="AD81" s="119"/>
      <c r="AE81" s="119"/>
      <c r="AG81" s="119"/>
      <c r="AH81" s="119"/>
    </row>
    <row r="82" spans="2:34">
      <c r="B82" s="2">
        <v>10246</v>
      </c>
      <c r="C82" s="3" t="s">
        <v>86</v>
      </c>
      <c r="D82" s="115">
        <f>IF(Init!$R$9="Yes",'Staging Table'!F84,'Staging Table'!BS84)*Rates_previous!$E$76*100*12</f>
        <v>3241216.0087200003</v>
      </c>
      <c r="E82" s="115">
        <f>IF(Init!$R$9="Yes",'Staging Table'!F84,'Staging Table'!BS84)*Rates_previous!$E$77*100*12</f>
        <v>-661723.32635999995</v>
      </c>
      <c r="F82" s="116">
        <f>IF(Init!$R$9="Yes",SUMPRODUCT('Staging Table'!L84:AI84,LS_Demand_Rates_Restatement!$C$4:$Z$4)-IF(Init!$R$12="No",('Staging Table'!BH84*Rates_previous!$H$34), 0),SUMPRODUCT('Staging Table'!BY84:CV84,LS_Demand_Rates_Restatement!$C$4:$Z$4)-IF(Init!$R$12="No", 'Staging Table'!DU84*Rates_previous!$H$34, 0))</f>
        <v>26091.69094772893</v>
      </c>
      <c r="G82" s="116">
        <f>IF(Init!$R$9="Yes",SUMPRODUCT('Staging Table'!AJ84:AU84,LS_Demand_Rates_Restatement!$C$10:$N$10),SUMPRODUCT(LS_Demand_Rates_Restatement!$C$10:$N$10,'Staging Table'!CW84:DH84))*1000</f>
        <v>346425.95767382474</v>
      </c>
      <c r="H82" s="117">
        <f>IF(Init!$R$9="Yes",'Staging Table'!BQ84,'Staging Table'!ED84)*IF(Init!$R$3=2022,Rates_previous!$C$88,Rates_previous!$D$88)</f>
        <v>0</v>
      </c>
      <c r="I82" s="115">
        <v>78</v>
      </c>
      <c r="J82" s="117">
        <f>IF(Init!$R$9="Yes",IF('Staging Table'!D84=1,'Staging Table'!H84*-1*'Staging Table'!BS84/'Staging Table'!BR84,'Staging Table'!H84*SUM(D82:I82)*(-1)),IF('Staging Table'!D84=1,'Staging Table'!BU84*-1*'Staging Table'!BS84/'Staging Table'!BR84,'Staging Table'!BU84*SUM(D82:I82)*(-1)))</f>
        <v>0</v>
      </c>
      <c r="K82" s="115">
        <f>IF(Init!$R$9="Yes",'Staging Table'!K84,'Staging Table'!BX84)*(-1)*Rates_previous!$H$32</f>
        <v>0</v>
      </c>
      <c r="L82" s="115">
        <f>IF('Staging Table'!C84=1,"",SUM(D82:K82))</f>
        <v>2952088.330981554</v>
      </c>
      <c r="M82" s="115">
        <f>IF('Staging Table'!C84=1,"",IF(Init!$R$9="Yes",(RT1SC!$C$3*'Staging Table'!F84*'Staging Table'!$F$2)+SUM('Staging Table'!L84:AI84)-IF(Init!$R$12="No",'Staging Table'!BH84, 0),X82))</f>
        <v>78941.808000000005</v>
      </c>
      <c r="N82" s="69">
        <f>IF('Staging Table'!C84=1,"",IF(M82=0, 0, L82/M82))</f>
        <v>37.395752716755027</v>
      </c>
      <c r="O82" s="115">
        <f>'Staging Table'!BS84*Rates_current!$F$77*100*12</f>
        <v>3292714.9475999996</v>
      </c>
      <c r="P82" s="115">
        <f>'Staging Table'!BS84*Rates_current!$F$78*100*12</f>
        <v>-527404.69079999998</v>
      </c>
      <c r="Q82" s="116">
        <f>SUMPRODUCT('Staging Table'!BY84:CV84, LS_Demand_Rates_Restatement!$C$5:$Z$5)-IF(Init!$R$12="No",('Staging Table'!DU84*Rates_current!$I$46), 0)</f>
        <v>105059.76022062072</v>
      </c>
      <c r="R82" s="116">
        <f>SUMPRODUCT('Staging Table'!CW84:DH84, LS_Demand_Rates_Restatement!$C$11:$N$11)*1000</f>
        <v>378836.54043132131</v>
      </c>
      <c r="S82" s="117">
        <f>'Staging Table'!ED84*IF(Init!$R$15="Yes",IF(Init!$R$6=2024,Rates_current!$C$89,Rates_current!$D$89),Rates_current!$I$45)</f>
        <v>0</v>
      </c>
      <c r="T82" s="117">
        <v>78</v>
      </c>
      <c r="U82" s="117">
        <f>IF('Staging Table'!D84=1, 'Staging Table'!BU84*-1*'Staging Table'!BS84/'Staging Table'!BR84,SUM(O82:T82)*'Staging Table'!BU84*-1)</f>
        <v>0</v>
      </c>
      <c r="V82" s="115">
        <f>'Staging Table'!BX84*Rates_current!$I$44*-1</f>
        <v>0</v>
      </c>
      <c r="W82" s="115">
        <f>IF('Staging Table'!C84=1,"", SUM(O82:V82))</f>
        <v>3249284.5574519415</v>
      </c>
      <c r="X82" s="115">
        <f>IF('Staging Table'!C84=1,"", (RT1SC!$C$4*'Staging Table'!BS84*'Staging Table'!$BS$2)+SUM('Staging Table'!BY84:CV84)-IF(Init!$R$12="No",'Staging Table'!DU84, 0))</f>
        <v>79181.64</v>
      </c>
      <c r="Y82" s="69">
        <f>IF('Staging Table'!C84=1,"",IF(X82=0, 0, W82/X82))</f>
        <v>41.035833022048315</v>
      </c>
      <c r="Z82" s="64">
        <f ca="1">IF('Staging Table'!C84=1,"",(Y82/N82-1)+(RAND()/100000000000000))</f>
        <v>9.7339404634109852E-2</v>
      </c>
      <c r="AA82" s="45">
        <f t="shared" ca="1" si="5"/>
        <v>54</v>
      </c>
      <c r="AB82" s="76"/>
      <c r="AC82" s="264"/>
      <c r="AD82" s="119"/>
      <c r="AE82" s="119"/>
      <c r="AG82" s="119"/>
      <c r="AH82" s="119"/>
    </row>
    <row r="83" spans="2:34">
      <c r="B83" s="2">
        <v>10247</v>
      </c>
      <c r="C83" s="3" t="s">
        <v>87</v>
      </c>
      <c r="D83" s="115">
        <f>IF(Init!$R$9="Yes",'Staging Table'!F85,'Staging Table'!BS85)*Rates_previous!$E$76*100*12</f>
        <v>28825921.85328</v>
      </c>
      <c r="E83" s="115">
        <f>IF(Init!$R$9="Yes",'Staging Table'!F85,'Staging Table'!BS85)*Rates_previous!$E$77*100*12</f>
        <v>-5885070.5546400007</v>
      </c>
      <c r="F83" s="116">
        <f>IF(Init!$R$9="Yes",SUMPRODUCT('Staging Table'!L85:AI85,LS_Demand_Rates_Restatement!$C$4:$Z$4)-IF(Init!$R$12="No",('Staging Table'!BH85*Rates_previous!$H$34), 0),SUMPRODUCT('Staging Table'!BY85:CV85,LS_Demand_Rates_Restatement!$C$4:$Z$4)-IF(Init!$R$12="No", 'Staging Table'!DU85*Rates_previous!$H$34, 0))</f>
        <v>93557.276659328258</v>
      </c>
      <c r="G83" s="116">
        <f>IF(Init!$R$9="Yes",SUMPRODUCT('Staging Table'!AJ85:AU85,LS_Demand_Rates_Restatement!$C$10:$N$10),SUMPRODUCT(LS_Demand_Rates_Restatement!$C$10:$N$10,'Staging Table'!CW85:DH85))*1000</f>
        <v>1671781.7713643163</v>
      </c>
      <c r="H83" s="117">
        <f>IF(Init!$R$9="Yes",'Staging Table'!BQ85,'Staging Table'!ED85)*IF(Init!$R$3=2022,Rates_previous!$C$88,Rates_previous!$D$88)</f>
        <v>0</v>
      </c>
      <c r="I83" s="115">
        <v>79</v>
      </c>
      <c r="J83" s="117">
        <f>IF(Init!$R$9="Yes",IF('Staging Table'!D85=1,'Staging Table'!H85*-1*'Staging Table'!BS85/'Staging Table'!BR85,'Staging Table'!H85*SUM(D83:I83)*(-1)),IF('Staging Table'!D85=1,'Staging Table'!BU85*-1*'Staging Table'!BS85/'Staging Table'!BR85,'Staging Table'!BU85*SUM(D83:I83)*(-1)))</f>
        <v>0</v>
      </c>
      <c r="K83" s="115">
        <f>IF(Init!$R$9="Yes",'Staging Table'!K85,'Staging Table'!BX85)*(-1)*Rates_previous!$H$32</f>
        <v>0</v>
      </c>
      <c r="L83" s="115">
        <f>IF('Staging Table'!C85=1,"",SUM(D83:K83))</f>
        <v>24706269.346663643</v>
      </c>
      <c r="M83" s="115">
        <f>IF('Staging Table'!C85=1,"",IF(Init!$R$9="Yes",(RT1SC!$C$3*'Staging Table'!F85*'Staging Table'!$F$2)+SUM('Staging Table'!L85:AI85)-IF(Init!$R$12="No",'Staging Table'!BH85, 0),X83))</f>
        <v>702096.33600000001</v>
      </c>
      <c r="N83" s="69">
        <f>IF('Staging Table'!C85=1,"",IF(M83=0, 0, L83/M83))</f>
        <v>35.189286825538488</v>
      </c>
      <c r="O83" s="115">
        <f>'Staging Table'!BS85*Rates_current!$F$77*100*12</f>
        <v>29283771.004799999</v>
      </c>
      <c r="P83" s="115">
        <f>'Staging Table'!BS85*Rates_current!$F$78*100*12</f>
        <v>-4690475.3183999993</v>
      </c>
      <c r="Q83" s="116">
        <f>SUMPRODUCT('Staging Table'!BY85:CV85, LS_Demand_Rates_Restatement!$C$5:$Z$5)-IF(Init!$R$12="No",('Staging Table'!DU85*Rates_current!$I$46), 0)</f>
        <v>798482.444128884</v>
      </c>
      <c r="R83" s="116">
        <f>SUMPRODUCT('Staging Table'!CW85:DH85, LS_Demand_Rates_Restatement!$C$11:$N$11)*1000</f>
        <v>1778062.946903134</v>
      </c>
      <c r="S83" s="117">
        <f>'Staging Table'!ED85*IF(Init!$R$15="Yes",IF(Init!$R$6=2024,Rates_current!$C$89,Rates_current!$D$89),Rates_current!$I$45)</f>
        <v>0</v>
      </c>
      <c r="T83" s="117">
        <v>79</v>
      </c>
      <c r="U83" s="117">
        <f>IF('Staging Table'!D85=1, 'Staging Table'!BU85*-1*'Staging Table'!BS85/'Staging Table'!BR85,SUM(O83:T83)*'Staging Table'!BU85*-1)</f>
        <v>0</v>
      </c>
      <c r="V83" s="115">
        <f>'Staging Table'!BX85*Rates_current!$I$44*-1</f>
        <v>0</v>
      </c>
      <c r="W83" s="115">
        <f>IF('Staging Table'!C85=1,"", SUM(O83:V83))</f>
        <v>27169920.077432018</v>
      </c>
      <c r="X83" s="115">
        <f>IF('Staging Table'!C85=1,"", (RT1SC!$C$4*'Staging Table'!BS85*'Staging Table'!$BS$2)+SUM('Staging Table'!BY85:CV85)-IF(Init!$R$12="No",'Staging Table'!DU85, 0))</f>
        <v>704207.64</v>
      </c>
      <c r="Y83" s="69">
        <f>IF('Staging Table'!C85=1,"",IF(X83=0, 0, W83/X83))</f>
        <v>38.582256900013206</v>
      </c>
      <c r="Z83" s="64">
        <f ca="1">IF('Staging Table'!C85=1,"",(Y83/N83-1)+(RAND()/100000000000000))</f>
        <v>9.6420541038425775E-2</v>
      </c>
      <c r="AA83" s="45">
        <f t="shared" ca="1" si="5"/>
        <v>59</v>
      </c>
      <c r="AB83" s="76"/>
      <c r="AC83" s="264"/>
      <c r="AD83" s="119"/>
      <c r="AE83" s="119"/>
      <c r="AG83" s="119"/>
      <c r="AH83" s="119"/>
    </row>
    <row r="84" spans="2:34">
      <c r="B84" s="2">
        <v>10256</v>
      </c>
      <c r="C84" s="3" t="s">
        <v>88</v>
      </c>
      <c r="D84" s="115">
        <f>IF(Init!$R$9="Yes",'Staging Table'!F86,'Staging Table'!BS86)*Rates_previous!$E$76*100*12</f>
        <v>16858508.352480002</v>
      </c>
      <c r="E84" s="115">
        <f>IF(Init!$R$9="Yes",'Staging Table'!F86,'Staging Table'!BS86)*Rates_previous!$E$77*100*12</f>
        <v>-3441815.7242399999</v>
      </c>
      <c r="F84" s="116">
        <f>IF(Init!$R$9="Yes",SUMPRODUCT('Staging Table'!L86:AI86,LS_Demand_Rates_Restatement!$C$4:$Z$4)-IF(Init!$R$12="No",('Staging Table'!BH86*Rates_previous!$H$34), 0),SUMPRODUCT('Staging Table'!BY86:CV86,LS_Demand_Rates_Restatement!$C$4:$Z$4)-IF(Init!$R$12="No", 'Staging Table'!DU86*Rates_previous!$H$34, 0))</f>
        <v>-21340.455478984863</v>
      </c>
      <c r="G84" s="116">
        <f>IF(Init!$R$9="Yes",SUMPRODUCT('Staging Table'!AJ86:AU86,LS_Demand_Rates_Restatement!$C$10:$N$10),SUMPRODUCT(LS_Demand_Rates_Restatement!$C$10:$N$10,'Staging Table'!CW86:DH86))*1000</f>
        <v>1927705.7002123129</v>
      </c>
      <c r="H84" s="117">
        <f>IF(Init!$R$9="Yes",'Staging Table'!BQ86,'Staging Table'!ED86)*IF(Init!$R$3=2022,Rates_previous!$C$88,Rates_previous!$D$88)</f>
        <v>0</v>
      </c>
      <c r="I84" s="115">
        <v>80</v>
      </c>
      <c r="J84" s="117">
        <f>IF(Init!$R$9="Yes",IF('Staging Table'!D86=1,'Staging Table'!H86*-1*'Staging Table'!BS86/'Staging Table'!BR86,'Staging Table'!H86*SUM(D84:I84)*(-1)),IF('Staging Table'!D86=1,'Staging Table'!BU86*-1*'Staging Table'!BS86/'Staging Table'!BR86,'Staging Table'!BU86*SUM(D84:I84)*(-1)))</f>
        <v>-1227181.8803868818</v>
      </c>
      <c r="K84" s="115">
        <f>IF(Init!$R$9="Yes",'Staging Table'!K86,'Staging Table'!BX86)*(-1)*Rates_previous!$H$32</f>
        <v>-480031.36298000009</v>
      </c>
      <c r="L84" s="115">
        <f>IF('Staging Table'!C86=1,"",SUM(D84:K84))</f>
        <v>13615924.629606448</v>
      </c>
      <c r="M84" s="115">
        <f>IF('Staging Table'!C86=1,"",IF(Init!$R$9="Yes",(RT1SC!$C$3*'Staging Table'!F86*'Staging Table'!$F$2)+SUM('Staging Table'!L86:AI86)-IF(Init!$R$12="No",'Staging Table'!BH86, 0),X84))</f>
        <v>410616.864</v>
      </c>
      <c r="N84" s="69">
        <f>IF('Staging Table'!C86=1,"",IF(M84=0, 0, L84/M84))</f>
        <v>33.159681989111995</v>
      </c>
      <c r="O84" s="115">
        <f>'Staging Table'!BS86*Rates_current!$F$77*100*12</f>
        <v>17126313.2586</v>
      </c>
      <c r="P84" s="115">
        <f>'Staging Table'!BS86*Rates_current!$F$78*100*12</f>
        <v>-2743176.4037999995</v>
      </c>
      <c r="Q84" s="116">
        <f>SUMPRODUCT('Staging Table'!BY86:CV86, LS_Demand_Rates_Restatement!$C$5:$Z$5)-IF(Init!$R$12="No",('Staging Table'!DU86*Rates_current!$I$46), 0)</f>
        <v>313585.82595340157</v>
      </c>
      <c r="R84" s="116">
        <f>SUMPRODUCT('Staging Table'!CW86:DH86, LS_Demand_Rates_Restatement!$C$11:$N$11)*1000</f>
        <v>2148246.1184097128</v>
      </c>
      <c r="S84" s="117">
        <f>'Staging Table'!ED86*IF(Init!$R$15="Yes",IF(Init!$R$6=2024,Rates_current!$C$89,Rates_current!$D$89),Rates_current!$I$45)</f>
        <v>0</v>
      </c>
      <c r="T84" s="117">
        <v>80</v>
      </c>
      <c r="U84" s="117">
        <f>IF('Staging Table'!D86=1, 'Staging Table'!BU86*-1*'Staging Table'!BS86/'Staging Table'!BR86,SUM(O84:T84)*'Staging Table'!BU86*-1)</f>
        <v>-1508818.7062818198</v>
      </c>
      <c r="V84" s="115">
        <f>'Staging Table'!BX86*Rates_current!$I$44*-1</f>
        <v>-496212.1954400001</v>
      </c>
      <c r="W84" s="115">
        <f>IF('Staging Table'!C86=1,"", SUM(O84:V84))</f>
        <v>14840017.897441294</v>
      </c>
      <c r="X84" s="115">
        <f>IF('Staging Table'!C86=1,"", (RT1SC!$C$4*'Staging Table'!BS86*'Staging Table'!$BS$2)+SUM('Staging Table'!BY86:CV86)-IF(Init!$R$12="No",'Staging Table'!DU86, 0))</f>
        <v>411848.95131136809</v>
      </c>
      <c r="Y84" s="69">
        <f>IF('Staging Table'!C86=1,"",IF(X84=0, 0, W84/X84))</f>
        <v>36.032671323282962</v>
      </c>
      <c r="Z84" s="64">
        <f ca="1">IF('Staging Table'!C86=1,"",(Y84/N84-1)+(RAND()/100000000000000))</f>
        <v>8.6641040017046145E-2</v>
      </c>
      <c r="AA84" s="45">
        <f t="shared" ca="1" si="5"/>
        <v>95</v>
      </c>
      <c r="AB84" s="76"/>
      <c r="AC84" s="264"/>
      <c r="AD84" s="119"/>
      <c r="AE84" s="119"/>
      <c r="AG84" s="119"/>
      <c r="AH84" s="119"/>
    </row>
    <row r="85" spans="2:34">
      <c r="B85" s="2">
        <v>10258</v>
      </c>
      <c r="C85" s="3" t="s">
        <v>89</v>
      </c>
      <c r="D85" s="115">
        <f>IF(Init!$R$9="Yes",'Staging Table'!F87,'Staging Table'!BS87)*Rates_previous!$E$76*100*12</f>
        <v>13687044.129359998</v>
      </c>
      <c r="E85" s="115">
        <f>IF(Init!$R$9="Yes",'Staging Table'!F87,'Staging Table'!BS87)*Rates_previous!$E$77*100*12</f>
        <v>-2794332.8506799997</v>
      </c>
      <c r="F85" s="116">
        <f>IF(Init!$R$9="Yes",SUMPRODUCT('Staging Table'!L87:AI87,LS_Demand_Rates_Restatement!$C$4:$Z$4)-IF(Init!$R$12="No",('Staging Table'!BH87*Rates_previous!$H$34), 0),SUMPRODUCT('Staging Table'!BY87:CV87,LS_Demand_Rates_Restatement!$C$4:$Z$4)-IF(Init!$R$12="No", 'Staging Table'!DU87*Rates_previous!$H$34, 0))</f>
        <v>523565.3458796232</v>
      </c>
      <c r="G85" s="116">
        <f>IF(Init!$R$9="Yes",SUMPRODUCT('Staging Table'!AJ87:AU87,LS_Demand_Rates_Restatement!$C$10:$N$10),SUMPRODUCT(LS_Demand_Rates_Restatement!$C$10:$N$10,'Staging Table'!CW87:DH87))*1000</f>
        <v>1409091.9932995995</v>
      </c>
      <c r="H85" s="117">
        <f>IF(Init!$R$9="Yes",'Staging Table'!BQ87,'Staging Table'!ED87)*IF(Init!$R$3=2022,Rates_previous!$C$88,Rates_previous!$D$88)</f>
        <v>0</v>
      </c>
      <c r="I85" s="115">
        <v>81</v>
      </c>
      <c r="J85" s="117">
        <f>IF(Init!$R$9="Yes",IF('Staging Table'!D87=1,'Staging Table'!H87*-1*'Staging Table'!BS87/'Staging Table'!BR87,'Staging Table'!H87*SUM(D85:I85)*(-1)),IF('Staging Table'!D87=1,'Staging Table'!BU87*-1*'Staging Table'!BS87/'Staging Table'!BR87,'Staging Table'!BU87*SUM(D85:I85)*(-1)))</f>
        <v>-696339.59238195152</v>
      </c>
      <c r="K85" s="115">
        <f>IF(Init!$R$9="Yes",'Staging Table'!K87,'Staging Table'!BX87)*(-1)*Rates_previous!$H$32</f>
        <v>-212737.84454000002</v>
      </c>
      <c r="L85" s="115">
        <f>IF('Staging Table'!C87=1,"",SUM(D85:K85))</f>
        <v>11916372.18093727</v>
      </c>
      <c r="M85" s="115">
        <f>IF('Staging Table'!C87=1,"",IF(Init!$R$9="Yes",(RT1SC!$C$3*'Staging Table'!F87*'Staging Table'!$F$2)+SUM('Staging Table'!L87:AI87)-IF(Init!$R$12="No",'Staging Table'!BH87, 0),X85))</f>
        <v>333370.36799999996</v>
      </c>
      <c r="N85" s="69">
        <f>IF('Staging Table'!C87=1,"",IF(M85=0, 0, L85/M85))</f>
        <v>35.745145114209045</v>
      </c>
      <c r="O85" s="115">
        <f>'Staging Table'!BS87*Rates_current!$F$77*100*12</f>
        <v>13904818.745999999</v>
      </c>
      <c r="P85" s="115">
        <f>'Staging Table'!BS87*Rates_current!$F$78*100*12</f>
        <v>-2227179.318</v>
      </c>
      <c r="Q85" s="116">
        <f>SUMPRODUCT('Staging Table'!BY87:CV87, LS_Demand_Rates_Restatement!$C$5:$Z$5)-IF(Init!$R$12="No",('Staging Table'!DU87*Rates_current!$I$46), 0)</f>
        <v>736486.8786580537</v>
      </c>
      <c r="R85" s="116">
        <f>SUMPRODUCT('Staging Table'!CW87:DH87, LS_Demand_Rates_Restatement!$C$11:$N$11)*1000</f>
        <v>1593268.6997718394</v>
      </c>
      <c r="S85" s="117">
        <f>'Staging Table'!ED87*IF(Init!$R$15="Yes",IF(Init!$R$6=2024,Rates_current!$C$89,Rates_current!$D$89),Rates_current!$I$45)</f>
        <v>0</v>
      </c>
      <c r="T85" s="117">
        <v>81</v>
      </c>
      <c r="U85" s="117">
        <f>IF('Staging Table'!D87=1, 'Staging Table'!BU87*-1*'Staging Table'!BS87/'Staging Table'!BR87,SUM(O85:T85)*'Staging Table'!BU87*-1)</f>
        <v>-966883.17785076343</v>
      </c>
      <c r="V85" s="115">
        <f>'Staging Table'!BX87*Rates_current!$I$44*-1</f>
        <v>-219908.78312000004</v>
      </c>
      <c r="W85" s="115">
        <f>IF('Staging Table'!C87=1,"", SUM(O85:V85))</f>
        <v>12820684.045459129</v>
      </c>
      <c r="X85" s="115">
        <f>IF('Staging Table'!C87=1,"", (RT1SC!$C$4*'Staging Table'!BS87*'Staging Table'!$BS$2)+SUM('Staging Table'!BY87:CV87)-IF(Init!$R$12="No",'Staging Table'!DU87, 0))</f>
        <v>334374.70573835011</v>
      </c>
      <c r="Y85" s="69">
        <f>IF('Staging Table'!C87=1,"",IF(X85=0, 0, W85/X85))</f>
        <v>38.342266401847333</v>
      </c>
      <c r="Z85" s="64">
        <f ca="1">IF('Staging Table'!C87=1,"",(Y85/N85-1)+(RAND()/100000000000000))</f>
        <v>7.2656616145785016E-2</v>
      </c>
      <c r="AA85" s="45">
        <f t="shared" ca="1" si="5"/>
        <v>110</v>
      </c>
      <c r="AB85" s="76"/>
      <c r="AC85" s="264"/>
      <c r="AD85" s="119"/>
      <c r="AE85" s="119"/>
      <c r="AG85" s="119"/>
      <c r="AH85" s="119"/>
    </row>
    <row r="86" spans="2:34">
      <c r="B86" s="2">
        <v>10259</v>
      </c>
      <c r="C86" s="3" t="s">
        <v>90</v>
      </c>
      <c r="D86" s="115">
        <f>IF(Init!$R$9="Yes",'Staging Table'!F88,'Staging Table'!BS88)*Rates_previous!$E$76*100*12</f>
        <v>9731868.7723199986</v>
      </c>
      <c r="E86" s="115">
        <f>IF(Init!$R$9="Yes",'Staging Table'!F88,'Staging Table'!BS88)*Rates_previous!$E$77*100*12</f>
        <v>-1986848.31816</v>
      </c>
      <c r="F86" s="116">
        <f>IF(Init!$R$9="Yes",SUMPRODUCT('Staging Table'!L88:AI88,LS_Demand_Rates_Restatement!$C$4:$Z$4)-IF(Init!$R$12="No",('Staging Table'!BH88*Rates_previous!$H$34), 0),SUMPRODUCT('Staging Table'!BY88:CV88,LS_Demand_Rates_Restatement!$C$4:$Z$4)-IF(Init!$R$12="No", 'Staging Table'!DU88*Rates_previous!$H$34, 0))</f>
        <v>-285657.62357535458</v>
      </c>
      <c r="G86" s="116">
        <f>IF(Init!$R$9="Yes",SUMPRODUCT('Staging Table'!AJ88:AU88,LS_Demand_Rates_Restatement!$C$10:$N$10),SUMPRODUCT(LS_Demand_Rates_Restatement!$C$10:$N$10,'Staging Table'!CW88:DH88))*1000</f>
        <v>887646.93712873943</v>
      </c>
      <c r="H86" s="117">
        <f>IF(Init!$R$9="Yes",'Staging Table'!BQ88,'Staging Table'!ED88)*IF(Init!$R$3=2022,Rates_previous!$C$88,Rates_previous!$D$88)</f>
        <v>0</v>
      </c>
      <c r="I86" s="115">
        <v>82</v>
      </c>
      <c r="J86" s="117">
        <f>IF(Init!$R$9="Yes",IF('Staging Table'!D88=1,'Staging Table'!H88*-1*'Staging Table'!BS88/'Staging Table'!BR88,'Staging Table'!H88*SUM(D86:I86)*(-1)),IF('Staging Table'!D88=1,'Staging Table'!BU88*-1*'Staging Table'!BS88/'Staging Table'!BR88,'Staging Table'!BU88*SUM(D86:I86)*(-1)))</f>
        <v>-672948.5082545433</v>
      </c>
      <c r="K86" s="115">
        <f>IF(Init!$R$9="Yes",'Staging Table'!K88,'Staging Table'!BX88)*(-1)*Rates_previous!$H$32</f>
        <v>0</v>
      </c>
      <c r="L86" s="115">
        <f>IF('Staging Table'!C88=1,"",SUM(D86:K86))</f>
        <v>7674143.2594588399</v>
      </c>
      <c r="M86" s="115">
        <f>IF('Staging Table'!C88=1,"",IF(Init!$R$9="Yes",(RT1SC!$C$3*'Staging Table'!F88*'Staging Table'!$F$2)+SUM('Staging Table'!L88:AI88)-IF(Init!$R$12="No",'Staging Table'!BH88, 0),X86))</f>
        <v>226363.13311103702</v>
      </c>
      <c r="N86" s="69">
        <f>IF('Staging Table'!C88=1,"",IF(M86=0, 0, L86/M86))</f>
        <v>33.901913063265795</v>
      </c>
      <c r="O86" s="115">
        <f>'Staging Table'!BS88*Rates_current!$F$77*100*12</f>
        <v>9886691.2950000018</v>
      </c>
      <c r="P86" s="115">
        <f>'Staging Table'!BS88*Rates_current!$F$78*100*12</f>
        <v>-1583582.9849999999</v>
      </c>
      <c r="Q86" s="116">
        <f>SUMPRODUCT('Staging Table'!BY88:CV88, LS_Demand_Rates_Restatement!$C$5:$Z$5)-IF(Init!$R$12="No",('Staging Table'!DU88*Rates_current!$I$46), 0)</f>
        <v>345874.47337241739</v>
      </c>
      <c r="R86" s="116">
        <f>SUMPRODUCT('Staging Table'!CW88:DH88, LS_Demand_Rates_Restatement!$C$11:$N$11)*1000</f>
        <v>977342.14694141748</v>
      </c>
      <c r="S86" s="117">
        <f>'Staging Table'!ED88*IF(Init!$R$15="Yes",IF(Init!$R$6=2024,Rates_current!$C$89,Rates_current!$D$89),Rates_current!$I$45)</f>
        <v>0</v>
      </c>
      <c r="T86" s="117">
        <v>82</v>
      </c>
      <c r="U86" s="117">
        <f>IF('Staging Table'!D88=1, 'Staging Table'!BU88*-1*'Staging Table'!BS88/'Staging Table'!BR88,SUM(O86:T86)*'Staging Table'!BU88*-1)</f>
        <v>-745644.86045334116</v>
      </c>
      <c r="V86" s="115">
        <f>'Staging Table'!BX88*Rates_current!$I$44*-1</f>
        <v>0</v>
      </c>
      <c r="W86" s="115">
        <f>IF('Staging Table'!C88=1,"", SUM(O86:V86))</f>
        <v>8880762.0698604956</v>
      </c>
      <c r="X86" s="115">
        <f>IF('Staging Table'!C88=1,"", (RT1SC!$C$4*'Staging Table'!BS88*'Staging Table'!$BS$2)+SUM('Staging Table'!BY88:CV88)-IF(Init!$R$12="No",'Staging Table'!DU88, 0))</f>
        <v>237755.15999999997</v>
      </c>
      <c r="Y86" s="69">
        <f>IF('Staging Table'!C88=1,"",IF(X86=0, 0, W86/X86))</f>
        <v>37.352552389863995</v>
      </c>
      <c r="Z86" s="64">
        <f ca="1">IF('Staging Table'!C88=1,"",(Y86/N86-1)+(RAND()/100000000000000))</f>
        <v>0.10178302682090354</v>
      </c>
      <c r="AA86" s="45">
        <f t="shared" ca="1" si="5"/>
        <v>41</v>
      </c>
      <c r="AB86" s="76"/>
      <c r="AC86" s="264"/>
      <c r="AD86" s="119"/>
      <c r="AE86" s="119"/>
      <c r="AG86" s="119"/>
      <c r="AH86" s="119"/>
    </row>
    <row r="87" spans="2:34">
      <c r="B87" s="2">
        <v>10260</v>
      </c>
      <c r="C87" s="3" t="s">
        <v>91</v>
      </c>
      <c r="D87" s="115">
        <f>IF(Init!$R$9="Yes",'Staging Table'!F89,'Staging Table'!BS89)*Rates_previous!$E$76*100*12</f>
        <v>9479516.7765600011</v>
      </c>
      <c r="E87" s="115">
        <f>IF(Init!$R$9="Yes",'Staging Table'!F89,'Staging Table'!BS89)*Rates_previous!$E$77*100*12</f>
        <v>-1935328.3942800001</v>
      </c>
      <c r="F87" s="116">
        <f>IF(Init!$R$9="Yes",SUMPRODUCT('Staging Table'!L89:AI89,LS_Demand_Rates_Restatement!$C$4:$Z$4)-IF(Init!$R$12="No",('Staging Table'!BH89*Rates_previous!$H$34), 0),SUMPRODUCT('Staging Table'!BY89:CV89,LS_Demand_Rates_Restatement!$C$4:$Z$4)-IF(Init!$R$12="No", 'Staging Table'!DU89*Rates_previous!$H$34, 0))</f>
        <v>86996.782616989454</v>
      </c>
      <c r="G87" s="116">
        <f>IF(Init!$R$9="Yes",SUMPRODUCT('Staging Table'!AJ89:AU89,LS_Demand_Rates_Restatement!$C$10:$N$10),SUMPRODUCT(LS_Demand_Rates_Restatement!$C$10:$N$10,'Staging Table'!CW89:DH89))*1000</f>
        <v>629328.60561952461</v>
      </c>
      <c r="H87" s="117">
        <f>IF(Init!$R$9="Yes",'Staging Table'!BQ89,'Staging Table'!ED89)*IF(Init!$R$3=2022,Rates_previous!$C$88,Rates_previous!$D$88)</f>
        <v>0</v>
      </c>
      <c r="I87" s="115">
        <v>83</v>
      </c>
      <c r="J87" s="117">
        <f>IF(Init!$R$9="Yes",IF('Staging Table'!D89=1,'Staging Table'!H89*-1*'Staging Table'!BS89/'Staging Table'!BR89,'Staging Table'!H89*SUM(D87:I87)*(-1)),IF('Staging Table'!D89=1,'Staging Table'!BU89*-1*'Staging Table'!BS89/'Staging Table'!BR89,'Staging Table'!BU89*SUM(D87:I87)*(-1)))</f>
        <v>0</v>
      </c>
      <c r="K87" s="115">
        <f>IF(Init!$R$9="Yes",'Staging Table'!K89,'Staging Table'!BX89)*(-1)*Rates_previous!$H$32</f>
        <v>0</v>
      </c>
      <c r="L87" s="115">
        <f>IF('Staging Table'!C89=1,"",SUM(D87:K87))</f>
        <v>8260596.7705165157</v>
      </c>
      <c r="M87" s="115">
        <f>IF('Staging Table'!C89=1,"",IF(Init!$R$9="Yes",(RT1SC!$C$3*'Staging Table'!F89*'Staging Table'!$F$2)+SUM('Staging Table'!L89:AI89)-IF(Init!$R$12="No",'Staging Table'!BH89, 0),X87))</f>
        <v>230887.44</v>
      </c>
      <c r="N87" s="69">
        <f>IF('Staging Table'!C89=1,"",IF(M87=0, 0, L87/M87))</f>
        <v>35.777592624858741</v>
      </c>
      <c r="O87" s="115">
        <f>'Staging Table'!BS89*Rates_current!$F$77*100*12</f>
        <v>9630038.7456</v>
      </c>
      <c r="P87" s="115">
        <f>'Staging Table'!BS89*Rates_current!$F$78*100*12</f>
        <v>-1542474.1248000001</v>
      </c>
      <c r="Q87" s="116">
        <f>SUMPRODUCT('Staging Table'!BY89:CV89, LS_Demand_Rates_Restatement!$C$5:$Z$5)-IF(Init!$R$12="No",('Staging Table'!DU89*Rates_current!$I$46), 0)</f>
        <v>285430.25110960193</v>
      </c>
      <c r="R87" s="116">
        <f>SUMPRODUCT('Staging Table'!CW89:DH89, LS_Demand_Rates_Restatement!$C$11:$N$11)*1000</f>
        <v>683781.69744749821</v>
      </c>
      <c r="S87" s="117">
        <f>'Staging Table'!ED89*IF(Init!$R$15="Yes",IF(Init!$R$6=2024,Rates_current!$C$89,Rates_current!$D$89),Rates_current!$I$45)</f>
        <v>0</v>
      </c>
      <c r="T87" s="117">
        <v>83</v>
      </c>
      <c r="U87" s="117">
        <f>IF('Staging Table'!D89=1, 'Staging Table'!BU89*-1*'Staging Table'!BS89/'Staging Table'!BR89,SUM(O87:T87)*'Staging Table'!BU89*-1)</f>
        <v>0</v>
      </c>
      <c r="V87" s="115">
        <f>'Staging Table'!BX89*Rates_current!$I$44*-1</f>
        <v>0</v>
      </c>
      <c r="W87" s="115">
        <f>IF('Staging Table'!C89=1,"", SUM(O87:V87))</f>
        <v>9056859.569357099</v>
      </c>
      <c r="X87" s="115">
        <f>IF('Staging Table'!C89=1,"", (RT1SC!$C$4*'Staging Table'!BS89*'Staging Table'!$BS$2)+SUM('Staging Table'!BY89:CV89)-IF(Init!$R$12="No",'Staging Table'!DU89, 0))</f>
        <v>231579.36</v>
      </c>
      <c r="Y87" s="69">
        <f>IF('Staging Table'!C89=1,"",IF(X87=0, 0, W87/X87))</f>
        <v>39.109096636924377</v>
      </c>
      <c r="Z87" s="64">
        <f ca="1">IF('Staging Table'!C89=1,"",(Y87/N87-1)+(RAND()/100000000000000))</f>
        <v>9.3117053654162452E-2</v>
      </c>
      <c r="AA87" s="45">
        <f t="shared" ca="1" si="5"/>
        <v>73</v>
      </c>
      <c r="AB87" s="76"/>
      <c r="AC87" s="264"/>
      <c r="AD87" s="119"/>
      <c r="AE87" s="119"/>
      <c r="AG87" s="119"/>
      <c r="AH87" s="119"/>
    </row>
    <row r="88" spans="2:34">
      <c r="B88" s="2">
        <v>10273</v>
      </c>
      <c r="C88" s="3" t="s">
        <v>92</v>
      </c>
      <c r="D88" s="115">
        <f>IF(Init!$R$9="Yes",'Staging Table'!F90,'Staging Table'!BS90)*Rates_previous!$E$76*100*12</f>
        <v>2120952.5092799999</v>
      </c>
      <c r="E88" s="115">
        <f>IF(Init!$R$9="Yes",'Staging Table'!F90,'Staging Table'!BS90)*Rates_previous!$E$77*100*12</f>
        <v>-433011.48263999994</v>
      </c>
      <c r="F88" s="116">
        <f>IF(Init!$R$9="Yes",SUMPRODUCT('Staging Table'!L90:AI90,LS_Demand_Rates_Restatement!$C$4:$Z$4)-IF(Init!$R$12="No",('Staging Table'!BH90*Rates_previous!$H$34), 0),SUMPRODUCT('Staging Table'!BY90:CV90,LS_Demand_Rates_Restatement!$C$4:$Z$4)-IF(Init!$R$12="No", 'Staging Table'!DU90*Rates_previous!$H$34, 0))</f>
        <v>51976.758568898935</v>
      </c>
      <c r="G88" s="116">
        <f>IF(Init!$R$9="Yes",SUMPRODUCT('Staging Table'!AJ90:AU90,LS_Demand_Rates_Restatement!$C$10:$N$10),SUMPRODUCT(LS_Demand_Rates_Restatement!$C$10:$N$10,'Staging Table'!CW90:DH90))*1000</f>
        <v>284778.40682240925</v>
      </c>
      <c r="H88" s="117">
        <f>IF(Init!$R$9="Yes",'Staging Table'!BQ90,'Staging Table'!ED90)*IF(Init!$R$3=2022,Rates_previous!$C$88,Rates_previous!$D$88)</f>
        <v>0</v>
      </c>
      <c r="I88" s="115">
        <v>84</v>
      </c>
      <c r="J88" s="117">
        <f>IF(Init!$R$9="Yes",IF('Staging Table'!D90=1,'Staging Table'!H90*-1*'Staging Table'!BS90/'Staging Table'!BR90,'Staging Table'!H90*SUM(D88:I88)*(-1)),IF('Staging Table'!D90=1,'Staging Table'!BU90*-1*'Staging Table'!BS90/'Staging Table'!BR90,'Staging Table'!BU90*SUM(D88:I88)*(-1)))</f>
        <v>-194851.95539536118</v>
      </c>
      <c r="K88" s="115">
        <f>IF(Init!$R$9="Yes",'Staging Table'!K90,'Staging Table'!BX90)*(-1)*Rates_previous!$H$32</f>
        <v>-110169.82925</v>
      </c>
      <c r="L88" s="115">
        <f>IF('Staging Table'!C90=1,"",SUM(D88:K88))</f>
        <v>1719758.4073859469</v>
      </c>
      <c r="M88" s="115">
        <f>IF('Staging Table'!C90=1,"",IF(Init!$R$9="Yes",(RT1SC!$C$3*'Staging Table'!F90*'Staging Table'!$F$2)+SUM('Staging Table'!L90:AI90)-IF(Init!$R$12="No",'Staging Table'!BH90, 0),X88))</f>
        <v>51658.704000000005</v>
      </c>
      <c r="N88" s="69">
        <f>IF('Staging Table'!C90=1,"",IF(M88=0, 0, L88/M88))</f>
        <v>33.290777240287461</v>
      </c>
      <c r="O88" s="115">
        <f>'Staging Table'!BS90*Rates_current!$F$77*100*12</f>
        <v>2154741.8879999993</v>
      </c>
      <c r="P88" s="115">
        <f>'Staging Table'!BS90*Rates_current!$F$78*100*12</f>
        <v>-345131.90399999998</v>
      </c>
      <c r="Q88" s="116">
        <f>SUMPRODUCT('Staging Table'!BY90:CV90, LS_Demand_Rates_Restatement!$C$5:$Z$5)-IF(Init!$R$12="No",('Staging Table'!DU90*Rates_current!$I$46), 0)</f>
        <v>105490.90771410901</v>
      </c>
      <c r="R88" s="116">
        <f>SUMPRODUCT('Staging Table'!CW90:DH90, LS_Demand_Rates_Restatement!$C$11:$N$11)*1000</f>
        <v>318894.41643554135</v>
      </c>
      <c r="S88" s="117">
        <f>'Staging Table'!ED90*IF(Init!$R$15="Yes",IF(Init!$R$6=2024,Rates_current!$C$89,Rates_current!$D$89),Rates_current!$I$45)</f>
        <v>0</v>
      </c>
      <c r="T88" s="117">
        <v>84</v>
      </c>
      <c r="U88" s="117">
        <f>IF('Staging Table'!D90=1, 'Staging Table'!BU90*-1*'Staging Table'!BS90/'Staging Table'!BR90,SUM(O88:T88)*'Staging Table'!BU90*-1)</f>
        <v>-216718.9122947063</v>
      </c>
      <c r="V88" s="115">
        <f>'Staging Table'!BX90*Rates_current!$I$44*-1</f>
        <v>-113883.41900000001</v>
      </c>
      <c r="W88" s="115">
        <f>IF('Staging Table'!C90=1,"", SUM(O88:V88))</f>
        <v>1903476.9768549434</v>
      </c>
      <c r="X88" s="115">
        <f>IF('Staging Table'!C90=1,"", (RT1SC!$C$4*'Staging Table'!BS90*'Staging Table'!$BS$2)+SUM('Staging Table'!BY90:CV90)-IF(Init!$R$12="No",'Staging Table'!DU90, 0))</f>
        <v>51815.4</v>
      </c>
      <c r="Y88" s="69">
        <f>IF('Staging Table'!C90=1,"",IF(X88=0, 0, W88/X88))</f>
        <v>36.735738349119053</v>
      </c>
      <c r="Z88" s="64">
        <f ca="1">IF('Staging Table'!C90=1,"",(Y88/N88-1)+(RAND()/100000000000000))</f>
        <v>0.10348094560744094</v>
      </c>
      <c r="AA88" s="45">
        <f t="shared" ca="1" si="5"/>
        <v>33</v>
      </c>
      <c r="AB88" s="76"/>
      <c r="AC88" s="264"/>
      <c r="AD88" s="119"/>
      <c r="AE88" s="119"/>
      <c r="AG88" s="119"/>
      <c r="AH88" s="119"/>
    </row>
    <row r="89" spans="2:34">
      <c r="B89" s="2">
        <v>10278</v>
      </c>
      <c r="C89" s="3" t="s">
        <v>93</v>
      </c>
      <c r="D89" s="115">
        <f>IF(Init!$R$9="Yes",'Staging Table'!F91,'Staging Table'!BS91)*Rates_previous!$E$76*100*12</f>
        <v>12957141.515759999</v>
      </c>
      <c r="E89" s="115">
        <f>IF(Init!$R$9="Yes",'Staging Table'!F91,'Staging Table'!BS91)*Rates_previous!$E$77*100*12</f>
        <v>-2645316.6838800004</v>
      </c>
      <c r="F89" s="116">
        <f>IF(Init!$R$9="Yes",SUMPRODUCT('Staging Table'!L91:AI91,LS_Demand_Rates_Restatement!$C$4:$Z$4)-IF(Init!$R$12="No",('Staging Table'!BH91*Rates_previous!$H$34), 0),SUMPRODUCT('Staging Table'!BY91:CV91,LS_Demand_Rates_Restatement!$C$4:$Z$4)-IF(Init!$R$12="No", 'Staging Table'!DU91*Rates_previous!$H$34, 0))</f>
        <v>0</v>
      </c>
      <c r="G89" s="116">
        <f>IF(Init!$R$9="Yes",SUMPRODUCT('Staging Table'!AJ91:AU91,LS_Demand_Rates_Restatement!$C$10:$N$10),SUMPRODUCT(LS_Demand_Rates_Restatement!$C$10:$N$10,'Staging Table'!CW91:DH91))*1000</f>
        <v>0</v>
      </c>
      <c r="H89" s="117">
        <f>IF(Init!$R$9="Yes",'Staging Table'!BQ91,'Staging Table'!ED91)*IF(Init!$R$3=2022,Rates_previous!$C$88,Rates_previous!$D$88)</f>
        <v>0</v>
      </c>
      <c r="I89" s="115">
        <v>85</v>
      </c>
      <c r="J89" s="117">
        <f>IF(Init!$R$9="Yes",IF('Staging Table'!D91=1,'Staging Table'!H91*-1*'Staging Table'!BS91/'Staging Table'!BR91,'Staging Table'!H91*SUM(D89:I89)*(-1)),IF('Staging Table'!D91=1,'Staging Table'!BU91*-1*'Staging Table'!BS91/'Staging Table'!BR91,'Staging Table'!BU91*SUM(D89:I89)*(-1)))</f>
        <v>-737547.8126831539</v>
      </c>
      <c r="K89" s="115">
        <f>IF(Init!$R$9="Yes",'Staging Table'!K91,'Staging Table'!BX91)*(-1)*Rates_previous!$H$32</f>
        <v>0</v>
      </c>
      <c r="L89" s="115" t="str">
        <f>IF('Staging Table'!C91=1,"",SUM(D89:K89))</f>
        <v/>
      </c>
      <c r="M89" s="115" t="str">
        <f>IF('Staging Table'!C91=1,"",IF(Init!$R$9="Yes",(RT1SC!$C$3*'Staging Table'!F91*'Staging Table'!$F$2)+SUM('Staging Table'!L91:AI91)-IF(Init!$R$12="No",'Staging Table'!BH91, 0),X89))</f>
        <v/>
      </c>
      <c r="N89" s="69" t="str">
        <f>IF('Staging Table'!C91=1,"",IF(M89=0, 0, L89/M89))</f>
        <v/>
      </c>
      <c r="O89" s="115">
        <f>'Staging Table'!BS91*Rates_current!$F$77*100*12</f>
        <v>13163090.288399998</v>
      </c>
      <c r="P89" s="115">
        <f>'Staging Table'!BS91*Rates_current!$F$78*100*12</f>
        <v>-2108374.2971999999</v>
      </c>
      <c r="Q89" s="116">
        <f>SUMPRODUCT('Staging Table'!BY91:CV91, LS_Demand_Rates_Restatement!$C$5:$Z$5)-IF(Init!$R$12="No",('Staging Table'!DU91*Rates_current!$I$46), 0)</f>
        <v>0</v>
      </c>
      <c r="R89" s="116">
        <f>SUMPRODUCT('Staging Table'!CW91:DH91, LS_Demand_Rates_Restatement!$C$11:$N$11)*1000</f>
        <v>0</v>
      </c>
      <c r="S89" s="117">
        <f>'Staging Table'!ED91*IF(Init!$R$15="Yes",IF(Init!$R$6=2024,Rates_current!$C$89,Rates_current!$D$89),Rates_current!$I$45)</f>
        <v>0</v>
      </c>
      <c r="T89" s="117">
        <v>85</v>
      </c>
      <c r="U89" s="117">
        <f>IF('Staging Table'!D91=1, 'Staging Table'!BU91*-1*'Staging Table'!BS91/'Staging Table'!BR91,SUM(O89:T89)*'Staging Table'!BU91*-1)</f>
        <v>-909363.3099845699</v>
      </c>
      <c r="V89" s="115">
        <f>'Staging Table'!BX91*Rates_current!$I$44*-1</f>
        <v>0</v>
      </c>
      <c r="W89" s="115" t="str">
        <f>IF('Staging Table'!C91=1,"", SUM(O89:V89))</f>
        <v/>
      </c>
      <c r="X89" s="115" t="str">
        <f>IF('Staging Table'!C91=1,"", (RT1SC!$C$4*'Staging Table'!BS91*'Staging Table'!$BS$2)+SUM('Staging Table'!BY91:CV91)-IF(Init!$R$12="No",'Staging Table'!DU91, 0))</f>
        <v/>
      </c>
      <c r="Y89" s="69" t="str">
        <f>IF('Staging Table'!C91=1,"",IF(X89=0, 0, W89/X89))</f>
        <v/>
      </c>
      <c r="Z89" s="64" t="str">
        <f ca="1">IF('Staging Table'!C91=1,"",(Y89/N89-1)+(RAND()/100000000000000))</f>
        <v/>
      </c>
      <c r="AA89" s="45" t="str">
        <f t="shared" ca="1" si="5"/>
        <v/>
      </c>
      <c r="AB89" s="76"/>
      <c r="AC89" s="264"/>
      <c r="AD89" s="119"/>
      <c r="AE89" s="119"/>
      <c r="AG89" s="119"/>
      <c r="AH89" s="119"/>
    </row>
    <row r="90" spans="2:34">
      <c r="B90" s="2">
        <v>10279</v>
      </c>
      <c r="C90" s="3" t="s">
        <v>94</v>
      </c>
      <c r="D90" s="115">
        <f>IF(Init!$R$9="Yes",'Staging Table'!F92,'Staging Table'!BS92)*Rates_previous!$E$76*100*12</f>
        <v>23357132.748719998</v>
      </c>
      <c r="E90" s="115">
        <f>IF(Init!$R$9="Yes",'Staging Table'!F92,'Staging Table'!BS92)*Rates_previous!$E$77*100*12</f>
        <v>-4768568.1963600004</v>
      </c>
      <c r="F90" s="116">
        <f>IF(Init!$R$9="Yes",SUMPRODUCT('Staging Table'!L92:AI92,LS_Demand_Rates_Restatement!$C$4:$Z$4)-IF(Init!$R$12="No",('Staging Table'!BH92*Rates_previous!$H$34), 0),SUMPRODUCT('Staging Table'!BY92:CV92,LS_Demand_Rates_Restatement!$C$4:$Z$4)-IF(Init!$R$12="No", 'Staging Table'!DU92*Rates_previous!$H$34, 0))</f>
        <v>-124639.40672449116</v>
      </c>
      <c r="G90" s="116">
        <f>IF(Init!$R$9="Yes",SUMPRODUCT('Staging Table'!AJ92:AU92,LS_Demand_Rates_Restatement!$C$10:$N$10),SUMPRODUCT(LS_Demand_Rates_Restatement!$C$10:$N$10,'Staging Table'!CW92:DH92))*1000</f>
        <v>2316805.9893006422</v>
      </c>
      <c r="H90" s="117">
        <f>IF(Init!$R$9="Yes",'Staging Table'!BQ92,'Staging Table'!ED92)*IF(Init!$R$3=2022,Rates_previous!$C$88,Rates_previous!$D$88)</f>
        <v>0</v>
      </c>
      <c r="I90" s="115">
        <v>86</v>
      </c>
      <c r="J90" s="117">
        <f>IF(Init!$R$9="Yes",IF('Staging Table'!D92=1,'Staging Table'!H92*-1*'Staging Table'!BS92/'Staging Table'!BR92,'Staging Table'!H92*SUM(D90:I90)*(-1)),IF('Staging Table'!D92=1,'Staging Table'!BU92*-1*'Staging Table'!BS92/'Staging Table'!BR92,'Staging Table'!BU92*SUM(D90:I90)*(-1)))</f>
        <v>0</v>
      </c>
      <c r="K90" s="115">
        <f>IF(Init!$R$9="Yes",'Staging Table'!K92,'Staging Table'!BX92)*(-1)*Rates_previous!$H$32</f>
        <v>0</v>
      </c>
      <c r="L90" s="115">
        <f>IF('Staging Table'!C92=1,"",SUM(D90:K90))</f>
        <v>20780817.13493615</v>
      </c>
      <c r="M90" s="115">
        <f>IF('Staging Table'!C92=1,"",IF(Init!$R$9="Yes",(RT1SC!$C$3*'Staging Table'!F92*'Staging Table'!$F$2)+SUM('Staging Table'!L92:AI92)-IF(Init!$R$12="No",'Staging Table'!BH92, 0),X90))</f>
        <v>568895.76</v>
      </c>
      <c r="N90" s="69">
        <f>IF('Staging Table'!C92=1,"",IF(M90=0, 0, L90/M90))</f>
        <v>36.528338926161361</v>
      </c>
      <c r="O90" s="115">
        <f>'Staging Table'!BS92*Rates_current!$F$77*100*12</f>
        <v>23728059.108000003</v>
      </c>
      <c r="P90" s="115">
        <f>'Staging Table'!BS92*Rates_current!$F$78*100*12</f>
        <v>-3800599.1639999999</v>
      </c>
      <c r="Q90" s="116">
        <f>SUMPRODUCT('Staging Table'!BY92:CV92, LS_Demand_Rates_Restatement!$C$5:$Z$5)-IF(Init!$R$12="No",('Staging Table'!DU92*Rates_current!$I$46), 0)</f>
        <v>445089.70658061048</v>
      </c>
      <c r="R90" s="116">
        <f>SUMPRODUCT('Staging Table'!CW92:DH92, LS_Demand_Rates_Restatement!$C$11:$N$11)*1000</f>
        <v>2637165.5030332524</v>
      </c>
      <c r="S90" s="117">
        <f>'Staging Table'!ED92*IF(Init!$R$15="Yes",IF(Init!$R$6=2024,Rates_current!$C$89,Rates_current!$D$89),Rates_current!$I$45)</f>
        <v>0</v>
      </c>
      <c r="T90" s="117">
        <v>86</v>
      </c>
      <c r="U90" s="117">
        <f>IF('Staging Table'!D92=1, 'Staging Table'!BU92*-1*'Staging Table'!BS92/'Staging Table'!BR92,SUM(O90:T90)*'Staging Table'!BU92*-1)</f>
        <v>0</v>
      </c>
      <c r="V90" s="115">
        <f>'Staging Table'!BX92*Rates_current!$I$44*-1</f>
        <v>0</v>
      </c>
      <c r="W90" s="115">
        <f>IF('Staging Table'!C92=1,"", SUM(O90:V90))</f>
        <v>23009801.153613865</v>
      </c>
      <c r="X90" s="115">
        <f>IF('Staging Table'!C92=1,"", (RT1SC!$C$4*'Staging Table'!BS92*'Staging Table'!$BS$2)+SUM('Staging Table'!BY92:CV92)-IF(Init!$R$12="No",'Staging Table'!DU92, 0))</f>
        <v>570598.86968276463</v>
      </c>
      <c r="Y90" s="69">
        <f>IF('Staging Table'!C92=1,"",IF(X90=0, 0, W90/X90))</f>
        <v>40.325704056172782</v>
      </c>
      <c r="Z90" s="64">
        <f ca="1">IF('Staging Table'!C92=1,"",(Y90/N90-1)+(RAND()/100000000000000))</f>
        <v>0.10395668792078112</v>
      </c>
      <c r="AA90" s="45">
        <f t="shared" ca="1" si="5"/>
        <v>32</v>
      </c>
      <c r="AB90" s="76"/>
      <c r="AC90" s="264"/>
      <c r="AD90" s="119"/>
      <c r="AE90" s="119"/>
      <c r="AG90" s="119"/>
      <c r="AH90" s="119"/>
    </row>
    <row r="91" spans="2:34">
      <c r="B91" s="2">
        <v>10284</v>
      </c>
      <c r="C91" s="3" t="s">
        <v>95</v>
      </c>
      <c r="D91" s="115">
        <f>IF(Init!$R$9="Yes",'Staging Table'!F93,'Staging Table'!BS93)*Rates_previous!$E$76*100*12</f>
        <v>3861010.4464800004</v>
      </c>
      <c r="E91" s="115">
        <f>IF(Init!$R$9="Yes",'Staging Table'!F93,'Staging Table'!BS93)*Rates_previous!$E$77*100*12</f>
        <v>-788259.92124000005</v>
      </c>
      <c r="F91" s="116">
        <f>IF(Init!$R$9="Yes",SUMPRODUCT('Staging Table'!L93:AI93,LS_Demand_Rates_Restatement!$C$4:$Z$4)-IF(Init!$R$12="No",('Staging Table'!BH93*Rates_previous!$H$34), 0),SUMPRODUCT('Staging Table'!BY93:CV93,LS_Demand_Rates_Restatement!$C$4:$Z$4)-IF(Init!$R$12="No", 'Staging Table'!DU93*Rates_previous!$H$34, 0))</f>
        <v>46088.664001835918</v>
      </c>
      <c r="G91" s="116">
        <f>IF(Init!$R$9="Yes",SUMPRODUCT('Staging Table'!AJ93:AU93,LS_Demand_Rates_Restatement!$C$10:$N$10),SUMPRODUCT(LS_Demand_Rates_Restatement!$C$10:$N$10,'Staging Table'!CW93:DH93))*1000</f>
        <v>204289.01964046477</v>
      </c>
      <c r="H91" s="117">
        <f>IF(Init!$R$9="Yes",'Staging Table'!BQ93,'Staging Table'!ED93)*IF(Init!$R$3=2022,Rates_previous!$C$88,Rates_previous!$D$88)</f>
        <v>0</v>
      </c>
      <c r="I91" s="115">
        <v>87</v>
      </c>
      <c r="J91" s="117">
        <f>IF(Init!$R$9="Yes",IF('Staging Table'!D93=1,'Staging Table'!H93*-1*'Staging Table'!BS93/'Staging Table'!BR93,'Staging Table'!H93*SUM(D91:I91)*(-1)),IF('Staging Table'!D93=1,'Staging Table'!BU93*-1*'Staging Table'!BS93/'Staging Table'!BR93,'Staging Table'!BU93*SUM(D91:I91)*(-1)))</f>
        <v>-178934.00029518054</v>
      </c>
      <c r="K91" s="115">
        <f>IF(Init!$R$9="Yes",'Staging Table'!K93,'Staging Table'!BX93)*(-1)*Rates_previous!$H$32</f>
        <v>0</v>
      </c>
      <c r="L91" s="115">
        <f>IF('Staging Table'!C93=1,"",SUM(D91:K91))</f>
        <v>3144281.2085871208</v>
      </c>
      <c r="M91" s="115">
        <f>IF('Staging Table'!C93=1,"",IF(Init!$R$9="Yes",(RT1SC!$C$3*'Staging Table'!F93*'Staging Table'!$F$2)+SUM('Staging Table'!L93:AI93)-IF(Init!$R$12="No",'Staging Table'!BH93, 0),X91))</f>
        <v>94041.504000000001</v>
      </c>
      <c r="N91" s="69">
        <f>IF('Staging Table'!C93=1,"",IF(M91=0, 0, L91/M91))</f>
        <v>33.435037455240199</v>
      </c>
      <c r="O91" s="115">
        <f>'Staging Table'!BS93*Rates_current!$F$77*100*12</f>
        <v>3922562.5764000001</v>
      </c>
      <c r="P91" s="115">
        <f>'Staging Table'!BS93*Rates_current!$F$78*100*12</f>
        <v>-628289.40119999996</v>
      </c>
      <c r="Q91" s="116">
        <f>SUMPRODUCT('Staging Table'!BY93:CV93, LS_Demand_Rates_Restatement!$C$5:$Z$5)-IF(Init!$R$12="No",('Staging Table'!DU93*Rates_current!$I$46), 0)</f>
        <v>143108.01634778298</v>
      </c>
      <c r="R91" s="116">
        <f>SUMPRODUCT('Staging Table'!CW93:DH93, LS_Demand_Rates_Restatement!$C$11:$N$11)*1000</f>
        <v>224541.65368911147</v>
      </c>
      <c r="S91" s="117">
        <f>'Staging Table'!ED93*IF(Init!$R$15="Yes",IF(Init!$R$6=2024,Rates_current!$C$89,Rates_current!$D$89),Rates_current!$I$45)</f>
        <v>0</v>
      </c>
      <c r="T91" s="117">
        <v>87</v>
      </c>
      <c r="U91" s="117">
        <f>IF('Staging Table'!D93=1, 'Staging Table'!BU93*-1*'Staging Table'!BS93/'Staging Table'!BR93,SUM(O91:T91)*'Staging Table'!BU93*-1)</f>
        <v>-205222.86785923148</v>
      </c>
      <c r="V91" s="115">
        <f>'Staging Table'!BX93*Rates_current!$I$44*-1</f>
        <v>0</v>
      </c>
      <c r="W91" s="115">
        <f>IF('Staging Table'!C93=1,"", SUM(O91:V91))</f>
        <v>3456786.9773776638</v>
      </c>
      <c r="X91" s="115">
        <f>IF('Staging Table'!C93=1,"", (RT1SC!$C$4*'Staging Table'!BS93*'Staging Table'!$BS$2)+SUM('Staging Table'!BY93:CV93)-IF(Init!$R$12="No",'Staging Table'!DU93, 0))</f>
        <v>94324.10256820728</v>
      </c>
      <c r="Y91" s="69">
        <f>IF('Staging Table'!C93=1,"",IF(X91=0, 0, W91/X91))</f>
        <v>36.647971019687205</v>
      </c>
      <c r="Z91" s="64">
        <f ca="1">IF('Staging Table'!C93=1,"",(Y91/N91-1)+(RAND()/100000000000000))</f>
        <v>9.6094809785940927E-2</v>
      </c>
      <c r="AA91" s="45">
        <f t="shared" ca="1" si="5"/>
        <v>64</v>
      </c>
      <c r="AB91" s="76"/>
      <c r="AC91" s="264"/>
      <c r="AD91" s="119"/>
      <c r="AE91" s="119"/>
      <c r="AG91" s="119"/>
      <c r="AH91" s="119"/>
    </row>
    <row r="92" spans="2:34">
      <c r="B92" s="2">
        <v>10285</v>
      </c>
      <c r="C92" s="3" t="s">
        <v>96</v>
      </c>
      <c r="D92" s="115">
        <f>IF(Init!$R$9="Yes",'Staging Table'!F94,'Staging Table'!BS94)*Rates_previous!$E$76*100*12</f>
        <v>2354620.9910399998</v>
      </c>
      <c r="E92" s="115">
        <f>IF(Init!$R$9="Yes",'Staging Table'!F94,'Staging Table'!BS94)*Rates_previous!$E$77*100*12</f>
        <v>-480716.99952000001</v>
      </c>
      <c r="F92" s="116">
        <f>IF(Init!$R$9="Yes",SUMPRODUCT('Staging Table'!L94:AI94,LS_Demand_Rates_Restatement!$C$4:$Z$4)-IF(Init!$R$12="No",('Staging Table'!BH94*Rates_previous!$H$34), 0),SUMPRODUCT('Staging Table'!BY94:CV94,LS_Demand_Rates_Restatement!$C$4:$Z$4)-IF(Init!$R$12="No", 'Staging Table'!DU94*Rates_previous!$H$34, 0))</f>
        <v>0</v>
      </c>
      <c r="G92" s="116">
        <f>IF(Init!$R$9="Yes",SUMPRODUCT('Staging Table'!AJ94:AU94,LS_Demand_Rates_Restatement!$C$10:$N$10),SUMPRODUCT(LS_Demand_Rates_Restatement!$C$10:$N$10,'Staging Table'!CW94:DH94))*1000</f>
        <v>0</v>
      </c>
      <c r="H92" s="117">
        <f>IF(Init!$R$9="Yes",'Staging Table'!BQ94,'Staging Table'!ED94)*IF(Init!$R$3=2022,Rates_previous!$C$88,Rates_previous!$D$88)</f>
        <v>0</v>
      </c>
      <c r="I92" s="115">
        <v>88</v>
      </c>
      <c r="J92" s="117">
        <f>IF(Init!$R$9="Yes",IF('Staging Table'!D94=1,'Staging Table'!H94*-1*'Staging Table'!BS94/'Staging Table'!BR94,'Staging Table'!H94*SUM(D92:I92)*(-1)),IF('Staging Table'!D94=1,'Staging Table'!BU94*-1*'Staging Table'!BS94/'Staging Table'!BR94,'Staging Table'!BU94*SUM(D92:I92)*(-1)))</f>
        <v>-145204.95918977031</v>
      </c>
      <c r="K92" s="115">
        <f>IF(Init!$R$9="Yes",'Staging Table'!K94,'Staging Table'!BX94)*(-1)*Rates_previous!$H$32</f>
        <v>0</v>
      </c>
      <c r="L92" s="115" t="str">
        <f>IF('Staging Table'!C94=1,"",SUM(D92:K92))</f>
        <v/>
      </c>
      <c r="M92" s="115" t="str">
        <f>IF('Staging Table'!C94=1,"",IF(Init!$R$9="Yes",(RT1SC!$C$3*'Staging Table'!F94*'Staging Table'!$F$2)+SUM('Staging Table'!L94:AI94)-IF(Init!$R$12="No",'Staging Table'!BH94, 0),X92))</f>
        <v/>
      </c>
      <c r="N92" s="69" t="str">
        <f>IF('Staging Table'!C94=1,"",IF(M92=0, 0, L92/M92))</f>
        <v/>
      </c>
      <c r="O92" s="115">
        <f>'Staging Table'!BS94*Rates_current!$F$77*100*12</f>
        <v>2391711.6989999996</v>
      </c>
      <c r="P92" s="115">
        <f>'Staging Table'!BS94*Rates_current!$F$78*100*12</f>
        <v>-383088.11699999997</v>
      </c>
      <c r="Q92" s="116">
        <f>SUMPRODUCT('Staging Table'!BY94:CV94, LS_Demand_Rates_Restatement!$C$5:$Z$5)-IF(Init!$R$12="No",('Staging Table'!DU94*Rates_current!$I$46), 0)</f>
        <v>0</v>
      </c>
      <c r="R92" s="116">
        <f>SUMPRODUCT('Staging Table'!CW94:DH94, LS_Demand_Rates_Restatement!$C$11:$N$11)*1000</f>
        <v>0</v>
      </c>
      <c r="S92" s="117">
        <f>'Staging Table'!ED94*IF(Init!$R$15="Yes",IF(Init!$R$6=2024,Rates_current!$C$89,Rates_current!$D$89),Rates_current!$I$45)</f>
        <v>0</v>
      </c>
      <c r="T92" s="117">
        <v>88</v>
      </c>
      <c r="U92" s="117">
        <f>IF('Staging Table'!D94=1, 'Staging Table'!BU94*-1*'Staging Table'!BS94/'Staging Table'!BR94,SUM(O92:T92)*'Staging Table'!BU94*-1)</f>
        <v>-161845.67952838403</v>
      </c>
      <c r="V92" s="115">
        <f>'Staging Table'!BX94*Rates_current!$I$44*-1</f>
        <v>0</v>
      </c>
      <c r="W92" s="115" t="str">
        <f>IF('Staging Table'!C94=1,"", SUM(O92:V92))</f>
        <v/>
      </c>
      <c r="X92" s="115" t="str">
        <f>IF('Staging Table'!C94=1,"", (RT1SC!$C$4*'Staging Table'!BS94*'Staging Table'!$BS$2)+SUM('Staging Table'!BY94:CV94)-IF(Init!$R$12="No",'Staging Table'!DU94, 0))</f>
        <v/>
      </c>
      <c r="Y92" s="69" t="str">
        <f>IF('Staging Table'!C94=1,"",IF(X92=0, 0, W92/X92))</f>
        <v/>
      </c>
      <c r="Z92" s="64" t="str">
        <f ca="1">IF('Staging Table'!C94=1,"",(Y92/N92-1)+(RAND()/100000000000000))</f>
        <v/>
      </c>
      <c r="AA92" s="45" t="str">
        <f t="shared" ca="1" si="5"/>
        <v/>
      </c>
      <c r="AB92" s="76"/>
      <c r="AC92" s="264"/>
      <c r="AD92" s="119"/>
      <c r="AE92" s="119"/>
      <c r="AG92" s="119"/>
      <c r="AH92" s="119"/>
    </row>
    <row r="93" spans="2:34">
      <c r="B93" s="2">
        <v>10286</v>
      </c>
      <c r="C93" s="3" t="s">
        <v>97</v>
      </c>
      <c r="D93" s="115">
        <f>IF(Init!$R$9="Yes",'Staging Table'!F95,'Staging Table'!BS95)*Rates_previous!$E$76*100*12</f>
        <v>16557579.220319998</v>
      </c>
      <c r="E93" s="115">
        <f>IF(Init!$R$9="Yes",'Staging Table'!F95,'Staging Table'!BS95)*Rates_previous!$E$77*100*12</f>
        <v>-3380378.3421599995</v>
      </c>
      <c r="F93" s="116">
        <f>IF(Init!$R$9="Yes",SUMPRODUCT('Staging Table'!L95:AI95,LS_Demand_Rates_Restatement!$C$4:$Z$4)-IF(Init!$R$12="No",('Staging Table'!BH95*Rates_previous!$H$34), 0),SUMPRODUCT('Staging Table'!BY95:CV95,LS_Demand_Rates_Restatement!$C$4:$Z$4)-IF(Init!$R$12="No", 'Staging Table'!DU95*Rates_previous!$H$34, 0))</f>
        <v>565011.13372148701</v>
      </c>
      <c r="G93" s="116">
        <f>IF(Init!$R$9="Yes",SUMPRODUCT('Staging Table'!AJ95:AU95,LS_Demand_Rates_Restatement!$C$10:$N$10),SUMPRODUCT(LS_Demand_Rates_Restatement!$C$10:$N$10,'Staging Table'!CW95:DH95))*1000</f>
        <v>0</v>
      </c>
      <c r="H93" s="117">
        <f>IF(Init!$R$9="Yes",'Staging Table'!BQ95,'Staging Table'!ED95)*IF(Init!$R$3=2022,Rates_previous!$C$88,Rates_previous!$D$88)</f>
        <v>0</v>
      </c>
      <c r="I93" s="115">
        <v>89</v>
      </c>
      <c r="J93" s="117">
        <f>IF(Init!$R$9="Yes",IF('Staging Table'!D95=1,'Staging Table'!H95*-1*'Staging Table'!BS95/'Staging Table'!BR95,'Staging Table'!H95*SUM(D93:I93)*(-1)),IF('Staging Table'!D95=1,'Staging Table'!BU95*-1*'Staging Table'!BS95/'Staging Table'!BR95,'Staging Table'!BU95*SUM(D93:I93)*(-1)))</f>
        <v>0</v>
      </c>
      <c r="K93" s="115">
        <f>IF(Init!$R$9="Yes",'Staging Table'!K95,'Staging Table'!BX95)*(-1)*Rates_previous!$H$32</f>
        <v>-641072.3070700001</v>
      </c>
      <c r="L93" s="115">
        <f>IF('Staging Table'!C95=1,"",SUM(D93:K93))</f>
        <v>13101228.704811485</v>
      </c>
      <c r="M93" s="115">
        <f>IF('Staging Table'!C95=1,"",IF(Init!$R$9="Yes",(RT1SC!$C$3*'Staging Table'!F95*'Staging Table'!$F$2)+SUM('Staging Table'!L95:AI95)-IF(Init!$R$12="No",'Staging Table'!BH95, 0),X93))</f>
        <v>403282.22589029308</v>
      </c>
      <c r="N93" s="69">
        <f>IF('Staging Table'!C95=1,"",IF(M93=0, 0, L93/M93))</f>
        <v>32.486501669864019</v>
      </c>
      <c r="O93" s="115">
        <f>'Staging Table'!BS95*Rates_current!$F$77*100*12</f>
        <v>16820712.846599996</v>
      </c>
      <c r="P93" s="115">
        <f>'Staging Table'!BS95*Rates_current!$F$78*100*12</f>
        <v>-2694227.4077999997</v>
      </c>
      <c r="Q93" s="116">
        <f>SUMPRODUCT('Staging Table'!BY95:CV95, LS_Demand_Rates_Restatement!$C$5:$Z$5)-IF(Init!$R$12="No",('Staging Table'!DU95*Rates_current!$I$46), 0)</f>
        <v>1006606.6156436412</v>
      </c>
      <c r="R93" s="116">
        <f>SUMPRODUCT('Staging Table'!CW95:DH95, LS_Demand_Rates_Restatement!$C$11:$N$11)*1000</f>
        <v>0</v>
      </c>
      <c r="S93" s="117">
        <f>'Staging Table'!ED95*IF(Init!$R$15="Yes",IF(Init!$R$6=2024,Rates_current!$C$89,Rates_current!$D$89),Rates_current!$I$45)</f>
        <v>0</v>
      </c>
      <c r="T93" s="117">
        <v>89</v>
      </c>
      <c r="U93" s="117">
        <f>IF('Staging Table'!D95=1, 'Staging Table'!BU95*-1*'Staging Table'!BS95/'Staging Table'!BR95,SUM(O93:T93)*'Staging Table'!BU95*-1)</f>
        <v>0</v>
      </c>
      <c r="V93" s="115">
        <f>'Staging Table'!BX95*Rates_current!$I$44*-1</f>
        <v>-662681.48596000008</v>
      </c>
      <c r="W93" s="115">
        <f>IF('Staging Table'!C95=1,"", SUM(O93:V93))</f>
        <v>14470499.568483638</v>
      </c>
      <c r="X93" s="115">
        <f>IF('Staging Table'!C95=1,"", (RT1SC!$C$4*'Staging Table'!BS95*'Staging Table'!$BS$2)+SUM('Staging Table'!BY95:CV95)-IF(Init!$R$12="No",'Staging Table'!DU95, 0))</f>
        <v>404501.78387755819</v>
      </c>
      <c r="Y93" s="69">
        <f>IF('Staging Table'!C95=1,"",IF(X93=0, 0, W93/X93))</f>
        <v>35.773635977001838</v>
      </c>
      <c r="Z93" s="64">
        <f ca="1">IF('Staging Table'!C95=1,"",(Y93/N93-1)+(RAND()/100000000000000))</f>
        <v>0.10118461940108921</v>
      </c>
      <c r="AA93" s="45">
        <f t="shared" ca="1" si="5"/>
        <v>43</v>
      </c>
      <c r="AB93" s="76"/>
      <c r="AC93" s="264"/>
      <c r="AD93" s="119"/>
      <c r="AE93" s="119"/>
      <c r="AG93" s="119"/>
      <c r="AH93" s="119"/>
    </row>
    <row r="94" spans="2:34">
      <c r="B94" s="2">
        <v>10288</v>
      </c>
      <c r="C94" s="3" t="s">
        <v>98</v>
      </c>
      <c r="D94" s="115">
        <f>IF(Init!$R$9="Yes",'Staging Table'!F96,'Staging Table'!BS96)*Rates_previous!$E$76*100*12</f>
        <v>8876163.8311199993</v>
      </c>
      <c r="E94" s="115">
        <f>IF(Init!$R$9="Yes",'Staging Table'!F96,'Staging Table'!BS96)*Rates_previous!$E$77*100*12</f>
        <v>-1812148.47756</v>
      </c>
      <c r="F94" s="116">
        <f>IF(Init!$R$9="Yes",SUMPRODUCT('Staging Table'!L96:AI96,LS_Demand_Rates_Restatement!$C$4:$Z$4)-IF(Init!$R$12="No",('Staging Table'!BH96*Rates_previous!$H$34), 0),SUMPRODUCT('Staging Table'!BY96:CV96,LS_Demand_Rates_Restatement!$C$4:$Z$4)-IF(Init!$R$12="No", 'Staging Table'!DU96*Rates_previous!$H$34, 0))</f>
        <v>0</v>
      </c>
      <c r="G94" s="116">
        <f>IF(Init!$R$9="Yes",SUMPRODUCT('Staging Table'!AJ96:AU96,LS_Demand_Rates_Restatement!$C$10:$N$10),SUMPRODUCT(LS_Demand_Rates_Restatement!$C$10:$N$10,'Staging Table'!CW96:DH96))*1000</f>
        <v>0</v>
      </c>
      <c r="H94" s="117">
        <f>IF(Init!$R$9="Yes",'Staging Table'!BQ96,'Staging Table'!ED96)*IF(Init!$R$3=2022,Rates_previous!$C$88,Rates_previous!$D$88)</f>
        <v>0</v>
      </c>
      <c r="I94" s="115">
        <v>90</v>
      </c>
      <c r="J94" s="117">
        <f>IF(Init!$R$9="Yes",IF('Staging Table'!D96=1,'Staging Table'!H96*-1*'Staging Table'!BS96/'Staging Table'!BR96,'Staging Table'!H96*SUM(D94:I94)*(-1)),IF('Staging Table'!D96=1,'Staging Table'!BU96*-1*'Staging Table'!BS96/'Staging Table'!BR96,'Staging Table'!BU96*SUM(D94:I94)*(-1)))</f>
        <v>-423846.32121359993</v>
      </c>
      <c r="K94" s="115">
        <f>IF(Init!$R$9="Yes",'Staging Table'!K96,'Staging Table'!BX96)*(-1)*Rates_previous!$H$32</f>
        <v>0</v>
      </c>
      <c r="L94" s="115" t="str">
        <f>IF('Staging Table'!C96=1,"",SUM(D94:K94))</f>
        <v/>
      </c>
      <c r="M94" s="115" t="str">
        <f>IF('Staging Table'!C96=1,"",IF(Init!$R$9="Yes",(RT1SC!$C$3*'Staging Table'!F96*'Staging Table'!$F$2)+SUM('Staging Table'!L96:AI96)-IF(Init!$R$12="No",'Staging Table'!BH96, 0),X94))</f>
        <v/>
      </c>
      <c r="N94" s="69" t="str">
        <f>IF('Staging Table'!C96=1,"",IF(M94=0, 0, L94/M94))</f>
        <v/>
      </c>
      <c r="O94" s="115">
        <f>'Staging Table'!BS96*Rates_current!$F$77*100*12</f>
        <v>9062088.1493999995</v>
      </c>
      <c r="P94" s="115">
        <f>'Staging Table'!BS96*Rates_current!$F$78*100*12</f>
        <v>-1451503.6601999998</v>
      </c>
      <c r="Q94" s="116">
        <f>SUMPRODUCT('Staging Table'!BY96:CV96, LS_Demand_Rates_Restatement!$C$5:$Z$5)-IF(Init!$R$12="No",('Staging Table'!DU96*Rates_current!$I$46), 0)</f>
        <v>0</v>
      </c>
      <c r="R94" s="116">
        <f>SUMPRODUCT('Staging Table'!CW96:DH96, LS_Demand_Rates_Restatement!$C$11:$N$11)*1000</f>
        <v>0</v>
      </c>
      <c r="S94" s="117">
        <f>'Staging Table'!ED96*IF(Init!$R$15="Yes",IF(Init!$R$6=2024,Rates_current!$C$89,Rates_current!$D$89),Rates_current!$I$45)</f>
        <v>0</v>
      </c>
      <c r="T94" s="117">
        <v>90</v>
      </c>
      <c r="U94" s="117">
        <f>IF('Staging Table'!D96=1, 'Staging Table'!BU96*-1*'Staging Table'!BS96/'Staging Table'!BR96,SUM(O94:T94)*'Staging Table'!BU96*-1)</f>
        <v>-475051.46709127945</v>
      </c>
      <c r="V94" s="115">
        <f>'Staging Table'!BX96*Rates_current!$I$44*-1</f>
        <v>0</v>
      </c>
      <c r="W94" s="115" t="str">
        <f>IF('Staging Table'!C96=1,"", SUM(O94:V94))</f>
        <v/>
      </c>
      <c r="X94" s="115" t="str">
        <f>IF('Staging Table'!C96=1,"", (RT1SC!$C$4*'Staging Table'!BS96*'Staging Table'!$BS$2)+SUM('Staging Table'!BY96:CV96)-IF(Init!$R$12="No",'Staging Table'!DU96, 0))</f>
        <v/>
      </c>
      <c r="Y94" s="69" t="str">
        <f>IF('Staging Table'!C96=1,"",IF(X94=0, 0, W94/X94))</f>
        <v/>
      </c>
      <c r="Z94" s="64" t="str">
        <f ca="1">IF('Staging Table'!C96=1,"",(Y94/N94-1)+(RAND()/100000000000000))</f>
        <v/>
      </c>
      <c r="AA94" s="45" t="str">
        <f t="shared" ca="1" si="5"/>
        <v/>
      </c>
      <c r="AB94" s="76"/>
      <c r="AC94" s="264"/>
      <c r="AD94" s="119"/>
      <c r="AE94" s="119"/>
      <c r="AG94" s="119"/>
      <c r="AH94" s="119"/>
    </row>
    <row r="95" spans="2:34">
      <c r="B95" s="2">
        <v>10291</v>
      </c>
      <c r="C95" s="3" t="s">
        <v>99</v>
      </c>
      <c r="D95" s="115">
        <f>IF(Init!$R$9="Yes",'Staging Table'!F97,'Staging Table'!BS97)*Rates_previous!$E$76*100*12</f>
        <v>28196411.98824</v>
      </c>
      <c r="E95" s="115">
        <f>IF(Init!$R$9="Yes",'Staging Table'!F97,'Staging Table'!BS97)*Rates_previous!$E$77*100*12</f>
        <v>-5756550.4681200003</v>
      </c>
      <c r="F95" s="116">
        <f>IF(Init!$R$9="Yes",SUMPRODUCT('Staging Table'!L97:AI97,LS_Demand_Rates_Restatement!$C$4:$Z$4)-IF(Init!$R$12="No",('Staging Table'!BH97*Rates_previous!$H$34), 0),SUMPRODUCT('Staging Table'!BY97:CV97,LS_Demand_Rates_Restatement!$C$4:$Z$4)-IF(Init!$R$12="No", 'Staging Table'!DU97*Rates_previous!$H$34, 0))</f>
        <v>287146.1553879967</v>
      </c>
      <c r="G95" s="116">
        <f>IF(Init!$R$9="Yes",SUMPRODUCT('Staging Table'!AJ97:AU97,LS_Demand_Rates_Restatement!$C$10:$N$10),SUMPRODUCT(LS_Demand_Rates_Restatement!$C$10:$N$10,'Staging Table'!CW97:DH97))*1000</f>
        <v>1839289.7489583329</v>
      </c>
      <c r="H95" s="117">
        <f>IF(Init!$R$9="Yes",'Staging Table'!BQ97,'Staging Table'!ED97)*IF(Init!$R$3=2022,Rates_previous!$C$88,Rates_previous!$D$88)</f>
        <v>0</v>
      </c>
      <c r="I95" s="115">
        <v>91</v>
      </c>
      <c r="J95" s="117">
        <f>IF(Init!$R$9="Yes",IF('Staging Table'!D97=1,'Staging Table'!H97*-1*'Staging Table'!BS97/'Staging Table'!BR97,'Staging Table'!H97*SUM(D95:I95)*(-1)),IF('Staging Table'!D97=1,'Staging Table'!BU97*-1*'Staging Table'!BS97/'Staging Table'!BR97,'Staging Table'!BU97*SUM(D95:I95)*(-1)))</f>
        <v>-1228319.4212233166</v>
      </c>
      <c r="K95" s="115">
        <f>IF(Init!$R$9="Yes",'Staging Table'!K97,'Staging Table'!BX97)*(-1)*Rates_previous!$H$32</f>
        <v>-419535.15356999997</v>
      </c>
      <c r="L95" s="115">
        <f>IF('Staging Table'!C97=1,"",SUM(D95:K95))</f>
        <v>22918533.849673014</v>
      </c>
      <c r="M95" s="115">
        <f>IF('Staging Table'!C97=1,"",IF(Init!$R$9="Yes",(RT1SC!$C$3*'Staging Table'!F97*'Staging Table'!$F$2)+SUM('Staging Table'!L97:AI97)-IF(Init!$R$12="No",'Staging Table'!BH97, 0),X95))</f>
        <v>695534.68799999997</v>
      </c>
      <c r="N95" s="69">
        <f>IF('Staging Table'!C97=1,"",IF(M95=0, 0, L95/M95))</f>
        <v>32.950957364290382</v>
      </c>
      <c r="O95" s="115">
        <f>'Staging Table'!BS97*Rates_current!$F$77*100*12</f>
        <v>29010284.534400001</v>
      </c>
      <c r="P95" s="115">
        <f>'Staging Table'!BS97*Rates_current!$F$78*100*12</f>
        <v>-4646670.1151999999</v>
      </c>
      <c r="Q95" s="116">
        <f>SUMPRODUCT('Staging Table'!BY97:CV97, LS_Demand_Rates_Restatement!$C$5:$Z$5)-IF(Init!$R$12="No",('Staging Table'!DU97*Rates_current!$I$46), 0)</f>
        <v>526080.16974619275</v>
      </c>
      <c r="R95" s="116">
        <f>SUMPRODUCT('Staging Table'!CW97:DH97, LS_Demand_Rates_Restatement!$C$11:$N$11)*1000</f>
        <v>2043536.9376006939</v>
      </c>
      <c r="S95" s="117">
        <f>'Staging Table'!ED97*IF(Init!$R$15="Yes",IF(Init!$R$6=2024,Rates_current!$C$89,Rates_current!$D$89),Rates_current!$I$45)</f>
        <v>0</v>
      </c>
      <c r="T95" s="117">
        <v>91</v>
      </c>
      <c r="U95" s="117">
        <f>IF('Staging Table'!D97=1, 'Staging Table'!BU97*-1*'Staging Table'!BS97/'Staging Table'!BR97,SUM(O95:T95)*'Staging Table'!BU97*-1)</f>
        <v>-1464189.5394966234</v>
      </c>
      <c r="V95" s="115">
        <f>'Staging Table'!BX97*Rates_current!$I$44*-1</f>
        <v>-433676.78795999999</v>
      </c>
      <c r="W95" s="115">
        <f>IF('Staging Table'!C97=1,"", SUM(O95:V95))</f>
        <v>25035456.199090268</v>
      </c>
      <c r="X95" s="115">
        <f>IF('Staging Table'!C97=1,"", (RT1SC!$C$4*'Staging Table'!BS97*'Staging Table'!$BS$2)+SUM('Staging Table'!BY97:CV97)-IF(Init!$R$12="No",'Staging Table'!DU97, 0))</f>
        <v>697628.88</v>
      </c>
      <c r="Y95" s="69">
        <f>IF('Staging Table'!C97=1,"",IF(X95=0, 0, W95/X95))</f>
        <v>35.886496268747173</v>
      </c>
      <c r="Z95" s="64">
        <f ca="1">IF('Staging Table'!C97=1,"",(Y95/N95-1)+(RAND()/100000000000000))</f>
        <v>8.9088121841283105E-2</v>
      </c>
      <c r="AA95" s="45">
        <f t="shared" ca="1" si="5"/>
        <v>86</v>
      </c>
      <c r="AB95" s="76"/>
      <c r="AC95" s="264"/>
      <c r="AD95" s="119"/>
      <c r="AE95" s="119"/>
      <c r="AG95" s="119"/>
      <c r="AH95" s="119"/>
    </row>
    <row r="96" spans="2:34">
      <c r="B96" s="2">
        <v>10294</v>
      </c>
      <c r="C96" s="3" t="s">
        <v>100</v>
      </c>
      <c r="D96" s="115">
        <f>IF(Init!$R$9="Yes",'Staging Table'!F98,'Staging Table'!BS98)*Rates_previous!$E$76*100*12</f>
        <v>13101129.130320001</v>
      </c>
      <c r="E96" s="115">
        <f>IF(Init!$R$9="Yes",'Staging Table'!F98,'Staging Table'!BS98)*Rates_previous!$E$77*100*12</f>
        <v>-2674713.0471599996</v>
      </c>
      <c r="F96" s="116">
        <f>IF(Init!$R$9="Yes",SUMPRODUCT('Staging Table'!L98:AI98,LS_Demand_Rates_Restatement!$C$4:$Z$4)-IF(Init!$R$12="No",('Staging Table'!BH98*Rates_previous!$H$34), 0),SUMPRODUCT('Staging Table'!BY98:CV98,LS_Demand_Rates_Restatement!$C$4:$Z$4)-IF(Init!$R$12="No", 'Staging Table'!DU98*Rates_previous!$H$34, 0))</f>
        <v>-32752.042297117645</v>
      </c>
      <c r="G96" s="116">
        <f>IF(Init!$R$9="Yes",SUMPRODUCT('Staging Table'!AJ98:AU98,LS_Demand_Rates_Restatement!$C$10:$N$10),SUMPRODUCT(LS_Demand_Rates_Restatement!$C$10:$N$10,'Staging Table'!CW98:DH98))*1000</f>
        <v>846879.2312905984</v>
      </c>
      <c r="H96" s="117">
        <f>IF(Init!$R$9="Yes",'Staging Table'!BQ98,'Staging Table'!ED98)*IF(Init!$R$3=2022,Rates_previous!$C$88,Rates_previous!$D$88)</f>
        <v>0</v>
      </c>
      <c r="I96" s="115">
        <v>92</v>
      </c>
      <c r="J96" s="117">
        <f>IF(Init!$R$9="Yes",IF('Staging Table'!D98=1,'Staging Table'!H98*-1*'Staging Table'!BS98/'Staging Table'!BR98,'Staging Table'!H98*SUM(D96:I96)*(-1)),IF('Staging Table'!D98=1,'Staging Table'!BU98*-1*'Staging Table'!BS98/'Staging Table'!BR98,'Staging Table'!BU98*SUM(D96:I96)*(-1)))</f>
        <v>0</v>
      </c>
      <c r="K96" s="115">
        <f>IF(Init!$R$9="Yes",'Staging Table'!K98,'Staging Table'!BX98)*(-1)*Rates_previous!$H$32</f>
        <v>0</v>
      </c>
      <c r="L96" s="115">
        <f>IF('Staging Table'!C98=1,"",SUM(D96:K96))</f>
        <v>11240635.272153482</v>
      </c>
      <c r="M96" s="115">
        <f>IF('Staging Table'!C98=1,"",IF(Init!$R$9="Yes",(RT1SC!$C$3*'Staging Table'!F98*'Staging Table'!$F$2)+SUM('Staging Table'!L98:AI98)-IF(Init!$R$12="No",'Staging Table'!BH98, 0),X96))</f>
        <v>319096.36799999996</v>
      </c>
      <c r="N96" s="69">
        <f>IF('Staging Table'!C98=1,"",IF(M96=0, 0, L96/M96))</f>
        <v>35.226459463034324</v>
      </c>
      <c r="O96" s="115">
        <f>'Staging Table'!BS98*Rates_current!$F$77*100*12</f>
        <v>13309156.925999999</v>
      </c>
      <c r="P96" s="115">
        <f>'Staging Table'!BS98*Rates_current!$F$78*100*12</f>
        <v>-2131770.2579999999</v>
      </c>
      <c r="Q96" s="116">
        <f>SUMPRODUCT('Staging Table'!BY98:CV98, LS_Demand_Rates_Restatement!$C$5:$Z$5)-IF(Init!$R$12="No",('Staging Table'!DU98*Rates_current!$I$46), 0)</f>
        <v>286279.54668712697</v>
      </c>
      <c r="R96" s="116">
        <f>SUMPRODUCT('Staging Table'!CW98:DH98, LS_Demand_Rates_Restatement!$C$11:$N$11)*1000</f>
        <v>942925.46974394599</v>
      </c>
      <c r="S96" s="117">
        <f>'Staging Table'!ED98*IF(Init!$R$15="Yes",IF(Init!$R$6=2024,Rates_current!$C$89,Rates_current!$D$89),Rates_current!$I$45)</f>
        <v>0</v>
      </c>
      <c r="T96" s="117">
        <v>92</v>
      </c>
      <c r="U96" s="117">
        <f>IF('Staging Table'!D98=1, 'Staging Table'!BU98*-1*'Staging Table'!BS98/'Staging Table'!BR98,SUM(O96:T96)*'Staging Table'!BU98*-1)</f>
        <v>0</v>
      </c>
      <c r="V96" s="115">
        <f>'Staging Table'!BX98*Rates_current!$I$44*-1</f>
        <v>0</v>
      </c>
      <c r="W96" s="115">
        <f>IF('Staging Table'!C98=1,"", SUM(O96:V96))</f>
        <v>12406683.684431072</v>
      </c>
      <c r="X96" s="115">
        <f>IF('Staging Table'!C98=1,"", (RT1SC!$C$4*'Staging Table'!BS98*'Staging Table'!$BS$2)+SUM('Staging Table'!BY98:CV98)-IF(Init!$R$12="No",'Staging Table'!DU98, 0))</f>
        <v>320055.36</v>
      </c>
      <c r="Y96" s="69">
        <f>IF('Staging Table'!C98=1,"",IF(X96=0, 0, W96/X96))</f>
        <v>38.764180310653359</v>
      </c>
      <c r="Z96" s="64">
        <f ca="1">IF('Staging Table'!C98=1,"",(Y96/N96-1)+(RAND()/100000000000000))</f>
        <v>0.10042794256208432</v>
      </c>
      <c r="AA96" s="45">
        <f t="shared" ca="1" si="5"/>
        <v>45</v>
      </c>
      <c r="AB96" s="76"/>
      <c r="AC96" s="264"/>
      <c r="AD96" s="119"/>
      <c r="AE96" s="119"/>
      <c r="AG96" s="119"/>
      <c r="AH96" s="119"/>
    </row>
    <row r="97" spans="2:34">
      <c r="B97" s="2">
        <v>10304</v>
      </c>
      <c r="C97" s="3" t="s">
        <v>101</v>
      </c>
      <c r="D97" s="115">
        <f>IF(Init!$R$9="Yes",'Staging Table'!F99,'Staging Table'!BS99)*Rates_previous!$E$76*100*12</f>
        <v>4837784.5583999995</v>
      </c>
      <c r="E97" s="115">
        <f>IF(Init!$R$9="Yes",'Staging Table'!F99,'Staging Table'!BS99)*Rates_previous!$E$77*100*12</f>
        <v>-987677.11919999984</v>
      </c>
      <c r="F97" s="116">
        <f>IF(Init!$R$9="Yes",SUMPRODUCT('Staging Table'!L99:AI99,LS_Demand_Rates_Restatement!$C$4:$Z$4)-IF(Init!$R$12="No",('Staging Table'!BH99*Rates_previous!$H$34), 0),SUMPRODUCT('Staging Table'!BY99:CV99,LS_Demand_Rates_Restatement!$C$4:$Z$4)-IF(Init!$R$12="No", 'Staging Table'!DU99*Rates_previous!$H$34, 0))</f>
        <v>54875.085341824844</v>
      </c>
      <c r="G97" s="116">
        <f>IF(Init!$R$9="Yes",SUMPRODUCT('Staging Table'!AJ99:AU99,LS_Demand_Rates_Restatement!$C$10:$N$10),SUMPRODUCT(LS_Demand_Rates_Restatement!$C$10:$N$10,'Staging Table'!CW99:DH99))*1000</f>
        <v>227825.96090077457</v>
      </c>
      <c r="H97" s="117">
        <f>IF(Init!$R$9="Yes",'Staging Table'!BQ99,'Staging Table'!ED99)*IF(Init!$R$3=2022,Rates_previous!$C$88,Rates_previous!$D$88)</f>
        <v>0</v>
      </c>
      <c r="I97" s="115">
        <v>93</v>
      </c>
      <c r="J97" s="117">
        <f>IF(Init!$R$9="Yes",IF('Staging Table'!D99=1,'Staging Table'!H99*-1*'Staging Table'!BS99/'Staging Table'!BR99,'Staging Table'!H99*SUM(D97:I97)*(-1)),IF('Staging Table'!D99=1,'Staging Table'!BU99*-1*'Staging Table'!BS99/'Staging Table'!BR99,'Staging Table'!BU99*SUM(D97:I97)*(-1)))</f>
        <v>0</v>
      </c>
      <c r="K97" s="115">
        <f>IF(Init!$R$9="Yes",'Staging Table'!K99,'Staging Table'!BX99)*(-1)*Rates_previous!$H$32</f>
        <v>0</v>
      </c>
      <c r="L97" s="115">
        <f>IF('Staging Table'!C99=1,"",SUM(D97:K97))</f>
        <v>4132901.4854425993</v>
      </c>
      <c r="M97" s="115">
        <f>IF('Staging Table'!C99=1,"",IF(Init!$R$9="Yes",(RT1SC!$C$3*'Staging Table'!F99*'Staging Table'!$F$2)+SUM('Staging Table'!L99:AI99)-IF(Init!$R$12="No",'Staging Table'!BH99, 0),X97))</f>
        <v>118822.8965523048</v>
      </c>
      <c r="N97" s="69">
        <f>IF('Staging Table'!C99=1,"",IF(M97=0, 0, L97/M97))</f>
        <v>34.782029435070477</v>
      </c>
      <c r="O97" s="115">
        <f>'Staging Table'!BS99*Rates_current!$F$77*100*12</f>
        <v>4941144.2885999996</v>
      </c>
      <c r="P97" s="115">
        <f>'Staging Table'!BS99*Rates_current!$F$78*100*12</f>
        <v>-791438.89379999996</v>
      </c>
      <c r="Q97" s="116">
        <f>SUMPRODUCT('Staging Table'!BY99:CV99, LS_Demand_Rates_Restatement!$C$5:$Z$5)-IF(Init!$R$12="No",('Staging Table'!DU99*Rates_current!$I$46), 0)</f>
        <v>141796.45809324755</v>
      </c>
      <c r="R97" s="116">
        <f>SUMPRODUCT('Staging Table'!CW99:DH99, LS_Demand_Rates_Restatement!$C$11:$N$11)*1000</f>
        <v>237862.6163338942</v>
      </c>
      <c r="S97" s="117">
        <f>'Staging Table'!ED99*IF(Init!$R$15="Yes",IF(Init!$R$6=2024,Rates_current!$C$89,Rates_current!$D$89),Rates_current!$I$45)</f>
        <v>-8.7804947767028345</v>
      </c>
      <c r="T97" s="117">
        <v>93</v>
      </c>
      <c r="U97" s="117">
        <f>IF('Staging Table'!D99=1, 'Staging Table'!BU99*-1*'Staging Table'!BS99/'Staging Table'!BR99,SUM(O97:T97)*'Staging Table'!BU99*-1)</f>
        <v>0</v>
      </c>
      <c r="V97" s="115">
        <f>'Staging Table'!BX99*Rates_current!$I$44*-1</f>
        <v>0</v>
      </c>
      <c r="W97" s="115">
        <f>IF('Staging Table'!C99=1,"", SUM(O97:V97))</f>
        <v>4529448.6887323651</v>
      </c>
      <c r="X97" s="115">
        <f>IF('Staging Table'!C99=1,"", (RT1SC!$C$4*'Staging Table'!BS99*'Staging Table'!$BS$2)+SUM('Staging Table'!BY99:CV99)-IF(Init!$R$12="No",'Staging Table'!DU99, 0))</f>
        <v>118822.90301411771</v>
      </c>
      <c r="Y97" s="69">
        <f>IF('Staging Table'!C99=1,"",IF(X97=0, 0, W97/X97))</f>
        <v>38.119323580187299</v>
      </c>
      <c r="Z97" s="64">
        <f ca="1">IF('Staging Table'!C99=1,"",(Y97/N97-1)+(RAND()/100000000000000))</f>
        <v>9.5948804578722111E-2</v>
      </c>
      <c r="AA97" s="45">
        <f t="shared" ca="1" si="5"/>
        <v>66</v>
      </c>
      <c r="AB97" s="76"/>
      <c r="AC97" s="264"/>
      <c r="AD97" s="119"/>
      <c r="AE97" s="119"/>
      <c r="AG97" s="119"/>
      <c r="AH97" s="119"/>
    </row>
    <row r="98" spans="2:34">
      <c r="B98" s="2">
        <v>10306</v>
      </c>
      <c r="C98" s="3" t="s">
        <v>102</v>
      </c>
      <c r="D98" s="115">
        <f>IF(Init!$R$9="Yes",'Staging Table'!F100,'Staging Table'!BS100)*Rates_previous!$E$76*100*12</f>
        <v>5492205.77544</v>
      </c>
      <c r="E98" s="115">
        <f>IF(Init!$R$9="Yes",'Staging Table'!F100,'Staging Table'!BS100)*Rates_previous!$E$77*100*12</f>
        <v>-1121283.0817199999</v>
      </c>
      <c r="F98" s="116">
        <f>IF(Init!$R$9="Yes",SUMPRODUCT('Staging Table'!L100:AI100,LS_Demand_Rates_Restatement!$C$4:$Z$4)-IF(Init!$R$12="No",('Staging Table'!BH100*Rates_previous!$H$34), 0),SUMPRODUCT('Staging Table'!BY100:CV100,LS_Demand_Rates_Restatement!$C$4:$Z$4)-IF(Init!$R$12="No", 'Staging Table'!DU100*Rates_previous!$H$34, 0))</f>
        <v>550458.33437982854</v>
      </c>
      <c r="G98" s="116">
        <f>IF(Init!$R$9="Yes",SUMPRODUCT('Staging Table'!AJ100:AU100,LS_Demand_Rates_Restatement!$C$10:$N$10),SUMPRODUCT(LS_Demand_Rates_Restatement!$C$10:$N$10,'Staging Table'!CW100:DH100))*1000</f>
        <v>0</v>
      </c>
      <c r="H98" s="117">
        <f>IF(Init!$R$9="Yes",'Staging Table'!BQ100,'Staging Table'!ED100)*IF(Init!$R$3=2022,Rates_previous!$C$88,Rates_previous!$D$88)</f>
        <v>0</v>
      </c>
      <c r="I98" s="115">
        <v>94</v>
      </c>
      <c r="J98" s="117">
        <f>IF(Init!$R$9="Yes",IF('Staging Table'!D100=1,'Staging Table'!H100*-1*'Staging Table'!BS100/'Staging Table'!BR100,'Staging Table'!H100*SUM(D98:I98)*(-1)),IF('Staging Table'!D100=1,'Staging Table'!BU100*-1*'Staging Table'!BS100/'Staging Table'!BR100,'Staging Table'!BU100*SUM(D98:I98)*(-1)))</f>
        <v>0</v>
      </c>
      <c r="K98" s="115">
        <f>IF(Init!$R$9="Yes",'Staging Table'!K100,'Staging Table'!BX100)*(-1)*Rates_previous!$H$32</f>
        <v>0</v>
      </c>
      <c r="L98" s="115">
        <f>IF('Staging Table'!C100=1,"",SUM(D98:K98))</f>
        <v>4921475.0280998284</v>
      </c>
      <c r="M98" s="115">
        <f>IF('Staging Table'!C100=1,"",IF(Init!$R$9="Yes",(RT1SC!$C$3*'Staging Table'!F100*'Staging Table'!$F$2)+SUM('Staging Table'!L100:AI100)-IF(Init!$R$12="No",'Staging Table'!BH100, 0),X98))</f>
        <v>133771.53662701664</v>
      </c>
      <c r="N98" s="69">
        <f>IF('Staging Table'!C100=1,"",IF(M98=0, 0, L98/M98))</f>
        <v>36.790150970769979</v>
      </c>
      <c r="O98" s="115">
        <f>'Staging Table'!BS100*Rates_current!$F$77*100*12</f>
        <v>5562963.432000001</v>
      </c>
      <c r="P98" s="115">
        <f>'Staging Table'!BS100*Rates_current!$F$78*100*12</f>
        <v>-891037.65600000008</v>
      </c>
      <c r="Q98" s="116">
        <f>SUMPRODUCT('Staging Table'!BY100:CV100, LS_Demand_Rates_Restatement!$C$5:$Z$5)-IF(Init!$R$12="No",('Staging Table'!DU100*Rates_current!$I$46), 0)</f>
        <v>739032.63105201162</v>
      </c>
      <c r="R98" s="116">
        <f>SUMPRODUCT('Staging Table'!CW100:DH100, LS_Demand_Rates_Restatement!$C$11:$N$11)*1000</f>
        <v>0</v>
      </c>
      <c r="S98" s="117">
        <f>'Staging Table'!ED100*IF(Init!$R$15="Yes",IF(Init!$R$6=2024,Rates_current!$C$89,Rates_current!$D$89),Rates_current!$I$45)</f>
        <v>0</v>
      </c>
      <c r="T98" s="117">
        <v>94</v>
      </c>
      <c r="U98" s="117">
        <f>IF('Staging Table'!D100=1, 'Staging Table'!BU100*-1*'Staging Table'!BS100/'Staging Table'!BR100,SUM(O98:T98)*'Staging Table'!BU100*-1)</f>
        <v>0</v>
      </c>
      <c r="V98" s="115">
        <f>'Staging Table'!BX100*Rates_current!$I$44*-1</f>
        <v>0</v>
      </c>
      <c r="W98" s="115">
        <f>IF('Staging Table'!C100=1,"", SUM(O98:V98))</f>
        <v>5411052.4070520122</v>
      </c>
      <c r="X98" s="115">
        <f>IF('Staging Table'!C100=1,"", (RT1SC!$C$4*'Staging Table'!BS100*'Staging Table'!$BS$2)+SUM('Staging Table'!BY100:CV100)-IF(Init!$R$12="No",'Staging Table'!DU100, 0))</f>
        <v>133773.96789681053</v>
      </c>
      <c r="Y98" s="69">
        <f>IF('Staging Table'!C100=1,"",IF(X98=0, 0, W98/X98))</f>
        <v>40.449218126100178</v>
      </c>
      <c r="Z98" s="64">
        <f ca="1">IF('Staging Table'!C100=1,"",(Y98/N98-1)+(RAND()/100000000000000))</f>
        <v>9.9457791250642177E-2</v>
      </c>
      <c r="AA98" s="45">
        <f t="shared" ca="1" si="5"/>
        <v>46</v>
      </c>
      <c r="AB98" s="76"/>
      <c r="AC98" s="264"/>
      <c r="AD98" s="119"/>
      <c r="AE98" s="119"/>
      <c r="AG98" s="119"/>
      <c r="AH98" s="119"/>
    </row>
    <row r="99" spans="2:34">
      <c r="B99" s="2">
        <v>10307</v>
      </c>
      <c r="C99" s="3" t="s">
        <v>103</v>
      </c>
      <c r="D99" s="115">
        <f>IF(Init!$R$9="Yes",'Staging Table'!F101,'Staging Table'!BS101)*Rates_previous!$E$76*100*12</f>
        <v>24763627.682640001</v>
      </c>
      <c r="E99" s="115">
        <f>IF(Init!$R$9="Yes",'Staging Table'!F101,'Staging Table'!BS101)*Rates_previous!$E$77*100*12</f>
        <v>-5055716.7553199995</v>
      </c>
      <c r="F99" s="116">
        <f>IF(Init!$R$9="Yes",SUMPRODUCT('Staging Table'!L101:AI101,LS_Demand_Rates_Restatement!$C$4:$Z$4)-IF(Init!$R$12="No",('Staging Table'!BH101*Rates_previous!$H$34), 0),SUMPRODUCT('Staging Table'!BY101:CV101,LS_Demand_Rates_Restatement!$C$4:$Z$4)-IF(Init!$R$12="No", 'Staging Table'!DU101*Rates_previous!$H$34, 0))</f>
        <v>590666.90227145271</v>
      </c>
      <c r="G99" s="116">
        <f>IF(Init!$R$9="Yes",SUMPRODUCT('Staging Table'!AJ101:AU101,LS_Demand_Rates_Restatement!$C$10:$N$10),SUMPRODUCT(LS_Demand_Rates_Restatement!$C$10:$N$10,'Staging Table'!CW101:DH101))*1000</f>
        <v>1877557.165327511</v>
      </c>
      <c r="H99" s="117">
        <f>IF(Init!$R$9="Yes",'Staging Table'!BQ101,'Staging Table'!ED101)*IF(Init!$R$3=2022,Rates_previous!$C$88,Rates_previous!$D$88)</f>
        <v>0</v>
      </c>
      <c r="I99" s="115">
        <v>95</v>
      </c>
      <c r="J99" s="117">
        <f>IF(Init!$R$9="Yes",IF('Staging Table'!D101=1,'Staging Table'!H101*-1*'Staging Table'!BS101/'Staging Table'!BR101,'Staging Table'!H101*SUM(D99:I99)*(-1)),IF('Staging Table'!D101=1,'Staging Table'!BU101*-1*'Staging Table'!BS101/'Staging Table'!BR101,'Staging Table'!BU101*SUM(D99:I99)*(-1)))</f>
        <v>0</v>
      </c>
      <c r="K99" s="115">
        <f>IF(Init!$R$9="Yes",'Staging Table'!K101,'Staging Table'!BX101)*(-1)*Rates_previous!$H$32</f>
        <v>0</v>
      </c>
      <c r="L99" s="115">
        <f>IF('Staging Table'!C101=1,"",SUM(D99:K99))</f>
        <v>22176229.994918969</v>
      </c>
      <c r="M99" s="115">
        <f>IF('Staging Table'!C101=1,"",IF(Init!$R$9="Yes",(RT1SC!$C$3*'Staging Table'!F101*'Staging Table'!$F$2)+SUM('Staging Table'!L101:AI101)-IF(Init!$R$12="No",'Staging Table'!BH101, 0),X99))</f>
        <v>610200.28282713506</v>
      </c>
      <c r="N99" s="69">
        <f>IF('Staging Table'!C101=1,"",IF(M99=0, 0, L99/M99))</f>
        <v>36.342542963391779</v>
      </c>
      <c r="O99" s="115">
        <f>'Staging Table'!BS101*Rates_current!$F$77*100*12</f>
        <v>25374675.565200001</v>
      </c>
      <c r="P99" s="115">
        <f>'Staging Table'!BS101*Rates_current!$F$78*100*12</f>
        <v>-4064342.9916000003</v>
      </c>
      <c r="Q99" s="116">
        <f>SUMPRODUCT('Staging Table'!BY101:CV101, LS_Demand_Rates_Restatement!$C$5:$Z$5)-IF(Init!$R$12="No",('Staging Table'!DU101*Rates_current!$I$46), 0)</f>
        <v>865981.89154968597</v>
      </c>
      <c r="R99" s="116">
        <f>SUMPRODUCT('Staging Table'!CW101:DH101, LS_Demand_Rates_Restatement!$C$11:$N$11)*1000</f>
        <v>2008074.7789833245</v>
      </c>
      <c r="S99" s="117">
        <f>'Staging Table'!ED101*IF(Init!$R$15="Yes",IF(Init!$R$6=2024,Rates_current!$C$89,Rates_current!$D$89),Rates_current!$I$45)</f>
        <v>14.604241658505051</v>
      </c>
      <c r="T99" s="117">
        <v>95</v>
      </c>
      <c r="U99" s="117">
        <f>IF('Staging Table'!D101=1, 'Staging Table'!BU101*-1*'Staging Table'!BS101/'Staging Table'!BR101,SUM(O99:T99)*'Staging Table'!BU101*-1)</f>
        <v>0</v>
      </c>
      <c r="V99" s="115">
        <f>'Staging Table'!BX101*Rates_current!$I$44*-1</f>
        <v>0</v>
      </c>
      <c r="W99" s="115">
        <f>IF('Staging Table'!C101=1,"", SUM(O99:V99))</f>
        <v>24184498.848374669</v>
      </c>
      <c r="X99" s="115">
        <f>IF('Staging Table'!C101=1,"", (RT1SC!$C$4*'Staging Table'!BS101*'Staging Table'!$BS$2)+SUM('Staging Table'!BY101:CV101)-IF(Init!$R$12="No",'Staging Table'!DU101, 0))</f>
        <v>610200.31602019107</v>
      </c>
      <c r="Y99" s="69">
        <f>IF('Staging Table'!C101=1,"",IF(X99=0, 0, W99/X99))</f>
        <v>39.633704233569134</v>
      </c>
      <c r="Z99" s="64">
        <f ca="1">IF('Staging Table'!C101=1,"",(Y99/N99-1)+(RAND()/100000000000000))</f>
        <v>9.0559465623877913E-2</v>
      </c>
      <c r="AA99" s="45">
        <f t="shared" ca="1" si="5"/>
        <v>81</v>
      </c>
      <c r="AB99" s="76"/>
      <c r="AC99" s="264"/>
      <c r="AD99" s="119"/>
      <c r="AE99" s="119"/>
      <c r="AG99" s="119"/>
      <c r="AH99" s="119"/>
    </row>
    <row r="100" spans="2:34">
      <c r="B100" s="2">
        <v>10326</v>
      </c>
      <c r="C100" s="3" t="s">
        <v>104</v>
      </c>
      <c r="D100" s="115">
        <f>IF(Init!$R$9="Yes",'Staging Table'!F102,'Staging Table'!BS102)*Rates_previous!$E$76*100*12</f>
        <v>10985158.89144</v>
      </c>
      <c r="E100" s="115">
        <f>IF(Init!$R$9="Yes",'Staging Table'!F102,'Staging Table'!BS102)*Rates_previous!$E$77*100*12</f>
        <v>-2242718.73972</v>
      </c>
      <c r="F100" s="116">
        <f>IF(Init!$R$9="Yes",SUMPRODUCT('Staging Table'!L102:AI102,LS_Demand_Rates_Restatement!$C$4:$Z$4)-IF(Init!$R$12="No",('Staging Table'!BH102*Rates_previous!$H$34), 0),SUMPRODUCT('Staging Table'!BY102:CV102,LS_Demand_Rates_Restatement!$C$4:$Z$4)-IF(Init!$R$12="No", 'Staging Table'!DU102*Rates_previous!$H$34, 0))</f>
        <v>-2267238.2307232386</v>
      </c>
      <c r="G100" s="116">
        <f>IF(Init!$R$9="Yes",SUMPRODUCT('Staging Table'!AJ102:AU102,LS_Demand_Rates_Restatement!$C$10:$N$10),SUMPRODUCT(LS_Demand_Rates_Restatement!$C$10:$N$10,'Staging Table'!CW102:DH102))*1000</f>
        <v>220322.63786412933</v>
      </c>
      <c r="H100" s="117">
        <f>IF(Init!$R$9="Yes",'Staging Table'!BQ102,'Staging Table'!ED102)*IF(Init!$R$3=2022,Rates_previous!$C$88,Rates_previous!$D$88)</f>
        <v>0</v>
      </c>
      <c r="I100" s="115">
        <v>96</v>
      </c>
      <c r="J100" s="117">
        <f>IF(Init!$R$9="Yes",IF('Staging Table'!D102=1,'Staging Table'!H102*-1*'Staging Table'!BS102/'Staging Table'!BR102,'Staging Table'!H102*SUM(D100:I100)*(-1)),IF('Staging Table'!D102=1,'Staging Table'!BU102*-1*'Staging Table'!BS102/'Staging Table'!BR102,'Staging Table'!BU102*SUM(D100:I100)*(-1)))</f>
        <v>0</v>
      </c>
      <c r="K100" s="115">
        <f>IF(Init!$R$9="Yes",'Staging Table'!K102,'Staging Table'!BX102)*(-1)*Rates_previous!$H$32</f>
        <v>0</v>
      </c>
      <c r="L100" s="115">
        <f>IF('Staging Table'!C102=1,"",SUM(D100:K100))</f>
        <v>6695620.5588608915</v>
      </c>
      <c r="M100" s="115">
        <f>IF('Staging Table'!C102=1,"",IF(Init!$R$9="Yes",(RT1SC!$C$3*'Staging Table'!F102*'Staging Table'!$F$2)+SUM('Staging Table'!L102:AI102)-IF(Init!$R$12="No",'Staging Table'!BH102, 0),X100))</f>
        <v>220300.0982541187</v>
      </c>
      <c r="N100" s="69">
        <f>IF('Staging Table'!C102=1,"",IF(M100=0, 0, L100/M100))</f>
        <v>30.393180084456503</v>
      </c>
      <c r="O100" s="115">
        <f>'Staging Table'!BS102*Rates_current!$F$77*100*12</f>
        <v>10560825.085200001</v>
      </c>
      <c r="P100" s="115">
        <f>'Staging Table'!BS102*Rates_current!$F$78*100*12</f>
        <v>-1691561.1516000002</v>
      </c>
      <c r="Q100" s="116">
        <f>SUMPRODUCT('Staging Table'!BY102:CV102, LS_Demand_Rates_Restatement!$C$5:$Z$5)-IF(Init!$R$12="No",('Staging Table'!DU102*Rates_current!$I$46), 0)</f>
        <v>-2410.0426555995364</v>
      </c>
      <c r="R100" s="116">
        <f>SUMPRODUCT('Staging Table'!CW102:DH102, LS_Demand_Rates_Restatement!$C$11:$N$11)*1000</f>
        <v>241782.60643164162</v>
      </c>
      <c r="S100" s="117">
        <f>'Staging Table'!ED102*IF(Init!$R$15="Yes",IF(Init!$R$6=2024,Rates_current!$C$89,Rates_current!$D$89),Rates_current!$I$45)</f>
        <v>2.9488332109886688</v>
      </c>
      <c r="T100" s="117">
        <v>96</v>
      </c>
      <c r="U100" s="117">
        <f>IF('Staging Table'!D102=1, 'Staging Table'!BU102*-1*'Staging Table'!BS102/'Staging Table'!BR102,SUM(O100:T100)*'Staging Table'!BU102*-1)</f>
        <v>0</v>
      </c>
      <c r="V100" s="115">
        <f>'Staging Table'!BX102*Rates_current!$I$44*-1</f>
        <v>0</v>
      </c>
      <c r="W100" s="115">
        <f>IF('Staging Table'!C102=1,"", SUM(O100:V100))</f>
        <v>9108735.4462092537</v>
      </c>
      <c r="X100" s="115">
        <f>IF('Staging Table'!C102=1,"", (RT1SC!$C$4*'Staging Table'!BS102*'Staging Table'!$BS$2)+SUM('Staging Table'!BY102:CV102)-IF(Init!$R$12="No",'Staging Table'!DU102, 0))</f>
        <v>253960.39999144047</v>
      </c>
      <c r="Y100" s="69">
        <f>IF('Staging Table'!C102=1,"",IF(X100=0, 0, W100/X100))</f>
        <v>35.866755000056138</v>
      </c>
      <c r="Z100" s="64">
        <f ca="1">IF('Staging Table'!C102=1,"",(Y100/N100-1)+(RAND()/100000000000000))</f>
        <v>0.18009220819900792</v>
      </c>
      <c r="AA100" s="45">
        <f t="shared" ref="AA100:AA131" ca="1" si="6">IF(Z100="","",RANK(Z100,$Z$4:$Z$137))</f>
        <v>2</v>
      </c>
      <c r="AB100" s="76"/>
      <c r="AC100" s="264"/>
      <c r="AD100" s="119"/>
      <c r="AE100" s="119"/>
      <c r="AG100" s="119"/>
      <c r="AH100" s="119"/>
    </row>
    <row r="101" spans="2:34">
      <c r="B101" s="2">
        <v>10331</v>
      </c>
      <c r="C101" s="3" t="s">
        <v>105</v>
      </c>
      <c r="D101" s="115">
        <f>IF(Init!$R$9="Yes",'Staging Table'!F103,'Staging Table'!BS103)*Rates_previous!$E$76*100*12</f>
        <v>12752370.202320002</v>
      </c>
      <c r="E101" s="115">
        <f>IF(Init!$R$9="Yes",'Staging Table'!F103,'Staging Table'!BS103)*Rates_previous!$E$77*100*12</f>
        <v>-2603510.7831599996</v>
      </c>
      <c r="F101" s="116">
        <f>IF(Init!$R$9="Yes",SUMPRODUCT('Staging Table'!L103:AI103,LS_Demand_Rates_Restatement!$C$4:$Z$4)-IF(Init!$R$12="No",('Staging Table'!BH103*Rates_previous!$H$34), 0),SUMPRODUCT('Staging Table'!BY103:CV103,LS_Demand_Rates_Restatement!$C$4:$Z$4)-IF(Init!$R$12="No", 'Staging Table'!DU103*Rates_previous!$H$34, 0))</f>
        <v>0</v>
      </c>
      <c r="G101" s="116">
        <f>IF(Init!$R$9="Yes",SUMPRODUCT('Staging Table'!AJ103:AU103,LS_Demand_Rates_Restatement!$C$10:$N$10),SUMPRODUCT(LS_Demand_Rates_Restatement!$C$10:$N$10,'Staging Table'!CW103:DH103))*1000</f>
        <v>0</v>
      </c>
      <c r="H101" s="117">
        <f>IF(Init!$R$9="Yes",'Staging Table'!BQ103,'Staging Table'!ED103)*IF(Init!$R$3=2022,Rates_previous!$C$88,Rates_previous!$D$88)</f>
        <v>0</v>
      </c>
      <c r="I101" s="115">
        <v>97</v>
      </c>
      <c r="J101" s="117">
        <f>IF(Init!$R$9="Yes",IF('Staging Table'!D103=1,'Staging Table'!H103*-1*'Staging Table'!BS103/'Staging Table'!BR103,'Staging Table'!H103*SUM(D101:I101)*(-1)),IF('Staging Table'!D103=1,'Staging Table'!BU103*-1*'Staging Table'!BS103/'Staging Table'!BR103,'Staging Table'!BU103*SUM(D101:I101)*(-1)))</f>
        <v>-710426.94934120029</v>
      </c>
      <c r="K101" s="115">
        <f>IF(Init!$R$9="Yes",'Staging Table'!K103,'Staging Table'!BX103)*(-1)*Rates_previous!$H$32</f>
        <v>-1539814.9470600002</v>
      </c>
      <c r="L101" s="115" t="str">
        <f>IF('Staging Table'!C103=1,"",SUM(D101:K101))</f>
        <v/>
      </c>
      <c r="M101" s="115" t="str">
        <f>IF('Staging Table'!C103=1,"",IF(Init!$R$9="Yes",(RT1SC!$C$3*'Staging Table'!F103*'Staging Table'!$F$2)+SUM('Staging Table'!L103:AI103)-IF(Init!$R$12="No",'Staging Table'!BH103, 0),X101))</f>
        <v/>
      </c>
      <c r="N101" s="69" t="str">
        <f>IF('Staging Table'!C103=1,"",IF(M101=0, 0, L101/M101))</f>
        <v/>
      </c>
      <c r="O101" s="115">
        <f>'Staging Table'!BS103*Rates_current!$F$77*100*12</f>
        <v>13410160.452</v>
      </c>
      <c r="P101" s="115">
        <f>'Staging Table'!BS103*Rates_current!$F$78*100*12</f>
        <v>-2147948.3160000001</v>
      </c>
      <c r="Q101" s="116">
        <f>SUMPRODUCT('Staging Table'!BY103:CV103, LS_Demand_Rates_Restatement!$C$5:$Z$5)-IF(Init!$R$12="No",('Staging Table'!DU103*Rates_current!$I$46), 0)</f>
        <v>0</v>
      </c>
      <c r="R101" s="116">
        <f>SUMPRODUCT('Staging Table'!CW103:DH103, LS_Demand_Rates_Restatement!$C$11:$N$11)*1000</f>
        <v>0</v>
      </c>
      <c r="S101" s="117">
        <f>'Staging Table'!ED103*IF(Init!$R$15="Yes",IF(Init!$R$6=2024,Rates_current!$C$89,Rates_current!$D$89),Rates_current!$I$45)</f>
        <v>0</v>
      </c>
      <c r="T101" s="117">
        <v>97</v>
      </c>
      <c r="U101" s="117">
        <f>IF('Staging Table'!D103=1, 'Staging Table'!BU103*-1*'Staging Table'!BS103/'Staging Table'!BR103,SUM(O101:T101)*'Staging Table'!BU103*-1)</f>
        <v>-834083.3166551207</v>
      </c>
      <c r="V101" s="115">
        <f>'Staging Table'!BX103*Rates_current!$I$44*-1</f>
        <v>-1591718.8216800003</v>
      </c>
      <c r="W101" s="115" t="str">
        <f>IF('Staging Table'!C103=1,"", SUM(O101:V101))</f>
        <v/>
      </c>
      <c r="X101" s="115" t="str">
        <f>IF('Staging Table'!C103=1,"", (RT1SC!$C$4*'Staging Table'!BS103*'Staging Table'!$BS$2)+SUM('Staging Table'!BY103:CV103)-IF(Init!$R$12="No",'Staging Table'!DU103, 0))</f>
        <v/>
      </c>
      <c r="Y101" s="69" t="str">
        <f>IF('Staging Table'!C103=1,"",IF(X101=0, 0, W101/X101))</f>
        <v/>
      </c>
      <c r="Z101" s="64" t="str">
        <f ca="1">IF('Staging Table'!C103=1,"",(Y101/N101-1)+(RAND()/100000000000000))</f>
        <v/>
      </c>
      <c r="AA101" s="45" t="str">
        <f t="shared" ca="1" si="6"/>
        <v/>
      </c>
      <c r="AB101" s="76"/>
      <c r="AC101" s="264"/>
      <c r="AD101" s="119"/>
      <c r="AE101" s="119"/>
      <c r="AG101" s="119"/>
      <c r="AH101" s="119"/>
    </row>
    <row r="102" spans="2:34">
      <c r="B102" s="2">
        <v>10333</v>
      </c>
      <c r="C102" s="3" t="s">
        <v>106</v>
      </c>
      <c r="D102" s="115">
        <f>IF(Init!$R$9="Yes",'Staging Table'!F104,'Staging Table'!BS104)*Rates_previous!$E$76*100*12</f>
        <v>6677238.7900800006</v>
      </c>
      <c r="E102" s="115">
        <f>IF(Init!$R$9="Yes",'Staging Table'!F104,'Staging Table'!BS104)*Rates_previous!$E$77*100*12</f>
        <v>-1363218.2030400001</v>
      </c>
      <c r="F102" s="116">
        <f>IF(Init!$R$9="Yes",SUMPRODUCT('Staging Table'!L104:AI104,LS_Demand_Rates_Restatement!$C$4:$Z$4)-IF(Init!$R$12="No",('Staging Table'!BH104*Rates_previous!$H$34), 0),SUMPRODUCT('Staging Table'!BY104:CV104,LS_Demand_Rates_Restatement!$C$4:$Z$4)-IF(Init!$R$12="No", 'Staging Table'!DU104*Rates_previous!$H$34, 0))</f>
        <v>0</v>
      </c>
      <c r="G102" s="116">
        <f>IF(Init!$R$9="Yes",SUMPRODUCT('Staging Table'!AJ104:AU104,LS_Demand_Rates_Restatement!$C$10:$N$10),SUMPRODUCT(LS_Demand_Rates_Restatement!$C$10:$N$10,'Staging Table'!CW104:DH104))*1000</f>
        <v>0</v>
      </c>
      <c r="H102" s="117">
        <f>IF(Init!$R$9="Yes",'Staging Table'!BQ104,'Staging Table'!ED104)*IF(Init!$R$3=2022,Rates_previous!$C$88,Rates_previous!$D$88)</f>
        <v>0</v>
      </c>
      <c r="I102" s="115">
        <v>98</v>
      </c>
      <c r="J102" s="117">
        <f>IF(Init!$R$9="Yes",IF('Staging Table'!D104=1,'Staging Table'!H104*-1*'Staging Table'!BS104/'Staging Table'!BR104,'Staging Table'!H104*SUM(D102:I102)*(-1)),IF('Staging Table'!D104=1,'Staging Table'!BU104*-1*'Staging Table'!BS104/'Staging Table'!BR104,'Staging Table'!BU104*SUM(D102:I102)*(-1)))</f>
        <v>-375418.15348897228</v>
      </c>
      <c r="K102" s="115">
        <f>IF(Init!$R$9="Yes",'Staging Table'!K104,'Staging Table'!BX104)*(-1)*Rates_previous!$H$32</f>
        <v>0</v>
      </c>
      <c r="L102" s="115" t="str">
        <f>IF('Staging Table'!C104=1,"",SUM(D102:K102))</f>
        <v/>
      </c>
      <c r="M102" s="115" t="str">
        <f>IF('Staging Table'!C104=1,"",IF(Init!$R$9="Yes",(RT1SC!$C$3*'Staging Table'!F104*'Staging Table'!$F$2)+SUM('Staging Table'!L104:AI104)-IF(Init!$R$12="No",'Staging Table'!BH104, 0),X102))</f>
        <v/>
      </c>
      <c r="N102" s="69" t="str">
        <f>IF('Staging Table'!C104=1,"",IF(M102=0, 0, L102/M102))</f>
        <v/>
      </c>
      <c r="O102" s="115">
        <f>'Staging Table'!BS104*Rates_current!$F$77*100*12</f>
        <v>6783552.1962000001</v>
      </c>
      <c r="P102" s="115">
        <f>'Staging Table'!BS104*Rates_current!$F$78*100*12</f>
        <v>-1086543.2645999999</v>
      </c>
      <c r="Q102" s="116">
        <f>SUMPRODUCT('Staging Table'!BY104:CV104, LS_Demand_Rates_Restatement!$C$5:$Z$5)-IF(Init!$R$12="No",('Staging Table'!DU104*Rates_current!$I$46), 0)</f>
        <v>0</v>
      </c>
      <c r="R102" s="116">
        <f>SUMPRODUCT('Staging Table'!CW104:DH104, LS_Demand_Rates_Restatement!$C$11:$N$11)*1000</f>
        <v>0</v>
      </c>
      <c r="S102" s="117">
        <f>'Staging Table'!ED104*IF(Init!$R$15="Yes",IF(Init!$R$6=2024,Rates_current!$C$89,Rates_current!$D$89),Rates_current!$I$45)</f>
        <v>0</v>
      </c>
      <c r="T102" s="117">
        <v>98</v>
      </c>
      <c r="U102" s="117">
        <f>IF('Staging Table'!D104=1, 'Staging Table'!BU104*-1*'Staging Table'!BS104/'Staging Table'!BR104,SUM(O102:T102)*'Staging Table'!BU104*-1)</f>
        <v>-431091.90083329193</v>
      </c>
      <c r="V102" s="115">
        <f>'Staging Table'!BX104*Rates_current!$I$44*-1</f>
        <v>0</v>
      </c>
      <c r="W102" s="115" t="str">
        <f>IF('Staging Table'!C104=1,"", SUM(O102:V102))</f>
        <v/>
      </c>
      <c r="X102" s="115" t="str">
        <f>IF('Staging Table'!C104=1,"", (RT1SC!$C$4*'Staging Table'!BS104*'Staging Table'!$BS$2)+SUM('Staging Table'!BY104:CV104)-IF(Init!$R$12="No",'Staging Table'!DU104, 0))</f>
        <v/>
      </c>
      <c r="Y102" s="69" t="str">
        <f>IF('Staging Table'!C104=1,"",IF(X102=0, 0, W102/X102))</f>
        <v/>
      </c>
      <c r="Z102" s="64" t="str">
        <f ca="1">IF('Staging Table'!C104=1,"",(Y102/N102-1)+(RAND()/100000000000000))</f>
        <v/>
      </c>
      <c r="AA102" s="45" t="str">
        <f t="shared" ca="1" si="6"/>
        <v/>
      </c>
      <c r="AB102" s="76"/>
      <c r="AC102" s="264"/>
      <c r="AD102" s="119"/>
      <c r="AE102" s="119"/>
      <c r="AG102" s="119"/>
      <c r="AH102" s="119"/>
    </row>
    <row r="103" spans="2:34">
      <c r="B103" s="2">
        <v>10338</v>
      </c>
      <c r="C103" s="3" t="s">
        <v>107</v>
      </c>
      <c r="D103" s="115">
        <f>IF(Init!$R$9="Yes",'Staging Table'!F105,'Staging Table'!BS105)*Rates_previous!$E$76*100*12</f>
        <v>855704.9412</v>
      </c>
      <c r="E103" s="115">
        <f>IF(Init!$R$9="Yes",'Staging Table'!F105,'Staging Table'!BS105)*Rates_previous!$E$77*100*12</f>
        <v>-174699.8406</v>
      </c>
      <c r="F103" s="116">
        <f>IF(Init!$R$9="Yes",SUMPRODUCT('Staging Table'!L105:AI105,LS_Demand_Rates_Restatement!$C$4:$Z$4)-IF(Init!$R$12="No",('Staging Table'!BH105*Rates_previous!$H$34), 0),SUMPRODUCT('Staging Table'!BY105:CV105,LS_Demand_Rates_Restatement!$C$4:$Z$4)-IF(Init!$R$12="No", 'Staging Table'!DU105*Rates_previous!$H$34, 0))</f>
        <v>-12499.249789864552</v>
      </c>
      <c r="G103" s="116">
        <f>IF(Init!$R$9="Yes",SUMPRODUCT('Staging Table'!AJ105:AU105,LS_Demand_Rates_Restatement!$C$10:$N$10),SUMPRODUCT(LS_Demand_Rates_Restatement!$C$10:$N$10,'Staging Table'!CW105:DH105))*1000</f>
        <v>51220.967150747871</v>
      </c>
      <c r="H103" s="117">
        <f>IF(Init!$R$9="Yes",'Staging Table'!BQ105,'Staging Table'!ED105)*IF(Init!$R$3=2022,Rates_previous!$C$88,Rates_previous!$D$88)</f>
        <v>0</v>
      </c>
      <c r="I103" s="115">
        <v>99</v>
      </c>
      <c r="J103" s="117">
        <f>IF(Init!$R$9="Yes",IF('Staging Table'!D105=1,'Staging Table'!H105*-1*'Staging Table'!BS105/'Staging Table'!BR105,'Staging Table'!H105*SUM(D103:I103)*(-1)),IF('Staging Table'!D105=1,'Staging Table'!BU105*-1*'Staging Table'!BS105/'Staging Table'!BR105,'Staging Table'!BU105*SUM(D103:I103)*(-1)))</f>
        <v>-25071.050928978933</v>
      </c>
      <c r="K103" s="115">
        <f>IF(Init!$R$9="Yes",'Staging Table'!K105,'Staging Table'!BX105)*(-1)*Rates_previous!$H$32</f>
        <v>-48075.779699999999</v>
      </c>
      <c r="L103" s="115">
        <f>IF('Staging Table'!C105=1,"",SUM(D103:K103))</f>
        <v>646678.98733190447</v>
      </c>
      <c r="M103" s="115">
        <f>IF('Staging Table'!C105=1,"",IF(Init!$R$9="Yes",(RT1SC!$C$3*'Staging Table'!F105*'Staging Table'!$F$2)+SUM('Staging Table'!L105:AI105)-IF(Init!$R$12="No",'Staging Table'!BH105, 0),X103))</f>
        <v>20844.432000000001</v>
      </c>
      <c r="N103" s="69">
        <f>IF('Staging Table'!C105=1,"",IF(M103=0, 0, L103/M103))</f>
        <v>31.024063756302137</v>
      </c>
      <c r="O103" s="115">
        <f>'Staging Table'!BS105*Rates_current!$F$77*100*12</f>
        <v>869148.29040000006</v>
      </c>
      <c r="P103" s="115">
        <f>'Staging Table'!BS105*Rates_current!$F$78*100*12</f>
        <v>-139214.26320000002</v>
      </c>
      <c r="Q103" s="116">
        <f>SUMPRODUCT('Staging Table'!BY105:CV105, LS_Demand_Rates_Restatement!$C$5:$Z$5)-IF(Init!$R$12="No",('Staging Table'!DU105*Rates_current!$I$46), 0)</f>
        <v>2034.5361869351764</v>
      </c>
      <c r="R103" s="116">
        <f>SUMPRODUCT('Staging Table'!CW105:DH105, LS_Demand_Rates_Restatement!$C$11:$N$11)*1000</f>
        <v>54206.754942672727</v>
      </c>
      <c r="S103" s="117">
        <f>'Staging Table'!ED105*IF(Init!$R$15="Yes",IF(Init!$R$6=2024,Rates_current!$C$89,Rates_current!$D$89),Rates_current!$I$45)</f>
        <v>0</v>
      </c>
      <c r="T103" s="117">
        <v>99</v>
      </c>
      <c r="U103" s="117">
        <f>IF('Staging Table'!D105=1, 'Staging Table'!BU105*-1*'Staging Table'!BS105/'Staging Table'!BR105,SUM(O103:T103)*'Staging Table'!BU105*-1)</f>
        <v>-28165.492869921036</v>
      </c>
      <c r="V103" s="115">
        <f>'Staging Table'!BX105*Rates_current!$I$44*-1</f>
        <v>-49696.311600000001</v>
      </c>
      <c r="W103" s="115">
        <f>IF('Staging Table'!C105=1,"", SUM(O103:V103))</f>
        <v>708412.51385968679</v>
      </c>
      <c r="X103" s="115">
        <f>IF('Staging Table'!C105=1,"", (RT1SC!$C$4*'Staging Table'!BS105*'Staging Table'!$BS$2)+SUM('Staging Table'!BY105:CV105)-IF(Init!$R$12="No",'Staging Table'!DU105, 0))</f>
        <v>20901.36</v>
      </c>
      <c r="Y103" s="69">
        <f>IF('Staging Table'!C105=1,"",IF(X103=0, 0, W103/X103))</f>
        <v>33.89313010539442</v>
      </c>
      <c r="Z103" s="64">
        <f ca="1">IF('Staging Table'!C105=1,"",(Y103/N103-1)+(RAND()/100000000000000))</f>
        <v>9.2478740748772187E-2</v>
      </c>
      <c r="AA103" s="45">
        <f t="shared" ca="1" si="6"/>
        <v>77</v>
      </c>
      <c r="AB103" s="76"/>
      <c r="AC103" s="264"/>
      <c r="AD103" s="119"/>
      <c r="AE103" s="119"/>
      <c r="AG103" s="119"/>
      <c r="AH103" s="119"/>
    </row>
    <row r="104" spans="2:34">
      <c r="B104" s="2">
        <v>10342</v>
      </c>
      <c r="C104" s="3" t="s">
        <v>108</v>
      </c>
      <c r="D104" s="115">
        <f>IF(Init!$R$9="Yes",'Staging Table'!F106,'Staging Table'!BS106)*Rates_previous!$E$76*100*12</f>
        <v>13782703.721039999</v>
      </c>
      <c r="E104" s="115">
        <f>IF(Init!$R$9="Yes",'Staging Table'!F106,'Staging Table'!BS106)*Rates_previous!$E$77*100*12</f>
        <v>-2813862.6145199998</v>
      </c>
      <c r="F104" s="116">
        <f>IF(Init!$R$9="Yes",SUMPRODUCT('Staging Table'!L106:AI106,LS_Demand_Rates_Restatement!$C$4:$Z$4)-IF(Init!$R$12="No",('Staging Table'!BH106*Rates_previous!$H$34), 0),SUMPRODUCT('Staging Table'!BY106:CV106,LS_Demand_Rates_Restatement!$C$4:$Z$4)-IF(Init!$R$12="No", 'Staging Table'!DU106*Rates_previous!$H$34, 0))</f>
        <v>373829.47133727814</v>
      </c>
      <c r="G104" s="116">
        <f>IF(Init!$R$9="Yes",SUMPRODUCT('Staging Table'!AJ106:AU106,LS_Demand_Rates_Restatement!$C$10:$N$10),SUMPRODUCT(LS_Demand_Rates_Restatement!$C$10:$N$10,'Staging Table'!CW106:DH106))*1000</f>
        <v>962950.40668084973</v>
      </c>
      <c r="H104" s="117">
        <f>IF(Init!$R$9="Yes",'Staging Table'!BQ106,'Staging Table'!ED106)*IF(Init!$R$3=2022,Rates_previous!$C$88,Rates_previous!$D$88)</f>
        <v>0</v>
      </c>
      <c r="I104" s="115">
        <v>100</v>
      </c>
      <c r="J104" s="117">
        <f>IF(Init!$R$9="Yes",IF('Staging Table'!D106=1,'Staging Table'!H106*-1*'Staging Table'!BS106/'Staging Table'!BR106,'Staging Table'!H106*SUM(D104:I104)*(-1)),IF('Staging Table'!D106=1,'Staging Table'!BU106*-1*'Staging Table'!BS106/'Staging Table'!BR106,'Staging Table'!BU106*SUM(D104:I104)*(-1)))</f>
        <v>0</v>
      </c>
      <c r="K104" s="115">
        <f>IF(Init!$R$9="Yes",'Staging Table'!K106,'Staging Table'!BX106)*(-1)*Rates_previous!$H$32</f>
        <v>0</v>
      </c>
      <c r="L104" s="115">
        <f>IF('Staging Table'!C106=1,"",SUM(D104:K104))</f>
        <v>12305720.984538127</v>
      </c>
      <c r="M104" s="115">
        <f>IF('Staging Table'!C106=1,"",IF(Init!$R$9="Yes",(RT1SC!$C$3*'Staging Table'!F106*'Staging Table'!$F$2)+SUM('Staging Table'!L106:AI106)-IF(Init!$R$12="No",'Staging Table'!BH106, 0),X104))</f>
        <v>339861.74400000001</v>
      </c>
      <c r="N104" s="69">
        <f>IF('Staging Table'!C106=1,"",IF(M104=0, 0, L104/M104))</f>
        <v>36.208020472401643</v>
      </c>
      <c r="O104" s="115">
        <f>'Staging Table'!BS106*Rates_current!$F$77*100*12</f>
        <v>14175456.399</v>
      </c>
      <c r="P104" s="115">
        <f>'Staging Table'!BS106*Rates_current!$F$78*100*12</f>
        <v>-2270528.2169999997</v>
      </c>
      <c r="Q104" s="116">
        <f>SUMPRODUCT('Staging Table'!BY106:CV106, LS_Demand_Rates_Restatement!$C$5:$Z$5)-IF(Init!$R$12="No",('Staging Table'!DU106*Rates_current!$I$46), 0)</f>
        <v>449903.42310361052</v>
      </c>
      <c r="R104" s="116">
        <f>SUMPRODUCT('Staging Table'!CW106:DH106, LS_Demand_Rates_Restatement!$C$11:$N$11)*1000</f>
        <v>1032336.2331313574</v>
      </c>
      <c r="S104" s="117">
        <f>'Staging Table'!ED106*IF(Init!$R$15="Yes",IF(Init!$R$6=2024,Rates_current!$C$89,Rates_current!$D$89),Rates_current!$I$45)</f>
        <v>0</v>
      </c>
      <c r="T104" s="117">
        <v>100</v>
      </c>
      <c r="U104" s="117">
        <f>IF('Staging Table'!D106=1, 'Staging Table'!BU106*-1*'Staging Table'!BS106/'Staging Table'!BR106,SUM(O104:T104)*'Staging Table'!BU106*-1)</f>
        <v>0</v>
      </c>
      <c r="V104" s="115">
        <f>'Staging Table'!BX106*Rates_current!$I$44*-1</f>
        <v>0</v>
      </c>
      <c r="W104" s="115">
        <f>IF('Staging Table'!C106=1,"", SUM(O104:V104))</f>
        <v>13387267.838234967</v>
      </c>
      <c r="X104" s="115">
        <f>IF('Staging Table'!C106=1,"", (RT1SC!$C$4*'Staging Table'!BS106*'Staging Table'!$BS$2)+SUM('Staging Table'!BY106:CV106)-IF(Init!$R$12="No",'Staging Table'!DU106, 0))</f>
        <v>340886.58512252913</v>
      </c>
      <c r="Y104" s="69">
        <f>IF('Staging Table'!C106=1,"",IF(X104=0, 0, W104/X104))</f>
        <v>39.2719116049199</v>
      </c>
      <c r="Z104" s="64">
        <f ca="1">IF('Staging Table'!C106=1,"",(Y104/N104-1)+(RAND()/100000000000000))</f>
        <v>8.4619128373881997E-2</v>
      </c>
      <c r="AA104" s="45">
        <f t="shared" ca="1" si="6"/>
        <v>99</v>
      </c>
      <c r="AB104" s="76"/>
      <c r="AC104" s="264"/>
      <c r="AD104" s="119"/>
      <c r="AE104" s="119"/>
      <c r="AG104" s="119"/>
      <c r="AH104" s="119"/>
    </row>
    <row r="105" spans="2:34">
      <c r="B105" s="2">
        <v>10343</v>
      </c>
      <c r="C105" s="3" t="s">
        <v>109</v>
      </c>
      <c r="D105" s="115">
        <f>IF(Init!$R$9="Yes",'Staging Table'!F107,'Staging Table'!BS107)*Rates_previous!$E$76*100*12</f>
        <v>4312902.3717600005</v>
      </c>
      <c r="E105" s="115">
        <f>IF(Init!$R$9="Yes",'Staging Table'!F107,'Staging Table'!BS107)*Rates_previous!$E$77*100*12</f>
        <v>-880517.71188000008</v>
      </c>
      <c r="F105" s="116">
        <f>IF(Init!$R$9="Yes",SUMPRODUCT('Staging Table'!L107:AI107,LS_Demand_Rates_Restatement!$C$4:$Z$4)-IF(Init!$R$12="No",('Staging Table'!BH107*Rates_previous!$H$34), 0),SUMPRODUCT('Staging Table'!BY107:CV107,LS_Demand_Rates_Restatement!$C$4:$Z$4)-IF(Init!$R$12="No", 'Staging Table'!DU107*Rates_previous!$H$34, 0))</f>
        <v>-136908.37115316442</v>
      </c>
      <c r="G105" s="116">
        <f>IF(Init!$R$9="Yes",SUMPRODUCT('Staging Table'!AJ107:AU107,LS_Demand_Rates_Restatement!$C$10:$N$10),SUMPRODUCT(LS_Demand_Rates_Restatement!$C$10:$N$10,'Staging Table'!CW107:DH107))*1000</f>
        <v>0</v>
      </c>
      <c r="H105" s="117">
        <f>IF(Init!$R$9="Yes",'Staging Table'!BQ107,'Staging Table'!ED107)*IF(Init!$R$3=2022,Rates_previous!$C$88,Rates_previous!$D$88)</f>
        <v>0</v>
      </c>
      <c r="I105" s="115">
        <v>101</v>
      </c>
      <c r="J105" s="117">
        <f>IF(Init!$R$9="Yes",IF('Staging Table'!D107=1,'Staging Table'!H107*-1*'Staging Table'!BS107/'Staging Table'!BR107,'Staging Table'!H107*SUM(D105:I105)*(-1)),IF('Staging Table'!D107=1,'Staging Table'!BU107*-1*'Staging Table'!BS107/'Staging Table'!BR107,'Staging Table'!BU107*SUM(D105:I105)*(-1)))</f>
        <v>-230690.4102108785</v>
      </c>
      <c r="K105" s="115">
        <f>IF(Init!$R$9="Yes",'Staging Table'!K107,'Staging Table'!BX107)*(-1)*Rates_previous!$H$32</f>
        <v>-121550.49777</v>
      </c>
      <c r="L105" s="115">
        <f>IF('Staging Table'!C107=1,"",SUM(D105:K105))</f>
        <v>2943336.3807459571</v>
      </c>
      <c r="M105" s="115">
        <f>IF('Staging Table'!C107=1,"",IF(Init!$R$9="Yes",(RT1SC!$C$3*'Staging Table'!F107*'Staging Table'!$F$2)+SUM('Staging Table'!L107:AI107)-IF(Init!$R$12="No",'Staging Table'!BH107, 0),X105))</f>
        <v>103035.83949238172</v>
      </c>
      <c r="N105" s="69">
        <f>IF('Staging Table'!C107=1,"",IF(M105=0, 0, L105/M105))</f>
        <v>28.566141599337207</v>
      </c>
      <c r="O105" s="115">
        <f>'Staging Table'!BS107*Rates_current!$F$77*100*12</f>
        <v>4284621.3695999999</v>
      </c>
      <c r="P105" s="115">
        <f>'Staging Table'!BS107*Rates_current!$F$78*100*12</f>
        <v>-686281.5168000001</v>
      </c>
      <c r="Q105" s="116">
        <f>SUMPRODUCT('Staging Table'!BY107:CV107, LS_Demand_Rates_Restatement!$C$5:$Z$5)-IF(Init!$R$12="No",('Staging Table'!DU107*Rates_current!$I$46), 0)</f>
        <v>71942.613437467371</v>
      </c>
      <c r="R105" s="116">
        <f>SUMPRODUCT('Staging Table'!CW107:DH107, LS_Demand_Rates_Restatement!$C$11:$N$11)*1000</f>
        <v>0</v>
      </c>
      <c r="S105" s="117">
        <f>'Staging Table'!ED107*IF(Init!$R$15="Yes",IF(Init!$R$6=2024,Rates_current!$C$89,Rates_current!$D$89),Rates_current!$I$45)</f>
        <v>-2.8133187875297154</v>
      </c>
      <c r="T105" s="117">
        <v>101</v>
      </c>
      <c r="U105" s="117">
        <f>IF('Staging Table'!D107=1, 'Staging Table'!BU107*-1*'Staging Table'!BS107/'Staging Table'!BR107,SUM(O105:T105)*'Staging Table'!BU107*-1)</f>
        <v>-256926.64570430756</v>
      </c>
      <c r="V105" s="115">
        <f>'Staging Table'!BX107*Rates_current!$I$44*-1</f>
        <v>-125647.70556000002</v>
      </c>
      <c r="W105" s="115">
        <f>IF('Staging Table'!C107=1,"", SUM(O105:V105))</f>
        <v>3287806.3016543714</v>
      </c>
      <c r="X105" s="115">
        <f>IF('Staging Table'!C107=1,"", (RT1SC!$C$4*'Staging Table'!BS107*'Staging Table'!$BS$2)+SUM('Staging Table'!BY107:CV107)-IF(Init!$R$12="No",'Staging Table'!DU107, 0))</f>
        <v>103035.84508216174</v>
      </c>
      <c r="Y105" s="69">
        <f>IF('Staging Table'!C107=1,"",IF(X105=0, 0, W105/X105))</f>
        <v>31.909344743401135</v>
      </c>
      <c r="Z105" s="64">
        <f ca="1">IF('Staging Table'!C107=1,"",(Y105/N105-1)+(RAND()/100000000000000))</f>
        <v>0.11703376644123523</v>
      </c>
      <c r="AA105" s="45">
        <f t="shared" ca="1" si="6"/>
        <v>22</v>
      </c>
      <c r="AB105" s="76"/>
      <c r="AC105" s="264"/>
      <c r="AD105" s="119"/>
      <c r="AE105" s="119"/>
      <c r="AG105" s="119"/>
      <c r="AH105" s="119"/>
    </row>
    <row r="106" spans="2:34">
      <c r="B106" s="2">
        <v>10349</v>
      </c>
      <c r="C106" s="3" t="s">
        <v>110</v>
      </c>
      <c r="D106" s="115">
        <f>IF(Init!$R$9="Yes",'Staging Table'!F108,'Staging Table'!BS108)*Rates_previous!$E$76*100*12</f>
        <v>179836544.76911998</v>
      </c>
      <c r="E106" s="115">
        <f>IF(Init!$R$9="Yes",'Staging Table'!F108,'Staging Table'!BS108)*Rates_previous!$E$77*100*12</f>
        <v>-36715243.99656</v>
      </c>
      <c r="F106" s="116">
        <f>IF(Init!$R$9="Yes",SUMPRODUCT('Staging Table'!L108:AI108,LS_Demand_Rates_Restatement!$C$4:$Z$4)-IF(Init!$R$12="No",('Staging Table'!BH108*Rates_previous!$H$34), 0),SUMPRODUCT('Staging Table'!BY108:CV108,LS_Demand_Rates_Restatement!$C$4:$Z$4)-IF(Init!$R$12="No", 'Staging Table'!DU108*Rates_previous!$H$34, 0))</f>
        <v>14911865.655578554</v>
      </c>
      <c r="G106" s="116">
        <f>IF(Init!$R$9="Yes",SUMPRODUCT('Staging Table'!AJ108:AU108,LS_Demand_Rates_Restatement!$C$10:$N$10),SUMPRODUCT(LS_Demand_Rates_Restatement!$C$10:$N$10,'Staging Table'!CW108:DH108))*1000</f>
        <v>0</v>
      </c>
      <c r="H106" s="117">
        <f>IF(Init!$R$9="Yes",'Staging Table'!BQ108,'Staging Table'!ED108)*IF(Init!$R$3=2022,Rates_previous!$C$88,Rates_previous!$D$88)</f>
        <v>0</v>
      </c>
      <c r="I106" s="115">
        <v>102</v>
      </c>
      <c r="J106" s="117">
        <f>IF(Init!$R$9="Yes",IF('Staging Table'!D108=1,'Staging Table'!H108*-1*'Staging Table'!BS108/'Staging Table'!BR108,'Staging Table'!H108*SUM(D106:I106)*(-1)),IF('Staging Table'!D108=1,'Staging Table'!BU108*-1*'Staging Table'!BS108/'Staging Table'!BR108,'Staging Table'!BU108*SUM(D106:I106)*(-1)))</f>
        <v>0</v>
      </c>
      <c r="K106" s="115">
        <f>IF(Init!$R$9="Yes",'Staging Table'!K108,'Staging Table'!BX108)*(-1)*Rates_previous!$H$32</f>
        <v>0</v>
      </c>
      <c r="L106" s="115">
        <f>IF('Staging Table'!C108=1,"",SUM(D106:K106))</f>
        <v>158033268.42813852</v>
      </c>
      <c r="M106" s="115">
        <f>IF('Staging Table'!C108=1,"",IF(Init!$R$9="Yes",(RT1SC!$C$3*'Staging Table'!F108*'Staging Table'!$F$2)+SUM('Staging Table'!L108:AI108)-IF(Init!$R$12="No",'Staging Table'!BH108, 0),X106))</f>
        <v>4380185.5405310066</v>
      </c>
      <c r="N106" s="69">
        <f>IF('Staging Table'!C108=1,"",IF(M106=0, 0, L106/M106))</f>
        <v>36.079126549735214</v>
      </c>
      <c r="O106" s="115">
        <f>'Staging Table'!BS108*Rates_current!$F$77*100*12</f>
        <v>182145356.0706</v>
      </c>
      <c r="P106" s="115">
        <f>'Staging Table'!BS108*Rates_current!$F$78*100*12</f>
        <v>-29174804.599800006</v>
      </c>
      <c r="Q106" s="116">
        <f>SUMPRODUCT('Staging Table'!BY108:CV108, LS_Demand_Rates_Restatement!$C$5:$Z$5)-IF(Init!$R$12="No",('Staging Table'!DU108*Rates_current!$I$46), 0)</f>
        <v>21215384.945291884</v>
      </c>
      <c r="R106" s="116">
        <f>SUMPRODUCT('Staging Table'!CW108:DH108, LS_Demand_Rates_Restatement!$C$11:$N$11)*1000</f>
        <v>0</v>
      </c>
      <c r="S106" s="117">
        <f>'Staging Table'!ED108*IF(Init!$R$15="Yes",IF(Init!$R$6=2024,Rates_current!$C$89,Rates_current!$D$89),Rates_current!$I$45)</f>
        <v>0</v>
      </c>
      <c r="T106" s="117">
        <v>102</v>
      </c>
      <c r="U106" s="117">
        <f>IF('Staging Table'!D108=1, 'Staging Table'!BU108*-1*'Staging Table'!BS108/'Staging Table'!BR108,SUM(O106:T106)*'Staging Table'!BU108*-1)</f>
        <v>0</v>
      </c>
      <c r="V106" s="115">
        <f>'Staging Table'!BX108*Rates_current!$I$44*-1</f>
        <v>0</v>
      </c>
      <c r="W106" s="115">
        <f>IF('Staging Table'!C108=1,"", SUM(O106:V106))</f>
        <v>174186038.41609186</v>
      </c>
      <c r="X106" s="115">
        <f>IF('Staging Table'!C108=1,"", (RT1SC!$C$4*'Staging Table'!BS108*'Staging Table'!$BS$2)+SUM('Staging Table'!BY108:CV108)-IF(Init!$R$12="No",'Staging Table'!DU108, 0))</f>
        <v>4380184.2185613569</v>
      </c>
      <c r="Y106" s="69">
        <f>IF('Staging Table'!C108=1,"",IF(X106=0, 0, W106/X106))</f>
        <v>39.766829367122405</v>
      </c>
      <c r="Z106" s="64">
        <f ca="1">IF('Staging Table'!C108=1,"",(Y106/N106-1)+(RAND()/100000000000000))</f>
        <v>0.10221153254094849</v>
      </c>
      <c r="AA106" s="45">
        <f t="shared" ca="1" si="6"/>
        <v>38</v>
      </c>
      <c r="AB106" s="76"/>
      <c r="AC106" s="264"/>
      <c r="AD106" s="119"/>
      <c r="AE106" s="119"/>
      <c r="AG106" s="119"/>
      <c r="AH106" s="119"/>
    </row>
    <row r="107" spans="2:34">
      <c r="B107" s="2">
        <v>10352</v>
      </c>
      <c r="C107" s="3" t="s">
        <v>111</v>
      </c>
      <c r="D107" s="115">
        <f>IF(Init!$R$9="Yes",'Staging Table'!F109,'Staging Table'!BS109)*Rates_previous!$E$76*100*12</f>
        <v>5728863.6194400005</v>
      </c>
      <c r="E107" s="115">
        <f>IF(Init!$R$9="Yes",'Staging Table'!F109,'Staging Table'!BS109)*Rates_previous!$E$77*100*12</f>
        <v>-1169598.9037200001</v>
      </c>
      <c r="F107" s="116">
        <f>IF(Init!$R$9="Yes",SUMPRODUCT('Staging Table'!L109:AI109,LS_Demand_Rates_Restatement!$C$4:$Z$4)-IF(Init!$R$12="No",('Staging Table'!BH109*Rates_previous!$H$34), 0),SUMPRODUCT('Staging Table'!BY109:CV109,LS_Demand_Rates_Restatement!$C$4:$Z$4)-IF(Init!$R$12="No", 'Staging Table'!DU109*Rates_previous!$H$34, 0))</f>
        <v>96843.086457459372</v>
      </c>
      <c r="G107" s="116">
        <f>IF(Init!$R$9="Yes",SUMPRODUCT('Staging Table'!AJ109:AU109,LS_Demand_Rates_Restatement!$C$10:$N$10),SUMPRODUCT(LS_Demand_Rates_Restatement!$C$10:$N$10,'Staging Table'!CW109:DH109))*1000</f>
        <v>368899.85286693374</v>
      </c>
      <c r="H107" s="117">
        <f>IF(Init!$R$9="Yes",'Staging Table'!BQ109,'Staging Table'!ED109)*IF(Init!$R$3=2022,Rates_previous!$C$88,Rates_previous!$D$88)</f>
        <v>0</v>
      </c>
      <c r="I107" s="115">
        <v>103</v>
      </c>
      <c r="J107" s="117">
        <f>IF(Init!$R$9="Yes",IF('Staging Table'!D109=1,'Staging Table'!H109*-1*'Staging Table'!BS109/'Staging Table'!BR109,'Staging Table'!H109*SUM(D107:I107)*(-1)),IF('Staging Table'!D109=1,'Staging Table'!BU109*-1*'Staging Table'!BS109/'Staging Table'!BR109,'Staging Table'!BU109*SUM(D107:I107)*(-1)))</f>
        <v>-251255.53275221965</v>
      </c>
      <c r="K107" s="115">
        <f>IF(Init!$R$9="Yes",'Staging Table'!K109,'Staging Table'!BX109)*(-1)*Rates_previous!$H$32</f>
        <v>0</v>
      </c>
      <c r="L107" s="115">
        <f>IF('Staging Table'!C109=1,"",SUM(D107:K107))</f>
        <v>4773855.122292174</v>
      </c>
      <c r="M107" s="115">
        <f>IF('Staging Table'!C109=1,"",IF(Init!$R$9="Yes",(RT1SC!$C$3*'Staging Table'!F109*'Staging Table'!$F$2)+SUM('Staging Table'!L109:AI109)-IF(Init!$R$12="No",'Staging Table'!BH109, 0),X107))</f>
        <v>139727.08799999999</v>
      </c>
      <c r="N107" s="69">
        <f>IF('Staging Table'!C109=1,"",IF(M107=0, 0, L107/M107))</f>
        <v>34.165566538480888</v>
      </c>
      <c r="O107" s="115">
        <f>'Staging Table'!BS109*Rates_current!$F$77*100*12</f>
        <v>5827644.4667999996</v>
      </c>
      <c r="P107" s="115">
        <f>'Staging Table'!BS109*Rates_current!$F$78*100*12</f>
        <v>-933432.46439999994</v>
      </c>
      <c r="Q107" s="116">
        <f>SUMPRODUCT('Staging Table'!BY109:CV109, LS_Demand_Rates_Restatement!$C$5:$Z$5)-IF(Init!$R$12="No",('Staging Table'!DU109*Rates_current!$I$46), 0)</f>
        <v>174204.13181154703</v>
      </c>
      <c r="R107" s="116">
        <f>SUMPRODUCT('Staging Table'!CW109:DH109, LS_Demand_Rates_Restatement!$C$11:$N$11)*1000</f>
        <v>383569.49142689625</v>
      </c>
      <c r="S107" s="117">
        <f>'Staging Table'!ED109*IF(Init!$R$15="Yes",IF(Init!$R$6=2024,Rates_current!$C$89,Rates_current!$D$89),Rates_current!$I$45)</f>
        <v>0</v>
      </c>
      <c r="T107" s="117">
        <v>103</v>
      </c>
      <c r="U107" s="117">
        <f>IF('Staging Table'!D109=1, 'Staging Table'!BU109*-1*'Staging Table'!BS109/'Staging Table'!BR109,SUM(O107:T107)*'Staging Table'!BU109*-1)</f>
        <v>-297755.33393051056</v>
      </c>
      <c r="V107" s="115">
        <f>'Staging Table'!BX109*Rates_current!$I$44*-1</f>
        <v>0</v>
      </c>
      <c r="W107" s="115">
        <f>IF('Staging Table'!C109=1,"", SUM(O107:V107))</f>
        <v>5154333.2917079329</v>
      </c>
      <c r="X107" s="115">
        <f>IF('Staging Table'!C109=1,"", (RT1SC!$C$4*'Staging Table'!BS109*'Staging Table'!$BS$2)+SUM('Staging Table'!BY109:CV109)-IF(Init!$R$12="No",'Staging Table'!DU109, 0))</f>
        <v>140142.47999999998</v>
      </c>
      <c r="Y107" s="69">
        <f>IF('Staging Table'!C109=1,"",IF(X107=0, 0, W107/X107))</f>
        <v>36.779235615838495</v>
      </c>
      <c r="Z107" s="64">
        <f ca="1">IF('Staging Table'!C109=1,"",(Y107/N107-1)+(RAND()/100000000000000))</f>
        <v>7.650009474931245E-2</v>
      </c>
      <c r="AA107" s="45">
        <f t="shared" ca="1" si="6"/>
        <v>105</v>
      </c>
      <c r="AB107" s="76"/>
      <c r="AC107" s="264"/>
      <c r="AD107" s="119"/>
      <c r="AE107" s="119"/>
      <c r="AG107" s="119"/>
      <c r="AH107" s="119"/>
    </row>
    <row r="108" spans="2:34">
      <c r="B108" s="2">
        <v>10354</v>
      </c>
      <c r="C108" s="3" t="s">
        <v>112</v>
      </c>
      <c r="D108" s="115">
        <f>IF(Init!$R$9="Yes",'Staging Table'!F110,'Staging Table'!BS110)*Rates_previous!$E$76*100*12</f>
        <v>257945341.62456</v>
      </c>
      <c r="E108" s="115">
        <f>IF(Init!$R$9="Yes",'Staging Table'!F110,'Staging Table'!BS110)*Rates_previous!$E$77*100*12</f>
        <v>-52661855.618280008</v>
      </c>
      <c r="F108" s="116">
        <f>IF(Init!$R$9="Yes",SUMPRODUCT('Staging Table'!L110:AI110,LS_Demand_Rates_Restatement!$C$4:$Z$4)-IF(Init!$R$12="No",('Staging Table'!BH110*Rates_previous!$H$34), 0),SUMPRODUCT('Staging Table'!BY110:CV110,LS_Demand_Rates_Restatement!$C$4:$Z$4)-IF(Init!$R$12="No", 'Staging Table'!DU110*Rates_previous!$H$34, 0))</f>
        <v>20175217.571541354</v>
      </c>
      <c r="G108" s="116">
        <f>IF(Init!$R$9="Yes",SUMPRODUCT('Staging Table'!AJ110:AU110,LS_Demand_Rates_Restatement!$C$10:$N$10),SUMPRODUCT(LS_Demand_Rates_Restatement!$C$10:$N$10,'Staging Table'!CW110:DH110))*1000</f>
        <v>27708493.479292192</v>
      </c>
      <c r="H108" s="117">
        <f>IF(Init!$R$9="Yes",'Staging Table'!BQ110,'Staging Table'!ED110)*IF(Init!$R$3=2022,Rates_previous!$C$88,Rates_previous!$D$88)</f>
        <v>0</v>
      </c>
      <c r="I108" s="115">
        <v>104</v>
      </c>
      <c r="J108" s="117">
        <f>IF(Init!$R$9="Yes",IF('Staging Table'!D110=1,'Staging Table'!H110*-1*'Staging Table'!BS110/'Staging Table'!BR110,'Staging Table'!H110*SUM(D108:I108)*(-1)),IF('Staging Table'!D110=1,'Staging Table'!BU110*-1*'Staging Table'!BS110/'Staging Table'!BR110,'Staging Table'!BU110*SUM(D108:I108)*(-1)))</f>
        <v>0</v>
      </c>
      <c r="K108" s="115">
        <f>IF(Init!$R$9="Yes",'Staging Table'!K110,'Staging Table'!BX110)*(-1)*Rates_previous!$H$32</f>
        <v>0</v>
      </c>
      <c r="L108" s="115">
        <f>IF('Staging Table'!C110=1,"",SUM(D108:K108))</f>
        <v>253167301.05711356</v>
      </c>
      <c r="M108" s="115">
        <f>IF('Staging Table'!C110=1,"",IF(Init!$R$9="Yes",(RT1SC!$C$3*'Staging Table'!F110*'Staging Table'!$F$2)+SUM('Staging Table'!L110:AI110)-IF(Init!$R$12="No",'Staging Table'!BH110, 0),X108))</f>
        <v>6760944.9294482833</v>
      </c>
      <c r="N108" s="69">
        <f>IF('Staging Table'!C110=1,"",IF(M108=0, 0, L108/M108))</f>
        <v>37.445549948854989</v>
      </c>
      <c r="O108" s="115">
        <f>'Staging Table'!BS110*Rates_current!$F$77*100*12</f>
        <v>281146681.4052</v>
      </c>
      <c r="P108" s="115">
        <f>'Staging Table'!BS110*Rates_current!$F$78*100*12</f>
        <v>-45032163.711599991</v>
      </c>
      <c r="Q108" s="116">
        <f>SUMPRODUCT('Staging Table'!BY110:CV110, LS_Demand_Rates_Restatement!$C$5:$Z$5)-IF(Init!$R$12="No",('Staging Table'!DU110*Rates_current!$I$46), 0)</f>
        <v>6941366.9004722377</v>
      </c>
      <c r="R108" s="116">
        <f>SUMPRODUCT('Staging Table'!CW110:DH110, LS_Demand_Rates_Restatement!$C$11:$N$11)*1000</f>
        <v>30411172.87618145</v>
      </c>
      <c r="S108" s="117">
        <f>'Staging Table'!ED110*IF(Init!$R$15="Yes",IF(Init!$R$6=2024,Rates_current!$C$89,Rates_current!$D$89),Rates_current!$I$45)</f>
        <v>-13.886896406784654</v>
      </c>
      <c r="T108" s="117">
        <v>104</v>
      </c>
      <c r="U108" s="117">
        <f>IF('Staging Table'!D110=1, 'Staging Table'!BU110*-1*'Staging Table'!BS110/'Staging Table'!BR110,SUM(O108:T108)*'Staging Table'!BU110*-1)</f>
        <v>0</v>
      </c>
      <c r="V108" s="115">
        <f>'Staging Table'!BX110*Rates_current!$I$44*-1</f>
        <v>0</v>
      </c>
      <c r="W108" s="115">
        <f>IF('Staging Table'!C110=1,"", SUM(O108:V108))</f>
        <v>273467147.58335721</v>
      </c>
      <c r="X108" s="115">
        <f>IF('Staging Table'!C110=1,"", (RT1SC!$C$4*'Staging Table'!BS110*'Staging Table'!$BS$2)+SUM('Staging Table'!BY110:CV110)-IF(Init!$R$12="No",'Staging Table'!DU110, 0))</f>
        <v>6760945.2990970127</v>
      </c>
      <c r="Y108" s="69">
        <f>IF('Staging Table'!C110=1,"",IF(X108=0, 0, W108/X108))</f>
        <v>40.448063914950076</v>
      </c>
      <c r="Z108" s="64">
        <f ca="1">IF('Staging Table'!C110=1,"",(Y108/N108-1)+(RAND()/100000000000000))</f>
        <v>8.0183465597279138E-2</v>
      </c>
      <c r="AA108" s="45">
        <f t="shared" ca="1" si="6"/>
        <v>102</v>
      </c>
      <c r="AB108" s="76"/>
      <c r="AC108" s="264"/>
      <c r="AD108" s="119"/>
      <c r="AE108" s="119"/>
      <c r="AG108" s="119"/>
      <c r="AH108" s="119"/>
    </row>
    <row r="109" spans="2:34">
      <c r="B109" s="2">
        <v>10360</v>
      </c>
      <c r="C109" s="3" t="s">
        <v>113</v>
      </c>
      <c r="D109" s="115">
        <f>IF(Init!$R$9="Yes",'Staging Table'!F111,'Staging Table'!BS111)*Rates_previous!$E$76*100*12</f>
        <v>2439817.81488</v>
      </c>
      <c r="E109" s="115">
        <f>IF(Init!$R$9="Yes",'Staging Table'!F111,'Staging Table'!BS111)*Rates_previous!$E$77*100*12</f>
        <v>-498110.69544000004</v>
      </c>
      <c r="F109" s="116">
        <f>IF(Init!$R$9="Yes",SUMPRODUCT('Staging Table'!L111:AI111,LS_Demand_Rates_Restatement!$C$4:$Z$4)-IF(Init!$R$12="No",('Staging Table'!BH111*Rates_previous!$H$34), 0),SUMPRODUCT('Staging Table'!BY111:CV111,LS_Demand_Rates_Restatement!$C$4:$Z$4)-IF(Init!$R$12="No", 'Staging Table'!DU111*Rates_previous!$H$34, 0))</f>
        <v>-51560.474401959713</v>
      </c>
      <c r="G109" s="116">
        <f>IF(Init!$R$9="Yes",SUMPRODUCT('Staging Table'!AJ111:AU111,LS_Demand_Rates_Restatement!$C$10:$N$10),SUMPRODUCT(LS_Demand_Rates_Restatement!$C$10:$N$10,'Staging Table'!CW111:DH111))*1000</f>
        <v>147342.37697486646</v>
      </c>
      <c r="H109" s="117">
        <f>IF(Init!$R$9="Yes",'Staging Table'!BQ111,'Staging Table'!ED111)*IF(Init!$R$3=2022,Rates_previous!$C$88,Rates_previous!$D$88)</f>
        <v>0</v>
      </c>
      <c r="I109" s="115">
        <v>105</v>
      </c>
      <c r="J109" s="117">
        <f>IF(Init!$R$9="Yes",IF('Staging Table'!D111=1,'Staging Table'!H111*-1*'Staging Table'!BS111/'Staging Table'!BR111,'Staging Table'!H111*SUM(D109:I109)*(-1)),IF('Staging Table'!D111=1,'Staging Table'!BU111*-1*'Staging Table'!BS111/'Staging Table'!BR111,'Staging Table'!BU111*SUM(D109:I109)*(-1)))</f>
        <v>-103863.07976065348</v>
      </c>
      <c r="K109" s="115">
        <f>IF(Init!$R$9="Yes",'Staging Table'!K111,'Staging Table'!BX111)*(-1)*Rates_previous!$H$32</f>
        <v>-231508.0638</v>
      </c>
      <c r="L109" s="115">
        <f>IF('Staging Table'!C111=1,"",SUM(D109:K109))</f>
        <v>1702222.8784522535</v>
      </c>
      <c r="M109" s="115">
        <f>IF('Staging Table'!C111=1,"",IF(Init!$R$9="Yes",(RT1SC!$C$3*'Staging Table'!F111*'Staging Table'!$F$2)+SUM('Staging Table'!L111:AI111)-IF(Init!$R$12="No",'Staging Table'!BH111, 0),X109))</f>
        <v>59423.759999999995</v>
      </c>
      <c r="N109" s="69">
        <f>IF('Staging Table'!C111=1,"",IF(M109=0, 0, L109/M109))</f>
        <v>28.645492618647047</v>
      </c>
      <c r="O109" s="115">
        <f>'Staging Table'!BS111*Rates_current!$F$77*100*12</f>
        <v>2478471.1379999993</v>
      </c>
      <c r="P109" s="115">
        <f>'Staging Table'!BS111*Rates_current!$F$78*100*12</f>
        <v>-396984.65399999998</v>
      </c>
      <c r="Q109" s="116">
        <f>SUMPRODUCT('Staging Table'!BY111:CV111, LS_Demand_Rates_Restatement!$C$5:$Z$5)-IF(Init!$R$12="No",('Staging Table'!DU111*Rates_current!$I$46), 0)</f>
        <v>8761.5703960316896</v>
      </c>
      <c r="R109" s="116">
        <f>SUMPRODUCT('Staging Table'!CW111:DH111, LS_Demand_Rates_Restatement!$C$11:$N$11)*1000</f>
        <v>161488.2999944177</v>
      </c>
      <c r="S109" s="117">
        <f>'Staging Table'!ED111*IF(Init!$R$15="Yes",IF(Init!$R$6=2024,Rates_current!$C$89,Rates_current!$D$89),Rates_current!$I$45)</f>
        <v>0</v>
      </c>
      <c r="T109" s="117">
        <v>105</v>
      </c>
      <c r="U109" s="117">
        <f>IF('Staging Table'!D111=1, 'Staging Table'!BU111*-1*'Staging Table'!BS111/'Staging Table'!BR111,SUM(O109:T109)*'Staging Table'!BU111*-1)</f>
        <v>-110283.63246865921</v>
      </c>
      <c r="V109" s="115">
        <f>'Staging Table'!BX111*Rates_current!$I$44*-1</f>
        <v>-239311.70640000002</v>
      </c>
      <c r="W109" s="115">
        <f>IF('Staging Table'!C111=1,"", SUM(O109:V109))</f>
        <v>1902246.0155217894</v>
      </c>
      <c r="X109" s="115">
        <f>IF('Staging Table'!C111=1,"", (RT1SC!$C$4*'Staging Table'!BS111*'Staging Table'!$BS$2)+SUM('Staging Table'!BY111:CV111)-IF(Init!$R$12="No",'Staging Table'!DU111, 0))</f>
        <v>59603.040000000001</v>
      </c>
      <c r="Y109" s="69">
        <f>IF('Staging Table'!C111=1,"",IF(X109=0, 0, W109/X109))</f>
        <v>31.915251563037547</v>
      </c>
      <c r="Z109" s="64">
        <f ca="1">IF('Staging Table'!C111=1,"",(Y109/N109-1)+(RAND()/100000000000000))</f>
        <v>0.11414566989370026</v>
      </c>
      <c r="AA109" s="45">
        <f t="shared" ca="1" si="6"/>
        <v>25</v>
      </c>
      <c r="AB109" s="76"/>
      <c r="AC109" s="264"/>
      <c r="AD109" s="119"/>
      <c r="AE109" s="119"/>
      <c r="AG109" s="119"/>
      <c r="AH109" s="119"/>
    </row>
    <row r="110" spans="2:34">
      <c r="B110" s="2">
        <v>10363</v>
      </c>
      <c r="C110" s="3" t="s">
        <v>114</v>
      </c>
      <c r="D110" s="115">
        <f>IF(Init!$R$9="Yes",'Staging Table'!F112,'Staging Table'!BS112)*Rates_previous!$E$76*100*12</f>
        <v>32836649.525279999</v>
      </c>
      <c r="E110" s="115">
        <f>IF(Init!$R$9="Yes",'Staging Table'!F112,'Staging Table'!BS112)*Rates_previous!$E$77*100*12</f>
        <v>-6703896.5906399991</v>
      </c>
      <c r="F110" s="116">
        <f>IF(Init!$R$9="Yes",SUMPRODUCT('Staging Table'!L112:AI112,LS_Demand_Rates_Restatement!$C$4:$Z$4)-IF(Init!$R$12="No",('Staging Table'!BH112*Rates_previous!$H$34), 0),SUMPRODUCT('Staging Table'!BY112:CV112,LS_Demand_Rates_Restatement!$C$4:$Z$4)-IF(Init!$R$12="No", 'Staging Table'!DU112*Rates_previous!$H$34, 0))</f>
        <v>-290792.13741637359</v>
      </c>
      <c r="G110" s="116">
        <f>IF(Init!$R$9="Yes",SUMPRODUCT('Staging Table'!AJ112:AU112,LS_Demand_Rates_Restatement!$C$10:$N$10),SUMPRODUCT(LS_Demand_Rates_Restatement!$C$10:$N$10,'Staging Table'!CW112:DH112))*1000</f>
        <v>1514631.1567218483</v>
      </c>
      <c r="H110" s="117">
        <f>IF(Init!$R$9="Yes",'Staging Table'!BQ112,'Staging Table'!ED112)*IF(Init!$R$3=2022,Rates_previous!$C$88,Rates_previous!$D$88)</f>
        <v>0</v>
      </c>
      <c r="I110" s="115">
        <v>106</v>
      </c>
      <c r="J110" s="117">
        <f>IF(Init!$R$9="Yes",IF('Staging Table'!D112=1,'Staging Table'!H112*-1*'Staging Table'!BS112/'Staging Table'!BR112,'Staging Table'!H112*SUM(D110:I110)*(-1)),IF('Staging Table'!D112=1,'Staging Table'!BU112*-1*'Staging Table'!BS112/'Staging Table'!BR112,'Staging Table'!BU112*SUM(D110:I110)*(-1)))</f>
        <v>0</v>
      </c>
      <c r="K110" s="115">
        <f>IF(Init!$R$9="Yes",'Staging Table'!K112,'Staging Table'!BX112)*(-1)*Rates_previous!$H$32</f>
        <v>0</v>
      </c>
      <c r="L110" s="115">
        <f>IF('Staging Table'!C112=1,"",SUM(D110:K110))</f>
        <v>27356697.953945473</v>
      </c>
      <c r="M110" s="115">
        <f>IF('Staging Table'!C112=1,"",IF(Init!$R$9="Yes",(RT1SC!$C$3*'Staging Table'!F112*'Staging Table'!$F$2)+SUM('Staging Table'!L112:AI112)-IF(Init!$R$12="No",'Staging Table'!BH112, 0),X110))</f>
        <v>787083.68674879021</v>
      </c>
      <c r="N110" s="69">
        <f>IF('Staging Table'!C112=1,"",IF(M110=0, 0, L110/M110))</f>
        <v>34.757038437612522</v>
      </c>
      <c r="O110" s="115">
        <f>'Staging Table'!BS112*Rates_current!$F$77*100*12</f>
        <v>32730063.108599998</v>
      </c>
      <c r="P110" s="115">
        <f>'Staging Table'!BS112*Rates_current!$F$78*100*12</f>
        <v>-5242478.9537999993</v>
      </c>
      <c r="Q110" s="116">
        <f>SUMPRODUCT('Staging Table'!BY112:CV112, LS_Demand_Rates_Restatement!$C$5:$Z$5)-IF(Init!$R$12="No",('Staging Table'!DU112*Rates_current!$I$46), 0)</f>
        <v>903098.3380832331</v>
      </c>
      <c r="R110" s="116">
        <f>SUMPRODUCT('Staging Table'!CW112:DH112, LS_Demand_Rates_Restatement!$C$11:$N$11)*1000</f>
        <v>1624120.9007737183</v>
      </c>
      <c r="S110" s="117">
        <f>'Staging Table'!ED112*IF(Init!$R$15="Yes",IF(Init!$R$6=2024,Rates_current!$C$89,Rates_current!$D$89),Rates_current!$I$45)</f>
        <v>8.8096897410741075</v>
      </c>
      <c r="T110" s="117">
        <v>106</v>
      </c>
      <c r="U110" s="117">
        <f>IF('Staging Table'!D112=1, 'Staging Table'!BU112*-1*'Staging Table'!BS112/'Staging Table'!BR112,SUM(O110:T110)*'Staging Table'!BU112*-1)</f>
        <v>0</v>
      </c>
      <c r="V110" s="115">
        <f>'Staging Table'!BX112*Rates_current!$I$44*-1</f>
        <v>0</v>
      </c>
      <c r="W110" s="115">
        <f>IF('Staging Table'!C112=1,"", SUM(O110:V110))</f>
        <v>30014918.203346692</v>
      </c>
      <c r="X110" s="115">
        <f>IF('Staging Table'!C112=1,"", (RT1SC!$C$4*'Staging Table'!BS112*'Staging Table'!$BS$2)+SUM('Staging Table'!BY112:CV112)-IF(Init!$R$12="No",'Staging Table'!DU112, 0))</f>
        <v>787083.72946140694</v>
      </c>
      <c r="Y110" s="69">
        <f>IF('Staging Table'!C112=1,"",IF(X110=0, 0, W110/X110))</f>
        <v>38.134339562432046</v>
      </c>
      <c r="Z110" s="64">
        <f ca="1">IF('Staging Table'!C112=1,"",(Y110/N110-1)+(RAND()/100000000000000))</f>
        <v>9.7168840517922919E-2</v>
      </c>
      <c r="AA110" s="45">
        <f t="shared" ca="1" si="6"/>
        <v>56</v>
      </c>
      <c r="AB110" s="76"/>
      <c r="AC110" s="264"/>
      <c r="AD110" s="119"/>
      <c r="AE110" s="119"/>
      <c r="AG110" s="119"/>
      <c r="AH110" s="119"/>
    </row>
    <row r="111" spans="2:34">
      <c r="B111" s="2">
        <v>10369</v>
      </c>
      <c r="C111" s="3" t="s">
        <v>115</v>
      </c>
      <c r="D111" s="115">
        <f>IF(Init!$R$9="Yes",'Staging Table'!F113,'Staging Table'!BS113)*Rates_previous!$E$76*100*12</f>
        <v>5926161.527280001</v>
      </c>
      <c r="E111" s="115">
        <f>IF(Init!$R$9="Yes",'Staging Table'!F113,'Staging Table'!BS113)*Rates_previous!$E$77*100*12</f>
        <v>-1209879.0416400002</v>
      </c>
      <c r="F111" s="116">
        <f>IF(Init!$R$9="Yes",SUMPRODUCT('Staging Table'!L113:AI113,LS_Demand_Rates_Restatement!$C$4:$Z$4)-IF(Init!$R$12="No",('Staging Table'!BH113*Rates_previous!$H$34), 0),SUMPRODUCT('Staging Table'!BY113:CV113,LS_Demand_Rates_Restatement!$C$4:$Z$4)-IF(Init!$R$12="No", 'Staging Table'!DU113*Rates_previous!$H$34, 0))</f>
        <v>46695.057646112538</v>
      </c>
      <c r="G111" s="116">
        <f>IF(Init!$R$9="Yes",SUMPRODUCT('Staging Table'!AJ113:AU113,LS_Demand_Rates_Restatement!$C$10:$N$10),SUMPRODUCT(LS_Demand_Rates_Restatement!$C$10:$N$10,'Staging Table'!CW113:DH113))*1000</f>
        <v>312042.35473151709</v>
      </c>
      <c r="H111" s="117">
        <f>IF(Init!$R$9="Yes",'Staging Table'!BQ113,'Staging Table'!ED113)*IF(Init!$R$3=2022,Rates_previous!$C$88,Rates_previous!$D$88)</f>
        <v>0</v>
      </c>
      <c r="I111" s="115">
        <v>107</v>
      </c>
      <c r="J111" s="117">
        <f>IF(Init!$R$9="Yes",IF('Staging Table'!D113=1,'Staging Table'!H113*-1*'Staging Table'!BS113/'Staging Table'!BR113,'Staging Table'!H113*SUM(D111:I111)*(-1)),IF('Staging Table'!D113=1,'Staging Table'!BU113*-1*'Staging Table'!BS113/'Staging Table'!BR113,'Staging Table'!BU113*SUM(D111:I111)*(-1)))</f>
        <v>-397309.66956797102</v>
      </c>
      <c r="K111" s="115">
        <f>IF(Init!$R$9="Yes",'Staging Table'!K113,'Staging Table'!BX113)*(-1)*Rates_previous!$H$32</f>
        <v>-534660.1245700001</v>
      </c>
      <c r="L111" s="115">
        <f>IF('Staging Table'!C113=1,"",SUM(D111:K111))</f>
        <v>4143157.1038796594</v>
      </c>
      <c r="M111" s="115">
        <f>IF('Staging Table'!C113=1,"",IF(Init!$R$9="Yes",(RT1SC!$C$3*'Staging Table'!F113*'Staging Table'!$F$2)+SUM('Staging Table'!L113:AI113)-IF(Init!$R$12="No",'Staging Table'!BH113, 0),X111))</f>
        <v>144338.68799999999</v>
      </c>
      <c r="N111" s="69">
        <f>IF('Staging Table'!C113=1,"",IF(M111=0, 0, L111/M111))</f>
        <v>28.70441155651671</v>
      </c>
      <c r="O111" s="115">
        <f>'Staging Table'!BS113*Rates_current!$F$77*100*12</f>
        <v>6020328.1163999997</v>
      </c>
      <c r="P111" s="115">
        <f>'Staging Table'!BS113*Rates_current!$F$78*100*12</f>
        <v>-964295.22120000003</v>
      </c>
      <c r="Q111" s="116">
        <f>SUMPRODUCT('Staging Table'!BY113:CV113, LS_Demand_Rates_Restatement!$C$5:$Z$5)-IF(Init!$R$12="No",('Staging Table'!DU113*Rates_current!$I$46), 0)</f>
        <v>177970.02544985991</v>
      </c>
      <c r="R111" s="116">
        <f>SUMPRODUCT('Staging Table'!CW113:DH113, LS_Demand_Rates_Restatement!$C$11:$N$11)*1000</f>
        <v>342520.00152397616</v>
      </c>
      <c r="S111" s="117">
        <f>'Staging Table'!ED113*IF(Init!$R$15="Yes",IF(Init!$R$6=2024,Rates_current!$C$89,Rates_current!$D$89),Rates_current!$I$45)</f>
        <v>0</v>
      </c>
      <c r="T111" s="117">
        <v>107</v>
      </c>
      <c r="U111" s="117">
        <f>IF('Staging Table'!D113=1, 'Staging Table'!BU113*-1*'Staging Table'!BS113/'Staging Table'!BR113,SUM(O111:T111)*'Staging Table'!BU113*-1)</f>
        <v>-439445.99619671417</v>
      </c>
      <c r="V111" s="115">
        <f>'Staging Table'!BX113*Rates_current!$I$44*-1</f>
        <v>-552682.37596000009</v>
      </c>
      <c r="W111" s="115">
        <f>IF('Staging Table'!C113=1,"", SUM(O111:V111))</f>
        <v>4584501.5500171212</v>
      </c>
      <c r="X111" s="115">
        <f>IF('Staging Table'!C113=1,"", (RT1SC!$C$4*'Staging Table'!BS113*'Staging Table'!$BS$2)+SUM('Staging Table'!BY113:CV113)-IF(Init!$R$12="No",'Staging Table'!DU113, 0))</f>
        <v>144772.78354605482</v>
      </c>
      <c r="Y111" s="69">
        <f>IF('Staging Table'!C113=1,"",IF(X111=0, 0, W111/X111))</f>
        <v>31.66687437876546</v>
      </c>
      <c r="Z111" s="64">
        <f ca="1">IF('Staging Table'!C113=1,"",(Y111/N111-1)+(RAND()/100000000000000))</f>
        <v>0.10320583706849898</v>
      </c>
      <c r="AA111" s="45">
        <f t="shared" ca="1" si="6"/>
        <v>34</v>
      </c>
      <c r="AB111" s="76"/>
      <c r="AC111" s="264"/>
      <c r="AD111" s="119"/>
      <c r="AE111" s="119"/>
      <c r="AG111" s="119"/>
      <c r="AH111" s="119"/>
    </row>
    <row r="112" spans="2:34">
      <c r="B112" s="2">
        <v>10370</v>
      </c>
      <c r="C112" s="3" t="s">
        <v>116</v>
      </c>
      <c r="D112" s="115">
        <f>IF(Init!$R$9="Yes",'Staging Table'!F114,'Staging Table'!BS114)*Rates_previous!$E$76*100*12</f>
        <v>46774800.082799993</v>
      </c>
      <c r="E112" s="115">
        <f>IF(Init!$R$9="Yes",'Staging Table'!F114,'Staging Table'!BS114)*Rates_previous!$E$77*100*12</f>
        <v>-9549495.0713999979</v>
      </c>
      <c r="F112" s="116">
        <f>IF(Init!$R$9="Yes",SUMPRODUCT('Staging Table'!L114:AI114,LS_Demand_Rates_Restatement!$C$4:$Z$4)-IF(Init!$R$12="No",('Staging Table'!BH114*Rates_previous!$H$34), 0),SUMPRODUCT('Staging Table'!BY114:CV114,LS_Demand_Rates_Restatement!$C$4:$Z$4)-IF(Init!$R$12="No", 'Staging Table'!DU114*Rates_previous!$H$34, 0))</f>
        <v>-2428969.4468799187</v>
      </c>
      <c r="G112" s="116">
        <f>IF(Init!$R$9="Yes",SUMPRODUCT('Staging Table'!AJ114:AU114,LS_Demand_Rates_Restatement!$C$10:$N$10),SUMPRODUCT(LS_Demand_Rates_Restatement!$C$10:$N$10,'Staging Table'!CW114:DH114))*1000</f>
        <v>0</v>
      </c>
      <c r="H112" s="117">
        <f>IF(Init!$R$9="Yes",'Staging Table'!BQ114,'Staging Table'!ED114)*IF(Init!$R$3=2022,Rates_previous!$C$88,Rates_previous!$D$88)</f>
        <v>0</v>
      </c>
      <c r="I112" s="115">
        <v>108</v>
      </c>
      <c r="J112" s="117">
        <f>IF(Init!$R$9="Yes",IF('Staging Table'!D114=1,'Staging Table'!H114*-1*'Staging Table'!BS114/'Staging Table'!BR114,'Staging Table'!H114*SUM(D112:I112)*(-1)),IF('Staging Table'!D114=1,'Staging Table'!BU114*-1*'Staging Table'!BS114/'Staging Table'!BR114,'Staging Table'!BU114*SUM(D112:I112)*(-1)))</f>
        <v>0</v>
      </c>
      <c r="K112" s="115">
        <f>IF(Init!$R$9="Yes",'Staging Table'!K114,'Staging Table'!BX114)*(-1)*Rates_previous!$H$32</f>
        <v>0</v>
      </c>
      <c r="L112" s="115">
        <f>IF('Staging Table'!C114=1,"",SUM(D112:K112))</f>
        <v>34796443.564520083</v>
      </c>
      <c r="M112" s="115">
        <f>IF('Staging Table'!C114=1,"",IF(Init!$R$9="Yes",(RT1SC!$C$3*'Staging Table'!F114*'Staging Table'!$F$2)+SUM('Staging Table'!L114:AI114)-IF(Init!$R$12="No",'Staging Table'!BH114, 0),X112))</f>
        <v>1099410.7369654013</v>
      </c>
      <c r="N112" s="69">
        <f>IF('Staging Table'!C114=1,"",IF(M112=0, 0, L112/M112))</f>
        <v>31.65008526346158</v>
      </c>
      <c r="O112" s="115">
        <f>'Staging Table'!BS114*Rates_current!$F$77*100*12</f>
        <v>45442522.280999988</v>
      </c>
      <c r="P112" s="115">
        <f>'Staging Table'!BS114*Rates_current!$F$78*100*12</f>
        <v>-7278674.2229999993</v>
      </c>
      <c r="Q112" s="116">
        <f>SUMPRODUCT('Staging Table'!BY114:CV114, LS_Demand_Rates_Restatement!$C$5:$Z$5)-IF(Init!$R$12="No",('Staging Table'!DU114*Rates_current!$I$46), 0)</f>
        <v>988572.23585044709</v>
      </c>
      <c r="R112" s="116">
        <f>SUMPRODUCT('Staging Table'!CW114:DH114, LS_Demand_Rates_Restatement!$C$11:$N$11)*1000</f>
        <v>0</v>
      </c>
      <c r="S112" s="117">
        <f>'Staging Table'!ED114*IF(Init!$R$15="Yes",IF(Init!$R$6=2024,Rates_current!$C$89,Rates_current!$D$89),Rates_current!$I$45)</f>
        <v>0</v>
      </c>
      <c r="T112" s="117">
        <v>108</v>
      </c>
      <c r="U112" s="117">
        <f>IF('Staging Table'!D114=1, 'Staging Table'!BU114*-1*'Staging Table'!BS114/'Staging Table'!BR114,SUM(O112:T112)*'Staging Table'!BU114*-1)</f>
        <v>0</v>
      </c>
      <c r="V112" s="115">
        <f>'Staging Table'!BX114*Rates_current!$I$44*-1</f>
        <v>0</v>
      </c>
      <c r="W112" s="115">
        <f>IF('Staging Table'!C114=1,"", SUM(O112:V112))</f>
        <v>39152528.293850437</v>
      </c>
      <c r="X112" s="115">
        <f>IF('Staging Table'!C114=1,"", (RT1SC!$C$4*'Staging Table'!BS114*'Staging Table'!$BS$2)+SUM('Staging Table'!BY114:CV114)-IF(Init!$R$12="No",'Staging Table'!DU114, 0))</f>
        <v>1098055.125801282</v>
      </c>
      <c r="Y112" s="69">
        <f>IF('Staging Table'!C114=1,"",IF(X112=0, 0, W112/X112))</f>
        <v>35.656250195343993</v>
      </c>
      <c r="Z112" s="64">
        <f ca="1">IF('Staging Table'!C114=1,"",(Y112/N112-1)+(RAND()/100000000000000))</f>
        <v>0.12657675006353228</v>
      </c>
      <c r="AA112" s="45">
        <f t="shared" ca="1" si="6"/>
        <v>12</v>
      </c>
      <c r="AB112" s="76"/>
      <c r="AC112" s="264"/>
      <c r="AD112" s="119"/>
      <c r="AE112" s="119"/>
      <c r="AG112" s="119"/>
      <c r="AH112" s="119"/>
    </row>
    <row r="113" spans="2:34">
      <c r="B113" s="2">
        <v>10371</v>
      </c>
      <c r="C113" s="3" t="s">
        <v>117</v>
      </c>
      <c r="D113" s="115">
        <f>IF(Init!$R$9="Yes",'Staging Table'!F115,'Staging Table'!BS115)*Rates_previous!$E$76*100*12</f>
        <v>3978592.0279199998</v>
      </c>
      <c r="E113" s="115">
        <f>IF(Init!$R$9="Yes",'Staging Table'!F115,'Staging Table'!BS115)*Rates_previous!$E$77*100*12</f>
        <v>-812265.25595999998</v>
      </c>
      <c r="F113" s="116">
        <f>IF(Init!$R$9="Yes",SUMPRODUCT('Staging Table'!L115:AI115,LS_Demand_Rates_Restatement!$C$4:$Z$4)-IF(Init!$R$12="No",('Staging Table'!BH115*Rates_previous!$H$34), 0),SUMPRODUCT('Staging Table'!BY115:CV115,LS_Demand_Rates_Restatement!$C$4:$Z$4)-IF(Init!$R$12="No", 'Staging Table'!DU115*Rates_previous!$H$34, 0))</f>
        <v>27807.080711607821</v>
      </c>
      <c r="G113" s="116">
        <f>IF(Init!$R$9="Yes",SUMPRODUCT('Staging Table'!AJ115:AU115,LS_Demand_Rates_Restatement!$C$10:$N$10),SUMPRODUCT(LS_Demand_Rates_Restatement!$C$10:$N$10,'Staging Table'!CW115:DH115))*1000</f>
        <v>190464.61204799684</v>
      </c>
      <c r="H113" s="117">
        <f>IF(Init!$R$9="Yes",'Staging Table'!BQ115,'Staging Table'!ED115)*IF(Init!$R$3=2022,Rates_previous!$C$88,Rates_previous!$D$88)</f>
        <v>0</v>
      </c>
      <c r="I113" s="115">
        <v>109</v>
      </c>
      <c r="J113" s="117">
        <f>IF(Init!$R$9="Yes",IF('Staging Table'!D115=1,'Staging Table'!H115*-1*'Staging Table'!BS115/'Staging Table'!BR115,'Staging Table'!H115*SUM(D113:I113)*(-1)),IF('Staging Table'!D115=1,'Staging Table'!BU115*-1*'Staging Table'!BS115/'Staging Table'!BR115,'Staging Table'!BU115*SUM(D113:I113)*(-1)))</f>
        <v>0</v>
      </c>
      <c r="K113" s="115">
        <f>IF(Init!$R$9="Yes",'Staging Table'!K115,'Staging Table'!BX115)*(-1)*Rates_previous!$H$32</f>
        <v>0</v>
      </c>
      <c r="L113" s="115">
        <f>IF('Staging Table'!C115=1,"",SUM(D113:K113))</f>
        <v>3384707.4647196042</v>
      </c>
      <c r="M113" s="115">
        <f>IF('Staging Table'!C115=1,"",IF(Init!$R$9="Yes",(RT1SC!$C$3*'Staging Table'!F115*'Staging Table'!$F$2)+SUM('Staging Table'!L115:AI115)-IF(Init!$R$12="No",'Staging Table'!BH115, 0),X113))</f>
        <v>96905.088000000003</v>
      </c>
      <c r="N113" s="69">
        <f>IF('Staging Table'!C115=1,"",IF(M113=0, 0, L113/M113))</f>
        <v>34.92806760280331</v>
      </c>
      <c r="O113" s="115">
        <f>'Staging Table'!BS115*Rates_current!$F$77*100*12</f>
        <v>4041953.9238</v>
      </c>
      <c r="P113" s="115">
        <f>'Staging Table'!BS115*Rates_current!$F$78*100*12</f>
        <v>-647412.69539999997</v>
      </c>
      <c r="Q113" s="116">
        <f>SUMPRODUCT('Staging Table'!BY115:CV115, LS_Demand_Rates_Restatement!$C$5:$Z$5)-IF(Init!$R$12="No",('Staging Table'!DU115*Rates_current!$I$46), 0)</f>
        <v>110543.43735167083</v>
      </c>
      <c r="R113" s="116">
        <f>SUMPRODUCT('Staging Table'!CW115:DH115, LS_Demand_Rates_Restatement!$C$11:$N$11)*1000</f>
        <v>205163.24665592948</v>
      </c>
      <c r="S113" s="117">
        <f>'Staging Table'!ED115*IF(Init!$R$15="Yes",IF(Init!$R$6=2024,Rates_current!$C$89,Rates_current!$D$89),Rates_current!$I$45)</f>
        <v>0</v>
      </c>
      <c r="T113" s="117">
        <v>109</v>
      </c>
      <c r="U113" s="117">
        <f>IF('Staging Table'!D115=1, 'Staging Table'!BU115*-1*'Staging Table'!BS115/'Staging Table'!BR115,SUM(O113:T113)*'Staging Table'!BU115*-1)</f>
        <v>0</v>
      </c>
      <c r="V113" s="115">
        <f>'Staging Table'!BX115*Rates_current!$I$44*-1</f>
        <v>0</v>
      </c>
      <c r="W113" s="115">
        <f>IF('Staging Table'!C115=1,"", SUM(O113:V113))</f>
        <v>3710356.9124076003</v>
      </c>
      <c r="X113" s="115">
        <f>IF('Staging Table'!C115=1,"", (RT1SC!$C$4*'Staging Table'!BS115*'Staging Table'!$BS$2)+SUM('Staging Table'!BY115:CV115)-IF(Init!$R$12="No",'Staging Table'!DU115, 0))</f>
        <v>97197.540737687261</v>
      </c>
      <c r="Y113" s="69">
        <f>IF('Staging Table'!C115=1,"",IF(X113=0, 0, W113/X113))</f>
        <v>38.173362044426199</v>
      </c>
      <c r="Z113" s="64">
        <f ca="1">IF('Staging Table'!C115=1,"",(Y113/N113-1)+(RAND()/100000000000000))</f>
        <v>9.2913655531364145E-2</v>
      </c>
      <c r="AA113" s="45">
        <f t="shared" ca="1" si="6"/>
        <v>75</v>
      </c>
      <c r="AC113" s="264"/>
      <c r="AD113" s="119"/>
      <c r="AE113" s="119"/>
      <c r="AG113" s="119"/>
      <c r="AH113" s="119"/>
    </row>
    <row r="114" spans="2:34">
      <c r="B114" s="2">
        <v>10376</v>
      </c>
      <c r="C114" s="3" t="s">
        <v>118</v>
      </c>
      <c r="D114" s="115">
        <f>IF(Init!$R$9="Yes",'Staging Table'!F116,'Staging Table'!BS116)*Rates_previous!$E$76*100*12</f>
        <v>20206594.061280001</v>
      </c>
      <c r="E114" s="115">
        <f>IF(Init!$R$9="Yes",'Staging Table'!F116,'Staging Table'!BS116)*Rates_previous!$E$77*100*12</f>
        <v>-4125357.4586399999</v>
      </c>
      <c r="F114" s="116">
        <f>IF(Init!$R$9="Yes",SUMPRODUCT('Staging Table'!L116:AI116,LS_Demand_Rates_Restatement!$C$4:$Z$4)-IF(Init!$R$12="No",('Staging Table'!BH116*Rates_previous!$H$34), 0),SUMPRODUCT('Staging Table'!BY116:CV116,LS_Demand_Rates_Restatement!$C$4:$Z$4)-IF(Init!$R$12="No", 'Staging Table'!DU116*Rates_previous!$H$34, 0))</f>
        <v>-325438.80791235296</v>
      </c>
      <c r="G114" s="116">
        <f>IF(Init!$R$9="Yes",SUMPRODUCT('Staging Table'!AJ116:AU116,LS_Demand_Rates_Restatement!$C$10:$N$10),SUMPRODUCT(LS_Demand_Rates_Restatement!$C$10:$N$10,'Staging Table'!CW116:DH116))*1000</f>
        <v>922397.43725427357</v>
      </c>
      <c r="H114" s="117">
        <f>IF(Init!$R$9="Yes",'Staging Table'!BQ116,'Staging Table'!ED116)*IF(Init!$R$3=2022,Rates_previous!$C$88,Rates_previous!$D$88)</f>
        <v>0</v>
      </c>
      <c r="I114" s="115">
        <v>110</v>
      </c>
      <c r="J114" s="117">
        <f>IF(Init!$R$9="Yes",IF('Staging Table'!D116=1,'Staging Table'!H116*-1*'Staging Table'!BS116/'Staging Table'!BR116,'Staging Table'!H116*SUM(D114:I114)*(-1)),IF('Staging Table'!D116=1,'Staging Table'!BU116*-1*'Staging Table'!BS116/'Staging Table'!BR116,'Staging Table'!BU116*SUM(D114:I114)*(-1)))</f>
        <v>0</v>
      </c>
      <c r="K114" s="115">
        <f>IF(Init!$R$9="Yes",'Staging Table'!K116,'Staging Table'!BX116)*(-1)*Rates_previous!$H$32</f>
        <v>0</v>
      </c>
      <c r="L114" s="115">
        <f>IF('Staging Table'!C116=1,"",SUM(D114:K114))</f>
        <v>16678305.231981922</v>
      </c>
      <c r="M114" s="115">
        <f>IF('Staging Table'!C116=1,"",IF(Init!$R$9="Yes",(RT1SC!$C$3*'Staging Table'!F116*'Staging Table'!$F$2)+SUM('Staging Table'!L116:AI116)-IF(Init!$R$12="No",'Staging Table'!BH116, 0),X114))</f>
        <v>483977.61230688216</v>
      </c>
      <c r="N114" s="69">
        <f>IF('Staging Table'!C116=1,"",IF(M114=0, 0, L114/M114))</f>
        <v>34.460902339024898</v>
      </c>
      <c r="O114" s="115">
        <f>'Staging Table'!BS116*Rates_current!$F$77*100*12</f>
        <v>20125858.997400001</v>
      </c>
      <c r="P114" s="115">
        <f>'Staging Table'!BS116*Rates_current!$F$78*100*12</f>
        <v>-3223623.2442000001</v>
      </c>
      <c r="Q114" s="116">
        <f>SUMPRODUCT('Staging Table'!BY116:CV116, LS_Demand_Rates_Restatement!$C$5:$Z$5)-IF(Init!$R$12="No",('Staging Table'!DU116*Rates_current!$I$46), 0)</f>
        <v>495941.21268906863</v>
      </c>
      <c r="R114" s="116">
        <f>SUMPRODUCT('Staging Table'!CW116:DH116, LS_Demand_Rates_Restatement!$C$11:$N$11)*1000</f>
        <v>1043864.4023741098</v>
      </c>
      <c r="S114" s="117">
        <f>'Staging Table'!ED116*IF(Init!$R$15="Yes",IF(Init!$R$6=2024,Rates_current!$C$89,Rates_current!$D$89),Rates_current!$I$45)</f>
        <v>13.973551029220689</v>
      </c>
      <c r="T114" s="117">
        <v>110</v>
      </c>
      <c r="U114" s="117">
        <f>IF('Staging Table'!D116=1, 'Staging Table'!BU116*-1*'Staging Table'!BS116/'Staging Table'!BR116,SUM(O114:T114)*'Staging Table'!BU116*-1)</f>
        <v>0</v>
      </c>
      <c r="V114" s="115">
        <f>'Staging Table'!BX116*Rates_current!$I$44*-1</f>
        <v>0</v>
      </c>
      <c r="W114" s="115">
        <f>IF('Staging Table'!C116=1,"", SUM(O114:V114))</f>
        <v>18442165.341814209</v>
      </c>
      <c r="X114" s="115">
        <f>IF('Staging Table'!C116=1,"", (RT1SC!$C$4*'Staging Table'!BS116*'Staging Table'!$BS$2)+SUM('Staging Table'!BY116:CV116)-IF(Init!$R$12="No",'Staging Table'!DU116, 0))</f>
        <v>483977.63856932241</v>
      </c>
      <c r="Y114" s="69">
        <f>IF('Staging Table'!C116=1,"",IF(X114=0, 0, W114/X114))</f>
        <v>38.10540791994184</v>
      </c>
      <c r="Z114" s="64">
        <f ca="1">IF('Staging Table'!C116=1,"",(Y114/N114-1)+(RAND()/100000000000000))</f>
        <v>0.10575769447539486</v>
      </c>
      <c r="AA114" s="45">
        <f t="shared" ca="1" si="6"/>
        <v>29</v>
      </c>
      <c r="AC114" s="264"/>
      <c r="AD114" s="119"/>
      <c r="AE114" s="119"/>
      <c r="AG114" s="119"/>
      <c r="AH114" s="119"/>
    </row>
    <row r="115" spans="2:34">
      <c r="B115" s="2">
        <v>10378</v>
      </c>
      <c r="C115" s="3" t="s">
        <v>119</v>
      </c>
      <c r="D115" s="115">
        <f>IF(Init!$R$9="Yes",'Staging Table'!F117,'Staging Table'!BS117)*Rates_previous!$E$76*100*12</f>
        <v>728906.15951999999</v>
      </c>
      <c r="E115" s="115">
        <f>IF(Init!$R$9="Yes",'Staging Table'!F117,'Staging Table'!BS117)*Rates_previous!$E$77*100*12</f>
        <v>-148812.73176</v>
      </c>
      <c r="F115" s="116">
        <f>IF(Init!$R$9="Yes",SUMPRODUCT('Staging Table'!L117:AI117,LS_Demand_Rates_Restatement!$C$4:$Z$4)-IF(Init!$R$12="No",('Staging Table'!BH117*Rates_previous!$H$34), 0),SUMPRODUCT('Staging Table'!BY117:CV117,LS_Demand_Rates_Restatement!$C$4:$Z$4)-IF(Init!$R$12="No", 'Staging Table'!DU117*Rates_previous!$H$34, 0))</f>
        <v>20034.148944926794</v>
      </c>
      <c r="G115" s="116">
        <f>IF(Init!$R$9="Yes",SUMPRODUCT('Staging Table'!AJ117:AU117,LS_Demand_Rates_Restatement!$C$10:$N$10),SUMPRODUCT(LS_Demand_Rates_Restatement!$C$10:$N$10,'Staging Table'!CW117:DH117))*1000</f>
        <v>55518.361687499986</v>
      </c>
      <c r="H115" s="117">
        <f>IF(Init!$R$9="Yes",'Staging Table'!BQ117,'Staging Table'!ED117)*IF(Init!$R$3=2022,Rates_previous!$C$88,Rates_previous!$D$88)</f>
        <v>0</v>
      </c>
      <c r="I115" s="115">
        <v>111</v>
      </c>
      <c r="J115" s="117">
        <f>IF(Init!$R$9="Yes",IF('Staging Table'!D117=1,'Staging Table'!H117*-1*'Staging Table'!BS117/'Staging Table'!BR117,'Staging Table'!H117*SUM(D115:I115)*(-1)),IF('Staging Table'!D117=1,'Staging Table'!BU117*-1*'Staging Table'!BS117/'Staging Table'!BR117,'Staging Table'!BU117*SUM(D115:I115)*(-1)))</f>
        <v>0</v>
      </c>
      <c r="K115" s="115">
        <f>IF(Init!$R$9="Yes",'Staging Table'!K117,'Staging Table'!BX117)*(-1)*Rates_previous!$H$32</f>
        <v>0</v>
      </c>
      <c r="L115" s="115">
        <f>IF('Staging Table'!C117=1,"",SUM(D115:K115))</f>
        <v>655756.93839242682</v>
      </c>
      <c r="M115" s="115">
        <f>IF('Staging Table'!C117=1,"",IF(Init!$R$9="Yes",(RT1SC!$C$3*'Staging Table'!F117*'Staging Table'!$F$2)+SUM('Staging Table'!L117:AI117)-IF(Init!$R$12="No",'Staging Table'!BH117, 0),X115))</f>
        <v>17752.464</v>
      </c>
      <c r="N115" s="69">
        <f>IF('Staging Table'!C117=1,"",IF(M115=0, 0, L115/M115))</f>
        <v>36.938925120052453</v>
      </c>
      <c r="O115" s="115">
        <f>'Staging Table'!BS117*Rates_current!$F$77*100*12</f>
        <v>740692.52400000009</v>
      </c>
      <c r="P115" s="115">
        <f>'Staging Table'!BS117*Rates_current!$F$78*100*12</f>
        <v>-118639.092</v>
      </c>
      <c r="Q115" s="116">
        <f>SUMPRODUCT('Staging Table'!BY117:CV117, LS_Demand_Rates_Restatement!$C$5:$Z$5)-IF(Init!$R$12="No",('Staging Table'!DU117*Rates_current!$I$46), 0)</f>
        <v>33221.218743255726</v>
      </c>
      <c r="R115" s="116">
        <f>SUMPRODUCT('Staging Table'!CW117:DH117, LS_Demand_Rates_Restatement!$C$11:$N$11)*1000</f>
        <v>61081.409569524563</v>
      </c>
      <c r="S115" s="117">
        <f>'Staging Table'!ED117*IF(Init!$R$15="Yes",IF(Init!$R$6=2024,Rates_current!$C$89,Rates_current!$D$89),Rates_current!$I$45)</f>
        <v>0</v>
      </c>
      <c r="T115" s="117">
        <v>111</v>
      </c>
      <c r="U115" s="117">
        <f>IF('Staging Table'!D117=1, 'Staging Table'!BU117*-1*'Staging Table'!BS117/'Staging Table'!BR117,SUM(O115:T115)*'Staging Table'!BU117*-1)</f>
        <v>0</v>
      </c>
      <c r="V115" s="115">
        <f>'Staging Table'!BX117*Rates_current!$I$44*-1</f>
        <v>0</v>
      </c>
      <c r="W115" s="115">
        <f>IF('Staging Table'!C117=1,"", SUM(O115:V115))</f>
        <v>716467.06031278032</v>
      </c>
      <c r="X115" s="115">
        <f>IF('Staging Table'!C117=1,"", (RT1SC!$C$4*'Staging Table'!BS117*'Staging Table'!$BS$2)+SUM('Staging Table'!BY117:CV117)-IF(Init!$R$12="No",'Staging Table'!DU117, 0))</f>
        <v>17809.079999999998</v>
      </c>
      <c r="Y115" s="69">
        <f>IF('Staging Table'!C117=1,"",IF(X115=0, 0, W115/X115))</f>
        <v>40.230436401699606</v>
      </c>
      <c r="Z115" s="64">
        <f ca="1">IF('Staging Table'!C117=1,"",(Y115/N115-1)+(RAND()/100000000000000))</f>
        <v>8.910685059052649E-2</v>
      </c>
      <c r="AA115" s="45">
        <f t="shared" ca="1" si="6"/>
        <v>85</v>
      </c>
      <c r="AC115" s="264"/>
      <c r="AD115" s="119"/>
      <c r="AE115" s="119"/>
      <c r="AG115" s="119"/>
      <c r="AH115" s="119"/>
    </row>
    <row r="116" spans="2:34">
      <c r="B116" s="2">
        <v>10379</v>
      </c>
      <c r="C116" s="3" t="s">
        <v>120</v>
      </c>
      <c r="D116" s="115">
        <f>IF(Init!$R$9="Yes",'Staging Table'!F118,'Staging Table'!BS118)*Rates_previous!$E$76*100*12</f>
        <v>1655359.3404000001</v>
      </c>
      <c r="E116" s="115">
        <f>IF(Init!$R$9="Yes",'Staging Table'!F118,'Staging Table'!BS118)*Rates_previous!$E$77*100*12</f>
        <v>-337956.46019999997</v>
      </c>
      <c r="F116" s="116">
        <f>IF(Init!$R$9="Yes",SUMPRODUCT('Staging Table'!L118:AI118,LS_Demand_Rates_Restatement!$C$4:$Z$4)-IF(Init!$R$12="No",('Staging Table'!BH118*Rates_previous!$H$34), 0),SUMPRODUCT('Staging Table'!BY118:CV118,LS_Demand_Rates_Restatement!$C$4:$Z$4)-IF(Init!$R$12="No", 'Staging Table'!DU118*Rates_previous!$H$34, 0))</f>
        <v>7691.1988266592043</v>
      </c>
      <c r="G116" s="116">
        <f>IF(Init!$R$9="Yes",SUMPRODUCT('Staging Table'!AJ118:AU118,LS_Demand_Rates_Restatement!$C$10:$N$10),SUMPRODUCT(LS_Demand_Rates_Restatement!$C$10:$N$10,'Staging Table'!CW118:DH118))*1000</f>
        <v>114111.4855576656</v>
      </c>
      <c r="H116" s="117">
        <f>IF(Init!$R$9="Yes",'Staging Table'!BQ118,'Staging Table'!ED118)*IF(Init!$R$3=2022,Rates_previous!$C$88,Rates_previous!$D$88)</f>
        <v>0</v>
      </c>
      <c r="I116" s="115">
        <v>112</v>
      </c>
      <c r="J116" s="117">
        <f>IF(Init!$R$9="Yes",IF('Staging Table'!D118=1,'Staging Table'!H118*-1*'Staging Table'!BS118/'Staging Table'!BR118,'Staging Table'!H118*SUM(D116:I116)*(-1)),IF('Staging Table'!D118=1,'Staging Table'!BU118*-1*'Staging Table'!BS118/'Staging Table'!BR118,'Staging Table'!BU118*SUM(D116:I116)*(-1)))</f>
        <v>0</v>
      </c>
      <c r="K116" s="115">
        <f>IF(Init!$R$9="Yes",'Staging Table'!K118,'Staging Table'!BX118)*(-1)*Rates_previous!$H$32</f>
        <v>0</v>
      </c>
      <c r="L116" s="115">
        <f>IF('Staging Table'!C118=1,"",SUM(D116:K116))</f>
        <v>1439317.5645843248</v>
      </c>
      <c r="M116" s="115">
        <f>IF('Staging Table'!C118=1,"",IF(Init!$R$9="Yes",(RT1SC!$C$3*'Staging Table'!F118*'Staging Table'!$F$2)+SUM('Staging Table'!L118:AI118)-IF(Init!$R$12="No",'Staging Table'!BH118, 0),X116))</f>
        <v>40333.771188983796</v>
      </c>
      <c r="N116" s="69">
        <f>IF('Staging Table'!C118=1,"",IF(M116=0, 0, L116/M116))</f>
        <v>35.68517205694468</v>
      </c>
      <c r="O116" s="115">
        <f>'Staging Table'!BS118*Rates_current!$F$77*100*12</f>
        <v>1677176.4983999999</v>
      </c>
      <c r="P116" s="115">
        <f>'Staging Table'!BS118*Rates_current!$F$78*100*12</f>
        <v>-268638.72720000002</v>
      </c>
      <c r="Q116" s="116">
        <f>SUMPRODUCT('Staging Table'!BY118:CV118, LS_Demand_Rates_Restatement!$C$5:$Z$5)-IF(Init!$R$12="No",('Staging Table'!DU118*Rates_current!$I$46), 0)</f>
        <v>50336.961930855832</v>
      </c>
      <c r="R116" s="116">
        <f>SUMPRODUCT('Staging Table'!CW118:DH118, LS_Demand_Rates_Restatement!$C$11:$N$11)*1000</f>
        <v>126047.0785573896</v>
      </c>
      <c r="S116" s="117">
        <f>'Staging Table'!ED118*IF(Init!$R$15="Yes",IF(Init!$R$6=2024,Rates_current!$C$89,Rates_current!$D$89),Rates_current!$I$45)</f>
        <v>-10.605517533121164</v>
      </c>
      <c r="T116" s="117">
        <v>112</v>
      </c>
      <c r="U116" s="117">
        <f>IF('Staging Table'!D118=1, 'Staging Table'!BU118*-1*'Staging Table'!BS118/'Staging Table'!BR118,SUM(O116:T116)*'Staging Table'!BU118*-1)</f>
        <v>0</v>
      </c>
      <c r="V116" s="115">
        <f>'Staging Table'!BX118*Rates_current!$I$44*-1</f>
        <v>0</v>
      </c>
      <c r="W116" s="115">
        <f>IF('Staging Table'!C118=1,"", SUM(O116:V116))</f>
        <v>1585023.2061707121</v>
      </c>
      <c r="X116" s="115">
        <f>IF('Staging Table'!C118=1,"", (RT1SC!$C$4*'Staging Table'!BS118*'Staging Table'!$BS$2)+SUM('Staging Table'!BY118:CV118)-IF(Init!$R$12="No",'Staging Table'!DU118, 0))</f>
        <v>40333.773380807506</v>
      </c>
      <c r="Y116" s="69">
        <f>IF('Staging Table'!C118=1,"",IF(X116=0, 0, W116/X116))</f>
        <v>39.297667272681515</v>
      </c>
      <c r="Z116" s="64">
        <f ca="1">IF('Staging Table'!C118=1,"",(Y116/N116-1)+(RAND()/100000000000000))</f>
        <v>0.10123238890294192</v>
      </c>
      <c r="AA116" s="45">
        <f t="shared" ca="1" si="6"/>
        <v>42</v>
      </c>
      <c r="AC116" s="264"/>
      <c r="AD116" s="119"/>
      <c r="AE116" s="119"/>
      <c r="AG116" s="119"/>
      <c r="AH116" s="119"/>
    </row>
    <row r="117" spans="2:34">
      <c r="B117" s="2">
        <v>10388</v>
      </c>
      <c r="C117" s="3" t="s">
        <v>121</v>
      </c>
      <c r="D117" s="115">
        <f>IF(Init!$R$9="Yes",'Staging Table'!F119,'Staging Table'!BS119)*Rates_previous!$E$76*100*12</f>
        <v>40833193.517279997</v>
      </c>
      <c r="E117" s="115">
        <f>IF(Init!$R$9="Yes",'Staging Table'!F119,'Staging Table'!BS119)*Rates_previous!$E$77*100*12</f>
        <v>-8336462.7866399996</v>
      </c>
      <c r="F117" s="116">
        <f>IF(Init!$R$9="Yes",SUMPRODUCT('Staging Table'!L119:AI119,LS_Demand_Rates_Restatement!$C$4:$Z$4)-IF(Init!$R$12="No",('Staging Table'!BH119*Rates_previous!$H$34), 0),SUMPRODUCT('Staging Table'!BY119:CV119,LS_Demand_Rates_Restatement!$C$4:$Z$4)-IF(Init!$R$12="No", 'Staging Table'!DU119*Rates_previous!$H$34, 0))</f>
        <v>499953.80906699598</v>
      </c>
      <c r="G117" s="116">
        <f>IF(Init!$R$9="Yes",SUMPRODUCT('Staging Table'!AJ119:AU119,LS_Demand_Rates_Restatement!$C$10:$N$10),SUMPRODUCT(LS_Demand_Rates_Restatement!$C$10:$N$10,'Staging Table'!CW119:DH119))*1000</f>
        <v>5448523.7569664894</v>
      </c>
      <c r="H117" s="117">
        <f>IF(Init!$R$9="Yes",'Staging Table'!BQ119,'Staging Table'!ED119)*IF(Init!$R$3=2022,Rates_previous!$C$88,Rates_previous!$D$88)</f>
        <v>0</v>
      </c>
      <c r="I117" s="115">
        <v>113</v>
      </c>
      <c r="J117" s="117">
        <f>IF(Init!$R$9="Yes",IF('Staging Table'!D119=1,'Staging Table'!H119*-1*'Staging Table'!BS119/'Staging Table'!BR119,'Staging Table'!H119*SUM(D117:I117)*(-1)),IF('Staging Table'!D119=1,'Staging Table'!BU119*-1*'Staging Table'!BS119/'Staging Table'!BR119,'Staging Table'!BU119*SUM(D117:I117)*(-1)))</f>
        <v>-3012862.5444069123</v>
      </c>
      <c r="K117" s="115">
        <f>IF(Init!$R$9="Yes",'Staging Table'!K119,'Staging Table'!BX119)*(-1)*Rates_previous!$H$32</f>
        <v>-2646896.9803900002</v>
      </c>
      <c r="L117" s="115">
        <f>IF('Staging Table'!C119=1,"",SUM(D117:K117))</f>
        <v>32785561.77187657</v>
      </c>
      <c r="M117" s="115">
        <f>IF('Staging Table'!C119=1,"",IF(Init!$R$9="Yes",(RT1SC!$C$3*'Staging Table'!F119*'Staging Table'!$F$2)+SUM('Staging Table'!L119:AI119)-IF(Init!$R$12="No",'Staging Table'!BH119, 0),X117))</f>
        <v>994550.83199999994</v>
      </c>
      <c r="N117" s="69">
        <f>IF('Staging Table'!C119=1,"",IF(M117=0, 0, L117/M117))</f>
        <v>32.965194655708231</v>
      </c>
      <c r="O117" s="115">
        <f>'Staging Table'!BS119*Rates_current!$F$77*100*12</f>
        <v>41482148.128200002</v>
      </c>
      <c r="P117" s="115">
        <f>'Staging Table'!BS119*Rates_current!$F$78*100*12</f>
        <v>-6644328.4206000008</v>
      </c>
      <c r="Q117" s="116">
        <f>SUMPRODUCT('Staging Table'!BY119:CV119, LS_Demand_Rates_Restatement!$C$5:$Z$5)-IF(Init!$R$12="No",('Staging Table'!DU119*Rates_current!$I$46), 0)</f>
        <v>718659.40044087288</v>
      </c>
      <c r="R117" s="116">
        <f>SUMPRODUCT('Staging Table'!CW119:DH119, LS_Demand_Rates_Restatement!$C$11:$N$11)*1000</f>
        <v>5780407.5864863852</v>
      </c>
      <c r="S117" s="117">
        <f>'Staging Table'!ED119*IF(Init!$R$15="Yes",IF(Init!$R$6=2024,Rates_current!$C$89,Rates_current!$D$89),Rates_current!$I$45)</f>
        <v>0</v>
      </c>
      <c r="T117" s="117">
        <v>113</v>
      </c>
      <c r="U117" s="117">
        <f>IF('Staging Table'!D119=1, 'Staging Table'!BU119*-1*'Staging Table'!BS119/'Staging Table'!BR119,SUM(O117:T117)*'Staging Table'!BU119*-1)</f>
        <v>-3241315.0369907673</v>
      </c>
      <c r="V117" s="115">
        <f>'Staging Table'!BX119*Rates_current!$I$44*-1</f>
        <v>-2736118.2269200003</v>
      </c>
      <c r="W117" s="115">
        <f>IF('Staging Table'!C119=1,"", SUM(O117:V117))</f>
        <v>35359566.430616483</v>
      </c>
      <c r="X117" s="115">
        <f>IF('Staging Table'!C119=1,"", (RT1SC!$C$4*'Staging Table'!BS119*'Staging Table'!$BS$2)+SUM('Staging Table'!BY119:CV119)-IF(Init!$R$12="No",'Staging Table'!DU119, 0))</f>
        <v>997553.76</v>
      </c>
      <c r="Y117" s="69">
        <f>IF('Staging Table'!C119=1,"",IF(X117=0, 0, W117/X117))</f>
        <v>35.446276530115512</v>
      </c>
      <c r="Z117" s="64">
        <f ca="1">IF('Staging Table'!C119=1,"",(Y117/N117-1)+(RAND()/100000000000000))</f>
        <v>7.5263680385326923E-2</v>
      </c>
      <c r="AA117" s="45">
        <f t="shared" ca="1" si="6"/>
        <v>108</v>
      </c>
      <c r="AC117" s="264"/>
      <c r="AD117" s="119"/>
      <c r="AE117" s="119"/>
      <c r="AG117" s="119"/>
      <c r="AH117" s="119"/>
    </row>
    <row r="118" spans="2:34">
      <c r="B118" s="2">
        <v>10391</v>
      </c>
      <c r="C118" s="3" t="s">
        <v>122</v>
      </c>
      <c r="D118" s="115">
        <f>IF(Init!$R$9="Yes",'Staging Table'!F120,'Staging Table'!BS120)*Rates_previous!$E$76*100*12</f>
        <v>10811028.540960001</v>
      </c>
      <c r="E118" s="115">
        <f>IF(Init!$R$9="Yes",'Staging Table'!F120,'Staging Table'!BS120)*Rates_previous!$E$77*100*12</f>
        <v>-2207168.4664799999</v>
      </c>
      <c r="F118" s="116">
        <f>IF(Init!$R$9="Yes",SUMPRODUCT('Staging Table'!L120:AI120,LS_Demand_Rates_Restatement!$C$4:$Z$4)-IF(Init!$R$12="No",('Staging Table'!BH120*Rates_previous!$H$34), 0),SUMPRODUCT('Staging Table'!BY120:CV120,LS_Demand_Rates_Restatement!$C$4:$Z$4)-IF(Init!$R$12="No", 'Staging Table'!DU120*Rates_previous!$H$34, 0))</f>
        <v>-99101.057681204751</v>
      </c>
      <c r="G118" s="116">
        <f>IF(Init!$R$9="Yes",SUMPRODUCT('Staging Table'!AJ120:AU120,LS_Demand_Rates_Restatement!$C$10:$N$10),SUMPRODUCT(LS_Demand_Rates_Restatement!$C$10:$N$10,'Staging Table'!CW120:DH120))*1000</f>
        <v>398049.40541426279</v>
      </c>
      <c r="H118" s="117">
        <f>IF(Init!$R$9="Yes",'Staging Table'!BQ120,'Staging Table'!ED120)*IF(Init!$R$3=2022,Rates_previous!$C$88,Rates_previous!$D$88)</f>
        <v>0</v>
      </c>
      <c r="I118" s="115">
        <v>114</v>
      </c>
      <c r="J118" s="117">
        <f>IF(Init!$R$9="Yes",IF('Staging Table'!D120=1,'Staging Table'!H120*-1*'Staging Table'!BS120/'Staging Table'!BR120,'Staging Table'!H120*SUM(D118:I118)*(-1)),IF('Staging Table'!D120=1,'Staging Table'!BU120*-1*'Staging Table'!BS120/'Staging Table'!BR120,'Staging Table'!BU120*SUM(D118:I118)*(-1)))</f>
        <v>-339051.74952953513</v>
      </c>
      <c r="K118" s="115">
        <f>IF(Init!$R$9="Yes",'Staging Table'!K120,'Staging Table'!BX120)*(-1)*Rates_previous!$H$32</f>
        <v>-512205.67021000001</v>
      </c>
      <c r="L118" s="115">
        <f>IF('Staging Table'!C120=1,"",SUM(D118:K118))</f>
        <v>8051665.0024735238</v>
      </c>
      <c r="M118" s="115">
        <f>IF('Staging Table'!C120=1,"",IF(Init!$R$9="Yes",(RT1SC!$C$3*'Staging Table'!F120*'Staging Table'!$F$2)+SUM('Staging Table'!L120:AI120)-IF(Init!$R$12="No",'Staging Table'!BH120, 0),X118))</f>
        <v>263317.96799999999</v>
      </c>
      <c r="N118" s="69">
        <f>IF('Staging Table'!C120=1,"",IF(M118=0, 0, L118/M118))</f>
        <v>30.577727238399181</v>
      </c>
      <c r="O118" s="115">
        <f>'Staging Table'!BS120*Rates_current!$F$77*100*12</f>
        <v>10982968.0272</v>
      </c>
      <c r="P118" s="115">
        <f>'Staging Table'!BS120*Rates_current!$F$78*100*12</f>
        <v>-1759177.1376000002</v>
      </c>
      <c r="Q118" s="116">
        <f>SUMPRODUCT('Staging Table'!BY120:CV120, LS_Demand_Rates_Restatement!$C$5:$Z$5)-IF(Init!$R$12="No",('Staging Table'!DU120*Rates_current!$I$46), 0)</f>
        <v>131930.33598324095</v>
      </c>
      <c r="R118" s="116">
        <f>SUMPRODUCT('Staging Table'!CW120:DH120, LS_Demand_Rates_Restatement!$C$11:$N$11)*1000</f>
        <v>443999.10345233243</v>
      </c>
      <c r="S118" s="117">
        <f>'Staging Table'!ED120*IF(Init!$R$15="Yes",IF(Init!$R$6=2024,Rates_current!$C$89,Rates_current!$D$89),Rates_current!$I$45)</f>
        <v>0</v>
      </c>
      <c r="T118" s="117">
        <v>114</v>
      </c>
      <c r="U118" s="117">
        <f>IF('Staging Table'!D120=1, 'Staging Table'!BU120*-1*'Staging Table'!BS120/'Staging Table'!BR120,SUM(O118:T118)*'Staging Table'!BU120*-1)</f>
        <v>-422709.27180466882</v>
      </c>
      <c r="V118" s="115">
        <f>'Staging Table'!BX120*Rates_current!$I$44*-1</f>
        <v>-529471.02988000005</v>
      </c>
      <c r="W118" s="115">
        <f>IF('Staging Table'!C120=1,"", SUM(O118:V118))</f>
        <v>8847654.0273509044</v>
      </c>
      <c r="X118" s="115">
        <f>IF('Staging Table'!C120=1,"", (RT1SC!$C$4*'Staging Table'!BS120*'Staging Table'!$BS$2)+SUM('Staging Table'!BY120:CV120)-IF(Init!$R$12="No",'Staging Table'!DU120, 0))</f>
        <v>264114</v>
      </c>
      <c r="Y118" s="69">
        <f>IF('Staging Table'!C120=1,"",IF(X118=0, 0, W118/X118))</f>
        <v>33.499375373327062</v>
      </c>
      <c r="Z118" s="64">
        <f ca="1">IF('Staging Table'!C120=1,"",(Y118/N118-1)+(RAND()/100000000000000))</f>
        <v>9.5548243731438109E-2</v>
      </c>
      <c r="AA118" s="45">
        <f t="shared" ca="1" si="6"/>
        <v>67</v>
      </c>
      <c r="AC118" s="264"/>
      <c r="AD118" s="119"/>
      <c r="AE118" s="119"/>
      <c r="AG118" s="119"/>
      <c r="AH118" s="119"/>
    </row>
    <row r="119" spans="2:34">
      <c r="B119" s="2">
        <v>10406</v>
      </c>
      <c r="C119" s="3" t="s">
        <v>123</v>
      </c>
      <c r="D119" s="115">
        <f>IF(Init!$R$9="Yes",'Staging Table'!F121,'Staging Table'!BS121)*Rates_previous!$E$76*100*12</f>
        <v>165162.26376</v>
      </c>
      <c r="E119" s="115">
        <f>IF(Init!$R$9="Yes",'Staging Table'!F121,'Staging Table'!BS121)*Rates_previous!$E$77*100*12</f>
        <v>-33719.357880000003</v>
      </c>
      <c r="F119" s="116">
        <f>IF(Init!$R$9="Yes",SUMPRODUCT('Staging Table'!L121:AI121,LS_Demand_Rates_Restatement!$C$4:$Z$4)-IF(Init!$R$12="No",('Staging Table'!BH121*Rates_previous!$H$34), 0),SUMPRODUCT('Staging Table'!BY121:CV121,LS_Demand_Rates_Restatement!$C$4:$Z$4)-IF(Init!$R$12="No", 'Staging Table'!DU121*Rates_previous!$H$34, 0))</f>
        <v>1779.5332960261876</v>
      </c>
      <c r="G119" s="116">
        <f>IF(Init!$R$9="Yes",SUMPRODUCT('Staging Table'!AJ121:AU121,LS_Demand_Rates_Restatement!$C$10:$N$10),SUMPRODUCT(LS_Demand_Rates_Restatement!$C$10:$N$10,'Staging Table'!CW121:DH121))*1000</f>
        <v>6928.5590372863253</v>
      </c>
      <c r="H119" s="117">
        <f>IF(Init!$R$9="Yes",'Staging Table'!BQ121,'Staging Table'!ED121)*IF(Init!$R$3=2022,Rates_previous!$C$88,Rates_previous!$D$88)</f>
        <v>0</v>
      </c>
      <c r="I119" s="115">
        <v>115</v>
      </c>
      <c r="J119" s="117">
        <f>IF(Init!$R$9="Yes",IF('Staging Table'!D121=1,'Staging Table'!H121*-1*'Staging Table'!BS121/'Staging Table'!BR121,'Staging Table'!H121*SUM(D119:I119)*(-1)),IF('Staging Table'!D121=1,'Staging Table'!BU121*-1*'Staging Table'!BS121/'Staging Table'!BR121,'Staging Table'!BU121*SUM(D119:I119)*(-1)))</f>
        <v>0</v>
      </c>
      <c r="K119" s="115">
        <f>IF(Init!$R$9="Yes",'Staging Table'!K121,'Staging Table'!BX121)*(-1)*Rates_previous!$H$32</f>
        <v>0</v>
      </c>
      <c r="L119" s="115">
        <f>IF('Staging Table'!C121=1,"",SUM(D119:K119))</f>
        <v>140265.99821331253</v>
      </c>
      <c r="M119" s="115">
        <f>IF('Staging Table'!C121=1,"",IF(Init!$R$9="Yes",(RT1SC!$C$3*'Staging Table'!F121*'Staging Table'!$F$2)+SUM('Staging Table'!L121:AI121)-IF(Init!$R$12="No",'Staging Table'!BH121, 0),X119))</f>
        <v>4023.0720000000001</v>
      </c>
      <c r="N119" s="69">
        <f>IF('Staging Table'!C121=1,"",IF(M119=0, 0, L119/M119))</f>
        <v>34.865395949491464</v>
      </c>
      <c r="O119" s="115">
        <f>'Staging Table'!BS121*Rates_current!$F$77*100*12</f>
        <v>167821.24319999997</v>
      </c>
      <c r="P119" s="115">
        <f>'Staging Table'!BS121*Rates_current!$F$78*100*12</f>
        <v>-26880.465599999996</v>
      </c>
      <c r="Q119" s="116">
        <f>SUMPRODUCT('Staging Table'!BY121:CV121, LS_Demand_Rates_Restatement!$C$5:$Z$5)-IF(Init!$R$12="No",('Staging Table'!DU121*Rates_current!$I$46), 0)</f>
        <v>6413.1459825546917</v>
      </c>
      <c r="R119" s="116">
        <f>SUMPRODUCT('Staging Table'!CW121:DH121, LS_Demand_Rates_Restatement!$C$11:$N$11)*1000</f>
        <v>7331.0367123397455</v>
      </c>
      <c r="S119" s="117">
        <f>'Staging Table'!ED121*IF(Init!$R$15="Yes",IF(Init!$R$6=2024,Rates_current!$C$89,Rates_current!$D$89),Rates_current!$I$45)</f>
        <v>0</v>
      </c>
      <c r="T119" s="117">
        <v>115</v>
      </c>
      <c r="U119" s="117">
        <f>IF('Staging Table'!D121=1, 'Staging Table'!BU121*-1*'Staging Table'!BS121/'Staging Table'!BR121,SUM(O119:T119)*'Staging Table'!BU121*-1)</f>
        <v>0</v>
      </c>
      <c r="V119" s="115">
        <f>'Staging Table'!BX121*Rates_current!$I$44*-1</f>
        <v>0</v>
      </c>
      <c r="W119" s="115">
        <f>IF('Staging Table'!C121=1,"", SUM(O119:V119))</f>
        <v>154799.96029489444</v>
      </c>
      <c r="X119" s="115">
        <f>IF('Staging Table'!C121=1,"", (RT1SC!$C$4*'Staging Table'!BS121*'Staging Table'!$BS$2)+SUM('Staging Table'!BY121:CV121)-IF(Init!$R$12="No",'Staging Table'!DU121, 0))</f>
        <v>4038.36</v>
      </c>
      <c r="Y119" s="69">
        <f>IF('Staging Table'!C121=1,"",IF(X119=0, 0, W119/X119))</f>
        <v>38.332382525305924</v>
      </c>
      <c r="Z119" s="64">
        <f ca="1">IF('Staging Table'!C121=1,"",(Y119/N119-1)+(RAND()/100000000000000))</f>
        <v>9.9439185513253064E-2</v>
      </c>
      <c r="AA119" s="45">
        <f t="shared" ca="1" si="6"/>
        <v>47</v>
      </c>
      <c r="AC119" s="264"/>
      <c r="AD119" s="119"/>
      <c r="AE119" s="119"/>
      <c r="AG119" s="119"/>
      <c r="AH119" s="119"/>
    </row>
    <row r="120" spans="2:34">
      <c r="B120" s="2">
        <v>10408</v>
      </c>
      <c r="C120" s="3" t="s">
        <v>124</v>
      </c>
      <c r="D120" s="115">
        <f>IF(Init!$R$9="Yes",'Staging Table'!F122,'Staging Table'!BS122)*Rates_previous!$E$76*100*12</f>
        <v>550789.99271999998</v>
      </c>
      <c r="E120" s="115">
        <f>IF(Init!$R$9="Yes",'Staging Table'!F122,'Staging Table'!BS122)*Rates_previous!$E$77*100*12</f>
        <v>-112448.71836</v>
      </c>
      <c r="F120" s="116">
        <f>IF(Init!$R$9="Yes",SUMPRODUCT('Staging Table'!L122:AI122,LS_Demand_Rates_Restatement!$C$4:$Z$4)-IF(Init!$R$12="No",('Staging Table'!BH122*Rates_previous!$H$34), 0),SUMPRODUCT('Staging Table'!BY122:CV122,LS_Demand_Rates_Restatement!$C$4:$Z$4)-IF(Init!$R$12="No", 'Staging Table'!DU122*Rates_previous!$H$34, 0))</f>
        <v>-20293.351461425613</v>
      </c>
      <c r="G120" s="116">
        <f>IF(Init!$R$9="Yes",SUMPRODUCT('Staging Table'!AJ122:AU122,LS_Demand_Rates_Restatement!$C$10:$N$10),SUMPRODUCT(LS_Demand_Rates_Restatement!$C$10:$N$10,'Staging Table'!CW122:DH122))*1000</f>
        <v>33136.848993589723</v>
      </c>
      <c r="H120" s="117">
        <f>IF(Init!$R$9="Yes",'Staging Table'!BQ122,'Staging Table'!ED122)*IF(Init!$R$3=2022,Rates_previous!$C$88,Rates_previous!$D$88)</f>
        <v>0</v>
      </c>
      <c r="I120" s="115">
        <v>116</v>
      </c>
      <c r="J120" s="117">
        <f>IF(Init!$R$9="Yes",IF('Staging Table'!D122=1,'Staging Table'!H122*-1*'Staging Table'!BS122/'Staging Table'!BR122,'Staging Table'!H122*SUM(D120:I120)*(-1)),IF('Staging Table'!D122=1,'Staging Table'!BU122*-1*'Staging Table'!BS122/'Staging Table'!BR122,'Staging Table'!BU122*SUM(D120:I120)*(-1)))</f>
        <v>0</v>
      </c>
      <c r="K120" s="115">
        <f>IF(Init!$R$9="Yes",'Staging Table'!K122,'Staging Table'!BX122)*(-1)*Rates_previous!$H$32</f>
        <v>0</v>
      </c>
      <c r="L120" s="115">
        <f>IF('Staging Table'!C122=1,"",SUM(D120:K120))</f>
        <v>451300.77189216414</v>
      </c>
      <c r="M120" s="115">
        <f>IF('Staging Table'!C122=1,"",IF(Init!$R$9="Yes",(RT1SC!$C$3*'Staging Table'!F122*'Staging Table'!$F$2)+SUM('Staging Table'!L122:AI122)-IF(Init!$R$12="No",'Staging Table'!BH122, 0),X120))</f>
        <v>13413.168</v>
      </c>
      <c r="N120" s="69">
        <f>IF('Staging Table'!C122=1,"",IF(M120=0, 0, L120/M120))</f>
        <v>33.646098512459112</v>
      </c>
      <c r="O120" s="115">
        <f>'Staging Table'!BS122*Rates_current!$F$77*100*12</f>
        <v>559404.14400000009</v>
      </c>
      <c r="P120" s="115">
        <f>'Staging Table'!BS122*Rates_current!$F$78*100*12</f>
        <v>-89601.551999999996</v>
      </c>
      <c r="Q120" s="116">
        <f>SUMPRODUCT('Staging Table'!BY122:CV122, LS_Demand_Rates_Restatement!$C$5:$Z$5)-IF(Init!$R$12="No",('Staging Table'!DU122*Rates_current!$I$46), 0)</f>
        <v>2838.3849449637055</v>
      </c>
      <c r="R120" s="116">
        <f>SUMPRODUCT('Staging Table'!CW122:DH122, LS_Demand_Rates_Restatement!$C$11:$N$11)*1000</f>
        <v>36198.029686921291</v>
      </c>
      <c r="S120" s="117">
        <f>'Staging Table'!ED122*IF(Init!$R$15="Yes",IF(Init!$R$6=2024,Rates_current!$C$89,Rates_current!$D$89),Rates_current!$I$45)</f>
        <v>0</v>
      </c>
      <c r="T120" s="117">
        <v>116</v>
      </c>
      <c r="U120" s="117">
        <f>IF('Staging Table'!D122=1, 'Staging Table'!BU122*-1*'Staging Table'!BS122/'Staging Table'!BR122,SUM(O120:T120)*'Staging Table'!BU122*-1)</f>
        <v>0</v>
      </c>
      <c r="V120" s="115">
        <f>'Staging Table'!BX122*Rates_current!$I$44*-1</f>
        <v>0</v>
      </c>
      <c r="W120" s="115">
        <f>IF('Staging Table'!C122=1,"", SUM(O120:V120))</f>
        <v>508955.00663188507</v>
      </c>
      <c r="X120" s="115">
        <f>IF('Staging Table'!C122=1,"", (RT1SC!$C$4*'Staging Table'!BS122*'Staging Table'!$BS$2)+SUM('Staging Table'!BY122:CV122)-IF(Init!$R$12="No",'Staging Table'!DU122, 0))</f>
        <v>13455.36</v>
      </c>
      <c r="Y120" s="69">
        <f>IF('Staging Table'!C122=1,"",IF(X120=0, 0, W120/X120))</f>
        <v>37.825447006388906</v>
      </c>
      <c r="Z120" s="64">
        <f ca="1">IF('Staging Table'!C122=1,"",(Y120/N120-1)+(RAND()/100000000000000))</f>
        <v>0.12421495147149068</v>
      </c>
      <c r="AA120" s="45">
        <f t="shared" ca="1" si="6"/>
        <v>15</v>
      </c>
      <c r="AC120" s="264"/>
      <c r="AD120" s="119"/>
      <c r="AE120" s="119"/>
      <c r="AG120" s="119"/>
      <c r="AH120" s="119"/>
    </row>
    <row r="121" spans="2:34">
      <c r="B121" s="2">
        <v>10409</v>
      </c>
      <c r="C121" s="3" t="s">
        <v>125</v>
      </c>
      <c r="D121" s="115">
        <f>IF(Init!$R$9="Yes",'Staging Table'!F123,'Staging Table'!BS123)*Rates_previous!$E$76*100*12</f>
        <v>7364792.1052800007</v>
      </c>
      <c r="E121" s="115">
        <f>IF(Init!$R$9="Yes",'Staging Table'!F123,'Staging Table'!BS123)*Rates_previous!$E$77*100*12</f>
        <v>-1503588.3806400001</v>
      </c>
      <c r="F121" s="116">
        <f>IF(Init!$R$9="Yes",SUMPRODUCT('Staging Table'!L123:AI123,LS_Demand_Rates_Restatement!$C$4:$Z$4)-IF(Init!$R$12="No",('Staging Table'!BH123*Rates_previous!$H$34), 0),SUMPRODUCT('Staging Table'!BY123:CV123,LS_Demand_Rates_Restatement!$C$4:$Z$4)-IF(Init!$R$12="No", 'Staging Table'!DU123*Rates_previous!$H$34, 0))</f>
        <v>-94968.765786936099</v>
      </c>
      <c r="G121" s="116">
        <f>IF(Init!$R$9="Yes",SUMPRODUCT('Staging Table'!AJ123:AU123,LS_Demand_Rates_Restatement!$C$10:$N$10),SUMPRODUCT(LS_Demand_Rates_Restatement!$C$10:$N$10,'Staging Table'!CW123:DH123))*1000</f>
        <v>712466.99824879807</v>
      </c>
      <c r="H121" s="117">
        <f>IF(Init!$R$9="Yes",'Staging Table'!BQ123,'Staging Table'!ED123)*IF(Init!$R$3=2022,Rates_previous!$C$88,Rates_previous!$D$88)</f>
        <v>0</v>
      </c>
      <c r="I121" s="115">
        <v>117</v>
      </c>
      <c r="J121" s="117">
        <f>IF(Init!$R$9="Yes",IF('Staging Table'!D123=1,'Staging Table'!H123*-1*'Staging Table'!BS123/'Staging Table'!BR123,'Staging Table'!H123*SUM(D121:I121)*(-1)),IF('Staging Table'!D123=1,'Staging Table'!BU123*-1*'Staging Table'!BS123/'Staging Table'!BR123,'Staging Table'!BU123*SUM(D121:I121)*(-1)))</f>
        <v>0</v>
      </c>
      <c r="K121" s="115">
        <f>IF(Init!$R$9="Yes",'Staging Table'!K123,'Staging Table'!BX123)*(-1)*Rates_previous!$H$32</f>
        <v>0</v>
      </c>
      <c r="L121" s="115">
        <f>IF('Staging Table'!C123=1,"",SUM(D121:K121))</f>
        <v>6478818.9571018619</v>
      </c>
      <c r="M121" s="115">
        <f>IF('Staging Table'!C123=1,"",IF(Init!$R$9="Yes",(RT1SC!$C$3*'Staging Table'!F123*'Staging Table'!$F$2)+SUM('Staging Table'!L123:AI123)-IF(Init!$R$12="No",'Staging Table'!BH123, 0),X121))</f>
        <v>179378.06399999998</v>
      </c>
      <c r="N121" s="69">
        <f>IF('Staging Table'!C123=1,"",IF(M121=0, 0, L121/M121))</f>
        <v>36.118234373974857</v>
      </c>
      <c r="O121" s="115">
        <f>'Staging Table'!BS123*Rates_current!$F$77*100*12</f>
        <v>7481771.4425999997</v>
      </c>
      <c r="P121" s="115">
        <f>'Staging Table'!BS123*Rates_current!$F$78*100*12</f>
        <v>-1198379.2757999999</v>
      </c>
      <c r="Q121" s="116">
        <f>SUMPRODUCT('Staging Table'!BY123:CV123, LS_Demand_Rates_Restatement!$C$5:$Z$5)-IF(Init!$R$12="No",('Staging Table'!DU123*Rates_current!$I$46), 0)</f>
        <v>156042.51620987471</v>
      </c>
      <c r="R121" s="116">
        <f>SUMPRODUCT('Staging Table'!CW123:DH123, LS_Demand_Rates_Restatement!$C$11:$N$11)*1000</f>
        <v>793162.5425916044</v>
      </c>
      <c r="S121" s="117">
        <f>'Staging Table'!ED123*IF(Init!$R$15="Yes",IF(Init!$R$6=2024,Rates_current!$C$89,Rates_current!$D$89),Rates_current!$I$45)</f>
        <v>0</v>
      </c>
      <c r="T121" s="117">
        <v>117</v>
      </c>
      <c r="U121" s="117">
        <f>IF('Staging Table'!D123=1, 'Staging Table'!BU123*-1*'Staging Table'!BS123/'Staging Table'!BR123,SUM(O121:T121)*'Staging Table'!BU123*-1)</f>
        <v>0</v>
      </c>
      <c r="V121" s="115">
        <f>'Staging Table'!BX123*Rates_current!$I$44*-1</f>
        <v>0</v>
      </c>
      <c r="W121" s="115">
        <f>IF('Staging Table'!C123=1,"", SUM(O121:V121))</f>
        <v>7232714.2256014785</v>
      </c>
      <c r="X121" s="115">
        <f>IF('Staging Table'!C123=1,"", (RT1SC!$C$4*'Staging Table'!BS123*'Staging Table'!$BS$2)+SUM('Staging Table'!BY123:CV123)-IF(Init!$R$12="No",'Staging Table'!DU123, 0))</f>
        <v>179917.75162062197</v>
      </c>
      <c r="Y121" s="69">
        <f>IF('Staging Table'!C123=1,"",IF(X121=0, 0, W121/X121))</f>
        <v>40.200114554857926</v>
      </c>
      <c r="Z121" s="64">
        <f ca="1">IF('Staging Table'!C123=1,"",(Y121/N121-1)+(RAND()/100000000000000))</f>
        <v>0.11301438876049558</v>
      </c>
      <c r="AA121" s="45">
        <f t="shared" ca="1" si="6"/>
        <v>26</v>
      </c>
      <c r="AC121" s="264"/>
      <c r="AD121" s="119"/>
      <c r="AE121" s="119"/>
      <c r="AG121" s="119"/>
      <c r="AH121" s="119"/>
    </row>
    <row r="122" spans="2:34">
      <c r="B122" s="2">
        <v>10426</v>
      </c>
      <c r="C122" s="3" t="s">
        <v>126</v>
      </c>
      <c r="D122" s="115">
        <f>IF(Init!$R$9="Yes",'Staging Table'!F124,'Staging Table'!BS124)*Rates_previous!$E$76*100*12</f>
        <v>11431072.09224</v>
      </c>
      <c r="E122" s="115">
        <f>IF(Init!$R$9="Yes",'Staging Table'!F124,'Staging Table'!BS124)*Rates_previous!$E$77*100*12</f>
        <v>-2333755.9201200004</v>
      </c>
      <c r="F122" s="116">
        <f>IF(Init!$R$9="Yes",SUMPRODUCT('Staging Table'!L124:AI124,LS_Demand_Rates_Restatement!$C$4:$Z$4)-IF(Init!$R$12="No",('Staging Table'!BH124*Rates_previous!$H$34), 0),SUMPRODUCT('Staging Table'!BY124:CV124,LS_Demand_Rates_Restatement!$C$4:$Z$4)-IF(Init!$R$12="No", 'Staging Table'!DU124*Rates_previous!$H$34, 0))</f>
        <v>1813311.1809128101</v>
      </c>
      <c r="G122" s="116">
        <f>IF(Init!$R$9="Yes",SUMPRODUCT('Staging Table'!AJ124:AU124,LS_Demand_Rates_Restatement!$C$10:$N$10),SUMPRODUCT(LS_Demand_Rates_Restatement!$C$10:$N$10,'Staging Table'!CW124:DH124))*1000</f>
        <v>203445.64033213162</v>
      </c>
      <c r="H122" s="117">
        <f>IF(Init!$R$9="Yes",'Staging Table'!BQ124,'Staging Table'!ED124)*IF(Init!$R$3=2022,Rates_previous!$C$88,Rates_previous!$D$88)</f>
        <v>0</v>
      </c>
      <c r="I122" s="115">
        <v>118</v>
      </c>
      <c r="J122" s="117">
        <f>IF(Init!$R$9="Yes",IF('Staging Table'!D124=1,'Staging Table'!H124*-1*'Staging Table'!BS124/'Staging Table'!BR124,'Staging Table'!H124*SUM(D122:I122)*(-1)),IF('Staging Table'!D124=1,'Staging Table'!BU124*-1*'Staging Table'!BS124/'Staging Table'!BR124,'Staging Table'!BU124*SUM(D122:I122)*(-1)))</f>
        <v>0</v>
      </c>
      <c r="K122" s="115">
        <f>IF(Init!$R$9="Yes",'Staging Table'!K124,'Staging Table'!BX124)*(-1)*Rates_previous!$H$32</f>
        <v>0</v>
      </c>
      <c r="L122" s="115">
        <f>IF('Staging Table'!C124=1,"",SUM(D122:K122))</f>
        <v>11114190.993364939</v>
      </c>
      <c r="M122" s="115">
        <f>IF('Staging Table'!C124=1,"",IF(Init!$R$9="Yes",(RT1SC!$C$3*'Staging Table'!F124*'Staging Table'!$F$2)+SUM('Staging Table'!L124:AI124)-IF(Init!$R$12="No",'Staging Table'!BH124, 0),X122))</f>
        <v>320958.576</v>
      </c>
      <c r="N122" s="69">
        <f>IF('Staging Table'!C124=1,"",IF(M122=0, 0, L122/M122))</f>
        <v>34.628116599585546</v>
      </c>
      <c r="O122" s="115">
        <f>'Staging Table'!BS124*Rates_current!$F$77*100*12</f>
        <v>14219742.560400002</v>
      </c>
      <c r="P122" s="115">
        <f>'Staging Table'!BS124*Rates_current!$F$78*100*12</f>
        <v>-2277621.6732000001</v>
      </c>
      <c r="Q122" s="116">
        <f>SUMPRODUCT('Staging Table'!BY124:CV124, LS_Demand_Rates_Restatement!$C$5:$Z$5)-IF(Init!$R$12="No",('Staging Table'!DU124*Rates_current!$I$46), 0)</f>
        <v>533849.41049906635</v>
      </c>
      <c r="R122" s="116">
        <f>SUMPRODUCT('Staging Table'!CW124:DH124, LS_Demand_Rates_Restatement!$C$11:$N$11)*1000</f>
        <v>274039.0930837965</v>
      </c>
      <c r="S122" s="117">
        <f>'Staging Table'!ED124*IF(Init!$R$15="Yes",IF(Init!$R$6=2024,Rates_current!$C$89,Rates_current!$D$89),Rates_current!$I$45)</f>
        <v>16.838480668142438</v>
      </c>
      <c r="T122" s="117">
        <v>118</v>
      </c>
      <c r="U122" s="117">
        <f>IF('Staging Table'!D124=1, 'Staging Table'!BU124*-1*'Staging Table'!BS124/'Staging Table'!BR124,SUM(O122:T122)*'Staging Table'!BU124*-1)</f>
        <v>0</v>
      </c>
      <c r="V122" s="115">
        <f>'Staging Table'!BX124*Rates_current!$I$44*-1</f>
        <v>0</v>
      </c>
      <c r="W122" s="115">
        <f>IF('Staging Table'!C124=1,"", SUM(O122:V122))</f>
        <v>12750144.229263533</v>
      </c>
      <c r="X122" s="115">
        <f>IF('Staging Table'!C124=1,"", (RT1SC!$C$4*'Staging Table'!BS124*'Staging Table'!$BS$2)+SUM('Staging Table'!BY124:CV124)-IF(Init!$R$12="No",'Staging Table'!DU124, 0))</f>
        <v>341951.02018539479</v>
      </c>
      <c r="Y122" s="69">
        <f>IF('Staging Table'!C124=1,"",IF(X122=0, 0, W122/X122))</f>
        <v>37.286463489276379</v>
      </c>
      <c r="Z122" s="64">
        <f ca="1">IF('Staging Table'!C124=1,"",(Y122/N122-1)+(RAND()/100000000000000))</f>
        <v>7.6768451499403353E-2</v>
      </c>
      <c r="AA122" s="45">
        <f t="shared" ca="1" si="6"/>
        <v>104</v>
      </c>
      <c r="AC122" s="264"/>
      <c r="AD122" s="119"/>
      <c r="AE122" s="119"/>
      <c r="AG122" s="119"/>
      <c r="AH122" s="119"/>
    </row>
    <row r="123" spans="2:34">
      <c r="B123" s="2">
        <v>10434</v>
      </c>
      <c r="C123" s="3" t="s">
        <v>127</v>
      </c>
      <c r="D123" s="115">
        <f>IF(Init!$R$9="Yes",'Staging Table'!F125,'Staging Table'!BS125)*Rates_previous!$E$76*100*12</f>
        <v>9793898.0387999993</v>
      </c>
      <c r="E123" s="115">
        <f>IF(Init!$R$9="Yes",'Staging Table'!F125,'Staging Table'!BS125)*Rates_previous!$E$77*100*12</f>
        <v>-1999512.1494</v>
      </c>
      <c r="F123" s="116">
        <f>IF(Init!$R$9="Yes",SUMPRODUCT('Staging Table'!L125:AI125,LS_Demand_Rates_Restatement!$C$4:$Z$4)-IF(Init!$R$12="No",('Staging Table'!BH125*Rates_previous!$H$34), 0),SUMPRODUCT('Staging Table'!BY125:CV125,LS_Demand_Rates_Restatement!$C$4:$Z$4)-IF(Init!$R$12="No", 'Staging Table'!DU125*Rates_previous!$H$34, 0))</f>
        <v>156483.87985315965</v>
      </c>
      <c r="G123" s="116">
        <f>IF(Init!$R$9="Yes",SUMPRODUCT('Staging Table'!AJ125:AU125,LS_Demand_Rates_Restatement!$C$10:$N$10),SUMPRODUCT(LS_Demand_Rates_Restatement!$C$10:$N$10,'Staging Table'!CW125:DH125))*1000</f>
        <v>1009463.5340448986</v>
      </c>
      <c r="H123" s="117">
        <f>IF(Init!$R$9="Yes",'Staging Table'!BQ125,'Staging Table'!ED125)*IF(Init!$R$3=2022,Rates_previous!$C$88,Rates_previous!$D$88)</f>
        <v>0</v>
      </c>
      <c r="I123" s="115">
        <v>119</v>
      </c>
      <c r="J123" s="117">
        <f>IF(Init!$R$9="Yes",IF('Staging Table'!D125=1,'Staging Table'!H125*-1*'Staging Table'!BS125/'Staging Table'!BR125,'Staging Table'!H125*SUM(D123:I123)*(-1)),IF('Staging Table'!D125=1,'Staging Table'!BU125*-1*'Staging Table'!BS125/'Staging Table'!BR125,'Staging Table'!BU125*SUM(D123:I123)*(-1)))</f>
        <v>0</v>
      </c>
      <c r="K123" s="115">
        <f>IF(Init!$R$9="Yes",'Staging Table'!K125,'Staging Table'!BX125)*(-1)*Rates_previous!$H$32</f>
        <v>0</v>
      </c>
      <c r="L123" s="115">
        <f>IF('Staging Table'!C125=1,"",SUM(D123:K123))</f>
        <v>8960452.303298058</v>
      </c>
      <c r="M123" s="115">
        <f>IF('Staging Table'!C125=1,"",IF(Init!$R$9="Yes",(RT1SC!$C$3*'Staging Table'!F125*'Staging Table'!$F$2)+SUM('Staging Table'!L125:AI125)-IF(Init!$R$12="No",'Staging Table'!BH125, 0),X123))</f>
        <v>238547.08799999999</v>
      </c>
      <c r="N123" s="69">
        <f>IF('Staging Table'!C125=1,"",IF(M123=0, 0, L123/M123))</f>
        <v>37.562614485983829</v>
      </c>
      <c r="O123" s="115">
        <f>'Staging Table'!BS125*Rates_current!$F$77*100*12</f>
        <v>9949365.2777999993</v>
      </c>
      <c r="P123" s="115">
        <f>'Staging Table'!BS125*Rates_current!$F$78*100*12</f>
        <v>-1593621.6773999999</v>
      </c>
      <c r="Q123" s="116">
        <f>SUMPRODUCT('Staging Table'!BY125:CV125, LS_Demand_Rates_Restatement!$C$5:$Z$5)-IF(Init!$R$12="No",('Staging Table'!DU125*Rates_current!$I$46), 0)</f>
        <v>329526.73888846161</v>
      </c>
      <c r="R123" s="116">
        <f>SUMPRODUCT('Staging Table'!CW125:DH125, LS_Demand_Rates_Restatement!$C$11:$N$11)*1000</f>
        <v>1098043.7761110403</v>
      </c>
      <c r="S123" s="117">
        <f>'Staging Table'!ED125*IF(Init!$R$15="Yes",IF(Init!$R$6=2024,Rates_current!$C$89,Rates_current!$D$89),Rates_current!$I$45)</f>
        <v>0</v>
      </c>
      <c r="T123" s="117">
        <v>119</v>
      </c>
      <c r="U123" s="117">
        <f>IF('Staging Table'!D125=1, 'Staging Table'!BU125*-1*'Staging Table'!BS125/'Staging Table'!BR125,SUM(O123:T123)*'Staging Table'!BU125*-1)</f>
        <v>0</v>
      </c>
      <c r="V123" s="115">
        <f>'Staging Table'!BX125*Rates_current!$I$44*-1</f>
        <v>0</v>
      </c>
      <c r="W123" s="115">
        <f>IF('Staging Table'!C125=1,"", SUM(O123:V123))</f>
        <v>9783433.1153995004</v>
      </c>
      <c r="X123" s="115">
        <f>IF('Staging Table'!C125=1,"", (RT1SC!$C$4*'Staging Table'!BS125*'Staging Table'!$BS$2)+SUM('Staging Table'!BY125:CV125)-IF(Init!$R$12="No",'Staging Table'!DU125, 0))</f>
        <v>239261.87999999998</v>
      </c>
      <c r="Y123" s="69">
        <f>IF('Staging Table'!C125=1,"",IF(X123=0, 0, W123/X123))</f>
        <v>40.890062033281282</v>
      </c>
      <c r="Z123" s="64">
        <f ca="1">IF('Staging Table'!C125=1,"",(Y123/N123-1)+(RAND()/100000000000000))</f>
        <v>8.8584024110973505E-2</v>
      </c>
      <c r="AA123" s="45">
        <f t="shared" ca="1" si="6"/>
        <v>88</v>
      </c>
      <c r="AC123" s="264"/>
      <c r="AD123" s="119"/>
      <c r="AE123" s="119"/>
      <c r="AG123" s="119"/>
      <c r="AH123" s="119"/>
    </row>
    <row r="124" spans="2:34">
      <c r="B124" s="2">
        <v>10436</v>
      </c>
      <c r="C124" s="3" t="s">
        <v>128</v>
      </c>
      <c r="D124" s="115">
        <f>IF(Init!$R$9="Yes",'Staging Table'!F126,'Staging Table'!BS126)*Rates_previous!$E$76*100*12</f>
        <v>6906921.4555200003</v>
      </c>
      <c r="E124" s="115">
        <f>IF(Init!$R$9="Yes",'Staging Table'!F126,'Staging Table'!BS126)*Rates_previous!$E$77*100*12</f>
        <v>-1410109.9797599998</v>
      </c>
      <c r="F124" s="116">
        <f>IF(Init!$R$9="Yes",SUMPRODUCT('Staging Table'!L126:AI126,LS_Demand_Rates_Restatement!$C$4:$Z$4)-IF(Init!$R$12="No",('Staging Table'!BH126*Rates_previous!$H$34), 0),SUMPRODUCT('Staging Table'!BY126:CV126,LS_Demand_Rates_Restatement!$C$4:$Z$4)-IF(Init!$R$12="No", 'Staging Table'!DU126*Rates_previous!$H$34, 0))</f>
        <v>-15226.795443977695</v>
      </c>
      <c r="G124" s="116">
        <f>IF(Init!$R$9="Yes",SUMPRODUCT('Staging Table'!AJ126:AU126,LS_Demand_Rates_Restatement!$C$10:$N$10),SUMPRODUCT(LS_Demand_Rates_Restatement!$C$10:$N$10,'Staging Table'!CW126:DH126))*1000</f>
        <v>641836.49799404398</v>
      </c>
      <c r="H124" s="117">
        <f>IF(Init!$R$9="Yes",'Staging Table'!BQ126,'Staging Table'!ED126)*IF(Init!$R$3=2022,Rates_previous!$C$88,Rates_previous!$D$88)</f>
        <v>0</v>
      </c>
      <c r="I124" s="115">
        <v>120</v>
      </c>
      <c r="J124" s="117">
        <f>IF(Init!$R$9="Yes",IF('Staging Table'!D126=1,'Staging Table'!H126*-1*'Staging Table'!BS126/'Staging Table'!BR126,'Staging Table'!H126*SUM(D124:I124)*(-1)),IF('Staging Table'!D126=1,'Staging Table'!BU126*-1*'Staging Table'!BS126/'Staging Table'!BR126,'Staging Table'!BU126*SUM(D124:I124)*(-1)))</f>
        <v>-557251.19977179845</v>
      </c>
      <c r="K124" s="115">
        <f>IF(Init!$R$9="Yes",'Staging Table'!K126,'Staging Table'!BX126)*(-1)*Rates_previous!$H$32</f>
        <v>-449647.89505999995</v>
      </c>
      <c r="L124" s="115">
        <f>IF('Staging Table'!C126=1,"",SUM(D124:K124))</f>
        <v>5116642.0834782692</v>
      </c>
      <c r="M124" s="115">
        <f>IF('Staging Table'!C126=1,"",IF(Init!$R$9="Yes",(RT1SC!$C$3*'Staging Table'!F126*'Staging Table'!$F$2)+SUM('Staging Table'!L126:AI126)-IF(Init!$R$12="No",'Staging Table'!BH126, 0),X124))</f>
        <v>168231.16800000001</v>
      </c>
      <c r="N124" s="69">
        <f>IF('Staging Table'!C126=1,"",IF(M124=0, 0, L124/M124))</f>
        <v>30.414352728492435</v>
      </c>
      <c r="O124" s="115">
        <f>'Staging Table'!BS126*Rates_current!$F$77*100*12</f>
        <v>7017155.2229999993</v>
      </c>
      <c r="P124" s="115">
        <f>'Staging Table'!BS126*Rates_current!$F$78*100*12</f>
        <v>-1123960.2090000003</v>
      </c>
      <c r="Q124" s="116">
        <f>SUMPRODUCT('Staging Table'!BY126:CV126, LS_Demand_Rates_Restatement!$C$5:$Z$5)-IF(Init!$R$12="No",('Staging Table'!DU126*Rates_current!$I$46), 0)</f>
        <v>148827.22339439881</v>
      </c>
      <c r="R124" s="116">
        <f>SUMPRODUCT('Staging Table'!CW126:DH126, LS_Demand_Rates_Restatement!$C$11:$N$11)*1000</f>
        <v>727146.35562114499</v>
      </c>
      <c r="S124" s="117">
        <f>'Staging Table'!ED126*IF(Init!$R$15="Yes",IF(Init!$R$6=2024,Rates_current!$C$89,Rates_current!$D$89),Rates_current!$I$45)</f>
        <v>0</v>
      </c>
      <c r="T124" s="117">
        <v>120</v>
      </c>
      <c r="U124" s="117">
        <f>IF('Staging Table'!D126=1, 'Staging Table'!BU126*-1*'Staging Table'!BS126/'Staging Table'!BR126,SUM(O124:T124)*'Staging Table'!BU126*-1)</f>
        <v>-633620.5933926492</v>
      </c>
      <c r="V124" s="115">
        <f>'Staging Table'!BX126*Rates_current!$I$44*-1</f>
        <v>-464804.56567999994</v>
      </c>
      <c r="W124" s="115">
        <f>IF('Staging Table'!C126=1,"", SUM(O124:V124))</f>
        <v>5670863.4339428926</v>
      </c>
      <c r="X124" s="115">
        <f>IF('Staging Table'!C126=1,"", (RT1SC!$C$4*'Staging Table'!BS126*'Staging Table'!$BS$2)+SUM('Staging Table'!BY126:CV126)-IF(Init!$R$12="No",'Staging Table'!DU126, 0))</f>
        <v>168743.37696108388</v>
      </c>
      <c r="Y124" s="69">
        <f>IF('Staging Table'!C126=1,"",IF(X124=0, 0, W124/X124))</f>
        <v>33.606435618807872</v>
      </c>
      <c r="Z124" s="64">
        <f ca="1">IF('Staging Table'!C126=1,"",(Y124/N124-1)+(RAND()/100000000000000))</f>
        <v>0.10495317519366862</v>
      </c>
      <c r="AA124" s="45">
        <f t="shared" ca="1" si="6"/>
        <v>31</v>
      </c>
      <c r="AC124" s="264"/>
      <c r="AD124" s="119"/>
      <c r="AE124" s="119"/>
      <c r="AG124" s="119"/>
      <c r="AH124" s="119"/>
    </row>
    <row r="125" spans="2:34">
      <c r="B125" s="2">
        <v>10440</v>
      </c>
      <c r="C125" s="3" t="s">
        <v>129</v>
      </c>
      <c r="D125" s="115">
        <f>IF(Init!$R$9="Yes",'Staging Table'!F127,'Staging Table'!BS127)*Rates_previous!$E$76*100*12</f>
        <v>1805076.5659200002</v>
      </c>
      <c r="E125" s="115">
        <f>IF(Init!$R$9="Yes",'Staging Table'!F127,'Staging Table'!BS127)*Rates_previous!$E$77*100*12</f>
        <v>-368522.57496</v>
      </c>
      <c r="F125" s="116">
        <f>IF(Init!$R$9="Yes",SUMPRODUCT('Staging Table'!L127:AI127,LS_Demand_Rates_Restatement!$C$4:$Z$4)-IF(Init!$R$12="No",('Staging Table'!BH127*Rates_previous!$H$34), 0),SUMPRODUCT('Staging Table'!BY127:CV127,LS_Demand_Rates_Restatement!$C$4:$Z$4)-IF(Init!$R$12="No", 'Staging Table'!DU127*Rates_previous!$H$34, 0))</f>
        <v>15635.800093451777</v>
      </c>
      <c r="G125" s="116">
        <f>IF(Init!$R$9="Yes",SUMPRODUCT('Staging Table'!AJ127:AU127,LS_Demand_Rates_Restatement!$C$10:$N$10),SUMPRODUCT(LS_Demand_Rates_Restatement!$C$10:$N$10,'Staging Table'!CW127:DH127))*1000</f>
        <v>159682.27859326918</v>
      </c>
      <c r="H125" s="117">
        <f>IF(Init!$R$9="Yes",'Staging Table'!BQ127,'Staging Table'!ED127)*IF(Init!$R$3=2022,Rates_previous!$C$88,Rates_previous!$D$88)</f>
        <v>0</v>
      </c>
      <c r="I125" s="115">
        <v>121</v>
      </c>
      <c r="J125" s="117">
        <f>IF(Init!$R$9="Yes",IF('Staging Table'!D127=1,'Staging Table'!H127*-1*'Staging Table'!BS127/'Staging Table'!BR127,'Staging Table'!H127*SUM(D125:I125)*(-1)),IF('Staging Table'!D127=1,'Staging Table'!BU127*-1*'Staging Table'!BS127/'Staging Table'!BR127,'Staging Table'!BU127*SUM(D125:I125)*(-1)))</f>
        <v>-93035.028591039329</v>
      </c>
      <c r="K125" s="115">
        <f>IF(Init!$R$9="Yes",'Staging Table'!K127,'Staging Table'!BX127)*(-1)*Rates_previous!$H$32</f>
        <v>0</v>
      </c>
      <c r="L125" s="115">
        <f>IF('Staging Table'!C127=1,"",SUM(D125:K125))</f>
        <v>1518958.0410556816</v>
      </c>
      <c r="M125" s="115">
        <f>IF('Staging Table'!C127=1,"",IF(Init!$R$9="Yes",(RT1SC!$C$3*'Staging Table'!F127*'Staging Table'!$F$2)+SUM('Staging Table'!L127:AI127)-IF(Init!$R$12="No",'Staging Table'!BH127, 0),X125))</f>
        <v>43963.92</v>
      </c>
      <c r="N125" s="69">
        <f>IF('Staging Table'!C127=1,"",IF(M125=0, 0, L125/M125))</f>
        <v>34.550104746248323</v>
      </c>
      <c r="O125" s="115">
        <f>'Staging Table'!BS127*Rates_current!$F$77*100*12</f>
        <v>1833861.4553999999</v>
      </c>
      <c r="P125" s="115">
        <f>'Staging Table'!BS127*Rates_current!$F$78*100*12</f>
        <v>-293735.45819999999</v>
      </c>
      <c r="Q125" s="116">
        <f>SUMPRODUCT('Staging Table'!BY127:CV127, LS_Demand_Rates_Restatement!$C$5:$Z$5)-IF(Init!$R$12="No",('Staging Table'!DU127*Rates_current!$I$46), 0)</f>
        <v>50631.173990050971</v>
      </c>
      <c r="R125" s="116">
        <f>SUMPRODUCT('Staging Table'!CW127:DH127, LS_Demand_Rates_Restatement!$C$11:$N$11)*1000</f>
        <v>172767.07634686609</v>
      </c>
      <c r="S125" s="117">
        <f>'Staging Table'!ED127*IF(Init!$R$15="Yes",IF(Init!$R$6=2024,Rates_current!$C$89,Rates_current!$D$89),Rates_current!$I$45)</f>
        <v>0</v>
      </c>
      <c r="T125" s="117">
        <v>121</v>
      </c>
      <c r="U125" s="117">
        <f>IF('Staging Table'!D127=1, 'Staging Table'!BU127*-1*'Staging Table'!BS127/'Staging Table'!BR127,SUM(O125:T125)*'Staging Table'!BU127*-1)</f>
        <v>-105941.33619441565</v>
      </c>
      <c r="V125" s="115">
        <f>'Staging Table'!BX127*Rates_current!$I$44*-1</f>
        <v>0</v>
      </c>
      <c r="W125" s="115">
        <f>IF('Staging Table'!C127=1,"", SUM(O125:V125))</f>
        <v>1657703.9113425014</v>
      </c>
      <c r="X125" s="115">
        <f>IF('Staging Table'!C127=1,"", (RT1SC!$C$4*'Staging Table'!BS127*'Staging Table'!$BS$2)+SUM('Staging Table'!BY127:CV127)-IF(Init!$R$12="No",'Staging Table'!DU127, 0))</f>
        <v>44097.84</v>
      </c>
      <c r="Y125" s="69">
        <f>IF('Staging Table'!C127=1,"",IF(X125=0, 0, W125/X125))</f>
        <v>37.591499069852439</v>
      </c>
      <c r="Z125" s="64">
        <f ca="1">IF('Staging Table'!C127=1,"",(Y125/N125-1)+(RAND()/100000000000000))</f>
        <v>8.8028512386337937E-2</v>
      </c>
      <c r="AA125" s="45">
        <f t="shared" ca="1" si="6"/>
        <v>90</v>
      </c>
      <c r="AC125" s="264"/>
      <c r="AD125" s="119"/>
      <c r="AE125" s="119"/>
      <c r="AG125" s="119"/>
      <c r="AH125" s="119"/>
    </row>
    <row r="126" spans="2:34">
      <c r="B126" s="2">
        <v>10442</v>
      </c>
      <c r="C126" s="3" t="s">
        <v>130</v>
      </c>
      <c r="D126" s="115">
        <f>IF(Init!$R$9="Yes",'Staging Table'!F128,'Staging Table'!BS128)*Rates_previous!$E$76*100*12</f>
        <v>4538599.2208799999</v>
      </c>
      <c r="E126" s="115">
        <f>IF(Init!$R$9="Yes",'Staging Table'!F128,'Staging Table'!BS128)*Rates_previous!$E$77*100*12</f>
        <v>-926595.74844</v>
      </c>
      <c r="F126" s="116">
        <f>IF(Init!$R$9="Yes",SUMPRODUCT('Staging Table'!L128:AI128,LS_Demand_Rates_Restatement!$C$4:$Z$4)-IF(Init!$R$12="No",('Staging Table'!BH128*Rates_previous!$H$34), 0),SUMPRODUCT('Staging Table'!BY128:CV128,LS_Demand_Rates_Restatement!$C$4:$Z$4)-IF(Init!$R$12="No", 'Staging Table'!DU128*Rates_previous!$H$34, 0))</f>
        <v>210218.25919879106</v>
      </c>
      <c r="G126" s="116">
        <f>IF(Init!$R$9="Yes",SUMPRODUCT('Staging Table'!AJ128:AU128,LS_Demand_Rates_Restatement!$C$10:$N$10),SUMPRODUCT(LS_Demand_Rates_Restatement!$C$10:$N$10,'Staging Table'!CW128:DH128))*1000</f>
        <v>464537.92442401178</v>
      </c>
      <c r="H126" s="117">
        <f>IF(Init!$R$9="Yes",'Staging Table'!BQ128,'Staging Table'!ED128)*IF(Init!$R$3=2022,Rates_previous!$C$88,Rates_previous!$D$88)</f>
        <v>0</v>
      </c>
      <c r="I126" s="115">
        <v>122</v>
      </c>
      <c r="J126" s="117">
        <f>IF(Init!$R$9="Yes",IF('Staging Table'!D128=1,'Staging Table'!H128*-1*'Staging Table'!BS128/'Staging Table'!BR128,'Staging Table'!H128*SUM(D126:I126)*(-1)),IF('Staging Table'!D128=1,'Staging Table'!BU128*-1*'Staging Table'!BS128/'Staging Table'!BR128,'Staging Table'!BU128*SUM(D126:I126)*(-1)))</f>
        <v>-300081.71592439618</v>
      </c>
      <c r="K126" s="115">
        <f>IF(Init!$R$9="Yes",'Staging Table'!K128,'Staging Table'!BX128)*(-1)*Rates_previous!$H$32</f>
        <v>-112614.6281</v>
      </c>
      <c r="L126" s="115">
        <f>IF('Staging Table'!C128=1,"",SUM(D126:K126))</f>
        <v>3874185.3120384063</v>
      </c>
      <c r="M126" s="115">
        <f>IF('Staging Table'!C128=1,"",IF(Init!$R$9="Yes",(RT1SC!$C$3*'Staging Table'!F128*'Staging Table'!$F$2)+SUM('Staging Table'!L128:AI128)-IF(Init!$R$12="No",'Staging Table'!BH128, 0),X126))</f>
        <v>114917.86851814836</v>
      </c>
      <c r="N126" s="69">
        <f>IF('Staging Table'!C128=1,"",IF(M126=0, 0, L126/M126))</f>
        <v>33.712645056817919</v>
      </c>
      <c r="O126" s="115">
        <f>'Staging Table'!BS128*Rates_current!$F$77*100*12</f>
        <v>4778502.7133999998</v>
      </c>
      <c r="P126" s="115">
        <f>'Staging Table'!BS128*Rates_current!$F$78*100*12</f>
        <v>-765388.07219999994</v>
      </c>
      <c r="Q126" s="116">
        <f>SUMPRODUCT('Staging Table'!BY128:CV128, LS_Demand_Rates_Restatement!$C$5:$Z$5)-IF(Init!$R$12="No",('Staging Table'!DU128*Rates_current!$I$46), 0)</f>
        <v>144940.95103871124</v>
      </c>
      <c r="R126" s="116">
        <f>SUMPRODUCT('Staging Table'!CW128:DH128, LS_Demand_Rates_Restatement!$C$11:$N$11)*1000</f>
        <v>534076.36863847054</v>
      </c>
      <c r="S126" s="117">
        <f>'Staging Table'!ED128*IF(Init!$R$15="Yes",IF(Init!$R$6=2024,Rates_current!$C$89,Rates_current!$D$89),Rates_current!$I$45)</f>
        <v>-16.275758981434045</v>
      </c>
      <c r="T126" s="117">
        <v>122</v>
      </c>
      <c r="U126" s="117">
        <f>IF('Staging Table'!D128=1, 'Staging Table'!BU128*-1*'Staging Table'!BS128/'Staging Table'!BR128,SUM(O126:T126)*'Staging Table'!BU128*-1)</f>
        <v>-328456.63795827405</v>
      </c>
      <c r="V126" s="115">
        <f>'Staging Table'!BX128*Rates_current!$I$44*-1</f>
        <v>-116410.62680000001</v>
      </c>
      <c r="W126" s="115">
        <f>IF('Staging Table'!C128=1,"", SUM(O126:V126))</f>
        <v>4247370.4203599263</v>
      </c>
      <c r="X126" s="115">
        <f>IF('Staging Table'!C128=1,"", (RT1SC!$C$4*'Staging Table'!BS128*'Staging Table'!$BS$2)+SUM('Staging Table'!BY128:CV128)-IF(Init!$R$12="No",'Staging Table'!DU128, 0))</f>
        <v>114917.87478324265</v>
      </c>
      <c r="Y126" s="69">
        <f>IF('Staging Table'!C128=1,"",IF(X126=0, 0, W126/X126))</f>
        <v>36.960050195596544</v>
      </c>
      <c r="Z126" s="64">
        <f ca="1">IF('Staging Table'!C128=1,"",(Y126/N126-1)+(RAND()/100000000000000))</f>
        <v>9.6326026430316944E-2</v>
      </c>
      <c r="AA126" s="45">
        <f t="shared" ca="1" si="6"/>
        <v>61</v>
      </c>
      <c r="AC126" s="264"/>
      <c r="AD126" s="119"/>
      <c r="AE126" s="119"/>
      <c r="AG126" s="119"/>
      <c r="AH126" s="119"/>
    </row>
    <row r="127" spans="2:34">
      <c r="B127" s="2">
        <v>10446</v>
      </c>
      <c r="C127" s="3" t="s">
        <v>131</v>
      </c>
      <c r="D127" s="115">
        <f>IF(Init!$R$9="Yes",'Staging Table'!F129,'Staging Table'!BS129)*Rates_previous!$E$76*100*12</f>
        <v>34539091.32096</v>
      </c>
      <c r="E127" s="115">
        <f>IF(Init!$R$9="Yes",'Staging Table'!F129,'Staging Table'!BS129)*Rates_previous!$E$77*100*12</f>
        <v>-7051465.3564799996</v>
      </c>
      <c r="F127" s="116">
        <f>IF(Init!$R$9="Yes",SUMPRODUCT('Staging Table'!L129:AI129,LS_Demand_Rates_Restatement!$C$4:$Z$4)-IF(Init!$R$12="No",('Staging Table'!BH129*Rates_previous!$H$34), 0),SUMPRODUCT('Staging Table'!BY129:CV129,LS_Demand_Rates_Restatement!$C$4:$Z$4)-IF(Init!$R$12="No", 'Staging Table'!DU129*Rates_previous!$H$34, 0))</f>
        <v>-4711758.4332912285</v>
      </c>
      <c r="G127" s="116">
        <f>IF(Init!$R$9="Yes",SUMPRODUCT('Staging Table'!AJ129:AU129,LS_Demand_Rates_Restatement!$C$10:$N$10),SUMPRODUCT(LS_Demand_Rates_Restatement!$C$10:$N$10,'Staging Table'!CW129:DH129))*1000</f>
        <v>1414378.4012183761</v>
      </c>
      <c r="H127" s="117">
        <f>IF(Init!$R$9="Yes",'Staging Table'!BQ129,'Staging Table'!ED129)*IF(Init!$R$3=2022,Rates_previous!$C$88,Rates_previous!$D$88)</f>
        <v>0</v>
      </c>
      <c r="I127" s="115">
        <v>123</v>
      </c>
      <c r="J127" s="117">
        <f>IF(Init!$R$9="Yes",IF('Staging Table'!D129=1,'Staging Table'!H129*-1*'Staging Table'!BS129/'Staging Table'!BR129,'Staging Table'!H129*SUM(D127:I127)*(-1)),IF('Staging Table'!D129=1,'Staging Table'!BU129*-1*'Staging Table'!BS129/'Staging Table'!BR129,'Staging Table'!BU129*SUM(D127:I127)*(-1)))</f>
        <v>-1592699.5383221698</v>
      </c>
      <c r="K127" s="115">
        <f>IF(Init!$R$9="Yes",'Staging Table'!K129,'Staging Table'!BX129)*(-1)*Rates_previous!$H$32</f>
        <v>-82972.4038</v>
      </c>
      <c r="L127" s="115">
        <f>IF('Staging Table'!C129=1,"",SUM(D127:K127))</f>
        <v>22514696.990284979</v>
      </c>
      <c r="M127" s="115">
        <f>IF('Staging Table'!C129=1,"",IF(Init!$R$9="Yes",(RT1SC!$C$3*'Staging Table'!F129*'Staging Table'!$F$2)+SUM('Staging Table'!L129:AI129)-IF(Init!$R$12="No",'Staging Table'!BH129, 0),X127))</f>
        <v>742705.23294314917</v>
      </c>
      <c r="N127" s="69">
        <f>IF('Staging Table'!C129=1,"",IF(M127=0, 0, L127/M127))</f>
        <v>30.31444507407743</v>
      </c>
      <c r="O127" s="115">
        <f>'Staging Table'!BS129*Rates_current!$F$77*100*12</f>
        <v>31336732.416600004</v>
      </c>
      <c r="P127" s="115">
        <f>'Staging Table'!BS129*Rates_current!$F$78*100*12</f>
        <v>-5019304.7178000007</v>
      </c>
      <c r="Q127" s="116">
        <f>SUMPRODUCT('Staging Table'!BY129:CV129, LS_Demand_Rates_Restatement!$C$5:$Z$5)-IF(Init!$R$12="No",('Staging Table'!DU129*Rates_current!$I$46), 0)</f>
        <v>565135.57210921228</v>
      </c>
      <c r="R127" s="116">
        <f>SUMPRODUCT('Staging Table'!CW129:DH129, LS_Demand_Rates_Restatement!$C$11:$N$11)*1000</f>
        <v>1602557.7394512468</v>
      </c>
      <c r="S127" s="117">
        <f>'Staging Table'!ED129*IF(Init!$R$15="Yes",IF(Init!$R$6=2024,Rates_current!$C$89,Rates_current!$D$89),Rates_current!$I$45)</f>
        <v>-3.3580760882003231</v>
      </c>
      <c r="T127" s="117">
        <v>123</v>
      </c>
      <c r="U127" s="117">
        <f>IF('Staging Table'!D129=1, 'Staging Table'!BU129*-1*'Staging Table'!BS129/'Staging Table'!BR129,SUM(O127:T127)*'Staging Table'!BU129*-1)</f>
        <v>-1851540.6423984845</v>
      </c>
      <c r="V127" s="115">
        <f>'Staging Table'!BX129*Rates_current!$I$44*-1</f>
        <v>-85769.226400000014</v>
      </c>
      <c r="W127" s="115">
        <f>IF('Staging Table'!C129=1,"", SUM(O127:V127))</f>
        <v>26547930.783485893</v>
      </c>
      <c r="X127" s="115">
        <f>IF('Staging Table'!C129=1,"", (RT1SC!$C$4*'Staging Table'!BS129*'Staging Table'!$BS$2)+SUM('Staging Table'!BY129:CV129)-IF(Init!$R$12="No",'Staging Table'!DU129, 0))</f>
        <v>753579.86548352789</v>
      </c>
      <c r="Y127" s="69">
        <f>IF('Staging Table'!C129=1,"",IF(X127=0, 0, W127/X127))</f>
        <v>35.229087186998619</v>
      </c>
      <c r="Z127" s="64">
        <f ca="1">IF('Staging Table'!C129=1,"",(Y127/N127-1)+(RAND()/100000000000000))</f>
        <v>0.16212212035917969</v>
      </c>
      <c r="AA127" s="45">
        <f t="shared" ca="1" si="6"/>
        <v>4</v>
      </c>
      <c r="AC127" s="264"/>
      <c r="AD127" s="119"/>
      <c r="AE127" s="119"/>
      <c r="AG127" s="119"/>
      <c r="AH127" s="119"/>
    </row>
    <row r="128" spans="2:34">
      <c r="B128" s="2">
        <v>10448</v>
      </c>
      <c r="C128" s="3" t="s">
        <v>132</v>
      </c>
      <c r="D128" s="115">
        <f>IF(Init!$R$9="Yes",'Staging Table'!F130,'Staging Table'!BS130)*Rates_previous!$E$76*100*12</f>
        <v>2972173.4071200006</v>
      </c>
      <c r="E128" s="115">
        <f>IF(Init!$R$9="Yes",'Staging Table'!F130,'Staging Table'!BS130)*Rates_previous!$E$77*100*12</f>
        <v>-606795.86556000006</v>
      </c>
      <c r="F128" s="116">
        <f>IF(Init!$R$9="Yes",SUMPRODUCT('Staging Table'!L130:AI130,LS_Demand_Rates_Restatement!$C$4:$Z$4)-IF(Init!$R$12="No",('Staging Table'!BH130*Rates_previous!$H$34), 0),SUMPRODUCT('Staging Table'!BY130:CV130,LS_Demand_Rates_Restatement!$C$4:$Z$4)-IF(Init!$R$12="No", 'Staging Table'!DU130*Rates_previous!$H$34, 0))</f>
        <v>0</v>
      </c>
      <c r="G128" s="116">
        <f>IF(Init!$R$9="Yes",SUMPRODUCT('Staging Table'!AJ130:AU130,LS_Demand_Rates_Restatement!$C$10:$N$10),SUMPRODUCT(LS_Demand_Rates_Restatement!$C$10:$N$10,'Staging Table'!CW130:DH130))*1000</f>
        <v>0</v>
      </c>
      <c r="H128" s="117">
        <f>IF(Init!$R$9="Yes",'Staging Table'!BQ130,'Staging Table'!ED130)*IF(Init!$R$3=2022,Rates_previous!$C$88,Rates_previous!$D$88)</f>
        <v>0</v>
      </c>
      <c r="I128" s="115">
        <v>124</v>
      </c>
      <c r="J128" s="117">
        <f>IF(Init!$R$9="Yes",IF('Staging Table'!D130=1,'Staging Table'!H130*-1*'Staging Table'!BS130/'Staging Table'!BR130,'Staging Table'!H130*SUM(D128:I128)*(-1)),IF('Staging Table'!D130=1,'Staging Table'!BU130*-1*'Staging Table'!BS130/'Staging Table'!BR130,'Staging Table'!BU130*SUM(D128:I128)*(-1)))</f>
        <v>-165585.10790920007</v>
      </c>
      <c r="K128" s="115">
        <f>IF(Init!$R$9="Yes",'Staging Table'!K130,'Staging Table'!BX130)*(-1)*Rates_previous!$H$32</f>
        <v>0</v>
      </c>
      <c r="L128" s="115" t="str">
        <f>IF('Staging Table'!C130=1,"",SUM(D128:K128))</f>
        <v/>
      </c>
      <c r="M128" s="115" t="str">
        <f>IF('Staging Table'!C130=1,"",IF(Init!$R$9="Yes",(RT1SC!$C$3*'Staging Table'!F130*'Staging Table'!$F$2)+SUM('Staging Table'!L130:AI130)-IF(Init!$R$12="No",'Staging Table'!BH130, 0),X128))</f>
        <v/>
      </c>
      <c r="N128" s="69" t="str">
        <f>IF('Staging Table'!C130=1,"",IF(M128=0, 0, L128/M128))</f>
        <v/>
      </c>
      <c r="O128" s="115">
        <f>'Staging Table'!BS130*Rates_current!$F$77*100*12</f>
        <v>3107282.8331999998</v>
      </c>
      <c r="P128" s="115">
        <f>'Staging Table'!BS130*Rates_current!$F$78*100*12</f>
        <v>-497703.43559999997</v>
      </c>
      <c r="Q128" s="116">
        <f>SUMPRODUCT('Staging Table'!BY130:CV130, LS_Demand_Rates_Restatement!$C$5:$Z$5)-IF(Init!$R$12="No",('Staging Table'!DU130*Rates_current!$I$46), 0)</f>
        <v>0</v>
      </c>
      <c r="R128" s="116">
        <f>SUMPRODUCT('Staging Table'!CW130:DH130, LS_Demand_Rates_Restatement!$C$11:$N$11)*1000</f>
        <v>0</v>
      </c>
      <c r="S128" s="117">
        <f>'Staging Table'!ED130*IF(Init!$R$15="Yes",IF(Init!$R$6=2024,Rates_current!$C$89,Rates_current!$D$89),Rates_current!$I$45)</f>
        <v>0</v>
      </c>
      <c r="T128" s="117">
        <v>124</v>
      </c>
      <c r="U128" s="117">
        <f>IF('Staging Table'!D130=1, 'Staging Table'!BU130*-1*'Staging Table'!BS130/'Staging Table'!BR130,SUM(O128:T128)*'Staging Table'!BU130*-1)</f>
        <v>-194886.40847259088</v>
      </c>
      <c r="V128" s="115">
        <f>'Staging Table'!BX130*Rates_current!$I$44*-1</f>
        <v>0</v>
      </c>
      <c r="W128" s="115" t="str">
        <f>IF('Staging Table'!C130=1,"", SUM(O128:V128))</f>
        <v/>
      </c>
      <c r="X128" s="115" t="str">
        <f>IF('Staging Table'!C130=1,"", (RT1SC!$C$4*'Staging Table'!BS130*'Staging Table'!$BS$2)+SUM('Staging Table'!BY130:CV130)-IF(Init!$R$12="No",'Staging Table'!DU130, 0))</f>
        <v/>
      </c>
      <c r="Y128" s="69" t="str">
        <f>IF('Staging Table'!C130=1,"",IF(X128=0, 0, W128/X128))</f>
        <v/>
      </c>
      <c r="Z128" s="64" t="str">
        <f ca="1">IF('Staging Table'!C130=1,"",(Y128/N128-1)+(RAND()/100000000000000))</f>
        <v/>
      </c>
      <c r="AA128" s="45" t="str">
        <f t="shared" ca="1" si="6"/>
        <v/>
      </c>
      <c r="AC128" s="264"/>
      <c r="AD128" s="119"/>
      <c r="AE128" s="119"/>
      <c r="AG128" s="119"/>
      <c r="AH128" s="119"/>
    </row>
    <row r="129" spans="1:34">
      <c r="B129" s="2">
        <v>10451</v>
      </c>
      <c r="C129" s="3" t="s">
        <v>133</v>
      </c>
      <c r="D129" s="115">
        <f>IF(Init!$R$9="Yes",'Staging Table'!F131,'Staging Table'!BS131)*Rates_previous!$E$76*100*12</f>
        <v>9464071.7383200005</v>
      </c>
      <c r="E129" s="115">
        <f>IF(Init!$R$9="Yes",'Staging Table'!F131,'Staging Table'!BS131)*Rates_previous!$E$77*100*12</f>
        <v>-1932175.1511600001</v>
      </c>
      <c r="F129" s="116">
        <f>IF(Init!$R$9="Yes",SUMPRODUCT('Staging Table'!L131:AI131,LS_Demand_Rates_Restatement!$C$4:$Z$4)-IF(Init!$R$12="No",('Staging Table'!BH131*Rates_previous!$H$34), 0),SUMPRODUCT('Staging Table'!BY131:CV131,LS_Demand_Rates_Restatement!$C$4:$Z$4)-IF(Init!$R$12="No", 'Staging Table'!DU131*Rates_previous!$H$34, 0))</f>
        <v>-42118.300746413646</v>
      </c>
      <c r="G129" s="116">
        <f>IF(Init!$R$9="Yes",SUMPRODUCT('Staging Table'!AJ131:AU131,LS_Demand_Rates_Restatement!$C$10:$N$10),SUMPRODUCT(LS_Demand_Rates_Restatement!$C$10:$N$10,'Staging Table'!CW131:DH131))*1000</f>
        <v>203295.44575018695</v>
      </c>
      <c r="H129" s="117">
        <f>IF(Init!$R$9="Yes",'Staging Table'!BQ131,'Staging Table'!ED131)*IF(Init!$R$3=2022,Rates_previous!$C$88,Rates_previous!$D$88)</f>
        <v>0</v>
      </c>
      <c r="I129" s="115">
        <v>125</v>
      </c>
      <c r="J129" s="117">
        <f>IF(Init!$R$9="Yes",IF('Staging Table'!D131=1,'Staging Table'!H131*-1*'Staging Table'!BS131/'Staging Table'!BR131,'Staging Table'!H131*SUM(D129:I129)*(-1)),IF('Staging Table'!D131=1,'Staging Table'!BU131*-1*'Staging Table'!BS131/'Staging Table'!BR131,'Staging Table'!BU131*SUM(D129:I129)*(-1)))</f>
        <v>0</v>
      </c>
      <c r="K129" s="115">
        <f>IF(Init!$R$9="Yes",'Staging Table'!K131,'Staging Table'!BX131)*(-1)*Rates_previous!$H$32</f>
        <v>0</v>
      </c>
      <c r="L129" s="115">
        <f>IF('Staging Table'!C131=1,"",SUM(D129:K129))</f>
        <v>7693198.7321637738</v>
      </c>
      <c r="M129" s="115">
        <f>IF('Staging Table'!C131=1,"",IF(Init!$R$9="Yes",(RT1SC!$C$3*'Staging Table'!F131*'Staging Table'!$F$2)+SUM('Staging Table'!L131:AI131)-IF(Init!$R$12="No",'Staging Table'!BH131, 0),X129))</f>
        <v>235701.07199999999</v>
      </c>
      <c r="N129" s="69">
        <f>IF('Staging Table'!C131=1,"",IF(M129=0, 0, L129/M129))</f>
        <v>32.639642522134032</v>
      </c>
      <c r="O129" s="115">
        <f>'Staging Table'!BS131*Rates_current!$F$77*100*12</f>
        <v>9830750.8805999998</v>
      </c>
      <c r="P129" s="115">
        <f>'Staging Table'!BS131*Rates_current!$F$78*100*12</f>
        <v>-1574622.8297999999</v>
      </c>
      <c r="Q129" s="116">
        <f>SUMPRODUCT('Staging Table'!BY131:CV131, LS_Demand_Rates_Restatement!$C$5:$Z$5)-IF(Init!$R$12="No",('Staging Table'!DU131*Rates_current!$I$46), 0)</f>
        <v>150273.91389367764</v>
      </c>
      <c r="R129" s="116">
        <f>SUMPRODUCT('Staging Table'!CW131:DH131, LS_Demand_Rates_Restatement!$C$11:$N$11)*1000</f>
        <v>249892.77985389944</v>
      </c>
      <c r="S129" s="117">
        <f>'Staging Table'!ED131*IF(Init!$R$15="Yes",IF(Init!$R$6=2024,Rates_current!$C$89,Rates_current!$D$89),Rates_current!$I$45)</f>
        <v>0</v>
      </c>
      <c r="T129" s="117">
        <v>125</v>
      </c>
      <c r="U129" s="117">
        <f>IF('Staging Table'!D131=1, 'Staging Table'!BU131*-1*'Staging Table'!BS131/'Staging Table'!BR131,SUM(O129:T129)*'Staging Table'!BU131*-1)</f>
        <v>0</v>
      </c>
      <c r="V129" s="115">
        <f>'Staging Table'!BX131*Rates_current!$I$44*-1</f>
        <v>0</v>
      </c>
      <c r="W129" s="115">
        <f>IF('Staging Table'!C131=1,"", SUM(O129:V129))</f>
        <v>8656419.7445475757</v>
      </c>
      <c r="X129" s="115">
        <f>IF('Staging Table'!C131=1,"", (RT1SC!$C$4*'Staging Table'!BS131*'Staging Table'!$BS$2)+SUM('Staging Table'!BY131:CV131)-IF(Init!$R$12="No",'Staging Table'!DU131, 0))</f>
        <v>236406.12</v>
      </c>
      <c r="Y129" s="69">
        <f>IF('Staging Table'!C131=1,"",IF(X129=0, 0, W129/X129))</f>
        <v>36.616732868622755</v>
      </c>
      <c r="Z129" s="64">
        <f ca="1">IF('Staging Table'!C131=1,"",(Y129/N129-1)+(RAND()/100000000000000))</f>
        <v>0.12184846521501415</v>
      </c>
      <c r="AA129" s="45">
        <f t="shared" ca="1" si="6"/>
        <v>18</v>
      </c>
      <c r="AC129" s="264"/>
      <c r="AD129" s="119"/>
      <c r="AE129" s="119"/>
      <c r="AG129" s="119"/>
      <c r="AH129" s="119"/>
    </row>
    <row r="130" spans="1:34">
      <c r="B130" s="2">
        <v>10482</v>
      </c>
      <c r="C130" s="3" t="s">
        <v>134</v>
      </c>
      <c r="D130" s="115">
        <f>IF(Init!$R$9="Yes",'Staging Table'!F132,'Staging Table'!BS132)*Rates_previous!$E$76*100*12</f>
        <v>1000689.00984</v>
      </c>
      <c r="E130" s="115">
        <f>IF(Init!$R$9="Yes",'Staging Table'!F132,'Staging Table'!BS132)*Rates_previous!$E$77*100*12</f>
        <v>-204299.63892</v>
      </c>
      <c r="F130" s="116">
        <f>IF(Init!$R$9="Yes",SUMPRODUCT('Staging Table'!L132:AI132,LS_Demand_Rates_Restatement!$C$4:$Z$4)-IF(Init!$R$12="No",('Staging Table'!BH132*Rates_previous!$H$34), 0),SUMPRODUCT('Staging Table'!BY132:CV132,LS_Demand_Rates_Restatement!$C$4:$Z$4)-IF(Init!$R$12="No", 'Staging Table'!DU132*Rates_previous!$H$34, 0))</f>
        <v>-52829.058670403239</v>
      </c>
      <c r="G130" s="116">
        <f>IF(Init!$R$9="Yes",SUMPRODUCT('Staging Table'!AJ132:AU132,LS_Demand_Rates_Restatement!$C$10:$N$10),SUMPRODUCT(LS_Demand_Rates_Restatement!$C$10:$N$10,'Staging Table'!CW132:DH132))*1000</f>
        <v>43527.581694017084</v>
      </c>
      <c r="H130" s="117">
        <f>IF(Init!$R$9="Yes",'Staging Table'!BQ132,'Staging Table'!ED132)*IF(Init!$R$3=2022,Rates_previous!$C$88,Rates_previous!$D$88)</f>
        <v>0</v>
      </c>
      <c r="I130" s="115">
        <v>126</v>
      </c>
      <c r="J130" s="117">
        <f>IF(Init!$R$9="Yes",IF('Staging Table'!D132=1,'Staging Table'!H132*-1*'Staging Table'!BS132/'Staging Table'!BR132,'Staging Table'!H132*SUM(D130:I130)*(-1)),IF('Staging Table'!D132=1,'Staging Table'!BU132*-1*'Staging Table'!BS132/'Staging Table'!BR132,'Staging Table'!BU132*SUM(D130:I130)*(-1)))</f>
        <v>0</v>
      </c>
      <c r="K130" s="115">
        <f>IF(Init!$R$9="Yes",'Staging Table'!K132,'Staging Table'!BX132)*(-1)*Rates_previous!$H$32</f>
        <v>0</v>
      </c>
      <c r="L130" s="115">
        <f>IF('Staging Table'!C132=1,"",SUM(D130:K130))</f>
        <v>787213.89394361374</v>
      </c>
      <c r="M130" s="115">
        <f>IF('Staging Table'!C132=1,"",IF(Init!$R$9="Yes",(RT1SC!$C$3*'Staging Table'!F132*'Staging Table'!$F$2)+SUM('Staging Table'!L132:AI132)-IF(Init!$R$12="No",'Staging Table'!BH132, 0),X130))</f>
        <v>23558.505114243479</v>
      </c>
      <c r="N130" s="69">
        <f>IF('Staging Table'!C132=1,"",IF(M130=0, 0, L130/M130))</f>
        <v>33.415273597630097</v>
      </c>
      <c r="O130" s="115">
        <f>'Staging Table'!BS132*Rates_current!$F$77*100*12</f>
        <v>979475.21879999992</v>
      </c>
      <c r="P130" s="115">
        <f>'Staging Table'!BS132*Rates_current!$F$78*100*12</f>
        <v>-156885.68040000001</v>
      </c>
      <c r="Q130" s="116">
        <f>SUMPRODUCT('Staging Table'!BY132:CV132, LS_Demand_Rates_Restatement!$C$5:$Z$5)-IF(Init!$R$12="No",('Staging Table'!DU132*Rates_current!$I$46), 0)</f>
        <v>16591.090024039146</v>
      </c>
      <c r="R130" s="116">
        <f>SUMPRODUCT('Staging Table'!CW132:DH132, LS_Demand_Rates_Restatement!$C$11:$N$11)*1000</f>
        <v>48001.281265420235</v>
      </c>
      <c r="S130" s="117">
        <f>'Staging Table'!ED132*IF(Init!$R$15="Yes",IF(Init!$R$6=2024,Rates_current!$C$89,Rates_current!$D$89),Rates_current!$I$45)</f>
        <v>-11.121594742170418</v>
      </c>
      <c r="T130" s="117">
        <v>126</v>
      </c>
      <c r="U130" s="117">
        <f>IF('Staging Table'!D132=1, 'Staging Table'!BU132*-1*'Staging Table'!BS132/'Staging Table'!BR132,SUM(O130:T130)*'Staging Table'!BU132*-1)</f>
        <v>0</v>
      </c>
      <c r="V130" s="115">
        <f>'Staging Table'!BX132*Rates_current!$I$44*-1</f>
        <v>0</v>
      </c>
      <c r="W130" s="115">
        <f>IF('Staging Table'!C132=1,"", SUM(O130:V130))</f>
        <v>887296.78809471719</v>
      </c>
      <c r="X130" s="115">
        <f>IF('Staging Table'!C132=1,"", (RT1SC!$C$4*'Staging Table'!BS132*'Staging Table'!$BS$2)+SUM('Staging Table'!BY132:CV132)-IF(Init!$R$12="No",'Staging Table'!DU132, 0))</f>
        <v>23558.506390397466</v>
      </c>
      <c r="Y130" s="69">
        <f>IF('Staging Table'!C132=1,"",IF(X130=0, 0, W130/X130))</f>
        <v>37.663541711472106</v>
      </c>
      <c r="Z130" s="64">
        <f ca="1">IF('Staging Table'!C132=1,"",(Y130/N130-1)+(RAND()/100000000000000))</f>
        <v>0.12713551787716953</v>
      </c>
      <c r="AA130" s="45">
        <f t="shared" ca="1" si="6"/>
        <v>11</v>
      </c>
      <c r="AC130" s="264"/>
      <c r="AD130" s="119"/>
      <c r="AE130" s="119"/>
      <c r="AG130" s="119"/>
      <c r="AH130" s="119"/>
    </row>
    <row r="131" spans="1:34">
      <c r="B131" s="2">
        <v>10502</v>
      </c>
      <c r="C131" s="3" t="s">
        <v>135</v>
      </c>
      <c r="D131" s="115">
        <f>IF(Init!$R$9="Yes",'Staging Table'!F133,'Staging Table'!BS133)*Rates_previous!$E$76*100*12</f>
        <v>6713360.2504800009</v>
      </c>
      <c r="E131" s="115">
        <f>IF(Init!$R$9="Yes",'Staging Table'!F133,'Staging Table'!BS133)*Rates_previous!$E$77*100*12</f>
        <v>-1370592.72324</v>
      </c>
      <c r="F131" s="116">
        <f>IF(Init!$R$9="Yes",SUMPRODUCT('Staging Table'!L133:AI133,LS_Demand_Rates_Restatement!$C$4:$Z$4)-IF(Init!$R$12="No",('Staging Table'!BH133*Rates_previous!$H$34), 0),SUMPRODUCT('Staging Table'!BY133:CV133,LS_Demand_Rates_Restatement!$C$4:$Z$4)-IF(Init!$R$12="No", 'Staging Table'!DU133*Rates_previous!$H$34, 0))</f>
        <v>39925.319294849425</v>
      </c>
      <c r="G131" s="116">
        <f>IF(Init!$R$9="Yes",SUMPRODUCT('Staging Table'!AJ133:AU133,LS_Demand_Rates_Restatement!$C$10:$N$10),SUMPRODUCT(LS_Demand_Rates_Restatement!$C$10:$N$10,'Staging Table'!CW133:DH133))*1000</f>
        <v>275358.67006501078</v>
      </c>
      <c r="H131" s="117">
        <f>IF(Init!$R$9="Yes",'Staging Table'!BQ133,'Staging Table'!ED133)*IF(Init!$R$3=2022,Rates_previous!$C$88,Rates_previous!$D$88)</f>
        <v>0</v>
      </c>
      <c r="I131" s="115">
        <v>127</v>
      </c>
      <c r="J131" s="117">
        <f>IF(Init!$R$9="Yes",IF('Staging Table'!D133=1,'Staging Table'!H133*-1*'Staging Table'!BS133/'Staging Table'!BR133,'Staging Table'!H133*SUM(D131:I131)*(-1)),IF('Staging Table'!D133=1,'Staging Table'!BU133*-1*'Staging Table'!BS133/'Staging Table'!BR133,'Staging Table'!BU133*SUM(D131:I131)*(-1)))</f>
        <v>-396072.49616199033</v>
      </c>
      <c r="K131" s="115">
        <f>IF(Init!$R$9="Yes",'Staging Table'!K133,'Staging Table'!BX133)*(-1)*Rates_previous!$H$32</f>
        <v>-83184.794289999991</v>
      </c>
      <c r="L131" s="115">
        <f>IF('Staging Table'!C133=1,"",SUM(D131:K131))</f>
        <v>5178921.2261478705</v>
      </c>
      <c r="M131" s="115">
        <f>IF('Staging Table'!C133=1,"",IF(Init!$R$9="Yes",(RT1SC!$C$3*'Staging Table'!F133*'Staging Table'!$F$2)+SUM('Staging Table'!L133:AI133)-IF(Init!$R$12="No",'Staging Table'!BH133, 0),X131))</f>
        <v>164322.288</v>
      </c>
      <c r="N131" s="69">
        <f>IF('Staging Table'!C133=1,"",IF(M131=0, 0, L131/M131))</f>
        <v>31.516851969270721</v>
      </c>
      <c r="O131" s="115">
        <f>'Staging Table'!BS133*Rates_current!$F$77*100*12</f>
        <v>6852441.7806000011</v>
      </c>
      <c r="P131" s="115">
        <f>'Staging Table'!BS133*Rates_current!$F$78*100*12</f>
        <v>-1097577.5298000001</v>
      </c>
      <c r="Q131" s="116">
        <f>SUMPRODUCT('Staging Table'!BY133:CV133, LS_Demand_Rates_Restatement!$C$5:$Z$5)-IF(Init!$R$12="No",('Staging Table'!DU133*Rates_current!$I$46), 0)</f>
        <v>164530.22822025101</v>
      </c>
      <c r="R131" s="116">
        <f>SUMPRODUCT('Staging Table'!CW133:DH133, LS_Demand_Rates_Restatement!$C$11:$N$11)*1000</f>
        <v>331365.20200453175</v>
      </c>
      <c r="S131" s="117">
        <f>'Staging Table'!ED133*IF(Init!$R$15="Yes",IF(Init!$R$6=2024,Rates_current!$C$89,Rates_current!$D$89),Rates_current!$I$45)</f>
        <v>-8.996661798798014</v>
      </c>
      <c r="T131" s="117">
        <v>127</v>
      </c>
      <c r="U131" s="117">
        <f>IF('Staging Table'!D133=1, 'Staging Table'!BU133*-1*'Staging Table'!BS133/'Staging Table'!BR133,SUM(O131:T131)*'Staging Table'!BU133*-1)</f>
        <v>-437561.43790540897</v>
      </c>
      <c r="V131" s="115">
        <f>'Staging Table'!BX133*Rates_current!$I$44*-1</f>
        <v>-85988.776119999995</v>
      </c>
      <c r="W131" s="115">
        <f>IF('Staging Table'!C133=1,"", SUM(O131:V131))</f>
        <v>5727327.4703375753</v>
      </c>
      <c r="X131" s="115">
        <f>IF('Staging Table'!C133=1,"", (RT1SC!$C$4*'Staging Table'!BS133*'Staging Table'!$BS$2)+SUM('Staging Table'!BY133:CV133)-IF(Init!$R$12="No",'Staging Table'!DU133, 0))</f>
        <v>164786.67872726772</v>
      </c>
      <c r="Y131" s="69">
        <f>IF('Staging Table'!C133=1,"",IF(X131=0, 0, W131/X131))</f>
        <v>34.756010100893299</v>
      </c>
      <c r="Z131" s="64">
        <f ca="1">IF('Staging Table'!C133=1,"",(Y131/N131-1)+(RAND()/100000000000000))</f>
        <v>0.10277543375147484</v>
      </c>
      <c r="AA131" s="45">
        <f t="shared" ca="1" si="6"/>
        <v>35</v>
      </c>
      <c r="AC131" s="264"/>
      <c r="AD131" s="119"/>
      <c r="AE131" s="119"/>
      <c r="AG131" s="119"/>
      <c r="AH131" s="119"/>
    </row>
    <row r="132" spans="1:34">
      <c r="B132" s="2">
        <v>13927</v>
      </c>
      <c r="C132" s="3" t="s">
        <v>238</v>
      </c>
      <c r="D132" s="115">
        <f>IF(Init!$R$9="Yes",'Staging Table'!F134,'Staging Table'!BS134)*Rates_previous!$E$76*100*12</f>
        <v>1286173.1037599999</v>
      </c>
      <c r="E132" s="115">
        <f>IF(Init!$R$9="Yes",'Staging Table'!F134,'Staging Table'!BS134)*Rates_previous!$E$77*100*12</f>
        <v>-262583.77788000001</v>
      </c>
      <c r="F132" s="116">
        <f>IF(Init!$R$9="Yes",SUMPRODUCT('Staging Table'!L134:AI134,LS_Demand_Rates_Restatement!$C$4:$Z$4)-IF(Init!$R$12="No",('Staging Table'!BH134*Rates_previous!$H$34), 0),SUMPRODUCT('Staging Table'!BY134:CV134,LS_Demand_Rates_Restatement!$C$4:$Z$4)-IF(Init!$R$12="No", 'Staging Table'!DU134*Rates_previous!$H$34, 0))</f>
        <v>164021.71653257476</v>
      </c>
      <c r="G132" s="116">
        <f>IF(Init!$R$9="Yes",SUMPRODUCT('Staging Table'!AJ134:AU134,LS_Demand_Rates_Restatement!$C$10:$N$10),SUMPRODUCT(LS_Demand_Rates_Restatement!$C$10:$N$10,'Staging Table'!CW134:DH134))*1000</f>
        <v>37707.543042868601</v>
      </c>
      <c r="H132" s="117">
        <f>IF(Init!$R$9="Yes",'Staging Table'!BQ134,'Staging Table'!ED134)*IF(Init!$R$3=2022,Rates_previous!$C$88,Rates_previous!$D$88)</f>
        <v>0</v>
      </c>
      <c r="I132" s="115">
        <v>128</v>
      </c>
      <c r="J132" s="117">
        <f>IF(Init!$R$9="Yes",IF('Staging Table'!D134=1,'Staging Table'!H134*-1*'Staging Table'!BS134/'Staging Table'!BR134,'Staging Table'!H134*SUM(D132:I132)*(-1)),IF('Staging Table'!D134=1,'Staging Table'!BU134*-1*'Staging Table'!BS134/'Staging Table'!BR134,'Staging Table'!BU134*SUM(D132:I132)*(-1)))</f>
        <v>0</v>
      </c>
      <c r="K132" s="115">
        <f>IF(Init!$R$9="Yes",'Staging Table'!K134,'Staging Table'!BX134)*(-1)*Rates_previous!$H$32</f>
        <v>0</v>
      </c>
      <c r="L132" s="115">
        <f>IF('Staging Table'!C134=1,"",SUM(D132:K132))</f>
        <v>1225446.5854554432</v>
      </c>
      <c r="M132" s="115">
        <f>IF('Staging Table'!C134=1,"",IF(Init!$R$9="Yes",(RT1SC!$C$3*'Staging Table'!F134*'Staging Table'!$F$2)+SUM('Staging Table'!L134:AI134)-IF(Init!$R$12="No",'Staging Table'!BH134, 0),X132))</f>
        <v>35777.232000000004</v>
      </c>
      <c r="N132" s="69">
        <f>IF('Staging Table'!C134=1,"",IF(M132=0, 0, L132/M132))</f>
        <v>34.252135141573923</v>
      </c>
      <c r="O132" s="115">
        <f>'Staging Table'!BS134*Rates_current!$F$77*100*12</f>
        <v>1492521.3341999999</v>
      </c>
      <c r="P132" s="115">
        <f>'Staging Table'!BS134*Rates_current!$F$78*100*12</f>
        <v>-239061.91860000003</v>
      </c>
      <c r="Q132" s="116">
        <f>SUMPRODUCT('Staging Table'!BY134:CV134, LS_Demand_Rates_Restatement!$C$5:$Z$5)-IF(Init!$R$12="No",('Staging Table'!DU134*Rates_current!$I$46), 0)</f>
        <v>34054.360273627215</v>
      </c>
      <c r="R132" s="116">
        <f>SUMPRODUCT('Staging Table'!CW134:DH134, LS_Demand_Rates_Restatement!$C$11:$N$11)*1000</f>
        <v>39840.400913701938</v>
      </c>
      <c r="S132" s="117">
        <f>'Staging Table'!ED134*IF(Init!$R$15="Yes",IF(Init!$R$6=2024,Rates_current!$C$89,Rates_current!$D$89),Rates_current!$I$45)</f>
        <v>0</v>
      </c>
      <c r="T132" s="117">
        <v>128</v>
      </c>
      <c r="U132" s="117">
        <f>IF('Staging Table'!D134=1, 'Staging Table'!BU134*-1*'Staging Table'!BS134/'Staging Table'!BR134,SUM(O132:T132)*'Staging Table'!BU134*-1)</f>
        <v>0</v>
      </c>
      <c r="V132" s="115">
        <f>'Staging Table'!BX134*Rates_current!$I$44*-1</f>
        <v>0</v>
      </c>
      <c r="W132" s="115">
        <f>IF('Staging Table'!C134=1,"", SUM(O132:V132))</f>
        <v>1327482.1767873289</v>
      </c>
      <c r="X132" s="115">
        <f>IF('Staging Table'!C134=1,"", (RT1SC!$C$4*'Staging Table'!BS134*'Staging Table'!$BS$2)+SUM('Staging Table'!BY134:CV134)-IF(Init!$R$12="No",'Staging Table'!DU134, 0))</f>
        <v>35889.72</v>
      </c>
      <c r="Y132" s="69">
        <f>IF('Staging Table'!C134=1,"",IF(X132=0, 0, W132/X132))</f>
        <v>36.987810904830937</v>
      </c>
      <c r="Z132" s="64">
        <f ca="1">IF('Staging Table'!C134=1,"",(Y132/N132-1)+(RAND()/100000000000000))</f>
        <v>7.9868765901741995E-2</v>
      </c>
      <c r="AA132" s="45">
        <f t="shared" ref="AA132:AA137" ca="1" si="7">IF(Z132="","",RANK(Z132,$Z$4:$Z$137))</f>
        <v>103</v>
      </c>
      <c r="AC132" s="264"/>
      <c r="AD132" s="119"/>
      <c r="AE132" s="119"/>
      <c r="AG132" s="119"/>
      <c r="AH132" s="119"/>
    </row>
    <row r="133" spans="1:34">
      <c r="B133" s="2">
        <v>10597</v>
      </c>
      <c r="C133" s="3" t="s">
        <v>136</v>
      </c>
      <c r="D133" s="115">
        <f>IF(Init!$R$9="Yes",'Staging Table'!F135,'Staging Table'!BS135)*Rates_previous!$E$76*100*12</f>
        <v>4441444.9480799995</v>
      </c>
      <c r="E133" s="115">
        <f>IF(Init!$R$9="Yes",'Staging Table'!F135,'Staging Table'!BS135)*Rates_previous!$E$77*100*12</f>
        <v>-906760.83204000012</v>
      </c>
      <c r="F133" s="116">
        <f>IF(Init!$R$9="Yes",SUMPRODUCT('Staging Table'!L135:AI135,LS_Demand_Rates_Restatement!$C$4:$Z$4)-IF(Init!$R$12="No",('Staging Table'!BH135*Rates_previous!$H$34), 0),SUMPRODUCT('Staging Table'!BY135:CV135,LS_Demand_Rates_Restatement!$C$4:$Z$4)-IF(Init!$R$12="No", 'Staging Table'!DU135*Rates_previous!$H$34, 0))</f>
        <v>308658.29348113597</v>
      </c>
      <c r="G133" s="116">
        <f>IF(Init!$R$9="Yes",SUMPRODUCT('Staging Table'!AJ135:AU135,LS_Demand_Rates_Restatement!$C$10:$N$10),SUMPRODUCT(LS_Demand_Rates_Restatement!$C$10:$N$10,'Staging Table'!CW135:DH135))*1000</f>
        <v>318011.77460905438</v>
      </c>
      <c r="H133" s="117">
        <f>IF(Init!$R$9="Yes",'Staging Table'!BQ135,'Staging Table'!ED135)*IF(Init!$R$3=2022,Rates_previous!$C$88,Rates_previous!$D$88)</f>
        <v>0</v>
      </c>
      <c r="I133" s="115">
        <v>129</v>
      </c>
      <c r="J133" s="117">
        <f>IF(Init!$R$9="Yes",IF('Staging Table'!D135=1,'Staging Table'!H135*-1*'Staging Table'!BS135/'Staging Table'!BR135,'Staging Table'!H135*SUM(D133:I133)*(-1)),IF('Staging Table'!D135=1,'Staging Table'!BU135*-1*'Staging Table'!BS135/'Staging Table'!BR135,'Staging Table'!BU135*SUM(D133:I133)*(-1)))</f>
        <v>0</v>
      </c>
      <c r="K133" s="115">
        <f>IF(Init!$R$9="Yes",'Staging Table'!K135,'Staging Table'!BX135)*(-1)*Rates_previous!$H$32</f>
        <v>0</v>
      </c>
      <c r="L133" s="115">
        <f>IF('Staging Table'!C135=1,"",SUM(D133:K133))</f>
        <v>4161483.1841301899</v>
      </c>
      <c r="M133" s="115">
        <f>IF('Staging Table'!C135=1,"",IF(Init!$R$9="Yes",(RT1SC!$C$3*'Staging Table'!F135*'Staging Table'!$F$2)+SUM('Staging Table'!L135:AI135)-IF(Init!$R$12="No",'Staging Table'!BH135, 0),X133))</f>
        <v>113638.60799999999</v>
      </c>
      <c r="N133" s="69">
        <f>IF('Staging Table'!C135=1,"",IF(M133=0, 0, L133/M133))</f>
        <v>36.62032875420465</v>
      </c>
      <c r="O133" s="115">
        <f>'Staging Table'!BS135*Rates_current!$F$77*100*12</f>
        <v>4727224.0001999997</v>
      </c>
      <c r="P133" s="115">
        <f>'Staging Table'!BS135*Rates_current!$F$78*100*12</f>
        <v>-757174.59659999993</v>
      </c>
      <c r="Q133" s="116">
        <f>SUMPRODUCT('Staging Table'!BY135:CV135, LS_Demand_Rates_Restatement!$C$5:$Z$5)-IF(Init!$R$12="No",('Staging Table'!DU135*Rates_current!$I$46), 0)</f>
        <v>186299.92918081579</v>
      </c>
      <c r="R133" s="116">
        <f>SUMPRODUCT('Staging Table'!CW135:DH135, LS_Demand_Rates_Restatement!$C$11:$N$11)*1000</f>
        <v>350327.12458349357</v>
      </c>
      <c r="S133" s="117">
        <f>'Staging Table'!ED135*IF(Init!$R$15="Yes",IF(Init!$R$6=2024,Rates_current!$C$89,Rates_current!$D$89),Rates_current!$I$45)</f>
        <v>9.7438034509745197</v>
      </c>
      <c r="T133" s="117">
        <v>129</v>
      </c>
      <c r="U133" s="117">
        <f>IF('Staging Table'!D135=1, 'Staging Table'!BU135*-1*'Staging Table'!BS135/'Staging Table'!BR135,SUM(O133:T133)*'Staging Table'!BU135*-1)</f>
        <v>0</v>
      </c>
      <c r="V133" s="115">
        <f>'Staging Table'!BX135*Rates_current!$I$44*-1</f>
        <v>0</v>
      </c>
      <c r="W133" s="115">
        <f>IF('Staging Table'!C135=1,"", SUM(O133:V133))</f>
        <v>4506815.2011677604</v>
      </c>
      <c r="X133" s="115">
        <f>IF('Staging Table'!C135=1,"", (RT1SC!$C$4*'Staging Table'!BS135*'Staging Table'!$BS$2)+SUM('Staging Table'!BY135:CV135)-IF(Init!$R$12="No",'Staging Table'!DU135, 0))</f>
        <v>113676.00871045078</v>
      </c>
      <c r="Y133" s="69">
        <f>IF('Staging Table'!C135=1,"",IF(X133=0, 0, W133/X133))</f>
        <v>39.646142156937174</v>
      </c>
      <c r="Z133" s="64">
        <f ca="1">IF('Staging Table'!C135=1,"",(Y133/N133-1)+(RAND()/100000000000000))</f>
        <v>8.2626604011172972E-2</v>
      </c>
      <c r="AA133" s="45">
        <f t="shared" ca="1" si="7"/>
        <v>100</v>
      </c>
      <c r="AC133" s="264"/>
      <c r="AD133" s="119"/>
      <c r="AE133" s="119"/>
      <c r="AG133" s="119"/>
      <c r="AH133" s="119"/>
    </row>
    <row r="134" spans="1:34">
      <c r="B134" s="2">
        <v>10706</v>
      </c>
      <c r="C134" s="3" t="s">
        <v>137</v>
      </c>
      <c r="D134" s="115">
        <f>IF(Init!$R$9="Yes",'Staging Table'!F136,'Staging Table'!BS136)*Rates_previous!$E$76*100*12</f>
        <v>6041750.2005599998</v>
      </c>
      <c r="E134" s="115">
        <f>IF(Init!$R$9="Yes",'Staging Table'!F136,'Staging Table'!BS136)*Rates_previous!$E$77*100*12</f>
        <v>-1233477.5062800001</v>
      </c>
      <c r="F134" s="116">
        <f>IF(Init!$R$9="Yes",SUMPRODUCT('Staging Table'!L136:AI136,LS_Demand_Rates_Restatement!$C$4:$Z$4)-IF(Init!$R$12="No",('Staging Table'!BH136*Rates_previous!$H$34), 0),SUMPRODUCT('Staging Table'!BY136:CV136,LS_Demand_Rates_Restatement!$C$4:$Z$4)-IF(Init!$R$12="No", 'Staging Table'!DU136*Rates_previous!$H$34, 0))</f>
        <v>-99728.59507542674</v>
      </c>
      <c r="G134" s="116">
        <f>IF(Init!$R$9="Yes",SUMPRODUCT('Staging Table'!AJ136:AU136,LS_Demand_Rates_Restatement!$C$10:$N$10),SUMPRODUCT(LS_Demand_Rates_Restatement!$C$10:$N$10,'Staging Table'!CW136:DH136))*1000</f>
        <v>223928.2236344284</v>
      </c>
      <c r="H134" s="117">
        <f>IF(Init!$R$9="Yes",'Staging Table'!BQ136,'Staging Table'!ED136)*IF(Init!$R$3=2022,Rates_previous!$C$88,Rates_previous!$D$88)</f>
        <v>0</v>
      </c>
      <c r="I134" s="115">
        <v>130</v>
      </c>
      <c r="J134" s="117">
        <f>IF(Init!$R$9="Yes",IF('Staging Table'!D136=1,'Staging Table'!H136*-1*'Staging Table'!BS136/'Staging Table'!BR136,'Staging Table'!H136*SUM(D134:I134)*(-1)),IF('Staging Table'!D136=1,'Staging Table'!BU136*-1*'Staging Table'!BS136/'Staging Table'!BR136,'Staging Table'!BU136*SUM(D134:I134)*(-1)))</f>
        <v>0</v>
      </c>
      <c r="K134" s="115">
        <f>IF(Init!$R$9="Yes",'Staging Table'!K136,'Staging Table'!BX136)*(-1)*Rates_previous!$H$32</f>
        <v>0</v>
      </c>
      <c r="L134" s="115">
        <f>IF('Staging Table'!C136=1,"",SUM(D134:K134))</f>
        <v>4932602.3228390012</v>
      </c>
      <c r="M134" s="115">
        <f>IF('Staging Table'!C136=1,"",IF(Init!$R$9="Yes",(RT1SC!$C$3*'Staging Table'!F136*'Staging Table'!$F$2)+SUM('Staging Table'!L136:AI136)-IF(Init!$R$12="No",'Staging Table'!BH136, 0),X134))</f>
        <v>147450.32468975533</v>
      </c>
      <c r="N134" s="69">
        <f>IF('Staging Table'!C136=1,"",IF(M134=0, 0, L134/M134))</f>
        <v>33.452637918685518</v>
      </c>
      <c r="O134" s="115">
        <f>'Staging Table'!BS136*Rates_current!$F$77*100*12</f>
        <v>6131431.9949999992</v>
      </c>
      <c r="P134" s="115">
        <f>'Staging Table'!BS136*Rates_current!$F$78*100*12</f>
        <v>-982091.08499999985</v>
      </c>
      <c r="Q134" s="116">
        <f>SUMPRODUCT('Staging Table'!BY136:CV136, LS_Demand_Rates_Restatement!$C$5:$Z$5)-IF(Init!$R$12="No",('Staging Table'!DU136*Rates_current!$I$46), 0)</f>
        <v>131002.2804653006</v>
      </c>
      <c r="R134" s="116">
        <f>SUMPRODUCT('Staging Table'!CW136:DH136, LS_Demand_Rates_Restatement!$C$11:$N$11)*1000</f>
        <v>247907.61895315172</v>
      </c>
      <c r="S134" s="117">
        <f>'Staging Table'!ED136*IF(Init!$R$15="Yes",IF(Init!$R$6=2024,Rates_current!$C$89,Rates_current!$D$89),Rates_current!$I$45)</f>
        <v>-7.8092906294646669</v>
      </c>
      <c r="T134" s="117">
        <v>130</v>
      </c>
      <c r="U134" s="117">
        <f>IF('Staging Table'!D136=1, 'Staging Table'!BU136*-1*'Staging Table'!BS136/'Staging Table'!BR136,SUM(O134:T134)*'Staging Table'!BU136*-1)</f>
        <v>0</v>
      </c>
      <c r="V134" s="115">
        <f>'Staging Table'!BX136*Rates_current!$I$44*-1</f>
        <v>0</v>
      </c>
      <c r="W134" s="115">
        <f>IF('Staging Table'!C136=1,"", SUM(O134:V134))</f>
        <v>5528373.0001278212</v>
      </c>
      <c r="X134" s="115">
        <f>IF('Staging Table'!C136=1,"", (RT1SC!$C$4*'Staging Table'!BS136*'Staging Table'!$BS$2)+SUM('Staging Table'!BY136:CV136)-IF(Init!$R$12="No",'Staging Table'!DU136, 0))</f>
        <v>147450.33270377049</v>
      </c>
      <c r="Y134" s="69">
        <f>IF('Staging Table'!C136=1,"",IF(X134=0, 0, W134/X134))</f>
        <v>37.49311987809746</v>
      </c>
      <c r="Z134" s="64">
        <f ca="1">IF('Staging Table'!C136=1,"",(Y134/N134-1)+(RAND()/100000000000000))</f>
        <v>0.12078216280681908</v>
      </c>
      <c r="AA134" s="45">
        <f t="shared" ca="1" si="7"/>
        <v>19</v>
      </c>
      <c r="AC134" s="264"/>
      <c r="AD134" s="119"/>
      <c r="AE134" s="119"/>
      <c r="AG134" s="119"/>
      <c r="AH134" s="119"/>
    </row>
    <row r="135" spans="1:34">
      <c r="B135" s="2">
        <v>11680</v>
      </c>
      <c r="C135" s="3" t="s">
        <v>138</v>
      </c>
      <c r="D135" s="115">
        <f>IF(Init!$R$9="Yes",'Staging Table'!F137,'Staging Table'!BS137)*Rates_previous!$E$76*100*12</f>
        <v>2282627.1837599999</v>
      </c>
      <c r="E135" s="115">
        <f>IF(Init!$R$9="Yes",'Staging Table'!F137,'Staging Table'!BS137)*Rates_previous!$E$77*100*12</f>
        <v>-466018.81787999999</v>
      </c>
      <c r="F135" s="116">
        <f>IF(Init!$R$9="Yes",SUMPRODUCT('Staging Table'!L137:AI137,LS_Demand_Rates_Restatement!$C$4:$Z$4)-IF(Init!$R$12="No",('Staging Table'!BH137*Rates_previous!$H$34), 0),SUMPRODUCT('Staging Table'!BY137:CV137,LS_Demand_Rates_Restatement!$C$4:$Z$4)-IF(Init!$R$12="No", 'Staging Table'!DU137*Rates_previous!$H$34, 0))</f>
        <v>49066.893976315376</v>
      </c>
      <c r="G135" s="116">
        <f>IF(Init!$R$9="Yes",SUMPRODUCT('Staging Table'!AJ137:AU137,LS_Demand_Rates_Restatement!$C$10:$N$10),SUMPRODUCT(LS_Demand_Rates_Restatement!$C$10:$N$10,'Staging Table'!CW137:DH137))*1000</f>
        <v>117970.75878058228</v>
      </c>
      <c r="H135" s="117">
        <f>IF(Init!$R$9="Yes",'Staging Table'!BQ137,'Staging Table'!ED137)*IF(Init!$R$3=2022,Rates_previous!$C$88,Rates_previous!$D$88)</f>
        <v>0</v>
      </c>
      <c r="I135" s="115">
        <v>131</v>
      </c>
      <c r="J135" s="117">
        <f>IF(Init!$R$9="Yes",IF('Staging Table'!D137=1,'Staging Table'!H137*-1*'Staging Table'!BS137/'Staging Table'!BR137,'Staging Table'!H137*SUM(D135:I135)*(-1)),IF('Staging Table'!D137=1,'Staging Table'!BU137*-1*'Staging Table'!BS137/'Staging Table'!BR137,'Staging Table'!BU137*SUM(D135:I135)*(-1)))</f>
        <v>0</v>
      </c>
      <c r="K135" s="115">
        <f>IF(Init!$R$9="Yes",'Staging Table'!K137,'Staging Table'!BX137)*(-1)*Rates_previous!$H$32</f>
        <v>0</v>
      </c>
      <c r="L135" s="115">
        <f>IF('Staging Table'!C137=1,"",SUM(D135:K135))</f>
        <v>1983777.0186368977</v>
      </c>
      <c r="M135" s="115">
        <f>IF('Staging Table'!C137=1,"",IF(Init!$R$9="Yes",(RT1SC!$C$3*'Staging Table'!F137*'Staging Table'!$F$2)+SUM('Staging Table'!L137:AI137)-IF(Init!$R$12="No",'Staging Table'!BH137, 0),X135))</f>
        <v>55593.935999999994</v>
      </c>
      <c r="N135" s="69">
        <f>IF('Staging Table'!C137=1,"",IF(M135=0, 0, L135/M135))</f>
        <v>35.683334575139597</v>
      </c>
      <c r="O135" s="115">
        <f>'Staging Table'!BS137*Rates_current!$F$77*100*12</f>
        <v>2318678.3802000005</v>
      </c>
      <c r="P135" s="115">
        <f>'Staging Table'!BS137*Rates_current!$F$78*100*12</f>
        <v>-371390.13660000003</v>
      </c>
      <c r="Q135" s="116">
        <f>SUMPRODUCT('Staging Table'!BY137:CV137, LS_Demand_Rates_Restatement!$C$5:$Z$5)-IF(Init!$R$12="No",('Staging Table'!DU137*Rates_current!$I$46), 0)</f>
        <v>86594.42945327473</v>
      </c>
      <c r="R135" s="116">
        <f>SUMPRODUCT('Staging Table'!CW137:DH137, LS_Demand_Rates_Restatement!$C$11:$N$11)*1000</f>
        <v>129695.01029613605</v>
      </c>
      <c r="S135" s="117">
        <f>'Staging Table'!ED137*IF(Init!$R$15="Yes",IF(Init!$R$6=2024,Rates_current!$C$89,Rates_current!$D$89),Rates_current!$I$45)</f>
        <v>0</v>
      </c>
      <c r="T135" s="117">
        <v>131</v>
      </c>
      <c r="U135" s="117">
        <f>IF('Staging Table'!D137=1, 'Staging Table'!BU137*-1*'Staging Table'!BS137/'Staging Table'!BR137,SUM(O135:T135)*'Staging Table'!BU137*-1)</f>
        <v>0</v>
      </c>
      <c r="V135" s="115">
        <f>'Staging Table'!BX137*Rates_current!$I$44*-1</f>
        <v>0</v>
      </c>
      <c r="W135" s="115">
        <f>IF('Staging Table'!C137=1,"", SUM(O135:V135))</f>
        <v>2163708.683349411</v>
      </c>
      <c r="X135" s="115">
        <f>IF('Staging Table'!C137=1,"", (RT1SC!$C$4*'Staging Table'!BS137*'Staging Table'!$BS$2)+SUM('Staging Table'!BY137:CV137)-IF(Init!$R$12="No",'Staging Table'!DU137, 0))</f>
        <v>55757.4</v>
      </c>
      <c r="Y135" s="69">
        <f>IF('Staging Table'!C137=1,"",IF(X135=0, 0, W135/X135))</f>
        <v>38.805767186945786</v>
      </c>
      <c r="Z135" s="64">
        <f ca="1">IF('Staging Table'!C137=1,"",(Y135/N135-1)+(RAND()/100000000000000))</f>
        <v>8.7503946841940697E-2</v>
      </c>
      <c r="AA135" s="45">
        <f t="shared" ca="1" si="7"/>
        <v>92</v>
      </c>
      <c r="AC135" s="264"/>
      <c r="AD135" s="119"/>
      <c r="AE135" s="119"/>
      <c r="AG135" s="119"/>
      <c r="AH135" s="119"/>
    </row>
    <row r="136" spans="1:34">
      <c r="B136" s="2">
        <v>12026</v>
      </c>
      <c r="C136" s="3" t="s">
        <v>139</v>
      </c>
      <c r="D136" s="115">
        <f>IF(Init!$R$9="Yes",'Staging Table'!F138,'Staging Table'!BS138)*Rates_previous!$E$76*100*12</f>
        <v>16291276.867439998</v>
      </c>
      <c r="E136" s="115">
        <f>IF(Init!$R$9="Yes",'Staging Table'!F138,'Staging Table'!BS138)*Rates_previous!$E$77*100*12</f>
        <v>-3326010.3277200004</v>
      </c>
      <c r="F136" s="116">
        <f>IF(Init!$R$9="Yes",SUMPRODUCT('Staging Table'!L138:AI138,LS_Demand_Rates_Restatement!$C$4:$Z$4)-IF(Init!$R$12="No",('Staging Table'!BH138*Rates_previous!$H$34), 0),SUMPRODUCT('Staging Table'!BY138:CV138,LS_Demand_Rates_Restatement!$C$4:$Z$4)-IF(Init!$R$12="No", 'Staging Table'!DU138*Rates_previous!$H$34, 0))</f>
        <v>12147.974935243372</v>
      </c>
      <c r="G136" s="116">
        <f>IF(Init!$R$9="Yes",SUMPRODUCT('Staging Table'!AJ138:AU138,LS_Demand_Rates_Restatement!$C$10:$N$10),SUMPRODUCT(LS_Demand_Rates_Restatement!$C$10:$N$10,'Staging Table'!CW138:DH138))*1000</f>
        <v>791873.77435811982</v>
      </c>
      <c r="H136" s="117">
        <f>IF(Init!$R$9="Yes",'Staging Table'!BQ138,'Staging Table'!ED138)*IF(Init!$R$3=2022,Rates_previous!$C$88,Rates_previous!$D$88)</f>
        <v>0</v>
      </c>
      <c r="I136" s="115">
        <v>132</v>
      </c>
      <c r="J136" s="117">
        <f>IF(Init!$R$9="Yes",IF('Staging Table'!D138=1,'Staging Table'!H138*-1*'Staging Table'!BS138/'Staging Table'!BR138,'Staging Table'!H138*SUM(D136:I136)*(-1)),IF('Staging Table'!D138=1,'Staging Table'!BU138*-1*'Staging Table'!BS138/'Staging Table'!BR138,'Staging Table'!BU138*SUM(D136:I136)*(-1)))</f>
        <v>0</v>
      </c>
      <c r="K136" s="115">
        <f>IF(Init!$R$9="Yes",'Staging Table'!K138,'Staging Table'!BX138)*(-1)*Rates_previous!$H$32</f>
        <v>0</v>
      </c>
      <c r="L136" s="115">
        <f>IF('Staging Table'!C138=1,"",SUM(D136:K136))</f>
        <v>13769420.289013362</v>
      </c>
      <c r="M136" s="115">
        <f>IF('Staging Table'!C138=1,"",IF(Init!$R$9="Yes",(RT1SC!$C$3*'Staging Table'!F138*'Staging Table'!$F$2)+SUM('Staging Table'!L138:AI138)-IF(Init!$R$12="No",'Staging Table'!BH138, 0),X136))</f>
        <v>396799.63200000004</v>
      </c>
      <c r="N136" s="69">
        <f>IF('Staging Table'!C138=1,"",IF(M136=0, 0, L136/M136))</f>
        <v>34.701192185111097</v>
      </c>
      <c r="O136" s="115">
        <f>'Staging Table'!BS138*Rates_current!$F$77*100*12</f>
        <v>16550075.193599999</v>
      </c>
      <c r="P136" s="115">
        <f>'Staging Table'!BS138*Rates_current!$F$78*100*12</f>
        <v>-2650878.5088</v>
      </c>
      <c r="Q136" s="116">
        <f>SUMPRODUCT('Staging Table'!BY138:CV138, LS_Demand_Rates_Restatement!$C$5:$Z$5)-IF(Init!$R$12="No",('Staging Table'!DU138*Rates_current!$I$46), 0)</f>
        <v>405116.31661008339</v>
      </c>
      <c r="R136" s="116">
        <f>SUMPRODUCT('Staging Table'!CW138:DH138, LS_Demand_Rates_Restatement!$C$11:$N$11)*1000</f>
        <v>856560.51770192338</v>
      </c>
      <c r="S136" s="117">
        <f>'Staging Table'!ED138*IF(Init!$R$15="Yes",IF(Init!$R$6=2024,Rates_current!$C$89,Rates_current!$D$89),Rates_current!$I$45)</f>
        <v>0</v>
      </c>
      <c r="T136" s="117">
        <v>132</v>
      </c>
      <c r="U136" s="117">
        <f>IF('Staging Table'!D138=1, 'Staging Table'!BU138*-1*'Staging Table'!BS138/'Staging Table'!BR138,SUM(O136:T136)*'Staging Table'!BU138*-1)</f>
        <v>0</v>
      </c>
      <c r="V136" s="115">
        <f>'Staging Table'!BX138*Rates_current!$I$44*-1</f>
        <v>0</v>
      </c>
      <c r="W136" s="115">
        <f>IF('Staging Table'!C138=1,"", SUM(O136:V136))</f>
        <v>15161005.519112006</v>
      </c>
      <c r="X136" s="115">
        <f>IF('Staging Table'!C138=1,"", (RT1SC!$C$4*'Staging Table'!BS138*'Staging Table'!$BS$2)+SUM('Staging Table'!BY138:CV138)-IF(Init!$R$12="No",'Staging Table'!DU138, 0))</f>
        <v>397989.88749337906</v>
      </c>
      <c r="Y136" s="69">
        <f>IF('Staging Table'!C138=1,"",IF(X136=0, 0, W136/X136))</f>
        <v>38.093946593967729</v>
      </c>
      <c r="Z136" s="64">
        <f ca="1">IF('Staging Table'!C138=1,"",(Y136/N136-1)+(RAND()/100000000000000))</f>
        <v>9.7770543177834832E-2</v>
      </c>
      <c r="AA136" s="45">
        <f t="shared" ca="1" si="7"/>
        <v>52</v>
      </c>
      <c r="AC136" s="264"/>
      <c r="AD136" s="119"/>
      <c r="AE136" s="119"/>
      <c r="AG136" s="119"/>
      <c r="AH136" s="119"/>
    </row>
    <row r="137" spans="1:34">
      <c r="B137" s="2">
        <v>10298</v>
      </c>
      <c r="C137" s="3" t="s">
        <v>140</v>
      </c>
      <c r="D137" s="115">
        <f>IF(Init!$R$9="Yes",'Staging Table'!F139,'Staging Table'!BS139)*Rates_previous!$E$76*100*12</f>
        <v>271928581.72920001</v>
      </c>
      <c r="E137" s="115">
        <f>IF(Init!$R$9="Yes",'Staging Table'!F139,'Staging Table'!BS139)*Rates_previous!$E$77*100*12</f>
        <v>-55516659.534599997</v>
      </c>
      <c r="F137" s="116">
        <f>IF(Init!$R$9="Yes",SUMPRODUCT('Staging Table'!L139:AI139,LS_Demand_Rates_Restatement!$C$4:$Z$4)-IF(Init!$R$12="No",('Staging Table'!BH139*Rates_previous!$H$34), 0),SUMPRODUCT('Staging Table'!BY139:CV139,LS_Demand_Rates_Restatement!$C$4:$Z$4)-IF(Init!$R$12="No", 'Staging Table'!DU139*Rates_previous!$H$34, 0))</f>
        <v>-49309433.462299243</v>
      </c>
      <c r="G137" s="116">
        <f>IF(Init!$R$9="Yes",SUMPRODUCT('Staging Table'!AJ139:AU139,LS_Demand_Rates_Restatement!$C$10:$N$10),SUMPRODUCT(LS_Demand_Rates_Restatement!$C$10:$N$10,'Staging Table'!CW139:DH139))*1000</f>
        <v>29596809.392930456</v>
      </c>
      <c r="H137" s="117">
        <f>IF(Init!$R$9="Yes",'Staging Table'!BQ139,'Staging Table'!ED139)*IF(Init!$R$3=2022,Rates_previous!$C$88,Rates_previous!$D$88)</f>
        <v>0</v>
      </c>
      <c r="I137" s="115">
        <v>133</v>
      </c>
      <c r="J137" s="117">
        <f>IF(Init!$R$9="Yes",IF('Staging Table'!D139=1,'Staging Table'!H139*-1*'Staging Table'!BS139/'Staging Table'!BR139,'Staging Table'!H139*SUM(D137:I137)*(-1)),IF('Staging Table'!D139=1,'Staging Table'!BU139*-1*'Staging Table'!BS139/'Staging Table'!BR139,'Staging Table'!BU139*SUM(D137:I137)*(-1)))</f>
        <v>0</v>
      </c>
      <c r="K137" s="115">
        <f>IF(Init!$R$9="Yes",'Staging Table'!K139,'Staging Table'!BX139)*(-1)*Rates_previous!$H$32</f>
        <v>-3223344.2888400001</v>
      </c>
      <c r="L137" s="115">
        <f>IF('Staging Table'!C139=1,"",SUM(D137:K137))</f>
        <v>193476086.83639121</v>
      </c>
      <c r="M137" s="115">
        <f>IF('Staging Table'!C139=1,"",IF(Init!$R$9="Yes",(RT1SC!$C$3*'Staging Table'!F139*'Staging Table'!$F$2)+SUM('Staging Table'!L139:AI139)-IF(Init!$R$12="No",'Staging Table'!BH139, 0),X137))</f>
        <v>5290392.3840000005</v>
      </c>
      <c r="N137" s="69">
        <f>IF('Staging Table'!C139=1,"",IF(M137=0, 0, L137/M137))</f>
        <v>36.571216800767118</v>
      </c>
      <c r="O137" s="115">
        <f>'Staging Table'!BS139*Rates_current!$F$77*100*12</f>
        <v>277377695.98500001</v>
      </c>
      <c r="P137" s="115">
        <f>'Staging Table'!BS139*Rates_current!$F$78*100*12</f>
        <v>-44428473.255000003</v>
      </c>
      <c r="Q137" s="116">
        <f>SUMPRODUCT('Staging Table'!BY139:CV139, LS_Demand_Rates_Restatement!$C$5:$Z$5)-IF(Init!$R$12="No",('Staging Table'!DU139*Rates_current!$I$46), 0)</f>
        <v>8971369.4566769209</v>
      </c>
      <c r="R137" s="116">
        <f>SUMPRODUCT('Staging Table'!CW139:DH139, LS_Demand_Rates_Restatement!$C$11:$N$11)*1000</f>
        <v>26983790.77364134</v>
      </c>
      <c r="S137" s="117">
        <f>'Staging Table'!ED139*IF(Init!$R$15="Yes",IF(Init!$R$6=2024,Rates_current!$C$89,Rates_current!$D$89),Rates_current!$I$45)</f>
        <v>0</v>
      </c>
      <c r="T137" s="117">
        <v>133</v>
      </c>
      <c r="U137" s="117">
        <f>IF('Staging Table'!D139=1, 'Staging Table'!BU139*-1*'Staging Table'!BS139/'Staging Table'!BR139,SUM(O137:T137)*'Staging Table'!BU139*-1)</f>
        <v>0</v>
      </c>
      <c r="V137" s="115">
        <f>'Staging Table'!BX139*Rates_current!$I$44*-1</f>
        <v>-3331996.3435200001</v>
      </c>
      <c r="W137" s="115">
        <f>IF('Staging Table'!C139=1,"", SUM(O137:V137))</f>
        <v>265572519.61679828</v>
      </c>
      <c r="X137" s="115">
        <f>IF('Staging Table'!C139=1,"", (RT1SC!$C$4*'Staging Table'!BS139*'Staging Table'!$BS$2)+SUM('Staging Table'!BY139:CV139)-IF(Init!$R$12="No",'Staging Table'!DU139, 0))</f>
        <v>6670331.4187468123</v>
      </c>
      <c r="Y137" s="69">
        <f>IF('Staging Table'!C139=1,"",IF(X137=0, 0, W137/X137))</f>
        <v>39.813991681194857</v>
      </c>
      <c r="Z137" s="64">
        <f ca="1">IF('Staging Table'!C139=1,"",(Y137/N137-1)+(RAND()/100000000000000))</f>
        <v>8.8670139090368888E-2</v>
      </c>
      <c r="AA137" s="45">
        <f t="shared" ca="1" si="7"/>
        <v>87</v>
      </c>
      <c r="AC137" s="264"/>
      <c r="AD137" s="119"/>
      <c r="AE137" s="119"/>
      <c r="AG137" s="119"/>
      <c r="AH137" s="119"/>
    </row>
    <row r="138" spans="1:34">
      <c r="AD138" s="119"/>
      <c r="AE138" s="119"/>
      <c r="AG138" s="119"/>
      <c r="AH138" s="119"/>
    </row>
    <row r="139" spans="1:34">
      <c r="A139" s="16"/>
      <c r="D139" s="119"/>
      <c r="E139" s="119"/>
      <c r="F139" s="119"/>
      <c r="G139" s="119"/>
      <c r="H139" s="119"/>
      <c r="I139" s="119"/>
      <c r="J139" s="119"/>
      <c r="K139" s="119"/>
      <c r="L139" s="119"/>
      <c r="M139" s="119"/>
      <c r="N139" s="266"/>
      <c r="O139" s="119"/>
      <c r="P139" s="119"/>
      <c r="Q139" s="119"/>
      <c r="R139" s="119"/>
      <c r="S139" s="119"/>
      <c r="T139" s="119"/>
      <c r="U139" s="119"/>
      <c r="V139" s="119"/>
      <c r="W139" s="119"/>
      <c r="X139" s="119"/>
      <c r="Y139" s="266"/>
      <c r="Z139" s="263"/>
      <c r="AD139" s="119"/>
      <c r="AE139" s="119"/>
      <c r="AG139" s="119"/>
      <c r="AH139" s="119"/>
    </row>
    <row r="140" spans="1:34">
      <c r="A140" s="16"/>
      <c r="AD140" s="119"/>
      <c r="AE140" s="119"/>
      <c r="AG140" s="119"/>
      <c r="AH140" s="119"/>
    </row>
    <row r="141" spans="1:34">
      <c r="A141" s="16"/>
    </row>
    <row r="142" spans="1:34">
      <c r="S142" s="36"/>
      <c r="T142" s="36"/>
    </row>
    <row r="143" spans="1:34">
      <c r="B143" s="2"/>
      <c r="C143" s="3"/>
      <c r="G143" s="36"/>
    </row>
    <row r="144" spans="1:34">
      <c r="B144" s="2"/>
      <c r="C144" s="3"/>
    </row>
    <row r="145" spans="2:3">
      <c r="B145" s="2"/>
      <c r="C145" s="3"/>
    </row>
    <row r="146" spans="2:3">
      <c r="B146" s="2"/>
      <c r="C146" s="3"/>
    </row>
    <row r="147" spans="2:3">
      <c r="B147" s="2"/>
      <c r="C147" s="3"/>
    </row>
    <row r="148" spans="2:3">
      <c r="B148" s="2"/>
      <c r="C148" s="3"/>
    </row>
    <row r="149" spans="2:3">
      <c r="B149" s="2"/>
      <c r="C149" s="3"/>
    </row>
    <row r="150" spans="2:3">
      <c r="B150" s="2"/>
      <c r="C150" s="3"/>
    </row>
    <row r="151" spans="2:3">
      <c r="B151" s="2"/>
      <c r="C151" s="3"/>
    </row>
    <row r="152" spans="2:3">
      <c r="B152" s="2"/>
      <c r="C152" s="3"/>
    </row>
    <row r="153" spans="2:3">
      <c r="B153" s="2"/>
      <c r="C153" s="3"/>
    </row>
    <row r="154" spans="2:3">
      <c r="B154" s="2"/>
      <c r="C154" s="3"/>
    </row>
    <row r="155" spans="2:3">
      <c r="B155" s="2"/>
      <c r="C155" s="3"/>
    </row>
    <row r="156" spans="2:3">
      <c r="B156" s="2"/>
      <c r="C156" s="3"/>
    </row>
    <row r="157" spans="2:3">
      <c r="B157" s="2"/>
      <c r="C157" s="3"/>
    </row>
    <row r="158" spans="2:3">
      <c r="B158" s="2"/>
      <c r="C158" s="3"/>
    </row>
    <row r="159" spans="2:3">
      <c r="B159" s="2"/>
      <c r="C159" s="3"/>
    </row>
    <row r="160" spans="2:3">
      <c r="B160" s="2"/>
      <c r="C160" s="3"/>
    </row>
    <row r="161" spans="2:3">
      <c r="B161" s="2"/>
      <c r="C161" s="3"/>
    </row>
    <row r="162" spans="2:3">
      <c r="B162" s="2"/>
      <c r="C162" s="3"/>
    </row>
    <row r="163" spans="2:3">
      <c r="B163" s="2"/>
      <c r="C163" s="3"/>
    </row>
    <row r="164" spans="2:3">
      <c r="B164" s="2"/>
      <c r="C164" s="3"/>
    </row>
    <row r="165" spans="2:3">
      <c r="B165" s="2"/>
      <c r="C165" s="3"/>
    </row>
    <row r="166" spans="2:3">
      <c r="B166" s="2"/>
      <c r="C166" s="3"/>
    </row>
    <row r="167" spans="2:3">
      <c r="B167" s="19"/>
      <c r="C167" s="19"/>
    </row>
    <row r="168" spans="2:3">
      <c r="B168" s="19"/>
      <c r="C168" s="19"/>
    </row>
    <row r="169" spans="2:3">
      <c r="B169" s="19"/>
      <c r="C169" s="19"/>
    </row>
  </sheetData>
  <conditionalFormatting sqref="B2">
    <cfRule type="expression" dxfId="1" priority="1" stopIfTrue="1">
      <formula>A1 &gt; 30</formula>
    </cfRule>
  </conditionalFormatting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>
    <tabColor theme="9" tint="0.39997558519241921"/>
  </sheetPr>
  <dimension ref="A1:AI169"/>
  <sheetViews>
    <sheetView topLeftCell="B1" zoomScaleNormal="100" workbookViewId="0">
      <pane xSplit="2" ySplit="3" topLeftCell="J4" activePane="bottomRight" state="frozen"/>
      <selection activeCell="B1" sqref="B1"/>
      <selection pane="topRight" activeCell="D1" sqref="D1"/>
      <selection pane="bottomLeft" activeCell="B4" sqref="B4"/>
      <selection pane="bottomRight" activeCell="N2" sqref="N1:N2"/>
    </sheetView>
  </sheetViews>
  <sheetFormatPr defaultColWidth="9.140625" defaultRowHeight="15"/>
  <cols>
    <col min="1" max="1" width="9.5703125" customWidth="1"/>
    <col min="3" max="3" width="28.42578125" bestFit="1" customWidth="1"/>
    <col min="4" max="11" width="12.7109375" customWidth="1"/>
    <col min="12" max="12" width="13.5703125" bestFit="1" customWidth="1"/>
    <col min="13" max="19" width="12.7109375" customWidth="1"/>
    <col min="20" max="20" width="13.5703125" customWidth="1"/>
    <col min="21" max="22" width="12.7109375" customWidth="1"/>
    <col min="23" max="23" width="14.28515625" customWidth="1"/>
    <col min="24" max="25" width="12.7109375" customWidth="1"/>
    <col min="26" max="26" width="15" bestFit="1" customWidth="1"/>
    <col min="27" max="27" width="8.42578125" style="45" bestFit="1" customWidth="1"/>
    <col min="28" max="28" width="13.5703125" bestFit="1" customWidth="1"/>
    <col min="29" max="29" width="10.85546875" bestFit="1" customWidth="1"/>
    <col min="30" max="30" width="9.85546875" bestFit="1" customWidth="1"/>
    <col min="33" max="33" width="9.85546875" bestFit="1" customWidth="1"/>
  </cols>
  <sheetData>
    <row r="1" spans="1:35" ht="15.75">
      <c r="B1" s="39" t="s">
        <v>214</v>
      </c>
      <c r="C1" s="40"/>
      <c r="D1" s="285">
        <f t="shared" ref="D1:E1" si="0">SUM(D4:D137)</f>
        <v>2378572259.5339203</v>
      </c>
      <c r="E1" s="285">
        <f t="shared" si="0"/>
        <v>-485606865.85896003</v>
      </c>
      <c r="F1" s="285">
        <f>SUM(F4:F137)</f>
        <v>0</v>
      </c>
      <c r="G1" s="285">
        <f>SUM(G4:G137)</f>
        <v>134064019.64614016</v>
      </c>
      <c r="H1" s="285">
        <f t="shared" ref="H1:M1" si="1">SUM(H4:H137)</f>
        <v>0</v>
      </c>
      <c r="I1" s="285">
        <f t="shared" si="1"/>
        <v>0</v>
      </c>
      <c r="J1" s="285">
        <f t="shared" si="1"/>
        <v>-34380676.964521416</v>
      </c>
      <c r="K1" s="285">
        <f t="shared" si="1"/>
        <v>-24993508.862920005</v>
      </c>
      <c r="L1" s="285">
        <f t="shared" si="1"/>
        <v>1765928959.3363993</v>
      </c>
      <c r="M1" s="285">
        <f t="shared" si="1"/>
        <v>52468392.906052798</v>
      </c>
      <c r="N1" s="286">
        <f>L1/M1</f>
        <v>33.657004941972986</v>
      </c>
      <c r="O1" s="285">
        <f t="shared" ref="O1:X1" si="2">SUM(O4:O137)</f>
        <v>2430903397.9385996</v>
      </c>
      <c r="P1" s="285">
        <f t="shared" si="2"/>
        <v>-389365576.84380007</v>
      </c>
      <c r="Q1" s="285">
        <f t="shared" si="2"/>
        <v>0</v>
      </c>
      <c r="R1" s="285">
        <f t="shared" si="2"/>
        <v>141637482.98624638</v>
      </c>
      <c r="S1" s="285">
        <f t="shared" si="2"/>
        <v>0</v>
      </c>
      <c r="T1" s="285">
        <f t="shared" si="2"/>
        <v>0</v>
      </c>
      <c r="U1" s="285">
        <f t="shared" si="2"/>
        <v>-39017092.663010336</v>
      </c>
      <c r="V1" s="285">
        <f t="shared" si="2"/>
        <v>-25835986.68976</v>
      </c>
      <c r="W1" s="285">
        <f t="shared" si="2"/>
        <v>1901863396.1115644</v>
      </c>
      <c r="X1" s="285">
        <f t="shared" si="2"/>
        <v>51787443.497015812</v>
      </c>
      <c r="Y1" s="285">
        <f>W1/X1</f>
        <v>36.724411704569988</v>
      </c>
      <c r="Z1" s="291">
        <f>Y1/N2-1</f>
        <v>9.8000000000000087E-2</v>
      </c>
    </row>
    <row r="2" spans="1:35">
      <c r="A2" s="41" t="s">
        <v>0</v>
      </c>
      <c r="B2" s="42"/>
      <c r="C2" s="40"/>
      <c r="D2" s="38" t="s">
        <v>149</v>
      </c>
      <c r="N2" s="287">
        <f>Y1/1.098</f>
        <v>33.446640896693978</v>
      </c>
      <c r="O2" s="38" t="s">
        <v>150</v>
      </c>
    </row>
    <row r="3" spans="1:35" s="49" customFormat="1">
      <c r="A3" s="47" t="s">
        <v>1</v>
      </c>
      <c r="B3" s="48" t="s">
        <v>2</v>
      </c>
      <c r="C3" s="43" t="s">
        <v>3</v>
      </c>
      <c r="D3" s="114" t="s">
        <v>159</v>
      </c>
      <c r="E3" s="114" t="s">
        <v>257</v>
      </c>
      <c r="F3" s="114" t="s">
        <v>208</v>
      </c>
      <c r="G3" s="114" t="s">
        <v>203</v>
      </c>
      <c r="H3" s="114" t="s">
        <v>239</v>
      </c>
      <c r="I3" s="114" t="s">
        <v>264</v>
      </c>
      <c r="J3" s="114" t="s">
        <v>258</v>
      </c>
      <c r="K3" s="114" t="s">
        <v>215</v>
      </c>
      <c r="L3" s="114" t="s">
        <v>179</v>
      </c>
      <c r="M3" s="114" t="s">
        <v>216</v>
      </c>
      <c r="N3" s="114" t="s">
        <v>221</v>
      </c>
      <c r="O3" s="118" t="s">
        <v>159</v>
      </c>
      <c r="P3" s="118" t="s">
        <v>257</v>
      </c>
      <c r="Q3" s="118" t="s">
        <v>208</v>
      </c>
      <c r="R3" s="118" t="s">
        <v>203</v>
      </c>
      <c r="S3" s="118" t="s">
        <v>239</v>
      </c>
      <c r="T3" s="118" t="s">
        <v>264</v>
      </c>
      <c r="U3" s="118" t="s">
        <v>258</v>
      </c>
      <c r="V3" s="118" t="s">
        <v>215</v>
      </c>
      <c r="W3" s="118" t="s">
        <v>179</v>
      </c>
      <c r="X3" s="118" t="s">
        <v>216</v>
      </c>
      <c r="Y3" s="118" t="s">
        <v>221</v>
      </c>
      <c r="Z3" s="71" t="s">
        <v>222</v>
      </c>
      <c r="AA3" s="120" t="s">
        <v>224</v>
      </c>
      <c r="AB3"/>
      <c r="AC3"/>
      <c r="AD3"/>
      <c r="AE3"/>
      <c r="AF3"/>
      <c r="AG3"/>
      <c r="AH3"/>
      <c r="AI3"/>
    </row>
    <row r="4" spans="1:35">
      <c r="B4" s="2">
        <v>10015</v>
      </c>
      <c r="C4" s="3" t="s">
        <v>8</v>
      </c>
      <c r="D4" s="115">
        <f>IF(Init!$R$9="Yes",'Staging Table'!F6,'Staging Table'!BS6)*Rates_previous!$E$76*100*12</f>
        <v>206764.22159999999</v>
      </c>
      <c r="E4" s="115">
        <f>IF(Init!$R$9="Yes",'Staging Table'!F6,'Staging Table'!BS6)*Rates_previous!$E$77*100*12</f>
        <v>-42212.770799999998</v>
      </c>
      <c r="F4" s="116"/>
      <c r="G4" s="116">
        <f>IF(Init!$R$9="Yes",SUMPRODUCT('Staging Table'!AJ6:AU6,LS_Demand_Rates_Restatement!$C$10:$N$10),SUMPRODUCT(LS_Demand_Rates_Restatement!$C$10:$N$10,'Staging Table'!CW6:DH6))*1000</f>
        <v>33714.16324567308</v>
      </c>
      <c r="H4" s="117"/>
      <c r="I4" s="115">
        <v>0</v>
      </c>
      <c r="J4" s="117">
        <f>IF(Init!$R$9="Yes",IF('Staging Table'!D6=1,'Staging Table'!H6*-1*'Staging Table'!F6/'Staging Table'!E6,'Staging Table'!H6*SUM(D4:I4)*(-1)),IF('Staging Table'!D6=1,'Staging Table'!BU6*-1*'Staging Table'!BS6/'Staging Table'!BR6,'Staging Table'!BU6*SUM(D4:I4)*(-1)))</f>
        <v>0</v>
      </c>
      <c r="K4" s="115">
        <f>IF(Init!$R$9="Yes",'Staging Table'!K6,'Staging Table'!BX6)*(-1)*Rates_previous!$H$32</f>
        <v>0</v>
      </c>
      <c r="L4" s="115">
        <f>IF('Staging Table'!C6=1,"",SUM(D4:K4))</f>
        <v>198265.61404567308</v>
      </c>
      <c r="M4" s="115">
        <f>IF('Staging Table'!C6=1,"",IF(Init!$R$9="Yes",(RT1SC!$C$3*'Staging Table'!F6*'Staging Table'!$F$2),X4))</f>
        <v>5149.7016472799996</v>
      </c>
      <c r="N4" s="69">
        <f>IF('Staging Table'!C6=1,"",IF(M4=0, 0, L4/M4))</f>
        <v>38.500407912057234</v>
      </c>
      <c r="O4" s="115">
        <f>'Staging Table'!BS6*Rates_current!$F$77*100*12</f>
        <v>210294.5208</v>
      </c>
      <c r="P4" s="115">
        <f>'Staging Table'!BS6*Rates_current!$F$78*100*12</f>
        <v>-33683.546399999999</v>
      </c>
      <c r="Q4" s="116"/>
      <c r="R4" s="116">
        <f>SUMPRODUCT('Staging Table'!CW6:DH6, LS_Demand_Rates_Restatement!$C$11:$N$11)*1000</f>
        <v>38354.911118767799</v>
      </c>
      <c r="S4" s="117"/>
      <c r="T4" s="117">
        <v>0</v>
      </c>
      <c r="U4" s="117">
        <f>IF('Staging Table'!D6=1, 'Staging Table'!BU6*-1*'Staging Table'!BS6/'Staging Table'!BR6,SUM(O4:T4)*'Staging Table'!BU6*-1)</f>
        <v>0</v>
      </c>
      <c r="V4" s="115">
        <f>'Staging Table'!BX6*Rates_current!$I$44*-1</f>
        <v>0</v>
      </c>
      <c r="W4" s="115">
        <f>IF('Staging Table'!C6=1,"",SUM(O4:V4))</f>
        <v>214965.88551876781</v>
      </c>
      <c r="X4" s="115">
        <f>IF('Staging Table'!C6=1,"",(RT1SC!$C$4*'Staging Table'!BS6*'Staging Table'!$BS$2))</f>
        <v>5057.1096522239995</v>
      </c>
      <c r="Y4" s="69">
        <f>IF('Staging Table'!C6=1,"",IF(X4=0, 0, W4/X4))</f>
        <v>42.507657595328354</v>
      </c>
      <c r="Z4" s="64">
        <f ca="1">IF('Staging Table'!C6=1,"",(Y4/N4-1)+(RAND()/100000000000))</f>
        <v>0.10408330458717364</v>
      </c>
      <c r="AA4" s="45">
        <f t="shared" ref="AA4:AA35" ca="1" si="3">IF(Z4="","",RANK(Z4,$Z$4:$Z$137))</f>
        <v>5</v>
      </c>
      <c r="AD4" s="119"/>
      <c r="AE4" s="119"/>
      <c r="AG4" s="119"/>
      <c r="AH4" s="119"/>
    </row>
    <row r="5" spans="1:35">
      <c r="B5" s="2">
        <v>10024</v>
      </c>
      <c r="C5" s="3" t="s">
        <v>9</v>
      </c>
      <c r="D5" s="115">
        <f>IF(Init!$R$9="Yes",'Staging Table'!F7,'Staging Table'!BS7)*Rates_previous!$E$76*100*12</f>
        <v>72461642.470559999</v>
      </c>
      <c r="E5" s="115">
        <f>IF(Init!$R$9="Yes",'Staging Table'!F7,'Staging Table'!BS7)*Rates_previous!$E$77*100*12</f>
        <v>-14793694.391279999</v>
      </c>
      <c r="F5" s="116"/>
      <c r="G5" s="116">
        <f>IF(Init!$R$9="Yes",SUMPRODUCT('Staging Table'!AJ7:AU7,LS_Demand_Rates_Restatement!$C$10:$N$10),SUMPRODUCT(LS_Demand_Rates_Restatement!$C$10:$N$10,'Staging Table'!CW7:DH7))*1000</f>
        <v>3763233.7262085732</v>
      </c>
      <c r="H5" s="117"/>
      <c r="I5" s="115">
        <v>0</v>
      </c>
      <c r="J5" s="117">
        <f>IF(Init!$R$9="Yes",IF('Staging Table'!D7=1,'Staging Table'!H7*-1*'Staging Table'!F7/'Staging Table'!E7,'Staging Table'!H7*SUM(D5:I5)*(-1)),IF('Staging Table'!D7=1,'Staging Table'!BU7*-1*'Staging Table'!BS7/'Staging Table'!BR7,'Staging Table'!BU7*SUM(D5:I5)*(-1)))</f>
        <v>0</v>
      </c>
      <c r="K5" s="115">
        <f>IF(Init!$R$9="Yes",'Staging Table'!K7,'Staging Table'!BX7)*(-1)*Rates_previous!$H$32</f>
        <v>-3612607.5440000002</v>
      </c>
      <c r="L5" s="115">
        <f>IF('Staging Table'!C7=1,"",SUM(D5:K5))</f>
        <v>57818574.261488579</v>
      </c>
      <c r="M5" s="115">
        <f>IF('Staging Table'!C7=1,"",IF(Init!$R$9="Yes",(RT1SC!$C$3*'Staging Table'!F7*'Staging Table'!$F$2),X5))</f>
        <v>1804740.8623584481</v>
      </c>
      <c r="N5" s="69">
        <f>IF('Staging Table'!C7=1,"",IF(M5=0, 0, L5/M5))</f>
        <v>32.037050563553407</v>
      </c>
      <c r="O5" s="115">
        <f>'Staging Table'!BS7*Rates_current!$F$77*100*12</f>
        <v>73613182.632599995</v>
      </c>
      <c r="P5" s="115">
        <f>'Staging Table'!BS7*Rates_current!$F$78*100*12</f>
        <v>-11790859.045799999</v>
      </c>
      <c r="Q5" s="116"/>
      <c r="R5" s="116">
        <f>SUMPRODUCT('Staging Table'!CW7:DH7, LS_Demand_Rates_Restatement!$C$11:$N$11)*1000</f>
        <v>4146076.8696862441</v>
      </c>
      <c r="S5" s="117"/>
      <c r="T5" s="117">
        <v>0</v>
      </c>
      <c r="U5" s="117">
        <f>IF('Staging Table'!D7=1, 'Staging Table'!BU7*-1*'Staging Table'!BS7/'Staging Table'!BR7,SUM(O5:T5)*'Staging Table'!BU7*-1)</f>
        <v>0</v>
      </c>
      <c r="V5" s="115">
        <f>'Staging Table'!BX7*Rates_current!$I$44*-1</f>
        <v>-3734380.8320000004</v>
      </c>
      <c r="W5" s="115">
        <f>IF('Staging Table'!C7=1,"",SUM(O5:V5))</f>
        <v>62234019.624486238</v>
      </c>
      <c r="X5" s="115">
        <f>IF('Staging Table'!C7=1,"",(RT1SC!$C$4*'Staging Table'!BS7*'Staging Table'!$BS$2))</f>
        <v>1770231.2690129282</v>
      </c>
      <c r="Y5" s="69">
        <f>IF('Staging Table'!C7=1,"",IF(X5=0, 0, W5/X5))</f>
        <v>35.155869582615388</v>
      </c>
      <c r="Z5" s="64">
        <f ca="1">IF('Staging Table'!C7=1,"",(Y5/N5-1)+(RAND()/100000000000))</f>
        <v>9.7350379150712804E-2</v>
      </c>
      <c r="AA5" s="45">
        <f t="shared" ca="1" si="3"/>
        <v>28</v>
      </c>
      <c r="AD5" s="119"/>
      <c r="AE5" s="119"/>
      <c r="AG5" s="119"/>
      <c r="AH5" s="119"/>
    </row>
    <row r="6" spans="1:35">
      <c r="B6" s="2">
        <v>10025</v>
      </c>
      <c r="C6" s="3" t="s">
        <v>10</v>
      </c>
      <c r="D6" s="115">
        <f>IF(Init!$R$9="Yes",'Staging Table'!F8,'Staging Table'!BS8)*Rates_previous!$E$76*100*12</f>
        <v>21515685.608879998</v>
      </c>
      <c r="E6" s="115">
        <f>IF(Init!$R$9="Yes",'Staging Table'!F8,'Staging Table'!BS8)*Rates_previous!$E$77*100*12</f>
        <v>-4392620.2424400002</v>
      </c>
      <c r="F6" s="116"/>
      <c r="G6" s="116">
        <f>IF(Init!$R$9="Yes",SUMPRODUCT('Staging Table'!AJ8:AU8,LS_Demand_Rates_Restatement!$C$10:$N$10),SUMPRODUCT(LS_Demand_Rates_Restatement!$C$10:$N$10,'Staging Table'!CW8:DH8))*1000</f>
        <v>1529911.9823596419</v>
      </c>
      <c r="H6" s="117"/>
      <c r="I6" s="115">
        <v>0</v>
      </c>
      <c r="J6" s="117">
        <f>IF(Init!$R$9="Yes",IF('Staging Table'!D8=1,'Staging Table'!H8*-1*'Staging Table'!F8/'Staging Table'!E8,'Staging Table'!H8*SUM(D6:I6)*(-1)),IF('Staging Table'!D8=1,'Staging Table'!BU8*-1*'Staging Table'!BS8/'Staging Table'!BR8,'Staging Table'!BU8*SUM(D6:I6)*(-1)))</f>
        <v>-1114732.6170606671</v>
      </c>
      <c r="K6" s="115">
        <f>IF(Init!$R$9="Yes",'Staging Table'!K8,'Staging Table'!BX8)*(-1)*Rates_previous!$H$32</f>
        <v>-959162.91549000004</v>
      </c>
      <c r="L6" s="115">
        <f>IF('Staging Table'!C8=1,"",SUM(D6:K6))</f>
        <v>16579081.81624897</v>
      </c>
      <c r="M6" s="115">
        <f>IF('Staging Table'!C8=1,"",IF(Init!$R$9="Yes",(RT1SC!$C$3*'Staging Table'!F8*'Staging Table'!$F$2),X6))</f>
        <v>535872.98984810396</v>
      </c>
      <c r="N6" s="69">
        <f>IF('Staging Table'!C8=1,"",IF(M6=0, 0, L6/M6))</f>
        <v>30.938453943999676</v>
      </c>
      <c r="O6" s="115">
        <f>'Staging Table'!BS8*Rates_current!$F$77*100*12</f>
        <v>21857680.9932</v>
      </c>
      <c r="P6" s="115">
        <f>'Staging Table'!BS8*Rates_current!$F$78*100*12</f>
        <v>-3501014.7155999998</v>
      </c>
      <c r="Q6" s="116"/>
      <c r="R6" s="116">
        <f>SUMPRODUCT('Staging Table'!CW8:DH8, LS_Demand_Rates_Restatement!$C$11:$N$11)*1000</f>
        <v>1670720.3329102925</v>
      </c>
      <c r="S6" s="117"/>
      <c r="T6" s="117">
        <v>0</v>
      </c>
      <c r="U6" s="117">
        <f>IF('Staging Table'!D8=1, 'Staging Table'!BU8*-1*'Staging Table'!BS8/'Staging Table'!BR8,SUM(O6:T6)*'Staging Table'!BU8*-1)</f>
        <v>-1373234.272402334</v>
      </c>
      <c r="V6" s="115">
        <f>'Staging Table'!BX8*Rates_current!$I$44*-1</f>
        <v>-991494.24972000008</v>
      </c>
      <c r="W6" s="115">
        <f>IF('Staging Table'!C8=1,"",SUM(O6:V6))</f>
        <v>17662658.088387959</v>
      </c>
      <c r="X6" s="115">
        <f>IF('Staging Table'!C8=1,"",(RT1SC!$C$4*'Staging Table'!BS8*'Staging Table'!$BS$2))</f>
        <v>525628.00545369613</v>
      </c>
      <c r="Y6" s="69">
        <f>IF('Staging Table'!C8=1,"",IF(X6=0, 0, W6/X6))</f>
        <v>33.602962370968847</v>
      </c>
      <c r="Z6" s="64">
        <f ca="1">IF('Staging Table'!C8=1,"",(Y6/N6-1)+(RAND()/100000000000))</f>
        <v>8.6122869360128848E-2</v>
      </c>
      <c r="AA6" s="45">
        <f t="shared" ca="1" si="3"/>
        <v>109</v>
      </c>
      <c r="AD6" s="119"/>
      <c r="AE6" s="119"/>
      <c r="AG6" s="119"/>
      <c r="AH6" s="119"/>
    </row>
    <row r="7" spans="1:35">
      <c r="B7" s="2">
        <v>10027</v>
      </c>
      <c r="C7" s="3" t="s">
        <v>11</v>
      </c>
      <c r="D7" s="115">
        <f>IF(Init!$R$9="Yes",'Staging Table'!F9,'Staging Table'!BS9)*Rates_previous!$E$76*100*12</f>
        <v>22069215.85032</v>
      </c>
      <c r="E7" s="115">
        <f>IF(Init!$R$9="Yes",'Staging Table'!F9,'Staging Table'!BS9)*Rates_previous!$E$77*100*12</f>
        <v>-4505628.4071599999</v>
      </c>
      <c r="F7" s="116"/>
      <c r="G7" s="116">
        <f>IF(Init!$R$9="Yes",SUMPRODUCT('Staging Table'!AJ9:AU9,LS_Demand_Rates_Restatement!$C$10:$N$10),SUMPRODUCT(LS_Demand_Rates_Restatement!$C$10:$N$10,'Staging Table'!CW9:DH9))*1000</f>
        <v>1423795.8694122329</v>
      </c>
      <c r="H7" s="117"/>
      <c r="I7" s="115">
        <v>0</v>
      </c>
      <c r="J7" s="117">
        <f>IF(Init!$R$9="Yes",IF('Staging Table'!D9=1,'Staging Table'!H9*-1*'Staging Table'!F9/'Staging Table'!E9,'Staging Table'!H9*SUM(D7:I7)*(-1)),IF('Staging Table'!D9=1,'Staging Table'!BU9*-1*'Staging Table'!BS9/'Staging Table'!BR9,'Staging Table'!BU9*SUM(D7:I7)*(-1)))</f>
        <v>-1472401.8555737638</v>
      </c>
      <c r="K7" s="115">
        <f>IF(Init!$R$9="Yes",'Staging Table'!K9,'Staging Table'!BX9)*(-1)*Rates_previous!$H$32</f>
        <v>-2425876.5778000001</v>
      </c>
      <c r="L7" s="115">
        <f>IF('Staging Table'!C9=1,"",SUM(D7:K7))</f>
        <v>15089104.879198471</v>
      </c>
      <c r="M7" s="115">
        <f>IF('Staging Table'!C9=1,"",IF(Init!$R$9="Yes",(RT1SC!$C$3*'Staging Table'!F9*'Staging Table'!$F$2),X7))</f>
        <v>549659.29955925595</v>
      </c>
      <c r="N7" s="69">
        <f>IF('Staging Table'!C9=1,"",IF(M7=0, 0, L7/M7))</f>
        <v>27.451741271907277</v>
      </c>
      <c r="O7" s="115">
        <f>'Staging Table'!BS9*Rates_current!$F$77*100*12</f>
        <v>22419933.954599999</v>
      </c>
      <c r="P7" s="115">
        <f>'Staging Table'!BS9*Rates_current!$F$78*100*12</f>
        <v>-3591072.5718</v>
      </c>
      <c r="Q7" s="116"/>
      <c r="R7" s="116">
        <f>SUMPRODUCT('Staging Table'!CW9:DH9, LS_Demand_Rates_Restatement!$C$11:$N$11)*1000</f>
        <v>1540933.0914544696</v>
      </c>
      <c r="S7" s="117"/>
      <c r="T7" s="117">
        <v>0</v>
      </c>
      <c r="U7" s="117">
        <f>IF('Staging Table'!D9=1, 'Staging Table'!BU9*-1*'Staging Table'!BS9/'Staging Table'!BR9,SUM(O7:T7)*'Staging Table'!BU9*-1)</f>
        <v>-1680982.1489659436</v>
      </c>
      <c r="V7" s="115">
        <f>'Staging Table'!BX9*Rates_current!$I$44*-1</f>
        <v>-2507647.6984000001</v>
      </c>
      <c r="W7" s="115">
        <f>IF('Staging Table'!C9=1,"",SUM(O7:V7))</f>
        <v>16181164.626888523</v>
      </c>
      <c r="X7" s="115">
        <f>IF('Staging Table'!C9=1,"",(RT1SC!$C$4*'Staging Table'!BS9*'Staging Table'!$BS$2))</f>
        <v>539148.92300908815</v>
      </c>
      <c r="Y7" s="69">
        <f>IF('Staging Table'!C9=1,"",IF(X7=0, 0, W7/X7))</f>
        <v>30.012421311311357</v>
      </c>
      <c r="Z7" s="64">
        <f ca="1">IF('Staging Table'!C9=1,"",(Y7/N7-1)+(RAND()/100000000000))</f>
        <v>9.3279330228271409E-2</v>
      </c>
      <c r="AA7" s="45">
        <f t="shared" ca="1" si="3"/>
        <v>70</v>
      </c>
      <c r="AD7" s="119"/>
      <c r="AE7" s="119"/>
      <c r="AG7" s="119"/>
      <c r="AH7" s="119"/>
    </row>
    <row r="8" spans="1:35">
      <c r="B8" s="2">
        <v>10029</v>
      </c>
      <c r="C8" s="3" t="s">
        <v>12</v>
      </c>
      <c r="D8" s="115">
        <f>IF(Init!$R$9="Yes",'Staging Table'!F10,'Staging Table'!BS10)*Rates_previous!$E$76*100*12</f>
        <v>6353142.1005600002</v>
      </c>
      <c r="E8" s="115">
        <f>IF(Init!$R$9="Yes",'Staging Table'!F10,'Staging Table'!BS10)*Rates_previous!$E$77*100*12</f>
        <v>-1297050.95628</v>
      </c>
      <c r="F8" s="116"/>
      <c r="G8" s="116">
        <f>IF(Init!$R$9="Yes",SUMPRODUCT('Staging Table'!AJ10:AU10,LS_Demand_Rates_Restatement!$C$10:$N$10),SUMPRODUCT(LS_Demand_Rates_Restatement!$C$10:$N$10,'Staging Table'!CW10:DH10))*1000</f>
        <v>0</v>
      </c>
      <c r="H8" s="117"/>
      <c r="I8" s="115">
        <v>0</v>
      </c>
      <c r="J8" s="117">
        <f>IF(Init!$R$9="Yes",IF('Staging Table'!D10=1,'Staging Table'!H10*-1*'Staging Table'!F10/'Staging Table'!E10,'Staging Table'!H10*SUM(D8:I8)*(-1)),IF('Staging Table'!D10=1,'Staging Table'!BU10*-1*'Staging Table'!BS10/'Staging Table'!BR10,'Staging Table'!BU10*SUM(D8:I8)*(-1)))</f>
        <v>-404445.67408009747</v>
      </c>
      <c r="K8" s="115">
        <f>IF(Init!$R$9="Yes",'Staging Table'!K10,'Staging Table'!BX10)*(-1)*Rates_previous!$H$32</f>
        <v>0</v>
      </c>
      <c r="L8" s="115" t="str">
        <f>IF('Staging Table'!C10=1,"",SUM(D8:K8))</f>
        <v/>
      </c>
      <c r="M8" s="115" t="str">
        <f>IF('Staging Table'!C10=1,"",IF(Init!$R$9="Yes",(RT1SC!$C$3*'Staging Table'!F10*'Staging Table'!$F$2),X8))</f>
        <v/>
      </c>
      <c r="N8" s="69" t="str">
        <f>IF('Staging Table'!C10=1,"",IF(M8=0, 0, L8/M8))</f>
        <v/>
      </c>
      <c r="O8" s="115">
        <f>'Staging Table'!BS10*Rates_current!$F$77*100*12</f>
        <v>6454125.3114</v>
      </c>
      <c r="P8" s="115">
        <f>'Staging Table'!BS10*Rates_current!$F$78*100*12</f>
        <v>-1033777.9062000001</v>
      </c>
      <c r="Q8" s="116"/>
      <c r="R8" s="116">
        <f>SUMPRODUCT('Staging Table'!CW10:DH10, LS_Demand_Rates_Restatement!$C$11:$N$11)*1000</f>
        <v>0</v>
      </c>
      <c r="S8" s="117"/>
      <c r="T8" s="117">
        <v>0</v>
      </c>
      <c r="U8" s="117">
        <f>IF('Staging Table'!D10=1, 'Staging Table'!BU10*-1*'Staging Table'!BS10/'Staging Table'!BR10,SUM(O8:T8)*'Staging Table'!BU10*-1)</f>
        <v>-461590.70327345049</v>
      </c>
      <c r="V8" s="115">
        <f>'Staging Table'!BX10*Rates_current!$I$44*-1</f>
        <v>0</v>
      </c>
      <c r="W8" s="115" t="str">
        <f>IF('Staging Table'!C10=1,"",SUM(O8:V8))</f>
        <v/>
      </c>
      <c r="X8" s="115" t="str">
        <f>IF('Staging Table'!C10=1,"",(RT1SC!$C$4*'Staging Table'!BS10*'Staging Table'!$BS$2))</f>
        <v/>
      </c>
      <c r="Y8" s="69" t="str">
        <f>IF('Staging Table'!C10=1,"",IF(X8=0, 0, W8/X8))</f>
        <v/>
      </c>
      <c r="Z8" s="64" t="str">
        <f ca="1">IF('Staging Table'!C10=1,"",(Y8/N8-1)+(RAND()/100000000000))</f>
        <v/>
      </c>
      <c r="AA8" s="45" t="str">
        <f t="shared" ca="1" si="3"/>
        <v/>
      </c>
      <c r="AD8" s="119"/>
      <c r="AE8" s="119"/>
      <c r="AG8" s="119"/>
      <c r="AH8" s="119"/>
    </row>
    <row r="9" spans="1:35">
      <c r="B9" s="2">
        <v>10044</v>
      </c>
      <c r="C9" s="3" t="s">
        <v>13</v>
      </c>
      <c r="D9" s="115">
        <f>IF(Init!$R$9="Yes",'Staging Table'!F11,'Staging Table'!BS11)*Rates_previous!$E$76*100*12</f>
        <v>7324186.60152</v>
      </c>
      <c r="E9" s="115">
        <f>IF(Init!$R$9="Yes",'Staging Table'!F11,'Staging Table'!BS11)*Rates_previous!$E$77*100*12</f>
        <v>-1495298.4027600002</v>
      </c>
      <c r="F9" s="116"/>
      <c r="G9" s="116">
        <f>IF(Init!$R$9="Yes",SUMPRODUCT('Staging Table'!AJ11:AU11,LS_Demand_Rates_Restatement!$C$10:$N$10),SUMPRODUCT(LS_Demand_Rates_Restatement!$C$10:$N$10,'Staging Table'!CW11:DH11))*1000</f>
        <v>444502.72548223817</v>
      </c>
      <c r="H9" s="117"/>
      <c r="I9" s="115">
        <v>0</v>
      </c>
      <c r="J9" s="117">
        <f>IF(Init!$R$9="Yes",IF('Staging Table'!D11=1,'Staging Table'!H11*-1*'Staging Table'!F11/'Staging Table'!E11,'Staging Table'!H11*SUM(D9:I9)*(-1)),IF('Staging Table'!D11=1,'Staging Table'!BU11*-1*'Staging Table'!BS11/'Staging Table'!BR11,'Staging Table'!BU11*SUM(D9:I9)*(-1)))</f>
        <v>0</v>
      </c>
      <c r="K9" s="115">
        <f>IF(Init!$R$9="Yes",'Staging Table'!K11,'Staging Table'!BX11)*(-1)*Rates_previous!$H$32</f>
        <v>0</v>
      </c>
      <c r="L9" s="115">
        <f>IF('Staging Table'!C11=1,"",SUM(D9:K9))</f>
        <v>6273390.9242422385</v>
      </c>
      <c r="M9" s="115">
        <f>IF('Staging Table'!C11=1,"",IF(Init!$R$9="Yes",(RT1SC!$C$3*'Staging Table'!F11*'Staging Table'!$F$2),X9))</f>
        <v>182417.32305021601</v>
      </c>
      <c r="N9" s="69">
        <f>IF('Staging Table'!C11=1,"",IF(M9=0, 0, L9/M9))</f>
        <v>34.390324445860294</v>
      </c>
      <c r="O9" s="115">
        <f>'Staging Table'!BS11*Rates_current!$F$77*100*12</f>
        <v>7440593.0820000004</v>
      </c>
      <c r="P9" s="115">
        <f>'Staging Table'!BS11*Rates_current!$F$78*100*12</f>
        <v>-1191783.6059999999</v>
      </c>
      <c r="Q9" s="116"/>
      <c r="R9" s="116">
        <f>SUMPRODUCT('Staging Table'!CW11:DH11, LS_Demand_Rates_Restatement!$C$11:$N$11)*1000</f>
        <v>480662.25775714929</v>
      </c>
      <c r="S9" s="117"/>
      <c r="T9" s="117">
        <v>0</v>
      </c>
      <c r="U9" s="117">
        <f>IF('Staging Table'!D11=1, 'Staging Table'!BU11*-1*'Staging Table'!BS11/'Staging Table'!BR11,SUM(O9:T9)*'Staging Table'!BU11*-1)</f>
        <v>0</v>
      </c>
      <c r="V9" s="115">
        <f>'Staging Table'!BX11*Rates_current!$I$44*-1</f>
        <v>0</v>
      </c>
      <c r="W9" s="115">
        <f>IF('Staging Table'!C11=1,"",SUM(O9:V9))</f>
        <v>6729471.7337571504</v>
      </c>
      <c r="X9" s="115">
        <f>IF('Staging Table'!C11=1,"",(RT1SC!$C$4*'Staging Table'!BS11*'Staging Table'!$BS$2))</f>
        <v>178929.50776896003</v>
      </c>
      <c r="Y9" s="69">
        <f>IF('Staging Table'!C11=1,"",IF(X9=0, 0, W9/X9))</f>
        <v>37.609625252233279</v>
      </c>
      <c r="Z9" s="64">
        <f ca="1">IF('Staging Table'!C11=1,"",(Y9/N9-1)+(RAND()/100000000000))</f>
        <v>9.3610655272253332E-2</v>
      </c>
      <c r="AA9" s="45">
        <f t="shared" ca="1" si="3"/>
        <v>64</v>
      </c>
      <c r="AD9" s="119"/>
      <c r="AE9" s="119"/>
      <c r="AG9" s="119"/>
      <c r="AH9" s="119"/>
    </row>
    <row r="10" spans="1:35">
      <c r="B10" s="2">
        <v>10046</v>
      </c>
      <c r="C10" s="3" t="s">
        <v>14</v>
      </c>
      <c r="D10" s="115">
        <f>IF(Init!$R$9="Yes",'Staging Table'!F12,'Staging Table'!BS12)*Rates_previous!$E$76*100*12</f>
        <v>29518955.665919997</v>
      </c>
      <c r="E10" s="115">
        <f>IF(Init!$R$9="Yes",'Staging Table'!F12,'Staging Table'!BS12)*Rates_previous!$E$77*100*12</f>
        <v>-6026559.6249599997</v>
      </c>
      <c r="F10" s="116"/>
      <c r="G10" s="116">
        <f>IF(Init!$R$9="Yes",SUMPRODUCT('Staging Table'!AJ12:AU12,LS_Demand_Rates_Restatement!$C$10:$N$10),SUMPRODUCT(LS_Demand_Rates_Restatement!$C$10:$N$10,'Staging Table'!CW12:DH12))*1000</f>
        <v>0</v>
      </c>
      <c r="H10" s="117"/>
      <c r="I10" s="115">
        <v>0</v>
      </c>
      <c r="J10" s="117">
        <f>IF(Init!$R$9="Yes",IF('Staging Table'!D12=1,'Staging Table'!H12*-1*'Staging Table'!F12/'Staging Table'!E12,'Staging Table'!H12*SUM(D10:I10)*(-1)),IF('Staging Table'!D12=1,'Staging Table'!BU12*-1*'Staging Table'!BS12/'Staging Table'!BR12,'Staging Table'!BU12*SUM(D10:I10)*(-1)))</f>
        <v>-1844678.7556500891</v>
      </c>
      <c r="K10" s="115">
        <f>IF(Init!$R$9="Yes",'Staging Table'!K12,'Staging Table'!BX12)*(-1)*Rates_previous!$H$32</f>
        <v>-475358.73749000003</v>
      </c>
      <c r="L10" s="115" t="str">
        <f>IF('Staging Table'!C12=1,"",SUM(D10:K10))</f>
        <v/>
      </c>
      <c r="M10" s="115" t="str">
        <f>IF('Staging Table'!C12=1,"",IF(Init!$R$9="Yes",(RT1SC!$C$3*'Staging Table'!F12*'Staging Table'!$F$2),X10))</f>
        <v/>
      </c>
      <c r="N10" s="69" t="str">
        <f>IF('Staging Table'!C12=1,"",IF(M10=0, 0, L10/M10))</f>
        <v/>
      </c>
      <c r="O10" s="115">
        <f>'Staging Table'!BS12*Rates_current!$F$77*100*12</f>
        <v>29988205.852799997</v>
      </c>
      <c r="P10" s="115">
        <f>'Staging Table'!BS12*Rates_current!$F$78*100*12</f>
        <v>-4803306.9024</v>
      </c>
      <c r="Q10" s="116"/>
      <c r="R10" s="116">
        <f>SUMPRODUCT('Staging Table'!CW12:DH12, LS_Demand_Rates_Restatement!$C$11:$N$11)*1000</f>
        <v>0</v>
      </c>
      <c r="S10" s="117"/>
      <c r="T10" s="117">
        <v>0</v>
      </c>
      <c r="U10" s="117">
        <f>IF('Staging Table'!D12=1, 'Staging Table'!BU12*-1*'Staging Table'!BS12/'Staging Table'!BR12,SUM(O10:T10)*'Staging Table'!BU12*-1)</f>
        <v>-2037071.1121990839</v>
      </c>
      <c r="V10" s="115">
        <f>'Staging Table'!BX12*Rates_current!$I$44*-1</f>
        <v>-491382.06572000007</v>
      </c>
      <c r="W10" s="115" t="str">
        <f>IF('Staging Table'!C12=1,"",SUM(O10:V10))</f>
        <v/>
      </c>
      <c r="X10" s="115" t="str">
        <f>IF('Staging Table'!C12=1,"",(RT1SC!$C$4*'Staging Table'!BS12*'Staging Table'!$BS$2))</f>
        <v/>
      </c>
      <c r="Y10" s="69" t="str">
        <f>IF('Staging Table'!C12=1,"",IF(X10=0, 0, W10/X10))</f>
        <v/>
      </c>
      <c r="Z10" s="64" t="str">
        <f ca="1">IF('Staging Table'!C12=1,"",(Y10/N10-1)+(RAND()/100000000000))</f>
        <v/>
      </c>
      <c r="AA10" s="45" t="str">
        <f t="shared" ca="1" si="3"/>
        <v/>
      </c>
      <c r="AD10" s="119"/>
      <c r="AE10" s="119"/>
      <c r="AG10" s="119"/>
      <c r="AH10" s="119"/>
    </row>
    <row r="11" spans="1:35">
      <c r="B11" s="2">
        <v>10047</v>
      </c>
      <c r="C11" s="3" t="s">
        <v>15</v>
      </c>
      <c r="D11" s="115">
        <f>IF(Init!$R$9="Yes",'Staging Table'!F13,'Staging Table'!BS13)*Rates_previous!$E$76*100*12</f>
        <v>54930776.727600008</v>
      </c>
      <c r="E11" s="115">
        <f>IF(Init!$R$9="Yes",'Staging Table'!F13,'Staging Table'!BS13)*Rates_previous!$E$77*100*12</f>
        <v>-11214610.8738</v>
      </c>
      <c r="F11" s="116"/>
      <c r="G11" s="116">
        <f>IF(Init!$R$9="Yes",SUMPRODUCT('Staging Table'!AJ13:AU13,LS_Demand_Rates_Restatement!$C$10:$N$10),SUMPRODUCT(LS_Demand_Rates_Restatement!$C$10:$N$10,'Staging Table'!CW13:DH13))*1000</f>
        <v>1765987.1303468221</v>
      </c>
      <c r="H11" s="117"/>
      <c r="I11" s="115">
        <v>0</v>
      </c>
      <c r="J11" s="117">
        <f>IF(Init!$R$9="Yes",IF('Staging Table'!D13=1,'Staging Table'!H13*-1*'Staging Table'!F13/'Staging Table'!E13,'Staging Table'!H13*SUM(D11:I11)*(-1)),IF('Staging Table'!D13=1,'Staging Table'!BU13*-1*'Staging Table'!BS13/'Staging Table'!BR13,'Staging Table'!BU13*SUM(D11:I11)*(-1)))</f>
        <v>0</v>
      </c>
      <c r="K11" s="115">
        <f>IF(Init!$R$9="Yes",'Staging Table'!K13,'Staging Table'!BX13)*(-1)*Rates_previous!$H$32</f>
        <v>0</v>
      </c>
      <c r="L11" s="115">
        <f>IF('Staging Table'!C13=1,"",SUM(D11:K11))</f>
        <v>45482152.984146826</v>
      </c>
      <c r="M11" s="115">
        <f>IF('Staging Table'!C13=1,"",IF(Init!$R$9="Yes",(RT1SC!$C$3*'Staging Table'!F13*'Staging Table'!$F$2),X11))</f>
        <v>1368114.4117270801</v>
      </c>
      <c r="N11" s="69">
        <f>IF('Staging Table'!C13=1,"",IF(M11=0, 0, L11/M11))</f>
        <v>33.244407481046174</v>
      </c>
      <c r="O11" s="115">
        <f>'Staging Table'!BS13*Rates_current!$F$77*100*12</f>
        <v>55195060.174799994</v>
      </c>
      <c r="P11" s="115">
        <f>'Staging Table'!BS13*Rates_current!$F$78*100*12</f>
        <v>-8840769.4284000006</v>
      </c>
      <c r="Q11" s="116"/>
      <c r="R11" s="116">
        <f>SUMPRODUCT('Staging Table'!CW13:DH13, LS_Demand_Rates_Restatement!$C$11:$N$11)*1000</f>
        <v>1977416.6997575769</v>
      </c>
      <c r="S11" s="117"/>
      <c r="T11" s="117">
        <v>0</v>
      </c>
      <c r="U11" s="117">
        <f>IF('Staging Table'!D13=1, 'Staging Table'!BU13*-1*'Staging Table'!BS13/'Staging Table'!BR13,SUM(O11:T11)*'Staging Table'!BU13*-1)</f>
        <v>0</v>
      </c>
      <c r="V11" s="115">
        <f>'Staging Table'!BX13*Rates_current!$I$44*-1</f>
        <v>0</v>
      </c>
      <c r="W11" s="115">
        <f>IF('Staging Table'!C13=1,"",SUM(O11:V11))</f>
        <v>48331707.446157567</v>
      </c>
      <c r="X11" s="115">
        <f>IF('Staging Table'!C13=1,"",(RT1SC!$C$4*'Staging Table'!BS13*'Staging Table'!$BS$2))</f>
        <v>1327316.9006173441</v>
      </c>
      <c r="Y11" s="69">
        <f>IF('Staging Table'!C13=1,"",IF(X11=0, 0, W11/X11))</f>
        <v>36.413088256224391</v>
      </c>
      <c r="Z11" s="64">
        <f ca="1">IF('Staging Table'!C13=1,"",(Y11/N11-1)+(RAND()/100000000000))</f>
        <v>9.5314701496508655E-2</v>
      </c>
      <c r="AA11" s="45">
        <f t="shared" ca="1" si="3"/>
        <v>42</v>
      </c>
      <c r="AD11" s="119"/>
      <c r="AE11" s="119"/>
      <c r="AG11" s="119"/>
      <c r="AH11" s="119"/>
    </row>
    <row r="12" spans="1:35">
      <c r="B12" s="2">
        <v>10055</v>
      </c>
      <c r="C12" s="3" t="s">
        <v>16</v>
      </c>
      <c r="D12" s="115">
        <f>IF(Init!$R$9="Yes",'Staging Table'!F14,'Staging Table'!BS14)*Rates_previous!$E$76*100*12</f>
        <v>140998.25232000003</v>
      </c>
      <c r="E12" s="115">
        <f>IF(Init!$R$9="Yes",'Staging Table'!F14,'Staging Table'!BS14)*Rates_previous!$E$77*100*12</f>
        <v>-28786.058159999997</v>
      </c>
      <c r="F12" s="116"/>
      <c r="G12" s="116">
        <f>IF(Init!$R$9="Yes",SUMPRODUCT('Staging Table'!AJ14:AU14,LS_Demand_Rates_Restatement!$C$10:$N$10),SUMPRODUCT(LS_Demand_Rates_Restatement!$C$10:$N$10,'Staging Table'!CW14:DH14))*1000</f>
        <v>24101.74533928953</v>
      </c>
      <c r="H12" s="117"/>
      <c r="I12" s="115">
        <v>0</v>
      </c>
      <c r="J12" s="117">
        <f>IF(Init!$R$9="Yes",IF('Staging Table'!D14=1,'Staging Table'!H14*-1*'Staging Table'!F14/'Staging Table'!E14,'Staging Table'!H14*SUM(D12:I12)*(-1)),IF('Staging Table'!D14=1,'Staging Table'!BU14*-1*'Staging Table'!BS14/'Staging Table'!BR14,'Staging Table'!BU14*SUM(D12:I12)*(-1)))</f>
        <v>0</v>
      </c>
      <c r="K12" s="115">
        <f>IF(Init!$R$9="Yes",'Staging Table'!K14,'Staging Table'!BX14)*(-1)*Rates_previous!$H$32</f>
        <v>0</v>
      </c>
      <c r="L12" s="115">
        <f>IF('Staging Table'!C14=1,"",SUM(D12:K12))</f>
        <v>136313.93949928955</v>
      </c>
      <c r="M12" s="115">
        <f>IF('Staging Table'!C14=1,"",IF(Init!$R$9="Yes",(RT1SC!$C$3*'Staging Table'!F14*'Staging Table'!$F$2),X12))</f>
        <v>3511.7242558559997</v>
      </c>
      <c r="N12" s="69">
        <f>IF('Staging Table'!C14=1,"",IF(M12=0, 0, L12/M12))</f>
        <v>38.816811790384257</v>
      </c>
      <c r="O12" s="115">
        <f>'Staging Table'!BS14*Rates_current!$F$77*100*12</f>
        <v>145807.65419999999</v>
      </c>
      <c r="P12" s="115">
        <f>'Staging Table'!BS14*Rates_current!$F$78*100*12</f>
        <v>-23354.478600000002</v>
      </c>
      <c r="Q12" s="116"/>
      <c r="R12" s="116">
        <f>SUMPRODUCT('Staging Table'!CW14:DH14, LS_Demand_Rates_Restatement!$C$11:$N$11)*1000</f>
        <v>26354.007274207623</v>
      </c>
      <c r="S12" s="117"/>
      <c r="T12" s="117">
        <v>0</v>
      </c>
      <c r="U12" s="117">
        <f>IF('Staging Table'!D14=1, 'Staging Table'!BU14*-1*'Staging Table'!BS14/'Staging Table'!BR14,SUM(O12:T12)*'Staging Table'!BU14*-1)</f>
        <v>0</v>
      </c>
      <c r="V12" s="115">
        <f>'Staging Table'!BX14*Rates_current!$I$44*-1</f>
        <v>0</v>
      </c>
      <c r="W12" s="115">
        <f>IF('Staging Table'!C14=1,"",SUM(O12:V12))</f>
        <v>148807.18287420762</v>
      </c>
      <c r="X12" s="115">
        <f>IF('Staging Table'!C14=1,"",(RT1SC!$C$4*'Staging Table'!BS14*'Staging Table'!$BS$2))</f>
        <v>3506.3457317760003</v>
      </c>
      <c r="Y12" s="69">
        <f>IF('Staging Table'!C14=1,"",IF(X12=0, 0, W12/X12))</f>
        <v>42.439392534984066</v>
      </c>
      <c r="Z12" s="64">
        <f ca="1">IF('Staging Table'!C14=1,"",(Y12/N12-1)+(RAND()/100000000000))</f>
        <v>9.3325045971420453E-2</v>
      </c>
      <c r="AA12" s="45">
        <f t="shared" ca="1" si="3"/>
        <v>69</v>
      </c>
      <c r="AD12" s="119"/>
      <c r="AE12" s="119"/>
      <c r="AG12" s="119"/>
      <c r="AH12" s="119"/>
    </row>
    <row r="13" spans="1:35">
      <c r="B13" s="2">
        <v>10057</v>
      </c>
      <c r="C13" s="3" t="s">
        <v>17</v>
      </c>
      <c r="D13" s="115">
        <f>IF(Init!$R$9="Yes",'Staging Table'!F15,'Staging Table'!BS15)*Rates_previous!$E$76*100*12</f>
        <v>7210590.8364000004</v>
      </c>
      <c r="E13" s="115">
        <f>IF(Init!$R$9="Yes",'Staging Table'!F15,'Staging Table'!BS15)*Rates_previous!$E$77*100*12</f>
        <v>-1472106.8082000001</v>
      </c>
      <c r="F13" s="116"/>
      <c r="G13" s="116">
        <f>IF(Init!$R$9="Yes",SUMPRODUCT('Staging Table'!AJ15:AU15,LS_Demand_Rates_Restatement!$C$10:$N$10),SUMPRODUCT(LS_Demand_Rates_Restatement!$C$10:$N$10,'Staging Table'!CW15:DH15))*1000</f>
        <v>493938.07872446574</v>
      </c>
      <c r="H13" s="117"/>
      <c r="I13" s="115">
        <v>0</v>
      </c>
      <c r="J13" s="117">
        <f>IF(Init!$R$9="Yes",IF('Staging Table'!D15=1,'Staging Table'!H15*-1*'Staging Table'!F15/'Staging Table'!E15,'Staging Table'!H15*SUM(D13:I13)*(-1)),IF('Staging Table'!D15=1,'Staging Table'!BU15*-1*'Staging Table'!BS15/'Staging Table'!BR15,'Staging Table'!BU15*SUM(D13:I13)*(-1)))</f>
        <v>0</v>
      </c>
      <c r="K13" s="115">
        <f>IF(Init!$R$9="Yes",'Staging Table'!K15,'Staging Table'!BX15)*(-1)*Rates_previous!$H$32</f>
        <v>0</v>
      </c>
      <c r="L13" s="115">
        <f>IF('Staging Table'!C15=1,"",SUM(D13:K13))</f>
        <v>6232422.1069244659</v>
      </c>
      <c r="M13" s="115">
        <f>IF('Staging Table'!C15=1,"",IF(Init!$R$9="Yes",(RT1SC!$C$3*'Staging Table'!F15*'Staging Table'!$F$2),X13))</f>
        <v>179588.08937411997</v>
      </c>
      <c r="N13" s="69">
        <f>IF('Staging Table'!C15=1,"",IF(M13=0, 0, L13/M13))</f>
        <v>34.703983591812779</v>
      </c>
      <c r="O13" s="115">
        <f>'Staging Table'!BS15*Rates_current!$F$77*100*12</f>
        <v>7000580.2853999995</v>
      </c>
      <c r="P13" s="115">
        <f>'Staging Table'!BS15*Rates_current!$F$78*100*12</f>
        <v>-1121305.3481999999</v>
      </c>
      <c r="Q13" s="116"/>
      <c r="R13" s="116">
        <f>SUMPRODUCT('Staging Table'!CW15:DH15, LS_Demand_Rates_Restatement!$C$11:$N$11)*1000</f>
        <v>536309.60634972388</v>
      </c>
      <c r="S13" s="117"/>
      <c r="T13" s="117">
        <v>0</v>
      </c>
      <c r="U13" s="117">
        <f>IF('Staging Table'!D15=1, 'Staging Table'!BU15*-1*'Staging Table'!BS15/'Staging Table'!BR15,SUM(O13:T13)*'Staging Table'!BU15*-1)</f>
        <v>0</v>
      </c>
      <c r="V13" s="115">
        <f>'Staging Table'!BX15*Rates_current!$I$44*-1</f>
        <v>0</v>
      </c>
      <c r="W13" s="115">
        <f>IF('Staging Table'!C15=1,"",SUM(O13:V13))</f>
        <v>6415584.5435497239</v>
      </c>
      <c r="X13" s="115">
        <f>IF('Staging Table'!C15=1,"",(RT1SC!$C$4*'Staging Table'!BS15*'Staging Table'!$BS$2))</f>
        <v>168348.19089811199</v>
      </c>
      <c r="Y13" s="69">
        <f>IF('Staging Table'!C15=1,"",IF(X13=0, 0, W13/X13))</f>
        <v>38.109019819717432</v>
      </c>
      <c r="Z13" s="64">
        <f ca="1">IF('Staging Table'!C15=1,"",(Y13/N13-1)+(RAND()/100000000000))</f>
        <v>9.8116581318074367E-2</v>
      </c>
      <c r="AA13" s="45">
        <f t="shared" ca="1" si="3"/>
        <v>24</v>
      </c>
      <c r="AD13" s="119"/>
      <c r="AE13" s="119"/>
      <c r="AG13" s="119"/>
      <c r="AH13" s="119"/>
    </row>
    <row r="14" spans="1:35">
      <c r="B14" s="2">
        <v>10059</v>
      </c>
      <c r="C14" s="3" t="s">
        <v>18</v>
      </c>
      <c r="D14" s="115">
        <f>IF(Init!$R$9="Yes",'Staging Table'!F16,'Staging Table'!BS16)*Rates_previous!$E$76*100*12</f>
        <v>2742241.6281599998</v>
      </c>
      <c r="E14" s="115">
        <f>IF(Init!$R$9="Yes",'Staging Table'!F16,'Staging Table'!BS16)*Rates_previous!$E$77*100*12</f>
        <v>-559853.23008000012</v>
      </c>
      <c r="F14" s="116"/>
      <c r="G14" s="116">
        <f>IF(Init!$R$9="Yes",SUMPRODUCT('Staging Table'!AJ16:AU16,LS_Demand_Rates_Restatement!$C$10:$N$10),SUMPRODUCT(LS_Demand_Rates_Restatement!$C$10:$N$10,'Staging Table'!CW16:DH16))*1000</f>
        <v>86151.483227029908</v>
      </c>
      <c r="H14" s="117"/>
      <c r="I14" s="115">
        <v>0</v>
      </c>
      <c r="J14" s="117">
        <f>IF(Init!$R$9="Yes",IF('Staging Table'!D16=1,'Staging Table'!H16*-1*'Staging Table'!F16/'Staging Table'!E16,'Staging Table'!H16*SUM(D14:I14)*(-1)),IF('Staging Table'!D16=1,'Staging Table'!BU16*-1*'Staging Table'!BS16/'Staging Table'!BR16,'Staging Table'!BU16*SUM(D14:I14)*(-1)))</f>
        <v>0</v>
      </c>
      <c r="K14" s="115">
        <f>IF(Init!$R$9="Yes",'Staging Table'!K16,'Staging Table'!BX16)*(-1)*Rates_previous!$H$32</f>
        <v>0</v>
      </c>
      <c r="L14" s="115">
        <f>IF('Staging Table'!C16=1,"",SUM(D14:K14))</f>
        <v>2268539.8813070296</v>
      </c>
      <c r="M14" s="115">
        <f>IF('Staging Table'!C16=1,"",IF(Init!$R$9="Yes",(RT1SC!$C$3*'Staging Table'!F16*'Staging Table'!$F$2),X14))</f>
        <v>68298.693654528004</v>
      </c>
      <c r="N14" s="69">
        <f>IF('Staging Table'!C16=1,"",IF(M14=0, 0, L14/M14))</f>
        <v>33.214982013885589</v>
      </c>
      <c r="O14" s="115">
        <f>'Staging Table'!BS16*Rates_current!$F$77*100*12</f>
        <v>2798833.6038000002</v>
      </c>
      <c r="P14" s="115">
        <f>'Staging Table'!BS16*Rates_current!$F$78*100*12</f>
        <v>-448298.13539999997</v>
      </c>
      <c r="Q14" s="116"/>
      <c r="R14" s="116">
        <f>SUMPRODUCT('Staging Table'!CW16:DH16, LS_Demand_Rates_Restatement!$C$11:$N$11)*1000</f>
        <v>94992.242967467915</v>
      </c>
      <c r="S14" s="117"/>
      <c r="T14" s="117">
        <v>0</v>
      </c>
      <c r="U14" s="117">
        <f>IF('Staging Table'!D16=1, 'Staging Table'!BU16*-1*'Staging Table'!BS16/'Staging Table'!BR16,SUM(O14:T14)*'Staging Table'!BU16*-1)</f>
        <v>0</v>
      </c>
      <c r="V14" s="115">
        <f>'Staging Table'!BX16*Rates_current!$I$44*-1</f>
        <v>0</v>
      </c>
      <c r="W14" s="115">
        <f>IF('Staging Table'!C16=1,"",SUM(O14:V14))</f>
        <v>2445527.7113674679</v>
      </c>
      <c r="X14" s="115">
        <f>IF('Staging Table'!C16=1,"",(RT1SC!$C$4*'Staging Table'!BS16*'Staging Table'!$BS$2))</f>
        <v>67305.645334464003</v>
      </c>
      <c r="Y14" s="69">
        <f>IF('Staging Table'!C16=1,"",IF(X14=0, 0, W14/X14))</f>
        <v>36.334659584865911</v>
      </c>
      <c r="Z14" s="64">
        <f ca="1">IF('Staging Table'!C16=1,"",(Y14/N14-1)+(RAND()/100000000000))</f>
        <v>9.3923807335085152E-2</v>
      </c>
      <c r="AA14" s="45">
        <f t="shared" ca="1" si="3"/>
        <v>60</v>
      </c>
      <c r="AD14" s="119"/>
      <c r="AE14" s="119"/>
      <c r="AG14" s="119"/>
      <c r="AH14" s="119"/>
    </row>
    <row r="15" spans="1:35">
      <c r="B15" s="2">
        <v>10061</v>
      </c>
      <c r="C15" s="3" t="s">
        <v>19</v>
      </c>
      <c r="D15" s="115">
        <f>IF(Init!$R$9="Yes",'Staging Table'!F17,'Staging Table'!BS17)*Rates_previous!$E$76*100*12</f>
        <v>3154524.5037599998</v>
      </c>
      <c r="E15" s="115">
        <f>IF(Init!$R$9="Yes",'Staging Table'!F17,'Staging Table'!BS17)*Rates_previous!$E$77*100*12</f>
        <v>-644024.4778799999</v>
      </c>
      <c r="F15" s="116"/>
      <c r="G15" s="116">
        <f>IF(Init!$R$9="Yes",SUMPRODUCT('Staging Table'!AJ17:AU17,LS_Demand_Rates_Restatement!$C$10:$N$10),SUMPRODUCT(LS_Demand_Rates_Restatement!$C$10:$N$10,'Staging Table'!CW17:DH17))*1000</f>
        <v>171957.19904249461</v>
      </c>
      <c r="H15" s="117"/>
      <c r="I15" s="115">
        <v>0</v>
      </c>
      <c r="J15" s="117">
        <f>IF(Init!$R$9="Yes",IF('Staging Table'!D17=1,'Staging Table'!H17*-1*'Staging Table'!F17/'Staging Table'!E17,'Staging Table'!H17*SUM(D15:I15)*(-1)),IF('Staging Table'!D17=1,'Staging Table'!BU17*-1*'Staging Table'!BS17/'Staging Table'!BR17,'Staging Table'!BU17*SUM(D15:I15)*(-1)))</f>
        <v>0</v>
      </c>
      <c r="K15" s="115">
        <f>IF(Init!$R$9="Yes",'Staging Table'!K17,'Staging Table'!BX17)*(-1)*Rates_previous!$H$32</f>
        <v>0</v>
      </c>
      <c r="L15" s="115">
        <f>IF('Staging Table'!C17=1,"",SUM(D15:K15))</f>
        <v>2682457.224922494</v>
      </c>
      <c r="M15" s="115">
        <f>IF('Staging Table'!C17=1,"",IF(Init!$R$9="Yes",(RT1SC!$C$3*'Staging Table'!F17*'Staging Table'!$F$2),X15))</f>
        <v>78567.074650007984</v>
      </c>
      <c r="N15" s="69">
        <f>IF('Staging Table'!C17=1,"",IF(M15=0, 0, L15/M15))</f>
        <v>34.142256624317646</v>
      </c>
      <c r="O15" s="115">
        <f>'Staging Table'!BS17*Rates_current!$F$77*100*12</f>
        <v>3204401.6081999997</v>
      </c>
      <c r="P15" s="115">
        <f>'Staging Table'!BS17*Rates_current!$F$78*100*12</f>
        <v>-513259.26059999998</v>
      </c>
      <c r="Q15" s="116"/>
      <c r="R15" s="116">
        <f>SUMPRODUCT('Staging Table'!CW17:DH17, LS_Demand_Rates_Restatement!$C$11:$N$11)*1000</f>
        <v>189911.50715538632</v>
      </c>
      <c r="S15" s="117"/>
      <c r="T15" s="117">
        <v>0</v>
      </c>
      <c r="U15" s="117">
        <f>IF('Staging Table'!D17=1, 'Staging Table'!BU17*-1*'Staging Table'!BS17/'Staging Table'!BR17,SUM(O15:T15)*'Staging Table'!BU17*-1)</f>
        <v>0</v>
      </c>
      <c r="V15" s="115">
        <f>'Staging Table'!BX17*Rates_current!$I$44*-1</f>
        <v>0</v>
      </c>
      <c r="W15" s="115">
        <f>IF('Staging Table'!C17=1,"",SUM(O15:V15))</f>
        <v>2881053.8547553858</v>
      </c>
      <c r="X15" s="115">
        <f>IF('Staging Table'!C17=1,"",(RT1SC!$C$4*'Staging Table'!BS17*'Staging Table'!$BS$2))</f>
        <v>77058.642520896014</v>
      </c>
      <c r="Y15" s="69">
        <f>IF('Staging Table'!C17=1,"",IF(X15=0, 0, W15/X15))</f>
        <v>37.38780960194218</v>
      </c>
      <c r="Z15" s="64">
        <f ca="1">IF('Staging Table'!C17=1,"",(Y15/N15-1)+(RAND()/100000000000))</f>
        <v>9.5059708956708386E-2</v>
      </c>
      <c r="AA15" s="45">
        <f t="shared" ca="1" si="3"/>
        <v>46</v>
      </c>
      <c r="AD15" s="119"/>
      <c r="AE15" s="119"/>
      <c r="AG15" s="119"/>
      <c r="AH15" s="119"/>
    </row>
    <row r="16" spans="1:35">
      <c r="B16" s="2">
        <v>10062</v>
      </c>
      <c r="C16" s="3" t="s">
        <v>20</v>
      </c>
      <c r="D16" s="115">
        <f>IF(Init!$R$9="Yes",'Staging Table'!F18,'Staging Table'!BS18)*Rates_previous!$E$76*100*12</f>
        <v>1918672.3310399996</v>
      </c>
      <c r="E16" s="115">
        <f>IF(Init!$R$9="Yes",'Staging Table'!F18,'Staging Table'!BS18)*Rates_previous!$E$77*100*12</f>
        <v>-391714.16952</v>
      </c>
      <c r="F16" s="116"/>
      <c r="G16" s="116">
        <f>IF(Init!$R$9="Yes",SUMPRODUCT('Staging Table'!AJ18:AU18,LS_Demand_Rates_Restatement!$C$10:$N$10),SUMPRODUCT(LS_Demand_Rates_Restatement!$C$10:$N$10,'Staging Table'!CW18:DH18))*1000</f>
        <v>131083.51516164534</v>
      </c>
      <c r="H16" s="117"/>
      <c r="I16" s="115">
        <v>0</v>
      </c>
      <c r="J16" s="117">
        <f>IF(Init!$R$9="Yes",IF('Staging Table'!D18=1,'Staging Table'!H18*-1*'Staging Table'!F18/'Staging Table'!E18,'Staging Table'!H18*SUM(D16:I16)*(-1)),IF('Staging Table'!D18=1,'Staging Table'!BU18*-1*'Staging Table'!BS18/'Staging Table'!BR18,'Staging Table'!BU18*SUM(D16:I16)*(-1)))</f>
        <v>0</v>
      </c>
      <c r="K16" s="115">
        <f>IF(Init!$R$9="Yes",'Staging Table'!K18,'Staging Table'!BX18)*(-1)*Rates_previous!$H$32</f>
        <v>0</v>
      </c>
      <c r="L16" s="115">
        <f>IF('Staging Table'!C18=1,"",SUM(D16:K16))</f>
        <v>1658041.676681645</v>
      </c>
      <c r="M16" s="115">
        <f>IF('Staging Table'!C18=1,"",IF(Init!$R$9="Yes",(RT1SC!$C$3*'Staging Table'!F18*'Staging Table'!$F$2),X16))</f>
        <v>47786.749502831997</v>
      </c>
      <c r="N16" s="69">
        <f>IF('Staging Table'!C18=1,"",IF(M16=0, 0, L16/M16))</f>
        <v>34.696682530863164</v>
      </c>
      <c r="O16" s="115">
        <f>'Staging Table'!BS18*Rates_current!$F$77*100*12</f>
        <v>1948850.085</v>
      </c>
      <c r="P16" s="115">
        <f>'Staging Table'!BS18*Rates_current!$F$78*100*12</f>
        <v>-312153.55500000005</v>
      </c>
      <c r="Q16" s="116"/>
      <c r="R16" s="116">
        <f>SUMPRODUCT('Staging Table'!CW18:DH18, LS_Demand_Rates_Restatement!$C$11:$N$11)*1000</f>
        <v>138986.75569422188</v>
      </c>
      <c r="S16" s="117"/>
      <c r="T16" s="117">
        <v>0</v>
      </c>
      <c r="U16" s="117">
        <f>IF('Staging Table'!D18=1, 'Staging Table'!BU18*-1*'Staging Table'!BS18/'Staging Table'!BR18,SUM(O16:T16)*'Staging Table'!BU18*-1)</f>
        <v>0</v>
      </c>
      <c r="V16" s="115">
        <f>'Staging Table'!BX18*Rates_current!$I$44*-1</f>
        <v>0</v>
      </c>
      <c r="W16" s="115">
        <f>IF('Staging Table'!C18=1,"",SUM(O16:V16))</f>
        <v>1775683.2856942217</v>
      </c>
      <c r="X16" s="115">
        <f>IF('Staging Table'!C18=1,"",(RT1SC!$C$4*'Staging Table'!BS18*'Staging Table'!$BS$2))</f>
        <v>46865.455828800004</v>
      </c>
      <c r="Y16" s="69">
        <f>IF('Staging Table'!C18=1,"",IF(X16=0, 0, W16/X16))</f>
        <v>37.888957960439157</v>
      </c>
      <c r="Z16" s="64">
        <f ca="1">IF('Staging Table'!C18=1,"",(Y16/N16-1)+(RAND()/100000000000))</f>
        <v>9.2005206168901704E-2</v>
      </c>
      <c r="AA16" s="45">
        <f t="shared" ca="1" si="3"/>
        <v>89</v>
      </c>
      <c r="AD16" s="119"/>
      <c r="AE16" s="119"/>
      <c r="AG16" s="119"/>
      <c r="AH16" s="119"/>
    </row>
    <row r="17" spans="2:34">
      <c r="B17" s="2">
        <v>10064</v>
      </c>
      <c r="C17" s="3" t="s">
        <v>21</v>
      </c>
      <c r="D17" s="115">
        <f>IF(Init!$R$9="Yes",'Staging Table'!F19,'Staging Table'!BS19)*Rates_previous!$E$76*100*12</f>
        <v>5072200.3807199998</v>
      </c>
      <c r="E17" s="115">
        <f>IF(Init!$R$9="Yes",'Staging Table'!F19,'Staging Table'!BS19)*Rates_previous!$E$77*100*12</f>
        <v>-1035535.2123599999</v>
      </c>
      <c r="F17" s="116"/>
      <c r="G17" s="116">
        <f>IF(Init!$R$9="Yes",SUMPRODUCT('Staging Table'!AJ19:AU19,LS_Demand_Rates_Restatement!$C$10:$N$10),SUMPRODUCT(LS_Demand_Rates_Restatement!$C$10:$N$10,'Staging Table'!CW19:DH19))*1000</f>
        <v>255330.58759067842</v>
      </c>
      <c r="H17" s="117"/>
      <c r="I17" s="115">
        <v>0</v>
      </c>
      <c r="J17" s="117">
        <f>IF(Init!$R$9="Yes",IF('Staging Table'!D19=1,'Staging Table'!H19*-1*'Staging Table'!F19/'Staging Table'!E19,'Staging Table'!H19*SUM(D17:I17)*(-1)),IF('Staging Table'!D19=1,'Staging Table'!BU19*-1*'Staging Table'!BS19/'Staging Table'!BR19,'Staging Table'!BU19*SUM(D17:I17)*(-1)))</f>
        <v>0</v>
      </c>
      <c r="K17" s="115">
        <f>IF(Init!$R$9="Yes",'Staging Table'!K19,'Staging Table'!BX19)*(-1)*Rates_previous!$H$32</f>
        <v>0</v>
      </c>
      <c r="L17" s="115">
        <f>IF('Staging Table'!C19=1,"",SUM(D17:K17))</f>
        <v>4291995.7559506781</v>
      </c>
      <c r="M17" s="115">
        <f>IF('Staging Table'!C19=1,"",IF(Init!$R$9="Yes",(RT1SC!$C$3*'Staging Table'!F19*'Staging Table'!$F$2),X17))</f>
        <v>126329.00631357598</v>
      </c>
      <c r="N17" s="69">
        <f>IF('Staging Table'!C19=1,"",IF(M17=0, 0, L17/M17))</f>
        <v>33.974744844402672</v>
      </c>
      <c r="O17" s="115">
        <f>'Staging Table'!BS19*Rates_current!$F$77*100*12</f>
        <v>5152733.7263999991</v>
      </c>
      <c r="P17" s="115">
        <f>'Staging Table'!BS19*Rates_current!$F$78*100*12</f>
        <v>-825329.85119999992</v>
      </c>
      <c r="Q17" s="116"/>
      <c r="R17" s="116">
        <f>SUMPRODUCT('Staging Table'!CW19:DH19, LS_Demand_Rates_Restatement!$C$11:$N$11)*1000</f>
        <v>284676.85353354702</v>
      </c>
      <c r="S17" s="117"/>
      <c r="T17" s="117">
        <v>0</v>
      </c>
      <c r="U17" s="117">
        <f>IF('Staging Table'!D19=1, 'Staging Table'!BU19*-1*'Staging Table'!BS19/'Staging Table'!BR19,SUM(O17:T17)*'Staging Table'!BU19*-1)</f>
        <v>0</v>
      </c>
      <c r="V17" s="115">
        <f>'Staging Table'!BX19*Rates_current!$I$44*-1</f>
        <v>0</v>
      </c>
      <c r="W17" s="115">
        <f>IF('Staging Table'!C19=1,"",SUM(O17:V17))</f>
        <v>4612080.728733547</v>
      </c>
      <c r="X17" s="115">
        <f>IF('Staging Table'!C19=1,"",(RT1SC!$C$4*'Staging Table'!BS19*'Staging Table'!$BS$2))</f>
        <v>123911.64241459199</v>
      </c>
      <c r="Y17" s="69">
        <f>IF('Staging Table'!C19=1,"",IF(X17=0, 0, W17/X17))</f>
        <v>37.220721466205205</v>
      </c>
      <c r="Z17" s="64">
        <f ca="1">IF('Staging Table'!C19=1,"",(Y17/N17-1)+(RAND()/100000000000))</f>
        <v>9.554086828265114E-2</v>
      </c>
      <c r="AA17" s="45">
        <f t="shared" ca="1" si="3"/>
        <v>37</v>
      </c>
      <c r="AD17" s="119"/>
      <c r="AE17" s="119"/>
      <c r="AG17" s="119"/>
      <c r="AH17" s="119"/>
    </row>
    <row r="18" spans="2:34">
      <c r="B18" s="2">
        <v>10065</v>
      </c>
      <c r="C18" s="3" t="s">
        <v>22</v>
      </c>
      <c r="D18" s="115">
        <f>IF(Init!$R$9="Yes",'Staging Table'!F20,'Staging Table'!BS20)*Rates_previous!$E$76*100*12</f>
        <v>857697.84936000011</v>
      </c>
      <c r="E18" s="115">
        <f>IF(Init!$R$9="Yes",'Staging Table'!F20,'Staging Table'!BS20)*Rates_previous!$E$77*100*12</f>
        <v>-175106.71067999999</v>
      </c>
      <c r="F18" s="116"/>
      <c r="G18" s="116">
        <f>IF(Init!$R$9="Yes",SUMPRODUCT('Staging Table'!AJ20:AU20,LS_Demand_Rates_Restatement!$C$10:$N$10),SUMPRODUCT(LS_Demand_Rates_Restatement!$C$10:$N$10,'Staging Table'!CW20:DH20))*1000</f>
        <v>84458.184549278842</v>
      </c>
      <c r="H18" s="117"/>
      <c r="I18" s="115">
        <v>0</v>
      </c>
      <c r="J18" s="117">
        <f>IF(Init!$R$9="Yes",IF('Staging Table'!D20=1,'Staging Table'!H20*-1*'Staging Table'!F20/'Staging Table'!E20,'Staging Table'!H20*SUM(D18:I18)*(-1)),IF('Staging Table'!D20=1,'Staging Table'!BU20*-1*'Staging Table'!BS20/'Staging Table'!BR20,'Staging Table'!BU20*SUM(D18:I18)*(-1)))</f>
        <v>-58164.143803491839</v>
      </c>
      <c r="K18" s="115">
        <f>IF(Init!$R$9="Yes",'Staging Table'!K20,'Staging Table'!BX20)*(-1)*Rates_previous!$H$32</f>
        <v>0</v>
      </c>
      <c r="L18" s="115">
        <f>IF('Staging Table'!C20=1,"",SUM(D18:K18))</f>
        <v>708885.17942578706</v>
      </c>
      <c r="M18" s="115">
        <f>IF('Staging Table'!C20=1,"",IF(Init!$R$9="Yes",(RT1SC!$C$3*'Staging Table'!F20*'Staging Table'!$F$2),X18))</f>
        <v>21361.955146488002</v>
      </c>
      <c r="N18" s="69">
        <f>IF('Staging Table'!C20=1,"",IF(M18=0, 0, L18/M18))</f>
        <v>33.184470923408469</v>
      </c>
      <c r="O18" s="115">
        <f>'Staging Table'!BS20*Rates_current!$F$77*100*12</f>
        <v>870961.17419999989</v>
      </c>
      <c r="P18" s="115">
        <f>'Staging Table'!BS20*Rates_current!$F$78*100*12</f>
        <v>-139504.63860000001</v>
      </c>
      <c r="Q18" s="116"/>
      <c r="R18" s="116">
        <f>SUMPRODUCT('Staging Table'!CW20:DH20, LS_Demand_Rates_Restatement!$C$11:$N$11)*1000</f>
        <v>93827.455890215468</v>
      </c>
      <c r="S18" s="117"/>
      <c r="T18" s="117">
        <v>0</v>
      </c>
      <c r="U18" s="117">
        <f>IF('Staging Table'!D20=1, 'Staging Table'!BU20*-1*'Staging Table'!BS20/'Staging Table'!BR20,SUM(O18:T18)*'Staging Table'!BU20*-1)</f>
        <v>-70109.445567332732</v>
      </c>
      <c r="V18" s="115">
        <f>'Staging Table'!BX20*Rates_current!$I$44*-1</f>
        <v>0</v>
      </c>
      <c r="W18" s="115">
        <f>IF('Staging Table'!C20=1,"",SUM(O18:V18))</f>
        <v>755174.54592288262</v>
      </c>
      <c r="X18" s="115">
        <f>IF('Staging Table'!C20=1,"",(RT1SC!$C$4*'Staging Table'!BS20*'Staging Table'!$BS$2))</f>
        <v>20944.654877376004</v>
      </c>
      <c r="Y18" s="69">
        <f>IF('Staging Table'!C20=1,"",IF(X18=0, 0, W18/X18))</f>
        <v>36.055716856839069</v>
      </c>
      <c r="Z18" s="64">
        <f ca="1">IF('Staging Table'!C20=1,"",(Y18/N18-1)+(RAND()/100000000000))</f>
        <v>8.6523782167827357E-2</v>
      </c>
      <c r="AA18" s="45">
        <f t="shared" ca="1" si="3"/>
        <v>107</v>
      </c>
      <c r="AD18" s="119"/>
      <c r="AE18" s="119"/>
      <c r="AG18" s="119"/>
      <c r="AH18" s="119"/>
    </row>
    <row r="19" spans="2:34">
      <c r="B19" s="2">
        <v>10066</v>
      </c>
      <c r="C19" s="3" t="s">
        <v>23</v>
      </c>
      <c r="D19" s="115">
        <f>IF(Init!$R$9="Yes",'Staging Table'!F21,'Staging Table'!BS21)*Rates_previous!$E$76*100*12</f>
        <v>8789223.2126400005</v>
      </c>
      <c r="E19" s="115">
        <f>IF(Init!$R$9="Yes",'Staging Table'!F21,'Staging Table'!BS21)*Rates_previous!$E$77*100*12</f>
        <v>-1794398.7703200001</v>
      </c>
      <c r="F19" s="116"/>
      <c r="G19" s="116">
        <f>IF(Init!$R$9="Yes",SUMPRODUCT('Staging Table'!AJ21:AU21,LS_Demand_Rates_Restatement!$C$10:$N$10),SUMPRODUCT(LS_Demand_Rates_Restatement!$C$10:$N$10,'Staging Table'!CW21:DH21))*1000</f>
        <v>339694.25582489319</v>
      </c>
      <c r="H19" s="117"/>
      <c r="I19" s="115">
        <v>0</v>
      </c>
      <c r="J19" s="117">
        <f>IF(Init!$R$9="Yes",IF('Staging Table'!D21=1,'Staging Table'!H21*-1*'Staging Table'!F21/'Staging Table'!E21,'Staging Table'!H21*SUM(D19:I19)*(-1)),IF('Staging Table'!D21=1,'Staging Table'!BU21*-1*'Staging Table'!BS21/'Staging Table'!BR21,'Staging Table'!BU21*SUM(D19:I19)*(-1)))</f>
        <v>0</v>
      </c>
      <c r="K19" s="115">
        <f>IF(Init!$R$9="Yes",'Staging Table'!K21,'Staging Table'!BX21)*(-1)*Rates_previous!$H$32</f>
        <v>0</v>
      </c>
      <c r="L19" s="115">
        <f>IF('Staging Table'!C21=1,"",SUM(D19:K19))</f>
        <v>7334518.6981448932</v>
      </c>
      <c r="M19" s="115">
        <f>IF('Staging Table'!C21=1,"",IF(Init!$R$9="Yes",(RT1SC!$C$3*'Staging Table'!F21*'Staging Table'!$F$2),X19))</f>
        <v>218905.751228112</v>
      </c>
      <c r="N19" s="69">
        <f>IF('Staging Table'!C21=1,"",IF(M19=0, 0, L19/M19))</f>
        <v>33.505372321177234</v>
      </c>
      <c r="O19" s="115">
        <f>'Staging Table'!BS21*Rates_current!$F$77*100*12</f>
        <v>8929229.6652000006</v>
      </c>
      <c r="P19" s="115">
        <f>'Staging Table'!BS21*Rates_current!$F$78*100*12</f>
        <v>-1430223.2915999999</v>
      </c>
      <c r="Q19" s="116"/>
      <c r="R19" s="116">
        <f>SUMPRODUCT('Staging Table'!CW21:DH21, LS_Demand_Rates_Restatement!$C$11:$N$11)*1000</f>
        <v>335777.14824879821</v>
      </c>
      <c r="S19" s="117"/>
      <c r="T19" s="117">
        <v>0</v>
      </c>
      <c r="U19" s="117">
        <f>IF('Staging Table'!D21=1, 'Staging Table'!BU21*-1*'Staging Table'!BS21/'Staging Table'!BR21,SUM(O19:T19)*'Staging Table'!BU21*-1)</f>
        <v>0</v>
      </c>
      <c r="V19" s="115">
        <f>'Staging Table'!BX21*Rates_current!$I$44*-1</f>
        <v>0</v>
      </c>
      <c r="W19" s="115">
        <f>IF('Staging Table'!C21=1,"",SUM(O19:V19))</f>
        <v>7834783.5218487987</v>
      </c>
      <c r="X19" s="115">
        <f>IF('Staging Table'!C21=1,"",(RT1SC!$C$4*'Staging Table'!BS21*'Staging Table'!$BS$2))</f>
        <v>214727.86525785603</v>
      </c>
      <c r="Y19" s="69">
        <f>IF('Staging Table'!C21=1,"",IF(X19=0, 0, W19/X19))</f>
        <v>36.487036800931243</v>
      </c>
      <c r="Z19" s="64">
        <f ca="1">IF('Staging Table'!C21=1,"",(Y19/N19-1)+(RAND()/100000000000))</f>
        <v>8.8990638616033041E-2</v>
      </c>
      <c r="AA19" s="45">
        <f t="shared" ca="1" si="3"/>
        <v>102</v>
      </c>
      <c r="AD19" s="119"/>
      <c r="AE19" s="119"/>
      <c r="AG19" s="119"/>
      <c r="AH19" s="119"/>
    </row>
    <row r="20" spans="2:34">
      <c r="B20" s="2">
        <v>10067</v>
      </c>
      <c r="C20" s="3" t="s">
        <v>24</v>
      </c>
      <c r="D20" s="115">
        <f>IF(Init!$R$9="Yes",'Staging Table'!F22,'Staging Table'!BS22)*Rates_previous!$E$76*100*12</f>
        <v>5704201.3809599997</v>
      </c>
      <c r="E20" s="115">
        <f>IF(Init!$R$9="Yes",'Staging Table'!F22,'Staging Table'!BS22)*Rates_previous!$E$77*100*12</f>
        <v>-1164563.8864799999</v>
      </c>
      <c r="F20" s="116"/>
      <c r="G20" s="116">
        <f>IF(Init!$R$9="Yes",SUMPRODUCT('Staging Table'!AJ22:AU22,LS_Demand_Rates_Restatement!$C$10:$N$10),SUMPRODUCT(LS_Demand_Rates_Restatement!$C$10:$N$10,'Staging Table'!CW22:DH22))*1000</f>
        <v>692403.76494791661</v>
      </c>
      <c r="H20" s="117"/>
      <c r="I20" s="115">
        <v>0</v>
      </c>
      <c r="J20" s="117">
        <f>IF(Init!$R$9="Yes",IF('Staging Table'!D22=1,'Staging Table'!H22*-1*'Staging Table'!F22/'Staging Table'!E22,'Staging Table'!H22*SUM(D20:I20)*(-1)),IF('Staging Table'!D22=1,'Staging Table'!BU22*-1*'Staging Table'!BS22/'Staging Table'!BR22,'Staging Table'!BU22*SUM(D20:I20)*(-1)))</f>
        <v>0</v>
      </c>
      <c r="K20" s="115">
        <f>IF(Init!$R$9="Yes",'Staging Table'!K22,'Staging Table'!BX22)*(-1)*Rates_previous!$H$32</f>
        <v>0</v>
      </c>
      <c r="L20" s="115">
        <f>IF('Staging Table'!C22=1,"",SUM(D20:K20))</f>
        <v>5232041.2594279163</v>
      </c>
      <c r="M20" s="115">
        <f>IF('Staging Table'!C22=1,"",IF(Init!$R$9="Yes",(RT1SC!$C$3*'Staging Table'!F22*'Staging Table'!$F$2),X20))</f>
        <v>142069.72086676798</v>
      </c>
      <c r="N20" s="69">
        <f>IF('Staging Table'!C22=1,"",IF(M20=0, 0, L20/M20))</f>
        <v>36.827279081757958</v>
      </c>
      <c r="O20" s="115">
        <f>'Staging Table'!BS22*Rates_current!$F$77*100*12</f>
        <v>5795012.5584000004</v>
      </c>
      <c r="P20" s="115">
        <f>'Staging Table'!BS22*Rates_current!$F$78*100*12</f>
        <v>-928205.70720000006</v>
      </c>
      <c r="Q20" s="116"/>
      <c r="R20" s="116">
        <f>SUMPRODUCT('Staging Table'!CW22:DH22, LS_Demand_Rates_Restatement!$C$11:$N$11)*1000</f>
        <v>775372.64280694432</v>
      </c>
      <c r="S20" s="117"/>
      <c r="T20" s="117">
        <v>0</v>
      </c>
      <c r="U20" s="117">
        <f>IF('Staging Table'!D22=1, 'Staging Table'!BU22*-1*'Staging Table'!BS22/'Staging Table'!BR22,SUM(O20:T20)*'Staging Table'!BU22*-1)</f>
        <v>0</v>
      </c>
      <c r="V20" s="115">
        <f>'Staging Table'!BX22*Rates_current!$I$44*-1</f>
        <v>0</v>
      </c>
      <c r="W20" s="115">
        <f>IF('Staging Table'!C22=1,"",SUM(O20:V20))</f>
        <v>5642179.4940069448</v>
      </c>
      <c r="X20" s="115">
        <f>IF('Staging Table'!C22=1,"",(RT1SC!$C$4*'Staging Table'!BS22*'Staging Table'!$BS$2))</f>
        <v>139357.00194355202</v>
      </c>
      <c r="Y20" s="69">
        <f>IF('Staging Table'!C22=1,"",IF(X20=0, 0, W20/X20))</f>
        <v>40.487233618102429</v>
      </c>
      <c r="Z20" s="64">
        <f ca="1">IF('Staging Table'!C22=1,"",(Y20/N20-1)+(RAND()/100000000000))</f>
        <v>9.9381616769868897E-2</v>
      </c>
      <c r="AA20" s="45">
        <f t="shared" ca="1" si="3"/>
        <v>19</v>
      </c>
      <c r="AD20" s="119"/>
      <c r="AE20" s="119"/>
      <c r="AG20" s="119"/>
      <c r="AH20" s="119"/>
    </row>
    <row r="21" spans="2:34">
      <c r="B21" s="2">
        <v>10068</v>
      </c>
      <c r="C21" s="3" t="s">
        <v>25</v>
      </c>
      <c r="D21" s="115">
        <f>IF(Init!$R$9="Yes",'Staging Table'!F23,'Staging Table'!BS23)*Rates_previous!$E$76*100*12</f>
        <v>909513.4615199999</v>
      </c>
      <c r="E21" s="115">
        <f>IF(Init!$R$9="Yes",'Staging Table'!F23,'Staging Table'!BS23)*Rates_previous!$E$77*100*12</f>
        <v>-185685.33275999999</v>
      </c>
      <c r="F21" s="116"/>
      <c r="G21" s="116">
        <f>IF(Init!$R$9="Yes",SUMPRODUCT('Staging Table'!AJ23:AU23,LS_Demand_Rates_Restatement!$C$10:$N$10),SUMPRODUCT(LS_Demand_Rates_Restatement!$C$10:$N$10,'Staging Table'!CW23:DH23))*1000</f>
        <v>74915.035095592946</v>
      </c>
      <c r="H21" s="117"/>
      <c r="I21" s="115">
        <v>0</v>
      </c>
      <c r="J21" s="117">
        <f>IF(Init!$R$9="Yes",IF('Staging Table'!D23=1,'Staging Table'!H23*-1*'Staging Table'!F23/'Staging Table'!E23,'Staging Table'!H23*SUM(D21:I21)*(-1)),IF('Staging Table'!D23=1,'Staging Table'!BU23*-1*'Staging Table'!BS23/'Staging Table'!BR23,'Staging Table'!BU23*SUM(D21:I21)*(-1)))</f>
        <v>0</v>
      </c>
      <c r="K21" s="115">
        <f>IF(Init!$R$9="Yes",'Staging Table'!K23,'Staging Table'!BX23)*(-1)*Rates_previous!$H$32</f>
        <v>0</v>
      </c>
      <c r="L21" s="115">
        <f>IF('Staging Table'!C23=1,"",SUM(D21:K21))</f>
        <v>798743.16385559284</v>
      </c>
      <c r="M21" s="115">
        <f>IF('Staging Table'!C23=1,"",IF(Init!$R$9="Yes",(RT1SC!$C$3*'Staging Table'!F23*'Staging Table'!$F$2),X21))</f>
        <v>22652.482788215999</v>
      </c>
      <c r="N21" s="69">
        <f>IF('Staging Table'!C23=1,"",IF(M21=0, 0, L21/M21))</f>
        <v>35.260733727214458</v>
      </c>
      <c r="O21" s="115">
        <f>'Staging Table'!BS23*Rates_current!$F$77*100*12</f>
        <v>918096.15299999993</v>
      </c>
      <c r="P21" s="115">
        <f>'Staging Table'!BS23*Rates_current!$F$78*100*12</f>
        <v>-147054.399</v>
      </c>
      <c r="Q21" s="116"/>
      <c r="R21" s="116">
        <f>SUMPRODUCT('Staging Table'!CW23:DH23, LS_Demand_Rates_Restatement!$C$11:$N$11)*1000</f>
        <v>80483.402736057702</v>
      </c>
      <c r="S21" s="117"/>
      <c r="T21" s="117">
        <v>0</v>
      </c>
      <c r="U21" s="117">
        <f>IF('Staging Table'!D23=1, 'Staging Table'!BU23*-1*'Staging Table'!BS23/'Staging Table'!BR23,SUM(O21:T21)*'Staging Table'!BU23*-1)</f>
        <v>0</v>
      </c>
      <c r="V21" s="115">
        <f>'Staging Table'!BX23*Rates_current!$I$44*-1</f>
        <v>0</v>
      </c>
      <c r="W21" s="115">
        <f>IF('Staging Table'!C23=1,"",SUM(O21:V21))</f>
        <v>851525.15673605772</v>
      </c>
      <c r="X21" s="115">
        <f>IF('Staging Table'!C23=1,"",(RT1SC!$C$4*'Staging Table'!BS23*'Staging Table'!$BS$2))</f>
        <v>22078.14497184</v>
      </c>
      <c r="Y21" s="69">
        <f>IF('Staging Table'!C23=1,"",IF(X21=0, 0, W21/X21))</f>
        <v>38.568691247482619</v>
      </c>
      <c r="Z21" s="64">
        <f ca="1">IF('Staging Table'!C23=1,"",(Y21/N21-1)+(RAND()/100000000000))</f>
        <v>9.3814199838551965E-2</v>
      </c>
      <c r="AA21" s="45">
        <f t="shared" ca="1" si="3"/>
        <v>62</v>
      </c>
      <c r="AD21" s="119"/>
      <c r="AE21" s="119"/>
      <c r="AG21" s="119"/>
      <c r="AH21" s="119"/>
    </row>
    <row r="22" spans="2:34">
      <c r="B22" s="2">
        <v>10070</v>
      </c>
      <c r="C22" s="3" t="s">
        <v>26</v>
      </c>
      <c r="D22" s="115">
        <f>IF(Init!$R$9="Yes",'Staging Table'!F24,'Staging Table'!BS24)*Rates_previous!$E$76*100*12</f>
        <v>129539.0304</v>
      </c>
      <c r="E22" s="115">
        <f>IF(Init!$R$9="Yes",'Staging Table'!F24,'Staging Table'!BS24)*Rates_previous!$E$77*100*12</f>
        <v>-26446.555199999995</v>
      </c>
      <c r="F22" s="116"/>
      <c r="G22" s="116">
        <f>IF(Init!$R$9="Yes",SUMPRODUCT('Staging Table'!AJ24:AU24,LS_Demand_Rates_Restatement!$C$10:$N$10),SUMPRODUCT(LS_Demand_Rates_Restatement!$C$10:$N$10,'Staging Table'!CW24:DH24))*1000</f>
        <v>19764.953159642093</v>
      </c>
      <c r="H22" s="117"/>
      <c r="I22" s="115">
        <v>0</v>
      </c>
      <c r="J22" s="117">
        <f>IF(Init!$R$9="Yes",IF('Staging Table'!D24=1,'Staging Table'!H24*-1*'Staging Table'!F24/'Staging Table'!E24,'Staging Table'!H24*SUM(D22:I22)*(-1)),IF('Staging Table'!D24=1,'Staging Table'!BU24*-1*'Staging Table'!BS24/'Staging Table'!BR24,'Staging Table'!BU24*SUM(D22:I22)*(-1)))</f>
        <v>0</v>
      </c>
      <c r="K22" s="115">
        <f>IF(Init!$R$9="Yes",'Staging Table'!K24,'Staging Table'!BX24)*(-1)*Rates_previous!$H$32</f>
        <v>0</v>
      </c>
      <c r="L22" s="115">
        <f>IF('Staging Table'!C24=1,"",SUM(D22:K22))</f>
        <v>122857.4283596421</v>
      </c>
      <c r="M22" s="115">
        <f>IF('Staging Table'!C24=1,"",IF(Init!$R$9="Yes",(RT1SC!$C$3*'Staging Table'!F24*'Staging Table'!$F$2),X22))</f>
        <v>3226.31910432</v>
      </c>
      <c r="N22" s="69">
        <f>IF('Staging Table'!C24=1,"",IF(M22=0, 0, L22/M22))</f>
        <v>38.079751068373113</v>
      </c>
      <c r="O22" s="115">
        <f>'Staging Table'!BS24*Rates_current!$F$77*100*12</f>
        <v>131563.56719999999</v>
      </c>
      <c r="P22" s="115">
        <f>'Staging Table'!BS24*Rates_current!$F$78*100*12</f>
        <v>-21072.957600000002</v>
      </c>
      <c r="Q22" s="116"/>
      <c r="R22" s="116">
        <f>SUMPRODUCT('Staging Table'!CW24:DH24, LS_Demand_Rates_Restatement!$C$11:$N$11)*1000</f>
        <v>22199.799708831906</v>
      </c>
      <c r="S22" s="117"/>
      <c r="T22" s="117">
        <v>0</v>
      </c>
      <c r="U22" s="117">
        <f>IF('Staging Table'!D24=1, 'Staging Table'!BU24*-1*'Staging Table'!BS24/'Staging Table'!BR24,SUM(O22:T22)*'Staging Table'!BU24*-1)</f>
        <v>0</v>
      </c>
      <c r="V22" s="115">
        <f>'Staging Table'!BX24*Rates_current!$I$44*-1</f>
        <v>0</v>
      </c>
      <c r="W22" s="115">
        <f>IF('Staging Table'!C24=1,"",SUM(O22:V22))</f>
        <v>132690.40930883191</v>
      </c>
      <c r="X22" s="115">
        <f>IF('Staging Table'!C24=1,"",(RT1SC!$C$4*'Staging Table'!BS24*'Staging Table'!$BS$2))</f>
        <v>3163.807516416</v>
      </c>
      <c r="Y22" s="69">
        <f>IF('Staging Table'!C24=1,"",IF(X22=0, 0, W22/X22))</f>
        <v>41.940101798337352</v>
      </c>
      <c r="Z22" s="64">
        <f ca="1">IF('Staging Table'!C24=1,"",(Y22/N22-1)+(RAND()/100000000000))</f>
        <v>0.10137541926713091</v>
      </c>
      <c r="AA22" s="45">
        <f t="shared" ca="1" si="3"/>
        <v>11</v>
      </c>
      <c r="AD22" s="119"/>
      <c r="AE22" s="119"/>
      <c r="AG22" s="119"/>
      <c r="AH22" s="119"/>
    </row>
    <row r="23" spans="2:34">
      <c r="B23" s="2">
        <v>10071</v>
      </c>
      <c r="C23" s="3" t="s">
        <v>27</v>
      </c>
      <c r="D23" s="115">
        <f>IF(Init!$R$9="Yes",'Staging Table'!F25,'Staging Table'!BS25)*Rates_previous!$E$76*100*12</f>
        <v>672606.50399999996</v>
      </c>
      <c r="E23" s="115">
        <f>IF(Init!$R$9="Yes",'Staging Table'!F25,'Staging Table'!BS25)*Rates_previous!$E$77*100*12</f>
        <v>-137318.652</v>
      </c>
      <c r="F23" s="116"/>
      <c r="G23" s="116">
        <f>IF(Init!$R$9="Yes",SUMPRODUCT('Staging Table'!AJ25:AU25,LS_Demand_Rates_Restatement!$C$10:$N$10),SUMPRODUCT(LS_Demand_Rates_Restatement!$C$10:$N$10,'Staging Table'!CW25:DH25))*1000</f>
        <v>27849.788338995721</v>
      </c>
      <c r="H23" s="117"/>
      <c r="I23" s="115">
        <v>0</v>
      </c>
      <c r="J23" s="117">
        <f>IF(Init!$R$9="Yes",IF('Staging Table'!D25=1,'Staging Table'!H25*-1*'Staging Table'!F25/'Staging Table'!E25,'Staging Table'!H25*SUM(D23:I23)*(-1)),IF('Staging Table'!D25=1,'Staging Table'!BU25*-1*'Staging Table'!BS25/'Staging Table'!BR25,'Staging Table'!BU25*SUM(D23:I23)*(-1)))</f>
        <v>0</v>
      </c>
      <c r="K23" s="115">
        <f>IF(Init!$R$9="Yes",'Staging Table'!K25,'Staging Table'!BX25)*(-1)*Rates_previous!$H$32</f>
        <v>0</v>
      </c>
      <c r="L23" s="115">
        <f>IF('Staging Table'!C25=1,"",SUM(D23:K23))</f>
        <v>563137.64033899573</v>
      </c>
      <c r="M23" s="115">
        <f>IF('Staging Table'!C25=1,"",IF(Init!$R$9="Yes",(RT1SC!$C$3*'Staging Table'!F25*'Staging Table'!$F$2),X23))</f>
        <v>16752.041503200002</v>
      </c>
      <c r="N23" s="69">
        <f>IF('Staging Table'!C25=1,"",IF(M23=0, 0, L23/M23))</f>
        <v>33.616060480236051</v>
      </c>
      <c r="O23" s="115">
        <f>'Staging Table'!BS25*Rates_current!$F$77*100*12</f>
        <v>691744.66139999998</v>
      </c>
      <c r="P23" s="115">
        <f>'Staging Table'!BS25*Rates_current!$F$78*100*12</f>
        <v>-110798.95619999999</v>
      </c>
      <c r="Q23" s="116"/>
      <c r="R23" s="116">
        <f>SUMPRODUCT('Staging Table'!CW25:DH25, LS_Demand_Rates_Restatement!$C$11:$N$11)*1000</f>
        <v>30311.465829122139</v>
      </c>
      <c r="S23" s="117"/>
      <c r="T23" s="117">
        <v>0</v>
      </c>
      <c r="U23" s="117">
        <f>IF('Staging Table'!D25=1, 'Staging Table'!BU25*-1*'Staging Table'!BS25/'Staging Table'!BR25,SUM(O23:T23)*'Staging Table'!BU25*-1)</f>
        <v>0</v>
      </c>
      <c r="V23" s="115">
        <f>'Staging Table'!BX25*Rates_current!$I$44*-1</f>
        <v>0</v>
      </c>
      <c r="W23" s="115">
        <f>IF('Staging Table'!C25=1,"",SUM(O23:V23))</f>
        <v>611257.17102912208</v>
      </c>
      <c r="X23" s="115">
        <f>IF('Staging Table'!C25=1,"",(RT1SC!$C$4*'Staging Table'!BS25*'Staging Table'!$BS$2))</f>
        <v>16634.901331392</v>
      </c>
      <c r="Y23" s="69">
        <f>IF('Staging Table'!C25=1,"",IF(X23=0, 0, W23/X23))</f>
        <v>36.745464181119516</v>
      </c>
      <c r="Z23" s="64">
        <f ca="1">IF('Staging Table'!C25=1,"",(Y23/N23-1)+(RAND()/100000000000))</f>
        <v>9.3092517577318443E-2</v>
      </c>
      <c r="AA23" s="45">
        <f t="shared" ca="1" si="3"/>
        <v>73</v>
      </c>
      <c r="AD23" s="119"/>
      <c r="AE23" s="119"/>
      <c r="AG23" s="119"/>
      <c r="AH23" s="119"/>
    </row>
    <row r="24" spans="2:34">
      <c r="B24" s="2">
        <v>10072</v>
      </c>
      <c r="C24" s="3" t="s">
        <v>28</v>
      </c>
      <c r="D24" s="115">
        <f>IF(Init!$R$9="Yes",'Staging Table'!F26,'Staging Table'!BS26)*Rates_previous!$E$76*100*12</f>
        <v>8648972.30088</v>
      </c>
      <c r="E24" s="115">
        <f>IF(Init!$R$9="Yes",'Staging Table'!F26,'Staging Table'!BS26)*Rates_previous!$E$77*100*12</f>
        <v>-1765765.2884400003</v>
      </c>
      <c r="F24" s="116"/>
      <c r="G24" s="116">
        <f>IF(Init!$R$9="Yes",SUMPRODUCT('Staging Table'!AJ26:AU26,LS_Demand_Rates_Restatement!$C$10:$N$10),SUMPRODUCT(LS_Demand_Rates_Restatement!$C$10:$N$10,'Staging Table'!CW26:DH26))*1000</f>
        <v>1056562.1840608441</v>
      </c>
      <c r="H24" s="117"/>
      <c r="I24" s="115">
        <v>0</v>
      </c>
      <c r="J24" s="117">
        <f>IF(Init!$R$9="Yes",IF('Staging Table'!D26=1,'Staging Table'!H26*-1*'Staging Table'!F26/'Staging Table'!E26,'Staging Table'!H26*SUM(D24:I24)*(-1)),IF('Staging Table'!D26=1,'Staging Table'!BU26*-1*'Staging Table'!BS26/'Staging Table'!BR26,'Staging Table'!BU26*SUM(D24:I24)*(-1)))</f>
        <v>0</v>
      </c>
      <c r="K24" s="115">
        <f>IF(Init!$R$9="Yes",'Staging Table'!K26,'Staging Table'!BX26)*(-1)*Rates_previous!$H$32</f>
        <v>0</v>
      </c>
      <c r="L24" s="115">
        <f>IF('Staging Table'!C26=1,"",SUM(D24:K24))</f>
        <v>7939769.1965008434</v>
      </c>
      <c r="M24" s="115">
        <f>IF('Staging Table'!C26=1,"",IF(Init!$R$9="Yes",(RT1SC!$C$3*'Staging Table'!F26*'Staging Table'!$F$2),X24))</f>
        <v>215412.640351704</v>
      </c>
      <c r="N24" s="69">
        <f>IF('Staging Table'!C26=1,"",IF(M24=0, 0, L24/M24))</f>
        <v>36.858418259660112</v>
      </c>
      <c r="O24" s="115">
        <f>'Staging Table'!BS26*Rates_current!$F$77*100*12</f>
        <v>8786270.8283999991</v>
      </c>
      <c r="P24" s="115">
        <f>'Staging Table'!BS26*Rates_current!$F$78*100*12</f>
        <v>-1407325.1172</v>
      </c>
      <c r="Q24" s="116"/>
      <c r="R24" s="116">
        <f>SUMPRODUCT('Staging Table'!CW26:DH26, LS_Demand_Rates_Restatement!$C$11:$N$11)*1000</f>
        <v>1157427.2346317933</v>
      </c>
      <c r="S24" s="117"/>
      <c r="T24" s="117">
        <v>0</v>
      </c>
      <c r="U24" s="117">
        <f>IF('Staging Table'!D26=1, 'Staging Table'!BU26*-1*'Staging Table'!BS26/'Staging Table'!BR26,SUM(O24:T24)*'Staging Table'!BU26*-1)</f>
        <v>0</v>
      </c>
      <c r="V24" s="115">
        <f>'Staging Table'!BX26*Rates_current!$I$44*-1</f>
        <v>0</v>
      </c>
      <c r="W24" s="115">
        <f>IF('Staging Table'!C26=1,"",SUM(O24:V24))</f>
        <v>8536372.9458317924</v>
      </c>
      <c r="X24" s="115">
        <f>IF('Staging Table'!C26=1,"",(RT1SC!$C$4*'Staging Table'!BS26*'Staging Table'!$BS$2))</f>
        <v>211290.02716915202</v>
      </c>
      <c r="Y24" s="69">
        <f>IF('Staging Table'!C26=1,"",IF(X24=0, 0, W24/X24))</f>
        <v>40.401210886294443</v>
      </c>
      <c r="Z24" s="64">
        <f ca="1">IF('Staging Table'!C26=1,"",(Y24/N24-1)+(RAND()/100000000000))</f>
        <v>9.6118954478325386E-2</v>
      </c>
      <c r="AA24" s="45">
        <f t="shared" ca="1" si="3"/>
        <v>33</v>
      </c>
      <c r="AD24" s="119"/>
      <c r="AE24" s="119"/>
      <c r="AG24" s="119"/>
      <c r="AH24" s="119"/>
    </row>
    <row r="25" spans="2:34">
      <c r="B25" s="2">
        <v>10074</v>
      </c>
      <c r="C25" s="3" t="s">
        <v>29</v>
      </c>
      <c r="D25" s="115">
        <f>IF(Init!$R$9="Yes",'Staging Table'!F27,'Staging Table'!BS27)*Rates_previous!$E$76*100*12</f>
        <v>9622757.0505599994</v>
      </c>
      <c r="E25" s="115">
        <f>IF(Init!$R$9="Yes",'Staging Table'!F27,'Staging Table'!BS27)*Rates_previous!$E$77*100*12</f>
        <v>-1964572.1812800001</v>
      </c>
      <c r="F25" s="116"/>
      <c r="G25" s="116">
        <f>IF(Init!$R$9="Yes",SUMPRODUCT('Staging Table'!AJ27:AU27,LS_Demand_Rates_Restatement!$C$10:$N$10),SUMPRODUCT(LS_Demand_Rates_Restatement!$C$10:$N$10,'Staging Table'!CW27:DH27))*1000</f>
        <v>682937.79526941758</v>
      </c>
      <c r="H25" s="117"/>
      <c r="I25" s="115">
        <v>0</v>
      </c>
      <c r="J25" s="117">
        <f>IF(Init!$R$9="Yes",IF('Staging Table'!D27=1,'Staging Table'!H27*-1*'Staging Table'!F27/'Staging Table'!E27,'Staging Table'!H27*SUM(D25:I25)*(-1)),IF('Staging Table'!D27=1,'Staging Table'!BU27*-1*'Staging Table'!BS27/'Staging Table'!BR27,'Staging Table'!BU27*SUM(D25:I25)*(-1)))</f>
        <v>0</v>
      </c>
      <c r="K25" s="115">
        <f>IF(Init!$R$9="Yes",'Staging Table'!K27,'Staging Table'!BX27)*(-1)*Rates_previous!$H$32</f>
        <v>0</v>
      </c>
      <c r="L25" s="115">
        <f>IF('Staging Table'!C27=1,"",SUM(D25:K25))</f>
        <v>8341122.6645494169</v>
      </c>
      <c r="M25" s="115">
        <f>IF('Staging Table'!C27=1,"",IF(Init!$R$9="Yes",(RT1SC!$C$3*'Staging Table'!F27*'Staging Table'!$F$2),X25))</f>
        <v>239665.87377244802</v>
      </c>
      <c r="N25" s="69">
        <f>IF('Staging Table'!C27=1,"",IF(M25=0, 0, L25/M25))</f>
        <v>34.803130430112624</v>
      </c>
      <c r="O25" s="115">
        <f>'Staging Table'!BS27*Rates_current!$F$77*100*12</f>
        <v>9775587.4164000005</v>
      </c>
      <c r="P25" s="115">
        <f>'Staging Table'!BS27*Rates_current!$F$78*100*12</f>
        <v>-1565787.1212000002</v>
      </c>
      <c r="Q25" s="116"/>
      <c r="R25" s="116">
        <f>SUMPRODUCT('Staging Table'!CW27:DH27, LS_Demand_Rates_Restatement!$C$11:$N$11)*1000</f>
        <v>719237.24624166649</v>
      </c>
      <c r="S25" s="117"/>
      <c r="T25" s="117">
        <v>0</v>
      </c>
      <c r="U25" s="117">
        <f>IF('Staging Table'!D27=1, 'Staging Table'!BU27*-1*'Staging Table'!BS27/'Staging Table'!BR27,SUM(O25:T25)*'Staging Table'!BU27*-1)</f>
        <v>0</v>
      </c>
      <c r="V25" s="115">
        <f>'Staging Table'!BX27*Rates_current!$I$44*-1</f>
        <v>0</v>
      </c>
      <c r="W25" s="115">
        <f>IF('Staging Table'!C27=1,"",SUM(O25:V25))</f>
        <v>8929037.5414416678</v>
      </c>
      <c r="X25" s="115">
        <f>IF('Staging Table'!C27=1,"",(RT1SC!$C$4*'Staging Table'!BS27*'Staging Table'!$BS$2))</f>
        <v>235080.86321779201</v>
      </c>
      <c r="Y25" s="69">
        <f>IF('Staging Table'!C27=1,"",IF(X25=0, 0, W25/X25))</f>
        <v>37.982834583899368</v>
      </c>
      <c r="Z25" s="64">
        <f ca="1">IF('Staging Table'!C27=1,"",(Y25/N25-1)+(RAND()/100000000000))</f>
        <v>9.1362590512804986E-2</v>
      </c>
      <c r="AA25" s="45">
        <f t="shared" ca="1" si="3"/>
        <v>94</v>
      </c>
      <c r="AD25" s="119"/>
      <c r="AE25" s="119"/>
      <c r="AG25" s="119"/>
      <c r="AH25" s="119"/>
    </row>
    <row r="26" spans="2:34">
      <c r="B26" s="2">
        <v>10076</v>
      </c>
      <c r="C26" s="3" t="s">
        <v>30</v>
      </c>
      <c r="D26" s="115">
        <f>IF(Init!$R$9="Yes",'Staging Table'!F28,'Staging Table'!BS28)*Rates_previous!$E$76*100*12</f>
        <v>1737317.6884800005</v>
      </c>
      <c r="E26" s="115">
        <f>IF(Init!$R$9="Yes",'Staging Table'!F28,'Staging Table'!BS28)*Rates_previous!$E$77*100*12</f>
        <v>-354688.99223999999</v>
      </c>
      <c r="F26" s="116"/>
      <c r="G26" s="116">
        <f>IF(Init!$R$9="Yes",SUMPRODUCT('Staging Table'!AJ28:AU28,LS_Demand_Rates_Restatement!$C$10:$N$10),SUMPRODUCT(LS_Demand_Rates_Restatement!$C$10:$N$10,'Staging Table'!CW28:DH28))*1000</f>
        <v>112055.18759273498</v>
      </c>
      <c r="H26" s="117"/>
      <c r="I26" s="115">
        <v>0</v>
      </c>
      <c r="J26" s="117">
        <f>IF(Init!$R$9="Yes",IF('Staging Table'!D28=1,'Staging Table'!H28*-1*'Staging Table'!F28/'Staging Table'!E28,'Staging Table'!H28*SUM(D26:I26)*(-1)),IF('Staging Table'!D28=1,'Staging Table'!BU28*-1*'Staging Table'!BS28/'Staging Table'!BR28,'Staging Table'!BU28*SUM(D26:I26)*(-1)))</f>
        <v>0</v>
      </c>
      <c r="K26" s="115">
        <f>IF(Init!$R$9="Yes",'Staging Table'!K28,'Staging Table'!BX28)*(-1)*Rates_previous!$H$32</f>
        <v>0</v>
      </c>
      <c r="L26" s="115">
        <f>IF('Staging Table'!C28=1,"",SUM(D26:K26))</f>
        <v>1494683.8838327355</v>
      </c>
      <c r="M26" s="115">
        <f>IF('Staging Table'!C28=1,"",IF(Init!$R$9="Yes",(RT1SC!$C$3*'Staging Table'!F28*'Staging Table'!$F$2),X26))</f>
        <v>43269.902756784002</v>
      </c>
      <c r="N26" s="69">
        <f>IF('Staging Table'!C28=1,"",IF(M26=0, 0, L26/M26))</f>
        <v>34.543268845188102</v>
      </c>
      <c r="O26" s="115">
        <f>'Staging Table'!BS28*Rates_current!$F$77*100*12</f>
        <v>1764971.8710000003</v>
      </c>
      <c r="P26" s="115">
        <f>'Staging Table'!BS28*Rates_current!$F$78*100*12</f>
        <v>-282701.19299999997</v>
      </c>
      <c r="Q26" s="116"/>
      <c r="R26" s="116">
        <f>SUMPRODUCT('Staging Table'!CW28:DH28, LS_Demand_Rates_Restatement!$C$11:$N$11)*1000</f>
        <v>125183.42670128202</v>
      </c>
      <c r="S26" s="117"/>
      <c r="T26" s="117">
        <v>0</v>
      </c>
      <c r="U26" s="117">
        <f>IF('Staging Table'!D28=1, 'Staging Table'!BU28*-1*'Staging Table'!BS28/'Staging Table'!BR28,SUM(O26:T26)*'Staging Table'!BU28*-1)</f>
        <v>0</v>
      </c>
      <c r="V26" s="115">
        <f>'Staging Table'!BX28*Rates_current!$I$44*-1</f>
        <v>0</v>
      </c>
      <c r="W26" s="115">
        <f>IF('Staging Table'!C28=1,"",SUM(O26:V26))</f>
        <v>1607454.1047012822</v>
      </c>
      <c r="X26" s="115">
        <f>IF('Staging Table'!C28=1,"",(RT1SC!$C$4*'Staging Table'!BS28*'Staging Table'!$BS$2))</f>
        <v>42443.598866880006</v>
      </c>
      <c r="Y26" s="69">
        <f>IF('Staging Table'!C28=1,"",IF(X26=0, 0, W26/X26))</f>
        <v>37.872709845903906</v>
      </c>
      <c r="Z26" s="64">
        <f ca="1">IF('Staging Table'!C28=1,"",(Y26/N26-1)+(RAND()/100000000000))</f>
        <v>9.638465357117787E-2</v>
      </c>
      <c r="AA26" s="45">
        <f t="shared" ca="1" si="3"/>
        <v>32</v>
      </c>
      <c r="AD26" s="119"/>
      <c r="AE26" s="119"/>
      <c r="AG26" s="119"/>
      <c r="AH26" s="119"/>
    </row>
    <row r="27" spans="2:34">
      <c r="B27" s="2">
        <v>10078</v>
      </c>
      <c r="C27" s="3" t="s">
        <v>31</v>
      </c>
      <c r="D27" s="115">
        <f>IF(Init!$R$9="Yes",'Staging Table'!F29,'Staging Table'!BS29)*Rates_previous!$E$76*100*12</f>
        <v>1340978.07816</v>
      </c>
      <c r="E27" s="115">
        <f>IF(Init!$R$9="Yes",'Staging Table'!F29,'Staging Table'!BS29)*Rates_previous!$E$77*100*12</f>
        <v>-273772.70507999999</v>
      </c>
      <c r="F27" s="116"/>
      <c r="G27" s="116">
        <f>IF(Init!$R$9="Yes",SUMPRODUCT('Staging Table'!AJ29:AU29,LS_Demand_Rates_Restatement!$C$10:$N$10),SUMPRODUCT(LS_Demand_Rates_Restatement!$C$10:$N$10,'Staging Table'!CW29:DH29))*1000</f>
        <v>120577.47893298611</v>
      </c>
      <c r="H27" s="117"/>
      <c r="I27" s="115">
        <v>0</v>
      </c>
      <c r="J27" s="117">
        <f>IF(Init!$R$9="Yes",IF('Staging Table'!D29=1,'Staging Table'!H29*-1*'Staging Table'!F29/'Staging Table'!E29,'Staging Table'!H29*SUM(D27:I27)*(-1)),IF('Staging Table'!D29=1,'Staging Table'!BU29*-1*'Staging Table'!BS29/'Staging Table'!BR29,'Staging Table'!BU29*SUM(D27:I27)*(-1)))</f>
        <v>0</v>
      </c>
      <c r="K27" s="115">
        <f>IF(Init!$R$9="Yes",'Staging Table'!K29,'Staging Table'!BX29)*(-1)*Rates_previous!$H$32</f>
        <v>0</v>
      </c>
      <c r="L27" s="115">
        <f>IF('Staging Table'!C29=1,"",SUM(D27:K27))</f>
        <v>1187782.8520129861</v>
      </c>
      <c r="M27" s="115">
        <f>IF('Staging Table'!C29=1,"",IF(Init!$R$9="Yes",(RT1SC!$C$3*'Staging Table'!F29*'Staging Table'!$F$2),X27))</f>
        <v>33398.607189527997</v>
      </c>
      <c r="N27" s="69">
        <f>IF('Staging Table'!C29=1,"",IF(M27=0, 0, L27/M27))</f>
        <v>35.56384388344825</v>
      </c>
      <c r="O27" s="115">
        <f>'Staging Table'!BS29*Rates_current!$F$77*100*12</f>
        <v>1355001.1488000003</v>
      </c>
      <c r="P27" s="115">
        <f>'Staging Table'!BS29*Rates_current!$F$78*100*12</f>
        <v>-217034.87040000001</v>
      </c>
      <c r="Q27" s="116"/>
      <c r="R27" s="116">
        <f>SUMPRODUCT('Staging Table'!CW29:DH29, LS_Demand_Rates_Restatement!$C$11:$N$11)*1000</f>
        <v>133981.42546033653</v>
      </c>
      <c r="S27" s="117"/>
      <c r="T27" s="117">
        <v>0</v>
      </c>
      <c r="U27" s="117">
        <f>IF('Staging Table'!D29=1, 'Staging Table'!BU29*-1*'Staging Table'!BS29/'Staging Table'!BR29,SUM(O27:T27)*'Staging Table'!BU29*-1)</f>
        <v>0</v>
      </c>
      <c r="V27" s="115">
        <f>'Staging Table'!BX29*Rates_current!$I$44*-1</f>
        <v>0</v>
      </c>
      <c r="W27" s="115">
        <f>IF('Staging Table'!C29=1,"",SUM(O27:V27))</f>
        <v>1271947.7038603367</v>
      </c>
      <c r="X27" s="115">
        <f>IF('Staging Table'!C29=1,"",(RT1SC!$C$4*'Staging Table'!BS29*'Staging Table'!$BS$2))</f>
        <v>32584.726232064004</v>
      </c>
      <c r="Y27" s="69">
        <f>IF('Staging Table'!C29=1,"",IF(X27=0, 0, W27/X27))</f>
        <v>39.035089471112862</v>
      </c>
      <c r="Z27" s="64">
        <f ca="1">IF('Staging Table'!C29=1,"",(Y27/N27-1)+(RAND()/100000000000))</f>
        <v>9.7606029295527877E-2</v>
      </c>
      <c r="AA27" s="45">
        <f t="shared" ca="1" si="3"/>
        <v>25</v>
      </c>
      <c r="AD27" s="119"/>
      <c r="AE27" s="119"/>
      <c r="AG27" s="119"/>
      <c r="AH27" s="119"/>
    </row>
    <row r="28" spans="2:34">
      <c r="B28" s="2">
        <v>10079</v>
      </c>
      <c r="C28" s="3" t="s">
        <v>32</v>
      </c>
      <c r="D28" s="115">
        <f>IF(Init!$R$9="Yes",'Staging Table'!F30,'Staging Table'!BS30)*Rates_previous!$E$76*100*12</f>
        <v>29490805.838160001</v>
      </c>
      <c r="E28" s="115">
        <f>IF(Init!$R$9="Yes",'Staging Table'!F30,'Staging Table'!BS30)*Rates_previous!$E$77*100*12</f>
        <v>-6020812.5850799996</v>
      </c>
      <c r="F28" s="116"/>
      <c r="G28" s="116">
        <f>IF(Init!$R$9="Yes",SUMPRODUCT('Staging Table'!AJ30:AU30,LS_Demand_Rates_Restatement!$C$10:$N$10),SUMPRODUCT(LS_Demand_Rates_Restatement!$C$10:$N$10,'Staging Table'!CW30:DH30))*1000</f>
        <v>2365509.3607588671</v>
      </c>
      <c r="H28" s="117"/>
      <c r="I28" s="115">
        <v>0</v>
      </c>
      <c r="J28" s="117">
        <f>IF(Init!$R$9="Yes",IF('Staging Table'!D30=1,'Staging Table'!H30*-1*'Staging Table'!F30/'Staging Table'!E30,'Staging Table'!H30*SUM(D28:I28)*(-1)),IF('Staging Table'!D30=1,'Staging Table'!BU30*-1*'Staging Table'!BS30/'Staging Table'!BR30,'Staging Table'!BU30*SUM(D28:I28)*(-1)))</f>
        <v>0</v>
      </c>
      <c r="K28" s="115">
        <f>IF(Init!$R$9="Yes",'Staging Table'!K30,'Staging Table'!BX30)*(-1)*Rates_previous!$H$32</f>
        <v>0</v>
      </c>
      <c r="L28" s="115">
        <f>IF('Staging Table'!C30=1,"",SUM(D28:K28))</f>
        <v>25835502.61383887</v>
      </c>
      <c r="M28" s="115">
        <f>IF('Staging Table'!C30=1,"",IF(Init!$R$9="Yes",(RT1SC!$C$3*'Staging Table'!F30*'Staging Table'!$F$2),X28))</f>
        <v>734502.56639752793</v>
      </c>
      <c r="N28" s="69">
        <f>IF('Staging Table'!C30=1,"",IF(M28=0, 0, L28/M28))</f>
        <v>35.174148867243254</v>
      </c>
      <c r="O28" s="115">
        <f>'Staging Table'!BS30*Rates_current!$F$77*100*12</f>
        <v>30725531.592600003</v>
      </c>
      <c r="P28" s="115">
        <f>'Staging Table'!BS30*Rates_current!$F$78*100*12</f>
        <v>-4921406.7257999992</v>
      </c>
      <c r="Q28" s="116"/>
      <c r="R28" s="116">
        <f>SUMPRODUCT('Staging Table'!CW30:DH30, LS_Demand_Rates_Restatement!$C$11:$N$11)*1000</f>
        <v>2624834.1517735925</v>
      </c>
      <c r="S28" s="117"/>
      <c r="T28" s="117">
        <v>0</v>
      </c>
      <c r="U28" s="117">
        <f>IF('Staging Table'!D30=1, 'Staging Table'!BU30*-1*'Staging Table'!BS30/'Staging Table'!BR30,SUM(O28:T28)*'Staging Table'!BU30*-1)</f>
        <v>0</v>
      </c>
      <c r="V28" s="115">
        <f>'Staging Table'!BX30*Rates_current!$I$44*-1</f>
        <v>0</v>
      </c>
      <c r="W28" s="115">
        <f>IF('Staging Table'!C30=1,"",SUM(O28:V28))</f>
        <v>28428959.018573597</v>
      </c>
      <c r="X28" s="115">
        <f>IF('Staging Table'!C30=1,"",(RT1SC!$C$4*'Staging Table'!BS30*'Staging Table'!$BS$2))</f>
        <v>738879.84240172815</v>
      </c>
      <c r="Y28" s="69">
        <f>IF('Staging Table'!C30=1,"",IF(X28=0, 0, W28/X28))</f>
        <v>38.47575395502102</v>
      </c>
      <c r="Z28" s="64">
        <f ca="1">IF('Staging Table'!C30=1,"",(Y28/N28-1)+(RAND()/100000000000))</f>
        <v>9.3864533877326281E-2</v>
      </c>
      <c r="AA28" s="45">
        <f t="shared" ca="1" si="3"/>
        <v>61</v>
      </c>
      <c r="AD28" s="119"/>
      <c r="AE28" s="119"/>
      <c r="AG28" s="119"/>
      <c r="AH28" s="119"/>
    </row>
    <row r="29" spans="2:34">
      <c r="B29" s="2">
        <v>10080</v>
      </c>
      <c r="C29" s="3" t="s">
        <v>33</v>
      </c>
      <c r="D29" s="115">
        <f>IF(Init!$R$9="Yes",'Staging Table'!F31,'Staging Table'!BS31)*Rates_previous!$E$76*100*12</f>
        <v>2383019.9323200001</v>
      </c>
      <c r="E29" s="115">
        <f>IF(Init!$R$9="Yes",'Staging Table'!F31,'Staging Table'!BS31)*Rates_previous!$E$77*100*12</f>
        <v>-486514.89815999998</v>
      </c>
      <c r="F29" s="116"/>
      <c r="G29" s="116">
        <f>IF(Init!$R$9="Yes",SUMPRODUCT('Staging Table'!AJ31:AU31,LS_Demand_Rates_Restatement!$C$10:$N$10),SUMPRODUCT(LS_Demand_Rates_Restatement!$C$10:$N$10,'Staging Table'!CW31:DH31))*1000</f>
        <v>115088.6584752137</v>
      </c>
      <c r="H29" s="117"/>
      <c r="I29" s="115">
        <v>0</v>
      </c>
      <c r="J29" s="117">
        <f>IF(Init!$R$9="Yes",IF('Staging Table'!D31=1,'Staging Table'!H31*-1*'Staging Table'!F31/'Staging Table'!E31,'Staging Table'!H31*SUM(D29:I29)*(-1)),IF('Staging Table'!D31=1,'Staging Table'!BU31*-1*'Staging Table'!BS31/'Staging Table'!BR31,'Staging Table'!BU31*SUM(D29:I29)*(-1)))</f>
        <v>0</v>
      </c>
      <c r="K29" s="115">
        <f>IF(Init!$R$9="Yes",'Staging Table'!K31,'Staging Table'!BX31)*(-1)*Rates_previous!$H$32</f>
        <v>0</v>
      </c>
      <c r="L29" s="115">
        <f>IF('Staging Table'!C31=1,"",SUM(D29:K29))</f>
        <v>2011593.692635214</v>
      </c>
      <c r="M29" s="115">
        <f>IF('Staging Table'!C31=1,"",IF(Init!$R$9="Yes",(RT1SC!$C$3*'Staging Table'!F31*'Staging Table'!$F$2),X29))</f>
        <v>59351.862599855995</v>
      </c>
      <c r="N29" s="69">
        <f>IF('Staging Table'!C31=1,"",IF(M29=0, 0, L29/M29))</f>
        <v>33.892680103355254</v>
      </c>
      <c r="O29" s="115">
        <f>'Staging Table'!BS31*Rates_current!$F$77*100*12</f>
        <v>2427969.375</v>
      </c>
      <c r="P29" s="115">
        <f>'Staging Table'!BS31*Rates_current!$F$78*100*12</f>
        <v>-388895.62499999994</v>
      </c>
      <c r="Q29" s="116"/>
      <c r="R29" s="116">
        <f>SUMPRODUCT('Staging Table'!CW31:DH31, LS_Demand_Rates_Restatement!$C$11:$N$11)*1000</f>
        <v>122355.9324206731</v>
      </c>
      <c r="S29" s="117"/>
      <c r="T29" s="117">
        <v>0</v>
      </c>
      <c r="U29" s="117">
        <f>IF('Staging Table'!D31=1, 'Staging Table'!BU31*-1*'Staging Table'!BS31/'Staging Table'!BR31,SUM(O29:T29)*'Staging Table'!BU31*-1)</f>
        <v>0</v>
      </c>
      <c r="V29" s="115">
        <f>'Staging Table'!BX31*Rates_current!$I$44*-1</f>
        <v>0</v>
      </c>
      <c r="W29" s="115">
        <f>IF('Staging Table'!C31=1,"",SUM(O29:V29))</f>
        <v>2161429.6824206733</v>
      </c>
      <c r="X29" s="115">
        <f>IF('Staging Table'!C31=1,"",(RT1SC!$C$4*'Staging Table'!BS31*'Staging Table'!$BS$2))</f>
        <v>58387.195800000001</v>
      </c>
      <c r="Y29" s="69">
        <f>IF('Staging Table'!C31=1,"",IF(X29=0, 0, W29/X29))</f>
        <v>37.01889862675462</v>
      </c>
      <c r="Z29" s="64">
        <f ca="1">IF('Staging Table'!C31=1,"",(Y29/N29-1)+(RAND()/100000000000))</f>
        <v>9.2238752260006718E-2</v>
      </c>
      <c r="AA29" s="45">
        <f t="shared" ca="1" si="3"/>
        <v>86</v>
      </c>
      <c r="AD29" s="119"/>
      <c r="AE29" s="119"/>
      <c r="AG29" s="119"/>
      <c r="AH29" s="119"/>
    </row>
    <row r="30" spans="2:34">
      <c r="B30" s="2">
        <v>10081</v>
      </c>
      <c r="C30" s="3" t="s">
        <v>34</v>
      </c>
      <c r="D30" s="115">
        <f>IF(Init!$R$9="Yes",'Staging Table'!F32,'Staging Table'!BS32)*Rates_previous!$E$76*100*12</f>
        <v>3286554.6693599997</v>
      </c>
      <c r="E30" s="115">
        <f>IF(Init!$R$9="Yes",'Staging Table'!F32,'Staging Table'!BS32)*Rates_previous!$E$77*100*12</f>
        <v>-670979.62068000005</v>
      </c>
      <c r="F30" s="116"/>
      <c r="G30" s="116">
        <f>IF(Init!$R$9="Yes",SUMPRODUCT('Staging Table'!AJ32:AU32,LS_Demand_Rates_Restatement!$C$10:$N$10),SUMPRODUCT(LS_Demand_Rates_Restatement!$C$10:$N$10,'Staging Table'!CW32:DH32))*1000</f>
        <v>141799.10477395827</v>
      </c>
      <c r="H30" s="117"/>
      <c r="I30" s="115">
        <v>0</v>
      </c>
      <c r="J30" s="117">
        <f>IF(Init!$R$9="Yes",IF('Staging Table'!D32=1,'Staging Table'!H32*-1*'Staging Table'!F32/'Staging Table'!E32,'Staging Table'!H32*SUM(D30:I30)*(-1)),IF('Staging Table'!D32=1,'Staging Table'!BU32*-1*'Staging Table'!BS32/'Staging Table'!BR32,'Staging Table'!BU32*SUM(D30:I30)*(-1)))</f>
        <v>0</v>
      </c>
      <c r="K30" s="115">
        <f>IF(Init!$R$9="Yes",'Staging Table'!K32,'Staging Table'!BX32)*(-1)*Rates_previous!$H$32</f>
        <v>0</v>
      </c>
      <c r="L30" s="115">
        <f>IF('Staging Table'!C32=1,"",SUM(D30:K30))</f>
        <v>2757374.1534539578</v>
      </c>
      <c r="M30" s="115">
        <f>IF('Staging Table'!C32=1,"",IF(Init!$R$9="Yes",(RT1SC!$C$3*'Staging Table'!F32*'Staging Table'!$F$2),X30))</f>
        <v>81855.438352487996</v>
      </c>
      <c r="N30" s="69">
        <f>IF('Staging Table'!C32=1,"",IF(M30=0, 0, L30/M30))</f>
        <v>33.68590052111238</v>
      </c>
      <c r="O30" s="115">
        <f>'Staging Table'!BS32*Rates_current!$F$77*100*12</f>
        <v>3403818.8262000005</v>
      </c>
      <c r="P30" s="115">
        <f>'Staging Table'!BS32*Rates_current!$F$78*100*12</f>
        <v>-545200.55459999992</v>
      </c>
      <c r="Q30" s="116"/>
      <c r="R30" s="116">
        <f>SUMPRODUCT('Staging Table'!CW32:DH32, LS_Demand_Rates_Restatement!$C$11:$N$11)*1000</f>
        <v>149658.84134663458</v>
      </c>
      <c r="S30" s="117"/>
      <c r="T30" s="117">
        <v>0</v>
      </c>
      <c r="U30" s="117">
        <f>IF('Staging Table'!D32=1, 'Staging Table'!BU32*-1*'Staging Table'!BS32/'Staging Table'!BR32,SUM(O30:T30)*'Staging Table'!BU32*-1)</f>
        <v>0</v>
      </c>
      <c r="V30" s="115">
        <f>'Staging Table'!BX32*Rates_current!$I$44*-1</f>
        <v>0</v>
      </c>
      <c r="W30" s="115">
        <f>IF('Staging Table'!C32=1,"",SUM(O30:V30))</f>
        <v>3008277.1129466351</v>
      </c>
      <c r="X30" s="115">
        <f>IF('Staging Table'!C32=1,"",(RT1SC!$C$4*'Staging Table'!BS32*'Staging Table'!$BS$2))</f>
        <v>81854.177535936004</v>
      </c>
      <c r="Y30" s="69">
        <f>IF('Staging Table'!C32=1,"",IF(X30=0, 0, W30/X30))</f>
        <v>36.751662572456091</v>
      </c>
      <c r="Z30" s="64">
        <f ca="1">IF('Staging Table'!C32=1,"",(Y30/N30-1)+(RAND()/100000000000))</f>
        <v>9.1010244761151535E-2</v>
      </c>
      <c r="AA30" s="45">
        <f t="shared" ca="1" si="3"/>
        <v>98</v>
      </c>
      <c r="AD30" s="119"/>
      <c r="AE30" s="119"/>
      <c r="AG30" s="119"/>
      <c r="AH30" s="119"/>
    </row>
    <row r="31" spans="2:34">
      <c r="B31" s="2">
        <v>10082</v>
      </c>
      <c r="C31" s="3" t="s">
        <v>35</v>
      </c>
      <c r="D31" s="115">
        <f>IF(Init!$R$9="Yes",'Staging Table'!F33,'Staging Table'!BS33)*Rates_previous!$E$76*100*12</f>
        <v>35623.233359999998</v>
      </c>
      <c r="E31" s="115">
        <f>IF(Init!$R$9="Yes",'Staging Table'!F33,'Staging Table'!BS33)*Rates_previous!$E$77*100*12</f>
        <v>-7272.8026800000007</v>
      </c>
      <c r="F31" s="116"/>
      <c r="G31" s="116">
        <f>IF(Init!$R$9="Yes",SUMPRODUCT('Staging Table'!AJ33:AU33,LS_Demand_Rates_Restatement!$C$10:$N$10),SUMPRODUCT(LS_Demand_Rates_Restatement!$C$10:$N$10,'Staging Table'!CW33:DH33))*1000</f>
        <v>2932.8872439903844</v>
      </c>
      <c r="H31" s="117"/>
      <c r="I31" s="115">
        <v>0</v>
      </c>
      <c r="J31" s="117">
        <f>IF(Init!$R$9="Yes",IF('Staging Table'!D33=1,'Staging Table'!H33*-1*'Staging Table'!F33/'Staging Table'!E33,'Staging Table'!H33*SUM(D31:I31)*(-1)),IF('Staging Table'!D33=1,'Staging Table'!BU33*-1*'Staging Table'!BS33/'Staging Table'!BR33,'Staging Table'!BU33*SUM(D31:I31)*(-1)))</f>
        <v>0</v>
      </c>
      <c r="K31" s="115">
        <f>IF(Init!$R$9="Yes",'Staging Table'!K33,'Staging Table'!BX33)*(-1)*Rates_previous!$H$32</f>
        <v>0</v>
      </c>
      <c r="L31" s="115">
        <f>IF('Staging Table'!C33=1,"",SUM(D31:K31))</f>
        <v>31283.317923990384</v>
      </c>
      <c r="M31" s="115">
        <f>IF('Staging Table'!C33=1,"",IF(Init!$R$9="Yes",(RT1SC!$C$3*'Staging Table'!F33*'Staging Table'!$F$2),X31))</f>
        <v>887.237753688</v>
      </c>
      <c r="N31" s="69">
        <f>IF('Staging Table'!C33=1,"",IF(M31=0, 0, L31/M31))</f>
        <v>35.259227635382231</v>
      </c>
      <c r="O31" s="115">
        <f>'Staging Table'!BS33*Rates_current!$F$77*100*12</f>
        <v>42214.294199999997</v>
      </c>
      <c r="P31" s="115">
        <f>'Staging Table'!BS33*Rates_current!$F$78*100*12</f>
        <v>-6761.5985999999994</v>
      </c>
      <c r="Q31" s="116"/>
      <c r="R31" s="116">
        <f>SUMPRODUCT('Staging Table'!CW33:DH33, LS_Demand_Rates_Restatement!$C$11:$N$11)*1000</f>
        <v>3333.0954517004984</v>
      </c>
      <c r="S31" s="117"/>
      <c r="T31" s="117">
        <v>0</v>
      </c>
      <c r="U31" s="117">
        <f>IF('Staging Table'!D33=1, 'Staging Table'!BU33*-1*'Staging Table'!BS33/'Staging Table'!BR33,SUM(O31:T31)*'Staging Table'!BU33*-1)</f>
        <v>0</v>
      </c>
      <c r="V31" s="115">
        <f>'Staging Table'!BX33*Rates_current!$I$44*-1</f>
        <v>0</v>
      </c>
      <c r="W31" s="115">
        <f>IF('Staging Table'!C33=1,"",SUM(O31:V31))</f>
        <v>38785.7910517005</v>
      </c>
      <c r="X31" s="115">
        <f>IF('Staging Table'!C33=1,"",(RT1SC!$C$4*'Staging Table'!BS33*'Staging Table'!$BS$2))</f>
        <v>1015.1587109760001</v>
      </c>
      <c r="Y31" s="69">
        <f>IF('Staging Table'!C33=1,"",IF(X31=0, 0, W31/X31))</f>
        <v>38.20662782316159</v>
      </c>
      <c r="Z31" s="64">
        <f ca="1">IF('Staging Table'!C33=1,"",(Y31/N31-1)+(RAND()/100000000000))</f>
        <v>8.3592307198642829E-2</v>
      </c>
      <c r="AA31" s="45">
        <f t="shared" ca="1" si="3"/>
        <v>111</v>
      </c>
      <c r="AD31" s="119"/>
      <c r="AE31" s="119"/>
      <c r="AG31" s="119"/>
      <c r="AH31" s="119"/>
    </row>
    <row r="32" spans="2:34">
      <c r="B32" s="2">
        <v>10083</v>
      </c>
      <c r="C32" s="3" t="s">
        <v>36</v>
      </c>
      <c r="D32" s="115">
        <f>IF(Init!$R$9="Yes",'Staging Table'!F34,'Staging Table'!BS34)*Rates_previous!$E$76*100*12</f>
        <v>3016017.3866400002</v>
      </c>
      <c r="E32" s="115">
        <f>IF(Init!$R$9="Yes",'Staging Table'!F34,'Staging Table'!BS34)*Rates_previous!$E$77*100*12</f>
        <v>-615747.00732000009</v>
      </c>
      <c r="F32" s="116"/>
      <c r="G32" s="116">
        <f>IF(Init!$R$9="Yes",SUMPRODUCT('Staging Table'!AJ34:AU34,LS_Demand_Rates_Restatement!$C$10:$N$10),SUMPRODUCT(LS_Demand_Rates_Restatement!$C$10:$N$10,'Staging Table'!CW34:DH34))*1000</f>
        <v>258697.87208293262</v>
      </c>
      <c r="H32" s="117"/>
      <c r="I32" s="115">
        <v>0</v>
      </c>
      <c r="J32" s="117">
        <f>IF(Init!$R$9="Yes",IF('Staging Table'!D34=1,'Staging Table'!H34*-1*'Staging Table'!F34/'Staging Table'!E34,'Staging Table'!H34*SUM(D32:I32)*(-1)),IF('Staging Table'!D34=1,'Staging Table'!BU34*-1*'Staging Table'!BS34/'Staging Table'!BR34,'Staging Table'!BU34*SUM(D32:I32)*(-1)))</f>
        <v>0</v>
      </c>
      <c r="K32" s="115">
        <f>IF(Init!$R$9="Yes",'Staging Table'!K34,'Staging Table'!BX34)*(-1)*Rates_previous!$H$32</f>
        <v>0</v>
      </c>
      <c r="L32" s="115">
        <f>IF('Staging Table'!C34=1,"",SUM(D32:K32))</f>
        <v>2658968.2514029332</v>
      </c>
      <c r="M32" s="115">
        <f>IF('Staging Table'!C34=1,"",IF(Init!$R$9="Yes",(RT1SC!$C$3*'Staging Table'!F34*'Staging Table'!$F$2),X32))</f>
        <v>75117.394992311994</v>
      </c>
      <c r="N32" s="69">
        <f>IF('Staging Table'!C34=1,"",IF(M32=0, 0, L32/M32))</f>
        <v>35.397503490038083</v>
      </c>
      <c r="O32" s="115">
        <f>'Staging Table'!BS34*Rates_current!$F$77*100*12</f>
        <v>3064032.6054000007</v>
      </c>
      <c r="P32" s="115">
        <f>'Staging Table'!BS34*Rates_current!$F$78*100*12</f>
        <v>-490775.90820000001</v>
      </c>
      <c r="Q32" s="116"/>
      <c r="R32" s="116">
        <f>SUMPRODUCT('Staging Table'!CW34:DH34, LS_Demand_Rates_Restatement!$C$11:$N$11)*1000</f>
        <v>279533.37789546832</v>
      </c>
      <c r="S32" s="117"/>
      <c r="T32" s="117">
        <v>0</v>
      </c>
      <c r="U32" s="117">
        <f>IF('Staging Table'!D34=1, 'Staging Table'!BU34*-1*'Staging Table'!BS34/'Staging Table'!BR34,SUM(O32:T32)*'Staging Table'!BU34*-1)</f>
        <v>0</v>
      </c>
      <c r="V32" s="115">
        <f>'Staging Table'!BX34*Rates_current!$I$44*-1</f>
        <v>0</v>
      </c>
      <c r="W32" s="115">
        <f>IF('Staging Table'!C34=1,"",SUM(O32:V32))</f>
        <v>2852790.0750954691</v>
      </c>
      <c r="X32" s="115">
        <f>IF('Staging Table'!C34=1,"",(RT1SC!$C$4*'Staging Table'!BS34*'Staging Table'!$BS$2))</f>
        <v>73683.084107712013</v>
      </c>
      <c r="Y32" s="69">
        <f>IF('Staging Table'!C34=1,"",IF(X32=0, 0, W32/X32))</f>
        <v>38.717028604899056</v>
      </c>
      <c r="Z32" s="64">
        <f ca="1">IF('Staging Table'!C34=1,"",(Y32/N32-1)+(RAND()/100000000000))</f>
        <v>9.3778509435918547E-2</v>
      </c>
      <c r="AA32" s="45">
        <f t="shared" ca="1" si="3"/>
        <v>63</v>
      </c>
      <c r="AD32" s="119"/>
      <c r="AE32" s="119"/>
      <c r="AG32" s="119"/>
      <c r="AH32" s="119"/>
    </row>
    <row r="33" spans="2:34">
      <c r="B33" s="2">
        <v>10086</v>
      </c>
      <c r="C33" s="3" t="s">
        <v>37</v>
      </c>
      <c r="D33" s="115">
        <f>IF(Init!$R$9="Yes",'Staging Table'!F35,'Staging Table'!BS35)*Rates_previous!$E$76*100*12</f>
        <v>1395284.8255200002</v>
      </c>
      <c r="E33" s="115">
        <f>IF(Init!$R$9="Yes",'Staging Table'!F35,'Staging Table'!BS35)*Rates_previous!$E$77*100*12</f>
        <v>-284859.91476000001</v>
      </c>
      <c r="F33" s="116"/>
      <c r="G33" s="116">
        <f>IF(Init!$R$9="Yes",SUMPRODUCT('Staging Table'!AJ35:AU35,LS_Demand_Rates_Restatement!$C$10:$N$10),SUMPRODUCT(LS_Demand_Rates_Restatement!$C$10:$N$10,'Staging Table'!CW35:DH35))*1000</f>
        <v>26764.025798103634</v>
      </c>
      <c r="H33" s="117"/>
      <c r="I33" s="115">
        <v>0</v>
      </c>
      <c r="J33" s="117">
        <f>IF(Init!$R$9="Yes",IF('Staging Table'!D35=1,'Staging Table'!H35*-1*'Staging Table'!F35/'Staging Table'!E35,'Staging Table'!H35*SUM(D33:I33)*(-1)),IF('Staging Table'!D35=1,'Staging Table'!BU35*-1*'Staging Table'!BS35/'Staging Table'!BR35,'Staging Table'!BU35*SUM(D33:I33)*(-1)))</f>
        <v>0</v>
      </c>
      <c r="K33" s="115">
        <f>IF(Init!$R$9="Yes",'Staging Table'!K35,'Staging Table'!BX35)*(-1)*Rates_previous!$H$32</f>
        <v>0</v>
      </c>
      <c r="L33" s="115">
        <f>IF('Staging Table'!C35=1,"",SUM(D33:K33))</f>
        <v>1137188.9365581037</v>
      </c>
      <c r="M33" s="115">
        <f>IF('Staging Table'!C35=1,"",IF(Init!$R$9="Yes",(RT1SC!$C$3*'Staging Table'!F35*'Staging Table'!$F$2),X33))</f>
        <v>34751.179429415999</v>
      </c>
      <c r="N33" s="69">
        <f>IF('Staging Table'!C35=1,"",IF(M33=0, 0, L33/M33))</f>
        <v>32.723750826007986</v>
      </c>
      <c r="O33" s="115">
        <f>'Staging Table'!BS35*Rates_current!$F$77*100*12</f>
        <v>929232.43920000014</v>
      </c>
      <c r="P33" s="115">
        <f>'Staging Table'!BS35*Rates_current!$F$78*100*12</f>
        <v>-148838.1336</v>
      </c>
      <c r="Q33" s="116"/>
      <c r="R33" s="116">
        <f>SUMPRODUCT('Staging Table'!CW35:DH35, LS_Demand_Rates_Restatement!$C$11:$N$11)*1000</f>
        <v>28924.41934895833</v>
      </c>
      <c r="S33" s="117"/>
      <c r="T33" s="117">
        <v>0</v>
      </c>
      <c r="U33" s="117">
        <f>IF('Staging Table'!D35=1, 'Staging Table'!BU35*-1*'Staging Table'!BS35/'Staging Table'!BR35,SUM(O33:T33)*'Staging Table'!BU35*-1)</f>
        <v>0</v>
      </c>
      <c r="V33" s="115">
        <f>'Staging Table'!BX35*Rates_current!$I$44*-1</f>
        <v>0</v>
      </c>
      <c r="W33" s="115">
        <f>IF('Staging Table'!C35=1,"",SUM(O33:V33))</f>
        <v>809318.72494895838</v>
      </c>
      <c r="X33" s="115">
        <f>IF('Staging Table'!C35=1,"",(RT1SC!$C$4*'Staging Table'!BS35*'Staging Table'!$BS$2))</f>
        <v>22345.947576576</v>
      </c>
      <c r="Y33" s="69">
        <f>IF('Staging Table'!C35=1,"",IF(X33=0, 0, W33/X33))</f>
        <v>36.217695498280044</v>
      </c>
      <c r="Z33" s="64">
        <f ca="1">IF('Staging Table'!C35=1,"",(Y33/N33-1)+(RAND()/100000000000))</f>
        <v>0.10677091055242588</v>
      </c>
      <c r="AA33" s="45">
        <f t="shared" ca="1" si="3"/>
        <v>4</v>
      </c>
      <c r="AD33" s="119"/>
      <c r="AE33" s="119"/>
      <c r="AG33" s="119"/>
      <c r="AH33" s="119"/>
    </row>
    <row r="34" spans="2:34">
      <c r="B34" s="2">
        <v>10087</v>
      </c>
      <c r="C34" s="3" t="s">
        <v>38</v>
      </c>
      <c r="D34" s="115">
        <f>IF(Init!$R$9="Yes",'Staging Table'!F36,'Staging Table'!BS36)*Rates_previous!$E$76*100*12</f>
        <v>16874949.844799999</v>
      </c>
      <c r="E34" s="115">
        <f>IF(Init!$R$9="Yes",'Staging Table'!F36,'Staging Table'!BS36)*Rates_previous!$E$77*100*12</f>
        <v>-3445172.4023999996</v>
      </c>
      <c r="F34" s="116"/>
      <c r="G34" s="116">
        <f>IF(Init!$R$9="Yes",SUMPRODUCT('Staging Table'!AJ36:AU36,LS_Demand_Rates_Restatement!$C$10:$N$10),SUMPRODUCT(LS_Demand_Rates_Restatement!$C$10:$N$10,'Staging Table'!CW36:DH36))*1000</f>
        <v>11366.80447499997</v>
      </c>
      <c r="H34" s="117"/>
      <c r="I34" s="115">
        <v>0</v>
      </c>
      <c r="J34" s="117">
        <f>IF(Init!$R$9="Yes",IF('Staging Table'!D36=1,'Staging Table'!H36*-1*'Staging Table'!F36/'Staging Table'!E36,'Staging Table'!H36*SUM(D34:I34)*(-1)),IF('Staging Table'!D36=1,'Staging Table'!BU36*-1*'Staging Table'!BS36/'Staging Table'!BR36,'Staging Table'!BU36*SUM(D34:I34)*(-1)))</f>
        <v>0</v>
      </c>
      <c r="K34" s="115">
        <f>IF(Init!$R$9="Yes",'Staging Table'!K36,'Staging Table'!BX36)*(-1)*Rates_previous!$H$32</f>
        <v>0</v>
      </c>
      <c r="L34" s="115">
        <f>IF('Staging Table'!C36=1,"",SUM(D34:K34))</f>
        <v>13441144.246874999</v>
      </c>
      <c r="M34" s="115">
        <f>IF('Staging Table'!C36=1,"",IF(Init!$R$9="Yes",(RT1SC!$C$3*'Staging Table'!F36*'Staging Table'!$F$2),X34))</f>
        <v>420290.10793583991</v>
      </c>
      <c r="N34" s="69">
        <f>IF('Staging Table'!C36=1,"",IF(M34=0, 0, L34/M34))</f>
        <v>31.980634312066368</v>
      </c>
      <c r="O34" s="115">
        <f>'Staging Table'!BS36*Rates_current!$F$77*100*12</f>
        <v>17805108.75</v>
      </c>
      <c r="P34" s="115">
        <f>'Staging Table'!BS36*Rates_current!$F$78*100*12</f>
        <v>-2851901.25</v>
      </c>
      <c r="Q34" s="116"/>
      <c r="R34" s="116">
        <f>SUMPRODUCT('Staging Table'!CW36:DH36, LS_Demand_Rates_Restatement!$C$11:$N$11)*1000</f>
        <v>42480.578725961546</v>
      </c>
      <c r="S34" s="117"/>
      <c r="T34" s="117">
        <v>0</v>
      </c>
      <c r="U34" s="117">
        <f>IF('Staging Table'!D36=1, 'Staging Table'!BU36*-1*'Staging Table'!BS36/'Staging Table'!BR36,SUM(O34:T34)*'Staging Table'!BU36*-1)</f>
        <v>0</v>
      </c>
      <c r="V34" s="115">
        <f>'Staging Table'!BX36*Rates_current!$I$44*-1</f>
        <v>0</v>
      </c>
      <c r="W34" s="115">
        <f>IF('Staging Table'!C36=1,"",SUM(O34:V34))</f>
        <v>14995688.078725962</v>
      </c>
      <c r="X34" s="115">
        <f>IF('Staging Table'!C36=1,"",(RT1SC!$C$4*'Staging Table'!BS36*'Staging Table'!$BS$2))</f>
        <v>428172.76920000004</v>
      </c>
      <c r="Y34" s="69">
        <f>IF('Staging Table'!C36=1,"",IF(X34=0, 0, W34/X34))</f>
        <v>35.022516977770387</v>
      </c>
      <c r="Z34" s="64">
        <f ca="1">IF('Staging Table'!C36=1,"",(Y34/N34-1)+(RAND()/100000000000))</f>
        <v>9.5116395638114776E-2</v>
      </c>
      <c r="AA34" s="45">
        <f t="shared" ca="1" si="3"/>
        <v>45</v>
      </c>
      <c r="AD34" s="119"/>
      <c r="AE34" s="119"/>
      <c r="AG34" s="119"/>
      <c r="AH34" s="119"/>
    </row>
    <row r="35" spans="2:34">
      <c r="B35" s="2">
        <v>10089</v>
      </c>
      <c r="C35" s="3" t="s">
        <v>39</v>
      </c>
      <c r="D35" s="115">
        <f>IF(Init!$R$9="Yes",'Staging Table'!F37,'Staging Table'!BS37)*Rates_previous!$E$76*100*12</f>
        <v>37583756.762400001</v>
      </c>
      <c r="E35" s="115">
        <f>IF(Init!$R$9="Yes",'Staging Table'!F37,'Staging Table'!BS37)*Rates_previous!$E$77*100*12</f>
        <v>-7673061.1212000009</v>
      </c>
      <c r="F35" s="116"/>
      <c r="G35" s="116">
        <f>IF(Init!$R$9="Yes",SUMPRODUCT('Staging Table'!AJ37:AU37,LS_Demand_Rates_Restatement!$C$10:$N$10),SUMPRODUCT(LS_Demand_Rates_Restatement!$C$10:$N$10,'Staging Table'!CW37:DH37))*1000</f>
        <v>760578.70560283109</v>
      </c>
      <c r="H35" s="117"/>
      <c r="I35" s="115">
        <v>0</v>
      </c>
      <c r="J35" s="117">
        <f>IF(Init!$R$9="Yes",IF('Staging Table'!D37=1,'Staging Table'!H37*-1*'Staging Table'!F37/'Staging Table'!E37,'Staging Table'!H37*SUM(D35:I35)*(-1)),IF('Staging Table'!D37=1,'Staging Table'!BU37*-1*'Staging Table'!BS37/'Staging Table'!BR37,'Staging Table'!BU37*SUM(D35:I35)*(-1)))</f>
        <v>0</v>
      </c>
      <c r="K35" s="115">
        <f>IF(Init!$R$9="Yes",'Staging Table'!K37,'Staging Table'!BX37)*(-1)*Rates_previous!$H$32</f>
        <v>0</v>
      </c>
      <c r="L35" s="115">
        <f>IF('Staging Table'!C37=1,"",SUM(D35:K35))</f>
        <v>30671274.346802831</v>
      </c>
      <c r="M35" s="115">
        <f>IF('Staging Table'!C37=1,"",IF(Init!$R$9="Yes",(RT1SC!$C$3*'Staging Table'!F37*'Staging Table'!$F$2),X35))</f>
        <v>936066.85243991995</v>
      </c>
      <c r="N35" s="69">
        <f>IF('Staging Table'!C37=1,"",IF(M35=0, 0, L35/M35))</f>
        <v>32.766115226552607</v>
      </c>
      <c r="O35" s="115">
        <f>'Staging Table'!BS37*Rates_current!$F$77*100*12</f>
        <v>38181145.711799994</v>
      </c>
      <c r="P35" s="115">
        <f>'Staging Table'!BS37*Rates_current!$F$78*100*12</f>
        <v>-6115596.2993999999</v>
      </c>
      <c r="Q35" s="116"/>
      <c r="R35" s="116">
        <f>SUMPRODUCT('Staging Table'!CW37:DH37, LS_Demand_Rates_Restatement!$C$11:$N$11)*1000</f>
        <v>889738.55120480759</v>
      </c>
      <c r="S35" s="117"/>
      <c r="T35" s="117">
        <v>0</v>
      </c>
      <c r="U35" s="117">
        <f>IF('Staging Table'!D37=1, 'Staging Table'!BU37*-1*'Staging Table'!BS37/'Staging Table'!BR37,SUM(O35:T35)*'Staging Table'!BU37*-1)</f>
        <v>0</v>
      </c>
      <c r="V35" s="115">
        <f>'Staging Table'!BX37*Rates_current!$I$44*-1</f>
        <v>0</v>
      </c>
      <c r="W35" s="115">
        <f>IF('Staging Table'!C37=1,"",SUM(O35:V35))</f>
        <v>32955287.9636048</v>
      </c>
      <c r="X35" s="115">
        <f>IF('Staging Table'!C37=1,"",(RT1SC!$C$4*'Staging Table'!BS37*'Staging Table'!$BS$2))</f>
        <v>918170.5722887041</v>
      </c>
      <c r="Y35" s="69">
        <f>IF('Staging Table'!C37=1,"",IF(X35=0, 0, W35/X35))</f>
        <v>35.892337391578408</v>
      </c>
      <c r="Z35" s="64">
        <f ca="1">IF('Staging Table'!C37=1,"",(Y35/N35-1)+(RAND()/100000000000))</f>
        <v>9.5410217034752345E-2</v>
      </c>
      <c r="AA35" s="45">
        <f t="shared" ca="1" si="3"/>
        <v>41</v>
      </c>
      <c r="AD35" s="119"/>
      <c r="AE35" s="119"/>
      <c r="AG35" s="119"/>
      <c r="AH35" s="119"/>
    </row>
    <row r="36" spans="2:34">
      <c r="B36" s="2">
        <v>10091</v>
      </c>
      <c r="C36" s="3" t="s">
        <v>40</v>
      </c>
      <c r="D36" s="115">
        <f>IF(Init!$R$9="Yes",'Staging Table'!F38,'Staging Table'!BS38)*Rates_previous!$E$76*100*12</f>
        <v>3258404.8415999999</v>
      </c>
      <c r="E36" s="115">
        <f>IF(Init!$R$9="Yes",'Staging Table'!F38,'Staging Table'!BS38)*Rates_previous!$E$77*100*12</f>
        <v>-665232.58079999988</v>
      </c>
      <c r="F36" s="116"/>
      <c r="G36" s="116">
        <f>IF(Init!$R$9="Yes",SUMPRODUCT('Staging Table'!AJ38:AU38,LS_Demand_Rates_Restatement!$C$10:$N$10),SUMPRODUCT(LS_Demand_Rates_Restatement!$C$10:$N$10,'Staging Table'!CW38:DH38))*1000</f>
        <v>172094.08032160791</v>
      </c>
      <c r="H36" s="117"/>
      <c r="I36" s="115">
        <v>0</v>
      </c>
      <c r="J36" s="117">
        <f>IF(Init!$R$9="Yes",IF('Staging Table'!D38=1,'Staging Table'!H38*-1*'Staging Table'!F38/'Staging Table'!E38,'Staging Table'!H38*SUM(D36:I36)*(-1)),IF('Staging Table'!D38=1,'Staging Table'!BU38*-1*'Staging Table'!BS38/'Staging Table'!BR38,'Staging Table'!BU38*SUM(D36:I36)*(-1)))</f>
        <v>0</v>
      </c>
      <c r="K36" s="115">
        <f>IF(Init!$R$9="Yes",'Staging Table'!K38,'Staging Table'!BX38)*(-1)*Rates_previous!$H$32</f>
        <v>0</v>
      </c>
      <c r="L36" s="115">
        <f>IF('Staging Table'!C38=1,"",SUM(D36:K36))</f>
        <v>2765266.3411216084</v>
      </c>
      <c r="M36" s="115">
        <f>IF('Staging Table'!C38=1,"",IF(Init!$R$9="Yes",(RT1SC!$C$3*'Staging Table'!F38*'Staging Table'!$F$2),X36))</f>
        <v>81154.334393279991</v>
      </c>
      <c r="N36" s="69">
        <f>IF('Staging Table'!C38=1,"",IF(M36=0, 0, L36/M36))</f>
        <v>34.074166978203777</v>
      </c>
      <c r="O36" s="115">
        <f>'Staging Table'!BS38*Rates_current!$F$77*100*12</f>
        <v>3445256.1702000001</v>
      </c>
      <c r="P36" s="115">
        <f>'Staging Table'!BS38*Rates_current!$F$78*100*12</f>
        <v>-551837.70660000003</v>
      </c>
      <c r="Q36" s="116"/>
      <c r="R36" s="116">
        <f>SUMPRODUCT('Staging Table'!CW38:DH38, LS_Demand_Rates_Restatement!$C$11:$N$11)*1000</f>
        <v>190746.64687624646</v>
      </c>
      <c r="S36" s="117"/>
      <c r="T36" s="117">
        <v>0</v>
      </c>
      <c r="U36" s="117">
        <f>IF('Staging Table'!D38=1, 'Staging Table'!BU38*-1*'Staging Table'!BS38/'Staging Table'!BR38,SUM(O36:T36)*'Staging Table'!BU38*-1)</f>
        <v>0</v>
      </c>
      <c r="V36" s="115">
        <f>'Staging Table'!BX38*Rates_current!$I$44*-1</f>
        <v>0</v>
      </c>
      <c r="W36" s="115">
        <f>IF('Staging Table'!C38=1,"",SUM(O36:V36))</f>
        <v>3084165.1104762466</v>
      </c>
      <c r="X36" s="115">
        <f>IF('Staging Table'!C38=1,"",(RT1SC!$C$4*'Staging Table'!BS38*'Staging Table'!$BS$2))</f>
        <v>82850.652344255999</v>
      </c>
      <c r="Y36" s="69">
        <f>IF('Staging Table'!C38=1,"",IF(X36=0, 0, W36/X36))</f>
        <v>37.225598389510694</v>
      </c>
      <c r="Z36" s="64">
        <f ca="1">IF('Staging Table'!C38=1,"",(Y36/N36-1)+(RAND()/100000000000))</f>
        <v>9.2487408818650058E-2</v>
      </c>
      <c r="AA36" s="45">
        <f t="shared" ref="AA36:AA67" ca="1" si="4">IF(Z36="","",RANK(Z36,$Z$4:$Z$137))</f>
        <v>84</v>
      </c>
      <c r="AD36" s="119"/>
      <c r="AE36" s="119"/>
      <c r="AG36" s="119"/>
      <c r="AH36" s="119"/>
    </row>
    <row r="37" spans="2:34">
      <c r="B37" s="2">
        <v>10094</v>
      </c>
      <c r="C37" s="3" t="s">
        <v>41</v>
      </c>
      <c r="D37" s="115">
        <f>IF(Init!$R$9="Yes",'Staging Table'!F39,'Staging Table'!BS39)*Rates_previous!$E$76*100*12</f>
        <v>1093359.2392799999</v>
      </c>
      <c r="E37" s="115">
        <f>IF(Init!$R$9="Yes",'Staging Table'!F39,'Staging Table'!BS39)*Rates_previous!$E$77*100*12</f>
        <v>-223219.09763999999</v>
      </c>
      <c r="F37" s="116"/>
      <c r="G37" s="116">
        <f>IF(Init!$R$9="Yes",SUMPRODUCT('Staging Table'!AJ39:AU39,LS_Demand_Rates_Restatement!$C$10:$N$10),SUMPRODUCT(LS_Demand_Rates_Restatement!$C$10:$N$10,'Staging Table'!CW39:DH39))*1000</f>
        <v>55940.169555608969</v>
      </c>
      <c r="H37" s="117"/>
      <c r="I37" s="115">
        <v>0</v>
      </c>
      <c r="J37" s="117">
        <f>IF(Init!$R$9="Yes",IF('Staging Table'!D39=1,'Staging Table'!H39*-1*'Staging Table'!F39/'Staging Table'!E39,'Staging Table'!H39*SUM(D37:I37)*(-1)),IF('Staging Table'!D39=1,'Staging Table'!BU39*-1*'Staging Table'!BS39/'Staging Table'!BR39,'Staging Table'!BU39*SUM(D37:I37)*(-1)))</f>
        <v>0</v>
      </c>
      <c r="K37" s="115">
        <f>IF(Init!$R$9="Yes",'Staging Table'!K39,'Staging Table'!BX39)*(-1)*Rates_previous!$H$32</f>
        <v>0</v>
      </c>
      <c r="L37" s="115">
        <f>IF('Staging Table'!C39=1,"",SUM(D37:K37))</f>
        <v>926080.31119560881</v>
      </c>
      <c r="M37" s="115">
        <f>IF('Staging Table'!C39=1,"",IF(Init!$R$9="Yes",(RT1SC!$C$3*'Staging Table'!F39*'Staging Table'!$F$2),X37))</f>
        <v>27231.374132423996</v>
      </c>
      <c r="N37" s="69">
        <f>IF('Staging Table'!C39=1,"",IF(M37=0, 0, L37/M37))</f>
        <v>34.007843551785314</v>
      </c>
      <c r="O37" s="115">
        <f>'Staging Table'!BS39*Rates_current!$F$77*100*12</f>
        <v>1015473.9114</v>
      </c>
      <c r="P37" s="115">
        <f>'Staging Table'!BS39*Rates_current!$F$78*100*12</f>
        <v>-162651.70620000002</v>
      </c>
      <c r="Q37" s="116"/>
      <c r="R37" s="116">
        <f>SUMPRODUCT('Staging Table'!CW39:DH39, LS_Demand_Rates_Restatement!$C$11:$N$11)*1000</f>
        <v>63174.666409553058</v>
      </c>
      <c r="S37" s="117"/>
      <c r="T37" s="117">
        <v>0</v>
      </c>
      <c r="U37" s="117">
        <f>IF('Staging Table'!D39=1, 'Staging Table'!BU39*-1*'Staging Table'!BS39/'Staging Table'!BR39,SUM(O37:T37)*'Staging Table'!BU39*-1)</f>
        <v>0</v>
      </c>
      <c r="V37" s="115">
        <f>'Staging Table'!BX39*Rates_current!$I$44*-1</f>
        <v>0</v>
      </c>
      <c r="W37" s="115">
        <f>IF('Staging Table'!C39=1,"",SUM(O37:V37))</f>
        <v>915996.871609553</v>
      </c>
      <c r="X37" s="115">
        <f>IF('Staging Table'!C39=1,"",(RT1SC!$C$4*'Staging Table'!BS39*'Staging Table'!$BS$2))</f>
        <v>24419.860771391999</v>
      </c>
      <c r="Y37" s="69">
        <f>IF('Staging Table'!C39=1,"",IF(X37=0, 0, W37/X37))</f>
        <v>37.510323264522803</v>
      </c>
      <c r="Z37" s="64">
        <f ca="1">IF('Staging Table'!C39=1,"",(Y37/N37-1)+(RAND()/100000000000))</f>
        <v>0.10299035007816018</v>
      </c>
      <c r="AA37" s="45">
        <f t="shared" ca="1" si="4"/>
        <v>7</v>
      </c>
      <c r="AD37" s="119"/>
      <c r="AE37" s="119"/>
      <c r="AG37" s="119"/>
      <c r="AH37" s="119"/>
    </row>
    <row r="38" spans="2:34">
      <c r="B38" s="2">
        <v>10095</v>
      </c>
      <c r="C38" s="3" t="s">
        <v>42</v>
      </c>
      <c r="D38" s="115">
        <f>IF(Init!$R$9="Yes",'Staging Table'!F40,'Staging Table'!BS40)*Rates_previous!$E$76*100*12</f>
        <v>1313824.7044800001</v>
      </c>
      <c r="E38" s="115">
        <f>IF(Init!$R$9="Yes",'Staging Table'!F40,'Staging Table'!BS40)*Rates_previous!$E$77*100*12</f>
        <v>-268229.10024000006</v>
      </c>
      <c r="F38" s="116"/>
      <c r="G38" s="116">
        <f>IF(Init!$R$9="Yes",SUMPRODUCT('Staging Table'!AJ40:AU40,LS_Demand_Rates_Restatement!$C$10:$N$10),SUMPRODUCT(LS_Demand_Rates_Restatement!$C$10:$N$10,'Staging Table'!CW40:DH40))*1000</f>
        <v>32024.408155128222</v>
      </c>
      <c r="H38" s="117"/>
      <c r="I38" s="115">
        <v>0</v>
      </c>
      <c r="J38" s="117">
        <f>IF(Init!$R$9="Yes",IF('Staging Table'!D40=1,'Staging Table'!H40*-1*'Staging Table'!F40/'Staging Table'!E40,'Staging Table'!H40*SUM(D38:I38)*(-1)),IF('Staging Table'!D40=1,'Staging Table'!BU40*-1*'Staging Table'!BS40/'Staging Table'!BR40,'Staging Table'!BU40*SUM(D38:I38)*(-1)))</f>
        <v>0</v>
      </c>
      <c r="K38" s="115">
        <f>IF(Init!$R$9="Yes",'Staging Table'!K40,'Staging Table'!BX40)*(-1)*Rates_previous!$H$32</f>
        <v>0</v>
      </c>
      <c r="L38" s="115">
        <f>IF('Staging Table'!C40=1,"",SUM(D38:K38))</f>
        <v>1077620.0123951281</v>
      </c>
      <c r="M38" s="115">
        <f>IF('Staging Table'!C40=1,"",IF(Init!$R$9="Yes",(RT1SC!$C$3*'Staging Table'!F40*'Staging Table'!$F$2),X38))</f>
        <v>32722.321069584003</v>
      </c>
      <c r="N38" s="69">
        <f>IF('Staging Table'!C40=1,"",IF(M38=0, 0, L38/M38))</f>
        <v>32.932260829039897</v>
      </c>
      <c r="O38" s="115">
        <f>'Staging Table'!BS40*Rates_current!$F$77*100*12</f>
        <v>1334800.4435999999</v>
      </c>
      <c r="P38" s="115">
        <f>'Staging Table'!BS40*Rates_current!$F$78*100*12</f>
        <v>-213799.25879999998</v>
      </c>
      <c r="Q38" s="116"/>
      <c r="R38" s="116">
        <f>SUMPRODUCT('Staging Table'!CW40:DH40, LS_Demand_Rates_Restatement!$C$11:$N$11)*1000</f>
        <v>36759.737648450842</v>
      </c>
      <c r="S38" s="117"/>
      <c r="T38" s="117">
        <v>0</v>
      </c>
      <c r="U38" s="117">
        <f>IF('Staging Table'!D40=1, 'Staging Table'!BU40*-1*'Staging Table'!BS40/'Staging Table'!BR40,SUM(O38:T38)*'Staging Table'!BU40*-1)</f>
        <v>0</v>
      </c>
      <c r="V38" s="115">
        <f>'Staging Table'!BX40*Rates_current!$I$44*-1</f>
        <v>0</v>
      </c>
      <c r="W38" s="115">
        <f>IF('Staging Table'!C40=1,"",SUM(O38:V38))</f>
        <v>1157760.9224484507</v>
      </c>
      <c r="X38" s="115">
        <f>IF('Staging Table'!C40=1,"",(RT1SC!$C$4*'Staging Table'!BS40*'Staging Table'!$BS$2))</f>
        <v>32098.944763007999</v>
      </c>
      <c r="Y38" s="69">
        <f>IF('Staging Table'!C40=1,"",IF(X38=0, 0, W38/X38))</f>
        <v>36.068504151659738</v>
      </c>
      <c r="Z38" s="64">
        <f ca="1">IF('Staging Table'!C40=1,"",(Y38/N38-1)+(RAND()/100000000000))</f>
        <v>9.5233161761217086E-2</v>
      </c>
      <c r="AA38" s="45">
        <f t="shared" ca="1" si="4"/>
        <v>43</v>
      </c>
      <c r="AD38" s="119"/>
      <c r="AE38" s="119"/>
      <c r="AG38" s="119"/>
      <c r="AH38" s="119"/>
    </row>
    <row r="39" spans="2:34">
      <c r="B39" s="2">
        <v>10097</v>
      </c>
      <c r="C39" s="3" t="s">
        <v>43</v>
      </c>
      <c r="D39" s="115">
        <f>IF(Init!$R$9="Yes",'Staging Table'!F41,'Staging Table'!BS41)*Rates_previous!$E$76*100*12</f>
        <v>720187.18631999998</v>
      </c>
      <c r="E39" s="115">
        <f>IF(Init!$R$9="Yes",'Staging Table'!F41,'Staging Table'!BS41)*Rates_previous!$E$77*100*12</f>
        <v>-147032.67515999998</v>
      </c>
      <c r="F39" s="116"/>
      <c r="G39" s="116">
        <f>IF(Init!$R$9="Yes",SUMPRODUCT('Staging Table'!AJ41:AU41,LS_Demand_Rates_Restatement!$C$10:$N$10),SUMPRODUCT(LS_Demand_Rates_Restatement!$C$10:$N$10,'Staging Table'!CW41:DH41))*1000</f>
        <v>45515.573684481846</v>
      </c>
      <c r="H39" s="117"/>
      <c r="I39" s="115">
        <v>0</v>
      </c>
      <c r="J39" s="117">
        <f>IF(Init!$R$9="Yes",IF('Staging Table'!D41=1,'Staging Table'!H41*-1*'Staging Table'!F41/'Staging Table'!E41,'Staging Table'!H41*SUM(D39:I39)*(-1)),IF('Staging Table'!D41=1,'Staging Table'!BU41*-1*'Staging Table'!BS41/'Staging Table'!BR41,'Staging Table'!BU41*SUM(D39:I39)*(-1)))</f>
        <v>0</v>
      </c>
      <c r="K39" s="115">
        <f>IF(Init!$R$9="Yes",'Staging Table'!K41,'Staging Table'!BX41)*(-1)*Rates_previous!$H$32</f>
        <v>0</v>
      </c>
      <c r="L39" s="115">
        <f>IF('Staging Table'!C41=1,"",SUM(D39:K39))</f>
        <v>618670.0848444819</v>
      </c>
      <c r="M39" s="115">
        <f>IF('Staging Table'!C41=1,"",IF(Init!$R$9="Yes",(RT1SC!$C$3*'Staging Table'!F41*'Staging Table'!$F$2),X39))</f>
        <v>17937.093328055998</v>
      </c>
      <c r="N39" s="69">
        <f>IF('Staging Table'!C41=1,"",IF(M39=0, 0, L39/M39))</f>
        <v>34.491100287514236</v>
      </c>
      <c r="O39" s="115">
        <f>'Staging Table'!BS41*Rates_current!$F$77*100*12</f>
        <v>729556.2378</v>
      </c>
      <c r="P39" s="115">
        <f>'Staging Table'!BS41*Rates_current!$F$78*100*12</f>
        <v>-116855.35740000001</v>
      </c>
      <c r="Q39" s="116"/>
      <c r="R39" s="116">
        <f>SUMPRODUCT('Staging Table'!CW41:DH41, LS_Demand_Rates_Restatement!$C$11:$N$11)*1000</f>
        <v>50919.674718376074</v>
      </c>
      <c r="S39" s="117"/>
      <c r="T39" s="117">
        <v>0</v>
      </c>
      <c r="U39" s="117">
        <f>IF('Staging Table'!D41=1, 'Staging Table'!BU41*-1*'Staging Table'!BS41/'Staging Table'!BR41,SUM(O39:T39)*'Staging Table'!BU41*-1)</f>
        <v>0</v>
      </c>
      <c r="V39" s="115">
        <f>'Staging Table'!BX41*Rates_current!$I$44*-1</f>
        <v>0</v>
      </c>
      <c r="W39" s="115">
        <f>IF('Staging Table'!C41=1,"",SUM(O39:V39))</f>
        <v>663620.55511837616</v>
      </c>
      <c r="X39" s="115">
        <f>IF('Staging Table'!C41=1,"",(RT1SC!$C$4*'Staging Table'!BS41*'Staging Table'!$BS$2))</f>
        <v>17544.184593984002</v>
      </c>
      <c r="Y39" s="69">
        <f>IF('Staging Table'!C41=1,"",IF(X39=0, 0, W39/X39))</f>
        <v>37.825671040074177</v>
      </c>
      <c r="Z39" s="64">
        <f ca="1">IF('Staging Table'!C41=1,"",(Y39/N39-1)+(RAND()/100000000000))</f>
        <v>9.6679164335693887E-2</v>
      </c>
      <c r="AA39" s="45">
        <f t="shared" ca="1" si="4"/>
        <v>30</v>
      </c>
      <c r="AD39" s="119"/>
      <c r="AE39" s="119"/>
      <c r="AG39" s="119"/>
      <c r="AH39" s="119"/>
    </row>
    <row r="40" spans="2:34">
      <c r="B40" s="2">
        <v>10101</v>
      </c>
      <c r="C40" s="3" t="s">
        <v>44</v>
      </c>
      <c r="D40" s="115">
        <f>IF(Init!$R$9="Yes",'Staging Table'!F42,'Staging Table'!BS42)*Rates_previous!$E$76*100*12</f>
        <v>27418928.692319997</v>
      </c>
      <c r="E40" s="115">
        <f>IF(Init!$R$9="Yes",'Staging Table'!F42,'Staging Table'!BS42)*Rates_previous!$E$77*100*12</f>
        <v>-5597820.2781600002</v>
      </c>
      <c r="F40" s="116"/>
      <c r="G40" s="116">
        <f>IF(Init!$R$9="Yes",SUMPRODUCT('Staging Table'!AJ42:AU42,LS_Demand_Rates_Restatement!$C$10:$N$10),SUMPRODUCT(LS_Demand_Rates_Restatement!$C$10:$N$10,'Staging Table'!CW42:DH42))*1000</f>
        <v>1225757.332925854</v>
      </c>
      <c r="H40" s="117"/>
      <c r="I40" s="115">
        <v>0</v>
      </c>
      <c r="J40" s="117">
        <f>IF(Init!$R$9="Yes",IF('Staging Table'!D42=1,'Staging Table'!H42*-1*'Staging Table'!F42/'Staging Table'!E42,'Staging Table'!H42*SUM(D40:I40)*(-1)),IF('Staging Table'!D42=1,'Staging Table'!BU42*-1*'Staging Table'!BS42/'Staging Table'!BR42,'Staging Table'!BU42*SUM(D40:I40)*(-1)))</f>
        <v>-1174320.6873472387</v>
      </c>
      <c r="K40" s="115">
        <f>IF(Init!$R$9="Yes",'Staging Table'!K42,'Staging Table'!BX42)*(-1)*Rates_previous!$H$32</f>
        <v>0</v>
      </c>
      <c r="L40" s="115">
        <f>IF('Staging Table'!C42=1,"",SUM(D40:K40))</f>
        <v>21872545.059738614</v>
      </c>
      <c r="M40" s="115">
        <f>IF('Staging Table'!C42=1,"",IF(Init!$R$9="Yes",(RT1SC!$C$3*'Staging Table'!F42*'Staging Table'!$F$2),X40))</f>
        <v>682900.07410785591</v>
      </c>
      <c r="N40" s="69">
        <f>IF('Staging Table'!C42=1,"",IF(M40=0, 0, L40/M40))</f>
        <v>32.028910069036115</v>
      </c>
      <c r="O40" s="115">
        <f>'Staging Table'!BS42*Rates_current!$F$77*100*12</f>
        <v>27854700.603599995</v>
      </c>
      <c r="P40" s="115">
        <f>'Staging Table'!BS42*Rates_current!$F$78*100*12</f>
        <v>-4461576.5388000002</v>
      </c>
      <c r="Q40" s="116"/>
      <c r="R40" s="116">
        <f>SUMPRODUCT('Staging Table'!CW42:DH42, LS_Demand_Rates_Restatement!$C$11:$N$11)*1000</f>
        <v>1287864.3739850961</v>
      </c>
      <c r="S40" s="117"/>
      <c r="T40" s="117">
        <v>0</v>
      </c>
      <c r="U40" s="117">
        <f>IF('Staging Table'!D42=1, 'Staging Table'!BU42*-1*'Staging Table'!BS42/'Staging Table'!BR42,SUM(O40:T40)*'Staging Table'!BU42*-1)</f>
        <v>-1304671.6628097878</v>
      </c>
      <c r="V40" s="115">
        <f>'Staging Table'!BX42*Rates_current!$I$44*-1</f>
        <v>0</v>
      </c>
      <c r="W40" s="115">
        <f>IF('Staging Table'!C42=1,"",SUM(O40:V40))</f>
        <v>23376316.775975302</v>
      </c>
      <c r="X40" s="115">
        <f>IF('Staging Table'!C42=1,"",(RT1SC!$C$4*'Staging Table'!BS42*'Staging Table'!$BS$2))</f>
        <v>669842.82208780805</v>
      </c>
      <c r="Y40" s="69">
        <f>IF('Staging Table'!C42=1,"",IF(X40=0, 0, W40/X40))</f>
        <v>34.898211946370544</v>
      </c>
      <c r="Z40" s="64">
        <f ca="1">IF('Staging Table'!C42=1,"",(Y40/N40-1)+(RAND()/100000000000))</f>
        <v>8.9584749260632895E-2</v>
      </c>
      <c r="AA40" s="45">
        <f t="shared" ca="1" si="4"/>
        <v>101</v>
      </c>
      <c r="AD40" s="119"/>
      <c r="AE40" s="119"/>
      <c r="AG40" s="119"/>
      <c r="AH40" s="119"/>
    </row>
    <row r="41" spans="2:34">
      <c r="B41" s="2">
        <v>10103</v>
      </c>
      <c r="C41" s="3" t="s">
        <v>45</v>
      </c>
      <c r="D41" s="115">
        <f>IF(Init!$R$9="Yes",'Staging Table'!F43,'Staging Table'!BS43)*Rates_previous!$E$76*100*12</f>
        <v>114862756.48272</v>
      </c>
      <c r="E41" s="115">
        <f>IF(Init!$R$9="Yes",'Staging Table'!F43,'Staging Table'!BS43)*Rates_previous!$E$77*100*12</f>
        <v>-23450262.213359997</v>
      </c>
      <c r="F41" s="116"/>
      <c r="G41" s="116">
        <f>IF(Init!$R$9="Yes",SUMPRODUCT('Staging Table'!AJ43:AU43,LS_Demand_Rates_Restatement!$C$10:$N$10),SUMPRODUCT(LS_Demand_Rates_Restatement!$C$10:$N$10,'Staging Table'!CW43:DH43))*1000</f>
        <v>11250757.943974812</v>
      </c>
      <c r="H41" s="117"/>
      <c r="I41" s="115">
        <v>0</v>
      </c>
      <c r="J41" s="117">
        <f>IF(Init!$R$9="Yes",IF('Staging Table'!D43=1,'Staging Table'!H43*-1*'Staging Table'!F43/'Staging Table'!E43,'Staging Table'!H43*SUM(D41:I41)*(-1)),IF('Staging Table'!D43=1,'Staging Table'!BU43*-1*'Staging Table'!BS43/'Staging Table'!BR43,'Staging Table'!BU43*SUM(D41:I41)*(-1)))</f>
        <v>0</v>
      </c>
      <c r="K41" s="115">
        <f>IF(Init!$R$9="Yes",'Staging Table'!K43,'Staging Table'!BX43)*(-1)*Rates_previous!$H$32</f>
        <v>0</v>
      </c>
      <c r="L41" s="115">
        <f>IF('Staging Table'!C43=1,"",SUM(D41:K41))</f>
        <v>102663252.21333481</v>
      </c>
      <c r="M41" s="115">
        <f>IF('Staging Table'!C43=1,"",IF(Init!$R$9="Yes",(RT1SC!$C$3*'Staging Table'!F43*'Staging Table'!$F$2),X41))</f>
        <v>2860789.5587201756</v>
      </c>
      <c r="N41" s="69">
        <f>IF('Staging Table'!C43=1,"",IF(M41=0, 0, L41/M41))</f>
        <v>35.886334910724095</v>
      </c>
      <c r="O41" s="115">
        <f>'Staging Table'!BS43*Rates_current!$F$77*100*12</f>
        <v>116688078.6708</v>
      </c>
      <c r="P41" s="115">
        <f>'Staging Table'!BS43*Rates_current!$F$78*100*12</f>
        <v>-18690302.996399999</v>
      </c>
      <c r="Q41" s="116"/>
      <c r="R41" s="116">
        <f>SUMPRODUCT('Staging Table'!CW43:DH43, LS_Demand_Rates_Restatement!$C$11:$N$11)*1000</f>
        <v>12233202.905460317</v>
      </c>
      <c r="S41" s="117"/>
      <c r="T41" s="117">
        <v>0</v>
      </c>
      <c r="U41" s="117">
        <f>IF('Staging Table'!D43=1, 'Staging Table'!BU43*-1*'Staging Table'!BS43/'Staging Table'!BR43,SUM(O41:T41)*'Staging Table'!BU43*-1)</f>
        <v>0</v>
      </c>
      <c r="V41" s="115">
        <f>'Staging Table'!BX43*Rates_current!$I$44*-1</f>
        <v>0</v>
      </c>
      <c r="W41" s="115">
        <f>IF('Staging Table'!C43=1,"",SUM(O41:V41))</f>
        <v>110230978.57986031</v>
      </c>
      <c r="X41" s="115">
        <f>IF('Staging Table'!C43=1,"",(RT1SC!$C$4*'Staging Table'!BS43*'Staging Table'!$BS$2))</f>
        <v>2806085.5161642237</v>
      </c>
      <c r="Y41" s="69">
        <f>IF('Staging Table'!C43=1,"",IF(X41=0, 0, W41/X41))</f>
        <v>39.282829388086668</v>
      </c>
      <c r="Z41" s="64">
        <f ca="1">IF('Staging Table'!C43=1,"",(Y41/N41-1)+(RAND()/100000000000))</f>
        <v>9.4645900341041297E-2</v>
      </c>
      <c r="AA41" s="45">
        <f t="shared" ca="1" si="4"/>
        <v>51</v>
      </c>
      <c r="AD41" s="119"/>
      <c r="AE41" s="119"/>
      <c r="AG41" s="119"/>
      <c r="AH41" s="119"/>
    </row>
    <row r="42" spans="2:34">
      <c r="B42" s="2">
        <v>10105</v>
      </c>
      <c r="C42" s="3" t="s">
        <v>46</v>
      </c>
      <c r="D42" s="115">
        <f>IF(Init!$R$9="Yes",'Staging Table'!F44,'Staging Table'!BS44)*Rates_previous!$E$76*100*12</f>
        <v>13074972.210720001</v>
      </c>
      <c r="E42" s="115">
        <f>IF(Init!$R$9="Yes",'Staging Table'!F44,'Staging Table'!BS44)*Rates_previous!$E$77*100*12</f>
        <v>-2669372.8773599998</v>
      </c>
      <c r="F42" s="116"/>
      <c r="G42" s="116">
        <f>IF(Init!$R$9="Yes",SUMPRODUCT('Staging Table'!AJ44:AU44,LS_Demand_Rates_Restatement!$C$10:$N$10),SUMPRODUCT(LS_Demand_Rates_Restatement!$C$10:$N$10,'Staging Table'!CW44:DH44))*1000</f>
        <v>0</v>
      </c>
      <c r="H42" s="117"/>
      <c r="I42" s="115">
        <v>0</v>
      </c>
      <c r="J42" s="117">
        <f>IF(Init!$R$9="Yes",IF('Staging Table'!D44=1,'Staging Table'!H44*-1*'Staging Table'!F44/'Staging Table'!E44,'Staging Table'!H44*SUM(D42:I42)*(-1)),IF('Staging Table'!D44=1,'Staging Table'!BU44*-1*'Staging Table'!BS44/'Staging Table'!BR44,'Staging Table'!BU44*SUM(D42:I42)*(-1)))</f>
        <v>0</v>
      </c>
      <c r="K42" s="115">
        <f>IF(Init!$R$9="Yes",'Staging Table'!K44,'Staging Table'!BX44)*(-1)*Rates_previous!$H$32</f>
        <v>0</v>
      </c>
      <c r="L42" s="115">
        <f>IF('Staging Table'!C44=1,"",SUM(D42:K42))</f>
        <v>10405599.333360001</v>
      </c>
      <c r="M42" s="115">
        <f>IF('Staging Table'!C44=1,"",IF(Init!$R$9="Yes",(RT1SC!$C$3*'Staging Table'!F44*'Staging Table'!$F$2),X42))</f>
        <v>325647.27790257602</v>
      </c>
      <c r="N42" s="69">
        <f>IF('Staging Table'!C44=1,"",IF(M42=0, 0, L42/M42))</f>
        <v>31.953589172862817</v>
      </c>
      <c r="O42" s="115">
        <f>'Staging Table'!BS44*Rates_current!$F$77*100*12</f>
        <v>12769435.520399999</v>
      </c>
      <c r="P42" s="115">
        <f>'Staging Table'!BS44*Rates_current!$F$78*100*12</f>
        <v>-2045321.3531999998</v>
      </c>
      <c r="Q42" s="116"/>
      <c r="R42" s="116">
        <f>SUMPRODUCT('Staging Table'!CW44:DH44, LS_Demand_Rates_Restatement!$C$11:$N$11)*1000</f>
        <v>0</v>
      </c>
      <c r="S42" s="117"/>
      <c r="T42" s="117">
        <v>0</v>
      </c>
      <c r="U42" s="117">
        <f>IF('Staging Table'!D44=1, 'Staging Table'!BU44*-1*'Staging Table'!BS44/'Staging Table'!BR44,SUM(O42:T42)*'Staging Table'!BU44*-1)</f>
        <v>0</v>
      </c>
      <c r="V42" s="115">
        <f>'Staging Table'!BX44*Rates_current!$I$44*-1</f>
        <v>0</v>
      </c>
      <c r="W42" s="115">
        <f>IF('Staging Table'!C44=1,"",SUM(O42:V42))</f>
        <v>10724114.167199999</v>
      </c>
      <c r="X42" s="115">
        <f>IF('Staging Table'!C44=1,"",(RT1SC!$C$4*'Staging Table'!BS44*'Staging Table'!$BS$2))</f>
        <v>307076.16811891197</v>
      </c>
      <c r="Y42" s="69">
        <f>IF('Staging Table'!C44=1,"",IF(X42=0, 0, W42/X42))</f>
        <v>34.923303338366523</v>
      </c>
      <c r="Z42" s="64">
        <f ca="1">IF('Staging Table'!C44=1,"",(Y42/N42-1)+(RAND()/100000000000))</f>
        <v>9.2938359747109678E-2</v>
      </c>
      <c r="AA42" s="45">
        <f t="shared" ca="1" si="4"/>
        <v>78</v>
      </c>
      <c r="AD42" s="119"/>
      <c r="AE42" s="119"/>
      <c r="AG42" s="119"/>
      <c r="AH42" s="119"/>
    </row>
    <row r="43" spans="2:34">
      <c r="B43" s="2">
        <v>10106</v>
      </c>
      <c r="C43" s="3" t="s">
        <v>47</v>
      </c>
      <c r="D43" s="115">
        <f>IF(Init!$R$9="Yes",'Staging Table'!F45,'Staging Table'!BS45)*Rates_previous!$E$76*100*12</f>
        <v>8611854.3863999993</v>
      </c>
      <c r="E43" s="115">
        <f>IF(Init!$R$9="Yes",'Staging Table'!F45,'Staging Table'!BS45)*Rates_previous!$E$77*100*12</f>
        <v>-1758187.3332000002</v>
      </c>
      <c r="F43" s="116"/>
      <c r="G43" s="116">
        <f>IF(Init!$R$9="Yes",SUMPRODUCT('Staging Table'!AJ45:AU45,LS_Demand_Rates_Restatement!$C$10:$N$10),SUMPRODUCT(LS_Demand_Rates_Restatement!$C$10:$N$10,'Staging Table'!CW45:DH45))*1000</f>
        <v>0</v>
      </c>
      <c r="H43" s="117"/>
      <c r="I43" s="115">
        <v>0</v>
      </c>
      <c r="J43" s="117">
        <f>IF(Init!$R$9="Yes",IF('Staging Table'!D45=1,'Staging Table'!H45*-1*'Staging Table'!F45/'Staging Table'!E45,'Staging Table'!H45*SUM(D43:I43)*(-1)),IF('Staging Table'!D45=1,'Staging Table'!BU45*-1*'Staging Table'!BS45/'Staging Table'!BR45,'Staging Table'!BU45*SUM(D43:I43)*(-1)))</f>
        <v>-484799.57366556884</v>
      </c>
      <c r="K43" s="115">
        <f>IF(Init!$R$9="Yes",'Staging Table'!K45,'Staging Table'!BX45)*(-1)*Rates_previous!$H$32</f>
        <v>0</v>
      </c>
      <c r="L43" s="115" t="str">
        <f>IF('Staging Table'!C45=1,"",SUM(D43:K43))</f>
        <v/>
      </c>
      <c r="M43" s="115" t="str">
        <f>IF('Staging Table'!C45=1,"",IF(Init!$R$9="Yes",(RT1SC!$C$3*'Staging Table'!F45*'Staging Table'!$F$2),X43))</f>
        <v/>
      </c>
      <c r="N43" s="69" t="str">
        <f>IF('Staging Table'!C45=1,"",IF(M43=0, 0, L43/M43))</f>
        <v/>
      </c>
      <c r="O43" s="115">
        <f>'Staging Table'!BS45*Rates_current!$F$77*100*12</f>
        <v>8748459.2520000003</v>
      </c>
      <c r="P43" s="115">
        <f>'Staging Table'!BS45*Rates_current!$F$78*100*12</f>
        <v>-1401268.7159999998</v>
      </c>
      <c r="Q43" s="116"/>
      <c r="R43" s="116">
        <f>SUMPRODUCT('Staging Table'!CW45:DH45, LS_Demand_Rates_Restatement!$C$11:$N$11)*1000</f>
        <v>0</v>
      </c>
      <c r="S43" s="117"/>
      <c r="T43" s="117">
        <v>0</v>
      </c>
      <c r="U43" s="117">
        <f>IF('Staging Table'!D45=1, 'Staging Table'!BU45*-1*'Staging Table'!BS45/'Staging Table'!BR45,SUM(O43:T43)*'Staging Table'!BU45*-1)</f>
        <v>-587093.0212404565</v>
      </c>
      <c r="V43" s="115">
        <f>'Staging Table'!BX45*Rates_current!$I$44*-1</f>
        <v>0</v>
      </c>
      <c r="W43" s="115" t="str">
        <f>IF('Staging Table'!C45=1,"",SUM(O43:V43))</f>
        <v/>
      </c>
      <c r="X43" s="115" t="str">
        <f>IF('Staging Table'!C45=1,"",(RT1SC!$C$4*'Staging Table'!BS45*'Staging Table'!$BS$2))</f>
        <v/>
      </c>
      <c r="Y43" s="69" t="str">
        <f>IF('Staging Table'!C45=1,"",IF(X43=0, 0, W43/X43))</f>
        <v/>
      </c>
      <c r="Z43" s="64" t="str">
        <f ca="1">IF('Staging Table'!C45=1,"",(Y43/N43-1)+(RAND()/100000000000))</f>
        <v/>
      </c>
      <c r="AA43" s="45" t="str">
        <f t="shared" ca="1" si="4"/>
        <v/>
      </c>
      <c r="AD43" s="119"/>
      <c r="AE43" s="119"/>
      <c r="AG43" s="119"/>
      <c r="AH43" s="119"/>
    </row>
    <row r="44" spans="2:34">
      <c r="B44" s="2">
        <v>10109</v>
      </c>
      <c r="C44" s="3" t="s">
        <v>48</v>
      </c>
      <c r="D44" s="115">
        <f>IF(Init!$R$9="Yes",'Staging Table'!F46,'Staging Table'!BS46)*Rates_previous!$E$76*100*12</f>
        <v>4370198.4813599996</v>
      </c>
      <c r="E44" s="115">
        <f>IF(Init!$R$9="Yes",'Staging Table'!F46,'Staging Table'!BS46)*Rates_previous!$E$77*100*12</f>
        <v>-892215.22668000008</v>
      </c>
      <c r="F44" s="116"/>
      <c r="G44" s="116">
        <f>IF(Init!$R$9="Yes",SUMPRODUCT('Staging Table'!AJ46:AU46,LS_Demand_Rates_Restatement!$C$10:$N$10),SUMPRODUCT(LS_Demand_Rates_Restatement!$C$10:$N$10,'Staging Table'!CW46:DH46))*1000</f>
        <v>522800.11697259615</v>
      </c>
      <c r="H44" s="117"/>
      <c r="I44" s="115">
        <v>0</v>
      </c>
      <c r="J44" s="117">
        <f>IF(Init!$R$9="Yes",IF('Staging Table'!D46=1,'Staging Table'!H46*-1*'Staging Table'!F46/'Staging Table'!E46,'Staging Table'!H46*SUM(D44:I44)*(-1)),IF('Staging Table'!D46=1,'Staging Table'!BU46*-1*'Staging Table'!BS46/'Staging Table'!BR46,'Staging Table'!BU46*SUM(D44:I44)*(-1)))</f>
        <v>-342823.35677971796</v>
      </c>
      <c r="K44" s="115">
        <f>IF(Init!$R$9="Yes",'Staging Table'!K46,'Staging Table'!BX46)*(-1)*Rates_previous!$H$32</f>
        <v>-244130.87595000005</v>
      </c>
      <c r="L44" s="115">
        <f>IF('Staging Table'!C46=1,"",SUM(D44:K44))</f>
        <v>3413829.1389228776</v>
      </c>
      <c r="M44" s="115">
        <f>IF('Staging Table'!C46=1,"",IF(Init!$R$9="Yes",(RT1SC!$C$3*'Staging Table'!F46*'Staging Table'!$F$2),X44))</f>
        <v>108844.83855208801</v>
      </c>
      <c r="N44" s="69">
        <f>IF('Staging Table'!C46=1,"",IF(M44=0, 0, L44/M44))</f>
        <v>31.364180280254445</v>
      </c>
      <c r="O44" s="115">
        <f>'Staging Table'!BS46*Rates_current!$F$77*100*12</f>
        <v>4439752.4261999996</v>
      </c>
      <c r="P44" s="115">
        <f>'Staging Table'!BS46*Rates_current!$F$78*100*12</f>
        <v>-711129.35459999996</v>
      </c>
      <c r="Q44" s="116"/>
      <c r="R44" s="116">
        <f>SUMPRODUCT('Staging Table'!CW46:DH46, LS_Demand_Rates_Restatement!$C$11:$N$11)*1000</f>
        <v>609500.00306534895</v>
      </c>
      <c r="S44" s="117"/>
      <c r="T44" s="117">
        <v>0</v>
      </c>
      <c r="U44" s="117">
        <f>IF('Staging Table'!D46=1, 'Staging Table'!BU46*-1*'Staging Table'!BS46/'Staging Table'!BR46,SUM(O44:T44)*'Staging Table'!BU46*-1)</f>
        <v>-708070.09978044115</v>
      </c>
      <c r="V44" s="115">
        <f>'Staging Table'!BX46*Rates_current!$I$44*-1</f>
        <v>-252360.00660000005</v>
      </c>
      <c r="W44" s="115">
        <f>IF('Staging Table'!C46=1,"",SUM(O44:V44))</f>
        <v>3377692.9682849068</v>
      </c>
      <c r="X44" s="115">
        <f>IF('Staging Table'!C46=1,"",(RT1SC!$C$4*'Staging Table'!BS46*'Staging Table'!$BS$2))</f>
        <v>106766.047743936</v>
      </c>
      <c r="Y44" s="69">
        <f>IF('Staging Table'!C46=1,"",IF(X44=0, 0, W44/X44))</f>
        <v>31.636396023442295</v>
      </c>
      <c r="Z44" s="64">
        <f ca="1">IF('Staging Table'!C46=1,"",(Y44/N44-1)+(RAND()/100000000000))</f>
        <v>8.6791920251136287E-3</v>
      </c>
      <c r="AA44" s="45">
        <f t="shared" ca="1" si="4"/>
        <v>116</v>
      </c>
      <c r="AD44" s="119"/>
      <c r="AE44" s="119"/>
      <c r="AG44" s="119"/>
      <c r="AH44" s="119"/>
    </row>
    <row r="45" spans="2:34">
      <c r="B45" s="2">
        <v>10111</v>
      </c>
      <c r="C45" s="3" t="s">
        <v>49</v>
      </c>
      <c r="D45" s="115">
        <f>IF(Init!$R$9="Yes",'Staging Table'!F47,'Staging Table'!BS47)*Rates_previous!$E$76*100*12</f>
        <v>1131224.4943200001</v>
      </c>
      <c r="E45" s="115">
        <f>IF(Init!$R$9="Yes",'Staging Table'!F47,'Staging Table'!BS47)*Rates_previous!$E$77*100*12</f>
        <v>-230949.62916000001</v>
      </c>
      <c r="F45" s="116"/>
      <c r="G45" s="116">
        <f>IF(Init!$R$9="Yes",SUMPRODUCT('Staging Table'!AJ47:AU47,LS_Demand_Rates_Restatement!$C$10:$N$10),SUMPRODUCT(LS_Demand_Rates_Restatement!$C$10:$N$10,'Staging Table'!CW47:DH47))*1000</f>
        <v>81413.357709829055</v>
      </c>
      <c r="H45" s="117"/>
      <c r="I45" s="115">
        <v>0</v>
      </c>
      <c r="J45" s="117">
        <f>IF(Init!$R$9="Yes",IF('Staging Table'!D47=1,'Staging Table'!H47*-1*'Staging Table'!F47/'Staging Table'!E47,'Staging Table'!H47*SUM(D45:I45)*(-1)),IF('Staging Table'!D47=1,'Staging Table'!BU47*-1*'Staging Table'!BS47/'Staging Table'!BR47,'Staging Table'!BU47*SUM(D45:I45)*(-1)))</f>
        <v>-68718.175600888033</v>
      </c>
      <c r="K45" s="115">
        <f>IF(Init!$R$9="Yes",'Staging Table'!K47,'Staging Table'!BX47)*(-1)*Rates_previous!$H$32</f>
        <v>-60483.898929999996</v>
      </c>
      <c r="L45" s="115">
        <f>IF('Staging Table'!C47=1,"",SUM(D45:K45))</f>
        <v>852486.14833894104</v>
      </c>
      <c r="M45" s="115">
        <f>IF('Staging Table'!C47=1,"",IF(Init!$R$9="Yes",(RT1SC!$C$3*'Staging Table'!F47*'Staging Table'!$F$2),X45))</f>
        <v>28174.452024455997</v>
      </c>
      <c r="N45" s="69">
        <f>IF('Staging Table'!C47=1,"",IF(M45=0, 0, L45/M45))</f>
        <v>30.257417166408977</v>
      </c>
      <c r="O45" s="115">
        <f>'Staging Table'!BS47*Rates_current!$F$77*100*12</f>
        <v>1171899.885</v>
      </c>
      <c r="P45" s="115">
        <f>'Staging Table'!BS47*Rates_current!$F$78*100*12</f>
        <v>-187706.95500000002</v>
      </c>
      <c r="Q45" s="116"/>
      <c r="R45" s="116">
        <f>SUMPRODUCT('Staging Table'!CW47:DH47, LS_Demand_Rates_Restatement!$C$11:$N$11)*1000</f>
        <v>91318.616042984329</v>
      </c>
      <c r="S45" s="117"/>
      <c r="T45" s="117">
        <v>0</v>
      </c>
      <c r="U45" s="117">
        <f>IF('Staging Table'!D47=1, 'Staging Table'!BU47*-1*'Staging Table'!BS47/'Staging Table'!BR47,SUM(O45:T45)*'Staging Table'!BU47*-1)</f>
        <v>-75285.808223008906</v>
      </c>
      <c r="V45" s="115">
        <f>'Staging Table'!BX47*Rates_current!$I$44*-1</f>
        <v>-62522.68204</v>
      </c>
      <c r="W45" s="115">
        <f>IF('Staging Table'!C47=1,"",SUM(O45:V45))</f>
        <v>937703.05577997549</v>
      </c>
      <c r="X45" s="115">
        <f>IF('Staging Table'!C47=1,"",(RT1SC!$C$4*'Staging Table'!BS47*'Staging Table'!$BS$2))</f>
        <v>28181.553172799999</v>
      </c>
      <c r="Y45" s="69">
        <f>IF('Staging Table'!C47=1,"",IF(X45=0, 0, W45/X45))</f>
        <v>33.273647127618879</v>
      </c>
      <c r="Z45" s="64">
        <f ca="1">IF('Staging Table'!C47=1,"",(Y45/N45-1)+(RAND()/100000000000))</f>
        <v>9.9685638889257105E-2</v>
      </c>
      <c r="AA45" s="45">
        <f t="shared" ca="1" si="4"/>
        <v>18</v>
      </c>
      <c r="AD45" s="119"/>
      <c r="AE45" s="119"/>
      <c r="AG45" s="119"/>
      <c r="AH45" s="119"/>
    </row>
    <row r="46" spans="2:34">
      <c r="B46" s="2">
        <v>10112</v>
      </c>
      <c r="C46" s="3" t="s">
        <v>50</v>
      </c>
      <c r="D46" s="115">
        <f>IF(Init!$R$9="Yes",'Staging Table'!F48,'Staging Table'!BS48)*Rates_previous!$E$76*100*12</f>
        <v>21007494.028079998</v>
      </c>
      <c r="E46" s="115">
        <f>IF(Init!$R$9="Yes",'Staging Table'!F48,'Staging Table'!BS48)*Rates_previous!$E$77*100*12</f>
        <v>-4288868.3720399998</v>
      </c>
      <c r="F46" s="116"/>
      <c r="G46" s="116">
        <f>IF(Init!$R$9="Yes",SUMPRODUCT('Staging Table'!AJ48:AU48,LS_Demand_Rates_Restatement!$C$10:$N$10),SUMPRODUCT(LS_Demand_Rates_Restatement!$C$10:$N$10,'Staging Table'!CW48:DH48))*1000</f>
        <v>1616899.5810508009</v>
      </c>
      <c r="H46" s="117"/>
      <c r="I46" s="115">
        <v>0</v>
      </c>
      <c r="J46" s="117">
        <f>IF(Init!$R$9="Yes",IF('Staging Table'!D48=1,'Staging Table'!H48*-1*'Staging Table'!F48/'Staging Table'!E48,'Staging Table'!H48*SUM(D46:I46)*(-1)),IF('Staging Table'!D48=1,'Staging Table'!BU48*-1*'Staging Table'!BS48/'Staging Table'!BR48,'Staging Table'!BU48*SUM(D46:I46)*(-1)))</f>
        <v>0</v>
      </c>
      <c r="K46" s="115">
        <f>IF(Init!$R$9="Yes",'Staging Table'!K48,'Staging Table'!BX48)*(-1)*Rates_previous!$H$32</f>
        <v>0</v>
      </c>
      <c r="L46" s="115">
        <f>IF('Staging Table'!C48=1,"",SUM(D46:K46))</f>
        <v>18335525.2370908</v>
      </c>
      <c r="M46" s="115">
        <f>IF('Staging Table'!C48=1,"",IF(Init!$R$9="Yes",(RT1SC!$C$3*'Staging Table'!F48*'Staging Table'!$F$2),X46))</f>
        <v>523215.89182346396</v>
      </c>
      <c r="N46" s="69">
        <f>IF('Staging Table'!C48=1,"",IF(M46=0, 0, L46/M46))</f>
        <v>35.04389970493731</v>
      </c>
      <c r="O46" s="115">
        <f>'Staging Table'!BS48*Rates_current!$F$77*100*12</f>
        <v>21341527.077</v>
      </c>
      <c r="P46" s="115">
        <f>'Staging Table'!BS48*Rates_current!$F$78*100*12</f>
        <v>-3418340.6909999996</v>
      </c>
      <c r="Q46" s="116"/>
      <c r="R46" s="116">
        <f>SUMPRODUCT('Staging Table'!CW48:DH48, LS_Demand_Rates_Restatement!$C$11:$N$11)*1000</f>
        <v>1767215.6802262729</v>
      </c>
      <c r="S46" s="117"/>
      <c r="T46" s="117">
        <v>0</v>
      </c>
      <c r="U46" s="117">
        <f>IF('Staging Table'!D48=1, 'Staging Table'!BU48*-1*'Staging Table'!BS48/'Staging Table'!BR48,SUM(O46:T46)*'Staging Table'!BU48*-1)</f>
        <v>0</v>
      </c>
      <c r="V46" s="115">
        <f>'Staging Table'!BX48*Rates_current!$I$44*-1</f>
        <v>0</v>
      </c>
      <c r="W46" s="115">
        <f>IF('Staging Table'!C48=1,"",SUM(O46:V46))</f>
        <v>19690402.066226274</v>
      </c>
      <c r="X46" s="115">
        <f>IF('Staging Table'!C48=1,"",(RT1SC!$C$4*'Staging Table'!BS48*'Staging Table'!$BS$2))</f>
        <v>513215.66612256004</v>
      </c>
      <c r="Y46" s="69">
        <f>IF('Staging Table'!C48=1,"",IF(X46=0, 0, W46/X46))</f>
        <v>38.366720593295462</v>
      </c>
      <c r="Z46" s="64">
        <f ca="1">IF('Staging Table'!C48=1,"",(Y46/N46-1)+(RAND()/100000000000))</f>
        <v>9.4818810594667069E-2</v>
      </c>
      <c r="AA46" s="45">
        <f t="shared" ca="1" si="4"/>
        <v>48</v>
      </c>
      <c r="AD46" s="119"/>
      <c r="AE46" s="119"/>
      <c r="AG46" s="119"/>
      <c r="AH46" s="119"/>
    </row>
    <row r="47" spans="2:34">
      <c r="B47" s="2">
        <v>10113</v>
      </c>
      <c r="C47" s="3" t="s">
        <v>51</v>
      </c>
      <c r="D47" s="115">
        <f>IF(Init!$R$9="Yes",'Staging Table'!F49,'Staging Table'!BS49)*Rates_previous!$E$76*100*12</f>
        <v>13593626.559360001</v>
      </c>
      <c r="E47" s="115">
        <f>IF(Init!$R$9="Yes",'Staging Table'!F49,'Staging Table'!BS49)*Rates_previous!$E$77*100*12</f>
        <v>-2775260.81568</v>
      </c>
      <c r="F47" s="116"/>
      <c r="G47" s="116">
        <f>IF(Init!$R$9="Yes",SUMPRODUCT('Staging Table'!AJ49:AU49,LS_Demand_Rates_Restatement!$C$10:$N$10),SUMPRODUCT(LS_Demand_Rates_Restatement!$C$10:$N$10,'Staging Table'!CW49:DH49))*1000</f>
        <v>675212.12239652791</v>
      </c>
      <c r="H47" s="117"/>
      <c r="I47" s="115">
        <v>0</v>
      </c>
      <c r="J47" s="117">
        <f>IF(Init!$R$9="Yes",IF('Staging Table'!D49=1,'Staging Table'!H49*-1*'Staging Table'!F49/'Staging Table'!E49,'Staging Table'!H49*SUM(D47:I47)*(-1)),IF('Staging Table'!D49=1,'Staging Table'!BU49*-1*'Staging Table'!BS49/'Staging Table'!BR49,'Staging Table'!BU49*SUM(D47:I47)*(-1)))</f>
        <v>-929076.15377841832</v>
      </c>
      <c r="K47" s="115">
        <f>IF(Init!$R$9="Yes",'Staging Table'!K49,'Staging Table'!BX49)*(-1)*Rates_previous!$H$32</f>
        <v>-1557969.48034</v>
      </c>
      <c r="L47" s="115">
        <f>IF('Staging Table'!C49=1,"",SUM(D47:K47))</f>
        <v>9006532.2319581099</v>
      </c>
      <c r="M47" s="115">
        <f>IF('Staging Table'!C49=1,"",IF(Init!$R$9="Yes",(RT1SC!$C$3*'Staging Table'!F49*'Staging Table'!$F$2),X47))</f>
        <v>338564.96323948802</v>
      </c>
      <c r="N47" s="69">
        <f>IF('Staging Table'!C49=1,"",IF(M47=0, 0, L47/M47))</f>
        <v>26.602079984239925</v>
      </c>
      <c r="O47" s="115">
        <f>'Staging Table'!BS49*Rates_current!$F$77*100*12</f>
        <v>13809771.838200001</v>
      </c>
      <c r="P47" s="115">
        <f>'Staging Table'!BS49*Rates_current!$F$78*100*12</f>
        <v>-2211955.3506</v>
      </c>
      <c r="Q47" s="116"/>
      <c r="R47" s="116">
        <f>SUMPRODUCT('Staging Table'!CW49:DH49, LS_Demand_Rates_Restatement!$C$11:$N$11)*1000</f>
        <v>735105.15570154926</v>
      </c>
      <c r="S47" s="117"/>
      <c r="T47" s="117">
        <v>0</v>
      </c>
      <c r="U47" s="117">
        <f>IF('Staging Table'!D49=1, 'Staging Table'!BU49*-1*'Staging Table'!BS49/'Staging Table'!BR49,SUM(O47:T47)*'Staging Table'!BU49*-1)</f>
        <v>-1012760.2663407674</v>
      </c>
      <c r="V47" s="115">
        <f>'Staging Table'!BX49*Rates_current!$I$44*-1</f>
        <v>-1610485.3055200002</v>
      </c>
      <c r="W47" s="115">
        <f>IF('Staging Table'!C49=1,"",SUM(O47:V47))</f>
        <v>9709676.0714407824</v>
      </c>
      <c r="X47" s="115">
        <f>IF('Staging Table'!C49=1,"",(RT1SC!$C$4*'Staging Table'!BS49*'Staging Table'!$BS$2))</f>
        <v>332093.91377529601</v>
      </c>
      <c r="Y47" s="69">
        <f>IF('Staging Table'!C49=1,"",IF(X47=0, 0, W47/X47))</f>
        <v>29.237741701013586</v>
      </c>
      <c r="Z47" s="64">
        <f ca="1">IF('Staging Table'!C49=1,"",(Y47/N47-1)+(RAND()/100000000000))</f>
        <v>9.907727961758854E-2</v>
      </c>
      <c r="AA47" s="45">
        <f t="shared" ca="1" si="4"/>
        <v>21</v>
      </c>
      <c r="AD47" s="119"/>
      <c r="AE47" s="119"/>
      <c r="AG47" s="119"/>
      <c r="AH47" s="119"/>
    </row>
    <row r="48" spans="2:34">
      <c r="B48" s="2">
        <v>10116</v>
      </c>
      <c r="C48" s="3" t="s">
        <v>52</v>
      </c>
      <c r="D48" s="115">
        <f>IF(Init!$R$9="Yes",'Staging Table'!F50,'Staging Table'!BS50)*Rates_previous!$E$76*100*12</f>
        <v>82207.46160000001</v>
      </c>
      <c r="E48" s="115">
        <f>IF(Init!$R$9="Yes",'Staging Table'!F50,'Staging Table'!BS50)*Rates_previous!$E$77*100*12</f>
        <v>-16783.390800000001</v>
      </c>
      <c r="F48" s="116"/>
      <c r="G48" s="116">
        <f>IF(Init!$R$9="Yes",SUMPRODUCT('Staging Table'!AJ50:AU50,LS_Demand_Rates_Restatement!$C$10:$N$10),SUMPRODUCT(LS_Demand_Rates_Restatement!$C$10:$N$10,'Staging Table'!CW50:DH50))*1000</f>
        <v>48508.045390625004</v>
      </c>
      <c r="H48" s="117"/>
      <c r="I48" s="115">
        <v>0</v>
      </c>
      <c r="J48" s="117">
        <f>IF(Init!$R$9="Yes",IF('Staging Table'!D50=1,'Staging Table'!H50*-1*'Staging Table'!F50/'Staging Table'!E50,'Staging Table'!H50*SUM(D48:I48)*(-1)),IF('Staging Table'!D50=1,'Staging Table'!BU50*-1*'Staging Table'!BS50/'Staging Table'!BR50,'Staging Table'!BU50*SUM(D48:I48)*(-1)))</f>
        <v>0</v>
      </c>
      <c r="K48" s="115">
        <f>IF(Init!$R$9="Yes",'Staging Table'!K50,'Staging Table'!BX50)*(-1)*Rates_previous!$H$32</f>
        <v>0</v>
      </c>
      <c r="L48" s="115">
        <f>IF('Staging Table'!C50=1,"",SUM(D48:K48))</f>
        <v>113932.11619062501</v>
      </c>
      <c r="M48" s="115">
        <f>IF('Staging Table'!C50=1,"",IF(Init!$R$9="Yes",(RT1SC!$C$3*'Staging Table'!F50*'Staging Table'!$F$2),X48))</f>
        <v>2047.4717392800003</v>
      </c>
      <c r="N48" s="69">
        <f>IF('Staging Table'!C50=1,"",IF(M48=0, 0, L48/M48))</f>
        <v>55.645269238582792</v>
      </c>
      <c r="O48" s="115">
        <f>'Staging Table'!BS50*Rates_current!$F$77*100*12</f>
        <v>83392.654799999989</v>
      </c>
      <c r="P48" s="115">
        <f>'Staging Table'!BS50*Rates_current!$F$78*100*12</f>
        <v>-13357.268399999997</v>
      </c>
      <c r="Q48" s="116"/>
      <c r="R48" s="116">
        <f>SUMPRODUCT('Staging Table'!CW50:DH50, LS_Demand_Rates_Restatement!$C$11:$N$11)*1000</f>
        <v>54247.317101424516</v>
      </c>
      <c r="S48" s="117"/>
      <c r="T48" s="117">
        <v>0</v>
      </c>
      <c r="U48" s="117">
        <f>IF('Staging Table'!D50=1, 'Staging Table'!BU50*-1*'Staging Table'!BS50/'Staging Table'!BR50,SUM(O48:T48)*'Staging Table'!BU50*-1)</f>
        <v>0</v>
      </c>
      <c r="V48" s="115">
        <f>'Staging Table'!BX50*Rates_current!$I$44*-1</f>
        <v>0</v>
      </c>
      <c r="W48" s="115">
        <f>IF('Staging Table'!C50=1,"",SUM(O48:V48))</f>
        <v>124282.7035014245</v>
      </c>
      <c r="X48" s="115">
        <f>IF('Staging Table'!C50=1,"",(RT1SC!$C$4*'Staging Table'!BS50*'Staging Table'!$BS$2))</f>
        <v>2005.4055517439999</v>
      </c>
      <c r="Y48" s="69">
        <f>IF('Staging Table'!C50=1,"",IF(X48=0, 0, W48/X48))</f>
        <v>61.97385032336333</v>
      </c>
      <c r="Z48" s="64">
        <f ca="1">IF('Staging Table'!C50=1,"",(Y48/N48-1)+(RAND()/100000000000))</f>
        <v>0.11373080176724779</v>
      </c>
      <c r="AA48" s="45">
        <f t="shared" ca="1" si="4"/>
        <v>2</v>
      </c>
      <c r="AD48" s="119"/>
      <c r="AE48" s="119"/>
      <c r="AG48" s="119"/>
      <c r="AH48" s="119"/>
    </row>
    <row r="49" spans="2:34">
      <c r="B49" s="2">
        <v>10118</v>
      </c>
      <c r="C49" s="3" t="s">
        <v>53</v>
      </c>
      <c r="D49" s="115">
        <f>IF(Init!$R$9="Yes",'Staging Table'!F51,'Staging Table'!BS51)*Rates_previous!$E$76*100*12</f>
        <v>16472133.282960001</v>
      </c>
      <c r="E49" s="115">
        <f>IF(Init!$R$9="Yes",'Staging Table'!F51,'Staging Table'!BS51)*Rates_previous!$E$77*100*12</f>
        <v>-3362933.7874800004</v>
      </c>
      <c r="F49" s="116"/>
      <c r="G49" s="116">
        <f>IF(Init!$R$9="Yes",SUMPRODUCT('Staging Table'!AJ51:AU51,LS_Demand_Rates_Restatement!$C$10:$N$10),SUMPRODUCT(LS_Demand_Rates_Restatement!$C$10:$N$10,'Staging Table'!CW51:DH51))*1000</f>
        <v>0</v>
      </c>
      <c r="H49" s="117"/>
      <c r="I49" s="115">
        <v>0</v>
      </c>
      <c r="J49" s="117">
        <f>IF(Init!$R$9="Yes",IF('Staging Table'!D51=1,'Staging Table'!H51*-1*'Staging Table'!F51/'Staging Table'!E51,'Staging Table'!H51*SUM(D49:I49)*(-1)),IF('Staging Table'!D51=1,'Staging Table'!BU51*-1*'Staging Table'!BS51/'Staging Table'!BR51,'Staging Table'!BU51*SUM(D49:I49)*(-1)))</f>
        <v>-918196.47177798185</v>
      </c>
      <c r="K49" s="115">
        <f>IF(Init!$R$9="Yes",'Staging Table'!K51,'Staging Table'!BX51)*(-1)*Rates_previous!$H$32</f>
        <v>0</v>
      </c>
      <c r="L49" s="115" t="str">
        <f>IF('Staging Table'!C51=1,"",SUM(D49:K49))</f>
        <v/>
      </c>
      <c r="M49" s="115" t="str">
        <f>IF('Staging Table'!C51=1,"",IF(Init!$R$9="Yes",(RT1SC!$C$3*'Staging Table'!F51*'Staging Table'!$F$2),X49))</f>
        <v/>
      </c>
      <c r="N49" s="69" t="str">
        <f>IF('Staging Table'!C51=1,"",IF(M49=0, 0, L49/M49))</f>
        <v/>
      </c>
      <c r="O49" s="115">
        <f>'Staging Table'!BS51*Rates_current!$F$77*100*12</f>
        <v>16733694.424199998</v>
      </c>
      <c r="P49" s="115">
        <f>'Staging Table'!BS51*Rates_current!$F$78*100*12</f>
        <v>-2680289.3885999997</v>
      </c>
      <c r="Q49" s="116"/>
      <c r="R49" s="116">
        <f>SUMPRODUCT('Staging Table'!CW51:DH51, LS_Demand_Rates_Restatement!$C$11:$N$11)*1000</f>
        <v>0</v>
      </c>
      <c r="S49" s="117"/>
      <c r="T49" s="117">
        <v>0</v>
      </c>
      <c r="U49" s="117">
        <f>IF('Staging Table'!D51=1, 'Staging Table'!BU51*-1*'Staging Table'!BS51/'Staging Table'!BR51,SUM(O49:T49)*'Staging Table'!BU51*-1)</f>
        <v>-983646.57415404415</v>
      </c>
      <c r="V49" s="115">
        <f>'Staging Table'!BX51*Rates_current!$I$44*-1</f>
        <v>0</v>
      </c>
      <c r="W49" s="115" t="str">
        <f>IF('Staging Table'!C51=1,"",SUM(O49:V49))</f>
        <v/>
      </c>
      <c r="X49" s="115" t="str">
        <f>IF('Staging Table'!C51=1,"",(RT1SC!$C$4*'Staging Table'!BS51*'Staging Table'!$BS$2))</f>
        <v/>
      </c>
      <c r="Y49" s="69" t="str">
        <f>IF('Staging Table'!C51=1,"",IF(X49=0, 0, W49/X49))</f>
        <v/>
      </c>
      <c r="Z49" s="64" t="str">
        <f ca="1">IF('Staging Table'!C51=1,"",(Y49/N49-1)+(RAND()/100000000000))</f>
        <v/>
      </c>
      <c r="AA49" s="45" t="str">
        <f t="shared" ca="1" si="4"/>
        <v/>
      </c>
      <c r="AD49" s="119"/>
      <c r="AE49" s="119"/>
      <c r="AG49" s="119"/>
      <c r="AH49" s="119"/>
    </row>
    <row r="50" spans="2:34">
      <c r="B50" s="2">
        <v>10121</v>
      </c>
      <c r="C50" s="3" t="s">
        <v>54</v>
      </c>
      <c r="D50" s="115">
        <f>IF(Init!$R$9="Yes",'Staging Table'!F52,'Staging Table'!BS52)*Rates_previous!$E$76*100*12</f>
        <v>14243314.619519999</v>
      </c>
      <c r="E50" s="115">
        <f>IF(Init!$R$9="Yes",'Staging Table'!F52,'Staging Table'!BS52)*Rates_previous!$E$77*100*12</f>
        <v>-2907900.4617600003</v>
      </c>
      <c r="F50" s="116"/>
      <c r="G50" s="116">
        <f>IF(Init!$R$9="Yes",SUMPRODUCT('Staging Table'!AJ52:AU52,LS_Demand_Rates_Restatement!$C$10:$N$10),SUMPRODUCT(LS_Demand_Rates_Restatement!$C$10:$N$10,'Staging Table'!CW52:DH52))*1000</f>
        <v>0</v>
      </c>
      <c r="H50" s="117"/>
      <c r="I50" s="115">
        <v>0</v>
      </c>
      <c r="J50" s="117">
        <f>IF(Init!$R$9="Yes",IF('Staging Table'!D52=1,'Staging Table'!H52*-1*'Staging Table'!F52/'Staging Table'!E52,'Staging Table'!H52*SUM(D50:I50)*(-1)),IF('Staging Table'!D52=1,'Staging Table'!BU52*-1*'Staging Table'!BS52/'Staging Table'!BR52,'Staging Table'!BU52*SUM(D50:I50)*(-1)))</f>
        <v>-680124.84946559987</v>
      </c>
      <c r="K50" s="115">
        <f>IF(Init!$R$9="Yes",'Staging Table'!K52,'Staging Table'!BX52)*(-1)*Rates_previous!$H$32</f>
        <v>0</v>
      </c>
      <c r="L50" s="115" t="str">
        <f>IF('Staging Table'!C52=1,"",SUM(D50:K50))</f>
        <v/>
      </c>
      <c r="M50" s="115" t="str">
        <f>IF('Staging Table'!C52=1,"",IF(Init!$R$9="Yes",(RT1SC!$C$3*'Staging Table'!F52*'Staging Table'!$F$2),X50))</f>
        <v/>
      </c>
      <c r="N50" s="69" t="str">
        <f>IF('Staging Table'!C52=1,"",IF(M50=0, 0, L50/M50))</f>
        <v/>
      </c>
      <c r="O50" s="115">
        <f>'Staging Table'!BS52*Rates_current!$F$77*100*12</f>
        <v>14639813.635199999</v>
      </c>
      <c r="P50" s="115">
        <f>'Staging Table'!BS52*Rates_current!$F$78*100*12</f>
        <v>-2344905.8016000004</v>
      </c>
      <c r="Q50" s="116"/>
      <c r="R50" s="116">
        <f>SUMPRODUCT('Staging Table'!CW52:DH52, LS_Demand_Rates_Restatement!$C$11:$N$11)*1000</f>
        <v>0</v>
      </c>
      <c r="S50" s="117"/>
      <c r="T50" s="117">
        <v>0</v>
      </c>
      <c r="U50" s="117">
        <f>IF('Staging Table'!D52=1, 'Staging Table'!BU52*-1*'Staging Table'!BS52/'Staging Table'!BR52,SUM(O50:T50)*'Staging Table'!BU52*-1)</f>
        <v>-737694.47001599998</v>
      </c>
      <c r="V50" s="115">
        <f>'Staging Table'!BX52*Rates_current!$I$44*-1</f>
        <v>0</v>
      </c>
      <c r="W50" s="115" t="str">
        <f>IF('Staging Table'!C52=1,"",SUM(O50:V50))</f>
        <v/>
      </c>
      <c r="X50" s="115" t="str">
        <f>IF('Staging Table'!C52=1,"",(RT1SC!$C$4*'Staging Table'!BS52*'Staging Table'!$BS$2))</f>
        <v/>
      </c>
      <c r="Y50" s="69" t="str">
        <f>IF('Staging Table'!C52=1,"",IF(X50=0, 0, W50/X50))</f>
        <v/>
      </c>
      <c r="Z50" s="64" t="str">
        <f ca="1">IF('Staging Table'!C52=1,"",(Y50/N50-1)+(RAND()/100000000000))</f>
        <v/>
      </c>
      <c r="AA50" s="45" t="str">
        <f t="shared" ca="1" si="4"/>
        <v/>
      </c>
      <c r="AD50" s="119"/>
      <c r="AE50" s="119"/>
      <c r="AG50" s="119"/>
      <c r="AH50" s="119"/>
    </row>
    <row r="51" spans="2:34">
      <c r="B51" s="2">
        <v>10123</v>
      </c>
      <c r="C51" s="3" t="s">
        <v>55</v>
      </c>
      <c r="D51" s="115">
        <f>IF(Init!$R$9="Yes",'Staging Table'!F53,'Staging Table'!BS53)*Rates_previous!$E$76*100*12</f>
        <v>66583559.852639988</v>
      </c>
      <c r="E51" s="115">
        <f>IF(Init!$R$9="Yes",'Staging Table'!F53,'Staging Table'!BS53)*Rates_previous!$E$77*100*12</f>
        <v>-13593631.090319995</v>
      </c>
      <c r="F51" s="116"/>
      <c r="G51" s="116">
        <f>IF(Init!$R$9="Yes",SUMPRODUCT('Staging Table'!AJ53:AU53,LS_Demand_Rates_Restatement!$C$10:$N$10),SUMPRODUCT(LS_Demand_Rates_Restatement!$C$10:$N$10,'Staging Table'!CW53:DH53))*1000</f>
        <v>0</v>
      </c>
      <c r="H51" s="117"/>
      <c r="I51" s="115">
        <v>0</v>
      </c>
      <c r="J51" s="117">
        <f>IF(Init!$R$9="Yes",IF('Staging Table'!D53=1,'Staging Table'!H53*-1*'Staging Table'!F53/'Staging Table'!E53,'Staging Table'!H53*SUM(D51:I51)*(-1)),IF('Staging Table'!D53=1,'Staging Table'!BU53*-1*'Staging Table'!BS53/'Staging Table'!BR53,'Staging Table'!BU53*SUM(D51:I51)*(-1)))</f>
        <v>0</v>
      </c>
      <c r="K51" s="115">
        <f>IF(Init!$R$9="Yes",'Staging Table'!K53,'Staging Table'!BX53)*(-1)*Rates_previous!$H$32</f>
        <v>0</v>
      </c>
      <c r="L51" s="115">
        <f>IF('Staging Table'!C53=1,"",SUM(D51:K51))</f>
        <v>52989928.762319997</v>
      </c>
      <c r="M51" s="115">
        <f>IF('Staging Table'!C53=1,"",IF(Init!$R$9="Yes",(RT1SC!$C$3*'Staging Table'!F53*'Staging Table'!$F$2),X51))</f>
        <v>1658340.4285401115</v>
      </c>
      <c r="N51" s="69">
        <f>IF('Staging Table'!C53=1,"",IF(M51=0, 0, L51/M51))</f>
        <v>31.95358917286282</v>
      </c>
      <c r="O51" s="115">
        <f>'Staging Table'!BS53*Rates_current!$F$77*100*12</f>
        <v>64835199.273000002</v>
      </c>
      <c r="P51" s="115">
        <f>'Staging Table'!BS53*Rates_current!$F$78*100*12</f>
        <v>-10384861.359000001</v>
      </c>
      <c r="Q51" s="116"/>
      <c r="R51" s="116">
        <f>SUMPRODUCT('Staging Table'!CW53:DH53, LS_Demand_Rates_Restatement!$C$11:$N$11)*1000</f>
        <v>0</v>
      </c>
      <c r="S51" s="117"/>
      <c r="T51" s="117">
        <v>0</v>
      </c>
      <c r="U51" s="117">
        <f>IF('Staging Table'!D53=1, 'Staging Table'!BU53*-1*'Staging Table'!BS53/'Staging Table'!BR53,SUM(O51:T51)*'Staging Table'!BU53*-1)</f>
        <v>0</v>
      </c>
      <c r="V51" s="115">
        <f>'Staging Table'!BX53*Rates_current!$I$44*-1</f>
        <v>0</v>
      </c>
      <c r="W51" s="115">
        <f>IF('Staging Table'!C53=1,"",SUM(O51:V51))</f>
        <v>54450337.914000005</v>
      </c>
      <c r="X51" s="115">
        <f>IF('Staging Table'!C53=1,"",(RT1SC!$C$4*'Staging Table'!BS53*'Staging Table'!$BS$2))</f>
        <v>1559140.5368054402</v>
      </c>
      <c r="Y51" s="69">
        <f>IF('Staging Table'!C53=1,"",IF(X51=0, 0, W51/X51))</f>
        <v>34.923303338366523</v>
      </c>
      <c r="Z51" s="64">
        <f ca="1">IF('Staging Table'!C53=1,"",(Y51/N51-1)+(RAND()/100000000000))</f>
        <v>9.2938359748621885E-2</v>
      </c>
      <c r="AA51" s="45">
        <f t="shared" ca="1" si="4"/>
        <v>77</v>
      </c>
      <c r="AD51" s="119"/>
      <c r="AE51" s="119"/>
      <c r="AG51" s="119"/>
      <c r="AH51" s="119"/>
    </row>
    <row r="52" spans="2:34">
      <c r="B52" s="2">
        <v>10136</v>
      </c>
      <c r="C52" s="3" t="s">
        <v>56</v>
      </c>
      <c r="D52" s="115">
        <f>IF(Init!$R$9="Yes",'Staging Table'!F54,'Staging Table'!BS54)*Rates_previous!$E$76*100*12</f>
        <v>6634391.2646399997</v>
      </c>
      <c r="E52" s="115">
        <f>IF(Init!$R$9="Yes",'Staging Table'!F54,'Staging Table'!BS54)*Rates_previous!$E$77*100*12</f>
        <v>-1354470.4963200002</v>
      </c>
      <c r="F52" s="116"/>
      <c r="G52" s="116">
        <f>IF(Init!$R$9="Yes",SUMPRODUCT('Staging Table'!AJ54:AU54,LS_Demand_Rates_Restatement!$C$10:$N$10),SUMPRODUCT(LS_Demand_Rates_Restatement!$C$10:$N$10,'Staging Table'!CW54:DH54))*1000</f>
        <v>0</v>
      </c>
      <c r="H52" s="117"/>
      <c r="I52" s="115">
        <v>0</v>
      </c>
      <c r="J52" s="117">
        <f>IF(Init!$R$9="Yes",IF('Staging Table'!D54=1,'Staging Table'!H54*-1*'Staging Table'!F54/'Staging Table'!E54,'Staging Table'!H54*SUM(D52:I52)*(-1)),IF('Staging Table'!D54=1,'Staging Table'!BU54*-1*'Staging Table'!BS54/'Staging Table'!BR54,'Staging Table'!BU54*SUM(D52:I52)*(-1)))</f>
        <v>-369594.4537824</v>
      </c>
      <c r="K52" s="115">
        <f>IF(Init!$R$9="Yes",'Staging Table'!K54,'Staging Table'!BX54)*(-1)*Rates_previous!$H$32</f>
        <v>0</v>
      </c>
      <c r="L52" s="115" t="str">
        <f>IF('Staging Table'!C54=1,"",SUM(D52:K52))</f>
        <v/>
      </c>
      <c r="M52" s="115" t="str">
        <f>IF('Staging Table'!C54=1,"",IF(Init!$R$9="Yes",(RT1SC!$C$3*'Staging Table'!F54*'Staging Table'!$F$2),X52))</f>
        <v/>
      </c>
      <c r="N52" s="69" t="str">
        <f>IF('Staging Table'!C54=1,"",IF(M52=0, 0, L52/M52))</f>
        <v/>
      </c>
      <c r="O52" s="115">
        <f>'Staging Table'!BS54*Rates_current!$F$77*100*12</f>
        <v>6731755.5162000004</v>
      </c>
      <c r="P52" s="115">
        <f>'Staging Table'!BS54*Rates_current!$F$78*100*12</f>
        <v>-1078246.8245999999</v>
      </c>
      <c r="Q52" s="116"/>
      <c r="R52" s="116">
        <f>SUMPRODUCT('Staging Table'!CW54:DH54, LS_Demand_Rates_Restatement!$C$11:$N$11)*1000</f>
        <v>0</v>
      </c>
      <c r="S52" s="117"/>
      <c r="T52" s="117">
        <v>0</v>
      </c>
      <c r="U52" s="117">
        <f>IF('Staging Table'!D54=1, 'Staging Table'!BU54*-1*'Staging Table'!BS54/'Staging Table'!BR54,SUM(O52:T52)*'Staging Table'!BU54*-1)</f>
        <v>-395745.60841200006</v>
      </c>
      <c r="V52" s="115">
        <f>'Staging Table'!BX54*Rates_current!$I$44*-1</f>
        <v>0</v>
      </c>
      <c r="W52" s="115" t="str">
        <f>IF('Staging Table'!C54=1,"",SUM(O52:V52))</f>
        <v/>
      </c>
      <c r="X52" s="115" t="str">
        <f>IF('Staging Table'!C54=1,"",(RT1SC!$C$4*'Staging Table'!BS54*'Staging Table'!$BS$2))</f>
        <v/>
      </c>
      <c r="Y52" s="69" t="str">
        <f>IF('Staging Table'!C54=1,"",IF(X52=0, 0, W52/X52))</f>
        <v/>
      </c>
      <c r="Z52" s="64" t="str">
        <f ca="1">IF('Staging Table'!C54=1,"",(Y52/N52-1)+(RAND()/100000000000))</f>
        <v/>
      </c>
      <c r="AA52" s="45" t="str">
        <f t="shared" ca="1" si="4"/>
        <v/>
      </c>
      <c r="AD52" s="119"/>
      <c r="AE52" s="119"/>
      <c r="AG52" s="119"/>
      <c r="AH52" s="119"/>
    </row>
    <row r="53" spans="2:34">
      <c r="B53" s="2">
        <v>10142</v>
      </c>
      <c r="C53" s="3" t="s">
        <v>57</v>
      </c>
      <c r="D53" s="115">
        <f>IF(Init!$R$9="Yes",'Staging Table'!F55,'Staging Table'!BS55)*Rates_previous!$E$76*100*12</f>
        <v>969051.59279999998</v>
      </c>
      <c r="E53" s="115">
        <f>IF(Init!$R$9="Yes",'Staging Table'!F55,'Staging Table'!BS55)*Rates_previous!$E$77*100*12</f>
        <v>-197840.57640000002</v>
      </c>
      <c r="F53" s="116"/>
      <c r="G53" s="116">
        <f>IF(Init!$R$9="Yes",SUMPRODUCT('Staging Table'!AJ55:AU55,LS_Demand_Rates_Restatement!$C$10:$N$10),SUMPRODUCT(LS_Demand_Rates_Restatement!$C$10:$N$10,'Staging Table'!CW55:DH55))*1000</f>
        <v>107343.62881498397</v>
      </c>
      <c r="H53" s="117"/>
      <c r="I53" s="115">
        <v>0</v>
      </c>
      <c r="J53" s="117">
        <f>IF(Init!$R$9="Yes",IF('Staging Table'!D55=1,'Staging Table'!H55*-1*'Staging Table'!F55/'Staging Table'!E55,'Staging Table'!H55*SUM(D53:I53)*(-1)),IF('Staging Table'!D55=1,'Staging Table'!BU55*-1*'Staging Table'!BS55/'Staging Table'!BR55,'Staging Table'!BU55*SUM(D53:I53)*(-1)))</f>
        <v>-27089.040698199267</v>
      </c>
      <c r="K53" s="115">
        <f>IF(Init!$R$9="Yes",'Staging Table'!K55,'Staging Table'!BX55)*(-1)*Rates_previous!$H$32</f>
        <v>-66752.929880000011</v>
      </c>
      <c r="L53" s="115">
        <f>IF('Staging Table'!C55=1,"",SUM(D53:K53))</f>
        <v>784712.67463678471</v>
      </c>
      <c r="M53" s="115">
        <f>IF('Staging Table'!C55=1,"",IF(Init!$R$9="Yes",(RT1SC!$C$3*'Staging Table'!F55*'Staging Table'!$F$2),X53))</f>
        <v>24135.348684240002</v>
      </c>
      <c r="N53" s="69">
        <f>IF('Staging Table'!C55=1,"",IF(M53=0, 0, L53/M53))</f>
        <v>32.513003433391027</v>
      </c>
      <c r="O53" s="115">
        <f>'Staging Table'!BS55*Rates_current!$F$77*100*12</f>
        <v>984395.90340000018</v>
      </c>
      <c r="P53" s="115">
        <f>'Staging Table'!BS55*Rates_current!$F$78*100*12</f>
        <v>-157673.84219999998</v>
      </c>
      <c r="Q53" s="116"/>
      <c r="R53" s="116">
        <f>SUMPRODUCT('Staging Table'!CW55:DH55, LS_Demand_Rates_Restatement!$C$11:$N$11)*1000</f>
        <v>118985.54485521725</v>
      </c>
      <c r="S53" s="117"/>
      <c r="T53" s="117">
        <v>0</v>
      </c>
      <c r="U53" s="117">
        <f>IF('Staging Table'!D55=1, 'Staging Table'!BU55*-1*'Staging Table'!BS55/'Staging Table'!BR55,SUM(O53:T53)*'Staging Table'!BU55*-1)</f>
        <v>-31071.499899168</v>
      </c>
      <c r="V53" s="115">
        <f>'Staging Table'!BX55*Rates_current!$I$44*-1</f>
        <v>-69003.028640000004</v>
      </c>
      <c r="W53" s="115">
        <f>IF('Staging Table'!C55=1,"",SUM(O53:V53))</f>
        <v>845633.07751604938</v>
      </c>
      <c r="X53" s="115">
        <f>IF('Staging Table'!C55=1,"",(RT1SC!$C$4*'Staging Table'!BS55*'Staging Table'!$BS$2))</f>
        <v>23672.504665152006</v>
      </c>
      <c r="Y53" s="69">
        <f>IF('Staging Table'!C55=1,"",IF(X53=0, 0, W53/X53))</f>
        <v>35.722163306229909</v>
      </c>
      <c r="Z53" s="64">
        <f ca="1">IF('Staging Table'!C55=1,"",(Y53/N53-1)+(RAND()/100000000000))</f>
        <v>9.8703888727411732E-2</v>
      </c>
      <c r="AA53" s="45">
        <f t="shared" ca="1" si="4"/>
        <v>23</v>
      </c>
      <c r="AD53" s="119"/>
      <c r="AE53" s="119"/>
      <c r="AG53" s="119"/>
      <c r="AH53" s="119"/>
    </row>
    <row r="54" spans="2:34">
      <c r="B54" s="2">
        <v>10144</v>
      </c>
      <c r="C54" s="3" t="s">
        <v>58</v>
      </c>
      <c r="D54" s="115">
        <f>IF(Init!$R$9="Yes",'Staging Table'!F56,'Staging Table'!BS56)*Rates_previous!$E$76*100*12</f>
        <v>1174570.2468000001</v>
      </c>
      <c r="E54" s="115">
        <f>IF(Init!$R$9="Yes",'Staging Table'!F56,'Staging Table'!BS56)*Rates_previous!$E$77*100*12</f>
        <v>-239799.0534</v>
      </c>
      <c r="F54" s="116"/>
      <c r="G54" s="116">
        <f>IF(Init!$R$9="Yes",SUMPRODUCT('Staging Table'!AJ56:AU56,LS_Demand_Rates_Restatement!$C$10:$N$10),SUMPRODUCT(LS_Demand_Rates_Restatement!$C$10:$N$10,'Staging Table'!CW56:DH56))*1000</f>
        <v>91742.898232638865</v>
      </c>
      <c r="H54" s="117"/>
      <c r="I54" s="115">
        <v>0</v>
      </c>
      <c r="J54" s="117">
        <f>IF(Init!$R$9="Yes",IF('Staging Table'!D56=1,'Staging Table'!H56*-1*'Staging Table'!F56/'Staging Table'!E56,'Staging Table'!H56*SUM(D54:I54)*(-1)),IF('Staging Table'!D56=1,'Staging Table'!BU56*-1*'Staging Table'!BS56/'Staging Table'!BR56,'Staging Table'!BU56*SUM(D54:I54)*(-1)))</f>
        <v>0</v>
      </c>
      <c r="K54" s="115">
        <f>IF(Init!$R$9="Yes",'Staging Table'!K56,'Staging Table'!BX56)*(-1)*Rates_previous!$H$32</f>
        <v>0</v>
      </c>
      <c r="L54" s="115">
        <f>IF('Staging Table'!C56=1,"",SUM(D54:K54))</f>
        <v>1026514.0916326389</v>
      </c>
      <c r="M54" s="115">
        <f>IF('Staging Table'!C56=1,"",IF(Init!$R$9="Yes",(RT1SC!$C$3*'Staging Table'!F56*'Staging Table'!$F$2),X54))</f>
        <v>29254.028032440001</v>
      </c>
      <c r="N54" s="69">
        <f>IF('Staging Table'!C56=1,"",IF(M54=0, 0, L54/M54))</f>
        <v>35.089666643319347</v>
      </c>
      <c r="O54" s="115">
        <f>'Staging Table'!BS56*Rates_current!$F$77*100*12</f>
        <v>1209711.4614000001</v>
      </c>
      <c r="P54" s="115">
        <f>'Staging Table'!BS56*Rates_current!$F$78*100*12</f>
        <v>-193763.35620000004</v>
      </c>
      <c r="Q54" s="116"/>
      <c r="R54" s="116">
        <f>SUMPRODUCT('Staging Table'!CW56:DH56, LS_Demand_Rates_Restatement!$C$11:$N$11)*1000</f>
        <v>99878.22584281514</v>
      </c>
      <c r="S54" s="117"/>
      <c r="T54" s="117">
        <v>0</v>
      </c>
      <c r="U54" s="117">
        <f>IF('Staging Table'!D56=1, 'Staging Table'!BU56*-1*'Staging Table'!BS56/'Staging Table'!BR56,SUM(O54:T54)*'Staging Table'!BU56*-1)</f>
        <v>0</v>
      </c>
      <c r="V54" s="115">
        <f>'Staging Table'!BX56*Rates_current!$I$44*-1</f>
        <v>0</v>
      </c>
      <c r="W54" s="115">
        <f>IF('Staging Table'!C56=1,"",SUM(O54:V54))</f>
        <v>1115826.3310428152</v>
      </c>
      <c r="X54" s="115">
        <f>IF('Staging Table'!C56=1,"",(RT1SC!$C$4*'Staging Table'!BS56*'Staging Table'!$BS$2))</f>
        <v>29090.836435392001</v>
      </c>
      <c r="Y54" s="69">
        <f>IF('Staging Table'!C56=1,"",IF(X54=0, 0, W54/X54))</f>
        <v>38.356625926551139</v>
      </c>
      <c r="Z54" s="64">
        <f ca="1">IF('Staging Table'!C56=1,"",(Y54/N54-1)+(RAND()/100000000000))</f>
        <v>9.310317240972224E-2</v>
      </c>
      <c r="AA54" s="45">
        <f t="shared" ca="1" si="4"/>
        <v>72</v>
      </c>
      <c r="AD54" s="119"/>
      <c r="AE54" s="119"/>
      <c r="AG54" s="119"/>
      <c r="AH54" s="119"/>
    </row>
    <row r="55" spans="2:34">
      <c r="B55" s="2">
        <v>10156</v>
      </c>
      <c r="C55" s="3" t="s">
        <v>59</v>
      </c>
      <c r="D55" s="115">
        <f>IF(Init!$R$9="Yes",'Staging Table'!F57,'Staging Table'!BS57)*Rates_previous!$E$76*100*12</f>
        <v>11626377.09192</v>
      </c>
      <c r="E55" s="115">
        <f>IF(Init!$R$9="Yes",'Staging Table'!F57,'Staging Table'!BS57)*Rates_previous!$E$77*100*12</f>
        <v>-2373629.1879600002</v>
      </c>
      <c r="F55" s="116"/>
      <c r="G55" s="116">
        <f>IF(Init!$R$9="Yes",SUMPRODUCT('Staging Table'!AJ57:AU57,LS_Demand_Rates_Restatement!$C$10:$N$10),SUMPRODUCT(LS_Demand_Rates_Restatement!$C$10:$N$10,'Staging Table'!CW57:DH57))*1000</f>
        <v>734165.15160560887</v>
      </c>
      <c r="H55" s="117"/>
      <c r="I55" s="115">
        <v>0</v>
      </c>
      <c r="J55" s="117">
        <f>IF(Init!$R$9="Yes",IF('Staging Table'!D57=1,'Staging Table'!H57*-1*'Staging Table'!F57/'Staging Table'!E57,'Staging Table'!H57*SUM(D55:I55)*(-1)),IF('Staging Table'!D57=1,'Staging Table'!BU57*-1*'Staging Table'!BS57/'Staging Table'!BR57,'Staging Table'!BU57*SUM(D55:I55)*(-1)))</f>
        <v>0</v>
      </c>
      <c r="K55" s="115">
        <f>IF(Init!$R$9="Yes",'Staging Table'!K57,'Staging Table'!BX57)*(-1)*Rates_previous!$H$32</f>
        <v>0</v>
      </c>
      <c r="L55" s="115">
        <f>IF('Staging Table'!C57=1,"",SUM(D55:K55))</f>
        <v>9986913.0555656068</v>
      </c>
      <c r="M55" s="115">
        <f>IF('Staging Table'!C57=1,"",IF(Init!$R$9="Yes",(RT1SC!$C$3*'Staging Table'!F57*'Staging Table'!$F$2),X55))</f>
        <v>289568.34407253604</v>
      </c>
      <c r="N55" s="69">
        <f>IF('Staging Table'!C57=1,"",IF(M55=0, 0, L55/M55))</f>
        <v>34.488966974455998</v>
      </c>
      <c r="O55" s="115">
        <f>'Staging Table'!BS57*Rates_current!$F$77*100*12</f>
        <v>11811196.940400001</v>
      </c>
      <c r="P55" s="115">
        <f>'Staging Table'!BS57*Rates_current!$F$78*100*12</f>
        <v>-1891837.2131999996</v>
      </c>
      <c r="Q55" s="116"/>
      <c r="R55" s="116">
        <f>SUMPRODUCT('Staging Table'!CW57:DH57, LS_Demand_Rates_Restatement!$C$11:$N$11)*1000</f>
        <v>788290.62449285958</v>
      </c>
      <c r="S55" s="117"/>
      <c r="T55" s="117">
        <v>0</v>
      </c>
      <c r="U55" s="117">
        <f>IF('Staging Table'!D57=1, 'Staging Table'!BU57*-1*'Staging Table'!BS57/'Staging Table'!BR57,SUM(O55:T55)*'Staging Table'!BU57*-1)</f>
        <v>0</v>
      </c>
      <c r="V55" s="115">
        <f>'Staging Table'!BX57*Rates_current!$I$44*-1</f>
        <v>0</v>
      </c>
      <c r="W55" s="115">
        <f>IF('Staging Table'!C57=1,"",SUM(O55:V55))</f>
        <v>10707650.351692861</v>
      </c>
      <c r="X55" s="115">
        <f>IF('Staging Table'!C57=1,"",(RT1SC!$C$4*'Staging Table'!BS57*'Staging Table'!$BS$2))</f>
        <v>284032.68817651202</v>
      </c>
      <c r="Y55" s="69">
        <f>IF('Staging Table'!C57=1,"",IF(X55=0, 0, W55/X55))</f>
        <v>37.69865511056458</v>
      </c>
      <c r="Z55" s="64">
        <f ca="1">IF('Staging Table'!C57=1,"",(Y55/N55-1)+(RAND()/100000000000))</f>
        <v>9.3064200461346711E-2</v>
      </c>
      <c r="AA55" s="45">
        <f t="shared" ca="1" si="4"/>
        <v>74</v>
      </c>
      <c r="AD55" s="119"/>
      <c r="AE55" s="119"/>
      <c r="AG55" s="119"/>
      <c r="AH55" s="119"/>
    </row>
    <row r="56" spans="2:34">
      <c r="B56" s="2">
        <v>10157</v>
      </c>
      <c r="C56" s="3" t="s">
        <v>60</v>
      </c>
      <c r="D56" s="115">
        <f>IF(Init!$R$9="Yes",'Staging Table'!F58,'Staging Table'!BS58)*Rates_previous!$E$76*100*12</f>
        <v>18017135.333999999</v>
      </c>
      <c r="E56" s="115">
        <f>IF(Init!$R$9="Yes",'Staging Table'!F58,'Staging Table'!BS58)*Rates_previous!$E$77*100*12</f>
        <v>-3678359.8169999998</v>
      </c>
      <c r="F56" s="116"/>
      <c r="G56" s="116">
        <f>IF(Init!$R$9="Yes",SUMPRODUCT('Staging Table'!AJ58:AU58,LS_Demand_Rates_Restatement!$C$10:$N$10),SUMPRODUCT(LS_Demand_Rates_Restatement!$C$10:$N$10,'Staging Table'!CW58:DH58))*1000</f>
        <v>1495103.9577617524</v>
      </c>
      <c r="H56" s="117"/>
      <c r="I56" s="115">
        <v>0</v>
      </c>
      <c r="J56" s="117">
        <f>IF(Init!$R$9="Yes",IF('Staging Table'!D58=1,'Staging Table'!H58*-1*'Staging Table'!F58/'Staging Table'!E58,'Staging Table'!H58*SUM(D56:I56)*(-1)),IF('Staging Table'!D58=1,'Staging Table'!BU58*-1*'Staging Table'!BS58/'Staging Table'!BR58,'Staging Table'!BU58*SUM(D56:I56)*(-1)))</f>
        <v>-954693.42739271431</v>
      </c>
      <c r="K56" s="115">
        <f>IF(Init!$R$9="Yes",'Staging Table'!K58,'Staging Table'!BX58)*(-1)*Rates_previous!$H$32</f>
        <v>0</v>
      </c>
      <c r="L56" s="115">
        <f>IF('Staging Table'!C58=1,"",SUM(D56:K56))</f>
        <v>14879186.047369037</v>
      </c>
      <c r="M56" s="115">
        <f>IF('Staging Table'!C58=1,"",IF(Init!$R$9="Yes",(RT1SC!$C$3*'Staging Table'!F58*'Staging Table'!$F$2),X56))</f>
        <v>448737.55619219999</v>
      </c>
      <c r="N56" s="69">
        <f>IF('Staging Table'!C58=1,"",IF(M56=0, 0, L56/M56))</f>
        <v>33.157880017058552</v>
      </c>
      <c r="O56" s="115">
        <f>'Staging Table'!BS58*Rates_current!$F$77*100*12</f>
        <v>18303392.8116</v>
      </c>
      <c r="P56" s="115">
        <f>'Staging Table'!BS58*Rates_current!$F$78*100*12</f>
        <v>-2931713.0027999999</v>
      </c>
      <c r="Q56" s="116"/>
      <c r="R56" s="116">
        <f>SUMPRODUCT('Staging Table'!CW58:DH58, LS_Demand_Rates_Restatement!$C$11:$N$11)*1000</f>
        <v>1720005.6916770837</v>
      </c>
      <c r="S56" s="117"/>
      <c r="T56" s="117">
        <v>0</v>
      </c>
      <c r="U56" s="117">
        <f>IF('Staging Table'!D58=1, 'Staging Table'!BU58*-1*'Staging Table'!BS58/'Staging Table'!BR58,SUM(O56:T56)*'Staging Table'!BU58*-1)</f>
        <v>-1099928.1647677959</v>
      </c>
      <c r="V56" s="115">
        <f>'Staging Table'!BX58*Rates_current!$I$44*-1</f>
        <v>0</v>
      </c>
      <c r="W56" s="115">
        <f>IF('Staging Table'!C58=1,"",SUM(O56:V56))</f>
        <v>15991757.335709287</v>
      </c>
      <c r="X56" s="115">
        <f>IF('Staging Table'!C58=1,"",(RT1SC!$C$4*'Staging Table'!BS58*'Staging Table'!$BS$2))</f>
        <v>440155.37877004797</v>
      </c>
      <c r="Y56" s="69">
        <f>IF('Staging Table'!C58=1,"",IF(X56=0, 0, W56/X56))</f>
        <v>36.332072961134756</v>
      </c>
      <c r="Z56" s="64">
        <f ca="1">IF('Staging Table'!C58=1,"",(Y56/N56-1)+(RAND()/100000000000))</f>
        <v>9.5729670974934303E-2</v>
      </c>
      <c r="AA56" s="45">
        <f t="shared" ca="1" si="4"/>
        <v>36</v>
      </c>
      <c r="AD56" s="119"/>
      <c r="AE56" s="119"/>
      <c r="AG56" s="119"/>
      <c r="AH56" s="119"/>
    </row>
    <row r="57" spans="2:34">
      <c r="B57" s="2">
        <v>10158</v>
      </c>
      <c r="C57" s="3" t="s">
        <v>61</v>
      </c>
      <c r="D57" s="115">
        <f>IF(Init!$R$9="Yes",'Staging Table'!F59,'Staging Table'!BS59)*Rates_previous!$E$76*100*12</f>
        <v>818337.91320000007</v>
      </c>
      <c r="E57" s="115">
        <f>IF(Init!$R$9="Yes",'Staging Table'!F59,'Staging Table'!BS59)*Rates_previous!$E$77*100*12</f>
        <v>-167071.02659999998</v>
      </c>
      <c r="F57" s="116"/>
      <c r="G57" s="116">
        <f>IF(Init!$R$9="Yes",SUMPRODUCT('Staging Table'!AJ59:AU59,LS_Demand_Rates_Restatement!$C$10:$N$10),SUMPRODUCT(LS_Demand_Rates_Restatement!$C$10:$N$10,'Staging Table'!CW59:DH59))*1000</f>
        <v>36595.208149786333</v>
      </c>
      <c r="H57" s="117"/>
      <c r="I57" s="115">
        <v>0</v>
      </c>
      <c r="J57" s="117">
        <f>IF(Init!$R$9="Yes",IF('Staging Table'!D59=1,'Staging Table'!H59*-1*'Staging Table'!F59/'Staging Table'!E59,'Staging Table'!H59*SUM(D57:I57)*(-1)),IF('Staging Table'!D59=1,'Staging Table'!BU59*-1*'Staging Table'!BS59/'Staging Table'!BR59,'Staging Table'!BU59*SUM(D57:I57)*(-1)))</f>
        <v>0</v>
      </c>
      <c r="K57" s="115">
        <f>IF(Init!$R$9="Yes",'Staging Table'!K59,'Staging Table'!BX59)*(-1)*Rates_previous!$H$32</f>
        <v>0</v>
      </c>
      <c r="L57" s="115">
        <f>IF('Staging Table'!C59=1,"",SUM(D57:K57))</f>
        <v>687862.09474978643</v>
      </c>
      <c r="M57" s="115">
        <f>IF('Staging Table'!C59=1,"",IF(Init!$R$9="Yes",(RT1SC!$C$3*'Staging Table'!F59*'Staging Table'!$F$2),X57))</f>
        <v>20381.650495559999</v>
      </c>
      <c r="N57" s="69">
        <f>IF('Staging Table'!C59=1,"",IF(M57=0, 0, L57/M57))</f>
        <v>33.749086949539851</v>
      </c>
      <c r="O57" s="115">
        <f>'Staging Table'!BS59*Rates_current!$F$77*100*12</f>
        <v>826157.04599999986</v>
      </c>
      <c r="P57" s="115">
        <f>'Staging Table'!BS59*Rates_current!$F$78*100*12</f>
        <v>-132328.21799999999</v>
      </c>
      <c r="Q57" s="116"/>
      <c r="R57" s="116">
        <f>SUMPRODUCT('Staging Table'!CW59:DH59, LS_Demand_Rates_Restatement!$C$11:$N$11)*1000</f>
        <v>38313.961910701568</v>
      </c>
      <c r="S57" s="117"/>
      <c r="T57" s="117">
        <v>0</v>
      </c>
      <c r="U57" s="117">
        <f>IF('Staging Table'!D59=1, 'Staging Table'!BU59*-1*'Staging Table'!BS59/'Staging Table'!BR59,SUM(O57:T57)*'Staging Table'!BU59*-1)</f>
        <v>0</v>
      </c>
      <c r="V57" s="115">
        <f>'Staging Table'!BX59*Rates_current!$I$44*-1</f>
        <v>0</v>
      </c>
      <c r="W57" s="115">
        <f>IF('Staging Table'!C59=1,"",SUM(O57:V57))</f>
        <v>732142.78991070145</v>
      </c>
      <c r="X57" s="115">
        <f>IF('Staging Table'!C59=1,"",(RT1SC!$C$4*'Staging Table'!BS59*'Staging Table'!$BS$2))</f>
        <v>19867.21649088</v>
      </c>
      <c r="Y57" s="69">
        <f>IF('Staging Table'!C59=1,"",IF(X57=0, 0, W57/X57))</f>
        <v>36.851805095433974</v>
      </c>
      <c r="Z57" s="64">
        <f ca="1">IF('Staging Table'!C59=1,"",(Y57/N57-1)+(RAND()/100000000000))</f>
        <v>9.1934876656426592E-2</v>
      </c>
      <c r="AA57" s="45">
        <f t="shared" ca="1" si="4"/>
        <v>90</v>
      </c>
      <c r="AD57" s="119"/>
      <c r="AE57" s="119"/>
      <c r="AG57" s="119"/>
      <c r="AH57" s="119"/>
    </row>
    <row r="58" spans="2:34">
      <c r="B58" s="2">
        <v>10170</v>
      </c>
      <c r="C58" s="3" t="s">
        <v>62</v>
      </c>
      <c r="D58" s="115">
        <f>IF(Init!$R$9="Yes",'Staging Table'!F60,'Staging Table'!BS60)*Rates_previous!$E$76*100*12</f>
        <v>44812034.658720002</v>
      </c>
      <c r="E58" s="115">
        <f>IF(Init!$R$9="Yes",'Staging Table'!F60,'Staging Table'!BS60)*Rates_previous!$E$77*100*12</f>
        <v>-9148778.9013600014</v>
      </c>
      <c r="F58" s="116"/>
      <c r="G58" s="116">
        <f>IF(Init!$R$9="Yes",SUMPRODUCT('Staging Table'!AJ60:AU60,LS_Demand_Rates_Restatement!$C$10:$N$10),SUMPRODUCT(LS_Demand_Rates_Restatement!$C$10:$N$10,'Staging Table'!CW60:DH60))*1000</f>
        <v>0</v>
      </c>
      <c r="H58" s="117"/>
      <c r="I58" s="115">
        <v>0</v>
      </c>
      <c r="J58" s="117">
        <f>IF(Init!$R$9="Yes",IF('Staging Table'!D60=1,'Staging Table'!H60*-1*'Staging Table'!F60/'Staging Table'!E60,'Staging Table'!H60*SUM(D58:I58)*(-1)),IF('Staging Table'!D60=1,'Staging Table'!BU60*-1*'Staging Table'!BS60/'Staging Table'!BR60,'Staging Table'!BU60*SUM(D58:I58)*(-1)))</f>
        <v>0</v>
      </c>
      <c r="K58" s="115">
        <f>IF(Init!$R$9="Yes",'Staging Table'!K60,'Staging Table'!BX60)*(-1)*Rates_previous!$H$32</f>
        <v>0</v>
      </c>
      <c r="L58" s="115">
        <f>IF('Staging Table'!C60=1,"",SUM(D58:K58))</f>
        <v>35663255.757359996</v>
      </c>
      <c r="M58" s="115">
        <f>IF('Staging Table'!C60=1,"",IF(Init!$R$9="Yes",(RT1SC!$C$3*'Staging Table'!F60*'Staging Table'!$F$2),X58))</f>
        <v>1116095.4584609761</v>
      </c>
      <c r="N58" s="69">
        <f>IF('Staging Table'!C60=1,"",IF(M58=0, 0, L58/M58))</f>
        <v>31.953589172862806</v>
      </c>
      <c r="O58" s="115">
        <f>'Staging Table'!BS60*Rates_current!$F$77*100*12</f>
        <v>44217012.832199998</v>
      </c>
      <c r="P58" s="115">
        <f>'Staging Table'!BS60*Rates_current!$F$78*100*12</f>
        <v>-7082380.4525999995</v>
      </c>
      <c r="Q58" s="116"/>
      <c r="R58" s="116">
        <f>SUMPRODUCT('Staging Table'!CW60:DH60, LS_Demand_Rates_Restatement!$C$11:$N$11)*1000</f>
        <v>0</v>
      </c>
      <c r="S58" s="117"/>
      <c r="T58" s="117">
        <v>0</v>
      </c>
      <c r="U58" s="117">
        <f>IF('Staging Table'!D60=1, 'Staging Table'!BU60*-1*'Staging Table'!BS60/'Staging Table'!BR60,SUM(O58:T58)*'Staging Table'!BU60*-1)</f>
        <v>0</v>
      </c>
      <c r="V58" s="115">
        <f>'Staging Table'!BX60*Rates_current!$I$44*-1</f>
        <v>0</v>
      </c>
      <c r="W58" s="115">
        <f>IF('Staging Table'!C60=1,"",SUM(O58:V58))</f>
        <v>37134632.379599996</v>
      </c>
      <c r="X58" s="115">
        <f>IF('Staging Table'!C60=1,"",(RT1SC!$C$4*'Staging Table'!BS60*'Staging Table'!$BS$2))</f>
        <v>1063319.5840556161</v>
      </c>
      <c r="Y58" s="69">
        <f>IF('Staging Table'!C60=1,"",IF(X58=0, 0, W58/X58))</f>
        <v>34.923303338366523</v>
      </c>
      <c r="Z58" s="64">
        <f ca="1">IF('Staging Table'!C60=1,"",(Y58/N58-1)+(RAND()/100000000000))</f>
        <v>9.2938359739746984E-2</v>
      </c>
      <c r="AA58" s="45">
        <f t="shared" ca="1" si="4"/>
        <v>83</v>
      </c>
      <c r="AD58" s="119"/>
      <c r="AE58" s="119"/>
      <c r="AG58" s="119"/>
      <c r="AH58" s="119"/>
    </row>
    <row r="59" spans="2:34">
      <c r="B59" s="2">
        <v>10172</v>
      </c>
      <c r="C59" s="3" t="s">
        <v>63</v>
      </c>
      <c r="D59" s="115">
        <f>IF(Init!$R$9="Yes",'Staging Table'!F61,'Staging Table'!BS61)*Rates_previous!$E$76*100*12</f>
        <v>1901732.6116800001</v>
      </c>
      <c r="E59" s="115">
        <f>IF(Init!$R$9="Yes",'Staging Table'!F61,'Staging Table'!BS61)*Rates_previous!$E$77*100*12</f>
        <v>-388255.77384000004</v>
      </c>
      <c r="F59" s="116"/>
      <c r="G59" s="116">
        <f>IF(Init!$R$9="Yes",SUMPRODUCT('Staging Table'!AJ61:AU61,LS_Demand_Rates_Restatement!$C$10:$N$10),SUMPRODUCT(LS_Demand_Rates_Restatement!$C$10:$N$10,'Staging Table'!CW61:DH61))*1000</f>
        <v>222954.5056551015</v>
      </c>
      <c r="H59" s="117"/>
      <c r="I59" s="115">
        <v>0</v>
      </c>
      <c r="J59" s="117">
        <f>IF(Init!$R$9="Yes",IF('Staging Table'!D61=1,'Staging Table'!H61*-1*'Staging Table'!F61/'Staging Table'!E61,'Staging Table'!H61*SUM(D59:I59)*(-1)),IF('Staging Table'!D61=1,'Staging Table'!BU61*-1*'Staging Table'!BS61/'Staging Table'!BR61,'Staging Table'!BU61*SUM(D59:I59)*(-1)))</f>
        <v>0</v>
      </c>
      <c r="K59" s="115">
        <f>IF(Init!$R$9="Yes",'Staging Table'!K61,'Staging Table'!BX61)*(-1)*Rates_previous!$H$32</f>
        <v>0</v>
      </c>
      <c r="L59" s="115">
        <f>IF('Staging Table'!C61=1,"",SUM(D59:K59))</f>
        <v>1736431.3434951017</v>
      </c>
      <c r="M59" s="115">
        <f>IF('Staging Table'!C61=1,"",IF(Init!$R$9="Yes",(RT1SC!$C$3*'Staging Table'!F61*'Staging Table'!$F$2),X59))</f>
        <v>47364.846235343997</v>
      </c>
      <c r="N59" s="69">
        <f>IF('Staging Table'!C61=1,"",IF(M59=0, 0, L59/M59))</f>
        <v>36.660761757089034</v>
      </c>
      <c r="O59" s="115">
        <f>'Staging Table'!BS61*Rates_current!$F$77*100*12</f>
        <v>1900161.2058000001</v>
      </c>
      <c r="P59" s="115">
        <f>'Staging Table'!BS61*Rates_current!$F$78*100*12</f>
        <v>-304354.90139999997</v>
      </c>
      <c r="Q59" s="116"/>
      <c r="R59" s="116">
        <f>SUMPRODUCT('Staging Table'!CW61:DH61, LS_Demand_Rates_Restatement!$C$11:$N$11)*1000</f>
        <v>249011.79984919875</v>
      </c>
      <c r="S59" s="117"/>
      <c r="T59" s="117">
        <v>0</v>
      </c>
      <c r="U59" s="117">
        <f>IF('Staging Table'!D61=1, 'Staging Table'!BU61*-1*'Staging Table'!BS61/'Staging Table'!BR61,SUM(O59:T59)*'Staging Table'!BU61*-1)</f>
        <v>0</v>
      </c>
      <c r="V59" s="115">
        <f>'Staging Table'!BX61*Rates_current!$I$44*-1</f>
        <v>0</v>
      </c>
      <c r="W59" s="115">
        <f>IF('Staging Table'!C61=1,"",SUM(O59:V59))</f>
        <v>1844818.1042491989</v>
      </c>
      <c r="X59" s="115">
        <f>IF('Staging Table'!C61=1,"",(RT1SC!$C$4*'Staging Table'!BS61*'Staging Table'!$BS$2))</f>
        <v>45694.597929023999</v>
      </c>
      <c r="Y59" s="69">
        <f>IF('Staging Table'!C61=1,"",IF(X59=0, 0, W59/X59))</f>
        <v>40.372783389290298</v>
      </c>
      <c r="Z59" s="64">
        <f ca="1">IF('Staging Table'!C61=1,"",(Y59/N59-1)+(RAND()/100000000000))</f>
        <v>0.1012532597422794</v>
      </c>
      <c r="AA59" s="45">
        <f t="shared" ca="1" si="4"/>
        <v>12</v>
      </c>
      <c r="AD59" s="119"/>
      <c r="AE59" s="119"/>
      <c r="AG59" s="119"/>
      <c r="AH59" s="119"/>
    </row>
    <row r="60" spans="2:34">
      <c r="B60" s="2">
        <v>10173</v>
      </c>
      <c r="C60" s="3" t="s">
        <v>64</v>
      </c>
      <c r="D60" s="115">
        <f>IF(Init!$R$9="Yes",'Staging Table'!F62,'Staging Table'!BS62)*Rates_previous!$E$76*100*12</f>
        <v>11948231.75976</v>
      </c>
      <c r="E60" s="115">
        <f>IF(Init!$R$9="Yes",'Staging Table'!F62,'Staging Table'!BS62)*Rates_previous!$E$77*100*12</f>
        <v>-2439338.7058800003</v>
      </c>
      <c r="F60" s="116"/>
      <c r="G60" s="116">
        <f>IF(Init!$R$9="Yes",SUMPRODUCT('Staging Table'!AJ62:AU62,LS_Demand_Rates_Restatement!$C$10:$N$10),SUMPRODUCT(LS_Demand_Rates_Restatement!$C$10:$N$10,'Staging Table'!CW62:DH62))*1000</f>
        <v>0</v>
      </c>
      <c r="H60" s="117"/>
      <c r="I60" s="115">
        <v>0</v>
      </c>
      <c r="J60" s="117">
        <f>IF(Init!$R$9="Yes",IF('Staging Table'!D62=1,'Staging Table'!H62*-1*'Staging Table'!F62/'Staging Table'!E62,'Staging Table'!H62*SUM(D60:I60)*(-1)),IF('Staging Table'!D62=1,'Staging Table'!BU62*-1*'Staging Table'!BS62/'Staging Table'!BR62,'Staging Table'!BU62*SUM(D60:I60)*(-1)))</f>
        <v>-806120.49864346208</v>
      </c>
      <c r="K60" s="115">
        <f>IF(Init!$R$9="Yes",'Staging Table'!K62,'Staging Table'!BX62)*(-1)*Rates_previous!$H$32</f>
        <v>-512666.65372</v>
      </c>
      <c r="L60" s="115" t="str">
        <f>IF('Staging Table'!C62=1,"",SUM(D60:K60))</f>
        <v/>
      </c>
      <c r="M60" s="115" t="str">
        <f>IF('Staging Table'!C62=1,"",IF(Init!$R$9="Yes",(RT1SC!$C$3*'Staging Table'!F62*'Staging Table'!$F$2),X60))</f>
        <v/>
      </c>
      <c r="N60" s="69" t="str">
        <f>IF('Staging Table'!C62=1,"",IF(M60=0, 0, L60/M60))</f>
        <v/>
      </c>
      <c r="O60" s="115">
        <f>'Staging Table'!BS62*Rates_current!$F$77*100*12</f>
        <v>12138033.9912</v>
      </c>
      <c r="P60" s="115">
        <f>'Staging Table'!BS62*Rates_current!$F$78*100*12</f>
        <v>-1944187.7496</v>
      </c>
      <c r="Q60" s="116"/>
      <c r="R60" s="116">
        <f>SUMPRODUCT('Staging Table'!CW62:DH62, LS_Demand_Rates_Restatement!$C$11:$N$11)*1000</f>
        <v>0</v>
      </c>
      <c r="S60" s="117"/>
      <c r="T60" s="117">
        <v>0</v>
      </c>
      <c r="U60" s="117">
        <f>IF('Staging Table'!D62=1, 'Staging Table'!BU62*-1*'Staging Table'!BS62/'Staging Table'!BR62,SUM(O60:T60)*'Staging Table'!BU62*-1)</f>
        <v>-1003292.7808087154</v>
      </c>
      <c r="V60" s="115">
        <f>'Staging Table'!BX62*Rates_current!$I$44*-1</f>
        <v>-529947.55216000008</v>
      </c>
      <c r="W60" s="115" t="str">
        <f>IF('Staging Table'!C62=1,"",SUM(O60:V60))</f>
        <v/>
      </c>
      <c r="X60" s="115" t="str">
        <f>IF('Staging Table'!C62=1,"",(RT1SC!$C$4*'Staging Table'!BS62*'Staging Table'!$BS$2))</f>
        <v/>
      </c>
      <c r="Y60" s="69" t="str">
        <f>IF('Staging Table'!C62=1,"",IF(X60=0, 0, W60/X60))</f>
        <v/>
      </c>
      <c r="Z60" s="64" t="str">
        <f ca="1">IF('Staging Table'!C62=1,"",(Y60/N60-1)+(RAND()/100000000000))</f>
        <v/>
      </c>
      <c r="AA60" s="45" t="str">
        <f t="shared" ca="1" si="4"/>
        <v/>
      </c>
      <c r="AD60" s="119"/>
      <c r="AE60" s="119"/>
      <c r="AG60" s="119"/>
      <c r="AH60" s="119"/>
    </row>
    <row r="61" spans="2:34">
      <c r="B61" s="2">
        <v>10174</v>
      </c>
      <c r="C61" s="3" t="s">
        <v>65</v>
      </c>
      <c r="D61" s="115">
        <f>IF(Init!$R$9="Yes",'Staging Table'!F63,'Staging Table'!BS63)*Rates_previous!$E$76*100*12</f>
        <v>178863.50735999999</v>
      </c>
      <c r="E61" s="115">
        <f>IF(Init!$R$9="Yes",'Staging Table'!F63,'Staging Table'!BS63)*Rates_previous!$E$77*100*12</f>
        <v>-36516.589679999997</v>
      </c>
      <c r="F61" s="116"/>
      <c r="G61" s="116">
        <f>IF(Init!$R$9="Yes",SUMPRODUCT('Staging Table'!AJ63:AU63,LS_Demand_Rates_Restatement!$C$10:$N$10),SUMPRODUCT(LS_Demand_Rates_Restatement!$C$10:$N$10,'Staging Table'!CW63:DH63))*1000</f>
        <v>38960.666878766024</v>
      </c>
      <c r="H61" s="117"/>
      <c r="I61" s="115">
        <v>0</v>
      </c>
      <c r="J61" s="117">
        <f>IF(Init!$R$9="Yes",IF('Staging Table'!D63=1,'Staging Table'!H63*-1*'Staging Table'!F63/'Staging Table'!E63,'Staging Table'!H63*SUM(D61:I61)*(-1)),IF('Staging Table'!D63=1,'Staging Table'!BU63*-1*'Staging Table'!BS63/'Staging Table'!BR63,'Staging Table'!BU63*SUM(D61:I61)*(-1)))</f>
        <v>0</v>
      </c>
      <c r="K61" s="115">
        <f>IF(Init!$R$9="Yes",'Staging Table'!K63,'Staging Table'!BX63)*(-1)*Rates_previous!$H$32</f>
        <v>0</v>
      </c>
      <c r="L61" s="115">
        <f>IF('Staging Table'!C63=1,"",SUM(D61:K61))</f>
        <v>181307.58455876602</v>
      </c>
      <c r="M61" s="115">
        <f>IF('Staging Table'!C63=1,"",IF(Init!$R$9="Yes",(RT1SC!$C$3*'Staging Table'!F63*'Staging Table'!$F$2),X61))</f>
        <v>4454.802147888</v>
      </c>
      <c r="N61" s="69">
        <f>IF('Staging Table'!C63=1,"",IF(M61=0, 0, L61/M61))</f>
        <v>40.699357354113481</v>
      </c>
      <c r="O61" s="115">
        <f>'Staging Table'!BS63*Rates_current!$F$77*100*12</f>
        <v>185691.09779999999</v>
      </c>
      <c r="P61" s="115">
        <f>'Staging Table'!BS63*Rates_current!$F$78*100*12</f>
        <v>-29742.737399999998</v>
      </c>
      <c r="Q61" s="116"/>
      <c r="R61" s="116">
        <f>SUMPRODUCT('Staging Table'!CW63:DH63, LS_Demand_Rates_Restatement!$C$11:$N$11)*1000</f>
        <v>43143.195509241465</v>
      </c>
      <c r="S61" s="117"/>
      <c r="T61" s="117">
        <v>0</v>
      </c>
      <c r="U61" s="117">
        <f>IF('Staging Table'!D63=1, 'Staging Table'!BU63*-1*'Staging Table'!BS63/'Staging Table'!BR63,SUM(O61:T61)*'Staging Table'!BU63*-1)</f>
        <v>0</v>
      </c>
      <c r="V61" s="115">
        <f>'Staging Table'!BX63*Rates_current!$I$44*-1</f>
        <v>0</v>
      </c>
      <c r="W61" s="115">
        <f>IF('Staging Table'!C63=1,"",SUM(O61:V61))</f>
        <v>199091.55590924146</v>
      </c>
      <c r="X61" s="115">
        <f>IF('Staging Table'!C63=1,"",(RT1SC!$C$4*'Staging Table'!BS63*'Staging Table'!$BS$2))</f>
        <v>4465.4527347840003</v>
      </c>
      <c r="Y61" s="69">
        <f>IF('Staging Table'!C63=1,"",IF(X61=0, 0, W61/X61))</f>
        <v>44.584853481574648</v>
      </c>
      <c r="Z61" s="64">
        <f ca="1">IF('Staging Table'!C63=1,"",(Y61/N61-1)+(RAND()/100000000000))</f>
        <v>9.5468242752947033E-2</v>
      </c>
      <c r="AA61" s="45">
        <f t="shared" ca="1" si="4"/>
        <v>39</v>
      </c>
      <c r="AD61" s="119"/>
      <c r="AE61" s="119"/>
      <c r="AG61" s="119"/>
      <c r="AH61" s="119"/>
    </row>
    <row r="62" spans="2:34">
      <c r="B62" s="2">
        <v>10177</v>
      </c>
      <c r="C62" s="3" t="s">
        <v>66</v>
      </c>
      <c r="D62" s="115">
        <f>IF(Init!$R$9="Yes",'Staging Table'!F64,'Staging Table'!BS64)*Rates_previous!$E$76*100*12</f>
        <v>3122139.7461599996</v>
      </c>
      <c r="E62" s="115">
        <f>IF(Init!$R$9="Yes",'Staging Table'!F64,'Staging Table'!BS64)*Rates_previous!$E$77*100*12</f>
        <v>-637412.83907999995</v>
      </c>
      <c r="F62" s="116"/>
      <c r="G62" s="116">
        <f>IF(Init!$R$9="Yes",SUMPRODUCT('Staging Table'!AJ64:AU64,LS_Demand_Rates_Restatement!$C$10:$N$10),SUMPRODUCT(LS_Demand_Rates_Restatement!$C$10:$N$10,'Staging Table'!CW64:DH64))*1000</f>
        <v>516624.75541752134</v>
      </c>
      <c r="H62" s="117"/>
      <c r="I62" s="115">
        <v>0</v>
      </c>
      <c r="J62" s="117">
        <f>IF(Init!$R$9="Yes",IF('Staging Table'!D64=1,'Staging Table'!H64*-1*'Staging Table'!F64/'Staging Table'!E64,'Staging Table'!H64*SUM(D62:I62)*(-1)),IF('Staging Table'!D64=1,'Staging Table'!BU64*-1*'Staging Table'!BS64/'Staging Table'!BR64,'Staging Table'!BU64*SUM(D62:I62)*(-1)))</f>
        <v>-210094.61637482652</v>
      </c>
      <c r="K62" s="115">
        <f>IF(Init!$R$9="Yes",'Staging Table'!K64,'Staging Table'!BX64)*(-1)*Rates_previous!$H$32</f>
        <v>0</v>
      </c>
      <c r="L62" s="115">
        <f>IF('Staging Table'!C64=1,"",SUM(D62:K62))</f>
        <v>2791257.0461226949</v>
      </c>
      <c r="M62" s="115">
        <f>IF('Staging Table'!C64=1,"",IF(Init!$R$9="Yes",(RT1SC!$C$3*'Staging Table'!F64*'Staging Table'!$F$2),X62))</f>
        <v>77760.494873927993</v>
      </c>
      <c r="N62" s="69">
        <f>IF('Staging Table'!C64=1,"",IF(M62=0, 0, L62/M62))</f>
        <v>35.89556690255278</v>
      </c>
      <c r="O62" s="115">
        <f>'Staging Table'!BS64*Rates_current!$F$77*100*12</f>
        <v>3520102.3728</v>
      </c>
      <c r="P62" s="115">
        <f>'Staging Table'!BS64*Rates_current!$F$78*100*12</f>
        <v>-563826.06239999994</v>
      </c>
      <c r="Q62" s="116"/>
      <c r="R62" s="116">
        <f>SUMPRODUCT('Staging Table'!CW64:DH64, LS_Demand_Rates_Restatement!$C$11:$N$11)*1000</f>
        <v>569457.20466515305</v>
      </c>
      <c r="S62" s="117"/>
      <c r="T62" s="117">
        <v>0</v>
      </c>
      <c r="U62" s="117">
        <f>IF('Staging Table'!D64=1, 'Staging Table'!BU64*-1*'Staging Table'!BS64/'Staging Table'!BR64,SUM(O62:T62)*'Staging Table'!BU64*-1)</f>
        <v>-246801.34605456074</v>
      </c>
      <c r="V62" s="115">
        <f>'Staging Table'!BX64*Rates_current!$I$44*-1</f>
        <v>0</v>
      </c>
      <c r="W62" s="115">
        <f>IF('Staging Table'!C64=1,"",SUM(O62:V62))</f>
        <v>3278932.1690105926</v>
      </c>
      <c r="X62" s="115">
        <f>IF('Staging Table'!C64=1,"",(RT1SC!$C$4*'Staging Table'!BS64*'Staging Table'!$BS$2))</f>
        <v>84650.53496678402</v>
      </c>
      <c r="Y62" s="69">
        <f>IF('Staging Table'!C64=1,"",IF(X62=0, 0, W62/X62))</f>
        <v>38.734925541784364</v>
      </c>
      <c r="Z62" s="64">
        <f ca="1">IF('Staging Table'!C64=1,"",(Y62/N62-1)+(RAND()/100000000000))</f>
        <v>7.9100537599712792E-2</v>
      </c>
      <c r="AA62" s="45">
        <f t="shared" ca="1" si="4"/>
        <v>114</v>
      </c>
      <c r="AD62" s="119"/>
      <c r="AE62" s="119"/>
      <c r="AG62" s="119"/>
      <c r="AH62" s="119"/>
    </row>
    <row r="63" spans="2:34">
      <c r="B63" s="2">
        <v>10179</v>
      </c>
      <c r="C63" s="3" t="s">
        <v>67</v>
      </c>
      <c r="D63" s="115">
        <f>IF(Init!$R$9="Yes",'Staging Table'!F65,'Staging Table'!BS65)*Rates_previous!$E$76*100*12</f>
        <v>60163157.101679996</v>
      </c>
      <c r="E63" s="115">
        <f>IF(Init!$R$9="Yes",'Staging Table'!F65,'Staging Table'!BS65)*Rates_previous!$E$77*100*12</f>
        <v>-12282848.26884</v>
      </c>
      <c r="F63" s="116"/>
      <c r="G63" s="116">
        <f>IF(Init!$R$9="Yes",SUMPRODUCT('Staging Table'!AJ65:AU65,LS_Demand_Rates_Restatement!$C$10:$N$10),SUMPRODUCT(LS_Demand_Rates_Restatement!$C$10:$N$10,'Staging Table'!CW65:DH65))*1000</f>
        <v>0</v>
      </c>
      <c r="H63" s="117"/>
      <c r="I63" s="115">
        <v>0</v>
      </c>
      <c r="J63" s="117">
        <f>IF(Init!$R$9="Yes",IF('Staging Table'!D65=1,'Staging Table'!H65*-1*'Staging Table'!F65/'Staging Table'!E65,'Staging Table'!H65*SUM(D63:I63)*(-1)),IF('Staging Table'!D65=1,'Staging Table'!BU65*-1*'Staging Table'!BS65/'Staging Table'!BR65,'Staging Table'!BU65*SUM(D63:I63)*(-1)))</f>
        <v>0</v>
      </c>
      <c r="K63" s="115">
        <f>IF(Init!$R$9="Yes",'Staging Table'!K65,'Staging Table'!BX65)*(-1)*Rates_previous!$H$32</f>
        <v>0</v>
      </c>
      <c r="L63" s="115" t="str">
        <f>IF('Staging Table'!C65=1,"",SUM(D63:K63))</f>
        <v/>
      </c>
      <c r="M63" s="115" t="str">
        <f>IF('Staging Table'!C65=1,"",IF(Init!$R$9="Yes",(RT1SC!$C$3*'Staging Table'!F65*'Staging Table'!$F$2),X63))</f>
        <v/>
      </c>
      <c r="N63" s="69" t="str">
        <f>IF('Staging Table'!C65=1,"",IF(M63=0, 0, L63/M63))</f>
        <v/>
      </c>
      <c r="O63" s="115">
        <f>'Staging Table'!BS65*Rates_current!$F$77*100*12</f>
        <v>61119564.433200002</v>
      </c>
      <c r="P63" s="115">
        <f>'Staging Table'!BS65*Rates_current!$F$78*100*12</f>
        <v>-9789716.2356000002</v>
      </c>
      <c r="Q63" s="116"/>
      <c r="R63" s="116">
        <f>SUMPRODUCT('Staging Table'!CW65:DH65, LS_Demand_Rates_Restatement!$C$11:$N$11)*1000</f>
        <v>0</v>
      </c>
      <c r="S63" s="117"/>
      <c r="T63" s="117">
        <v>0</v>
      </c>
      <c r="U63" s="117">
        <f>IF('Staging Table'!D65=1, 'Staging Table'!BU65*-1*'Staging Table'!BS65/'Staging Table'!BR65,SUM(O63:T63)*'Staging Table'!BU65*-1)</f>
        <v>0</v>
      </c>
      <c r="V63" s="115">
        <f>'Staging Table'!BX65*Rates_current!$I$44*-1</f>
        <v>0</v>
      </c>
      <c r="W63" s="115" t="str">
        <f>IF('Staging Table'!C65=1,"",SUM(O63:V63))</f>
        <v/>
      </c>
      <c r="X63" s="115" t="str">
        <f>IF('Staging Table'!C65=1,"",(RT1SC!$C$4*'Staging Table'!BS65*'Staging Table'!$BS$2))</f>
        <v/>
      </c>
      <c r="Y63" s="69" t="str">
        <f>IF('Staging Table'!C65=1,"",IF(X63=0, 0, W63/X63))</f>
        <v/>
      </c>
      <c r="Z63" s="64" t="str">
        <f ca="1">IF('Staging Table'!C65=1,"",(Y63/N63-1)+(RAND()/100000000000))</f>
        <v/>
      </c>
      <c r="AA63" s="45" t="str">
        <f t="shared" ca="1" si="4"/>
        <v/>
      </c>
      <c r="AD63" s="119"/>
      <c r="AE63" s="119"/>
      <c r="AG63" s="119"/>
      <c r="AH63" s="119"/>
    </row>
    <row r="64" spans="2:34">
      <c r="B64" s="2">
        <v>10183</v>
      </c>
      <c r="C64" s="3" t="s">
        <v>68</v>
      </c>
      <c r="D64" s="115">
        <f>IF(Init!$R$9="Yes",'Staging Table'!F66,'Staging Table'!BS66)*Rates_previous!$E$76*100*12</f>
        <v>22925668.132079996</v>
      </c>
      <c r="E64" s="115">
        <f>IF(Init!$R$9="Yes",'Staging Table'!F66,'Staging Table'!BS66)*Rates_previous!$E$77*100*12</f>
        <v>-4680480.8240400003</v>
      </c>
      <c r="F64" s="116"/>
      <c r="G64" s="116">
        <f>IF(Init!$R$9="Yes",SUMPRODUCT('Staging Table'!AJ66:AU66,LS_Demand_Rates_Restatement!$C$10:$N$10),SUMPRODUCT(LS_Demand_Rates_Restatement!$C$10:$N$10,'Staging Table'!CW66:DH66))*1000</f>
        <v>0</v>
      </c>
      <c r="H64" s="117"/>
      <c r="I64" s="115">
        <v>0</v>
      </c>
      <c r="J64" s="117">
        <f>IF(Init!$R$9="Yes",IF('Staging Table'!D66=1,'Staging Table'!H66*-1*'Staging Table'!F66/'Staging Table'!E66,'Staging Table'!H66*SUM(D64:I64)*(-1)),IF('Staging Table'!D66=1,'Staging Table'!BU66*-1*'Staging Table'!BS66/'Staging Table'!BR66,'Staging Table'!BU66*SUM(D64:I64)*(-1)))</f>
        <v>0</v>
      </c>
      <c r="K64" s="115">
        <f>IF(Init!$R$9="Yes",'Staging Table'!K66,'Staging Table'!BX66)*(-1)*Rates_previous!$H$32</f>
        <v>-1092291.84779</v>
      </c>
      <c r="L64" s="115">
        <f>IF('Staging Table'!C66=1,"",SUM(D64:K64))</f>
        <v>17152895.460249998</v>
      </c>
      <c r="M64" s="115">
        <f>IF('Staging Table'!C66=1,"",IF(Init!$R$9="Yes",(RT1SC!$C$3*'Staging Table'!F66*'Staging Table'!$F$2),X64))</f>
        <v>570990.23240666406</v>
      </c>
      <c r="N64" s="69">
        <f>IF('Staging Table'!C66=1,"",IF(M64=0, 0, L64/M64))</f>
        <v>30.040611006518166</v>
      </c>
      <c r="O64" s="115">
        <f>'Staging Table'!BS66*Rates_current!$F$77*100*12</f>
        <v>22840781.979599997</v>
      </c>
      <c r="P64" s="115">
        <f>'Staging Table'!BS66*Rates_current!$F$78*100*12</f>
        <v>-3658481.1468000002</v>
      </c>
      <c r="Q64" s="116"/>
      <c r="R64" s="116">
        <f>SUMPRODUCT('Staging Table'!CW66:DH66, LS_Demand_Rates_Restatement!$C$11:$N$11)*1000</f>
        <v>0</v>
      </c>
      <c r="S64" s="117"/>
      <c r="T64" s="117">
        <v>0</v>
      </c>
      <c r="U64" s="117">
        <f>IF('Staging Table'!D66=1, 'Staging Table'!BU66*-1*'Staging Table'!BS66/'Staging Table'!BR66,SUM(O64:T64)*'Staging Table'!BU66*-1)</f>
        <v>0</v>
      </c>
      <c r="V64" s="115">
        <f>'Staging Table'!BX66*Rates_current!$I$44*-1</f>
        <v>-1129110.6741200001</v>
      </c>
      <c r="W64" s="115">
        <f>IF('Staging Table'!C66=1,"",SUM(O64:V64))</f>
        <v>18053190.158679996</v>
      </c>
      <c r="X64" s="115">
        <f>IF('Staging Table'!C66=1,"",(RT1SC!$C$4*'Staging Table'!BS66*'Staging Table'!$BS$2))</f>
        <v>549269.37028108805</v>
      </c>
      <c r="Y64" s="69">
        <f>IF('Staging Table'!C66=1,"",IF(X64=0, 0, W64/X64))</f>
        <v>32.867644065863885</v>
      </c>
      <c r="Z64" s="64">
        <f ca="1">IF('Staging Table'!C66=1,"",(Y64/N64-1)+(RAND()/100000000000))</f>
        <v>9.4107042591637421E-2</v>
      </c>
      <c r="AA64" s="45">
        <f t="shared" ca="1" si="4"/>
        <v>57</v>
      </c>
      <c r="AD64" s="119"/>
      <c r="AE64" s="119"/>
      <c r="AG64" s="119"/>
      <c r="AH64" s="119"/>
    </row>
    <row r="65" spans="2:34">
      <c r="B65" s="2">
        <v>10186</v>
      </c>
      <c r="C65" s="3" t="s">
        <v>69</v>
      </c>
      <c r="D65" s="115">
        <f>IF(Init!$R$9="Yes",'Staging Table'!F67,'Staging Table'!BS67)*Rates_previous!$E$76*100*12</f>
        <v>6364352.2089599986</v>
      </c>
      <c r="E65" s="115">
        <f>IF(Init!$R$9="Yes",'Staging Table'!F67,'Staging Table'!BS67)*Rates_previous!$E$77*100*12</f>
        <v>-1299339.60048</v>
      </c>
      <c r="F65" s="116"/>
      <c r="G65" s="116">
        <f>IF(Init!$R$9="Yes",SUMPRODUCT('Staging Table'!AJ67:AU67,LS_Demand_Rates_Restatement!$C$10:$N$10),SUMPRODUCT(LS_Demand_Rates_Restatement!$C$10:$N$10,'Staging Table'!CW67:DH67))*1000</f>
        <v>325419.2650684563</v>
      </c>
      <c r="H65" s="117"/>
      <c r="I65" s="115">
        <v>0</v>
      </c>
      <c r="J65" s="117">
        <f>IF(Init!$R$9="Yes",IF('Staging Table'!D67=1,'Staging Table'!H67*-1*'Staging Table'!F67/'Staging Table'!E67,'Staging Table'!H67*SUM(D65:I65)*(-1)),IF('Staging Table'!D67=1,'Staging Table'!BU67*-1*'Staging Table'!BS67/'Staging Table'!BR67,'Staging Table'!BU67*SUM(D65:I65)*(-1)))</f>
        <v>-377330.2311483919</v>
      </c>
      <c r="K65" s="115">
        <f>IF(Init!$R$9="Yes",'Staging Table'!K67,'Staging Table'!BX67)*(-1)*Rates_previous!$H$32</f>
        <v>0</v>
      </c>
      <c r="L65" s="115">
        <f>IF('Staging Table'!C67=1,"",SUM(D65:K65))</f>
        <v>5013101.6424000636</v>
      </c>
      <c r="M65" s="115">
        <f>IF('Staging Table'!C67=1,"",IF(Init!$R$9="Yes",(RT1SC!$C$3*'Staging Table'!F67*'Staging Table'!$F$2),X65))</f>
        <v>158511.53937916798</v>
      </c>
      <c r="N65" s="69">
        <f>IF('Staging Table'!C67=1,"",IF(M65=0, 0, L65/M65))</f>
        <v>31.626099033764724</v>
      </c>
      <c r="O65" s="115">
        <f>'Staging Table'!BS67*Rates_current!$F$77*100*12</f>
        <v>6735899.2506000008</v>
      </c>
      <c r="P65" s="115">
        <f>'Staging Table'!BS67*Rates_current!$F$78*100*12</f>
        <v>-1078910.5398000001</v>
      </c>
      <c r="Q65" s="116"/>
      <c r="R65" s="116">
        <f>SUMPRODUCT('Staging Table'!CW67:DH67, LS_Demand_Rates_Restatement!$C$11:$N$11)*1000</f>
        <v>363808.38154387474</v>
      </c>
      <c r="S65" s="117"/>
      <c r="T65" s="117">
        <v>0</v>
      </c>
      <c r="U65" s="117">
        <f>IF('Staging Table'!D67=1, 'Staging Table'!BU67*-1*'Staging Table'!BS67/'Staging Table'!BR67,SUM(O65:T65)*'Staging Table'!BU67*-1)</f>
        <v>-421455.79646407132</v>
      </c>
      <c r="V65" s="115">
        <f>'Staging Table'!BX67*Rates_current!$I$44*-1</f>
        <v>0</v>
      </c>
      <c r="W65" s="115">
        <f>IF('Staging Table'!C67=1,"",SUM(O65:V65))</f>
        <v>5599341.2958798036</v>
      </c>
      <c r="X65" s="115">
        <f>IF('Staging Table'!C67=1,"",(RT1SC!$C$4*'Staging Table'!BS67*'Staging Table'!$BS$2))</f>
        <v>161983.20805996802</v>
      </c>
      <c r="Y65" s="69">
        <f>IF('Staging Table'!C67=1,"",IF(X65=0, 0, W65/X65))</f>
        <v>34.567418209218722</v>
      </c>
      <c r="Z65" s="64">
        <f ca="1">IF('Staging Table'!C67=1,"",(Y65/N65-1)+(RAND()/100000000000))</f>
        <v>9.3002907899127227E-2</v>
      </c>
      <c r="AA65" s="45">
        <f t="shared" ca="1" si="4"/>
        <v>75</v>
      </c>
      <c r="AD65" s="119"/>
      <c r="AE65" s="119"/>
      <c r="AG65" s="119"/>
      <c r="AH65" s="119"/>
    </row>
    <row r="66" spans="2:34">
      <c r="B66" s="2">
        <v>10190</v>
      </c>
      <c r="C66" s="3" t="s">
        <v>70</v>
      </c>
      <c r="D66" s="115">
        <f>IF(Init!$R$9="Yes",'Staging Table'!F68,'Staging Table'!BS68)*Rates_previous!$E$76*100*12</f>
        <v>1872337.2163199997</v>
      </c>
      <c r="E66" s="115">
        <f>IF(Init!$R$9="Yes",'Staging Table'!F68,'Staging Table'!BS68)*Rates_previous!$E$77*100*12</f>
        <v>-382254.44015999994</v>
      </c>
      <c r="F66" s="116"/>
      <c r="G66" s="116">
        <f>IF(Init!$R$9="Yes",SUMPRODUCT('Staging Table'!AJ68:AU68,LS_Demand_Rates_Restatement!$C$10:$N$10),SUMPRODUCT(LS_Demand_Rates_Restatement!$C$10:$N$10,'Staging Table'!CW68:DH68))*1000</f>
        <v>167171.56674409725</v>
      </c>
      <c r="H66" s="117"/>
      <c r="I66" s="115">
        <v>0</v>
      </c>
      <c r="J66" s="117">
        <f>IF(Init!$R$9="Yes",IF('Staging Table'!D68=1,'Staging Table'!H68*-1*'Staging Table'!F68/'Staging Table'!E68,'Staging Table'!H68*SUM(D66:I66)*(-1)),IF('Staging Table'!D68=1,'Staging Table'!BU68*-1*'Staging Table'!BS68/'Staging Table'!BR68,'Staging Table'!BU68*SUM(D66:I66)*(-1)))</f>
        <v>0</v>
      </c>
      <c r="K66" s="115">
        <f>IF(Init!$R$9="Yes",'Staging Table'!K68,'Staging Table'!BX68)*(-1)*Rates_previous!$H$32</f>
        <v>0</v>
      </c>
      <c r="L66" s="115">
        <f>IF('Staging Table'!C68=1,"",SUM(D66:K66))</f>
        <v>1657254.3429040969</v>
      </c>
      <c r="M66" s="115">
        <f>IF('Staging Table'!C68=1,"",IF(Init!$R$9="Yes",(RT1SC!$C$3*'Staging Table'!F68*'Staging Table'!$F$2),X66))</f>
        <v>46632.719977055996</v>
      </c>
      <c r="N66" s="69">
        <f>IF('Staging Table'!C68=1,"",IF(M66=0, 0, L66/M66))</f>
        <v>35.538444759805799</v>
      </c>
      <c r="O66" s="115">
        <f>'Staging Table'!BS68*Rates_current!$F$77*100*12</f>
        <v>1901974.0896000001</v>
      </c>
      <c r="P66" s="115">
        <f>'Staging Table'!BS68*Rates_current!$F$78*100*12</f>
        <v>-304645.27679999999</v>
      </c>
      <c r="Q66" s="116"/>
      <c r="R66" s="116">
        <f>SUMPRODUCT('Staging Table'!CW68:DH68, LS_Demand_Rates_Restatement!$C$11:$N$11)*1000</f>
        <v>182193.63029383909</v>
      </c>
      <c r="S66" s="117"/>
      <c r="T66" s="117">
        <v>0</v>
      </c>
      <c r="U66" s="117">
        <f>IF('Staging Table'!D68=1, 'Staging Table'!BU68*-1*'Staging Table'!BS68/'Staging Table'!BR68,SUM(O66:T66)*'Staging Table'!BU68*-1)</f>
        <v>0</v>
      </c>
      <c r="V66" s="115">
        <f>'Staging Table'!BX68*Rates_current!$I$44*-1</f>
        <v>0</v>
      </c>
      <c r="W66" s="115">
        <f>IF('Staging Table'!C68=1,"",SUM(O66:V66))</f>
        <v>1779522.4430938391</v>
      </c>
      <c r="X66" s="115">
        <f>IF('Staging Table'!C68=1,"",(RT1SC!$C$4*'Staging Table'!BS68*'Staging Table'!$BS$2))</f>
        <v>45738.193701887998</v>
      </c>
      <c r="Y66" s="69">
        <f>IF('Staging Table'!C68=1,"",IF(X66=0, 0, W66/X66))</f>
        <v>38.906705732464971</v>
      </c>
      <c r="Z66" s="64">
        <f ca="1">IF('Staging Table'!C68=1,"",(Y66/N66-1)+(RAND()/100000000000))</f>
        <v>9.4777950907860578E-2</v>
      </c>
      <c r="AA66" s="45">
        <f t="shared" ca="1" si="4"/>
        <v>49</v>
      </c>
      <c r="AD66" s="119"/>
      <c r="AE66" s="119"/>
      <c r="AG66" s="119"/>
      <c r="AH66" s="119"/>
    </row>
    <row r="67" spans="2:34">
      <c r="B67" s="2">
        <v>10191</v>
      </c>
      <c r="C67" s="3" t="s">
        <v>71</v>
      </c>
      <c r="D67" s="115">
        <f>IF(Init!$R$9="Yes",'Staging Table'!F69,'Staging Table'!BS69)*Rates_previous!$E$76*100*12</f>
        <v>43445647.00152</v>
      </c>
      <c r="E67" s="115">
        <f>IF(Init!$R$9="Yes",'Staging Table'!F69,'Staging Table'!BS69)*Rates_previous!$E$77*100*12</f>
        <v>-8869818.6027599983</v>
      </c>
      <c r="F67" s="116"/>
      <c r="G67" s="116">
        <f>IF(Init!$R$9="Yes",SUMPRODUCT('Staging Table'!AJ69:AU69,LS_Demand_Rates_Restatement!$C$10:$N$10),SUMPRODUCT(LS_Demand_Rates_Restatement!$C$10:$N$10,'Staging Table'!CW69:DH69))*1000</f>
        <v>2294759.9369259626</v>
      </c>
      <c r="H67" s="117"/>
      <c r="I67" s="115">
        <v>0</v>
      </c>
      <c r="J67" s="117">
        <f>IF(Init!$R$9="Yes",IF('Staging Table'!D69=1,'Staging Table'!H69*-1*'Staging Table'!F69/'Staging Table'!E69,'Staging Table'!H69*SUM(D67:I67)*(-1)),IF('Staging Table'!D69=1,'Staging Table'!BU69*-1*'Staging Table'!BS69/'Staging Table'!BR69,'Staging Table'!BU69*SUM(D67:I67)*(-1)))</f>
        <v>0</v>
      </c>
      <c r="K67" s="115">
        <f>IF(Init!$R$9="Yes",'Staging Table'!K69,'Staging Table'!BX69)*(-1)*Rates_previous!$H$32</f>
        <v>0</v>
      </c>
      <c r="L67" s="115">
        <f>IF('Staging Table'!C69=1,"",SUM(D67:K67))</f>
        <v>36870588.335685968</v>
      </c>
      <c r="M67" s="115">
        <f>IF('Staging Table'!C69=1,"",IF(Init!$R$9="Yes",(RT1SC!$C$3*'Staging Table'!F69*'Staging Table'!$F$2),X67))</f>
        <v>1082063.9963702159</v>
      </c>
      <c r="N67" s="69">
        <f>IF('Staging Table'!C69=1,"",IF(M67=0, 0, L67/M67))</f>
        <v>34.074313958664526</v>
      </c>
      <c r="O67" s="115">
        <f>'Staging Table'!BS69*Rates_current!$F$77*100*12</f>
        <v>46419666.649200007</v>
      </c>
      <c r="P67" s="115">
        <f>'Staging Table'!BS69*Rates_current!$F$78*100*12</f>
        <v>-7435186.5636000009</v>
      </c>
      <c r="Q67" s="116"/>
      <c r="R67" s="116">
        <f>SUMPRODUCT('Staging Table'!CW69:DH69, LS_Demand_Rates_Restatement!$C$11:$N$11)*1000</f>
        <v>2412319.0458835033</v>
      </c>
      <c r="S67" s="117"/>
      <c r="T67" s="117">
        <v>0</v>
      </c>
      <c r="U67" s="117">
        <f>IF('Staging Table'!D69=1, 'Staging Table'!BU69*-1*'Staging Table'!BS69/'Staging Table'!BR69,SUM(O67:T67)*'Staging Table'!BU69*-1)</f>
        <v>0</v>
      </c>
      <c r="V67" s="115">
        <f>'Staging Table'!BX69*Rates_current!$I$44*-1</f>
        <v>0</v>
      </c>
      <c r="W67" s="115">
        <f>IF('Staging Table'!C69=1,"",SUM(O67:V67))</f>
        <v>41396799.13148351</v>
      </c>
      <c r="X67" s="115">
        <f>IF('Staging Table'!C69=1,"",(RT1SC!$C$4*'Staging Table'!BS69*'Staging Table'!$BS$2))</f>
        <v>1116288.4480853761</v>
      </c>
      <c r="Y67" s="69">
        <f>IF('Staging Table'!C69=1,"",IF(X67=0, 0, W67/X67))</f>
        <v>37.084320994708882</v>
      </c>
      <c r="Z67" s="64">
        <f ca="1">IF('Staging Table'!C69=1,"",(Y67/N67-1)+(RAND()/100000000000))</f>
        <v>8.8336541121628392E-2</v>
      </c>
      <c r="AA67" s="45">
        <f t="shared" ca="1" si="4"/>
        <v>103</v>
      </c>
      <c r="AD67" s="119"/>
      <c r="AE67" s="119"/>
      <c r="AG67" s="119"/>
      <c r="AH67" s="119"/>
    </row>
    <row r="68" spans="2:34">
      <c r="B68" s="2">
        <v>10197</v>
      </c>
      <c r="C68" s="3" t="s">
        <v>72</v>
      </c>
      <c r="D68" s="115">
        <f>IF(Init!$R$9="Yes",'Staging Table'!F70,'Staging Table'!BS70)*Rates_previous!$E$76*100*12</f>
        <v>8205799.3487999998</v>
      </c>
      <c r="E68" s="115">
        <f>IF(Init!$R$9="Yes",'Staging Table'!F70,'Staging Table'!BS70)*Rates_previous!$E$77*100*12</f>
        <v>-1675287.5543999998</v>
      </c>
      <c r="F68" s="116"/>
      <c r="G68" s="116">
        <f>IF(Init!$R$9="Yes",SUMPRODUCT('Staging Table'!AJ70:AU70,LS_Demand_Rates_Restatement!$C$10:$N$10),SUMPRODUCT(LS_Demand_Rates_Restatement!$C$10:$N$10,'Staging Table'!CW70:DH70))*1000</f>
        <v>627924.96343832801</v>
      </c>
      <c r="H68" s="117"/>
      <c r="I68" s="115">
        <v>0</v>
      </c>
      <c r="J68" s="117">
        <f>IF(Init!$R$9="Yes",IF('Staging Table'!D70=1,'Staging Table'!H70*-1*'Staging Table'!F70/'Staging Table'!E70,'Staging Table'!H70*SUM(D68:I68)*(-1)),IF('Staging Table'!D70=1,'Staging Table'!BU70*-1*'Staging Table'!BS70/'Staging Table'!BR70,'Staging Table'!BU70*SUM(D68:I68)*(-1)))</f>
        <v>-621754.89202788286</v>
      </c>
      <c r="K68" s="115">
        <f>IF(Init!$R$9="Yes",'Staging Table'!K70,'Staging Table'!BX70)*(-1)*Rates_previous!$H$32</f>
        <v>-1155833.8018499999</v>
      </c>
      <c r="L68" s="115">
        <f>IF('Staging Table'!C70=1,"",SUM(D68:K68))</f>
        <v>5380848.063960446</v>
      </c>
      <c r="M68" s="115">
        <f>IF('Staging Table'!C70=1,"",IF(Init!$R$9="Yes",(RT1SC!$C$3*'Staging Table'!F70*'Staging Table'!$F$2),X68))</f>
        <v>204374.90633904</v>
      </c>
      <c r="N68" s="69">
        <f>IF('Staging Table'!C70=1,"",IF(M68=0, 0, L68/M68))</f>
        <v>26.328320635577892</v>
      </c>
      <c r="O68" s="115">
        <f>'Staging Table'!BS70*Rates_current!$F$77*100*12</f>
        <v>8336157.6792000001</v>
      </c>
      <c r="P68" s="115">
        <f>'Staging Table'!BS70*Rates_current!$F$78*100*12</f>
        <v>-1335229.0536</v>
      </c>
      <c r="Q68" s="116"/>
      <c r="R68" s="116">
        <f>SUMPRODUCT('Staging Table'!CW70:DH70, LS_Demand_Rates_Restatement!$C$11:$N$11)*1000</f>
        <v>696305.35517503566</v>
      </c>
      <c r="S68" s="117"/>
      <c r="T68" s="117">
        <v>0</v>
      </c>
      <c r="U68" s="117">
        <f>IF('Staging Table'!D70=1, 'Staging Table'!BU70*-1*'Staging Table'!BS70/'Staging Table'!BR70,SUM(O68:T68)*'Staging Table'!BU70*-1)</f>
        <v>-628160.08460569847</v>
      </c>
      <c r="V68" s="115">
        <f>'Staging Table'!BX70*Rates_current!$I$44*-1</f>
        <v>-1194794.4918</v>
      </c>
      <c r="W68" s="115">
        <f>IF('Staging Table'!C70=1,"",SUM(O68:V68))</f>
        <v>5874279.4043693375</v>
      </c>
      <c r="X68" s="115">
        <f>IF('Staging Table'!C70=1,"",(RT1SC!$C$4*'Staging Table'!BS70*'Staging Table'!$BS$2))</f>
        <v>200465.81956377599</v>
      </c>
      <c r="Y68" s="69">
        <f>IF('Staging Table'!C70=1,"",IF(X68=0, 0, W68/X68))</f>
        <v>29.303147125789692</v>
      </c>
      <c r="Z68" s="64">
        <f ca="1">IF('Staging Table'!C70=1,"",(Y68/N68-1)+(RAND()/100000000000))</f>
        <v>0.11298960277020723</v>
      </c>
      <c r="AA68" s="45">
        <f t="shared" ref="AA68:AA99" ca="1" si="5">IF(Z68="","",RANK(Z68,$Z$4:$Z$137))</f>
        <v>3</v>
      </c>
      <c r="AD68" s="119"/>
      <c r="AE68" s="119"/>
      <c r="AG68" s="119"/>
      <c r="AH68" s="119"/>
    </row>
    <row r="69" spans="2:34">
      <c r="B69" s="2">
        <v>10202</v>
      </c>
      <c r="C69" s="3" t="s">
        <v>73</v>
      </c>
      <c r="D69" s="115">
        <f>IF(Init!$R$9="Yes",'Staging Table'!F71,'Staging Table'!BS71)*Rates_previous!$E$76*100*12</f>
        <v>4724188.7932799999</v>
      </c>
      <c r="E69" s="115">
        <f>IF(Init!$R$9="Yes",'Staging Table'!F71,'Staging Table'!BS71)*Rates_previous!$E$77*100*12</f>
        <v>-964485.52463999984</v>
      </c>
      <c r="F69" s="116"/>
      <c r="G69" s="116">
        <f>IF(Init!$R$9="Yes",SUMPRODUCT('Staging Table'!AJ71:AU71,LS_Demand_Rates_Restatement!$C$10:$N$10),SUMPRODUCT(LS_Demand_Rates_Restatement!$C$10:$N$10,'Staging Table'!CW71:DH71))*1000</f>
        <v>320057.9370056623</v>
      </c>
      <c r="H69" s="117"/>
      <c r="I69" s="115">
        <v>0</v>
      </c>
      <c r="J69" s="117">
        <f>IF(Init!$R$9="Yes",IF('Staging Table'!D71=1,'Staging Table'!H71*-1*'Staging Table'!F71/'Staging Table'!E71,'Staging Table'!H71*SUM(D69:I69)*(-1)),IF('Staging Table'!D71=1,'Staging Table'!BU71*-1*'Staging Table'!BS71/'Staging Table'!BR71,'Staging Table'!BU71*SUM(D69:I69)*(-1)))</f>
        <v>0</v>
      </c>
      <c r="K69" s="115">
        <f>IF(Init!$R$9="Yes",'Staging Table'!K71,'Staging Table'!BX71)*(-1)*Rates_previous!$H$32</f>
        <v>0</v>
      </c>
      <c r="L69" s="115">
        <f>IF('Staging Table'!C71=1,"",SUM(D69:K69))</f>
        <v>4079761.2056456623</v>
      </c>
      <c r="M69" s="115">
        <f>IF('Staging Table'!C71=1,"",IF(Init!$R$9="Yes",(RT1SC!$C$3*'Staging Table'!F71*'Staging Table'!$F$2),X69))</f>
        <v>117661.37595062399</v>
      </c>
      <c r="N69" s="69">
        <f>IF('Staging Table'!C71=1,"",IF(M69=0, 0, L69/M69))</f>
        <v>34.673750605786843</v>
      </c>
      <c r="O69" s="115">
        <f>'Staging Table'!BS71*Rates_current!$F$77*100*12</f>
        <v>4798962.4020000007</v>
      </c>
      <c r="P69" s="115">
        <f>'Staging Table'!BS71*Rates_current!$F$78*100*12</f>
        <v>-768665.16599999997</v>
      </c>
      <c r="Q69" s="116"/>
      <c r="R69" s="116">
        <f>SUMPRODUCT('Staging Table'!CW71:DH71, LS_Demand_Rates_Restatement!$C$11:$N$11)*1000</f>
        <v>366885.53388638725</v>
      </c>
      <c r="S69" s="117"/>
      <c r="T69" s="117">
        <v>0</v>
      </c>
      <c r="U69" s="117">
        <f>IF('Staging Table'!D71=1, 'Staging Table'!BU71*-1*'Staging Table'!BS71/'Staging Table'!BR71,SUM(O69:T69)*'Staging Table'!BU71*-1)</f>
        <v>0</v>
      </c>
      <c r="V69" s="115">
        <f>'Staging Table'!BX71*Rates_current!$I$44*-1</f>
        <v>0</v>
      </c>
      <c r="W69" s="115">
        <f>IF('Staging Table'!C71=1,"",SUM(O69:V69))</f>
        <v>4397182.7698863875</v>
      </c>
      <c r="X69" s="115">
        <f>IF('Staging Table'!C71=1,"",(RT1SC!$C$4*'Staging Table'!BS71*'Staging Table'!$BS$2))</f>
        <v>115404.23873856002</v>
      </c>
      <c r="Y69" s="69">
        <f>IF('Staging Table'!C71=1,"",IF(X69=0, 0, W69/X69))</f>
        <v>38.10243729303469</v>
      </c>
      <c r="Z69" s="64">
        <f ca="1">IF('Staging Table'!C71=1,"",(Y69/N69-1)+(RAND()/100000000000))</f>
        <v>9.888421723544831E-2</v>
      </c>
      <c r="AA69" s="45">
        <f t="shared" ca="1" si="5"/>
        <v>22</v>
      </c>
      <c r="AD69" s="119"/>
      <c r="AE69" s="119"/>
      <c r="AG69" s="119"/>
      <c r="AH69" s="119"/>
    </row>
    <row r="70" spans="2:34">
      <c r="B70" s="2">
        <v>10203</v>
      </c>
      <c r="C70" s="3" t="s">
        <v>74</v>
      </c>
      <c r="D70" s="115">
        <f>IF(Init!$R$9="Yes",'Staging Table'!F72,'Staging Table'!BS72)*Rates_previous!$E$76*100*12</f>
        <v>2240776.1124</v>
      </c>
      <c r="E70" s="115">
        <f>IF(Init!$R$9="Yes",'Staging Table'!F72,'Staging Table'!BS72)*Rates_previous!$E$77*100*12</f>
        <v>-457474.54619999998</v>
      </c>
      <c r="F70" s="116"/>
      <c r="G70" s="116">
        <f>IF(Init!$R$9="Yes",SUMPRODUCT('Staging Table'!AJ72:AU72,LS_Demand_Rates_Restatement!$C$10:$N$10),SUMPRODUCT(LS_Demand_Rates_Restatement!$C$10:$N$10,'Staging Table'!CW72:DH72))*1000</f>
        <v>346406.8810511753</v>
      </c>
      <c r="H70" s="117"/>
      <c r="I70" s="115">
        <v>0</v>
      </c>
      <c r="J70" s="117">
        <f>IF(Init!$R$9="Yes",IF('Staging Table'!D72=1,'Staging Table'!H72*-1*'Staging Table'!F72/'Staging Table'!E72,'Staging Table'!H72*SUM(D70:I70)*(-1)),IF('Staging Table'!D72=1,'Staging Table'!BU72*-1*'Staging Table'!BS72/'Staging Table'!BR72,'Staging Table'!BU72*SUM(D70:I70)*(-1)))</f>
        <v>-161460.89971168863</v>
      </c>
      <c r="K70" s="115">
        <f>IF(Init!$R$9="Yes",'Staging Table'!K72,'Staging Table'!BX72)*(-1)*Rates_previous!$H$32</f>
        <v>0</v>
      </c>
      <c r="L70" s="115">
        <f>IF('Staging Table'!C72=1,"",SUM(D70:K70))</f>
        <v>1968247.547539487</v>
      </c>
      <c r="M70" s="115">
        <f>IF('Staging Table'!C72=1,"",IF(Init!$R$9="Yes",(RT1SC!$C$3*'Staging Table'!F72*'Staging Table'!$F$2),X70))</f>
        <v>55809.116044919996</v>
      </c>
      <c r="N70" s="69">
        <f>IF('Staging Table'!C72=1,"",IF(M70=0, 0, L70/M70))</f>
        <v>35.267491890666598</v>
      </c>
      <c r="O70" s="115">
        <f>'Staging Table'!BS72*Rates_current!$F$77*100*12</f>
        <v>2276464.0860000001</v>
      </c>
      <c r="P70" s="115">
        <f>'Staging Table'!BS72*Rates_current!$F$78*100*12</f>
        <v>-364628.538</v>
      </c>
      <c r="Q70" s="116"/>
      <c r="R70" s="116">
        <f>SUMPRODUCT('Staging Table'!CW72:DH72, LS_Demand_Rates_Restatement!$C$11:$N$11)*1000</f>
        <v>389174.45342178602</v>
      </c>
      <c r="S70" s="117"/>
      <c r="T70" s="117">
        <v>0</v>
      </c>
      <c r="U70" s="117">
        <f>IF('Staging Table'!D72=1, 'Staging Table'!BU72*-1*'Staging Table'!BS72/'Staging Table'!BR72,SUM(O70:T70)*'Staging Table'!BU72*-1)</f>
        <v>-214915.58608254761</v>
      </c>
      <c r="V70" s="115">
        <f>'Staging Table'!BX72*Rates_current!$I$44*-1</f>
        <v>0</v>
      </c>
      <c r="W70" s="115">
        <f>IF('Staging Table'!C72=1,"",SUM(O70:V70))</f>
        <v>2086094.4153392387</v>
      </c>
      <c r="X70" s="115">
        <f>IF('Staging Table'!C72=1,"",(RT1SC!$C$4*'Staging Table'!BS72*'Staging Table'!$BS$2))</f>
        <v>54743.834782080005</v>
      </c>
      <c r="Y70" s="69">
        <f>IF('Staging Table'!C72=1,"",IF(X70=0, 0, W70/X70))</f>
        <v>38.106472146925782</v>
      </c>
      <c r="Z70" s="64">
        <f ca="1">IF('Staging Table'!C72=1,"",(Y70/N70-1)+(RAND()/100000000000))</f>
        <v>8.0498501713769821E-2</v>
      </c>
      <c r="AA70" s="45">
        <f t="shared" ca="1" si="5"/>
        <v>113</v>
      </c>
      <c r="AD70" s="119"/>
      <c r="AE70" s="119"/>
      <c r="AG70" s="119"/>
      <c r="AH70" s="119"/>
    </row>
    <row r="71" spans="2:34">
      <c r="B71" s="2">
        <v>10204</v>
      </c>
      <c r="C71" s="3" t="s">
        <v>75</v>
      </c>
      <c r="D71" s="115">
        <f>IF(Init!$R$9="Yes",'Staging Table'!F73,'Staging Table'!BS73)*Rates_previous!$E$76*100*12</f>
        <v>15022790.823600002</v>
      </c>
      <c r="E71" s="115">
        <f>IF(Init!$R$9="Yes",'Staging Table'!F73,'Staging Table'!BS73)*Rates_previous!$E$77*100*12</f>
        <v>-3067037.5218000002</v>
      </c>
      <c r="F71" s="116"/>
      <c r="G71" s="116">
        <f>IF(Init!$R$9="Yes",SUMPRODUCT('Staging Table'!AJ73:AU73,LS_Demand_Rates_Restatement!$C$10:$N$10),SUMPRODUCT(LS_Demand_Rates_Restatement!$C$10:$N$10,'Staging Table'!CW73:DH73))*1000</f>
        <v>0</v>
      </c>
      <c r="H71" s="117"/>
      <c r="I71" s="115">
        <v>0</v>
      </c>
      <c r="J71" s="117">
        <f>IF(Init!$R$9="Yes",IF('Staging Table'!D73=1,'Staging Table'!H73*-1*'Staging Table'!F73/'Staging Table'!E73,'Staging Table'!H73*SUM(D71:I71)*(-1)),IF('Staging Table'!D73=1,'Staging Table'!BU73*-1*'Staging Table'!BS73/'Staging Table'!BR73,'Staging Table'!BU73*SUM(D71:I71)*(-1)))</f>
        <v>0</v>
      </c>
      <c r="K71" s="115">
        <f>IF(Init!$R$9="Yes",'Staging Table'!K73,'Staging Table'!BX73)*(-1)*Rates_previous!$H$32</f>
        <v>0</v>
      </c>
      <c r="L71" s="115">
        <f>IF('Staging Table'!C73=1,"",SUM(D71:K71))</f>
        <v>11955753.301800001</v>
      </c>
      <c r="M71" s="115">
        <f>IF('Staging Table'!C73=1,"",IF(Init!$R$9="Yes",(RT1SC!$C$3*'Staging Table'!F73*'Staging Table'!$F$2),X71))</f>
        <v>374159.94920388004</v>
      </c>
      <c r="N71" s="69">
        <f>IF('Staging Table'!C73=1,"",IF(M71=0, 0, L71/M71))</f>
        <v>31.953589172862813</v>
      </c>
      <c r="O71" s="115">
        <f>'Staging Table'!BS73*Rates_current!$F$77*100*12</f>
        <v>14945155.0638</v>
      </c>
      <c r="P71" s="115">
        <f>'Staging Table'!BS73*Rates_current!$F$78*100*12</f>
        <v>-2393813.3154000002</v>
      </c>
      <c r="Q71" s="116"/>
      <c r="R71" s="116">
        <f>SUMPRODUCT('Staging Table'!CW73:DH73, LS_Demand_Rates_Restatement!$C$11:$N$11)*1000</f>
        <v>0</v>
      </c>
      <c r="S71" s="117"/>
      <c r="T71" s="117">
        <v>0</v>
      </c>
      <c r="U71" s="117">
        <f>IF('Staging Table'!D73=1, 'Staging Table'!BU73*-1*'Staging Table'!BS73/'Staging Table'!BR73,SUM(O71:T71)*'Staging Table'!BU73*-1)</f>
        <v>0</v>
      </c>
      <c r="V71" s="115">
        <f>'Staging Table'!BX73*Rates_current!$I$44*-1</f>
        <v>0</v>
      </c>
      <c r="W71" s="115">
        <f>IF('Staging Table'!C73=1,"",SUM(O71:V71))</f>
        <v>12551341.748399999</v>
      </c>
      <c r="X71" s="115">
        <f>IF('Staging Table'!C73=1,"",(RT1SC!$C$4*'Staging Table'!BS73*'Staging Table'!$BS$2))</f>
        <v>359397.32352326403</v>
      </c>
      <c r="Y71" s="69">
        <f>IF('Staging Table'!C73=1,"",IF(X71=0, 0, W71/X71))</f>
        <v>34.923303338366523</v>
      </c>
      <c r="Z71" s="64">
        <f ca="1">IF('Staging Table'!C73=1,"",(Y71/N71-1)+(RAND()/100000000000))</f>
        <v>9.2938359742173196E-2</v>
      </c>
      <c r="AA71" s="45">
        <f t="shared" ca="1" si="5"/>
        <v>80</v>
      </c>
      <c r="AD71" s="119"/>
      <c r="AE71" s="119"/>
      <c r="AG71" s="119"/>
      <c r="AH71" s="119"/>
    </row>
    <row r="72" spans="2:34">
      <c r="B72" s="2">
        <v>10209</v>
      </c>
      <c r="C72" s="3" t="s">
        <v>76</v>
      </c>
      <c r="D72" s="115">
        <f>IF(Init!$R$9="Yes",'Staging Table'!F74,'Staging Table'!BS74)*Rates_previous!$E$76*100*12</f>
        <v>37827888.012000002</v>
      </c>
      <c r="E72" s="115">
        <f>IF(Init!$R$9="Yes",'Staging Table'!F74,'Staging Table'!BS74)*Rates_previous!$E$77*100*12</f>
        <v>-7722902.7060000002</v>
      </c>
      <c r="F72" s="116"/>
      <c r="G72" s="116">
        <f>IF(Init!$R$9="Yes",SUMPRODUCT('Staging Table'!AJ74:AU74,LS_Demand_Rates_Restatement!$C$10:$N$10),SUMPRODUCT(LS_Demand_Rates_Restatement!$C$10:$N$10,'Staging Table'!CW74:DH74))*1000</f>
        <v>0</v>
      </c>
      <c r="H72" s="117"/>
      <c r="I72" s="115">
        <v>0</v>
      </c>
      <c r="J72" s="117">
        <f>IF(Init!$R$9="Yes",IF('Staging Table'!D74=1,'Staging Table'!H74*-1*'Staging Table'!F74/'Staging Table'!E74,'Staging Table'!H74*SUM(D72:I72)*(-1)),IF('Staging Table'!D74=1,'Staging Table'!BU74*-1*'Staging Table'!BS74/'Staging Table'!BR74,'Staging Table'!BU74*SUM(D72:I72)*(-1)))</f>
        <v>-2569483.0265310961</v>
      </c>
      <c r="K72" s="115">
        <f>IF(Init!$R$9="Yes",'Staging Table'!K74,'Staging Table'!BX74)*(-1)*Rates_previous!$H$32</f>
        <v>-695503.95056999999</v>
      </c>
      <c r="L72" s="115" t="str">
        <f>IF('Staging Table'!C74=1,"",SUM(D72:K72))</f>
        <v/>
      </c>
      <c r="M72" s="115" t="str">
        <f>IF('Staging Table'!C74=1,"",IF(Init!$R$9="Yes",(RT1SC!$C$3*'Staging Table'!F74*'Staging Table'!$F$2),X72))</f>
        <v/>
      </c>
      <c r="N72" s="69" t="str">
        <f>IF('Staging Table'!C74=1,"",IF(M72=0, 0, L72/M72))</f>
        <v/>
      </c>
      <c r="O72" s="115">
        <f>'Staging Table'!BS74*Rates_current!$F$77*100*12</f>
        <v>38429251.808999993</v>
      </c>
      <c r="P72" s="115">
        <f>'Staging Table'!BS74*Rates_current!$F$78*100*12</f>
        <v>-6155336.2469999995</v>
      </c>
      <c r="Q72" s="116"/>
      <c r="R72" s="116">
        <f>SUMPRODUCT('Staging Table'!CW74:DH74, LS_Demand_Rates_Restatement!$C$11:$N$11)*1000</f>
        <v>0</v>
      </c>
      <c r="S72" s="117"/>
      <c r="T72" s="117">
        <v>0</v>
      </c>
      <c r="U72" s="117">
        <f>IF('Staging Table'!D74=1, 'Staging Table'!BU74*-1*'Staging Table'!BS74/'Staging Table'!BR74,SUM(O72:T72)*'Staging Table'!BU74*-1)</f>
        <v>-3018977.8401318202</v>
      </c>
      <c r="V72" s="115">
        <f>'Staging Table'!BX74*Rates_current!$I$44*-1</f>
        <v>-718947.90396000003</v>
      </c>
      <c r="W72" s="115" t="str">
        <f>IF('Staging Table'!C74=1,"",SUM(O72:V72))</f>
        <v/>
      </c>
      <c r="X72" s="115" t="str">
        <f>IF('Staging Table'!C74=1,"",(RT1SC!$C$4*'Staging Table'!BS74*'Staging Table'!$BS$2))</f>
        <v/>
      </c>
      <c r="Y72" s="69" t="str">
        <f>IF('Staging Table'!C74=1,"",IF(X72=0, 0, W72/X72))</f>
        <v/>
      </c>
      <c r="Z72" s="64" t="str">
        <f ca="1">IF('Staging Table'!C74=1,"",(Y72/N72-1)+(RAND()/100000000000))</f>
        <v/>
      </c>
      <c r="AA72" s="45" t="str">
        <f t="shared" ca="1" si="5"/>
        <v/>
      </c>
      <c r="AD72" s="119"/>
      <c r="AE72" s="119"/>
      <c r="AG72" s="119"/>
      <c r="AH72" s="119"/>
    </row>
    <row r="73" spans="2:34">
      <c r="B73" s="2">
        <v>10230</v>
      </c>
      <c r="C73" s="3" t="s">
        <v>77</v>
      </c>
      <c r="D73" s="115">
        <f>IF(Init!$R$9="Yes",'Staging Table'!F75,'Staging Table'!BS75)*Rates_previous!$E$76*100*12</f>
        <v>3499048.5019199997</v>
      </c>
      <c r="E73" s="115">
        <f>IF(Init!$R$9="Yes",'Staging Table'!F75,'Staging Table'!BS75)*Rates_previous!$E$77*100*12</f>
        <v>-714362.14295999985</v>
      </c>
      <c r="F73" s="116"/>
      <c r="G73" s="116">
        <f>IF(Init!$R$9="Yes",SUMPRODUCT('Staging Table'!AJ75:AU75,LS_Demand_Rates_Restatement!$C$10:$N$10),SUMPRODUCT(LS_Demand_Rates_Restatement!$C$10:$N$10,'Staging Table'!CW75:DH75))*1000</f>
        <v>504708.26914284198</v>
      </c>
      <c r="H73" s="117"/>
      <c r="I73" s="115">
        <v>0</v>
      </c>
      <c r="J73" s="117">
        <f>IF(Init!$R$9="Yes",IF('Staging Table'!D75=1,'Staging Table'!H75*-1*'Staging Table'!F75/'Staging Table'!E75,'Staging Table'!H75*SUM(D73:I73)*(-1)),IF('Staging Table'!D75=1,'Staging Table'!BU75*-1*'Staging Table'!BS75/'Staging Table'!BR75,'Staging Table'!BU75*SUM(D73:I73)*(-1)))</f>
        <v>-292817.82771668729</v>
      </c>
      <c r="K73" s="115">
        <f>IF(Init!$R$9="Yes",'Staging Table'!K75,'Staging Table'!BX75)*(-1)*Rates_previous!$H$32</f>
        <v>0</v>
      </c>
      <c r="L73" s="115">
        <f>IF('Staging Table'!C75=1,"",SUM(D73:K73))</f>
        <v>2996576.8003861546</v>
      </c>
      <c r="M73" s="115">
        <f>IF('Staging Table'!C75=1,"",IF(Init!$R$9="Yes",(RT1SC!$C$3*'Staging Table'!F75*'Staging Table'!$F$2),X73))</f>
        <v>87147.842575535993</v>
      </c>
      <c r="N73" s="69">
        <f>IF('Staging Table'!C75=1,"",IF(M73=0, 0, L73/M73))</f>
        <v>34.384979729003057</v>
      </c>
      <c r="O73" s="115">
        <f>'Staging Table'!BS75*Rates_current!$F$77*100*12</f>
        <v>3554547.165</v>
      </c>
      <c r="P73" s="115">
        <f>'Staging Table'!BS75*Rates_current!$F$78*100*12</f>
        <v>-569343.19500000007</v>
      </c>
      <c r="Q73" s="116"/>
      <c r="R73" s="116">
        <f>SUMPRODUCT('Staging Table'!CW75:DH75, LS_Demand_Rates_Restatement!$C$11:$N$11)*1000</f>
        <v>553594.6456198541</v>
      </c>
      <c r="S73" s="117"/>
      <c r="T73" s="117">
        <v>0</v>
      </c>
      <c r="U73" s="117">
        <f>IF('Staging Table'!D75=1, 'Staging Table'!BU75*-1*'Staging Table'!BS75/'Staging Table'!BR75,SUM(O73:T73)*'Staging Table'!BU75*-1)</f>
        <v>-345781.74995235325</v>
      </c>
      <c r="V73" s="115">
        <f>'Staging Table'!BX75*Rates_current!$I$44*-1</f>
        <v>0</v>
      </c>
      <c r="W73" s="115">
        <f>IF('Staging Table'!C75=1,"",SUM(O73:V73))</f>
        <v>3193016.865667501</v>
      </c>
      <c r="X73" s="115">
        <f>IF('Staging Table'!C75=1,"",(RT1SC!$C$4*'Staging Table'!BS75*'Staging Table'!$BS$2))</f>
        <v>85478.854651200003</v>
      </c>
      <c r="Y73" s="69">
        <f>IF('Staging Table'!C75=1,"",IF(X73=0, 0, W73/X73))</f>
        <v>37.354464781924584</v>
      </c>
      <c r="Z73" s="64">
        <f ca="1">IF('Staging Table'!C75=1,"",(Y73/N73-1)+(RAND()/100000000000))</f>
        <v>8.6359947754734948E-2</v>
      </c>
      <c r="AA73" s="45">
        <f t="shared" ca="1" si="5"/>
        <v>108</v>
      </c>
      <c r="AD73" s="119"/>
      <c r="AE73" s="119"/>
      <c r="AG73" s="119"/>
      <c r="AH73" s="119"/>
    </row>
    <row r="74" spans="2:34">
      <c r="B74" s="2">
        <v>10231</v>
      </c>
      <c r="C74" s="3" t="s">
        <v>78</v>
      </c>
      <c r="D74" s="115">
        <f>IF(Init!$R$9="Yes",'Staging Table'!F76,'Staging Table'!BS76)*Rates_previous!$E$76*100*12</f>
        <v>13220703.61992</v>
      </c>
      <c r="E74" s="115">
        <f>IF(Init!$R$9="Yes",'Staging Table'!F76,'Staging Table'!BS76)*Rates_previous!$E$77*100*12</f>
        <v>-2699125.2519600005</v>
      </c>
      <c r="F74" s="116"/>
      <c r="G74" s="116">
        <f>IF(Init!$R$9="Yes",SUMPRODUCT('Staging Table'!AJ76:AU76,LS_Demand_Rates_Restatement!$C$10:$N$10),SUMPRODUCT(LS_Demand_Rates_Restatement!$C$10:$N$10,'Staging Table'!CW76:DH76))*1000</f>
        <v>392349.51214946591</v>
      </c>
      <c r="H74" s="117"/>
      <c r="I74" s="115">
        <v>0</v>
      </c>
      <c r="J74" s="117">
        <f>IF(Init!$R$9="Yes",IF('Staging Table'!D76=1,'Staging Table'!H76*-1*'Staging Table'!F76/'Staging Table'!E76,'Staging Table'!H76*SUM(D74:I74)*(-1)),IF('Staging Table'!D76=1,'Staging Table'!BU76*-1*'Staging Table'!BS76/'Staging Table'!BR76,'Staging Table'!BU76*SUM(D74:I74)*(-1)))</f>
        <v>-1185381.3592144866</v>
      </c>
      <c r="K74" s="115">
        <f>IF(Init!$R$9="Yes",'Staging Table'!K76,'Staging Table'!BX76)*(-1)*Rates_previous!$H$32</f>
        <v>-250290.67452999999</v>
      </c>
      <c r="L74" s="115">
        <f>IF('Staging Table'!C76=1,"",SUM(D74:K74))</f>
        <v>9478255.8463649806</v>
      </c>
      <c r="M74" s="115">
        <f>IF('Staging Table'!C76=1,"",IF(Init!$R$9="Yes",(RT1SC!$C$3*'Staging Table'!F76*'Staging Table'!$F$2),X74))</f>
        <v>329276.88689493603</v>
      </c>
      <c r="N74" s="69">
        <f>IF('Staging Table'!C76=1,"",IF(M74=0, 0, L74/M74))</f>
        <v>28.785062734722871</v>
      </c>
      <c r="O74" s="115">
        <f>'Staging Table'!BS76*Rates_current!$F$77*100*12</f>
        <v>13430879.123999998</v>
      </c>
      <c r="P74" s="115">
        <f>'Staging Table'!BS76*Rates_current!$F$78*100*12</f>
        <v>-2151266.892</v>
      </c>
      <c r="Q74" s="116"/>
      <c r="R74" s="116">
        <f>SUMPRODUCT('Staging Table'!CW76:DH76, LS_Demand_Rates_Restatement!$C$11:$N$11)*1000</f>
        <v>346061.0260248399</v>
      </c>
      <c r="S74" s="117"/>
      <c r="T74" s="117">
        <v>0</v>
      </c>
      <c r="U74" s="117">
        <f>IF('Staging Table'!D76=1, 'Staging Table'!BU76*-1*'Staging Table'!BS76/'Staging Table'!BR76,SUM(O74:T74)*'Staging Table'!BU76*-1)</f>
        <v>-1113977.2458170857</v>
      </c>
      <c r="V74" s="115">
        <f>'Staging Table'!BX76*Rates_current!$I$44*-1</f>
        <v>-258727.43884000002</v>
      </c>
      <c r="W74" s="115">
        <f>IF('Staging Table'!C76=1,"",SUM(O74:V74))</f>
        <v>10252968.573367752</v>
      </c>
      <c r="X74" s="115">
        <f>IF('Staging Table'!C76=1,"",(RT1SC!$C$4*'Staging Table'!BS76*'Staging Table'!$BS$2))</f>
        <v>322982.39724672004</v>
      </c>
      <c r="Y74" s="69">
        <f>IF('Staging Table'!C76=1,"",IF(X74=0, 0, W74/X74))</f>
        <v>31.744666770603313</v>
      </c>
      <c r="Z74" s="64">
        <f ca="1">IF('Staging Table'!C76=1,"",(Y74/N74-1)+(RAND()/100000000000))</f>
        <v>0.10281735576691539</v>
      </c>
      <c r="AA74" s="45">
        <f t="shared" ca="1" si="5"/>
        <v>8</v>
      </c>
      <c r="AD74" s="119"/>
      <c r="AE74" s="119"/>
      <c r="AG74" s="119"/>
      <c r="AH74" s="119"/>
    </row>
    <row r="75" spans="2:34">
      <c r="B75" s="2">
        <v>10234</v>
      </c>
      <c r="C75" s="3" t="s">
        <v>79</v>
      </c>
      <c r="D75" s="115">
        <f>IF(Init!$R$9="Yes",'Staging Table'!F77,'Staging Table'!BS77)*Rates_previous!$E$76*100*12</f>
        <v>18392549.408640001</v>
      </c>
      <c r="E75" s="115">
        <f>IF(Init!$R$9="Yes",'Staging Table'!F77,'Staging Table'!BS77)*Rates_previous!$E$77*100*12</f>
        <v>-3755003.96832</v>
      </c>
      <c r="F75" s="116"/>
      <c r="G75" s="116">
        <f>IF(Init!$R$9="Yes",SUMPRODUCT('Staging Table'!AJ77:AU77,LS_Demand_Rates_Restatement!$C$10:$N$10),SUMPRODUCT(LS_Demand_Rates_Restatement!$C$10:$N$10,'Staging Table'!CW77:DH77))*1000</f>
        <v>0</v>
      </c>
      <c r="H75" s="117"/>
      <c r="I75" s="115">
        <v>0</v>
      </c>
      <c r="J75" s="117">
        <f>IF(Init!$R$9="Yes",IF('Staging Table'!D77=1,'Staging Table'!H77*-1*'Staging Table'!F77/'Staging Table'!E77,'Staging Table'!H77*SUM(D75:I75)*(-1)),IF('Staging Table'!D77=1,'Staging Table'!BU77*-1*'Staging Table'!BS77/'Staging Table'!BR77,'Staging Table'!BU77*SUM(D75:I75)*(-1)))</f>
        <v>0</v>
      </c>
      <c r="K75" s="115">
        <f>IF(Init!$R$9="Yes",'Staging Table'!K77,'Staging Table'!BX77)*(-1)*Rates_previous!$H$32</f>
        <v>0</v>
      </c>
      <c r="L75" s="115" t="str">
        <f>IF('Staging Table'!C77=1,"",SUM(D75:K75))</f>
        <v/>
      </c>
      <c r="M75" s="115" t="str">
        <f>IF('Staging Table'!C77=1,"",IF(Init!$R$9="Yes",(RT1SC!$C$3*'Staging Table'!F77*'Staging Table'!$F$2),X75))</f>
        <v/>
      </c>
      <c r="N75" s="69" t="str">
        <f>IF('Staging Table'!C77=1,"",IF(M75=0, 0, L75/M75))</f>
        <v/>
      </c>
      <c r="O75" s="115">
        <f>'Staging Table'!BS77*Rates_current!$F$77*100*12</f>
        <v>18684875.3598</v>
      </c>
      <c r="P75" s="115">
        <f>'Staging Table'!BS77*Rates_current!$F$78*100*12</f>
        <v>-2992816.2834000001</v>
      </c>
      <c r="Q75" s="116"/>
      <c r="R75" s="116">
        <f>SUMPRODUCT('Staging Table'!CW77:DH77, LS_Demand_Rates_Restatement!$C$11:$N$11)*1000</f>
        <v>0</v>
      </c>
      <c r="S75" s="117"/>
      <c r="T75" s="117">
        <v>0</v>
      </c>
      <c r="U75" s="117">
        <f>IF('Staging Table'!D77=1, 'Staging Table'!BU77*-1*'Staging Table'!BS77/'Staging Table'!BR77,SUM(O75:T75)*'Staging Table'!BU77*-1)</f>
        <v>0</v>
      </c>
      <c r="V75" s="115">
        <f>'Staging Table'!BX77*Rates_current!$I$44*-1</f>
        <v>0</v>
      </c>
      <c r="W75" s="115" t="str">
        <f>IF('Staging Table'!C77=1,"",SUM(O75:V75))</f>
        <v/>
      </c>
      <c r="X75" s="115" t="str">
        <f>IF('Staging Table'!C77=1,"",(RT1SC!$C$4*'Staging Table'!BS77*'Staging Table'!$BS$2))</f>
        <v/>
      </c>
      <c r="Y75" s="69" t="str">
        <f>IF('Staging Table'!C77=1,"",IF(X75=0, 0, W75/X75))</f>
        <v/>
      </c>
      <c r="Z75" s="64" t="str">
        <f ca="1">IF('Staging Table'!C77=1,"",(Y75/N75-1)+(RAND()/100000000000))</f>
        <v/>
      </c>
      <c r="AA75" s="45" t="str">
        <f t="shared" ca="1" si="5"/>
        <v/>
      </c>
      <c r="AD75" s="119"/>
      <c r="AE75" s="119"/>
      <c r="AG75" s="119"/>
      <c r="AH75" s="119"/>
    </row>
    <row r="76" spans="2:34">
      <c r="B76" s="2">
        <v>10235</v>
      </c>
      <c r="C76" s="3" t="s">
        <v>80</v>
      </c>
      <c r="D76" s="115">
        <f>IF(Init!$R$9="Yes",'Staging Table'!F78,'Staging Table'!BS78)*Rates_previous!$E$76*100*12</f>
        <v>10904446.110959999</v>
      </c>
      <c r="E76" s="115">
        <f>IF(Init!$R$9="Yes",'Staging Table'!F78,'Staging Table'!BS78)*Rates_previous!$E$77*100*12</f>
        <v>-2226240.5014800001</v>
      </c>
      <c r="F76" s="116"/>
      <c r="G76" s="116">
        <f>IF(Init!$R$9="Yes",SUMPRODUCT('Staging Table'!AJ78:AU78,LS_Demand_Rates_Restatement!$C$10:$N$10),SUMPRODUCT(LS_Demand_Rates_Restatement!$C$10:$N$10,'Staging Table'!CW78:DH78))*1000</f>
        <v>492368.29885555565</v>
      </c>
      <c r="H76" s="117"/>
      <c r="I76" s="115">
        <v>0</v>
      </c>
      <c r="J76" s="117">
        <f>IF(Init!$R$9="Yes",IF('Staging Table'!D78=1,'Staging Table'!H78*-1*'Staging Table'!F78/'Staging Table'!E78,'Staging Table'!H78*SUM(D76:I76)*(-1)),IF('Staging Table'!D78=1,'Staging Table'!BU78*-1*'Staging Table'!BS78/'Staging Table'!BR78,'Staging Table'!BU78*SUM(D76:I76)*(-1)))</f>
        <v>0</v>
      </c>
      <c r="K76" s="115">
        <f>IF(Init!$R$9="Yes",'Staging Table'!K78,'Staging Table'!BX78)*(-1)*Rates_previous!$H$32</f>
        <v>0</v>
      </c>
      <c r="L76" s="115">
        <f>IF('Staging Table'!C78=1,"",SUM(D76:K76))</f>
        <v>9170573.9083355553</v>
      </c>
      <c r="M76" s="115">
        <f>IF('Staging Table'!C78=1,"",IF(Init!$R$9="Yes",(RT1SC!$C$3*'Staging Table'!F78*'Staging Table'!$F$2),X76))</f>
        <v>271587.81952576799</v>
      </c>
      <c r="N76" s="69">
        <f>IF('Staging Table'!C78=1,"",IF(M76=0, 0, L76/M76))</f>
        <v>33.766513992964477</v>
      </c>
      <c r="O76" s="115">
        <f>'Staging Table'!BS78*Rates_current!$F$77*100*12</f>
        <v>11107798.025999999</v>
      </c>
      <c r="P76" s="115">
        <f>'Staging Table'!BS78*Rates_current!$F$78*100*12</f>
        <v>-1779171.558</v>
      </c>
      <c r="Q76" s="116"/>
      <c r="R76" s="116">
        <f>SUMPRODUCT('Staging Table'!CW78:DH78, LS_Demand_Rates_Restatement!$C$11:$N$11)*1000</f>
        <v>540634.59428197134</v>
      </c>
      <c r="S76" s="117"/>
      <c r="T76" s="117">
        <v>0</v>
      </c>
      <c r="U76" s="117">
        <f>IF('Staging Table'!D78=1, 'Staging Table'!BU78*-1*'Staging Table'!BS78/'Staging Table'!BR78,SUM(O76:T76)*'Staging Table'!BU78*-1)</f>
        <v>0</v>
      </c>
      <c r="V76" s="115">
        <f>'Staging Table'!BX78*Rates_current!$I$44*-1</f>
        <v>0</v>
      </c>
      <c r="W76" s="115">
        <f>IF('Staging Table'!C78=1,"",SUM(O76:V76))</f>
        <v>9869261.0622819699</v>
      </c>
      <c r="X76" s="115">
        <f>IF('Staging Table'!C78=1,"",(RT1SC!$C$4*'Staging Table'!BS78*'Staging Table'!$BS$2))</f>
        <v>267117.52830528008</v>
      </c>
      <c r="Y76" s="69">
        <f>IF('Staging Table'!C78=1,"",IF(X76=0, 0, W76/X76))</f>
        <v>36.947261098503077</v>
      </c>
      <c r="Z76" s="64">
        <f ca="1">IF('Staging Table'!C78=1,"",(Y76/N76-1)+(RAND()/100000000000))</f>
        <v>9.4198267142703532E-2</v>
      </c>
      <c r="AA76" s="45">
        <f t="shared" ca="1" si="5"/>
        <v>56</v>
      </c>
      <c r="AD76" s="119"/>
      <c r="AE76" s="119"/>
      <c r="AG76" s="119"/>
      <c r="AH76" s="119"/>
    </row>
    <row r="77" spans="2:34">
      <c r="B77" s="2">
        <v>10236</v>
      </c>
      <c r="C77" s="3" t="s">
        <v>81</v>
      </c>
      <c r="D77" s="115">
        <f>IF(Init!$R$9="Yes",'Staging Table'!F79,'Staging Table'!BS79)*Rates_previous!$E$76*100*12</f>
        <v>10124222.566320002</v>
      </c>
      <c r="E77" s="115">
        <f>IF(Init!$R$9="Yes",'Staging Table'!F79,'Staging Table'!BS79)*Rates_previous!$E$77*100*12</f>
        <v>-2066950.86516</v>
      </c>
      <c r="F77" s="116"/>
      <c r="G77" s="116">
        <f>IF(Init!$R$9="Yes",SUMPRODUCT('Staging Table'!AJ79:AU79,LS_Demand_Rates_Restatement!$C$10:$N$10),SUMPRODUCT(LS_Demand_Rates_Restatement!$C$10:$N$10,'Staging Table'!CW79:DH79))*1000</f>
        <v>0</v>
      </c>
      <c r="H77" s="117"/>
      <c r="I77" s="115">
        <v>0</v>
      </c>
      <c r="J77" s="117">
        <f>IF(Init!$R$9="Yes",IF('Staging Table'!D79=1,'Staging Table'!H79*-1*'Staging Table'!F79/'Staging Table'!E79,'Staging Table'!H79*SUM(D77:I77)*(-1)),IF('Staging Table'!D79=1,'Staging Table'!BU79*-1*'Staging Table'!BS79/'Staging Table'!BR79,'Staging Table'!BU79*SUM(D77:I77)*(-1)))</f>
        <v>-523722.66057540016</v>
      </c>
      <c r="K77" s="115">
        <f>IF(Init!$R$9="Yes",'Staging Table'!K79,'Staging Table'!BX79)*(-1)*Rates_previous!$H$32</f>
        <v>0</v>
      </c>
      <c r="L77" s="115" t="str">
        <f>IF('Staging Table'!C79=1,"",SUM(D77:K77))</f>
        <v/>
      </c>
      <c r="M77" s="115" t="str">
        <f>IF('Staging Table'!C79=1,"",IF(Init!$R$9="Yes",(RT1SC!$C$3*'Staging Table'!F79*'Staging Table'!$F$2),X77))</f>
        <v/>
      </c>
      <c r="N77" s="69" t="str">
        <f>IF('Staging Table'!C79=1,"",IF(M77=0, 0, L77/M77))</f>
        <v/>
      </c>
      <c r="O77" s="115">
        <f>'Staging Table'!BS79*Rates_current!$F$77*100*12</f>
        <v>10662605.561400002</v>
      </c>
      <c r="P77" s="115">
        <f>'Staging Table'!BS79*Rates_current!$F$78*100*12</f>
        <v>-1707863.6562000001</v>
      </c>
      <c r="Q77" s="116"/>
      <c r="R77" s="116">
        <f>SUMPRODUCT('Staging Table'!CW79:DH79, LS_Demand_Rates_Restatement!$C$11:$N$11)*1000</f>
        <v>0</v>
      </c>
      <c r="S77" s="117"/>
      <c r="T77" s="117">
        <v>0</v>
      </c>
      <c r="U77" s="117">
        <f>IF('Staging Table'!D79=1, 'Staging Table'!BU79*-1*'Staging Table'!BS79/'Staging Table'!BR79,SUM(O77:T77)*'Staging Table'!BU79*-1)</f>
        <v>-588839.05996689072</v>
      </c>
      <c r="V77" s="115">
        <f>'Staging Table'!BX79*Rates_current!$I$44*-1</f>
        <v>0</v>
      </c>
      <c r="W77" s="115" t="str">
        <f>IF('Staging Table'!C79=1,"",SUM(O77:V77))</f>
        <v/>
      </c>
      <c r="X77" s="115" t="str">
        <f>IF('Staging Table'!C79=1,"",(RT1SC!$C$4*'Staging Table'!BS79*'Staging Table'!$BS$2))</f>
        <v/>
      </c>
      <c r="Y77" s="69" t="str">
        <f>IF('Staging Table'!C79=1,"",IF(X77=0, 0, W77/X77))</f>
        <v/>
      </c>
      <c r="Z77" s="64" t="str">
        <f ca="1">IF('Staging Table'!C79=1,"",(Y77/N77-1)+(RAND()/100000000000))</f>
        <v/>
      </c>
      <c r="AA77" s="45" t="str">
        <f t="shared" ca="1" si="5"/>
        <v/>
      </c>
      <c r="AD77" s="119"/>
      <c r="AE77" s="119"/>
      <c r="AG77" s="119"/>
      <c r="AH77" s="119"/>
    </row>
    <row r="78" spans="2:34">
      <c r="B78" s="2">
        <v>10237</v>
      </c>
      <c r="C78" s="3" t="s">
        <v>82</v>
      </c>
      <c r="D78" s="115">
        <f>IF(Init!$R$9="Yes",'Staging Table'!F80,'Staging Table'!BS80)*Rates_previous!$E$76*100*12</f>
        <v>17100397.580399998</v>
      </c>
      <c r="E78" s="115">
        <f>IF(Init!$R$9="Yes",'Staging Table'!F80,'Staging Table'!BS80)*Rates_previous!$E$77*100*12</f>
        <v>-3491199.5801999993</v>
      </c>
      <c r="F78" s="116"/>
      <c r="G78" s="116">
        <f>IF(Init!$R$9="Yes",SUMPRODUCT('Staging Table'!AJ80:AU80,LS_Demand_Rates_Restatement!$C$10:$N$10),SUMPRODUCT(LS_Demand_Rates_Restatement!$C$10:$N$10,'Staging Table'!CW80:DH80))*1000</f>
        <v>0</v>
      </c>
      <c r="H78" s="117"/>
      <c r="I78" s="115">
        <v>0</v>
      </c>
      <c r="J78" s="117">
        <f>IF(Init!$R$9="Yes",IF('Staging Table'!D80=1,'Staging Table'!H80*-1*'Staging Table'!F80/'Staging Table'!E80,'Staging Table'!H80*SUM(D78:I78)*(-1)),IF('Staging Table'!D80=1,'Staging Table'!BU80*-1*'Staging Table'!BS80/'Staging Table'!BR80,'Staging Table'!BU80*SUM(D78:I78)*(-1)))</f>
        <v>-2.1341764907755741E-2</v>
      </c>
      <c r="K78" s="115">
        <f>IF(Init!$R$9="Yes",'Staging Table'!K80,'Staging Table'!BX80)*(-1)*Rates_previous!$H$32</f>
        <v>0</v>
      </c>
      <c r="L78" s="115">
        <f>IF('Staging Table'!C80=1,"",SUM(D78:K78))</f>
        <v>13609197.978858232</v>
      </c>
      <c r="M78" s="115">
        <f>IF('Staging Table'!C80=1,"",IF(Init!$R$9="Yes",(RT1SC!$C$3*'Staging Table'!F80*'Staging Table'!$F$2),X78))</f>
        <v>425905.14406931994</v>
      </c>
      <c r="N78" s="69">
        <f>IF('Staging Table'!C80=1,"",IF(M78=0, 0, L78/M78))</f>
        <v>31.953589122753613</v>
      </c>
      <c r="O78" s="115">
        <f>'Staging Table'!BS80*Rates_current!$F$77*100*12</f>
        <v>16818123.012600001</v>
      </c>
      <c r="P78" s="115">
        <f>'Staging Table'!BS80*Rates_current!$F$78*100*12</f>
        <v>-2693812.5858000005</v>
      </c>
      <c r="Q78" s="116"/>
      <c r="R78" s="116">
        <f>SUMPRODUCT('Staging Table'!CW80:DH80, LS_Demand_Rates_Restatement!$C$11:$N$11)*1000</f>
        <v>0</v>
      </c>
      <c r="S78" s="117"/>
      <c r="T78" s="117">
        <v>0</v>
      </c>
      <c r="U78" s="117">
        <f>IF('Staging Table'!D80=1, 'Staging Table'!BU80*-1*'Staging Table'!BS80/'Staging Table'!BR80,SUM(O78:T78)*'Staging Table'!BU80*-1)</f>
        <v>-2.0598752155222375E-2</v>
      </c>
      <c r="V78" s="115">
        <f>'Staging Table'!BX80*Rates_current!$I$44*-1</f>
        <v>0</v>
      </c>
      <c r="W78" s="115">
        <f>IF('Staging Table'!C80=1,"",SUM(O78:V78))</f>
        <v>14124310.406201249</v>
      </c>
      <c r="X78" s="115">
        <f>IF('Staging Table'!C80=1,"",(RT1SC!$C$4*'Staging Table'!BS80*'Staging Table'!$BS$2))</f>
        <v>404437.98485932808</v>
      </c>
      <c r="Y78" s="69">
        <f>IF('Staging Table'!C80=1,"",IF(X78=0, 0, W78/X78))</f>
        <v>34.923303287434727</v>
      </c>
      <c r="Z78" s="64">
        <f ca="1">IF('Staging Table'!C80=1,"",(Y78/N78-1)+(RAND()/100000000000))</f>
        <v>9.2938359865514089E-2</v>
      </c>
      <c r="AA78" s="45">
        <f t="shared" ca="1" si="5"/>
        <v>76</v>
      </c>
      <c r="AD78" s="119"/>
      <c r="AE78" s="119"/>
      <c r="AG78" s="119"/>
      <c r="AH78" s="119"/>
    </row>
    <row r="79" spans="2:34">
      <c r="B79" s="2">
        <v>10239</v>
      </c>
      <c r="C79" s="3" t="s">
        <v>83</v>
      </c>
      <c r="D79" s="115">
        <f>IF(Init!$R$9="Yes",'Staging Table'!F81,'Staging Table'!BS81)*Rates_previous!$E$76*100*12</f>
        <v>5049032.8233599998</v>
      </c>
      <c r="E79" s="115">
        <f>IF(Init!$R$9="Yes",'Staging Table'!F81,'Staging Table'!BS81)*Rates_previous!$E$77*100*12</f>
        <v>-1030805.3476799999</v>
      </c>
      <c r="F79" s="116"/>
      <c r="G79" s="116">
        <f>IF(Init!$R$9="Yes",SUMPRODUCT('Staging Table'!AJ81:AU81,LS_Demand_Rates_Restatement!$C$10:$N$10),SUMPRODUCT(LS_Demand_Rates_Restatement!$C$10:$N$10,'Staging Table'!CW81:DH81))*1000</f>
        <v>0</v>
      </c>
      <c r="H79" s="117"/>
      <c r="I79" s="115">
        <v>0</v>
      </c>
      <c r="J79" s="117">
        <f>IF(Init!$R$9="Yes",IF('Staging Table'!D81=1,'Staging Table'!H81*-1*'Staging Table'!F81/'Staging Table'!E81,'Staging Table'!H81*SUM(D79:I79)*(-1)),IF('Staging Table'!D81=1,'Staging Table'!BU81*-1*'Staging Table'!BS81/'Staging Table'!BR81,'Staging Table'!BU81*SUM(D79:I79)*(-1)))</f>
        <v>-303155.17190267768</v>
      </c>
      <c r="K79" s="115">
        <f>IF(Init!$R$9="Yes",'Staging Table'!K81,'Staging Table'!BX81)*(-1)*Rates_previous!$H$32</f>
        <v>0</v>
      </c>
      <c r="L79" s="115" t="str">
        <f>IF('Staging Table'!C81=1,"",SUM(D79:K79))</f>
        <v/>
      </c>
      <c r="M79" s="115" t="str">
        <f>IF('Staging Table'!C81=1,"",IF(Init!$R$9="Yes",(RT1SC!$C$3*'Staging Table'!F81*'Staging Table'!$F$2),X79))</f>
        <v/>
      </c>
      <c r="N79" s="69" t="str">
        <f>IF('Staging Table'!C81=1,"",IF(M79=0, 0, L79/M79))</f>
        <v/>
      </c>
      <c r="O79" s="115">
        <f>'Staging Table'!BS81*Rates_current!$F$77*100*12</f>
        <v>5129425.2204</v>
      </c>
      <c r="P79" s="115">
        <f>'Staging Table'!BS81*Rates_current!$F$78*100*12</f>
        <v>-821596.45319999987</v>
      </c>
      <c r="Q79" s="116"/>
      <c r="R79" s="116">
        <f>SUMPRODUCT('Staging Table'!CW81:DH81, LS_Demand_Rates_Restatement!$C$11:$N$11)*1000</f>
        <v>0</v>
      </c>
      <c r="S79" s="117"/>
      <c r="T79" s="117">
        <v>0</v>
      </c>
      <c r="U79" s="117">
        <f>IF('Staging Table'!D81=1, 'Staging Table'!BU81*-1*'Staging Table'!BS81/'Staging Table'!BR81,SUM(O79:T79)*'Staging Table'!BU81*-1)</f>
        <v>-338168.0764434248</v>
      </c>
      <c r="V79" s="115">
        <f>'Staging Table'!BX81*Rates_current!$I$44*-1</f>
        <v>0</v>
      </c>
      <c r="W79" s="115" t="str">
        <f>IF('Staging Table'!C81=1,"",SUM(O79:V79))</f>
        <v/>
      </c>
      <c r="X79" s="115" t="str">
        <f>IF('Staging Table'!C81=1,"",(RT1SC!$C$4*'Staging Table'!BS81*'Staging Table'!$BS$2))</f>
        <v/>
      </c>
      <c r="Y79" s="69" t="str">
        <f>IF('Staging Table'!C81=1,"",IF(X79=0, 0, W79/X79))</f>
        <v/>
      </c>
      <c r="Z79" s="64" t="str">
        <f ca="1">IF('Staging Table'!C81=1,"",(Y79/N79-1)+(RAND()/100000000000))</f>
        <v/>
      </c>
      <c r="AA79" s="45" t="str">
        <f t="shared" ca="1" si="5"/>
        <v/>
      </c>
      <c r="AD79" s="119"/>
      <c r="AE79" s="119"/>
      <c r="AG79" s="119"/>
      <c r="AH79" s="119"/>
    </row>
    <row r="80" spans="2:34">
      <c r="B80" s="2">
        <v>10242</v>
      </c>
      <c r="C80" s="3" t="s">
        <v>84</v>
      </c>
      <c r="D80" s="115">
        <f>IF(Init!$R$9="Yes",'Staging Table'!F82,'Staging Table'!BS82)*Rates_previous!$E$76*100*12</f>
        <v>3435524.5543200001</v>
      </c>
      <c r="E80" s="115">
        <f>IF(Init!$R$9="Yes",'Staging Table'!F82,'Staging Table'!BS82)*Rates_previous!$E$77*100*12</f>
        <v>-701393.15916000004</v>
      </c>
      <c r="F80" s="116"/>
      <c r="G80" s="116">
        <f>IF(Init!$R$9="Yes",SUMPRODUCT('Staging Table'!AJ82:AU82,LS_Demand_Rates_Restatement!$C$10:$N$10),SUMPRODUCT(LS_Demand_Rates_Restatement!$C$10:$N$10,'Staging Table'!CW82:DH82))*1000</f>
        <v>240641.68814543277</v>
      </c>
      <c r="H80" s="117"/>
      <c r="I80" s="115">
        <v>0</v>
      </c>
      <c r="J80" s="117">
        <f>IF(Init!$R$9="Yes",IF('Staging Table'!D82=1,'Staging Table'!H82*-1*'Staging Table'!F82/'Staging Table'!E82,'Staging Table'!H82*SUM(D80:I80)*(-1)),IF('Staging Table'!D82=1,'Staging Table'!BU82*-1*'Staging Table'!BS82/'Staging Table'!BR82,'Staging Table'!BU82*SUM(D80:I80)*(-1)))</f>
        <v>-247078.54411527311</v>
      </c>
      <c r="K80" s="115">
        <f>IF(Init!$R$9="Yes",'Staging Table'!K82,'Staging Table'!BX82)*(-1)*Rates_previous!$H$32</f>
        <v>-434556.40358000004</v>
      </c>
      <c r="L80" s="115">
        <f>IF('Staging Table'!C82=1,"",SUM(D80:K80))</f>
        <v>2293138.135610159</v>
      </c>
      <c r="M80" s="115">
        <f>IF('Staging Table'!C82=1,"",IF(Init!$R$9="Yes",(RT1SC!$C$3*'Staging Table'!F82*'Staging Table'!$F$2),X80))</f>
        <v>85565.705322455993</v>
      </c>
      <c r="N80" s="69">
        <f>IF('Staging Table'!C82=1,"",IF(M80=0, 0, L80/M80))</f>
        <v>26.799733923403355</v>
      </c>
      <c r="O80" s="115">
        <f>'Staging Table'!BS82*Rates_current!$F$77*100*12</f>
        <v>3490060.2984000002</v>
      </c>
      <c r="P80" s="115">
        <f>'Staging Table'!BS82*Rates_current!$F$78*100*12</f>
        <v>-559014.12719999999</v>
      </c>
      <c r="Q80" s="116"/>
      <c r="R80" s="116">
        <f>SUMPRODUCT('Staging Table'!CW82:DH82, LS_Demand_Rates_Restatement!$C$11:$N$11)*1000</f>
        <v>278852.79984632309</v>
      </c>
      <c r="S80" s="117"/>
      <c r="T80" s="117">
        <v>0</v>
      </c>
      <c r="U80" s="117">
        <f>IF('Staging Table'!D82=1, 'Staging Table'!BU82*-1*'Staging Table'!BS82/'Staging Table'!BR82,SUM(O80:T80)*'Staging Table'!BU82*-1)</f>
        <v>-246855.00050582952</v>
      </c>
      <c r="V80" s="115">
        <f>'Staging Table'!BX82*Rates_current!$I$44*-1</f>
        <v>-449204.37224000006</v>
      </c>
      <c r="W80" s="115">
        <f>IF('Staging Table'!C82=1,"",SUM(O80:V80))</f>
        <v>2513839.5983004938</v>
      </c>
      <c r="X80" s="115">
        <f>IF('Staging Table'!C82=1,"",(RT1SC!$C$4*'Staging Table'!BS82*'Staging Table'!$BS$2))</f>
        <v>83928.09073075201</v>
      </c>
      <c r="Y80" s="69">
        <f>IF('Staging Table'!C82=1,"",IF(X80=0, 0, W80/X80))</f>
        <v>29.952302934724099</v>
      </c>
      <c r="Z80" s="64">
        <f ca="1">IF('Staging Table'!C82=1,"",(Y80/N80-1)+(RAND()/100000000000))</f>
        <v>0.1176343399665323</v>
      </c>
      <c r="AA80" s="45">
        <f t="shared" ca="1" si="5"/>
        <v>1</v>
      </c>
      <c r="AD80" s="119"/>
      <c r="AE80" s="119"/>
      <c r="AG80" s="119"/>
      <c r="AH80" s="119"/>
    </row>
    <row r="81" spans="2:34">
      <c r="B81" s="2">
        <v>10244</v>
      </c>
      <c r="C81" s="3" t="s">
        <v>85</v>
      </c>
      <c r="D81" s="115">
        <f>IF(Init!$R$9="Yes",'Staging Table'!F83,'Staging Table'!BS83)*Rates_previous!$E$76*100*12</f>
        <v>31029081.824160002</v>
      </c>
      <c r="E81" s="115">
        <f>IF(Init!$R$9="Yes",'Staging Table'!F83,'Staging Table'!BS83)*Rates_previous!$E$77*100*12</f>
        <v>-6334865.42808</v>
      </c>
      <c r="F81" s="116"/>
      <c r="G81" s="116">
        <f>IF(Init!$R$9="Yes",SUMPRODUCT('Staging Table'!AJ83:AU83,LS_Demand_Rates_Restatement!$C$10:$N$10),SUMPRODUCT(LS_Demand_Rates_Restatement!$C$10:$N$10,'Staging Table'!CW83:DH83))*1000</f>
        <v>3225398.9433337334</v>
      </c>
      <c r="H81" s="117"/>
      <c r="I81" s="115">
        <v>0</v>
      </c>
      <c r="J81" s="117">
        <f>IF(Init!$R$9="Yes",IF('Staging Table'!D83=1,'Staging Table'!H83*-1*'Staging Table'!F83/'Staging Table'!E83,'Staging Table'!H83*SUM(D81:I81)*(-1)),IF('Staging Table'!D83=1,'Staging Table'!BU83*-1*'Staging Table'!BS83/'Staging Table'!BR83,'Staging Table'!BU83*SUM(D81:I81)*(-1)))</f>
        <v>-1946318.9017335284</v>
      </c>
      <c r="K81" s="115">
        <f>IF(Init!$R$9="Yes",'Staging Table'!K83,'Staging Table'!BX83)*(-1)*Rates_previous!$H$32</f>
        <v>0</v>
      </c>
      <c r="L81" s="115">
        <f>IF('Staging Table'!C83=1,"",SUM(D81:K81))</f>
        <v>25973296.437680207</v>
      </c>
      <c r="M81" s="115">
        <f>IF('Staging Table'!C83=1,"",IF(Init!$R$9="Yes",(RT1SC!$C$3*'Staging Table'!F83*'Staging Table'!$F$2),X81))</f>
        <v>772815.1057613279</v>
      </c>
      <c r="N81" s="69">
        <f>IF('Staging Table'!C83=1,"",IF(M81=0, 0, L81/M81))</f>
        <v>33.608681098557177</v>
      </c>
      <c r="O81" s="115">
        <f>'Staging Table'!BS83*Rates_current!$F$77*100*12</f>
        <v>31521905.547600001</v>
      </c>
      <c r="P81" s="115">
        <f>'Staging Table'!BS83*Rates_current!$F$78*100*12</f>
        <v>-5048964.4908000007</v>
      </c>
      <c r="Q81" s="116"/>
      <c r="R81" s="116">
        <f>SUMPRODUCT('Staging Table'!CW83:DH83, LS_Demand_Rates_Restatement!$C$11:$N$11)*1000</f>
        <v>3653454.917465678</v>
      </c>
      <c r="S81" s="117"/>
      <c r="T81" s="117">
        <v>0</v>
      </c>
      <c r="U81" s="117">
        <f>IF('Staging Table'!D83=1, 'Staging Table'!BU83*-1*'Staging Table'!BS83/'Staging Table'!BR83,SUM(O81:T81)*'Staging Table'!BU83*-1)</f>
        <v>-2342612.508243097</v>
      </c>
      <c r="V81" s="115">
        <f>'Staging Table'!BX83*Rates_current!$I$44*-1</f>
        <v>0</v>
      </c>
      <c r="W81" s="115">
        <f>IF('Staging Table'!C83=1,"",SUM(O81:V81))</f>
        <v>27783783.466022581</v>
      </c>
      <c r="X81" s="115">
        <f>IF('Staging Table'!C83=1,"",(RT1SC!$C$4*'Staging Table'!BS83*'Staging Table'!$BS$2))</f>
        <v>758030.8426241281</v>
      </c>
      <c r="Y81" s="69">
        <f>IF('Staging Table'!C83=1,"",IF(X81=0, 0, W81/X81))</f>
        <v>36.652576522930815</v>
      </c>
      <c r="Z81" s="64">
        <f ca="1">IF('Staging Table'!C83=1,"",(Y81/N81-1)+(RAND()/100000000000))</f>
        <v>9.0568725845062384E-2</v>
      </c>
      <c r="AA81" s="45">
        <f t="shared" ca="1" si="5"/>
        <v>100</v>
      </c>
      <c r="AD81" s="119"/>
      <c r="AE81" s="119"/>
      <c r="AG81" s="119"/>
      <c r="AH81" s="119"/>
    </row>
    <row r="82" spans="2:34">
      <c r="B82" s="2">
        <v>10246</v>
      </c>
      <c r="C82" s="3" t="s">
        <v>86</v>
      </c>
      <c r="D82" s="115">
        <f>IF(Init!$R$9="Yes",'Staging Table'!F84,'Staging Table'!BS84)*Rates_previous!$E$76*100*12</f>
        <v>3241216.0087200003</v>
      </c>
      <c r="E82" s="115">
        <f>IF(Init!$R$9="Yes",'Staging Table'!F84,'Staging Table'!BS84)*Rates_previous!$E$77*100*12</f>
        <v>-661723.32635999995</v>
      </c>
      <c r="F82" s="116"/>
      <c r="G82" s="116">
        <f>IF(Init!$R$9="Yes",SUMPRODUCT('Staging Table'!AJ84:AU84,LS_Demand_Rates_Restatement!$C$10:$N$10),SUMPRODUCT(LS_Demand_Rates_Restatement!$C$10:$N$10,'Staging Table'!CW84:DH84))*1000</f>
        <v>346425.95767382474</v>
      </c>
      <c r="H82" s="117"/>
      <c r="I82" s="115">
        <v>0</v>
      </c>
      <c r="J82" s="117">
        <f>IF(Init!$R$9="Yes",IF('Staging Table'!D84=1,'Staging Table'!H84*-1*'Staging Table'!F84/'Staging Table'!E84,'Staging Table'!H84*SUM(D82:I82)*(-1)),IF('Staging Table'!D84=1,'Staging Table'!BU84*-1*'Staging Table'!BS84/'Staging Table'!BR84,'Staging Table'!BU84*SUM(D82:I82)*(-1)))</f>
        <v>0</v>
      </c>
      <c r="K82" s="115">
        <f>IF(Init!$R$9="Yes",'Staging Table'!K84,'Staging Table'!BX84)*(-1)*Rates_previous!$H$32</f>
        <v>0</v>
      </c>
      <c r="L82" s="115">
        <f>IF('Staging Table'!C84=1,"",SUM(D82:K82))</f>
        <v>2925918.6400338253</v>
      </c>
      <c r="M82" s="115">
        <f>IF('Staging Table'!C84=1,"",IF(Init!$R$9="Yes",(RT1SC!$C$3*'Staging Table'!F84*'Staging Table'!$F$2),X82))</f>
        <v>80726.226665975992</v>
      </c>
      <c r="N82" s="69">
        <f>IF('Staging Table'!C84=1,"",IF(M82=0, 0, L82/M82))</f>
        <v>36.244957319019889</v>
      </c>
      <c r="O82" s="115">
        <f>'Staging Table'!BS84*Rates_current!$F$77*100*12</f>
        <v>3292714.9475999996</v>
      </c>
      <c r="P82" s="115">
        <f>'Staging Table'!BS84*Rates_current!$F$78*100*12</f>
        <v>-527404.69079999998</v>
      </c>
      <c r="Q82" s="116"/>
      <c r="R82" s="116">
        <f>SUMPRODUCT('Staging Table'!CW84:DH84, LS_Demand_Rates_Restatement!$C$11:$N$11)*1000</f>
        <v>378836.54043132131</v>
      </c>
      <c r="S82" s="117"/>
      <c r="T82" s="117">
        <v>0</v>
      </c>
      <c r="U82" s="117">
        <f>IF('Staging Table'!D84=1, 'Staging Table'!BU84*-1*'Staging Table'!BS84/'Staging Table'!BR84,SUM(O82:T82)*'Staging Table'!BU84*-1)</f>
        <v>0</v>
      </c>
      <c r="V82" s="115">
        <f>'Staging Table'!BX84*Rates_current!$I$44*-1</f>
        <v>0</v>
      </c>
      <c r="W82" s="115">
        <f>IF('Staging Table'!C84=1,"",SUM(O82:V82))</f>
        <v>3144146.7972313208</v>
      </c>
      <c r="X82" s="115">
        <f>IF('Staging Table'!C84=1,"",(RT1SC!$C$4*'Staging Table'!BS84*'Staging Table'!$BS$2))</f>
        <v>79182.379456128008</v>
      </c>
      <c r="Y82" s="69">
        <f>IF('Staging Table'!C84=1,"",IF(X82=0, 0, W82/X82))</f>
        <v>39.70765742109802</v>
      </c>
      <c r="Z82" s="64">
        <f ca="1">IF('Staging Table'!C84=1,"",(Y82/N82-1)+(RAND()/100000000000))</f>
        <v>9.553605131521517E-2</v>
      </c>
      <c r="AA82" s="45">
        <f t="shared" ca="1" si="5"/>
        <v>38</v>
      </c>
      <c r="AD82" s="119"/>
      <c r="AE82" s="119"/>
      <c r="AG82" s="119"/>
      <c r="AH82" s="119"/>
    </row>
    <row r="83" spans="2:34">
      <c r="B83" s="2">
        <v>10247</v>
      </c>
      <c r="C83" s="3" t="s">
        <v>87</v>
      </c>
      <c r="D83" s="115">
        <f>IF(Init!$R$9="Yes",'Staging Table'!F85,'Staging Table'!BS85)*Rates_previous!$E$76*100*12</f>
        <v>28825921.85328</v>
      </c>
      <c r="E83" s="115">
        <f>IF(Init!$R$9="Yes",'Staging Table'!F85,'Staging Table'!BS85)*Rates_previous!$E$77*100*12</f>
        <v>-5885070.5546400007</v>
      </c>
      <c r="F83" s="116"/>
      <c r="G83" s="116">
        <f>IF(Init!$R$9="Yes",SUMPRODUCT('Staging Table'!AJ85:AU85,LS_Demand_Rates_Restatement!$C$10:$N$10),SUMPRODUCT(LS_Demand_Rates_Restatement!$C$10:$N$10,'Staging Table'!CW85:DH85))*1000</f>
        <v>1671781.7713643163</v>
      </c>
      <c r="H83" s="117"/>
      <c r="I83" s="115">
        <v>0</v>
      </c>
      <c r="J83" s="117">
        <f>IF(Init!$R$9="Yes",IF('Staging Table'!D85=1,'Staging Table'!H85*-1*'Staging Table'!F85/'Staging Table'!E85,'Staging Table'!H85*SUM(D83:I83)*(-1)),IF('Staging Table'!D85=1,'Staging Table'!BU85*-1*'Staging Table'!BS85/'Staging Table'!BR85,'Staging Table'!BU85*SUM(D83:I83)*(-1)))</f>
        <v>0</v>
      </c>
      <c r="K83" s="115">
        <f>IF(Init!$R$9="Yes",'Staging Table'!K85,'Staging Table'!BX85)*(-1)*Rates_previous!$H$32</f>
        <v>0</v>
      </c>
      <c r="L83" s="115">
        <f>IF('Staging Table'!C85=1,"",SUM(D83:K83))</f>
        <v>24612633.070004314</v>
      </c>
      <c r="M83" s="115">
        <f>IF('Staging Table'!C85=1,"",IF(Init!$R$9="Yes",(RT1SC!$C$3*'Staging Table'!F85*'Staging Table'!$F$2),X83))</f>
        <v>717942.86314862408</v>
      </c>
      <c r="N83" s="69">
        <f>IF('Staging Table'!C85=1,"",IF(M83=0, 0, L83/M83))</f>
        <v>34.282161343679462</v>
      </c>
      <c r="O83" s="115">
        <f>'Staging Table'!BS85*Rates_current!$F$77*100*12</f>
        <v>29283771.004799999</v>
      </c>
      <c r="P83" s="115">
        <f>'Staging Table'!BS85*Rates_current!$F$78*100*12</f>
        <v>-4690475.3183999993</v>
      </c>
      <c r="Q83" s="116"/>
      <c r="R83" s="116">
        <f>SUMPRODUCT('Staging Table'!CW85:DH85, LS_Demand_Rates_Restatement!$C$11:$N$11)*1000</f>
        <v>1778062.946903134</v>
      </c>
      <c r="S83" s="117"/>
      <c r="T83" s="117">
        <v>0</v>
      </c>
      <c r="U83" s="117">
        <f>IF('Staging Table'!D85=1, 'Staging Table'!BU85*-1*'Staging Table'!BS85/'Staging Table'!BR85,SUM(O83:T83)*'Staging Table'!BU85*-1)</f>
        <v>0</v>
      </c>
      <c r="V83" s="115">
        <f>'Staging Table'!BX85*Rates_current!$I$44*-1</f>
        <v>0</v>
      </c>
      <c r="W83" s="115">
        <f>IF('Staging Table'!C85=1,"",SUM(O83:V83))</f>
        <v>26371358.633303136</v>
      </c>
      <c r="X83" s="115">
        <f>IF('Staging Table'!C85=1,"",(RT1SC!$C$4*'Staging Table'!BS85*'Staging Table'!$BS$2))</f>
        <v>704208.74703974405</v>
      </c>
      <c r="Y83" s="69">
        <f>IF('Staging Table'!C85=1,"",IF(X83=0, 0, W83/X83))</f>
        <v>37.448212258310377</v>
      </c>
      <c r="Z83" s="64">
        <f ca="1">IF('Staging Table'!C85=1,"",(Y83/N83-1)+(RAND()/100000000000))</f>
        <v>9.2352721964661696E-2</v>
      </c>
      <c r="AA83" s="45">
        <f t="shared" ca="1" si="5"/>
        <v>85</v>
      </c>
      <c r="AD83" s="119"/>
      <c r="AE83" s="119"/>
      <c r="AG83" s="119"/>
      <c r="AH83" s="119"/>
    </row>
    <row r="84" spans="2:34">
      <c r="B84" s="2">
        <v>10256</v>
      </c>
      <c r="C84" s="3" t="s">
        <v>88</v>
      </c>
      <c r="D84" s="115">
        <f>IF(Init!$R$9="Yes",'Staging Table'!F86,'Staging Table'!BS86)*Rates_previous!$E$76*100*12</f>
        <v>16858508.352480002</v>
      </c>
      <c r="E84" s="115">
        <f>IF(Init!$R$9="Yes",'Staging Table'!F86,'Staging Table'!BS86)*Rates_previous!$E$77*100*12</f>
        <v>-3441815.7242399999</v>
      </c>
      <c r="F84" s="116"/>
      <c r="G84" s="116">
        <f>IF(Init!$R$9="Yes",SUMPRODUCT('Staging Table'!AJ86:AU86,LS_Demand_Rates_Restatement!$C$10:$N$10),SUMPRODUCT(LS_Demand_Rates_Restatement!$C$10:$N$10,'Staging Table'!CW86:DH86))*1000</f>
        <v>1927705.7002123129</v>
      </c>
      <c r="H84" s="117"/>
      <c r="I84" s="115">
        <v>0</v>
      </c>
      <c r="J84" s="117">
        <f>IF(Init!$R$9="Yes",IF('Staging Table'!D86=1,'Staging Table'!H86*-1*'Staging Table'!F86/'Staging Table'!E86,'Staging Table'!H86*SUM(D84:I84)*(-1)),IF('Staging Table'!D86=1,'Staging Table'!BU86*-1*'Staging Table'!BS86/'Staging Table'!BR86,'Staging Table'!BU86*SUM(D84:I84)*(-1)))</f>
        <v>-1228884.5633457424</v>
      </c>
      <c r="K84" s="115">
        <f>IF(Init!$R$9="Yes",'Staging Table'!K86,'Staging Table'!BX86)*(-1)*Rates_previous!$H$32</f>
        <v>-480031.36298000009</v>
      </c>
      <c r="L84" s="115">
        <f>IF('Staging Table'!C86=1,"",SUM(D84:K84))</f>
        <v>13635482.402126573</v>
      </c>
      <c r="M84" s="115">
        <f>IF('Staging Table'!C86=1,"",IF(Init!$R$9="Yes",(RT1SC!$C$3*'Staging Table'!F86*'Staging Table'!$F$2),X84))</f>
        <v>419880.613587984</v>
      </c>
      <c r="N84" s="69">
        <f>IF('Staging Table'!C86=1,"",IF(M84=0, 0, L84/M84))</f>
        <v>32.474665323573753</v>
      </c>
      <c r="O84" s="115">
        <f>'Staging Table'!BS86*Rates_current!$F$77*100*12</f>
        <v>17126313.2586</v>
      </c>
      <c r="P84" s="115">
        <f>'Staging Table'!BS86*Rates_current!$F$78*100*12</f>
        <v>-2743176.4037999995</v>
      </c>
      <c r="Q84" s="116"/>
      <c r="R84" s="116">
        <f>SUMPRODUCT('Staging Table'!CW86:DH86, LS_Demand_Rates_Restatement!$C$11:$N$11)*1000</f>
        <v>2148246.1184097128</v>
      </c>
      <c r="S84" s="117"/>
      <c r="T84" s="117">
        <v>0</v>
      </c>
      <c r="U84" s="117">
        <f>IF('Staging Table'!D86=1, 'Staging Table'!BU86*-1*'Staging Table'!BS86/'Staging Table'!BR86,SUM(O84:T84)*'Staging Table'!BU86*-1)</f>
        <v>-1480723.5151451018</v>
      </c>
      <c r="V84" s="115">
        <f>'Staging Table'!BX86*Rates_current!$I$44*-1</f>
        <v>-496212.1954400001</v>
      </c>
      <c r="W84" s="115">
        <f>IF('Staging Table'!C86=1,"",SUM(O84:V84))</f>
        <v>14554447.26262461</v>
      </c>
      <c r="X84" s="115">
        <f>IF('Staging Table'!C86=1,"",(RT1SC!$C$4*'Staging Table'!BS86*'Staging Table'!$BS$2))</f>
        <v>411849.26624620805</v>
      </c>
      <c r="Y84" s="69">
        <f>IF('Staging Table'!C86=1,"",IF(X84=0, 0, W84/X84))</f>
        <v>35.339257479516306</v>
      </c>
      <c r="Z84" s="64">
        <f ca="1">IF('Staging Table'!C86=1,"",(Y84/N84-1)+(RAND()/100000000000))</f>
        <v>8.821005936554091E-2</v>
      </c>
      <c r="AA84" s="45">
        <f t="shared" ca="1" si="5"/>
        <v>104</v>
      </c>
      <c r="AD84" s="119"/>
      <c r="AE84" s="119"/>
      <c r="AG84" s="119"/>
      <c r="AH84" s="119"/>
    </row>
    <row r="85" spans="2:34">
      <c r="B85" s="2">
        <v>10258</v>
      </c>
      <c r="C85" s="3" t="s">
        <v>89</v>
      </c>
      <c r="D85" s="115">
        <f>IF(Init!$R$9="Yes",'Staging Table'!F87,'Staging Table'!BS87)*Rates_previous!$E$76*100*12</f>
        <v>13687044.129359998</v>
      </c>
      <c r="E85" s="115">
        <f>IF(Init!$R$9="Yes",'Staging Table'!F87,'Staging Table'!BS87)*Rates_previous!$E$77*100*12</f>
        <v>-2794332.8506799997</v>
      </c>
      <c r="F85" s="116"/>
      <c r="G85" s="116">
        <f>IF(Init!$R$9="Yes",SUMPRODUCT('Staging Table'!AJ87:AU87,LS_Demand_Rates_Restatement!$C$10:$N$10),SUMPRODUCT(LS_Demand_Rates_Restatement!$C$10:$N$10,'Staging Table'!CW87:DH87))*1000</f>
        <v>1409091.9932995995</v>
      </c>
      <c r="H85" s="117"/>
      <c r="I85" s="115">
        <v>0</v>
      </c>
      <c r="J85" s="117">
        <f>IF(Init!$R$9="Yes",IF('Staging Table'!D87=1,'Staging Table'!H87*-1*'Staging Table'!F87/'Staging Table'!E87,'Staging Table'!H87*SUM(D85:I85)*(-1)),IF('Staging Table'!D87=1,'Staging Table'!BU87*-1*'Staging Table'!BS87/'Staging Table'!BR87,'Staging Table'!BU87*SUM(D85:I85)*(-1)))</f>
        <v>-667908.95689496119</v>
      </c>
      <c r="K85" s="115">
        <f>IF(Init!$R$9="Yes",'Staging Table'!K87,'Staging Table'!BX87)*(-1)*Rates_previous!$H$32</f>
        <v>-212737.84454000002</v>
      </c>
      <c r="L85" s="115">
        <f>IF('Staging Table'!C87=1,"",SUM(D85:K85))</f>
        <v>11421156.470544636</v>
      </c>
      <c r="M85" s="115">
        <f>IF('Staging Table'!C87=1,"",IF(Init!$R$9="Yes",(RT1SC!$C$3*'Staging Table'!F87*'Staging Table'!$F$2),X85))</f>
        <v>340891.635670488</v>
      </c>
      <c r="N85" s="69">
        <f>IF('Staging Table'!C87=1,"",IF(M85=0, 0, L85/M85))</f>
        <v>33.503774441636729</v>
      </c>
      <c r="O85" s="115">
        <f>'Staging Table'!BS87*Rates_current!$F$77*100*12</f>
        <v>13904818.745999999</v>
      </c>
      <c r="P85" s="115">
        <f>'Staging Table'!BS87*Rates_current!$F$78*100*12</f>
        <v>-2227179.318</v>
      </c>
      <c r="Q85" s="116"/>
      <c r="R85" s="116">
        <f>SUMPRODUCT('Staging Table'!CW87:DH87, LS_Demand_Rates_Restatement!$C$11:$N$11)*1000</f>
        <v>1593268.6997718394</v>
      </c>
      <c r="S85" s="117"/>
      <c r="T85" s="117">
        <v>0</v>
      </c>
      <c r="U85" s="117">
        <f>IF('Staging Table'!D87=1, 'Staging Table'!BU87*-1*'Staging Table'!BS87/'Staging Table'!BR87,SUM(O85:T85)*'Staging Table'!BU87*-1)</f>
        <v>-916040.67839598772</v>
      </c>
      <c r="V85" s="115">
        <f>'Staging Table'!BX87*Rates_current!$I$44*-1</f>
        <v>-219908.78312000004</v>
      </c>
      <c r="W85" s="115">
        <f>IF('Staging Table'!C87=1,"",SUM(O85:V85))</f>
        <v>12134958.66625585</v>
      </c>
      <c r="X85" s="115">
        <f>IF('Staging Table'!C87=1,"",(RT1SC!$C$4*'Staging Table'!BS87*'Staging Table'!$BS$2))</f>
        <v>334379.57786688005</v>
      </c>
      <c r="Y85" s="69">
        <f>IF('Staging Table'!C87=1,"",IF(X85=0, 0, W85/X85))</f>
        <v>36.290968317110867</v>
      </c>
      <c r="Z85" s="64">
        <f ca="1">IF('Staging Table'!C87=1,"",(Y85/N85-1)+(RAND()/100000000000))</f>
        <v>8.319044412714359E-2</v>
      </c>
      <c r="AA85" s="45">
        <f t="shared" ca="1" si="5"/>
        <v>112</v>
      </c>
      <c r="AD85" s="119"/>
      <c r="AE85" s="119"/>
      <c r="AG85" s="119"/>
      <c r="AH85" s="119"/>
    </row>
    <row r="86" spans="2:34">
      <c r="B86" s="2">
        <v>10259</v>
      </c>
      <c r="C86" s="3" t="s">
        <v>90</v>
      </c>
      <c r="D86" s="115">
        <f>IF(Init!$R$9="Yes",'Staging Table'!F88,'Staging Table'!BS88)*Rates_previous!$E$76*100*12</f>
        <v>9731868.7723199986</v>
      </c>
      <c r="E86" s="115">
        <f>IF(Init!$R$9="Yes",'Staging Table'!F88,'Staging Table'!BS88)*Rates_previous!$E$77*100*12</f>
        <v>-1986848.31816</v>
      </c>
      <c r="F86" s="116"/>
      <c r="G86" s="116">
        <f>IF(Init!$R$9="Yes",SUMPRODUCT('Staging Table'!AJ88:AU88,LS_Demand_Rates_Restatement!$C$10:$N$10),SUMPRODUCT(LS_Demand_Rates_Restatement!$C$10:$N$10,'Staging Table'!CW88:DH88))*1000</f>
        <v>887646.93712873943</v>
      </c>
      <c r="H86" s="117"/>
      <c r="I86" s="115">
        <v>0</v>
      </c>
      <c r="J86" s="117">
        <f>IF(Init!$R$9="Yes",IF('Staging Table'!D88=1,'Staging Table'!H88*-1*'Staging Table'!F88/'Staging Table'!E88,'Staging Table'!H88*SUM(D86:I86)*(-1)),IF('Staging Table'!D88=1,'Staging Table'!BU88*-1*'Staging Table'!BS88/'Staging Table'!BR88,'Staging Table'!BU88*SUM(D86:I86)*(-1)))</f>
        <v>-695971.81927434553</v>
      </c>
      <c r="K86" s="115">
        <f>IF(Init!$R$9="Yes",'Staging Table'!K88,'Staging Table'!BX88)*(-1)*Rates_previous!$H$32</f>
        <v>0</v>
      </c>
      <c r="L86" s="115">
        <f>IF('Staging Table'!C88=1,"",SUM(D86:K86))</f>
        <v>7936695.5720143933</v>
      </c>
      <c r="M86" s="115">
        <f>IF('Staging Table'!C88=1,"",IF(Init!$R$9="Yes",(RT1SC!$C$3*'Staging Table'!F88*'Staging Table'!$F$2),X86))</f>
        <v>242383.42717185596</v>
      </c>
      <c r="N86" s="69">
        <f>IF('Staging Table'!C88=1,"",IF(M86=0, 0, L86/M86))</f>
        <v>32.74438217422793</v>
      </c>
      <c r="O86" s="115">
        <f>'Staging Table'!BS88*Rates_current!$F$77*100*12</f>
        <v>9886691.2950000018</v>
      </c>
      <c r="P86" s="115">
        <f>'Staging Table'!BS88*Rates_current!$F$78*100*12</f>
        <v>-1583582.9849999999</v>
      </c>
      <c r="Q86" s="116"/>
      <c r="R86" s="116">
        <f>SUMPRODUCT('Staging Table'!CW88:DH88, LS_Demand_Rates_Restatement!$C$11:$N$11)*1000</f>
        <v>977342.14694141748</v>
      </c>
      <c r="S86" s="117"/>
      <c r="T86" s="117">
        <v>0</v>
      </c>
      <c r="U86" s="117">
        <f>IF('Staging Table'!D88=1, 'Staging Table'!BU88*-1*'Staging Table'!BS88/'Staging Table'!BR88,SUM(O86:T86)*'Staging Table'!BU88*-1)</f>
        <v>-718847.66933332104</v>
      </c>
      <c r="V86" s="115">
        <f>'Staging Table'!BX88*Rates_current!$I$44*-1</f>
        <v>0</v>
      </c>
      <c r="W86" s="115">
        <f>IF('Staging Table'!C88=1,"",SUM(O86:V86))</f>
        <v>8561602.7876080982</v>
      </c>
      <c r="X86" s="115">
        <f>IF('Staging Table'!C88=1,"",(RT1SC!$C$4*'Staging Table'!BS88*'Staging Table'!$BS$2))</f>
        <v>237752.66129760002</v>
      </c>
      <c r="Y86" s="69">
        <f>IF('Staging Table'!C88=1,"",IF(X86=0, 0, W86/X86))</f>
        <v>36.010544491408908</v>
      </c>
      <c r="Z86" s="64">
        <f ca="1">IF('Staging Table'!C88=1,"",(Y86/N86-1)+(RAND()/100000000000))</f>
        <v>9.9747257403790382E-2</v>
      </c>
      <c r="AA86" s="45">
        <f t="shared" ca="1" si="5"/>
        <v>16</v>
      </c>
      <c r="AD86" s="119"/>
      <c r="AE86" s="119"/>
      <c r="AG86" s="119"/>
      <c r="AH86" s="119"/>
    </row>
    <row r="87" spans="2:34">
      <c r="B87" s="2">
        <v>10260</v>
      </c>
      <c r="C87" s="3" t="s">
        <v>91</v>
      </c>
      <c r="D87" s="115">
        <f>IF(Init!$R$9="Yes",'Staging Table'!F89,'Staging Table'!BS89)*Rates_previous!$E$76*100*12</f>
        <v>9479516.7765600011</v>
      </c>
      <c r="E87" s="115">
        <f>IF(Init!$R$9="Yes",'Staging Table'!F89,'Staging Table'!BS89)*Rates_previous!$E$77*100*12</f>
        <v>-1935328.3942800001</v>
      </c>
      <c r="F87" s="116"/>
      <c r="G87" s="116">
        <f>IF(Init!$R$9="Yes",SUMPRODUCT('Staging Table'!AJ89:AU89,LS_Demand_Rates_Restatement!$C$10:$N$10),SUMPRODUCT(LS_Demand_Rates_Restatement!$C$10:$N$10,'Staging Table'!CW89:DH89))*1000</f>
        <v>629328.60561952461</v>
      </c>
      <c r="H87" s="117"/>
      <c r="I87" s="115">
        <v>0</v>
      </c>
      <c r="J87" s="117">
        <f>IF(Init!$R$9="Yes",IF('Staging Table'!D89=1,'Staging Table'!H89*-1*'Staging Table'!F89/'Staging Table'!E89,'Staging Table'!H89*SUM(D87:I87)*(-1)),IF('Staging Table'!D89=1,'Staging Table'!BU89*-1*'Staging Table'!BS89/'Staging Table'!BR89,'Staging Table'!BU89*SUM(D87:I87)*(-1)))</f>
        <v>0</v>
      </c>
      <c r="K87" s="115">
        <f>IF(Init!$R$9="Yes",'Staging Table'!K89,'Staging Table'!BX89)*(-1)*Rates_previous!$H$32</f>
        <v>0</v>
      </c>
      <c r="L87" s="115">
        <f>IF('Staging Table'!C89=1,"",SUM(D87:K87))</f>
        <v>8173516.987899526</v>
      </c>
      <c r="M87" s="115">
        <f>IF('Staging Table'!C89=1,"",IF(Init!$R$9="Yes",(RT1SC!$C$3*'Staging Table'!F89*'Staging Table'!$F$2),X87))</f>
        <v>236098.309378248</v>
      </c>
      <c r="N87" s="69">
        <f>IF('Staging Table'!C89=1,"",IF(M87=0, 0, L87/M87))</f>
        <v>34.619125437297861</v>
      </c>
      <c r="O87" s="115">
        <f>'Staging Table'!BS89*Rates_current!$F$77*100*12</f>
        <v>9630038.7456</v>
      </c>
      <c r="P87" s="115">
        <f>'Staging Table'!BS89*Rates_current!$F$78*100*12</f>
        <v>-1542474.1248000001</v>
      </c>
      <c r="Q87" s="116"/>
      <c r="R87" s="116">
        <f>SUMPRODUCT('Staging Table'!CW89:DH89, LS_Demand_Rates_Restatement!$C$11:$N$11)*1000</f>
        <v>683781.69744749821</v>
      </c>
      <c r="S87" s="117"/>
      <c r="T87" s="117">
        <v>0</v>
      </c>
      <c r="U87" s="117">
        <f>IF('Staging Table'!D89=1, 'Staging Table'!BU89*-1*'Staging Table'!BS89/'Staging Table'!BR89,SUM(O87:T87)*'Staging Table'!BU89*-1)</f>
        <v>0</v>
      </c>
      <c r="V87" s="115">
        <f>'Staging Table'!BX89*Rates_current!$I$44*-1</f>
        <v>0</v>
      </c>
      <c r="W87" s="115">
        <f>IF('Staging Table'!C89=1,"",SUM(O87:V87))</f>
        <v>8771346.3182474971</v>
      </c>
      <c r="X87" s="115">
        <f>IF('Staging Table'!C89=1,"",(RT1SC!$C$4*'Staging Table'!BS89*'Staging Table'!$BS$2))</f>
        <v>231580.74545356803</v>
      </c>
      <c r="Y87" s="69">
        <f>IF('Staging Table'!C89=1,"",IF(X87=0, 0, W87/X87))</f>
        <v>37.875974105999902</v>
      </c>
      <c r="Z87" s="64">
        <f ca="1">IF('Staging Table'!C89=1,"",(Y87/N87-1)+(RAND()/100000000000))</f>
        <v>9.4076572634557334E-2</v>
      </c>
      <c r="AA87" s="45">
        <f t="shared" ca="1" si="5"/>
        <v>59</v>
      </c>
      <c r="AD87" s="119"/>
      <c r="AE87" s="119"/>
      <c r="AG87" s="119"/>
      <c r="AH87" s="119"/>
    </row>
    <row r="88" spans="2:34">
      <c r="B88" s="2">
        <v>10273</v>
      </c>
      <c r="C88" s="3" t="s">
        <v>92</v>
      </c>
      <c r="D88" s="115">
        <f>IF(Init!$R$9="Yes",'Staging Table'!F90,'Staging Table'!BS90)*Rates_previous!$E$76*100*12</f>
        <v>2120952.5092799999</v>
      </c>
      <c r="E88" s="115">
        <f>IF(Init!$R$9="Yes",'Staging Table'!F90,'Staging Table'!BS90)*Rates_previous!$E$77*100*12</f>
        <v>-433011.48263999994</v>
      </c>
      <c r="F88" s="116"/>
      <c r="G88" s="116">
        <f>IF(Init!$R$9="Yes",SUMPRODUCT('Staging Table'!AJ90:AU90,LS_Demand_Rates_Restatement!$C$10:$N$10),SUMPRODUCT(LS_Demand_Rates_Restatement!$C$10:$N$10,'Staging Table'!CW90:DH90))*1000</f>
        <v>284778.40682240925</v>
      </c>
      <c r="H88" s="117"/>
      <c r="I88" s="115">
        <v>0</v>
      </c>
      <c r="J88" s="117">
        <f>IF(Init!$R$9="Yes",IF('Staging Table'!D90=1,'Staging Table'!H90*-1*'Staging Table'!F90/'Staging Table'!E90,'Staging Table'!H90*SUM(D88:I88)*(-1)),IF('Staging Table'!D90=1,'Staging Table'!BU90*-1*'Staging Table'!BS90/'Staging Table'!BR90,'Staging Table'!BU90*SUM(D88:I88)*(-1)))</f>
        <v>-189841.95942323597</v>
      </c>
      <c r="K88" s="115">
        <f>IF(Init!$R$9="Yes",'Staging Table'!K90,'Staging Table'!BX90)*(-1)*Rates_previous!$H$32</f>
        <v>-110169.82925</v>
      </c>
      <c r="L88" s="115">
        <f>IF('Staging Table'!C90=1,"",SUM(D88:K88))</f>
        <v>1672707.6447891733</v>
      </c>
      <c r="M88" s="115">
        <f>IF('Staging Table'!C90=1,"",IF(Init!$R$9="Yes",(RT1SC!$C$3*'Staging Table'!F90*'Staging Table'!$F$2),X88))</f>
        <v>52824.770873424</v>
      </c>
      <c r="N88" s="69">
        <f>IF('Staging Table'!C90=1,"",IF(M88=0, 0, L88/M88))</f>
        <v>31.665213443087701</v>
      </c>
      <c r="O88" s="115">
        <f>'Staging Table'!BS90*Rates_current!$F$77*100*12</f>
        <v>2154741.8879999993</v>
      </c>
      <c r="P88" s="115">
        <f>'Staging Table'!BS90*Rates_current!$F$78*100*12</f>
        <v>-345131.90399999998</v>
      </c>
      <c r="Q88" s="116"/>
      <c r="R88" s="116">
        <f>SUMPRODUCT('Staging Table'!CW90:DH90, LS_Demand_Rates_Restatement!$C$11:$N$11)*1000</f>
        <v>318894.41643554135</v>
      </c>
      <c r="S88" s="117"/>
      <c r="T88" s="117">
        <v>0</v>
      </c>
      <c r="U88" s="117">
        <f>IF('Staging Table'!D90=1, 'Staging Table'!BU90*-1*'Staging Table'!BS90/'Staging Table'!BR90,SUM(O88:T88)*'Staging Table'!BU90*-1)</f>
        <v>-206477.52154284177</v>
      </c>
      <c r="V88" s="115">
        <f>'Staging Table'!BX90*Rates_current!$I$44*-1</f>
        <v>-113883.41900000001</v>
      </c>
      <c r="W88" s="115">
        <f>IF('Staging Table'!C90=1,"",SUM(O88:V88))</f>
        <v>1808143.459892699</v>
      </c>
      <c r="X88" s="115">
        <f>IF('Staging Table'!C90=1,"",(RT1SC!$C$4*'Staging Table'!BS90*'Staging Table'!$BS$2))</f>
        <v>51816.690032639999</v>
      </c>
      <c r="Y88" s="69">
        <f>IF('Staging Table'!C90=1,"",IF(X88=0, 0, W88/X88))</f>
        <v>34.895001181158548</v>
      </c>
      <c r="Z88" s="64">
        <f ca="1">IF('Staging Table'!C90=1,"",(Y88/N88-1)+(RAND()/100000000000))</f>
        <v>0.10199797780875712</v>
      </c>
      <c r="AA88" s="45">
        <f t="shared" ca="1" si="5"/>
        <v>10</v>
      </c>
      <c r="AD88" s="119"/>
      <c r="AE88" s="119"/>
      <c r="AG88" s="119"/>
      <c r="AH88" s="119"/>
    </row>
    <row r="89" spans="2:34">
      <c r="B89" s="2">
        <v>10278</v>
      </c>
      <c r="C89" s="3" t="s">
        <v>93</v>
      </c>
      <c r="D89" s="115">
        <f>IF(Init!$R$9="Yes",'Staging Table'!F91,'Staging Table'!BS91)*Rates_previous!$E$76*100*12</f>
        <v>12957141.515759999</v>
      </c>
      <c r="E89" s="115">
        <f>IF(Init!$R$9="Yes",'Staging Table'!F91,'Staging Table'!BS91)*Rates_previous!$E$77*100*12</f>
        <v>-2645316.6838800004</v>
      </c>
      <c r="F89" s="116"/>
      <c r="G89" s="116">
        <f>IF(Init!$R$9="Yes",SUMPRODUCT('Staging Table'!AJ91:AU91,LS_Demand_Rates_Restatement!$C$10:$N$10),SUMPRODUCT(LS_Demand_Rates_Restatement!$C$10:$N$10,'Staging Table'!CW91:DH91))*1000</f>
        <v>0</v>
      </c>
      <c r="H89" s="117"/>
      <c r="I89" s="115">
        <v>0</v>
      </c>
      <c r="J89" s="117">
        <f>IF(Init!$R$9="Yes",IF('Staging Table'!D91=1,'Staging Table'!H91*-1*'Staging Table'!F91/'Staging Table'!E91,'Staging Table'!H91*SUM(D89:I89)*(-1)),IF('Staging Table'!D91=1,'Staging Table'!BU91*-1*'Staging Table'!BS91/'Staging Table'!BR91,'Staging Table'!BU91*SUM(D89:I89)*(-1)))</f>
        <v>-737541.73315326078</v>
      </c>
      <c r="K89" s="115">
        <f>IF(Init!$R$9="Yes",'Staging Table'!K91,'Staging Table'!BX91)*(-1)*Rates_previous!$H$32</f>
        <v>0</v>
      </c>
      <c r="L89" s="115" t="str">
        <f>IF('Staging Table'!C91=1,"",SUM(D89:K89))</f>
        <v/>
      </c>
      <c r="M89" s="115" t="str">
        <f>IF('Staging Table'!C91=1,"",IF(Init!$R$9="Yes",(RT1SC!$C$3*'Staging Table'!F91*'Staging Table'!$F$2),X89))</f>
        <v/>
      </c>
      <c r="N89" s="69" t="str">
        <f>IF('Staging Table'!C91=1,"",IF(M89=0, 0, L89/M89))</f>
        <v/>
      </c>
      <c r="O89" s="115">
        <f>'Staging Table'!BS91*Rates_current!$F$77*100*12</f>
        <v>13163090.288399998</v>
      </c>
      <c r="P89" s="115">
        <f>'Staging Table'!BS91*Rates_current!$F$78*100*12</f>
        <v>-2108374.2971999999</v>
      </c>
      <c r="Q89" s="116"/>
      <c r="R89" s="116">
        <f>SUMPRODUCT('Staging Table'!CW91:DH91, LS_Demand_Rates_Restatement!$C$11:$N$11)*1000</f>
        <v>0</v>
      </c>
      <c r="S89" s="117"/>
      <c r="T89" s="117">
        <v>0</v>
      </c>
      <c r="U89" s="117">
        <f>IF('Staging Table'!D91=1, 'Staging Table'!BU91*-1*'Staging Table'!BS91/'Staging Table'!BR91,SUM(O89:T89)*'Staging Table'!BU91*-1)</f>
        <v>-909356.31792008947</v>
      </c>
      <c r="V89" s="115">
        <f>'Staging Table'!BX91*Rates_current!$I$44*-1</f>
        <v>0</v>
      </c>
      <c r="W89" s="115" t="str">
        <f>IF('Staging Table'!C91=1,"",SUM(O89:V89))</f>
        <v/>
      </c>
      <c r="X89" s="115" t="str">
        <f>IF('Staging Table'!C91=1,"",(RT1SC!$C$4*'Staging Table'!BS91*'Staging Table'!$BS$2))</f>
        <v/>
      </c>
      <c r="Y89" s="69" t="str">
        <f>IF('Staging Table'!C91=1,"",IF(X89=0, 0, W89/X89))</f>
        <v/>
      </c>
      <c r="Z89" s="64" t="str">
        <f ca="1">IF('Staging Table'!C91=1,"",(Y89/N89-1)+(RAND()/100000000000))</f>
        <v/>
      </c>
      <c r="AA89" s="45" t="str">
        <f t="shared" ca="1" si="5"/>
        <v/>
      </c>
      <c r="AD89" s="119"/>
      <c r="AE89" s="119"/>
      <c r="AG89" s="119"/>
      <c r="AH89" s="119"/>
    </row>
    <row r="90" spans="2:34">
      <c r="B90" s="2">
        <v>10279</v>
      </c>
      <c r="C90" s="3" t="s">
        <v>94</v>
      </c>
      <c r="D90" s="115">
        <f>IF(Init!$R$9="Yes",'Staging Table'!F92,'Staging Table'!BS92)*Rates_previous!$E$76*100*12</f>
        <v>23357132.748719998</v>
      </c>
      <c r="E90" s="115">
        <f>IF(Init!$R$9="Yes",'Staging Table'!F92,'Staging Table'!BS92)*Rates_previous!$E$77*100*12</f>
        <v>-4768568.1963600004</v>
      </c>
      <c r="F90" s="116"/>
      <c r="G90" s="116">
        <f>IF(Init!$R$9="Yes",SUMPRODUCT('Staging Table'!AJ92:AU92,LS_Demand_Rates_Restatement!$C$10:$N$10),SUMPRODUCT(LS_Demand_Rates_Restatement!$C$10:$N$10,'Staging Table'!CW92:DH92))*1000</f>
        <v>2316805.9893006422</v>
      </c>
      <c r="H90" s="117"/>
      <c r="I90" s="115">
        <v>0</v>
      </c>
      <c r="J90" s="117">
        <f>IF(Init!$R$9="Yes",IF('Staging Table'!D92=1,'Staging Table'!H92*-1*'Staging Table'!F92/'Staging Table'!E92,'Staging Table'!H92*SUM(D90:I90)*(-1)),IF('Staging Table'!D92=1,'Staging Table'!BU92*-1*'Staging Table'!BS92/'Staging Table'!BR92,'Staging Table'!BU92*SUM(D90:I90)*(-1)))</f>
        <v>0</v>
      </c>
      <c r="K90" s="115">
        <f>IF(Init!$R$9="Yes",'Staging Table'!K92,'Staging Table'!BX92)*(-1)*Rates_previous!$H$32</f>
        <v>0</v>
      </c>
      <c r="L90" s="115">
        <f>IF('Staging Table'!C92=1,"",SUM(D90:K90))</f>
        <v>20905370.54166064</v>
      </c>
      <c r="M90" s="115">
        <f>IF('Staging Table'!C92=1,"",IF(Init!$R$9="Yes",(RT1SC!$C$3*'Staging Table'!F92*'Staging Table'!$F$2),X90))</f>
        <v>581736.35680797603</v>
      </c>
      <c r="N90" s="69">
        <f>IF('Staging Table'!C92=1,"",IF(M90=0, 0, L90/M90))</f>
        <v>35.936159562674959</v>
      </c>
      <c r="O90" s="115">
        <f>'Staging Table'!BS92*Rates_current!$F$77*100*12</f>
        <v>23728059.108000003</v>
      </c>
      <c r="P90" s="115">
        <f>'Staging Table'!BS92*Rates_current!$F$78*100*12</f>
        <v>-3800599.1639999999</v>
      </c>
      <c r="Q90" s="116"/>
      <c r="R90" s="116">
        <f>SUMPRODUCT('Staging Table'!CW92:DH92, LS_Demand_Rates_Restatement!$C$11:$N$11)*1000</f>
        <v>2637165.5030332524</v>
      </c>
      <c r="S90" s="117"/>
      <c r="T90" s="117">
        <v>0</v>
      </c>
      <c r="U90" s="117">
        <f>IF('Staging Table'!D92=1, 'Staging Table'!BU92*-1*'Staging Table'!BS92/'Staging Table'!BR92,SUM(O90:T90)*'Staging Table'!BU92*-1)</f>
        <v>0</v>
      </c>
      <c r="V90" s="115">
        <f>'Staging Table'!BX92*Rates_current!$I$44*-1</f>
        <v>0</v>
      </c>
      <c r="W90" s="115">
        <f>IF('Staging Table'!C92=1,"",SUM(O90:V90))</f>
        <v>22564625.447033256</v>
      </c>
      <c r="X90" s="115">
        <f>IF('Staging Table'!C92=1,"",(RT1SC!$C$4*'Staging Table'!BS92*'Staging Table'!$BS$2))</f>
        <v>570606.38711424009</v>
      </c>
      <c r="Y90" s="69">
        <f>IF('Staging Table'!C92=1,"",IF(X90=0, 0, W90/X90))</f>
        <v>39.544992759633502</v>
      </c>
      <c r="Z90" s="64">
        <f ca="1">IF('Staging Table'!C92=1,"",(Y90/N90-1)+(RAND()/100000000000))</f>
        <v>0.10042345206387672</v>
      </c>
      <c r="AA90" s="45">
        <f t="shared" ca="1" si="5"/>
        <v>13</v>
      </c>
      <c r="AD90" s="119"/>
      <c r="AE90" s="119"/>
      <c r="AG90" s="119"/>
      <c r="AH90" s="119"/>
    </row>
    <row r="91" spans="2:34">
      <c r="B91" s="2">
        <v>10284</v>
      </c>
      <c r="C91" s="3" t="s">
        <v>95</v>
      </c>
      <c r="D91" s="115">
        <f>IF(Init!$R$9="Yes",'Staging Table'!F93,'Staging Table'!BS93)*Rates_previous!$E$76*100*12</f>
        <v>3861010.4464800004</v>
      </c>
      <c r="E91" s="115">
        <f>IF(Init!$R$9="Yes",'Staging Table'!F93,'Staging Table'!BS93)*Rates_previous!$E$77*100*12</f>
        <v>-788259.92124000005</v>
      </c>
      <c r="F91" s="116"/>
      <c r="G91" s="116">
        <f>IF(Init!$R$9="Yes",SUMPRODUCT('Staging Table'!AJ93:AU93,LS_Demand_Rates_Restatement!$C$10:$N$10),SUMPRODUCT(LS_Demand_Rates_Restatement!$C$10:$N$10,'Staging Table'!CW93:DH93))*1000</f>
        <v>204289.01964046477</v>
      </c>
      <c r="H91" s="117"/>
      <c r="I91" s="115">
        <v>0</v>
      </c>
      <c r="J91" s="117">
        <f>IF(Init!$R$9="Yes",IF('Staging Table'!D93=1,'Staging Table'!H93*-1*'Staging Table'!F93/'Staging Table'!E93,'Staging Table'!H93*SUM(D91:I91)*(-1)),IF('Staging Table'!D93=1,'Staging Table'!BU93*-1*'Staging Table'!BS93/'Staging Table'!BR93,'Staging Table'!BU93*SUM(D91:I91)*(-1)))</f>
        <v>-176447.73450834528</v>
      </c>
      <c r="K91" s="115">
        <f>IF(Init!$R$9="Yes",'Staging Table'!K93,'Staging Table'!BX93)*(-1)*Rates_previous!$H$32</f>
        <v>0</v>
      </c>
      <c r="L91" s="115">
        <f>IF('Staging Table'!C93=1,"",SUM(D91:K91))</f>
        <v>3100591.8103721198</v>
      </c>
      <c r="M91" s="115">
        <f>IF('Staging Table'!C93=1,"",IF(Init!$R$9="Yes",(RT1SC!$C$3*'Staging Table'!F93*'Staging Table'!$F$2),X91))</f>
        <v>96162.922688184</v>
      </c>
      <c r="N91" s="69">
        <f>IF('Staging Table'!C93=1,"",IF(M91=0, 0, L91/M91))</f>
        <v>32.243111208527196</v>
      </c>
      <c r="O91" s="115">
        <f>'Staging Table'!BS93*Rates_current!$F$77*100*12</f>
        <v>3922562.5764000001</v>
      </c>
      <c r="P91" s="115">
        <f>'Staging Table'!BS93*Rates_current!$F$78*100*12</f>
        <v>-628289.40119999996</v>
      </c>
      <c r="Q91" s="116"/>
      <c r="R91" s="116">
        <f>SUMPRODUCT('Staging Table'!CW93:DH93, LS_Demand_Rates_Restatement!$C$11:$N$11)*1000</f>
        <v>224541.65368911147</v>
      </c>
      <c r="S91" s="117"/>
      <c r="T91" s="117">
        <v>0</v>
      </c>
      <c r="U91" s="117">
        <f>IF('Staging Table'!D93=1, 'Staging Table'!BU93*-1*'Staging Table'!BS93/'Staging Table'!BR93,SUM(O91:T91)*'Staging Table'!BU93*-1)</f>
        <v>-197198.06913940702</v>
      </c>
      <c r="V91" s="115">
        <f>'Staging Table'!BX93*Rates_current!$I$44*-1</f>
        <v>0</v>
      </c>
      <c r="W91" s="115">
        <f>IF('Staging Table'!C93=1,"",SUM(O91:V91))</f>
        <v>3321616.759749705</v>
      </c>
      <c r="X91" s="115">
        <f>IF('Staging Table'!C93=1,"",(RT1SC!$C$4*'Staging Table'!BS93*'Staging Table'!$BS$2))</f>
        <v>94328.796542591997</v>
      </c>
      <c r="Y91" s="69">
        <f>IF('Staging Table'!C93=1,"",IF(X91=0, 0, W91/X91))</f>
        <v>35.213178599706879</v>
      </c>
      <c r="Z91" s="64">
        <f ca="1">IF('Staging Table'!C93=1,"",(Y91/N91-1)+(RAND()/100000000000))</f>
        <v>9.2114789179611078E-2</v>
      </c>
      <c r="AA91" s="45">
        <f t="shared" ca="1" si="5"/>
        <v>88</v>
      </c>
      <c r="AD91" s="119"/>
      <c r="AE91" s="119"/>
      <c r="AG91" s="119"/>
      <c r="AH91" s="119"/>
    </row>
    <row r="92" spans="2:34">
      <c r="B92" s="2">
        <v>10285</v>
      </c>
      <c r="C92" s="3" t="s">
        <v>96</v>
      </c>
      <c r="D92" s="115">
        <f>IF(Init!$R$9="Yes",'Staging Table'!F94,'Staging Table'!BS94)*Rates_previous!$E$76*100*12</f>
        <v>2354620.9910399998</v>
      </c>
      <c r="E92" s="115">
        <f>IF(Init!$R$9="Yes",'Staging Table'!F94,'Staging Table'!BS94)*Rates_previous!$E$77*100*12</f>
        <v>-480716.99952000001</v>
      </c>
      <c r="F92" s="116"/>
      <c r="G92" s="116">
        <f>IF(Init!$R$9="Yes",SUMPRODUCT('Staging Table'!AJ94:AU94,LS_Demand_Rates_Restatement!$C$10:$N$10),SUMPRODUCT(LS_Demand_Rates_Restatement!$C$10:$N$10,'Staging Table'!CW94:DH94))*1000</f>
        <v>0</v>
      </c>
      <c r="H92" s="117"/>
      <c r="I92" s="115">
        <v>0</v>
      </c>
      <c r="J92" s="117">
        <f>IF(Init!$R$9="Yes",IF('Staging Table'!D94=1,'Staging Table'!H94*-1*'Staging Table'!F94/'Staging Table'!E94,'Staging Table'!H94*SUM(D92:I92)*(-1)),IF('Staging Table'!D94=1,'Staging Table'!BU94*-1*'Staging Table'!BS94/'Staging Table'!BR94,'Staging Table'!BU94*SUM(D92:I92)*(-1)))</f>
        <v>-145198.14057129886</v>
      </c>
      <c r="K92" s="115">
        <f>IF(Init!$R$9="Yes",'Staging Table'!K94,'Staging Table'!BX94)*(-1)*Rates_previous!$H$32</f>
        <v>0</v>
      </c>
      <c r="L92" s="115" t="str">
        <f>IF('Staging Table'!C94=1,"",SUM(D92:K92))</f>
        <v/>
      </c>
      <c r="M92" s="115" t="str">
        <f>IF('Staging Table'!C94=1,"",IF(Init!$R$9="Yes",(RT1SC!$C$3*'Staging Table'!F94*'Staging Table'!$F$2),X92))</f>
        <v/>
      </c>
      <c r="N92" s="69" t="str">
        <f>IF('Staging Table'!C94=1,"",IF(M92=0, 0, L92/M92))</f>
        <v/>
      </c>
      <c r="O92" s="115">
        <f>'Staging Table'!BS94*Rates_current!$F$77*100*12</f>
        <v>2391711.6989999996</v>
      </c>
      <c r="P92" s="115">
        <f>'Staging Table'!BS94*Rates_current!$F$78*100*12</f>
        <v>-383088.11699999997</v>
      </c>
      <c r="Q92" s="116"/>
      <c r="R92" s="116">
        <f>SUMPRODUCT('Staging Table'!CW94:DH94, LS_Demand_Rates_Restatement!$C$11:$N$11)*1000</f>
        <v>0</v>
      </c>
      <c r="S92" s="117"/>
      <c r="T92" s="117">
        <v>0</v>
      </c>
      <c r="U92" s="117">
        <f>IF('Staging Table'!D94=1, 'Staging Table'!BU94*-1*'Staging Table'!BS94/'Staging Table'!BR94,SUM(O92:T92)*'Staging Table'!BU94*-1)</f>
        <v>-161838.58920246264</v>
      </c>
      <c r="V92" s="115">
        <f>'Staging Table'!BX94*Rates_current!$I$44*-1</f>
        <v>0</v>
      </c>
      <c r="W92" s="115" t="str">
        <f>IF('Staging Table'!C94=1,"",SUM(O92:V92))</f>
        <v/>
      </c>
      <c r="X92" s="115" t="str">
        <f>IF('Staging Table'!C94=1,"",(RT1SC!$C$4*'Staging Table'!BS94*'Staging Table'!$BS$2))</f>
        <v/>
      </c>
      <c r="Y92" s="69" t="str">
        <f>IF('Staging Table'!C94=1,"",IF(X92=0, 0, W92/X92))</f>
        <v/>
      </c>
      <c r="Z92" s="64" t="str">
        <f ca="1">IF('Staging Table'!C94=1,"",(Y92/N92-1)+(RAND()/100000000000))</f>
        <v/>
      </c>
      <c r="AA92" s="45" t="str">
        <f t="shared" ca="1" si="5"/>
        <v/>
      </c>
      <c r="AD92" s="119"/>
      <c r="AE92" s="119"/>
      <c r="AG92" s="119"/>
      <c r="AH92" s="119"/>
    </row>
    <row r="93" spans="2:34">
      <c r="B93" s="2">
        <v>10286</v>
      </c>
      <c r="C93" s="3" t="s">
        <v>97</v>
      </c>
      <c r="D93" s="115">
        <f>IF(Init!$R$9="Yes",'Staging Table'!F95,'Staging Table'!BS95)*Rates_previous!$E$76*100*12</f>
        <v>16557579.220319998</v>
      </c>
      <c r="E93" s="115">
        <f>IF(Init!$R$9="Yes",'Staging Table'!F95,'Staging Table'!BS95)*Rates_previous!$E$77*100*12</f>
        <v>-3380378.3421599995</v>
      </c>
      <c r="F93" s="116"/>
      <c r="G93" s="116">
        <f>IF(Init!$R$9="Yes",SUMPRODUCT('Staging Table'!AJ95:AU95,LS_Demand_Rates_Restatement!$C$10:$N$10),SUMPRODUCT(LS_Demand_Rates_Restatement!$C$10:$N$10,'Staging Table'!CW95:DH95))*1000</f>
        <v>0</v>
      </c>
      <c r="H93" s="117"/>
      <c r="I93" s="115">
        <v>0</v>
      </c>
      <c r="J93" s="117">
        <f>IF(Init!$R$9="Yes",IF('Staging Table'!D95=1,'Staging Table'!H95*-1*'Staging Table'!F95/'Staging Table'!E95,'Staging Table'!H95*SUM(D93:I93)*(-1)),IF('Staging Table'!D95=1,'Staging Table'!BU95*-1*'Staging Table'!BS95/'Staging Table'!BR95,'Staging Table'!BU95*SUM(D93:I93)*(-1)))</f>
        <v>0</v>
      </c>
      <c r="K93" s="115">
        <f>IF(Init!$R$9="Yes",'Staging Table'!K95,'Staging Table'!BX95)*(-1)*Rates_previous!$H$32</f>
        <v>-641072.3070700001</v>
      </c>
      <c r="L93" s="115">
        <f>IF('Staging Table'!C95=1,"",SUM(D93:K93))</f>
        <v>12536128.571089998</v>
      </c>
      <c r="M93" s="115">
        <f>IF('Staging Table'!C95=1,"",IF(Init!$R$9="Yes",(RT1SC!$C$3*'Staging Table'!F95*'Staging Table'!$F$2),X93))</f>
        <v>412385.62613025599</v>
      </c>
      <c r="N93" s="69">
        <f>IF('Staging Table'!C95=1,"",IF(M93=0, 0, L93/M93))</f>
        <v>30.399043460186803</v>
      </c>
      <c r="O93" s="115">
        <f>'Staging Table'!BS95*Rates_current!$F$77*100*12</f>
        <v>16820712.846599996</v>
      </c>
      <c r="P93" s="115">
        <f>'Staging Table'!BS95*Rates_current!$F$78*100*12</f>
        <v>-2694227.4077999997</v>
      </c>
      <c r="Q93" s="116"/>
      <c r="R93" s="116">
        <f>SUMPRODUCT('Staging Table'!CW95:DH95, LS_Demand_Rates_Restatement!$C$11:$N$11)*1000</f>
        <v>0</v>
      </c>
      <c r="S93" s="117"/>
      <c r="T93" s="117">
        <v>0</v>
      </c>
      <c r="U93" s="117">
        <f>IF('Staging Table'!D95=1, 'Staging Table'!BU95*-1*'Staging Table'!BS95/'Staging Table'!BR95,SUM(O93:T93)*'Staging Table'!BU95*-1)</f>
        <v>0</v>
      </c>
      <c r="V93" s="115">
        <f>'Staging Table'!BX95*Rates_current!$I$44*-1</f>
        <v>-662681.48596000008</v>
      </c>
      <c r="W93" s="115">
        <f>IF('Staging Table'!C95=1,"",SUM(O93:V93))</f>
        <v>13463803.952839997</v>
      </c>
      <c r="X93" s="115">
        <f>IF('Staging Table'!C95=1,"",(RT1SC!$C$4*'Staging Table'!BS95*'Staging Table'!$BS$2))</f>
        <v>404500.26453484804</v>
      </c>
      <c r="Y93" s="69">
        <f>IF('Staging Table'!C95=1,"",IF(X93=0, 0, W93/X93))</f>
        <v>33.285031267711517</v>
      </c>
      <c r="Z93" s="64">
        <f ca="1">IF('Staging Table'!C95=1,"",(Y93/N93-1)+(RAND()/100000000000))</f>
        <v>9.4936796663479414E-2</v>
      </c>
      <c r="AA93" s="45">
        <f t="shared" ca="1" si="5"/>
        <v>47</v>
      </c>
      <c r="AD93" s="119"/>
      <c r="AE93" s="119"/>
      <c r="AG93" s="119"/>
      <c r="AH93" s="119"/>
    </row>
    <row r="94" spans="2:34">
      <c r="B94" s="2">
        <v>10288</v>
      </c>
      <c r="C94" s="3" t="s">
        <v>98</v>
      </c>
      <c r="D94" s="115">
        <f>IF(Init!$R$9="Yes",'Staging Table'!F96,'Staging Table'!BS96)*Rates_previous!$E$76*100*12</f>
        <v>8876163.8311199993</v>
      </c>
      <c r="E94" s="115">
        <f>IF(Init!$R$9="Yes",'Staging Table'!F96,'Staging Table'!BS96)*Rates_previous!$E$77*100*12</f>
        <v>-1812148.47756</v>
      </c>
      <c r="F94" s="116"/>
      <c r="G94" s="116">
        <f>IF(Init!$R$9="Yes",SUMPRODUCT('Staging Table'!AJ96:AU96,LS_Demand_Rates_Restatement!$C$10:$N$10),SUMPRODUCT(LS_Demand_Rates_Restatement!$C$10:$N$10,'Staging Table'!CW96:DH96))*1000</f>
        <v>0</v>
      </c>
      <c r="H94" s="117"/>
      <c r="I94" s="115">
        <v>0</v>
      </c>
      <c r="J94" s="117">
        <f>IF(Init!$R$9="Yes",IF('Staging Table'!D96=1,'Staging Table'!H96*-1*'Staging Table'!F96/'Staging Table'!E96,'Staging Table'!H96*SUM(D94:I94)*(-1)),IF('Staging Table'!D96=1,'Staging Table'!BU96*-1*'Staging Table'!BS96/'Staging Table'!BR96,'Staging Table'!BU96*SUM(D94:I94)*(-1)))</f>
        <v>-423840.92121359991</v>
      </c>
      <c r="K94" s="115">
        <f>IF(Init!$R$9="Yes",'Staging Table'!K96,'Staging Table'!BX96)*(-1)*Rates_previous!$H$32</f>
        <v>0</v>
      </c>
      <c r="L94" s="115" t="str">
        <f>IF('Staging Table'!C96=1,"",SUM(D94:K94))</f>
        <v/>
      </c>
      <c r="M94" s="115" t="str">
        <f>IF('Staging Table'!C96=1,"",IF(Init!$R$9="Yes",(RT1SC!$C$3*'Staging Table'!F96*'Staging Table'!$F$2),X94))</f>
        <v/>
      </c>
      <c r="N94" s="69" t="str">
        <f>IF('Staging Table'!C96=1,"",IF(M94=0, 0, L94/M94))</f>
        <v/>
      </c>
      <c r="O94" s="115">
        <f>'Staging Table'!BS96*Rates_current!$F$77*100*12</f>
        <v>9062088.1493999995</v>
      </c>
      <c r="P94" s="115">
        <f>'Staging Table'!BS96*Rates_current!$F$78*100*12</f>
        <v>-1451503.6601999998</v>
      </c>
      <c r="Q94" s="116"/>
      <c r="R94" s="116">
        <f>SUMPRODUCT('Staging Table'!CW96:DH96, LS_Demand_Rates_Restatement!$C$11:$N$11)*1000</f>
        <v>0</v>
      </c>
      <c r="S94" s="117"/>
      <c r="T94" s="117">
        <v>0</v>
      </c>
      <c r="U94" s="117">
        <f>IF('Staging Table'!D96=1, 'Staging Table'!BU96*-1*'Staging Table'!BS96/'Staging Table'!BR96,SUM(O94:T94)*'Staging Table'!BU96*-1)</f>
        <v>-475045.84937210107</v>
      </c>
      <c r="V94" s="115">
        <f>'Staging Table'!BX96*Rates_current!$I$44*-1</f>
        <v>0</v>
      </c>
      <c r="W94" s="115" t="str">
        <f>IF('Staging Table'!C96=1,"",SUM(O94:V94))</f>
        <v/>
      </c>
      <c r="X94" s="115" t="str">
        <f>IF('Staging Table'!C96=1,"",(RT1SC!$C$4*'Staging Table'!BS96*'Staging Table'!$BS$2))</f>
        <v/>
      </c>
      <c r="Y94" s="69" t="str">
        <f>IF('Staging Table'!C96=1,"",IF(X94=0, 0, W94/X94))</f>
        <v/>
      </c>
      <c r="Z94" s="64" t="str">
        <f ca="1">IF('Staging Table'!C96=1,"",(Y94/N94-1)+(RAND()/100000000000))</f>
        <v/>
      </c>
      <c r="AA94" s="45" t="str">
        <f t="shared" ca="1" si="5"/>
        <v/>
      </c>
      <c r="AD94" s="119"/>
      <c r="AE94" s="119"/>
      <c r="AG94" s="119"/>
      <c r="AH94" s="119"/>
    </row>
    <row r="95" spans="2:34">
      <c r="B95" s="2">
        <v>10291</v>
      </c>
      <c r="C95" s="3" t="s">
        <v>99</v>
      </c>
      <c r="D95" s="115">
        <f>IF(Init!$R$9="Yes",'Staging Table'!F97,'Staging Table'!BS97)*Rates_previous!$E$76*100*12</f>
        <v>28196411.98824</v>
      </c>
      <c r="E95" s="115">
        <f>IF(Init!$R$9="Yes",'Staging Table'!F97,'Staging Table'!BS97)*Rates_previous!$E$77*100*12</f>
        <v>-5756550.4681200003</v>
      </c>
      <c r="F95" s="116"/>
      <c r="G95" s="116">
        <f>IF(Init!$R$9="Yes",SUMPRODUCT('Staging Table'!AJ97:AU97,LS_Demand_Rates_Restatement!$C$10:$N$10),SUMPRODUCT(LS_Demand_Rates_Restatement!$C$10:$N$10,'Staging Table'!CW97:DH97))*1000</f>
        <v>1839289.7489583329</v>
      </c>
      <c r="H95" s="117"/>
      <c r="I95" s="115">
        <v>0</v>
      </c>
      <c r="J95" s="117">
        <f>IF(Init!$R$9="Yes",IF('Staging Table'!D97=1,'Staging Table'!H97*-1*'Staging Table'!F97/'Staging Table'!E97,'Staging Table'!H97*SUM(D95:I95)*(-1)),IF('Staging Table'!D97=1,'Staging Table'!BU97*-1*'Staging Table'!BS97/'Staging Table'!BR97,'Staging Table'!BU97*SUM(D95:I95)*(-1)))</f>
        <v>-1213957.5634539167</v>
      </c>
      <c r="K95" s="115">
        <f>IF(Init!$R$9="Yes",'Staging Table'!K97,'Staging Table'!BX97)*(-1)*Rates_previous!$H$32</f>
        <v>-419535.15356999997</v>
      </c>
      <c r="L95" s="115">
        <f>IF('Staging Table'!C97=1,"",SUM(D95:K95))</f>
        <v>22645658.552054416</v>
      </c>
      <c r="M95" s="115">
        <f>IF('Staging Table'!C97=1,"",IF(Init!$R$9="Yes",(RT1SC!$C$3*'Staging Table'!F97*'Staging Table'!$F$2),X95))</f>
        <v>702264.1931935919</v>
      </c>
      <c r="N95" s="69">
        <f>IF('Staging Table'!C97=1,"",IF(M95=0, 0, L95/M95))</f>
        <v>32.246637051323688</v>
      </c>
      <c r="O95" s="115">
        <f>'Staging Table'!BS97*Rates_current!$F$77*100*12</f>
        <v>29010284.534400001</v>
      </c>
      <c r="P95" s="115">
        <f>'Staging Table'!BS97*Rates_current!$F$78*100*12</f>
        <v>-4646670.1151999999</v>
      </c>
      <c r="Q95" s="116"/>
      <c r="R95" s="116">
        <f>SUMPRODUCT('Staging Table'!CW97:DH97, LS_Demand_Rates_Restatement!$C$11:$N$11)*1000</f>
        <v>2043536.9376006939</v>
      </c>
      <c r="S95" s="117"/>
      <c r="T95" s="117">
        <v>0</v>
      </c>
      <c r="U95" s="117">
        <f>IF('Staging Table'!D97=1, 'Staging Table'!BU97*-1*'Staging Table'!BS97/'Staging Table'!BR97,SUM(O95:T95)*'Staging Table'!BU97*-1)</f>
        <v>-1435585.0358388324</v>
      </c>
      <c r="V95" s="115">
        <f>'Staging Table'!BX97*Rates_current!$I$44*-1</f>
        <v>-433676.78795999999</v>
      </c>
      <c r="W95" s="115">
        <f>IF('Staging Table'!C97=1,"",SUM(O95:V95))</f>
        <v>24537889.533001866</v>
      </c>
      <c r="X95" s="115">
        <f>IF('Staging Table'!C97=1,"",(RT1SC!$C$4*'Staging Table'!BS97*'Staging Table'!$BS$2))</f>
        <v>697632.01330483216</v>
      </c>
      <c r="Y95" s="69">
        <f>IF('Staging Table'!C97=1,"",IF(X95=0, 0, W95/X95))</f>
        <v>35.17311285180368</v>
      </c>
      <c r="Z95" s="64">
        <f ca="1">IF('Staging Table'!C97=1,"",(Y95/N95-1)+(RAND()/100000000000))</f>
        <v>9.0752899166179193E-2</v>
      </c>
      <c r="AA95" s="45">
        <f t="shared" ca="1" si="5"/>
        <v>99</v>
      </c>
      <c r="AD95" s="119"/>
      <c r="AE95" s="119"/>
      <c r="AG95" s="119"/>
      <c r="AH95" s="119"/>
    </row>
    <row r="96" spans="2:34">
      <c r="B96" s="2">
        <v>10294</v>
      </c>
      <c r="C96" s="3" t="s">
        <v>100</v>
      </c>
      <c r="D96" s="115">
        <f>IF(Init!$R$9="Yes",'Staging Table'!F98,'Staging Table'!BS98)*Rates_previous!$E$76*100*12</f>
        <v>13101129.130320001</v>
      </c>
      <c r="E96" s="115">
        <f>IF(Init!$R$9="Yes",'Staging Table'!F98,'Staging Table'!BS98)*Rates_previous!$E$77*100*12</f>
        <v>-2674713.0471599996</v>
      </c>
      <c r="F96" s="116"/>
      <c r="G96" s="116">
        <f>IF(Init!$R$9="Yes",SUMPRODUCT('Staging Table'!AJ98:AU98,LS_Demand_Rates_Restatement!$C$10:$N$10),SUMPRODUCT(LS_Demand_Rates_Restatement!$C$10:$N$10,'Staging Table'!CW98:DH98))*1000</f>
        <v>846879.2312905984</v>
      </c>
      <c r="H96" s="117"/>
      <c r="I96" s="115">
        <v>0</v>
      </c>
      <c r="J96" s="117">
        <f>IF(Init!$R$9="Yes",IF('Staging Table'!D98=1,'Staging Table'!H98*-1*'Staging Table'!F98/'Staging Table'!E98,'Staging Table'!H98*SUM(D96:I96)*(-1)),IF('Staging Table'!D98=1,'Staging Table'!BU98*-1*'Staging Table'!BS98/'Staging Table'!BR98,'Staging Table'!BU98*SUM(D96:I96)*(-1)))</f>
        <v>0</v>
      </c>
      <c r="K96" s="115">
        <f>IF(Init!$R$9="Yes",'Staging Table'!K98,'Staging Table'!BX98)*(-1)*Rates_previous!$H$32</f>
        <v>0</v>
      </c>
      <c r="L96" s="115">
        <f>IF('Staging Table'!C98=1,"",SUM(D96:K96))</f>
        <v>11273295.314450599</v>
      </c>
      <c r="M96" s="115">
        <f>IF('Staging Table'!C98=1,"",IF(Init!$R$9="Yes",(RT1SC!$C$3*'Staging Table'!F98*'Staging Table'!$F$2),X96))</f>
        <v>326298.74618325604</v>
      </c>
      <c r="N96" s="69">
        <f>IF('Staging Table'!C98=1,"",IF(M96=0, 0, L96/M96))</f>
        <v>34.548999793334438</v>
      </c>
      <c r="O96" s="115">
        <f>'Staging Table'!BS98*Rates_current!$F$77*100*12</f>
        <v>13309156.925999999</v>
      </c>
      <c r="P96" s="115">
        <f>'Staging Table'!BS98*Rates_current!$F$78*100*12</f>
        <v>-2131770.2579999999</v>
      </c>
      <c r="Q96" s="116"/>
      <c r="R96" s="116">
        <f>SUMPRODUCT('Staging Table'!CW98:DH98, LS_Demand_Rates_Restatement!$C$11:$N$11)*1000</f>
        <v>942925.46974394599</v>
      </c>
      <c r="S96" s="117"/>
      <c r="T96" s="117">
        <v>0</v>
      </c>
      <c r="U96" s="117">
        <f>IF('Staging Table'!D98=1, 'Staging Table'!BU98*-1*'Staging Table'!BS98/'Staging Table'!BR98,SUM(O96:T96)*'Staging Table'!BU98*-1)</f>
        <v>0</v>
      </c>
      <c r="V96" s="115">
        <f>'Staging Table'!BX98*Rates_current!$I$44*-1</f>
        <v>0</v>
      </c>
      <c r="W96" s="115">
        <f>IF('Staging Table'!C98=1,"",SUM(O96:V96))</f>
        <v>12120312.137743946</v>
      </c>
      <c r="X96" s="115">
        <f>IF('Staging Table'!C98=1,"",(RT1SC!$C$4*'Staging Table'!BS98*'Staging Table'!$BS$2))</f>
        <v>320055.25249728002</v>
      </c>
      <c r="Y96" s="69">
        <f>IF('Staging Table'!C98=1,"",IF(X96=0, 0, W96/X96))</f>
        <v>37.869436739979605</v>
      </c>
      <c r="Z96" s="64">
        <f ca="1">IF('Staging Table'!C98=1,"",(Y96/N96-1)+(RAND()/100000000000))</f>
        <v>9.6108048475793281E-2</v>
      </c>
      <c r="AA96" s="45">
        <f t="shared" ca="1" si="5"/>
        <v>34</v>
      </c>
      <c r="AD96" s="119"/>
      <c r="AE96" s="119"/>
      <c r="AG96" s="119"/>
      <c r="AH96" s="119"/>
    </row>
    <row r="97" spans="2:34">
      <c r="B97" s="2">
        <v>10304</v>
      </c>
      <c r="C97" s="3" t="s">
        <v>101</v>
      </c>
      <c r="D97" s="115">
        <f>IF(Init!$R$9="Yes",'Staging Table'!F99,'Staging Table'!BS99)*Rates_previous!$E$76*100*12</f>
        <v>4837784.5583999995</v>
      </c>
      <c r="E97" s="115">
        <f>IF(Init!$R$9="Yes",'Staging Table'!F99,'Staging Table'!BS99)*Rates_previous!$E$77*100*12</f>
        <v>-987677.11919999984</v>
      </c>
      <c r="F97" s="116"/>
      <c r="G97" s="116">
        <f>IF(Init!$R$9="Yes",SUMPRODUCT('Staging Table'!AJ99:AU99,LS_Demand_Rates_Restatement!$C$10:$N$10),SUMPRODUCT(LS_Demand_Rates_Restatement!$C$10:$N$10,'Staging Table'!CW99:DH99))*1000</f>
        <v>227825.96090077457</v>
      </c>
      <c r="H97" s="117"/>
      <c r="I97" s="115">
        <v>0</v>
      </c>
      <c r="J97" s="117">
        <f>IF(Init!$R$9="Yes",IF('Staging Table'!D99=1,'Staging Table'!H99*-1*'Staging Table'!F99/'Staging Table'!E99,'Staging Table'!H99*SUM(D97:I97)*(-1)),IF('Staging Table'!D99=1,'Staging Table'!BU99*-1*'Staging Table'!BS99/'Staging Table'!BR99,'Staging Table'!BU99*SUM(D97:I97)*(-1)))</f>
        <v>0</v>
      </c>
      <c r="K97" s="115">
        <f>IF(Init!$R$9="Yes",'Staging Table'!K99,'Staging Table'!BX99)*(-1)*Rates_previous!$H$32</f>
        <v>0</v>
      </c>
      <c r="L97" s="115">
        <f>IF('Staging Table'!C99=1,"",SUM(D97:K97))</f>
        <v>4077933.4001007746</v>
      </c>
      <c r="M97" s="115">
        <f>IF('Staging Table'!C99=1,"",IF(Init!$R$9="Yes",(RT1SC!$C$3*'Staging Table'!F99*'Staging Table'!$F$2),X97))</f>
        <v>120490.60962671999</v>
      </c>
      <c r="N97" s="69">
        <f>IF('Staging Table'!C99=1,"",IF(M97=0, 0, L97/M97))</f>
        <v>33.844408396091744</v>
      </c>
      <c r="O97" s="115">
        <f>'Staging Table'!BS99*Rates_current!$F$77*100*12</f>
        <v>4941144.2885999996</v>
      </c>
      <c r="P97" s="115">
        <f>'Staging Table'!BS99*Rates_current!$F$78*100*12</f>
        <v>-791438.89379999996</v>
      </c>
      <c r="Q97" s="116"/>
      <c r="R97" s="116">
        <f>SUMPRODUCT('Staging Table'!CW99:DH99, LS_Demand_Rates_Restatement!$C$11:$N$11)*1000</f>
        <v>237862.6163338942</v>
      </c>
      <c r="S97" s="117"/>
      <c r="T97" s="117">
        <v>0</v>
      </c>
      <c r="U97" s="117">
        <f>IF('Staging Table'!D99=1, 'Staging Table'!BU99*-1*'Staging Table'!BS99/'Staging Table'!BR99,SUM(O97:T97)*'Staging Table'!BU99*-1)</f>
        <v>0</v>
      </c>
      <c r="V97" s="115">
        <f>'Staging Table'!BX99*Rates_current!$I$44*-1</f>
        <v>0</v>
      </c>
      <c r="W97" s="115">
        <f>IF('Staging Table'!C99=1,"",SUM(O97:V97))</f>
        <v>4387568.0111338943</v>
      </c>
      <c r="X97" s="115">
        <f>IF('Staging Table'!C99=1,"",(RT1SC!$C$4*'Staging Table'!BS99*'Staging Table'!$BS$2))</f>
        <v>118823.39292460799</v>
      </c>
      <c r="Y97" s="69">
        <f>IF('Staging Table'!C99=1,"",IF(X97=0, 0, W97/X97))</f>
        <v>36.925119735621024</v>
      </c>
      <c r="Z97" s="64">
        <f ca="1">IF('Staging Table'!C99=1,"",(Y97/N97-1)+(RAND()/100000000000))</f>
        <v>9.1025711065444687E-2</v>
      </c>
      <c r="AA97" s="45">
        <f t="shared" ca="1" si="5"/>
        <v>97</v>
      </c>
      <c r="AD97" s="119"/>
      <c r="AE97" s="119"/>
      <c r="AG97" s="119"/>
      <c r="AH97" s="119"/>
    </row>
    <row r="98" spans="2:34">
      <c r="B98" s="2">
        <v>10306</v>
      </c>
      <c r="C98" s="3" t="s">
        <v>102</v>
      </c>
      <c r="D98" s="115">
        <f>IF(Init!$R$9="Yes",'Staging Table'!F100,'Staging Table'!BS100)*Rates_previous!$E$76*100*12</f>
        <v>5492205.77544</v>
      </c>
      <c r="E98" s="115">
        <f>IF(Init!$R$9="Yes",'Staging Table'!F100,'Staging Table'!BS100)*Rates_previous!$E$77*100*12</f>
        <v>-1121283.0817199999</v>
      </c>
      <c r="F98" s="116"/>
      <c r="G98" s="116">
        <f>IF(Init!$R$9="Yes",SUMPRODUCT('Staging Table'!AJ100:AU100,LS_Demand_Rates_Restatement!$C$10:$N$10),SUMPRODUCT(LS_Demand_Rates_Restatement!$C$10:$N$10,'Staging Table'!CW100:DH100))*1000</f>
        <v>0</v>
      </c>
      <c r="H98" s="117"/>
      <c r="I98" s="115">
        <v>0</v>
      </c>
      <c r="J98" s="117">
        <f>IF(Init!$R$9="Yes",IF('Staging Table'!D100=1,'Staging Table'!H100*-1*'Staging Table'!F100/'Staging Table'!E100,'Staging Table'!H100*SUM(D98:I98)*(-1)),IF('Staging Table'!D100=1,'Staging Table'!BU100*-1*'Staging Table'!BS100/'Staging Table'!BR100,'Staging Table'!BU100*SUM(D98:I98)*(-1)))</f>
        <v>0</v>
      </c>
      <c r="K98" s="115">
        <f>IF(Init!$R$9="Yes",'Staging Table'!K100,'Staging Table'!BX100)*(-1)*Rates_previous!$H$32</f>
        <v>0</v>
      </c>
      <c r="L98" s="115">
        <f>IF('Staging Table'!C100=1,"",SUM(D98:K98))</f>
        <v>4370922.6937199999</v>
      </c>
      <c r="M98" s="115">
        <f>IF('Staging Table'!C100=1,"",IF(Init!$R$9="Yes",(RT1SC!$C$3*'Staging Table'!F100*'Staging Table'!$F$2),X98))</f>
        <v>136789.725563352</v>
      </c>
      <c r="N98" s="69">
        <f>IF('Staging Table'!C100=1,"",IF(M98=0, 0, L98/M98))</f>
        <v>31.953589172862813</v>
      </c>
      <c r="O98" s="115">
        <f>'Staging Table'!BS100*Rates_current!$F$77*100*12</f>
        <v>5562963.432000001</v>
      </c>
      <c r="P98" s="115">
        <f>'Staging Table'!BS100*Rates_current!$F$78*100*12</f>
        <v>-891037.65600000008</v>
      </c>
      <c r="Q98" s="116"/>
      <c r="R98" s="116">
        <f>SUMPRODUCT('Staging Table'!CW100:DH100, LS_Demand_Rates_Restatement!$C$11:$N$11)*1000</f>
        <v>0</v>
      </c>
      <c r="S98" s="117"/>
      <c r="T98" s="117">
        <v>0</v>
      </c>
      <c r="U98" s="117">
        <f>IF('Staging Table'!D100=1, 'Staging Table'!BU100*-1*'Staging Table'!BS100/'Staging Table'!BR100,SUM(O98:T98)*'Staging Table'!BU100*-1)</f>
        <v>0</v>
      </c>
      <c r="V98" s="115">
        <f>'Staging Table'!BX100*Rates_current!$I$44*-1</f>
        <v>0</v>
      </c>
      <c r="W98" s="115">
        <f>IF('Staging Table'!C100=1,"",SUM(O98:V98))</f>
        <v>4671925.7760000005</v>
      </c>
      <c r="X98" s="115">
        <f>IF('Staging Table'!C100=1,"",(RT1SC!$C$4*'Staging Table'!BS100*'Staging Table'!$BS$2))</f>
        <v>133776.74301696001</v>
      </c>
      <c r="Y98" s="69">
        <f>IF('Staging Table'!C100=1,"",IF(X98=0, 0, W98/X98))</f>
        <v>34.92330333836653</v>
      </c>
      <c r="Z98" s="64">
        <f ca="1">IF('Staging Table'!C100=1,"",(Y98/N98-1)+(RAND()/100000000000))</f>
        <v>9.2938359744164922E-2</v>
      </c>
      <c r="AA98" s="45">
        <f t="shared" ca="1" si="5"/>
        <v>79</v>
      </c>
      <c r="AD98" s="119"/>
      <c r="AE98" s="119"/>
      <c r="AG98" s="119"/>
      <c r="AH98" s="119"/>
    </row>
    <row r="99" spans="2:34">
      <c r="B99" s="2">
        <v>10307</v>
      </c>
      <c r="C99" s="3" t="s">
        <v>103</v>
      </c>
      <c r="D99" s="115">
        <f>IF(Init!$R$9="Yes",'Staging Table'!F101,'Staging Table'!BS101)*Rates_previous!$E$76*100*12</f>
        <v>24763627.682640001</v>
      </c>
      <c r="E99" s="115">
        <f>IF(Init!$R$9="Yes",'Staging Table'!F101,'Staging Table'!BS101)*Rates_previous!$E$77*100*12</f>
        <v>-5055716.7553199995</v>
      </c>
      <c r="F99" s="116"/>
      <c r="G99" s="116">
        <f>IF(Init!$R$9="Yes",SUMPRODUCT('Staging Table'!AJ101:AU101,LS_Demand_Rates_Restatement!$C$10:$N$10),SUMPRODUCT(LS_Demand_Rates_Restatement!$C$10:$N$10,'Staging Table'!CW101:DH101))*1000</f>
        <v>1877557.165327511</v>
      </c>
      <c r="H99" s="117"/>
      <c r="I99" s="115">
        <v>0</v>
      </c>
      <c r="J99" s="117">
        <f>IF(Init!$R$9="Yes",IF('Staging Table'!D101=1,'Staging Table'!H101*-1*'Staging Table'!F101/'Staging Table'!E101,'Staging Table'!H101*SUM(D99:I99)*(-1)),IF('Staging Table'!D101=1,'Staging Table'!BU101*-1*'Staging Table'!BS101/'Staging Table'!BR101,'Staging Table'!BU101*SUM(D99:I99)*(-1)))</f>
        <v>0</v>
      </c>
      <c r="K99" s="115">
        <f>IF(Init!$R$9="Yes",'Staging Table'!K101,'Staging Table'!BX101)*(-1)*Rates_previous!$H$32</f>
        <v>0</v>
      </c>
      <c r="L99" s="115">
        <f>IF('Staging Table'!C101=1,"",SUM(D99:K99))</f>
        <v>21585468.092647515</v>
      </c>
      <c r="M99" s="115">
        <f>IF('Staging Table'!C101=1,"",IF(Init!$R$9="Yes",(RT1SC!$C$3*'Staging Table'!F101*'Staging Table'!$F$2),X99))</f>
        <v>616766.736929112</v>
      </c>
      <c r="N99" s="69">
        <f>IF('Staging Table'!C101=1,"",IF(M99=0, 0, L99/M99))</f>
        <v>34.997782468169063</v>
      </c>
      <c r="O99" s="115">
        <f>'Staging Table'!BS101*Rates_current!$F$77*100*12</f>
        <v>25374675.565200001</v>
      </c>
      <c r="P99" s="115">
        <f>'Staging Table'!BS101*Rates_current!$F$78*100*12</f>
        <v>-4064342.9916000003</v>
      </c>
      <c r="Q99" s="116"/>
      <c r="R99" s="116">
        <f>SUMPRODUCT('Staging Table'!CW101:DH101, LS_Demand_Rates_Restatement!$C$11:$N$11)*1000</f>
        <v>2008074.7789833245</v>
      </c>
      <c r="S99" s="117"/>
      <c r="T99" s="117">
        <v>0</v>
      </c>
      <c r="U99" s="117">
        <f>IF('Staging Table'!D101=1, 'Staging Table'!BU101*-1*'Staging Table'!BS101/'Staging Table'!BR101,SUM(O99:T99)*'Staging Table'!BU101*-1)</f>
        <v>0</v>
      </c>
      <c r="V99" s="115">
        <f>'Staging Table'!BX101*Rates_current!$I$44*-1</f>
        <v>0</v>
      </c>
      <c r="W99" s="115">
        <f>IF('Staging Table'!C101=1,"",SUM(O99:V99))</f>
        <v>23318407.352583326</v>
      </c>
      <c r="X99" s="115">
        <f>IF('Staging Table'!C101=1,"",(RT1SC!$C$4*'Staging Table'!BS101*'Staging Table'!$BS$2))</f>
        <v>610203.80480985611</v>
      </c>
      <c r="Y99" s="69">
        <f>IF('Staging Table'!C101=1,"",IF(X99=0, 0, W99/X99))</f>
        <v>38.214129719904825</v>
      </c>
      <c r="Z99" s="64">
        <f ca="1">IF('Staging Table'!C101=1,"",(Y99/N99-1)+(RAND()/100000000000))</f>
        <v>9.1901458466506228E-2</v>
      </c>
      <c r="AA99" s="45">
        <f t="shared" ca="1" si="5"/>
        <v>91</v>
      </c>
      <c r="AD99" s="119"/>
      <c r="AE99" s="119"/>
      <c r="AG99" s="119"/>
      <c r="AH99" s="119"/>
    </row>
    <row r="100" spans="2:34">
      <c r="B100" s="2">
        <v>10326</v>
      </c>
      <c r="C100" s="3" t="s">
        <v>104</v>
      </c>
      <c r="D100" s="115">
        <f>IF(Init!$R$9="Yes",'Staging Table'!F102,'Staging Table'!BS102)*Rates_previous!$E$76*100*12</f>
        <v>10985158.89144</v>
      </c>
      <c r="E100" s="115">
        <f>IF(Init!$R$9="Yes",'Staging Table'!F102,'Staging Table'!BS102)*Rates_previous!$E$77*100*12</f>
        <v>-2242718.73972</v>
      </c>
      <c r="F100" s="116"/>
      <c r="G100" s="116">
        <f>IF(Init!$R$9="Yes",SUMPRODUCT('Staging Table'!AJ102:AU102,LS_Demand_Rates_Restatement!$C$10:$N$10),SUMPRODUCT(LS_Demand_Rates_Restatement!$C$10:$N$10,'Staging Table'!CW102:DH102))*1000</f>
        <v>220322.63786412933</v>
      </c>
      <c r="H100" s="117"/>
      <c r="I100" s="115">
        <v>0</v>
      </c>
      <c r="J100" s="117">
        <f>IF(Init!$R$9="Yes",IF('Staging Table'!D102=1,'Staging Table'!H102*-1*'Staging Table'!F102/'Staging Table'!E102,'Staging Table'!H102*SUM(D100:I100)*(-1)),IF('Staging Table'!D102=1,'Staging Table'!BU102*-1*'Staging Table'!BS102/'Staging Table'!BR102,'Staging Table'!BU102*SUM(D100:I100)*(-1)))</f>
        <v>0</v>
      </c>
      <c r="K100" s="115">
        <f>IF(Init!$R$9="Yes",'Staging Table'!K102,'Staging Table'!BX102)*(-1)*Rates_previous!$H$32</f>
        <v>0</v>
      </c>
      <c r="L100" s="115">
        <f>IF('Staging Table'!C102=1,"",SUM(D100:K100))</f>
        <v>8962762.78958413</v>
      </c>
      <c r="M100" s="115">
        <f>IF('Staging Table'!C102=1,"",IF(Init!$R$9="Yes",(RT1SC!$C$3*'Staging Table'!F102*'Staging Table'!$F$2),X100))</f>
        <v>273598.064506152</v>
      </c>
      <c r="N100" s="69">
        <f>IF('Staging Table'!C102=1,"",IF(M100=0, 0, L100/M100))</f>
        <v>32.758867668753545</v>
      </c>
      <c r="O100" s="115">
        <f>'Staging Table'!BS102*Rates_current!$F$77*100*12</f>
        <v>10560825.085200001</v>
      </c>
      <c r="P100" s="115">
        <f>'Staging Table'!BS102*Rates_current!$F$78*100*12</f>
        <v>-1691561.1516000002</v>
      </c>
      <c r="Q100" s="116"/>
      <c r="R100" s="116">
        <f>SUMPRODUCT('Staging Table'!CW102:DH102, LS_Demand_Rates_Restatement!$C$11:$N$11)*1000</f>
        <v>241782.60643164162</v>
      </c>
      <c r="S100" s="117"/>
      <c r="T100" s="117">
        <v>0</v>
      </c>
      <c r="U100" s="117">
        <f>IF('Staging Table'!D102=1, 'Staging Table'!BU102*-1*'Staging Table'!BS102/'Staging Table'!BR102,SUM(O100:T100)*'Staging Table'!BU102*-1)</f>
        <v>0</v>
      </c>
      <c r="V100" s="115">
        <f>'Staging Table'!BX102*Rates_current!$I$44*-1</f>
        <v>0</v>
      </c>
      <c r="W100" s="115">
        <f>IF('Staging Table'!C102=1,"",SUM(O100:V100))</f>
        <v>9111046.5400316417</v>
      </c>
      <c r="X100" s="115">
        <f>IF('Staging Table'!C102=1,"",(RT1SC!$C$4*'Staging Table'!BS102*'Staging Table'!$BS$2))</f>
        <v>253964.06083545604</v>
      </c>
      <c r="Y100" s="69">
        <f>IF('Staging Table'!C102=1,"",IF(X100=0, 0, W100/X100))</f>
        <v>35.875338069722837</v>
      </c>
      <c r="Z100" s="64">
        <f ca="1">IF('Staging Table'!C102=1,"",(Y100/N100-1)+(RAND()/100000000000))</f>
        <v>9.5133642364090942E-2</v>
      </c>
      <c r="AA100" s="45">
        <f t="shared" ref="AA100:AA131" ca="1" si="6">IF(Z100="","",RANK(Z100,$Z$4:$Z$137))</f>
        <v>44</v>
      </c>
      <c r="AD100" s="119"/>
      <c r="AE100" s="119"/>
      <c r="AG100" s="119"/>
      <c r="AH100" s="119"/>
    </row>
    <row r="101" spans="2:34">
      <c r="B101" s="2">
        <v>10331</v>
      </c>
      <c r="C101" s="3" t="s">
        <v>105</v>
      </c>
      <c r="D101" s="115">
        <f>IF(Init!$R$9="Yes",'Staging Table'!F103,'Staging Table'!BS103)*Rates_previous!$E$76*100*12</f>
        <v>12752370.202320002</v>
      </c>
      <c r="E101" s="115">
        <f>IF(Init!$R$9="Yes",'Staging Table'!F103,'Staging Table'!BS103)*Rates_previous!$E$77*100*12</f>
        <v>-2603510.7831599996</v>
      </c>
      <c r="F101" s="116"/>
      <c r="G101" s="116">
        <f>IF(Init!$R$9="Yes",SUMPRODUCT('Staging Table'!AJ103:AU103,LS_Demand_Rates_Restatement!$C$10:$N$10),SUMPRODUCT(LS_Demand_Rates_Restatement!$C$10:$N$10,'Staging Table'!CW103:DH103))*1000</f>
        <v>0</v>
      </c>
      <c r="H101" s="117"/>
      <c r="I101" s="115">
        <v>0</v>
      </c>
      <c r="J101" s="117">
        <f>IF(Init!$R$9="Yes",IF('Staging Table'!D103=1,'Staging Table'!H103*-1*'Staging Table'!F103/'Staging Table'!E103,'Staging Table'!H103*SUM(D101:I101)*(-1)),IF('Staging Table'!D103=1,'Staging Table'!BU103*-1*'Staging Table'!BS103/'Staging Table'!BR103,'Staging Table'!BU103*SUM(D101:I101)*(-1)))</f>
        <v>-710420.15934120025</v>
      </c>
      <c r="K101" s="115">
        <f>IF(Init!$R$9="Yes",'Staging Table'!K103,'Staging Table'!BX103)*(-1)*Rates_previous!$H$32</f>
        <v>-1539814.9470600002</v>
      </c>
      <c r="L101" s="115" t="str">
        <f>IF('Staging Table'!C103=1,"",SUM(D101:K101))</f>
        <v/>
      </c>
      <c r="M101" s="115" t="str">
        <f>IF('Staging Table'!C103=1,"",IF(Init!$R$9="Yes",(RT1SC!$C$3*'Staging Table'!F103*'Staging Table'!$F$2),X101))</f>
        <v/>
      </c>
      <c r="N101" s="69" t="str">
        <f>IF('Staging Table'!C103=1,"",IF(M101=0, 0, L101/M101))</f>
        <v/>
      </c>
      <c r="O101" s="115">
        <f>'Staging Table'!BS103*Rates_current!$F$77*100*12</f>
        <v>13410160.452</v>
      </c>
      <c r="P101" s="115">
        <f>'Staging Table'!BS103*Rates_current!$F$78*100*12</f>
        <v>-2147948.3160000001</v>
      </c>
      <c r="Q101" s="116"/>
      <c r="R101" s="116">
        <f>SUMPRODUCT('Staging Table'!CW103:DH103, LS_Demand_Rates_Restatement!$C$11:$N$11)*1000</f>
        <v>0</v>
      </c>
      <c r="S101" s="117"/>
      <c r="T101" s="117">
        <v>0</v>
      </c>
      <c r="U101" s="117">
        <f>IF('Staging Table'!D103=1, 'Staging Table'!BU103*-1*'Staging Table'!BS103/'Staging Table'!BR103,SUM(O101:T101)*'Staging Table'!BU103*-1)</f>
        <v>-834076.1328635253</v>
      </c>
      <c r="V101" s="115">
        <f>'Staging Table'!BX103*Rates_current!$I$44*-1</f>
        <v>-1591718.8216800003</v>
      </c>
      <c r="W101" s="115" t="str">
        <f>IF('Staging Table'!C103=1,"",SUM(O101:V101))</f>
        <v/>
      </c>
      <c r="X101" s="115" t="str">
        <f>IF('Staging Table'!C103=1,"",(RT1SC!$C$4*'Staging Table'!BS103*'Staging Table'!$BS$2))</f>
        <v/>
      </c>
      <c r="Y101" s="69" t="str">
        <f>IF('Staging Table'!C103=1,"",IF(X101=0, 0, W101/X101))</f>
        <v/>
      </c>
      <c r="Z101" s="64" t="str">
        <f ca="1">IF('Staging Table'!C103=1,"",(Y101/N101-1)+(RAND()/100000000000))</f>
        <v/>
      </c>
      <c r="AA101" s="45" t="str">
        <f t="shared" ca="1" si="6"/>
        <v/>
      </c>
      <c r="AD101" s="119"/>
      <c r="AE101" s="119"/>
      <c r="AG101" s="119"/>
      <c r="AH101" s="119"/>
    </row>
    <row r="102" spans="2:34">
      <c r="B102" s="2">
        <v>10333</v>
      </c>
      <c r="C102" s="3" t="s">
        <v>106</v>
      </c>
      <c r="D102" s="115">
        <f>IF(Init!$R$9="Yes",'Staging Table'!F104,'Staging Table'!BS104)*Rates_previous!$E$76*100*12</f>
        <v>6677238.7900800006</v>
      </c>
      <c r="E102" s="115">
        <f>IF(Init!$R$9="Yes",'Staging Table'!F104,'Staging Table'!BS104)*Rates_previous!$E$77*100*12</f>
        <v>-1363218.2030400001</v>
      </c>
      <c r="F102" s="116"/>
      <c r="G102" s="116">
        <f>IF(Init!$R$9="Yes",SUMPRODUCT('Staging Table'!AJ104:AU104,LS_Demand_Rates_Restatement!$C$10:$N$10),SUMPRODUCT(LS_Demand_Rates_Restatement!$C$10:$N$10,'Staging Table'!CW104:DH104))*1000</f>
        <v>0</v>
      </c>
      <c r="H102" s="117"/>
      <c r="I102" s="115">
        <v>0</v>
      </c>
      <c r="J102" s="117">
        <f>IF(Init!$R$9="Yes",IF('Staging Table'!D104=1,'Staging Table'!H104*-1*'Staging Table'!F104/'Staging Table'!E104,'Staging Table'!H104*SUM(D102:I102)*(-1)),IF('Staging Table'!D104=1,'Staging Table'!BU104*-1*'Staging Table'!BS104/'Staging Table'!BR104,'Staging Table'!BU104*SUM(D102:I102)*(-1)))</f>
        <v>-375411.23023755453</v>
      </c>
      <c r="K102" s="115">
        <f>IF(Init!$R$9="Yes",'Staging Table'!K104,'Staging Table'!BX104)*(-1)*Rates_previous!$H$32</f>
        <v>0</v>
      </c>
      <c r="L102" s="115" t="str">
        <f>IF('Staging Table'!C104=1,"",SUM(D102:K102))</f>
        <v/>
      </c>
      <c r="M102" s="115" t="str">
        <f>IF('Staging Table'!C104=1,"",IF(Init!$R$9="Yes",(RT1SC!$C$3*'Staging Table'!F104*'Staging Table'!$F$2),X102))</f>
        <v/>
      </c>
      <c r="N102" s="69" t="str">
        <f>IF('Staging Table'!C104=1,"",IF(M102=0, 0, L102/M102))</f>
        <v/>
      </c>
      <c r="O102" s="115">
        <f>'Staging Table'!BS104*Rates_current!$F$77*100*12</f>
        <v>6783552.1962000001</v>
      </c>
      <c r="P102" s="115">
        <f>'Staging Table'!BS104*Rates_current!$F$78*100*12</f>
        <v>-1086543.2645999999</v>
      </c>
      <c r="Q102" s="116"/>
      <c r="R102" s="116">
        <f>SUMPRODUCT('Staging Table'!CW104:DH104, LS_Demand_Rates_Restatement!$C$11:$N$11)*1000</f>
        <v>0</v>
      </c>
      <c r="S102" s="117"/>
      <c r="T102" s="117">
        <v>0</v>
      </c>
      <c r="U102" s="117">
        <f>IF('Staging Table'!D104=1, 'Staging Table'!BU104*-1*'Staging Table'!BS104/'Staging Table'!BR104,SUM(O102:T102)*'Staging Table'!BU104*-1)</f>
        <v>-431084.48531401361</v>
      </c>
      <c r="V102" s="115">
        <f>'Staging Table'!BX104*Rates_current!$I$44*-1</f>
        <v>0</v>
      </c>
      <c r="W102" s="115" t="str">
        <f>IF('Staging Table'!C104=1,"",SUM(O102:V102))</f>
        <v/>
      </c>
      <c r="X102" s="115" t="str">
        <f>IF('Staging Table'!C104=1,"",(RT1SC!$C$4*'Staging Table'!BS104*'Staging Table'!$BS$2))</f>
        <v/>
      </c>
      <c r="Y102" s="69" t="str">
        <f>IF('Staging Table'!C104=1,"",IF(X102=0, 0, W102/X102))</f>
        <v/>
      </c>
      <c r="Z102" s="64" t="str">
        <f ca="1">IF('Staging Table'!C104=1,"",(Y102/N102-1)+(RAND()/100000000000))</f>
        <v/>
      </c>
      <c r="AA102" s="45" t="str">
        <f t="shared" ca="1" si="6"/>
        <v/>
      </c>
      <c r="AD102" s="119"/>
      <c r="AE102" s="119"/>
      <c r="AG102" s="119"/>
      <c r="AH102" s="119"/>
    </row>
    <row r="103" spans="2:34">
      <c r="B103" s="2">
        <v>10338</v>
      </c>
      <c r="C103" s="3" t="s">
        <v>107</v>
      </c>
      <c r="D103" s="115">
        <f>IF(Init!$R$9="Yes",'Staging Table'!F105,'Staging Table'!BS105)*Rates_previous!$E$76*100*12</f>
        <v>855704.9412</v>
      </c>
      <c r="E103" s="115">
        <f>IF(Init!$R$9="Yes",'Staging Table'!F105,'Staging Table'!BS105)*Rates_previous!$E$77*100*12</f>
        <v>-174699.8406</v>
      </c>
      <c r="F103" s="116"/>
      <c r="G103" s="116">
        <f>IF(Init!$R$9="Yes",SUMPRODUCT('Staging Table'!AJ105:AU105,LS_Demand_Rates_Restatement!$C$10:$N$10),SUMPRODUCT(LS_Demand_Rates_Restatement!$C$10:$N$10,'Staging Table'!CW105:DH105))*1000</f>
        <v>51220.967150747871</v>
      </c>
      <c r="H103" s="117"/>
      <c r="I103" s="115">
        <v>0</v>
      </c>
      <c r="J103" s="117">
        <f>IF(Init!$R$9="Yes",IF('Staging Table'!D105=1,'Staging Table'!H105*-1*'Staging Table'!F105/'Staging Table'!E105,'Staging Table'!H105*SUM(D103:I103)*(-1)),IF('Staging Table'!D105=1,'Staging Table'!BU105*-1*'Staging Table'!BS105/'Staging Table'!BR105,'Staging Table'!BU105*SUM(D103:I103)*(-1)))</f>
        <v>-25502.943320522256</v>
      </c>
      <c r="K103" s="115">
        <f>IF(Init!$R$9="Yes",'Staging Table'!K105,'Staging Table'!BX105)*(-1)*Rates_previous!$H$32</f>
        <v>-48075.779699999999</v>
      </c>
      <c r="L103" s="115">
        <f>IF('Staging Table'!C105=1,"",SUM(D103:K103))</f>
        <v>658647.34473022574</v>
      </c>
      <c r="M103" s="115">
        <f>IF('Staging Table'!C105=1,"",IF(Init!$R$9="Yes",(RT1SC!$C$3*'Staging Table'!F105*'Staging Table'!$F$2),X103))</f>
        <v>21312.319467960002</v>
      </c>
      <c r="N103" s="69">
        <f>IF('Staging Table'!C105=1,"",IF(M103=0, 0, L103/M103))</f>
        <v>30.904536022951749</v>
      </c>
      <c r="O103" s="115">
        <f>'Staging Table'!BS105*Rates_current!$F$77*100*12</f>
        <v>869148.29040000006</v>
      </c>
      <c r="P103" s="115">
        <f>'Staging Table'!BS105*Rates_current!$F$78*100*12</f>
        <v>-139214.26320000002</v>
      </c>
      <c r="Q103" s="116"/>
      <c r="R103" s="116">
        <f>SUMPRODUCT('Staging Table'!CW105:DH105, LS_Demand_Rates_Restatement!$C$11:$N$11)*1000</f>
        <v>54206.754942672727</v>
      </c>
      <c r="S103" s="117"/>
      <c r="T103" s="117">
        <v>0</v>
      </c>
      <c r="U103" s="117">
        <f>IF('Staging Table'!D105=1, 'Staging Table'!BU105*-1*'Staging Table'!BS105/'Staging Table'!BR105,SUM(O103:T103)*'Staging Table'!BU105*-1)</f>
        <v>-28089.0664919255</v>
      </c>
      <c r="V103" s="115">
        <f>'Staging Table'!BX105*Rates_current!$I$44*-1</f>
        <v>-49696.311600000001</v>
      </c>
      <c r="W103" s="115">
        <f>IF('Staging Table'!C105=1,"",SUM(O103:V103))</f>
        <v>706355.40405074717</v>
      </c>
      <c r="X103" s="115">
        <f>IF('Staging Table'!C105=1,"",(RT1SC!$C$4*'Staging Table'!BS105*'Staging Table'!$BS$2))</f>
        <v>20901.059104512002</v>
      </c>
      <c r="Y103" s="69">
        <f>IF('Staging Table'!C105=1,"",IF(X103=0, 0, W103/X103))</f>
        <v>33.795196717962639</v>
      </c>
      <c r="Z103" s="64">
        <f ca="1">IF('Staging Table'!C105=1,"",(Y103/N103-1)+(RAND()/100000000000))</f>
        <v>9.3535159140222812E-2</v>
      </c>
      <c r="AA103" s="45">
        <f t="shared" ca="1" si="6"/>
        <v>67</v>
      </c>
      <c r="AD103" s="119"/>
      <c r="AE103" s="119"/>
      <c r="AG103" s="119"/>
      <c r="AH103" s="119"/>
    </row>
    <row r="104" spans="2:34">
      <c r="B104" s="2">
        <v>10342</v>
      </c>
      <c r="C104" s="3" t="s">
        <v>108</v>
      </c>
      <c r="D104" s="115">
        <f>IF(Init!$R$9="Yes",'Staging Table'!F106,'Staging Table'!BS106)*Rates_previous!$E$76*100*12</f>
        <v>13782703.721039999</v>
      </c>
      <c r="E104" s="115">
        <f>IF(Init!$R$9="Yes",'Staging Table'!F106,'Staging Table'!BS106)*Rates_previous!$E$77*100*12</f>
        <v>-2813862.6145199998</v>
      </c>
      <c r="F104" s="116"/>
      <c r="G104" s="116">
        <f>IF(Init!$R$9="Yes",SUMPRODUCT('Staging Table'!AJ106:AU106,LS_Demand_Rates_Restatement!$C$10:$N$10),SUMPRODUCT(LS_Demand_Rates_Restatement!$C$10:$N$10,'Staging Table'!CW106:DH106))*1000</f>
        <v>962950.40668084973</v>
      </c>
      <c r="H104" s="117"/>
      <c r="I104" s="115">
        <v>0</v>
      </c>
      <c r="J104" s="117">
        <f>IF(Init!$R$9="Yes",IF('Staging Table'!D106=1,'Staging Table'!H106*-1*'Staging Table'!F106/'Staging Table'!E106,'Staging Table'!H106*SUM(D104:I104)*(-1)),IF('Staging Table'!D106=1,'Staging Table'!BU106*-1*'Staging Table'!BS106/'Staging Table'!BR106,'Staging Table'!BU106*SUM(D104:I104)*(-1)))</f>
        <v>0</v>
      </c>
      <c r="K104" s="115">
        <f>IF(Init!$R$9="Yes",'Staging Table'!K106,'Staging Table'!BX106)*(-1)*Rates_previous!$H$32</f>
        <v>0</v>
      </c>
      <c r="L104" s="115">
        <f>IF('Staging Table'!C106=1,"",SUM(D104:K104))</f>
        <v>11931791.513200849</v>
      </c>
      <c r="M104" s="115">
        <f>IF('Staging Table'!C106=1,"",IF(Init!$R$9="Yes",(RT1SC!$C$3*'Staging Table'!F106*'Staging Table'!$F$2),X104))</f>
        <v>343274.14823983196</v>
      </c>
      <c r="N104" s="69">
        <f>IF('Staging Table'!C106=1,"",IF(M104=0, 0, L104/M104))</f>
        <v>34.758782665056913</v>
      </c>
      <c r="O104" s="115">
        <f>'Staging Table'!BS106*Rates_current!$F$77*100*12</f>
        <v>14175456.399</v>
      </c>
      <c r="P104" s="115">
        <f>'Staging Table'!BS106*Rates_current!$F$78*100*12</f>
        <v>-2270528.2169999997</v>
      </c>
      <c r="Q104" s="116"/>
      <c r="R104" s="116">
        <f>SUMPRODUCT('Staging Table'!CW106:DH106, LS_Demand_Rates_Restatement!$C$11:$N$11)*1000</f>
        <v>1032336.2331313574</v>
      </c>
      <c r="S104" s="117"/>
      <c r="T104" s="117">
        <v>0</v>
      </c>
      <c r="U104" s="117">
        <f>IF('Staging Table'!D106=1, 'Staging Table'!BU106*-1*'Staging Table'!BS106/'Staging Table'!BR106,SUM(O104:T104)*'Staging Table'!BU106*-1)</f>
        <v>0</v>
      </c>
      <c r="V104" s="115">
        <f>'Staging Table'!BX106*Rates_current!$I$44*-1</f>
        <v>0</v>
      </c>
      <c r="W104" s="115">
        <f>IF('Staging Table'!C106=1,"",SUM(O104:V104))</f>
        <v>12937264.415131357</v>
      </c>
      <c r="X104" s="115">
        <f>IF('Staging Table'!C106=1,"",(RT1SC!$C$4*'Staging Table'!BS106*'Staging Table'!$BS$2))</f>
        <v>340887.80395872</v>
      </c>
      <c r="Y104" s="69">
        <f>IF('Staging Table'!C106=1,"",IF(X104=0, 0, W104/X104))</f>
        <v>37.951678719189381</v>
      </c>
      <c r="Z104" s="64">
        <f ca="1">IF('Staging Table'!C106=1,"",(Y104/N104-1)+(RAND()/100000000000))</f>
        <v>9.1858684612688896E-2</v>
      </c>
      <c r="AA104" s="45">
        <f t="shared" ca="1" si="6"/>
        <v>92</v>
      </c>
      <c r="AD104" s="119"/>
      <c r="AE104" s="119"/>
      <c r="AG104" s="119"/>
      <c r="AH104" s="119"/>
    </row>
    <row r="105" spans="2:34">
      <c r="B105" s="2">
        <v>10343</v>
      </c>
      <c r="C105" s="3" t="s">
        <v>109</v>
      </c>
      <c r="D105" s="115">
        <f>IF(Init!$R$9="Yes",'Staging Table'!F107,'Staging Table'!BS107)*Rates_previous!$E$76*100*12</f>
        <v>4312902.3717600005</v>
      </c>
      <c r="E105" s="115">
        <f>IF(Init!$R$9="Yes",'Staging Table'!F107,'Staging Table'!BS107)*Rates_previous!$E$77*100*12</f>
        <v>-880517.71188000008</v>
      </c>
      <c r="F105" s="116"/>
      <c r="G105" s="116">
        <f>IF(Init!$R$9="Yes",SUMPRODUCT('Staging Table'!AJ107:AU107,LS_Demand_Rates_Restatement!$C$10:$N$10),SUMPRODUCT(LS_Demand_Rates_Restatement!$C$10:$N$10,'Staging Table'!CW107:DH107))*1000</f>
        <v>0</v>
      </c>
      <c r="H105" s="117"/>
      <c r="I105" s="115">
        <v>0</v>
      </c>
      <c r="J105" s="117">
        <f>IF(Init!$R$9="Yes",IF('Staging Table'!D107=1,'Staging Table'!H107*-1*'Staging Table'!F107/'Staging Table'!E107,'Staging Table'!H107*SUM(D105:I105)*(-1)),IF('Staging Table'!D107=1,'Staging Table'!BU107*-1*'Staging Table'!BS107/'Staging Table'!BR107,'Staging Table'!BU107*SUM(D105:I105)*(-1)))</f>
        <v>-240266.92619160004</v>
      </c>
      <c r="K105" s="115">
        <f>IF(Init!$R$9="Yes",'Staging Table'!K107,'Staging Table'!BX107)*(-1)*Rates_previous!$H$32</f>
        <v>-121550.49777</v>
      </c>
      <c r="L105" s="115">
        <f>IF('Staging Table'!C107=1,"",SUM(D105:K105))</f>
        <v>3070567.2359184003</v>
      </c>
      <c r="M105" s="115">
        <f>IF('Staging Table'!C107=1,"",IF(Init!$R$9="Yes",(RT1SC!$C$3*'Staging Table'!F107*'Staging Table'!$F$2),X105))</f>
        <v>107417.812794408</v>
      </c>
      <c r="N105" s="69">
        <f>IF('Staging Table'!C107=1,"",IF(M105=0, 0, L105/M105))</f>
        <v>28.58527050625489</v>
      </c>
      <c r="O105" s="115">
        <f>'Staging Table'!BS107*Rates_current!$F$77*100*12</f>
        <v>4284621.3695999999</v>
      </c>
      <c r="P105" s="115">
        <f>'Staging Table'!BS107*Rates_current!$F$78*100*12</f>
        <v>-686281.5168000001</v>
      </c>
      <c r="Q105" s="116"/>
      <c r="R105" s="116">
        <f>SUMPRODUCT('Staging Table'!CW107:DH107, LS_Demand_Rates_Restatement!$C$11:$N$11)*1000</f>
        <v>0</v>
      </c>
      <c r="S105" s="117"/>
      <c r="T105" s="117">
        <v>0</v>
      </c>
      <c r="U105" s="117">
        <f>IF('Staging Table'!D107=1, 'Staging Table'!BU107*-1*'Staging Table'!BS107/'Staging Table'!BR107,SUM(O105:T105)*'Staging Table'!BU107*-1)</f>
        <v>-251883.78969599999</v>
      </c>
      <c r="V105" s="115">
        <f>'Staging Table'!BX107*Rates_current!$I$44*-1</f>
        <v>-125647.70556000002</v>
      </c>
      <c r="W105" s="115">
        <f>IF('Staging Table'!C107=1,"",SUM(O105:V105))</f>
        <v>3220808.3575439993</v>
      </c>
      <c r="X105" s="115">
        <f>IF('Staging Table'!C107=1,"",(RT1SC!$C$4*'Staging Table'!BS107*'Staging Table'!$BS$2))</f>
        <v>103035.49518028802</v>
      </c>
      <c r="Y105" s="69">
        <f>IF('Staging Table'!C107=1,"",IF(X105=0, 0, W105/X105))</f>
        <v>31.259211710569623</v>
      </c>
      <c r="Z105" s="64">
        <f ca="1">IF('Staging Table'!C107=1,"",(Y105/N105-1)+(RAND()/100000000000))</f>
        <v>9.3542623773863964E-2</v>
      </c>
      <c r="AA105" s="45">
        <f t="shared" ca="1" si="6"/>
        <v>66</v>
      </c>
      <c r="AD105" s="119"/>
      <c r="AE105" s="119"/>
      <c r="AG105" s="119"/>
      <c r="AH105" s="119"/>
    </row>
    <row r="106" spans="2:34">
      <c r="B106" s="2">
        <v>10349</v>
      </c>
      <c r="C106" s="3" t="s">
        <v>110</v>
      </c>
      <c r="D106" s="115">
        <f>IF(Init!$R$9="Yes",'Staging Table'!F108,'Staging Table'!BS108)*Rates_previous!$E$76*100*12</f>
        <v>179836544.76911998</v>
      </c>
      <c r="E106" s="115">
        <f>IF(Init!$R$9="Yes",'Staging Table'!F108,'Staging Table'!BS108)*Rates_previous!$E$77*100*12</f>
        <v>-36715243.99656</v>
      </c>
      <c r="F106" s="116"/>
      <c r="G106" s="116">
        <f>IF(Init!$R$9="Yes",SUMPRODUCT('Staging Table'!AJ108:AU108,LS_Demand_Rates_Restatement!$C$10:$N$10),SUMPRODUCT(LS_Demand_Rates_Restatement!$C$10:$N$10,'Staging Table'!CW108:DH108))*1000</f>
        <v>0</v>
      </c>
      <c r="H106" s="117"/>
      <c r="I106" s="115">
        <v>0</v>
      </c>
      <c r="J106" s="117">
        <f>IF(Init!$R$9="Yes",IF('Staging Table'!D108=1,'Staging Table'!H108*-1*'Staging Table'!F108/'Staging Table'!E108,'Staging Table'!H108*SUM(D106:I106)*(-1)),IF('Staging Table'!D108=1,'Staging Table'!BU108*-1*'Staging Table'!BS108/'Staging Table'!BR108,'Staging Table'!BU108*SUM(D106:I106)*(-1)))</f>
        <v>0</v>
      </c>
      <c r="K106" s="115">
        <f>IF(Init!$R$9="Yes",'Staging Table'!K108,'Staging Table'!BX108)*(-1)*Rates_previous!$H$32</f>
        <v>0</v>
      </c>
      <c r="L106" s="115">
        <f>IF('Staging Table'!C108=1,"",SUM(D106:K106))</f>
        <v>143121300.77255997</v>
      </c>
      <c r="M106" s="115">
        <f>IF('Staging Table'!C108=1,"",IF(Init!$R$9="Yes",(RT1SC!$C$3*'Staging Table'!F108*'Staging Table'!$F$2),X106))</f>
        <v>4479036.7679292951</v>
      </c>
      <c r="N106" s="69">
        <f>IF('Staging Table'!C108=1,"",IF(M106=0, 0, L106/M106))</f>
        <v>31.953589172862813</v>
      </c>
      <c r="O106" s="115">
        <f>'Staging Table'!BS108*Rates_current!$F$77*100*12</f>
        <v>182145356.0706</v>
      </c>
      <c r="P106" s="115">
        <f>'Staging Table'!BS108*Rates_current!$F$78*100*12</f>
        <v>-29174804.599800006</v>
      </c>
      <c r="Q106" s="116"/>
      <c r="R106" s="116">
        <f>SUMPRODUCT('Staging Table'!CW108:DH108, LS_Demand_Rates_Restatement!$C$11:$N$11)*1000</f>
        <v>0</v>
      </c>
      <c r="S106" s="117"/>
      <c r="T106" s="117">
        <v>0</v>
      </c>
      <c r="U106" s="117">
        <f>IF('Staging Table'!D108=1, 'Staging Table'!BU108*-1*'Staging Table'!BS108/'Staging Table'!BR108,SUM(O106:T106)*'Staging Table'!BU108*-1)</f>
        <v>0</v>
      </c>
      <c r="V106" s="115">
        <f>'Staging Table'!BX108*Rates_current!$I$44*-1</f>
        <v>0</v>
      </c>
      <c r="W106" s="115">
        <f>IF('Staging Table'!C108=1,"",SUM(O106:V106))</f>
        <v>152970551.47079998</v>
      </c>
      <c r="X106" s="115">
        <f>IF('Staging Table'!C108=1,"",(RT1SC!$C$4*'Staging Table'!BS108*'Staging Table'!$BS$2))</f>
        <v>4380185.6310295686</v>
      </c>
      <c r="Y106" s="69">
        <f>IF('Staging Table'!C108=1,"",IF(X106=0, 0, W106/X106))</f>
        <v>34.923303338366516</v>
      </c>
      <c r="Z106" s="64">
        <f ca="1">IF('Staging Table'!C108=1,"",(Y106/N106-1)+(RAND()/100000000000))</f>
        <v>9.2938359740481813E-2</v>
      </c>
      <c r="AA106" s="45">
        <f t="shared" ca="1" si="6"/>
        <v>82</v>
      </c>
      <c r="AD106" s="119"/>
      <c r="AE106" s="119"/>
      <c r="AG106" s="119"/>
      <c r="AH106" s="119"/>
    </row>
    <row r="107" spans="2:34">
      <c r="B107" s="2">
        <v>10352</v>
      </c>
      <c r="C107" s="3" t="s">
        <v>111</v>
      </c>
      <c r="D107" s="115">
        <f>IF(Init!$R$9="Yes",'Staging Table'!F109,'Staging Table'!BS109)*Rates_previous!$E$76*100*12</f>
        <v>5728863.6194400005</v>
      </c>
      <c r="E107" s="115">
        <f>IF(Init!$R$9="Yes",'Staging Table'!F109,'Staging Table'!BS109)*Rates_previous!$E$77*100*12</f>
        <v>-1169598.9037200001</v>
      </c>
      <c r="F107" s="116"/>
      <c r="G107" s="116">
        <f>IF(Init!$R$9="Yes",SUMPRODUCT('Staging Table'!AJ109:AU109,LS_Demand_Rates_Restatement!$C$10:$N$10),SUMPRODUCT(LS_Demand_Rates_Restatement!$C$10:$N$10,'Staging Table'!CW109:DH109))*1000</f>
        <v>368899.85286693374</v>
      </c>
      <c r="H107" s="117"/>
      <c r="I107" s="115">
        <v>0</v>
      </c>
      <c r="J107" s="117">
        <f>IF(Init!$R$9="Yes",IF('Staging Table'!D109=1,'Staging Table'!H109*-1*'Staging Table'!F109/'Staging Table'!E109,'Staging Table'!H109*SUM(D107:I107)*(-1)),IF('Staging Table'!D109=1,'Staging Table'!BU109*-1*'Staging Table'!BS109/'Staging Table'!BR109,'Staging Table'!BU109*SUM(D107:I107)*(-1)))</f>
        <v>-246408.22842934669</v>
      </c>
      <c r="K107" s="115">
        <f>IF(Init!$R$9="Yes",'Staging Table'!K109,'Staging Table'!BX109)*(-1)*Rates_previous!$H$32</f>
        <v>0</v>
      </c>
      <c r="L107" s="115">
        <f>IF('Staging Table'!C109=1,"",SUM(D107:K107))</f>
        <v>4681756.340157588</v>
      </c>
      <c r="M107" s="115">
        <f>IF('Staging Table'!C109=1,"",IF(Init!$R$9="Yes",(RT1SC!$C$3*'Staging Table'!F109*'Staging Table'!$F$2),X107))</f>
        <v>142683.962388552</v>
      </c>
      <c r="N107" s="69">
        <f>IF('Staging Table'!C109=1,"",IF(M107=0, 0, L107/M107))</f>
        <v>32.812071250224967</v>
      </c>
      <c r="O107" s="115">
        <f>'Staging Table'!BS109*Rates_current!$F$77*100*12</f>
        <v>5827644.4667999996</v>
      </c>
      <c r="P107" s="115">
        <f>'Staging Table'!BS109*Rates_current!$F$78*100*12</f>
        <v>-933432.46439999994</v>
      </c>
      <c r="Q107" s="116"/>
      <c r="R107" s="116">
        <f>SUMPRODUCT('Staging Table'!CW109:DH109, LS_Demand_Rates_Restatement!$C$11:$N$11)*1000</f>
        <v>383569.49142689625</v>
      </c>
      <c r="S107" s="117"/>
      <c r="T107" s="117">
        <v>0</v>
      </c>
      <c r="U107" s="117">
        <f>IF('Staging Table'!D109=1, 'Staging Table'!BU109*-1*'Staging Table'!BS109/'Staging Table'!BR109,SUM(O107:T107)*'Staging Table'!BU109*-1)</f>
        <v>-288235.88518293283</v>
      </c>
      <c r="V107" s="115">
        <f>'Staging Table'!BX109*Rates_current!$I$44*-1</f>
        <v>0</v>
      </c>
      <c r="W107" s="115">
        <f>IF('Staging Table'!C109=1,"",SUM(O107:V107))</f>
        <v>4989545.608643963</v>
      </c>
      <c r="X107" s="115">
        <f>IF('Staging Table'!C109=1,"",(RT1SC!$C$4*'Staging Table'!BS109*'Staging Table'!$BS$2))</f>
        <v>140141.72585510401</v>
      </c>
      <c r="Y107" s="69">
        <f>IF('Staging Table'!C109=1,"",IF(X107=0, 0, W107/X107))</f>
        <v>35.603569017001952</v>
      </c>
      <c r="Z107" s="64">
        <f ca="1">IF('Staging Table'!C109=1,"",(Y107/N107-1)+(RAND()/100000000000))</f>
        <v>8.5075329307377795E-2</v>
      </c>
      <c r="AA107" s="45">
        <f t="shared" ca="1" si="6"/>
        <v>110</v>
      </c>
      <c r="AD107" s="119"/>
      <c r="AE107" s="119"/>
      <c r="AG107" s="119"/>
      <c r="AH107" s="119"/>
    </row>
    <row r="108" spans="2:34">
      <c r="B108" s="2">
        <v>10354</v>
      </c>
      <c r="C108" s="3" t="s">
        <v>112</v>
      </c>
      <c r="D108" s="115">
        <f>IF(Init!$R$9="Yes",'Staging Table'!F110,'Staging Table'!BS110)*Rates_previous!$E$76*100*12</f>
        <v>257945341.62456</v>
      </c>
      <c r="E108" s="115">
        <f>IF(Init!$R$9="Yes",'Staging Table'!F110,'Staging Table'!BS110)*Rates_previous!$E$77*100*12</f>
        <v>-52661855.618280008</v>
      </c>
      <c r="F108" s="116"/>
      <c r="G108" s="116">
        <f>IF(Init!$R$9="Yes",SUMPRODUCT('Staging Table'!AJ110:AU110,LS_Demand_Rates_Restatement!$C$10:$N$10),SUMPRODUCT(LS_Demand_Rates_Restatement!$C$10:$N$10,'Staging Table'!CW110:DH110))*1000</f>
        <v>27708493.479292192</v>
      </c>
      <c r="H108" s="117"/>
      <c r="I108" s="115">
        <v>0</v>
      </c>
      <c r="J108" s="117">
        <f>IF(Init!$R$9="Yes",IF('Staging Table'!D110=1,'Staging Table'!H110*-1*'Staging Table'!F110/'Staging Table'!E110,'Staging Table'!H110*SUM(D108:I108)*(-1)),IF('Staging Table'!D110=1,'Staging Table'!BU110*-1*'Staging Table'!BS110/'Staging Table'!BR110,'Staging Table'!BU110*SUM(D108:I108)*(-1)))</f>
        <v>0</v>
      </c>
      <c r="K108" s="115">
        <f>IF(Init!$R$9="Yes",'Staging Table'!K110,'Staging Table'!BX110)*(-1)*Rates_previous!$H$32</f>
        <v>0</v>
      </c>
      <c r="L108" s="115">
        <f>IF('Staging Table'!C110=1,"",SUM(D108:K108))</f>
        <v>232991979.48557219</v>
      </c>
      <c r="M108" s="115">
        <f>IF('Staging Table'!C110=1,"",IF(Init!$R$9="Yes",(RT1SC!$C$3*'Staging Table'!F110*'Staging Table'!$F$2),X108))</f>
        <v>6424426.5298566483</v>
      </c>
      <c r="N108" s="69">
        <f>IF('Staging Table'!C110=1,"",IF(M108=0, 0, L108/M108))</f>
        <v>36.266580122408385</v>
      </c>
      <c r="O108" s="115">
        <f>'Staging Table'!BS110*Rates_current!$F$77*100*12</f>
        <v>281146681.4052</v>
      </c>
      <c r="P108" s="115">
        <f>'Staging Table'!BS110*Rates_current!$F$78*100*12</f>
        <v>-45032163.711599991</v>
      </c>
      <c r="Q108" s="116"/>
      <c r="R108" s="116">
        <f>SUMPRODUCT('Staging Table'!CW110:DH110, LS_Demand_Rates_Restatement!$C$11:$N$11)*1000</f>
        <v>30411172.87618145</v>
      </c>
      <c r="S108" s="117"/>
      <c r="T108" s="117">
        <v>0</v>
      </c>
      <c r="U108" s="117">
        <f>IF('Staging Table'!D110=1, 'Staging Table'!BU110*-1*'Staging Table'!BS110/'Staging Table'!BR110,SUM(O108:T108)*'Staging Table'!BU110*-1)</f>
        <v>0</v>
      </c>
      <c r="V108" s="115">
        <f>'Staging Table'!BX110*Rates_current!$I$44*-1</f>
        <v>0</v>
      </c>
      <c r="W108" s="115">
        <f>IF('Staging Table'!C110=1,"",SUM(O108:V108))</f>
        <v>266525690.56978145</v>
      </c>
      <c r="X108" s="115">
        <f>IF('Staging Table'!C110=1,"",(RT1SC!$C$4*'Staging Table'!BS110*'Staging Table'!$BS$2))</f>
        <v>6760944.5591650568</v>
      </c>
      <c r="Y108" s="69">
        <f>IF('Staging Table'!C110=1,"",IF(X108=0, 0, W108/X108))</f>
        <v>39.421369046501404</v>
      </c>
      <c r="Z108" s="64">
        <f ca="1">IF('Staging Table'!C110=1,"",(Y108/N108-1)+(RAND()/100000000000))</f>
        <v>8.6988872775238799E-2</v>
      </c>
      <c r="AA108" s="45">
        <f t="shared" ca="1" si="6"/>
        <v>106</v>
      </c>
      <c r="AD108" s="119"/>
      <c r="AE108" s="119"/>
      <c r="AG108" s="119"/>
      <c r="AH108" s="119"/>
    </row>
    <row r="109" spans="2:34">
      <c r="B109" s="2">
        <v>10360</v>
      </c>
      <c r="C109" s="3" t="s">
        <v>113</v>
      </c>
      <c r="D109" s="115">
        <f>IF(Init!$R$9="Yes",'Staging Table'!F111,'Staging Table'!BS111)*Rates_previous!$E$76*100*12</f>
        <v>2439817.81488</v>
      </c>
      <c r="E109" s="115">
        <f>IF(Init!$R$9="Yes",'Staging Table'!F111,'Staging Table'!BS111)*Rates_previous!$E$77*100*12</f>
        <v>-498110.69544000004</v>
      </c>
      <c r="F109" s="116"/>
      <c r="G109" s="116">
        <f>IF(Init!$R$9="Yes",SUMPRODUCT('Staging Table'!AJ111:AU111,LS_Demand_Rates_Restatement!$C$10:$N$10),SUMPRODUCT(LS_Demand_Rates_Restatement!$C$10:$N$10,'Staging Table'!CW111:DH111))*1000</f>
        <v>147342.37697486646</v>
      </c>
      <c r="H109" s="117"/>
      <c r="I109" s="115">
        <v>0</v>
      </c>
      <c r="J109" s="117">
        <f>IF(Init!$R$9="Yes",IF('Staging Table'!D111=1,'Staging Table'!H111*-1*'Staging Table'!F111/'Staging Table'!E111,'Staging Table'!H111*SUM(D109:I109)*(-1)),IF('Staging Table'!D111=1,'Staging Table'!BU111*-1*'Staging Table'!BS111/'Staging Table'!BR111,'Staging Table'!BU111*SUM(D109:I109)*(-1)))</f>
        <v>-106485.93985162166</v>
      </c>
      <c r="K109" s="115">
        <f>IF(Init!$R$9="Yes",'Staging Table'!K111,'Staging Table'!BX111)*(-1)*Rates_previous!$H$32</f>
        <v>-231508.0638</v>
      </c>
      <c r="L109" s="115">
        <f>IF('Staging Table'!C111=1,"",SUM(D109:K109))</f>
        <v>1751055.492763245</v>
      </c>
      <c r="M109" s="115">
        <f>IF('Staging Table'!C111=1,"",IF(Init!$R$9="Yes",(RT1SC!$C$3*'Staging Table'!F111*'Staging Table'!$F$2),X109))</f>
        <v>60766.479437904003</v>
      </c>
      <c r="N109" s="69">
        <f>IF('Staging Table'!C111=1,"",IF(M109=0, 0, L109/M109))</f>
        <v>28.816141875597911</v>
      </c>
      <c r="O109" s="115">
        <f>'Staging Table'!BS111*Rates_current!$F$77*100*12</f>
        <v>2478471.1379999993</v>
      </c>
      <c r="P109" s="115">
        <f>'Staging Table'!BS111*Rates_current!$F$78*100*12</f>
        <v>-396984.65399999998</v>
      </c>
      <c r="Q109" s="116"/>
      <c r="R109" s="116">
        <f>SUMPRODUCT('Staging Table'!CW111:DH111, LS_Demand_Rates_Restatement!$C$11:$N$11)*1000</f>
        <v>161488.2999944177</v>
      </c>
      <c r="S109" s="117"/>
      <c r="T109" s="117">
        <v>0</v>
      </c>
      <c r="U109" s="117">
        <f>IF('Staging Table'!D111=1, 'Staging Table'!BU111*-1*'Staging Table'!BS111/'Staging Table'!BR111,SUM(O109:T109)*'Staging Table'!BU111*-1)</f>
        <v>-109849.3933563403</v>
      </c>
      <c r="V109" s="115">
        <f>'Staging Table'!BX111*Rates_current!$I$44*-1</f>
        <v>-239311.70640000002</v>
      </c>
      <c r="W109" s="115">
        <f>IF('Staging Table'!C111=1,"",SUM(O109:V109))</f>
        <v>1893813.6842380762</v>
      </c>
      <c r="X109" s="115">
        <f>IF('Staging Table'!C111=1,"",(RT1SC!$C$4*'Staging Table'!BS111*'Staging Table'!$BS$2))</f>
        <v>59601.649472639998</v>
      </c>
      <c r="Y109" s="69">
        <f>IF('Staging Table'!C111=1,"",IF(X109=0, 0, W109/X109))</f>
        <v>31.774518004026501</v>
      </c>
      <c r="Z109" s="64">
        <f ca="1">IF('Staging Table'!C111=1,"",(Y109/N109-1)+(RAND()/100000000000))</f>
        <v>0.10266385212926489</v>
      </c>
      <c r="AA109" s="45">
        <f t="shared" ca="1" si="6"/>
        <v>9</v>
      </c>
      <c r="AD109" s="119"/>
      <c r="AE109" s="119"/>
      <c r="AG109" s="119"/>
      <c r="AH109" s="119"/>
    </row>
    <row r="110" spans="2:34">
      <c r="B110" s="2">
        <v>10363</v>
      </c>
      <c r="C110" s="3" t="s">
        <v>114</v>
      </c>
      <c r="D110" s="115">
        <f>IF(Init!$R$9="Yes",'Staging Table'!F112,'Staging Table'!BS112)*Rates_previous!$E$76*100*12</f>
        <v>32836649.525279999</v>
      </c>
      <c r="E110" s="115">
        <f>IF(Init!$R$9="Yes",'Staging Table'!F112,'Staging Table'!BS112)*Rates_previous!$E$77*100*12</f>
        <v>-6703896.5906399991</v>
      </c>
      <c r="F110" s="116"/>
      <c r="G110" s="116">
        <f>IF(Init!$R$9="Yes",SUMPRODUCT('Staging Table'!AJ112:AU112,LS_Demand_Rates_Restatement!$C$10:$N$10),SUMPRODUCT(LS_Demand_Rates_Restatement!$C$10:$N$10,'Staging Table'!CW112:DH112))*1000</f>
        <v>1514631.1567218483</v>
      </c>
      <c r="H110" s="117"/>
      <c r="I110" s="115">
        <v>0</v>
      </c>
      <c r="J110" s="117">
        <f>IF(Init!$R$9="Yes",IF('Staging Table'!D112=1,'Staging Table'!H112*-1*'Staging Table'!F112/'Staging Table'!E112,'Staging Table'!H112*SUM(D110:I110)*(-1)),IF('Staging Table'!D112=1,'Staging Table'!BU112*-1*'Staging Table'!BS112/'Staging Table'!BR112,'Staging Table'!BU112*SUM(D110:I110)*(-1)))</f>
        <v>0</v>
      </c>
      <c r="K110" s="115">
        <f>IF(Init!$R$9="Yes",'Staging Table'!K112,'Staging Table'!BX112)*(-1)*Rates_previous!$H$32</f>
        <v>0</v>
      </c>
      <c r="L110" s="115">
        <f>IF('Staging Table'!C112=1,"",SUM(D110:K110))</f>
        <v>27647384.091361847</v>
      </c>
      <c r="M110" s="115">
        <f>IF('Staging Table'!C112=1,"",IF(Init!$R$9="Yes",(RT1SC!$C$3*'Staging Table'!F112*'Staging Table'!$F$2),X110))</f>
        <v>817834.66618622397</v>
      </c>
      <c r="N110" s="69">
        <f>IF('Staging Table'!C112=1,"",IF(M110=0, 0, L110/M110))</f>
        <v>33.805590829609606</v>
      </c>
      <c r="O110" s="115">
        <f>'Staging Table'!BS112*Rates_current!$F$77*100*12</f>
        <v>32730063.108599998</v>
      </c>
      <c r="P110" s="115">
        <f>'Staging Table'!BS112*Rates_current!$F$78*100*12</f>
        <v>-5242478.9537999993</v>
      </c>
      <c r="Q110" s="116"/>
      <c r="R110" s="116">
        <f>SUMPRODUCT('Staging Table'!CW112:DH112, LS_Demand_Rates_Restatement!$C$11:$N$11)*1000</f>
        <v>1624120.9007737183</v>
      </c>
      <c r="S110" s="117"/>
      <c r="T110" s="117">
        <v>0</v>
      </c>
      <c r="U110" s="117">
        <f>IF('Staging Table'!D112=1, 'Staging Table'!BU112*-1*'Staging Table'!BS112/'Staging Table'!BR112,SUM(O110:T110)*'Staging Table'!BU112*-1)</f>
        <v>0</v>
      </c>
      <c r="V110" s="115">
        <f>'Staging Table'!BX112*Rates_current!$I$44*-1</f>
        <v>0</v>
      </c>
      <c r="W110" s="115">
        <f>IF('Staging Table'!C112=1,"",SUM(O110:V110))</f>
        <v>29111705.055573717</v>
      </c>
      <c r="X110" s="115">
        <f>IF('Staging Table'!C112=1,"",(RT1SC!$C$4*'Staging Table'!BS112*'Staging Table'!$BS$2))</f>
        <v>787084.31125420809</v>
      </c>
      <c r="Y110" s="69">
        <f>IF('Staging Table'!C112=1,"",IF(X110=0, 0, W110/X110))</f>
        <v>36.986768303365892</v>
      </c>
      <c r="Z110" s="64">
        <f ca="1">IF('Staging Table'!C112=1,"",(Y110/N110-1)+(RAND()/100000000000))</f>
        <v>9.4102111393876808E-2</v>
      </c>
      <c r="AA110" s="45">
        <f t="shared" ca="1" si="6"/>
        <v>58</v>
      </c>
      <c r="AD110" s="119"/>
      <c r="AE110" s="119"/>
      <c r="AG110" s="119"/>
      <c r="AH110" s="119"/>
    </row>
    <row r="111" spans="2:34">
      <c r="B111" s="2">
        <v>10369</v>
      </c>
      <c r="C111" s="3" t="s">
        <v>115</v>
      </c>
      <c r="D111" s="115">
        <f>IF(Init!$R$9="Yes",'Staging Table'!F113,'Staging Table'!BS113)*Rates_previous!$E$76*100*12</f>
        <v>5926161.527280001</v>
      </c>
      <c r="E111" s="115">
        <f>IF(Init!$R$9="Yes",'Staging Table'!F113,'Staging Table'!BS113)*Rates_previous!$E$77*100*12</f>
        <v>-1209879.0416400002</v>
      </c>
      <c r="F111" s="116"/>
      <c r="G111" s="116">
        <f>IF(Init!$R$9="Yes",SUMPRODUCT('Staging Table'!AJ113:AU113,LS_Demand_Rates_Restatement!$C$10:$N$10),SUMPRODUCT(LS_Demand_Rates_Restatement!$C$10:$N$10,'Staging Table'!CW113:DH113))*1000</f>
        <v>312042.35473151709</v>
      </c>
      <c r="H111" s="117"/>
      <c r="I111" s="115">
        <v>0</v>
      </c>
      <c r="J111" s="117">
        <f>IF(Init!$R$9="Yes",IF('Staging Table'!D113=1,'Staging Table'!H113*-1*'Staging Table'!F113/'Staging Table'!E113,'Staging Table'!H113*SUM(D111:I111)*(-1)),IF('Staging Table'!D113=1,'Staging Table'!BU113*-1*'Staging Table'!BS113/'Staging Table'!BR113,'Staging Table'!BU113*SUM(D111:I111)*(-1)))</f>
        <v>-393645.73949644092</v>
      </c>
      <c r="K111" s="115">
        <f>IF(Init!$R$9="Yes",'Staging Table'!K113,'Staging Table'!BX113)*(-1)*Rates_previous!$H$32</f>
        <v>-534660.1245700001</v>
      </c>
      <c r="L111" s="115">
        <f>IF('Staging Table'!C113=1,"",SUM(D111:K111))</f>
        <v>4100018.9763050769</v>
      </c>
      <c r="M111" s="115">
        <f>IF('Staging Table'!C113=1,"",IF(Init!$R$9="Yes",(RT1SC!$C$3*'Staging Table'!F113*'Staging Table'!$F$2),X111))</f>
        <v>147597.89456282399</v>
      </c>
      <c r="N111" s="69">
        <f>IF('Staging Table'!C113=1,"",IF(M111=0, 0, L111/M111))</f>
        <v>27.778302586558464</v>
      </c>
      <c r="O111" s="115">
        <f>'Staging Table'!BS113*Rates_current!$F$77*100*12</f>
        <v>6020328.1163999997</v>
      </c>
      <c r="P111" s="115">
        <f>'Staging Table'!BS113*Rates_current!$F$78*100*12</f>
        <v>-964295.22120000003</v>
      </c>
      <c r="Q111" s="116"/>
      <c r="R111" s="116">
        <f>SUMPRODUCT('Staging Table'!CW113:DH113, LS_Demand_Rates_Restatement!$C$11:$N$11)*1000</f>
        <v>342520.00152397616</v>
      </c>
      <c r="S111" s="117"/>
      <c r="T111" s="117">
        <v>0</v>
      </c>
      <c r="U111" s="117">
        <f>IF('Staging Table'!D113=1, 'Staging Table'!BU113*-1*'Staging Table'!BS113/'Staging Table'!BR113,SUM(O111:T111)*'Staging Table'!BU113*-1)</f>
        <v>-425413.28523316211</v>
      </c>
      <c r="V111" s="115">
        <f>'Staging Table'!BX113*Rates_current!$I$44*-1</f>
        <v>-552682.37596000009</v>
      </c>
      <c r="W111" s="115">
        <f>IF('Staging Table'!C113=1,"",SUM(O111:V111))</f>
        <v>4420457.2355308132</v>
      </c>
      <c r="X111" s="115">
        <f>IF('Staging Table'!C113=1,"",(RT1SC!$C$4*'Staging Table'!BS113*'Staging Table'!$BS$2))</f>
        <v>144775.333713792</v>
      </c>
      <c r="Y111" s="69">
        <f>IF('Staging Table'!C113=1,"",IF(X111=0, 0, W111/X111))</f>
        <v>30.533220833527245</v>
      </c>
      <c r="Z111" s="64">
        <f ca="1">IF('Staging Table'!C113=1,"",(Y111/N111-1)+(RAND()/100000000000))</f>
        <v>9.9175183162631159E-2</v>
      </c>
      <c r="AA111" s="45">
        <f t="shared" ca="1" si="6"/>
        <v>20</v>
      </c>
      <c r="AD111" s="119"/>
      <c r="AE111" s="119"/>
      <c r="AG111" s="119"/>
      <c r="AH111" s="119"/>
    </row>
    <row r="112" spans="2:34">
      <c r="B112" s="2">
        <v>10370</v>
      </c>
      <c r="C112" s="3" t="s">
        <v>116</v>
      </c>
      <c r="D112" s="115">
        <f>IF(Init!$R$9="Yes",'Staging Table'!F114,'Staging Table'!BS114)*Rates_previous!$E$76*100*12</f>
        <v>46774800.082799993</v>
      </c>
      <c r="E112" s="115">
        <f>IF(Init!$R$9="Yes",'Staging Table'!F114,'Staging Table'!BS114)*Rates_previous!$E$77*100*12</f>
        <v>-9549495.0713999979</v>
      </c>
      <c r="F112" s="116"/>
      <c r="G112" s="116">
        <f>IF(Init!$R$9="Yes",SUMPRODUCT('Staging Table'!AJ114:AU114,LS_Demand_Rates_Restatement!$C$10:$N$10),SUMPRODUCT(LS_Demand_Rates_Restatement!$C$10:$N$10,'Staging Table'!CW114:DH114))*1000</f>
        <v>0</v>
      </c>
      <c r="H112" s="117"/>
      <c r="I112" s="115">
        <v>0</v>
      </c>
      <c r="J112" s="117">
        <f>IF(Init!$R$9="Yes",IF('Staging Table'!D114=1,'Staging Table'!H114*-1*'Staging Table'!F114/'Staging Table'!E114,'Staging Table'!H114*SUM(D112:I112)*(-1)),IF('Staging Table'!D114=1,'Staging Table'!BU114*-1*'Staging Table'!BS114/'Staging Table'!BR114,'Staging Table'!BU114*SUM(D112:I112)*(-1)))</f>
        <v>0</v>
      </c>
      <c r="K112" s="115">
        <f>IF(Init!$R$9="Yes",'Staging Table'!K114,'Staging Table'!BX114)*(-1)*Rates_previous!$H$32</f>
        <v>0</v>
      </c>
      <c r="L112" s="115">
        <f>IF('Staging Table'!C114=1,"",SUM(D112:K112))</f>
        <v>37225305.011399999</v>
      </c>
      <c r="M112" s="115">
        <f>IF('Staging Table'!C114=1,"",IF(Init!$R$9="Yes",(RT1SC!$C$3*'Staging Table'!F114*'Staging Table'!$F$2),X112))</f>
        <v>1164980.3973512398</v>
      </c>
      <c r="N112" s="69">
        <f>IF('Staging Table'!C114=1,"",IF(M112=0, 0, L112/M112))</f>
        <v>31.953589172862817</v>
      </c>
      <c r="O112" s="115">
        <f>'Staging Table'!BS114*Rates_current!$F$77*100*12</f>
        <v>45442522.280999988</v>
      </c>
      <c r="P112" s="115">
        <f>'Staging Table'!BS114*Rates_current!$F$78*100*12</f>
        <v>-7278674.2229999993</v>
      </c>
      <c r="Q112" s="116"/>
      <c r="R112" s="116">
        <f>SUMPRODUCT('Staging Table'!CW114:DH114, LS_Demand_Rates_Restatement!$C$11:$N$11)*1000</f>
        <v>0</v>
      </c>
      <c r="S112" s="117"/>
      <c r="T112" s="117">
        <v>0</v>
      </c>
      <c r="U112" s="117">
        <f>IF('Staging Table'!D114=1, 'Staging Table'!BU114*-1*'Staging Table'!BS114/'Staging Table'!BR114,SUM(O112:T112)*'Staging Table'!BU114*-1)</f>
        <v>0</v>
      </c>
      <c r="V112" s="115">
        <f>'Staging Table'!BX114*Rates_current!$I$44*-1</f>
        <v>0</v>
      </c>
      <c r="W112" s="115">
        <f>IF('Staging Table'!C114=1,"",SUM(O112:V112))</f>
        <v>38163848.057999991</v>
      </c>
      <c r="X112" s="115">
        <f>IF('Staging Table'!C114=1,"",(RT1SC!$C$4*'Staging Table'!BS114*'Staging Table'!$BS$2))</f>
        <v>1092790.3265116801</v>
      </c>
      <c r="Y112" s="69">
        <f>IF('Staging Table'!C114=1,"",IF(X112=0, 0, W112/X112))</f>
        <v>34.923303338366516</v>
      </c>
      <c r="Z112" s="64">
        <f ca="1">IF('Staging Table'!C114=1,"",(Y112/N112-1)+(RAND()/100000000000))</f>
        <v>9.2938359741609466E-2</v>
      </c>
      <c r="AA112" s="45">
        <f t="shared" ca="1" si="6"/>
        <v>81</v>
      </c>
      <c r="AD112" s="119"/>
      <c r="AE112" s="119"/>
      <c r="AG112" s="119"/>
      <c r="AH112" s="119"/>
    </row>
    <row r="113" spans="2:34">
      <c r="B113" s="2">
        <v>10371</v>
      </c>
      <c r="C113" s="3" t="s">
        <v>117</v>
      </c>
      <c r="D113" s="115">
        <f>IF(Init!$R$9="Yes",'Staging Table'!F115,'Staging Table'!BS115)*Rates_previous!$E$76*100*12</f>
        <v>3978592.0279199998</v>
      </c>
      <c r="E113" s="115">
        <f>IF(Init!$R$9="Yes",'Staging Table'!F115,'Staging Table'!BS115)*Rates_previous!$E$77*100*12</f>
        <v>-812265.25595999998</v>
      </c>
      <c r="F113" s="116"/>
      <c r="G113" s="116">
        <f>IF(Init!$R$9="Yes",SUMPRODUCT('Staging Table'!AJ115:AU115,LS_Demand_Rates_Restatement!$C$10:$N$10),SUMPRODUCT(LS_Demand_Rates_Restatement!$C$10:$N$10,'Staging Table'!CW115:DH115))*1000</f>
        <v>190464.61204799684</v>
      </c>
      <c r="H113" s="117"/>
      <c r="I113" s="115">
        <v>0</v>
      </c>
      <c r="J113" s="117">
        <f>IF(Init!$R$9="Yes",IF('Staging Table'!D115=1,'Staging Table'!H115*-1*'Staging Table'!F115/'Staging Table'!E115,'Staging Table'!H115*SUM(D113:I113)*(-1)),IF('Staging Table'!D115=1,'Staging Table'!BU115*-1*'Staging Table'!BS115/'Staging Table'!BR115,'Staging Table'!BU115*SUM(D113:I113)*(-1)))</f>
        <v>0</v>
      </c>
      <c r="K113" s="115">
        <f>IF(Init!$R$9="Yes",'Staging Table'!K115,'Staging Table'!BX115)*(-1)*Rates_previous!$H$32</f>
        <v>0</v>
      </c>
      <c r="L113" s="115">
        <f>IF('Staging Table'!C115=1,"",SUM(D113:K113))</f>
        <v>3356791.3840079964</v>
      </c>
      <c r="M113" s="115">
        <f>IF('Staging Table'!C115=1,"",IF(Init!$R$9="Yes",(RT1SC!$C$3*'Staging Table'!F115*'Staging Table'!$F$2),X113))</f>
        <v>99091.427721335989</v>
      </c>
      <c r="N113" s="69">
        <f>IF('Staging Table'!C115=1,"",IF(M113=0, 0, L113/M113))</f>
        <v>33.875699050859723</v>
      </c>
      <c r="O113" s="115">
        <f>'Staging Table'!BS115*Rates_current!$F$77*100*12</f>
        <v>4041953.9238</v>
      </c>
      <c r="P113" s="115">
        <f>'Staging Table'!BS115*Rates_current!$F$78*100*12</f>
        <v>-647412.69539999997</v>
      </c>
      <c r="Q113" s="116"/>
      <c r="R113" s="116">
        <f>SUMPRODUCT('Staging Table'!CW115:DH115, LS_Demand_Rates_Restatement!$C$11:$N$11)*1000</f>
        <v>205163.24665592948</v>
      </c>
      <c r="S113" s="117"/>
      <c r="T113" s="117">
        <v>0</v>
      </c>
      <c r="U113" s="117">
        <f>IF('Staging Table'!D115=1, 'Staging Table'!BU115*-1*'Staging Table'!BS115/'Staging Table'!BR115,SUM(O113:T113)*'Staging Table'!BU115*-1)</f>
        <v>0</v>
      </c>
      <c r="V113" s="115">
        <f>'Staging Table'!BX115*Rates_current!$I$44*-1</f>
        <v>0</v>
      </c>
      <c r="W113" s="115">
        <f>IF('Staging Table'!C115=1,"",SUM(O113:V113))</f>
        <v>3599704.4750559293</v>
      </c>
      <c r="X113" s="115">
        <f>IF('Staging Table'!C115=1,"",(RT1SC!$C$4*'Staging Table'!BS115*'Staging Table'!$BS$2))</f>
        <v>97199.889584064003</v>
      </c>
      <c r="Y113" s="69">
        <f>IF('Staging Table'!C115=1,"",IF(X113=0, 0, W113/X113))</f>
        <v>37.034038726378384</v>
      </c>
      <c r="Z113" s="64">
        <f ca="1">IF('Staging Table'!C115=1,"",(Y113/N113-1)+(RAND()/100000000000))</f>
        <v>9.3233195599851063E-2</v>
      </c>
      <c r="AA113" s="45">
        <f t="shared" ca="1" si="6"/>
        <v>71</v>
      </c>
      <c r="AD113" s="119"/>
      <c r="AE113" s="119"/>
      <c r="AG113" s="119"/>
      <c r="AH113" s="119"/>
    </row>
    <row r="114" spans="2:34">
      <c r="B114" s="2">
        <v>10376</v>
      </c>
      <c r="C114" s="3" t="s">
        <v>118</v>
      </c>
      <c r="D114" s="115">
        <f>IF(Init!$R$9="Yes",'Staging Table'!F116,'Staging Table'!BS116)*Rates_previous!$E$76*100*12</f>
        <v>20206594.061280001</v>
      </c>
      <c r="E114" s="115">
        <f>IF(Init!$R$9="Yes",'Staging Table'!F116,'Staging Table'!BS116)*Rates_previous!$E$77*100*12</f>
        <v>-4125357.4586399999</v>
      </c>
      <c r="F114" s="116"/>
      <c r="G114" s="116">
        <f>IF(Init!$R$9="Yes",SUMPRODUCT('Staging Table'!AJ116:AU116,LS_Demand_Rates_Restatement!$C$10:$N$10),SUMPRODUCT(LS_Demand_Rates_Restatement!$C$10:$N$10,'Staging Table'!CW116:DH116))*1000</f>
        <v>922397.43725427357</v>
      </c>
      <c r="H114" s="117"/>
      <c r="I114" s="115">
        <v>0</v>
      </c>
      <c r="J114" s="117">
        <f>IF(Init!$R$9="Yes",IF('Staging Table'!D116=1,'Staging Table'!H116*-1*'Staging Table'!F116/'Staging Table'!E116,'Staging Table'!H116*SUM(D114:I114)*(-1)),IF('Staging Table'!D116=1,'Staging Table'!BU116*-1*'Staging Table'!BS116/'Staging Table'!BR116,'Staging Table'!BU116*SUM(D114:I114)*(-1)))</f>
        <v>0</v>
      </c>
      <c r="K114" s="115">
        <f>IF(Init!$R$9="Yes",'Staging Table'!K116,'Staging Table'!BX116)*(-1)*Rates_previous!$H$32</f>
        <v>0</v>
      </c>
      <c r="L114" s="115">
        <f>IF('Staging Table'!C116=1,"",SUM(D114:K114))</f>
        <v>17003634.039894275</v>
      </c>
      <c r="M114" s="115">
        <f>IF('Staging Table'!C116=1,"",IF(Init!$R$9="Yes",(RT1SC!$C$3*'Staging Table'!F116*'Staging Table'!$F$2),X114))</f>
        <v>503268.55351502396</v>
      </c>
      <c r="N114" s="69">
        <f>IF('Staging Table'!C116=1,"",IF(M114=0, 0, L114/M114))</f>
        <v>33.786402748858954</v>
      </c>
      <c r="O114" s="115">
        <f>'Staging Table'!BS116*Rates_current!$F$77*100*12</f>
        <v>20125858.997400001</v>
      </c>
      <c r="P114" s="115">
        <f>'Staging Table'!BS116*Rates_current!$F$78*100*12</f>
        <v>-3223623.2442000001</v>
      </c>
      <c r="Q114" s="116"/>
      <c r="R114" s="116">
        <f>SUMPRODUCT('Staging Table'!CW116:DH116, LS_Demand_Rates_Restatement!$C$11:$N$11)*1000</f>
        <v>1043864.4023741098</v>
      </c>
      <c r="S114" s="117"/>
      <c r="T114" s="117">
        <v>0</v>
      </c>
      <c r="U114" s="117">
        <f>IF('Staging Table'!D116=1, 'Staging Table'!BU116*-1*'Staging Table'!BS116/'Staging Table'!BR116,SUM(O114:T114)*'Staging Table'!BU116*-1)</f>
        <v>0</v>
      </c>
      <c r="V114" s="115">
        <f>'Staging Table'!BX116*Rates_current!$I$44*-1</f>
        <v>0</v>
      </c>
      <c r="W114" s="115">
        <f>IF('Staging Table'!C116=1,"",SUM(O114:V114))</f>
        <v>17946100.155574113</v>
      </c>
      <c r="X114" s="115">
        <f>IF('Staging Table'!C116=1,"",(RT1SC!$C$4*'Staging Table'!BS116*'Staging Table'!$BS$2))</f>
        <v>483981.58643347205</v>
      </c>
      <c r="Y114" s="69">
        <f>IF('Staging Table'!C116=1,"",IF(X114=0, 0, W114/X114))</f>
        <v>37.08013002689097</v>
      </c>
      <c r="Z114" s="64">
        <f ca="1">IF('Staging Table'!C116=1,"",(Y114/N114-1)+(RAND()/100000000000))</f>
        <v>9.7486770122171953E-2</v>
      </c>
      <c r="AA114" s="45">
        <f t="shared" ca="1" si="6"/>
        <v>27</v>
      </c>
      <c r="AD114" s="119"/>
      <c r="AE114" s="119"/>
      <c r="AG114" s="119"/>
      <c r="AH114" s="119"/>
    </row>
    <row r="115" spans="2:34">
      <c r="B115" s="2">
        <v>10378</v>
      </c>
      <c r="C115" s="3" t="s">
        <v>119</v>
      </c>
      <c r="D115" s="115">
        <f>IF(Init!$R$9="Yes",'Staging Table'!F117,'Staging Table'!BS117)*Rates_previous!$E$76*100*12</f>
        <v>728906.15951999999</v>
      </c>
      <c r="E115" s="115">
        <f>IF(Init!$R$9="Yes",'Staging Table'!F117,'Staging Table'!BS117)*Rates_previous!$E$77*100*12</f>
        <v>-148812.73176</v>
      </c>
      <c r="F115" s="116"/>
      <c r="G115" s="116">
        <f>IF(Init!$R$9="Yes",SUMPRODUCT('Staging Table'!AJ117:AU117,LS_Demand_Rates_Restatement!$C$10:$N$10),SUMPRODUCT(LS_Demand_Rates_Restatement!$C$10:$N$10,'Staging Table'!CW117:DH117))*1000</f>
        <v>55518.361687499986</v>
      </c>
      <c r="H115" s="117"/>
      <c r="I115" s="115">
        <v>0</v>
      </c>
      <c r="J115" s="117">
        <f>IF(Init!$R$9="Yes",IF('Staging Table'!D117=1,'Staging Table'!H117*-1*'Staging Table'!F117/'Staging Table'!E117,'Staging Table'!H117*SUM(D115:I115)*(-1)),IF('Staging Table'!D117=1,'Staging Table'!BU117*-1*'Staging Table'!BS117/'Staging Table'!BR117,'Staging Table'!BU117*SUM(D115:I115)*(-1)))</f>
        <v>0</v>
      </c>
      <c r="K115" s="115">
        <f>IF(Init!$R$9="Yes",'Staging Table'!K117,'Staging Table'!BX117)*(-1)*Rates_previous!$H$32</f>
        <v>0</v>
      </c>
      <c r="L115" s="115">
        <f>IF('Staging Table'!C117=1,"",SUM(D115:K115))</f>
        <v>635611.78944750002</v>
      </c>
      <c r="M115" s="115">
        <f>IF('Staging Table'!C117=1,"",IF(Init!$R$9="Yes",(RT1SC!$C$3*'Staging Table'!F117*'Staging Table'!$F$2),X115))</f>
        <v>18154.249421616001</v>
      </c>
      <c r="N115" s="69">
        <f>IF('Staging Table'!C117=1,"",IF(M115=0, 0, L115/M115))</f>
        <v>35.011736078203612</v>
      </c>
      <c r="O115" s="115">
        <f>'Staging Table'!BS117*Rates_current!$F$77*100*12</f>
        <v>740692.52400000009</v>
      </c>
      <c r="P115" s="115">
        <f>'Staging Table'!BS117*Rates_current!$F$78*100*12</f>
        <v>-118639.092</v>
      </c>
      <c r="Q115" s="116"/>
      <c r="R115" s="116">
        <f>SUMPRODUCT('Staging Table'!CW117:DH117, LS_Demand_Rates_Restatement!$C$11:$N$11)*1000</f>
        <v>61081.409569524563</v>
      </c>
      <c r="S115" s="117"/>
      <c r="T115" s="117">
        <v>0</v>
      </c>
      <c r="U115" s="117">
        <f>IF('Staging Table'!D117=1, 'Staging Table'!BU117*-1*'Staging Table'!BS117/'Staging Table'!BR117,SUM(O115:T115)*'Staging Table'!BU117*-1)</f>
        <v>0</v>
      </c>
      <c r="V115" s="115">
        <f>'Staging Table'!BX117*Rates_current!$I$44*-1</f>
        <v>0</v>
      </c>
      <c r="W115" s="115">
        <f>IF('Staging Table'!C117=1,"",SUM(O115:V115))</f>
        <v>683134.84156952461</v>
      </c>
      <c r="X115" s="115">
        <f>IF('Staging Table'!C117=1,"",(RT1SC!$C$4*'Staging Table'!BS117*'Staging Table'!$BS$2))</f>
        <v>17811.987198720002</v>
      </c>
      <c r="Y115" s="69">
        <f>IF('Staging Table'!C117=1,"",IF(X115=0, 0, W115/X115))</f>
        <v>38.352533827254028</v>
      </c>
      <c r="Z115" s="64">
        <f ca="1">IF('Staging Table'!C117=1,"",(Y115/N115-1)+(RAND()/100000000000))</f>
        <v>9.5419368575370311E-2</v>
      </c>
      <c r="AA115" s="45">
        <f t="shared" ca="1" si="6"/>
        <v>40</v>
      </c>
      <c r="AD115" s="119"/>
      <c r="AE115" s="119"/>
      <c r="AG115" s="119"/>
      <c r="AH115" s="119"/>
    </row>
    <row r="116" spans="2:34">
      <c r="B116" s="2">
        <v>10379</v>
      </c>
      <c r="C116" s="3" t="s">
        <v>120</v>
      </c>
      <c r="D116" s="115">
        <f>IF(Init!$R$9="Yes",'Staging Table'!F118,'Staging Table'!BS118)*Rates_previous!$E$76*100*12</f>
        <v>1655359.3404000001</v>
      </c>
      <c r="E116" s="115">
        <f>IF(Init!$R$9="Yes",'Staging Table'!F118,'Staging Table'!BS118)*Rates_previous!$E$77*100*12</f>
        <v>-337956.46019999997</v>
      </c>
      <c r="F116" s="116"/>
      <c r="G116" s="116">
        <f>IF(Init!$R$9="Yes",SUMPRODUCT('Staging Table'!AJ118:AU118,LS_Demand_Rates_Restatement!$C$10:$N$10),SUMPRODUCT(LS_Demand_Rates_Restatement!$C$10:$N$10,'Staging Table'!CW118:DH118))*1000</f>
        <v>114111.4855576656</v>
      </c>
      <c r="H116" s="117"/>
      <c r="I116" s="115">
        <v>0</v>
      </c>
      <c r="J116" s="117">
        <f>IF(Init!$R$9="Yes",IF('Staging Table'!D118=1,'Staging Table'!H118*-1*'Staging Table'!F118/'Staging Table'!E118,'Staging Table'!H118*SUM(D116:I116)*(-1)),IF('Staging Table'!D118=1,'Staging Table'!BU118*-1*'Staging Table'!BS118/'Staging Table'!BR118,'Staging Table'!BU118*SUM(D116:I116)*(-1)))</f>
        <v>0</v>
      </c>
      <c r="K116" s="115">
        <f>IF(Init!$R$9="Yes",'Staging Table'!K118,'Staging Table'!BX118)*(-1)*Rates_previous!$H$32</f>
        <v>0</v>
      </c>
      <c r="L116" s="115">
        <f>IF('Staging Table'!C118=1,"",SUM(D116:K116))</f>
        <v>1431514.3657576656</v>
      </c>
      <c r="M116" s="115">
        <f>IF('Staging Table'!C118=1,"",IF(Init!$R$9="Yes",(RT1SC!$C$3*'Staging Table'!F118*'Staging Table'!$F$2),X116))</f>
        <v>41228.63547732</v>
      </c>
      <c r="N116" s="69">
        <f>IF('Staging Table'!C118=1,"",IF(M116=0, 0, L116/M116))</f>
        <v>34.721361723095249</v>
      </c>
      <c r="O116" s="115">
        <f>'Staging Table'!BS118*Rates_current!$F$77*100*12</f>
        <v>1677176.4983999999</v>
      </c>
      <c r="P116" s="115">
        <f>'Staging Table'!BS118*Rates_current!$F$78*100*12</f>
        <v>-268638.72720000002</v>
      </c>
      <c r="Q116" s="116"/>
      <c r="R116" s="116">
        <f>SUMPRODUCT('Staging Table'!CW118:DH118, LS_Demand_Rates_Restatement!$C$11:$N$11)*1000</f>
        <v>126047.0785573896</v>
      </c>
      <c r="S116" s="117"/>
      <c r="T116" s="117">
        <v>0</v>
      </c>
      <c r="U116" s="117">
        <f>IF('Staging Table'!D118=1, 'Staging Table'!BU118*-1*'Staging Table'!BS118/'Staging Table'!BR118,SUM(O116:T116)*'Staging Table'!BU118*-1)</f>
        <v>0</v>
      </c>
      <c r="V116" s="115">
        <f>'Staging Table'!BX118*Rates_current!$I$44*-1</f>
        <v>0</v>
      </c>
      <c r="W116" s="115">
        <f>IF('Staging Table'!C118=1,"",SUM(O116:V116))</f>
        <v>1534584.8497573894</v>
      </c>
      <c r="X116" s="115">
        <f>IF('Staging Table'!C118=1,"",(RT1SC!$C$4*'Staging Table'!BS118*'Staging Table'!$BS$2))</f>
        <v>40332.317866752004</v>
      </c>
      <c r="Y116" s="69">
        <f>IF('Staging Table'!C118=1,"",IF(X116=0, 0, W116/X116))</f>
        <v>38.048516200513887</v>
      </c>
      <c r="Z116" s="64">
        <f ca="1">IF('Staging Table'!C118=1,"",(Y116/N116-1)+(RAND()/100000000000))</f>
        <v>9.5824423711973569E-2</v>
      </c>
      <c r="AA116" s="45">
        <f t="shared" ca="1" si="6"/>
        <v>35</v>
      </c>
      <c r="AD116" s="119"/>
      <c r="AE116" s="119"/>
      <c r="AG116" s="119"/>
      <c r="AH116" s="119"/>
    </row>
    <row r="117" spans="2:34">
      <c r="B117" s="2">
        <v>10388</v>
      </c>
      <c r="C117" s="3" t="s">
        <v>121</v>
      </c>
      <c r="D117" s="115">
        <f>IF(Init!$R$9="Yes",'Staging Table'!F119,'Staging Table'!BS119)*Rates_previous!$E$76*100*12</f>
        <v>40833193.517279997</v>
      </c>
      <c r="E117" s="115">
        <f>IF(Init!$R$9="Yes",'Staging Table'!F119,'Staging Table'!BS119)*Rates_previous!$E$77*100*12</f>
        <v>-8336462.7866399996</v>
      </c>
      <c r="F117" s="116"/>
      <c r="G117" s="116">
        <f>IF(Init!$R$9="Yes",SUMPRODUCT('Staging Table'!AJ119:AU119,LS_Demand_Rates_Restatement!$C$10:$N$10),SUMPRODUCT(LS_Demand_Rates_Restatement!$C$10:$N$10,'Staging Table'!CW119:DH119))*1000</f>
        <v>5448523.7569664894</v>
      </c>
      <c r="H117" s="117"/>
      <c r="I117" s="115">
        <v>0</v>
      </c>
      <c r="J117" s="117">
        <f>IF(Init!$R$9="Yes",IF('Staging Table'!D119=1,'Staging Table'!H119*-1*'Staging Table'!F119/'Staging Table'!E119,'Staging Table'!H119*SUM(D117:I117)*(-1)),IF('Staging Table'!D119=1,'Staging Table'!BU119*-1*'Staging Table'!BS119/'Staging Table'!BR119,'Staging Table'!BU119*SUM(D117:I117)*(-1)))</f>
        <v>-2973673.5739958524</v>
      </c>
      <c r="K117" s="115">
        <f>IF(Init!$R$9="Yes",'Staging Table'!K119,'Staging Table'!BX119)*(-1)*Rates_previous!$H$32</f>
        <v>-2646896.9803900002</v>
      </c>
      <c r="L117" s="115">
        <f>IF('Staging Table'!C119=1,"",SUM(D117:K117))</f>
        <v>32324683.933220636</v>
      </c>
      <c r="M117" s="115">
        <f>IF('Staging Table'!C119=1,"",IF(Init!$R$9="Yes",(RT1SC!$C$3*'Staging Table'!F119*'Staging Table'!$F$2),X117))</f>
        <v>1016997.8262798239</v>
      </c>
      <c r="N117" s="69">
        <f>IF('Staging Table'!C119=1,"",IF(M117=0, 0, L117/M117))</f>
        <v>31.784417919027682</v>
      </c>
      <c r="O117" s="115">
        <f>'Staging Table'!BS119*Rates_current!$F$77*100*12</f>
        <v>41482148.128200002</v>
      </c>
      <c r="P117" s="115">
        <f>'Staging Table'!BS119*Rates_current!$F$78*100*12</f>
        <v>-6644328.4206000008</v>
      </c>
      <c r="Q117" s="116"/>
      <c r="R117" s="116">
        <f>SUMPRODUCT('Staging Table'!CW119:DH119, LS_Demand_Rates_Restatement!$C$11:$N$11)*1000</f>
        <v>5780407.5864863852</v>
      </c>
      <c r="S117" s="117"/>
      <c r="T117" s="117">
        <v>0</v>
      </c>
      <c r="U117" s="117">
        <f>IF('Staging Table'!D119=1, 'Staging Table'!BU119*-1*'Staging Table'!BS119/'Staging Table'!BR119,SUM(O117:T117)*'Staging Table'!BU119*-1)</f>
        <v>-3184954.6865313849</v>
      </c>
      <c r="V117" s="115">
        <f>'Staging Table'!BX119*Rates_current!$I$44*-1</f>
        <v>-2736118.2269200003</v>
      </c>
      <c r="W117" s="115">
        <f>IF('Staging Table'!C119=1,"",SUM(O117:V117))</f>
        <v>34697154.380634993</v>
      </c>
      <c r="X117" s="115">
        <f>IF('Staging Table'!C119=1,"",(RT1SC!$C$4*'Staging Table'!BS119*'Staging Table'!$BS$2))</f>
        <v>997552.24670649623</v>
      </c>
      <c r="Y117" s="69">
        <f>IF('Staging Table'!C119=1,"",IF(X117=0, 0, W117/X117))</f>
        <v>34.782292852520364</v>
      </c>
      <c r="Z117" s="64">
        <f ca="1">IF('Staging Table'!C119=1,"",(Y117/N117-1)+(RAND()/100000000000))</f>
        <v>9.4319013216081965E-2</v>
      </c>
      <c r="AA117" s="45">
        <f t="shared" ca="1" si="6"/>
        <v>55</v>
      </c>
      <c r="AD117" s="119"/>
      <c r="AE117" s="119"/>
      <c r="AG117" s="119"/>
      <c r="AH117" s="119"/>
    </row>
    <row r="118" spans="2:34">
      <c r="B118" s="2">
        <v>10391</v>
      </c>
      <c r="C118" s="3" t="s">
        <v>122</v>
      </c>
      <c r="D118" s="115">
        <f>IF(Init!$R$9="Yes",'Staging Table'!F120,'Staging Table'!BS120)*Rates_previous!$E$76*100*12</f>
        <v>10811028.540960001</v>
      </c>
      <c r="E118" s="115">
        <f>IF(Init!$R$9="Yes",'Staging Table'!F120,'Staging Table'!BS120)*Rates_previous!$E$77*100*12</f>
        <v>-2207168.4664799999</v>
      </c>
      <c r="F118" s="116"/>
      <c r="G118" s="116">
        <f>IF(Init!$R$9="Yes",SUMPRODUCT('Staging Table'!AJ120:AU120,LS_Demand_Rates_Restatement!$C$10:$N$10),SUMPRODUCT(LS_Demand_Rates_Restatement!$C$10:$N$10,'Staging Table'!CW120:DH120))*1000</f>
        <v>398049.40541426279</v>
      </c>
      <c r="H118" s="117"/>
      <c r="I118" s="115">
        <v>0</v>
      </c>
      <c r="J118" s="117">
        <f>IF(Init!$R$9="Yes",IF('Staging Table'!D120=1,'Staging Table'!H120*-1*'Staging Table'!F120/'Staging Table'!E120,'Staging Table'!H120*SUM(D118:I118)*(-1)),IF('Staging Table'!D120=1,'Staging Table'!BU120*-1*'Staging Table'!BS120/'Staging Table'!BR120,'Staging Table'!BU120*SUM(D118:I118)*(-1)))</f>
        <v>-342821.49315931852</v>
      </c>
      <c r="K118" s="115">
        <f>IF(Init!$R$9="Yes",'Staging Table'!K120,'Staging Table'!BX120)*(-1)*Rates_previous!$H$32</f>
        <v>-512205.67021000001</v>
      </c>
      <c r="L118" s="115">
        <f>IF('Staging Table'!C120=1,"",SUM(D118:K118))</f>
        <v>8146882.3165249452</v>
      </c>
      <c r="M118" s="115">
        <f>IF('Staging Table'!C120=1,"",IF(Init!$R$9="Yes",(RT1SC!$C$3*'Staging Table'!F120*'Staging Table'!$F$2),X118))</f>
        <v>269261.14709476801</v>
      </c>
      <c r="N118" s="69">
        <f>IF('Staging Table'!C120=1,"",IF(M118=0, 0, L118/M118))</f>
        <v>30.256434708189083</v>
      </c>
      <c r="O118" s="115">
        <f>'Staging Table'!BS120*Rates_current!$F$77*100*12</f>
        <v>10982968.0272</v>
      </c>
      <c r="P118" s="115">
        <f>'Staging Table'!BS120*Rates_current!$F$78*100*12</f>
        <v>-1759177.1376000002</v>
      </c>
      <c r="Q118" s="116"/>
      <c r="R118" s="116">
        <f>SUMPRODUCT('Staging Table'!CW120:DH120, LS_Demand_Rates_Restatement!$C$11:$N$11)*1000</f>
        <v>443999.10345233243</v>
      </c>
      <c r="S118" s="117"/>
      <c r="T118" s="117">
        <v>0</v>
      </c>
      <c r="U118" s="117">
        <f>IF('Staging Table'!D120=1, 'Staging Table'!BU120*-1*'Staging Table'!BS120/'Staging Table'!BR120,SUM(O118:T118)*'Staging Table'!BU120*-1)</f>
        <v>-417013.62805852602</v>
      </c>
      <c r="V118" s="115">
        <f>'Staging Table'!BX120*Rates_current!$I$44*-1</f>
        <v>-529471.02988000005</v>
      </c>
      <c r="W118" s="115">
        <f>IF('Staging Table'!C120=1,"",SUM(O118:V118))</f>
        <v>8721305.3351138048</v>
      </c>
      <c r="X118" s="115">
        <f>IF('Staging Table'!C120=1,"",(RT1SC!$C$4*'Staging Table'!BS120*'Staging Table'!$BS$2))</f>
        <v>264115.64794521604</v>
      </c>
      <c r="Y118" s="69">
        <f>IF('Staging Table'!C120=1,"",IF(X118=0, 0, W118/X118))</f>
        <v>33.020782384400086</v>
      </c>
      <c r="Z118" s="64">
        <f ca="1">IF('Staging Table'!C120=1,"",(Y118/N118-1)+(RAND()/100000000000))</f>
        <v>9.1363959532992839E-2</v>
      </c>
      <c r="AA118" s="45">
        <f t="shared" ca="1" si="6"/>
        <v>93</v>
      </c>
      <c r="AD118" s="119"/>
      <c r="AE118" s="119"/>
      <c r="AG118" s="119"/>
      <c r="AH118" s="119"/>
    </row>
    <row r="119" spans="2:34">
      <c r="B119" s="2">
        <v>10406</v>
      </c>
      <c r="C119" s="3" t="s">
        <v>123</v>
      </c>
      <c r="D119" s="115">
        <f>IF(Init!$R$9="Yes",'Staging Table'!F121,'Staging Table'!BS121)*Rates_previous!$E$76*100*12</f>
        <v>165162.26376</v>
      </c>
      <c r="E119" s="115">
        <f>IF(Init!$R$9="Yes",'Staging Table'!F121,'Staging Table'!BS121)*Rates_previous!$E$77*100*12</f>
        <v>-33719.357880000003</v>
      </c>
      <c r="F119" s="116"/>
      <c r="G119" s="116">
        <f>IF(Init!$R$9="Yes",SUMPRODUCT('Staging Table'!AJ121:AU121,LS_Demand_Rates_Restatement!$C$10:$N$10),SUMPRODUCT(LS_Demand_Rates_Restatement!$C$10:$N$10,'Staging Table'!CW121:DH121))*1000</f>
        <v>6928.5590372863253</v>
      </c>
      <c r="H119" s="117"/>
      <c r="I119" s="115">
        <v>0</v>
      </c>
      <c r="J119" s="117">
        <f>IF(Init!$R$9="Yes",IF('Staging Table'!D121=1,'Staging Table'!H121*-1*'Staging Table'!F121/'Staging Table'!E121,'Staging Table'!H121*SUM(D119:I119)*(-1)),IF('Staging Table'!D121=1,'Staging Table'!BU121*-1*'Staging Table'!BS121/'Staging Table'!BR121,'Staging Table'!BU121*SUM(D119:I119)*(-1)))</f>
        <v>0</v>
      </c>
      <c r="K119" s="115">
        <f>IF(Init!$R$9="Yes",'Staging Table'!K121,'Staging Table'!BX121)*(-1)*Rates_previous!$H$32</f>
        <v>0</v>
      </c>
      <c r="L119" s="115">
        <f>IF('Staging Table'!C121=1,"",SUM(D119:K119))</f>
        <v>138371.46491728633</v>
      </c>
      <c r="M119" s="115">
        <f>IF('Staging Table'!C121=1,"",IF(Init!$R$9="Yes",(RT1SC!$C$3*'Staging Table'!F121*'Staging Table'!$F$2),X119))</f>
        <v>4113.5568580079998</v>
      </c>
      <c r="N119" s="69">
        <f>IF('Staging Table'!C121=1,"",IF(M119=0, 0, L119/M119))</f>
        <v>33.637912321040105</v>
      </c>
      <c r="O119" s="115">
        <f>'Staging Table'!BS121*Rates_current!$F$77*100*12</f>
        <v>167821.24319999997</v>
      </c>
      <c r="P119" s="115">
        <f>'Staging Table'!BS121*Rates_current!$F$78*100*12</f>
        <v>-26880.465599999996</v>
      </c>
      <c r="Q119" s="116"/>
      <c r="R119" s="116">
        <f>SUMPRODUCT('Staging Table'!CW121:DH121, LS_Demand_Rates_Restatement!$C$11:$N$11)*1000</f>
        <v>7331.0367123397455</v>
      </c>
      <c r="S119" s="117"/>
      <c r="T119" s="117">
        <v>0</v>
      </c>
      <c r="U119" s="117">
        <f>IF('Staging Table'!D121=1, 'Staging Table'!BU121*-1*'Staging Table'!BS121/'Staging Table'!BR121,SUM(O119:T119)*'Staging Table'!BU121*-1)</f>
        <v>0</v>
      </c>
      <c r="V119" s="115">
        <f>'Staging Table'!BX121*Rates_current!$I$44*-1</f>
        <v>0</v>
      </c>
      <c r="W119" s="115">
        <f>IF('Staging Table'!C121=1,"",SUM(O119:V119))</f>
        <v>148271.81431233973</v>
      </c>
      <c r="X119" s="115">
        <f>IF('Staging Table'!C121=1,"",(RT1SC!$C$4*'Staging Table'!BS121*'Staging Table'!$BS$2))</f>
        <v>4035.7229736960007</v>
      </c>
      <c r="Y119" s="69">
        <f>IF('Staging Table'!C121=1,"",IF(X119=0, 0, W119/X119))</f>
        <v>36.739839498088557</v>
      </c>
      <c r="Z119" s="64">
        <f ca="1">IF('Staging Table'!C121=1,"",(Y119/N119-1)+(RAND()/100000000000))</f>
        <v>9.2215210845252429E-2</v>
      </c>
      <c r="AA119" s="45">
        <f t="shared" ca="1" si="6"/>
        <v>87</v>
      </c>
      <c r="AD119" s="119"/>
      <c r="AE119" s="119"/>
      <c r="AG119" s="119"/>
      <c r="AH119" s="119"/>
    </row>
    <row r="120" spans="2:34">
      <c r="B120" s="2">
        <v>10408</v>
      </c>
      <c r="C120" s="3" t="s">
        <v>124</v>
      </c>
      <c r="D120" s="115">
        <f>IF(Init!$R$9="Yes",'Staging Table'!F122,'Staging Table'!BS122)*Rates_previous!$E$76*100*12</f>
        <v>550789.99271999998</v>
      </c>
      <c r="E120" s="115">
        <f>IF(Init!$R$9="Yes",'Staging Table'!F122,'Staging Table'!BS122)*Rates_previous!$E$77*100*12</f>
        <v>-112448.71836</v>
      </c>
      <c r="F120" s="116"/>
      <c r="G120" s="116">
        <f>IF(Init!$R$9="Yes",SUMPRODUCT('Staging Table'!AJ122:AU122,LS_Demand_Rates_Restatement!$C$10:$N$10),SUMPRODUCT(LS_Demand_Rates_Restatement!$C$10:$N$10,'Staging Table'!CW122:DH122))*1000</f>
        <v>33136.848993589723</v>
      </c>
      <c r="H120" s="117"/>
      <c r="I120" s="115">
        <v>0</v>
      </c>
      <c r="J120" s="117">
        <f>IF(Init!$R$9="Yes",IF('Staging Table'!D122=1,'Staging Table'!H122*-1*'Staging Table'!F122/'Staging Table'!E122,'Staging Table'!H122*SUM(D120:I120)*(-1)),IF('Staging Table'!D122=1,'Staging Table'!BU122*-1*'Staging Table'!BS122/'Staging Table'!BR122,'Staging Table'!BU122*SUM(D120:I120)*(-1)))</f>
        <v>0</v>
      </c>
      <c r="K120" s="115">
        <f>IF(Init!$R$9="Yes",'Staging Table'!K122,'Staging Table'!BX122)*(-1)*Rates_previous!$H$32</f>
        <v>0</v>
      </c>
      <c r="L120" s="115">
        <f>IF('Staging Table'!C122=1,"",SUM(D120:K120))</f>
        <v>471478.12335358968</v>
      </c>
      <c r="M120" s="115">
        <f>IF('Staging Table'!C122=1,"",IF(Init!$R$9="Yes",(RT1SC!$C$3*'Staging Table'!F122*'Staging Table'!$F$2),X120))</f>
        <v>13718.060653176</v>
      </c>
      <c r="N120" s="69">
        <f>IF('Staging Table'!C122=1,"",IF(M120=0, 0, L120/M120))</f>
        <v>34.369152847012181</v>
      </c>
      <c r="O120" s="115">
        <f>'Staging Table'!BS122*Rates_current!$F$77*100*12</f>
        <v>559404.14400000009</v>
      </c>
      <c r="P120" s="115">
        <f>'Staging Table'!BS122*Rates_current!$F$78*100*12</f>
        <v>-89601.551999999996</v>
      </c>
      <c r="Q120" s="116"/>
      <c r="R120" s="116">
        <f>SUMPRODUCT('Staging Table'!CW122:DH122, LS_Demand_Rates_Restatement!$C$11:$N$11)*1000</f>
        <v>36198.029686921291</v>
      </c>
      <c r="S120" s="117"/>
      <c r="T120" s="117">
        <v>0</v>
      </c>
      <c r="U120" s="117">
        <f>IF('Staging Table'!D122=1, 'Staging Table'!BU122*-1*'Staging Table'!BS122/'Staging Table'!BR122,SUM(O120:T120)*'Staging Table'!BU122*-1)</f>
        <v>0</v>
      </c>
      <c r="V120" s="115">
        <f>'Staging Table'!BX122*Rates_current!$I$44*-1</f>
        <v>0</v>
      </c>
      <c r="W120" s="115">
        <f>IF('Staging Table'!C122=1,"",SUM(O120:V120))</f>
        <v>506000.62168692134</v>
      </c>
      <c r="X120" s="115">
        <f>IF('Staging Table'!C122=1,"",(RT1SC!$C$4*'Staging Table'!BS122*'Staging Table'!$BS$2))</f>
        <v>13452.409912320001</v>
      </c>
      <c r="Y120" s="69">
        <f>IF('Staging Table'!C122=1,"",IF(X120=0, 0, W120/X120))</f>
        <v>37.614124531212454</v>
      </c>
      <c r="Z120" s="64">
        <f ca="1">IF('Staging Table'!C122=1,"",(Y120/N120-1)+(RAND()/100000000000))</f>
        <v>9.4415236204957662E-2</v>
      </c>
      <c r="AA120" s="45">
        <f t="shared" ca="1" si="6"/>
        <v>54</v>
      </c>
      <c r="AD120" s="119"/>
      <c r="AE120" s="119"/>
      <c r="AG120" s="119"/>
      <c r="AH120" s="119"/>
    </row>
    <row r="121" spans="2:34">
      <c r="B121" s="2">
        <v>10409</v>
      </c>
      <c r="C121" s="3" t="s">
        <v>125</v>
      </c>
      <c r="D121" s="115">
        <f>IF(Init!$R$9="Yes",'Staging Table'!F123,'Staging Table'!BS123)*Rates_previous!$E$76*100*12</f>
        <v>7364792.1052800007</v>
      </c>
      <c r="E121" s="115">
        <f>IF(Init!$R$9="Yes",'Staging Table'!F123,'Staging Table'!BS123)*Rates_previous!$E$77*100*12</f>
        <v>-1503588.3806400001</v>
      </c>
      <c r="F121" s="116"/>
      <c r="G121" s="116">
        <f>IF(Init!$R$9="Yes",SUMPRODUCT('Staging Table'!AJ123:AU123,LS_Demand_Rates_Restatement!$C$10:$N$10),SUMPRODUCT(LS_Demand_Rates_Restatement!$C$10:$N$10,'Staging Table'!CW123:DH123))*1000</f>
        <v>712466.99824879807</v>
      </c>
      <c r="H121" s="117"/>
      <c r="I121" s="115">
        <v>0</v>
      </c>
      <c r="J121" s="117">
        <f>IF(Init!$R$9="Yes",IF('Staging Table'!D123=1,'Staging Table'!H123*-1*'Staging Table'!F123/'Staging Table'!E123,'Staging Table'!H123*SUM(D121:I121)*(-1)),IF('Staging Table'!D123=1,'Staging Table'!BU123*-1*'Staging Table'!BS123/'Staging Table'!BR123,'Staging Table'!BU123*SUM(D121:I121)*(-1)))</f>
        <v>0</v>
      </c>
      <c r="K121" s="115">
        <f>IF(Init!$R$9="Yes",'Staging Table'!K123,'Staging Table'!BX123)*(-1)*Rates_previous!$H$32</f>
        <v>0</v>
      </c>
      <c r="L121" s="115">
        <f>IF('Staging Table'!C123=1,"",SUM(D121:K121))</f>
        <v>6573670.7228887985</v>
      </c>
      <c r="M121" s="115">
        <f>IF('Staging Table'!C123=1,"",IF(Init!$R$9="Yes",(RT1SC!$C$3*'Staging Table'!F123*'Staging Table'!$F$2),X121))</f>
        <v>183428.65000022401</v>
      </c>
      <c r="N121" s="69">
        <f>IF('Staging Table'!C123=1,"",IF(M121=0, 0, L121/M121))</f>
        <v>35.837753387383984</v>
      </c>
      <c r="O121" s="115">
        <f>'Staging Table'!BS123*Rates_current!$F$77*100*12</f>
        <v>7481771.4425999997</v>
      </c>
      <c r="P121" s="115">
        <f>'Staging Table'!BS123*Rates_current!$F$78*100*12</f>
        <v>-1198379.2757999999</v>
      </c>
      <c r="Q121" s="116"/>
      <c r="R121" s="116">
        <f>SUMPRODUCT('Staging Table'!CW123:DH123, LS_Demand_Rates_Restatement!$C$11:$N$11)*1000</f>
        <v>793162.5425916044</v>
      </c>
      <c r="S121" s="117"/>
      <c r="T121" s="117">
        <v>0</v>
      </c>
      <c r="U121" s="117">
        <f>IF('Staging Table'!D123=1, 'Staging Table'!BU123*-1*'Staging Table'!BS123/'Staging Table'!BR123,SUM(O121:T121)*'Staging Table'!BU123*-1)</f>
        <v>0</v>
      </c>
      <c r="V121" s="115">
        <f>'Staging Table'!BX123*Rates_current!$I$44*-1</f>
        <v>0</v>
      </c>
      <c r="W121" s="115">
        <f>IF('Staging Table'!C123=1,"",SUM(O121:V121))</f>
        <v>7076554.7093916042</v>
      </c>
      <c r="X121" s="115">
        <f>IF('Staging Table'!C123=1,"",(RT1SC!$C$4*'Staging Table'!BS123*'Staging Table'!$BS$2))</f>
        <v>179919.754609728</v>
      </c>
      <c r="Y121" s="69">
        <f>IF('Staging Table'!C123=1,"",IF(X121=0, 0, W121/X121))</f>
        <v>39.331727217734795</v>
      </c>
      <c r="Z121" s="64">
        <f ca="1">IF('Staging Table'!C123=1,"",(Y121/N121-1)+(RAND()/100000000000))</f>
        <v>9.7494220491440228E-2</v>
      </c>
      <c r="AA121" s="45">
        <f t="shared" ca="1" si="6"/>
        <v>26</v>
      </c>
      <c r="AD121" s="119"/>
      <c r="AE121" s="119"/>
      <c r="AG121" s="119"/>
      <c r="AH121" s="119"/>
    </row>
    <row r="122" spans="2:34">
      <c r="B122" s="2">
        <v>10426</v>
      </c>
      <c r="C122" s="3" t="s">
        <v>126</v>
      </c>
      <c r="D122" s="115">
        <f>IF(Init!$R$9="Yes",'Staging Table'!F124,'Staging Table'!BS124)*Rates_previous!$E$76*100*12</f>
        <v>11431072.09224</v>
      </c>
      <c r="E122" s="115">
        <f>IF(Init!$R$9="Yes",'Staging Table'!F124,'Staging Table'!BS124)*Rates_previous!$E$77*100*12</f>
        <v>-2333755.9201200004</v>
      </c>
      <c r="F122" s="116"/>
      <c r="G122" s="116">
        <f>IF(Init!$R$9="Yes",SUMPRODUCT('Staging Table'!AJ124:AU124,LS_Demand_Rates_Restatement!$C$10:$N$10),SUMPRODUCT(LS_Demand_Rates_Restatement!$C$10:$N$10,'Staging Table'!CW124:DH124))*1000</f>
        <v>203445.64033213162</v>
      </c>
      <c r="H122" s="117"/>
      <c r="I122" s="115">
        <v>0</v>
      </c>
      <c r="J122" s="117">
        <f>IF(Init!$R$9="Yes",IF('Staging Table'!D124=1,'Staging Table'!H124*-1*'Staging Table'!F124/'Staging Table'!E124,'Staging Table'!H124*SUM(D122:I122)*(-1)),IF('Staging Table'!D124=1,'Staging Table'!BU124*-1*'Staging Table'!BS124/'Staging Table'!BR124,'Staging Table'!BU124*SUM(D122:I122)*(-1)))</f>
        <v>0</v>
      </c>
      <c r="K122" s="115">
        <f>IF(Init!$R$9="Yes",'Staging Table'!K124,'Staging Table'!BX124)*(-1)*Rates_previous!$H$32</f>
        <v>0</v>
      </c>
      <c r="L122" s="115">
        <f>IF('Staging Table'!C124=1,"",SUM(D122:K122))</f>
        <v>9300761.81245213</v>
      </c>
      <c r="M122" s="115">
        <f>IF('Staging Table'!C124=1,"",IF(Init!$R$9="Yes",(RT1SC!$C$3*'Staging Table'!F124*'Staging Table'!$F$2),X122))</f>
        <v>284704.04757679201</v>
      </c>
      <c r="N122" s="69">
        <f>IF('Staging Table'!C124=1,"",IF(M122=0, 0, L122/M122))</f>
        <v>32.668175572542481</v>
      </c>
      <c r="O122" s="115">
        <f>'Staging Table'!BS124*Rates_current!$F$77*100*12</f>
        <v>14219742.560400002</v>
      </c>
      <c r="P122" s="115">
        <f>'Staging Table'!BS124*Rates_current!$F$78*100*12</f>
        <v>-2277621.6732000001</v>
      </c>
      <c r="Q122" s="116"/>
      <c r="R122" s="116">
        <f>SUMPRODUCT('Staging Table'!CW124:DH124, LS_Demand_Rates_Restatement!$C$11:$N$11)*1000</f>
        <v>274039.0930837965</v>
      </c>
      <c r="S122" s="117"/>
      <c r="T122" s="117">
        <v>0</v>
      </c>
      <c r="U122" s="117">
        <f>IF('Staging Table'!D124=1, 'Staging Table'!BU124*-1*'Staging Table'!BS124/'Staging Table'!BR124,SUM(O122:T122)*'Staging Table'!BU124*-1)</f>
        <v>0</v>
      </c>
      <c r="V122" s="115">
        <f>'Staging Table'!BX124*Rates_current!$I$44*-1</f>
        <v>0</v>
      </c>
      <c r="W122" s="115">
        <f>IF('Staging Table'!C124=1,"",SUM(O122:V122))</f>
        <v>12216159.980283799</v>
      </c>
      <c r="X122" s="115">
        <f>IF('Staging Table'!C124=1,"",(RT1SC!$C$4*'Staging Table'!BS124*'Staging Table'!$BS$2))</f>
        <v>341952.78641011199</v>
      </c>
      <c r="Y122" s="69">
        <f>IF('Staging Table'!C124=1,"",IF(X122=0, 0, W122/X122))</f>
        <v>35.72469786993539</v>
      </c>
      <c r="Z122" s="64">
        <f ca="1">IF('Staging Table'!C124=1,"",(Y122/N122-1)+(RAND()/100000000000))</f>
        <v>9.3562687358333466E-2</v>
      </c>
      <c r="AA122" s="45">
        <f t="shared" ca="1" si="6"/>
        <v>65</v>
      </c>
      <c r="AD122" s="119"/>
      <c r="AE122" s="119"/>
      <c r="AG122" s="119"/>
      <c r="AH122" s="119"/>
    </row>
    <row r="123" spans="2:34">
      <c r="B123" s="2">
        <v>10434</v>
      </c>
      <c r="C123" s="3" t="s">
        <v>127</v>
      </c>
      <c r="D123" s="115">
        <f>IF(Init!$R$9="Yes",'Staging Table'!F125,'Staging Table'!BS125)*Rates_previous!$E$76*100*12</f>
        <v>9793898.0387999993</v>
      </c>
      <c r="E123" s="115">
        <f>IF(Init!$R$9="Yes",'Staging Table'!F125,'Staging Table'!BS125)*Rates_previous!$E$77*100*12</f>
        <v>-1999512.1494</v>
      </c>
      <c r="F123" s="116"/>
      <c r="G123" s="116">
        <f>IF(Init!$R$9="Yes",SUMPRODUCT('Staging Table'!AJ125:AU125,LS_Demand_Rates_Restatement!$C$10:$N$10),SUMPRODUCT(LS_Demand_Rates_Restatement!$C$10:$N$10,'Staging Table'!CW125:DH125))*1000</f>
        <v>1009463.5340448986</v>
      </c>
      <c r="H123" s="117"/>
      <c r="I123" s="115">
        <v>0</v>
      </c>
      <c r="J123" s="117">
        <f>IF(Init!$R$9="Yes",IF('Staging Table'!D125=1,'Staging Table'!H125*-1*'Staging Table'!F125/'Staging Table'!E125,'Staging Table'!H125*SUM(D123:I123)*(-1)),IF('Staging Table'!D125=1,'Staging Table'!BU125*-1*'Staging Table'!BS125/'Staging Table'!BR125,'Staging Table'!BU125*SUM(D123:I123)*(-1)))</f>
        <v>0</v>
      </c>
      <c r="K123" s="115">
        <f>IF(Init!$R$9="Yes",'Staging Table'!K125,'Staging Table'!BX125)*(-1)*Rates_previous!$H$32</f>
        <v>0</v>
      </c>
      <c r="L123" s="115">
        <f>IF('Staging Table'!C125=1,"",SUM(D123:K123))</f>
        <v>8803849.4234448988</v>
      </c>
      <c r="M123" s="115">
        <f>IF('Staging Table'!C125=1,"",IF(Init!$R$9="Yes",(RT1SC!$C$3*'Staging Table'!F125*'Staging Table'!$F$2),X123))</f>
        <v>243928.33766604</v>
      </c>
      <c r="N123" s="69">
        <f>IF('Staging Table'!C125=1,"",IF(M123=0, 0, L123/M123))</f>
        <v>36.091950232933442</v>
      </c>
      <c r="O123" s="115">
        <f>'Staging Table'!BS125*Rates_current!$F$77*100*12</f>
        <v>9949365.2777999993</v>
      </c>
      <c r="P123" s="115">
        <f>'Staging Table'!BS125*Rates_current!$F$78*100*12</f>
        <v>-1593621.6773999999</v>
      </c>
      <c r="Q123" s="116"/>
      <c r="R123" s="116">
        <f>SUMPRODUCT('Staging Table'!CW125:DH125, LS_Demand_Rates_Restatement!$C$11:$N$11)*1000</f>
        <v>1098043.7761110403</v>
      </c>
      <c r="S123" s="117"/>
      <c r="T123" s="117">
        <v>0</v>
      </c>
      <c r="U123" s="117">
        <f>IF('Staging Table'!D125=1, 'Staging Table'!BU125*-1*'Staging Table'!BS125/'Staging Table'!BR125,SUM(O123:T123)*'Staging Table'!BU125*-1)</f>
        <v>0</v>
      </c>
      <c r="V123" s="115">
        <f>'Staging Table'!BX125*Rates_current!$I$44*-1</f>
        <v>0</v>
      </c>
      <c r="W123" s="115">
        <f>IF('Staging Table'!C125=1,"",SUM(O123:V123))</f>
        <v>9453787.3765110392</v>
      </c>
      <c r="X123" s="115">
        <f>IF('Staging Table'!C125=1,"",(RT1SC!$C$4*'Staging Table'!BS125*'Staging Table'!$BS$2))</f>
        <v>239259.82944518403</v>
      </c>
      <c r="Y123" s="69">
        <f>IF('Staging Table'!C125=1,"",IF(X123=0, 0, W123/X123))</f>
        <v>39.51263945323911</v>
      </c>
      <c r="Z123" s="64">
        <f ca="1">IF('Staging Table'!C125=1,"",(Y123/N123-1)+(RAND()/100000000000))</f>
        <v>9.4777067975478219E-2</v>
      </c>
      <c r="AA123" s="45">
        <f t="shared" ca="1" si="6"/>
        <v>50</v>
      </c>
      <c r="AD123" s="119"/>
      <c r="AE123" s="119"/>
      <c r="AG123" s="119"/>
      <c r="AH123" s="119"/>
    </row>
    <row r="124" spans="2:34">
      <c r="B124" s="2">
        <v>10436</v>
      </c>
      <c r="C124" s="3" t="s">
        <v>128</v>
      </c>
      <c r="D124" s="115">
        <f>IF(Init!$R$9="Yes",'Staging Table'!F126,'Staging Table'!BS126)*Rates_previous!$E$76*100*12</f>
        <v>6906921.4555200003</v>
      </c>
      <c r="E124" s="115">
        <f>IF(Init!$R$9="Yes",'Staging Table'!F126,'Staging Table'!BS126)*Rates_previous!$E$77*100*12</f>
        <v>-1410109.9797599998</v>
      </c>
      <c r="F124" s="116"/>
      <c r="G124" s="116">
        <f>IF(Init!$R$9="Yes",SUMPRODUCT('Staging Table'!AJ126:AU126,LS_Demand_Rates_Restatement!$C$10:$N$10),SUMPRODUCT(LS_Demand_Rates_Restatement!$C$10:$N$10,'Staging Table'!CW126:DH126))*1000</f>
        <v>641836.49799404398</v>
      </c>
      <c r="H124" s="117"/>
      <c r="I124" s="115">
        <v>0</v>
      </c>
      <c r="J124" s="117">
        <f>IF(Init!$R$9="Yes",IF('Staging Table'!D126=1,'Staging Table'!H126*-1*'Staging Table'!F126/'Staging Table'!E126,'Staging Table'!H126*SUM(D124:I124)*(-1)),IF('Staging Table'!D126=1,'Staging Table'!BU126*-1*'Staging Table'!BS126/'Staging Table'!BR126,'Staging Table'!BU126*SUM(D124:I124)*(-1)))</f>
        <v>-558625.94024315861</v>
      </c>
      <c r="K124" s="115">
        <f>IF(Init!$R$9="Yes",'Staging Table'!K126,'Staging Table'!BX126)*(-1)*Rates_previous!$H$32</f>
        <v>-449647.89505999995</v>
      </c>
      <c r="L124" s="115">
        <f>IF('Staging Table'!C126=1,"",SUM(D124:K124))</f>
        <v>5130374.1384508861</v>
      </c>
      <c r="M124" s="115">
        <f>IF('Staging Table'!C126=1,"",IF(Init!$R$9="Yes",(RT1SC!$C$3*'Staging Table'!F126*'Staging Table'!$F$2),X124))</f>
        <v>172024.85285841601</v>
      </c>
      <c r="N124" s="69">
        <f>IF('Staging Table'!C126=1,"",IF(M124=0, 0, L124/M124))</f>
        <v>29.823447328703189</v>
      </c>
      <c r="O124" s="115">
        <f>'Staging Table'!BS126*Rates_current!$F$77*100*12</f>
        <v>7017155.2229999993</v>
      </c>
      <c r="P124" s="115">
        <f>'Staging Table'!BS126*Rates_current!$F$78*100*12</f>
        <v>-1123960.2090000003</v>
      </c>
      <c r="Q124" s="116"/>
      <c r="R124" s="116">
        <f>SUMPRODUCT('Staging Table'!CW126:DH126, LS_Demand_Rates_Restatement!$C$11:$N$11)*1000</f>
        <v>727146.35562114499</v>
      </c>
      <c r="S124" s="117"/>
      <c r="T124" s="117">
        <v>0</v>
      </c>
      <c r="U124" s="117">
        <f>IF('Staging Table'!D126=1, 'Staging Table'!BU126*-1*'Staging Table'!BS126/'Staging Table'!BR126,SUM(O124:T124)*'Staging Table'!BU126*-1)</f>
        <v>-619678.7992477339</v>
      </c>
      <c r="V124" s="115">
        <f>'Staging Table'!BX126*Rates_current!$I$44*-1</f>
        <v>-464804.56567999994</v>
      </c>
      <c r="W124" s="115">
        <f>IF('Staging Table'!C126=1,"",SUM(O124:V124))</f>
        <v>5535858.0046934094</v>
      </c>
      <c r="X124" s="115">
        <f>IF('Staging Table'!C126=1,"",(RT1SC!$C$4*'Staging Table'!BS126*'Staging Table'!$BS$2))</f>
        <v>168746.78082144001</v>
      </c>
      <c r="Y124" s="69">
        <f>IF('Staging Table'!C126=1,"",IF(X124=0, 0, W124/X124))</f>
        <v>32.805710294119308</v>
      </c>
      <c r="Z124" s="64">
        <f ca="1">IF('Staging Table'!C126=1,"",(Y124/N124-1)+(RAND()/100000000000))</f>
        <v>9.9997258283852808E-2</v>
      </c>
      <c r="AA124" s="45">
        <f t="shared" ca="1" si="6"/>
        <v>15</v>
      </c>
      <c r="AD124" s="119"/>
      <c r="AE124" s="119"/>
      <c r="AG124" s="119"/>
      <c r="AH124" s="119"/>
    </row>
    <row r="125" spans="2:34">
      <c r="B125" s="2">
        <v>10440</v>
      </c>
      <c r="C125" s="3" t="s">
        <v>129</v>
      </c>
      <c r="D125" s="115">
        <f>IF(Init!$R$9="Yes",'Staging Table'!F127,'Staging Table'!BS127)*Rates_previous!$E$76*100*12</f>
        <v>1805076.5659200002</v>
      </c>
      <c r="E125" s="115">
        <f>IF(Init!$R$9="Yes",'Staging Table'!F127,'Staging Table'!BS127)*Rates_previous!$E$77*100*12</f>
        <v>-368522.57496</v>
      </c>
      <c r="F125" s="116"/>
      <c r="G125" s="116">
        <f>IF(Init!$R$9="Yes",SUMPRODUCT('Staging Table'!AJ127:AU127,LS_Demand_Rates_Restatement!$C$10:$N$10),SUMPRODUCT(LS_Demand_Rates_Restatement!$C$10:$N$10,'Staging Table'!CW127:DH127))*1000</f>
        <v>159682.27859326918</v>
      </c>
      <c r="H125" s="117"/>
      <c r="I125" s="115">
        <v>0</v>
      </c>
      <c r="J125" s="117">
        <f>IF(Init!$R$9="Yes",IF('Staging Table'!D127=1,'Staging Table'!H127*-1*'Staging Table'!F127/'Staging Table'!E127,'Staging Table'!H127*SUM(D125:I125)*(-1)),IF('Staging Table'!D127=1,'Staging Table'!BU127*-1*'Staging Table'!BS127/'Staging Table'!BR127,'Staging Table'!BU127*SUM(D125:I125)*(-1)))</f>
        <v>-92125.636128502971</v>
      </c>
      <c r="K125" s="115">
        <f>IF(Init!$R$9="Yes",'Staging Table'!K127,'Staging Table'!BX127)*(-1)*Rates_previous!$H$32</f>
        <v>0</v>
      </c>
      <c r="L125" s="115">
        <f>IF('Staging Table'!C127=1,"",SUM(D125:K125))</f>
        <v>1504110.6334247664</v>
      </c>
      <c r="M125" s="115">
        <f>IF('Staging Table'!C127=1,"",IF(Init!$R$9="Yes",(RT1SC!$C$3*'Staging Table'!F127*'Staging Table'!$F$2),X125))</f>
        <v>44957.515826736002</v>
      </c>
      <c r="N125" s="69">
        <f>IF('Staging Table'!C127=1,"",IF(M125=0, 0, L125/M125))</f>
        <v>33.456266561113672</v>
      </c>
      <c r="O125" s="115">
        <f>'Staging Table'!BS127*Rates_current!$F$77*100*12</f>
        <v>1833861.4553999999</v>
      </c>
      <c r="P125" s="115">
        <f>'Staging Table'!BS127*Rates_current!$F$78*100*12</f>
        <v>-293735.45819999999</v>
      </c>
      <c r="Q125" s="116"/>
      <c r="R125" s="116">
        <f>SUMPRODUCT('Staging Table'!CW127:DH127, LS_Demand_Rates_Restatement!$C$11:$N$11)*1000</f>
        <v>172767.07634686609</v>
      </c>
      <c r="S125" s="117"/>
      <c r="T125" s="117">
        <v>0</v>
      </c>
      <c r="U125" s="117">
        <f>IF('Staging Table'!D127=1, 'Staging Table'!BU127*-1*'Staging Table'!BS127/'Staging Table'!BR127,SUM(O125:T125)*'Staging Table'!BU127*-1)</f>
        <v>-102892.677097703</v>
      </c>
      <c r="V125" s="115">
        <f>'Staging Table'!BX127*Rates_current!$I$44*-1</f>
        <v>0</v>
      </c>
      <c r="W125" s="115">
        <f>IF('Staging Table'!C127=1,"",SUM(O125:V125))</f>
        <v>1610000.3964491629</v>
      </c>
      <c r="X125" s="115">
        <f>IF('Staging Table'!C127=1,"",(RT1SC!$C$4*'Staging Table'!BS127*'Staging Table'!$BS$2))</f>
        <v>44100.238235712008</v>
      </c>
      <c r="Y125" s="69">
        <f>IF('Staging Table'!C127=1,"",IF(X125=0, 0, W125/X125))</f>
        <v>36.507748276638509</v>
      </c>
      <c r="Z125" s="64">
        <f ca="1">IF('Staging Table'!C127=1,"",(Y125/N125-1)+(RAND()/100000000000))</f>
        <v>9.1208076373387029E-2</v>
      </c>
      <c r="AA125" s="45">
        <f t="shared" ca="1" si="6"/>
        <v>95</v>
      </c>
      <c r="AD125" s="119"/>
      <c r="AE125" s="119"/>
      <c r="AG125" s="119"/>
      <c r="AH125" s="119"/>
    </row>
    <row r="126" spans="2:34">
      <c r="B126" s="2">
        <v>10442</v>
      </c>
      <c r="C126" s="3" t="s">
        <v>130</v>
      </c>
      <c r="D126" s="115">
        <f>IF(Init!$R$9="Yes",'Staging Table'!F128,'Staging Table'!BS128)*Rates_previous!$E$76*100*12</f>
        <v>4538599.2208799999</v>
      </c>
      <c r="E126" s="115">
        <f>IF(Init!$R$9="Yes",'Staging Table'!F128,'Staging Table'!BS128)*Rates_previous!$E$77*100*12</f>
        <v>-926595.74844</v>
      </c>
      <c r="F126" s="116"/>
      <c r="G126" s="116">
        <f>IF(Init!$R$9="Yes",SUMPRODUCT('Staging Table'!AJ128:AU128,LS_Demand_Rates_Restatement!$C$10:$N$10),SUMPRODUCT(LS_Demand_Rates_Restatement!$C$10:$N$10,'Staging Table'!CW128:DH128))*1000</f>
        <v>464537.92442401178</v>
      </c>
      <c r="H126" s="117"/>
      <c r="I126" s="115">
        <v>0</v>
      </c>
      <c r="J126" s="117">
        <f>IF(Init!$R$9="Yes",IF('Staging Table'!D128=1,'Staging Table'!H128*-1*'Staging Table'!F128/'Staging Table'!E128,'Staging Table'!H128*SUM(D126:I126)*(-1)),IF('Staging Table'!D128=1,'Staging Table'!BU128*-1*'Staging Table'!BS128/'Staging Table'!BR128,'Staging Table'!BU128*SUM(D126:I126)*(-1)))</f>
        <v>-285357.89778048085</v>
      </c>
      <c r="K126" s="115">
        <f>IF(Init!$R$9="Yes",'Staging Table'!K128,'Staging Table'!BX128)*(-1)*Rates_previous!$H$32</f>
        <v>-112614.6281</v>
      </c>
      <c r="L126" s="115">
        <f>IF('Staging Table'!C128=1,"",SUM(D126:K126))</f>
        <v>3678568.8709835308</v>
      </c>
      <c r="M126" s="115">
        <f>IF('Staging Table'!C128=1,"",IF(Init!$R$9="Yes",(RT1SC!$C$3*'Staging Table'!F128*'Staging Table'!$F$2),X126))</f>
        <v>113039.053387704</v>
      </c>
      <c r="N126" s="69">
        <f>IF('Staging Table'!C128=1,"",IF(M126=0, 0, L126/M126))</f>
        <v>32.542459979443464</v>
      </c>
      <c r="O126" s="115">
        <f>'Staging Table'!BS128*Rates_current!$F$77*100*12</f>
        <v>4778502.7133999998</v>
      </c>
      <c r="P126" s="115">
        <f>'Staging Table'!BS128*Rates_current!$F$78*100*12</f>
        <v>-765388.07219999994</v>
      </c>
      <c r="Q126" s="116"/>
      <c r="R126" s="116">
        <f>SUMPRODUCT('Staging Table'!CW128:DH128, LS_Demand_Rates_Restatement!$C$11:$N$11)*1000</f>
        <v>534076.36863847054</v>
      </c>
      <c r="S126" s="117"/>
      <c r="T126" s="117">
        <v>0</v>
      </c>
      <c r="U126" s="117">
        <f>IF('Staging Table'!D128=1, 'Staging Table'!BU128*-1*'Staging Table'!BS128/'Staging Table'!BR128,SUM(O126:T126)*'Staging Table'!BU128*-1)</f>
        <v>-318303.37068869296</v>
      </c>
      <c r="V126" s="115">
        <f>'Staging Table'!BX128*Rates_current!$I$44*-1</f>
        <v>-116410.62680000001</v>
      </c>
      <c r="W126" s="115">
        <f>IF('Staging Table'!C128=1,"",SUM(O126:V126))</f>
        <v>4112477.0123497774</v>
      </c>
      <c r="X126" s="115">
        <f>IF('Staging Table'!C128=1,"",(RT1SC!$C$4*'Staging Table'!BS128*'Staging Table'!$BS$2))</f>
        <v>114912.22930195201</v>
      </c>
      <c r="Y126" s="69">
        <f>IF('Staging Table'!C128=1,"",IF(X126=0, 0, W126/X126))</f>
        <v>35.787983901552579</v>
      </c>
      <c r="Z126" s="64">
        <f ca="1">IF('Staging Table'!C128=1,"",(Y126/N126-1)+(RAND()/100000000000))</f>
        <v>9.973197859740697E-2</v>
      </c>
      <c r="AA126" s="45">
        <f t="shared" ca="1" si="6"/>
        <v>17</v>
      </c>
      <c r="AD126" s="119"/>
      <c r="AE126" s="119"/>
      <c r="AG126" s="119"/>
      <c r="AH126" s="119"/>
    </row>
    <row r="127" spans="2:34">
      <c r="B127" s="2">
        <v>10446</v>
      </c>
      <c r="C127" s="3" t="s">
        <v>131</v>
      </c>
      <c r="D127" s="115">
        <f>IF(Init!$R$9="Yes",'Staging Table'!F129,'Staging Table'!BS129)*Rates_previous!$E$76*100*12</f>
        <v>34539091.32096</v>
      </c>
      <c r="E127" s="115">
        <f>IF(Init!$R$9="Yes",'Staging Table'!F129,'Staging Table'!BS129)*Rates_previous!$E$77*100*12</f>
        <v>-7051465.3564799996</v>
      </c>
      <c r="F127" s="116"/>
      <c r="G127" s="116">
        <f>IF(Init!$R$9="Yes",SUMPRODUCT('Staging Table'!AJ129:AU129,LS_Demand_Rates_Restatement!$C$10:$N$10),SUMPRODUCT(LS_Demand_Rates_Restatement!$C$10:$N$10,'Staging Table'!CW129:DH129))*1000</f>
        <v>1414378.4012183761</v>
      </c>
      <c r="H127" s="117"/>
      <c r="I127" s="115">
        <v>0</v>
      </c>
      <c r="J127" s="117">
        <f>IF(Init!$R$9="Yes",IF('Staging Table'!D129=1,'Staging Table'!H129*-1*'Staging Table'!F129/'Staging Table'!E129,'Staging Table'!H129*SUM(D127:I127)*(-1)),IF('Staging Table'!D129=1,'Staging Table'!BU129*-1*'Staging Table'!BS129/'Staging Table'!BR129,'Staging Table'!BU129*SUM(D127:I127)*(-1)))</f>
        <v>-1902914.7152925436</v>
      </c>
      <c r="K127" s="115">
        <f>IF(Init!$R$9="Yes",'Staging Table'!K129,'Staging Table'!BX129)*(-1)*Rates_previous!$H$32</f>
        <v>-82972.4038</v>
      </c>
      <c r="L127" s="115">
        <f>IF('Staging Table'!C129=1,"",SUM(D127:K127))</f>
        <v>26916117.246605836</v>
      </c>
      <c r="M127" s="115">
        <f>IF('Staging Table'!C129=1,"",IF(Init!$R$9="Yes",(RT1SC!$C$3*'Staging Table'!F129*'Staging Table'!$F$2),X127))</f>
        <v>860235.94456876803</v>
      </c>
      <c r="N127" s="69">
        <f>IF('Staging Table'!C129=1,"",IF(M127=0, 0, L127/M127))</f>
        <v>31.289226422756318</v>
      </c>
      <c r="O127" s="115">
        <f>'Staging Table'!BS129*Rates_current!$F$77*100*12</f>
        <v>31336732.416600004</v>
      </c>
      <c r="P127" s="115">
        <f>'Staging Table'!BS129*Rates_current!$F$78*100*12</f>
        <v>-5019304.7178000007</v>
      </c>
      <c r="Q127" s="116"/>
      <c r="R127" s="116">
        <f>SUMPRODUCT('Staging Table'!CW129:DH129, LS_Demand_Rates_Restatement!$C$11:$N$11)*1000</f>
        <v>1602557.7394512468</v>
      </c>
      <c r="S127" s="117"/>
      <c r="T127" s="117">
        <v>0</v>
      </c>
      <c r="U127" s="117">
        <f>IF('Staging Table'!D129=1, 'Staging Table'!BU129*-1*'Staging Table'!BS129/'Staging Table'!BR129,SUM(O127:T127)*'Staging Table'!BU129*-1)</f>
        <v>-1814799.0534863316</v>
      </c>
      <c r="V127" s="115">
        <f>'Staging Table'!BX129*Rates_current!$I$44*-1</f>
        <v>-85769.226400000014</v>
      </c>
      <c r="W127" s="115">
        <f>IF('Staging Table'!C129=1,"",SUM(O127:V127))</f>
        <v>26019417.158364922</v>
      </c>
      <c r="X127" s="115">
        <f>IF('Staging Table'!C129=1,"",(RT1SC!$C$4*'Staging Table'!BS129*'Staging Table'!$BS$2))</f>
        <v>753577.84582444804</v>
      </c>
      <c r="Y127" s="69">
        <f>IF('Staging Table'!C129=1,"",IF(X127=0, 0, W127/X127))</f>
        <v>34.527842481752515</v>
      </c>
      <c r="Z127" s="64">
        <f ca="1">IF('Staging Table'!C129=1,"",(Y127/N127-1)+(RAND()/100000000000))</f>
        <v>0.10350578871276149</v>
      </c>
      <c r="AA127" s="45">
        <f t="shared" ca="1" si="6"/>
        <v>6</v>
      </c>
      <c r="AD127" s="119"/>
      <c r="AE127" s="119"/>
      <c r="AG127" s="119"/>
      <c r="AH127" s="119"/>
    </row>
    <row r="128" spans="2:34">
      <c r="B128" s="2">
        <v>10448</v>
      </c>
      <c r="C128" s="3" t="s">
        <v>132</v>
      </c>
      <c r="D128" s="115">
        <f>IF(Init!$R$9="Yes",'Staging Table'!F130,'Staging Table'!BS130)*Rates_previous!$E$76*100*12</f>
        <v>2972173.4071200006</v>
      </c>
      <c r="E128" s="115">
        <f>IF(Init!$R$9="Yes",'Staging Table'!F130,'Staging Table'!BS130)*Rates_previous!$E$77*100*12</f>
        <v>-606795.86556000006</v>
      </c>
      <c r="F128" s="116"/>
      <c r="G128" s="116">
        <f>IF(Init!$R$9="Yes",SUMPRODUCT('Staging Table'!AJ130:AU130,LS_Demand_Rates_Restatement!$C$10:$N$10),SUMPRODUCT(LS_Demand_Rates_Restatement!$C$10:$N$10,'Staging Table'!CW130:DH130))*1000</f>
        <v>0</v>
      </c>
      <c r="H128" s="117"/>
      <c r="I128" s="115">
        <v>0</v>
      </c>
      <c r="J128" s="117">
        <f>IF(Init!$R$9="Yes",IF('Staging Table'!D130=1,'Staging Table'!H130*-1*'Staging Table'!F130/'Staging Table'!E130,'Staging Table'!H130*SUM(D128:I128)*(-1)),IF('Staging Table'!D130=1,'Staging Table'!BU130*-1*'Staging Table'!BS130/'Staging Table'!BR130,'Staging Table'!BU130*SUM(D128:I128)*(-1)))</f>
        <v>-165576.42790920008</v>
      </c>
      <c r="K128" s="115">
        <f>IF(Init!$R$9="Yes",'Staging Table'!K130,'Staging Table'!BX130)*(-1)*Rates_previous!$H$32</f>
        <v>0</v>
      </c>
      <c r="L128" s="115" t="str">
        <f>IF('Staging Table'!C130=1,"",SUM(D128:K128))</f>
        <v/>
      </c>
      <c r="M128" s="115" t="str">
        <f>IF('Staging Table'!C130=1,"",IF(Init!$R$9="Yes",(RT1SC!$C$3*'Staging Table'!F130*'Staging Table'!$F$2),X128))</f>
        <v/>
      </c>
      <c r="N128" s="69" t="str">
        <f>IF('Staging Table'!C130=1,"",IF(M128=0, 0, L128/M128))</f>
        <v/>
      </c>
      <c r="O128" s="115">
        <f>'Staging Table'!BS130*Rates_current!$F$77*100*12</f>
        <v>3107282.8331999998</v>
      </c>
      <c r="P128" s="115">
        <f>'Staging Table'!BS130*Rates_current!$F$78*100*12</f>
        <v>-497703.43559999997</v>
      </c>
      <c r="Q128" s="116"/>
      <c r="R128" s="116">
        <f>SUMPRODUCT('Staging Table'!CW130:DH130, LS_Demand_Rates_Restatement!$C$11:$N$11)*1000</f>
        <v>0</v>
      </c>
      <c r="S128" s="117"/>
      <c r="T128" s="117">
        <v>0</v>
      </c>
      <c r="U128" s="117">
        <f>IF('Staging Table'!D130=1, 'Staging Table'!BU130*-1*'Staging Table'!BS130/'Staging Table'!BR130,SUM(O128:T128)*'Staging Table'!BU130*-1)</f>
        <v>-194877.14844914421</v>
      </c>
      <c r="V128" s="115">
        <f>'Staging Table'!BX130*Rates_current!$I$44*-1</f>
        <v>0</v>
      </c>
      <c r="W128" s="115" t="str">
        <f>IF('Staging Table'!C130=1,"",SUM(O128:V128))</f>
        <v/>
      </c>
      <c r="X128" s="115" t="str">
        <f>IF('Staging Table'!C130=1,"",(RT1SC!$C$4*'Staging Table'!BS130*'Staging Table'!$BS$2))</f>
        <v/>
      </c>
      <c r="Y128" s="69" t="str">
        <f>IF('Staging Table'!C130=1,"",IF(X128=0, 0, W128/X128))</f>
        <v/>
      </c>
      <c r="Z128" s="64" t="str">
        <f ca="1">IF('Staging Table'!C130=1,"",(Y128/N128-1)+(RAND()/100000000000))</f>
        <v/>
      </c>
      <c r="AA128" s="45" t="str">
        <f t="shared" ca="1" si="6"/>
        <v/>
      </c>
      <c r="AD128" s="119"/>
      <c r="AE128" s="119"/>
      <c r="AG128" s="119"/>
      <c r="AH128" s="119"/>
    </row>
    <row r="129" spans="1:34">
      <c r="B129" s="2">
        <v>10451</v>
      </c>
      <c r="C129" s="3" t="s">
        <v>133</v>
      </c>
      <c r="D129" s="115">
        <f>IF(Init!$R$9="Yes",'Staging Table'!F131,'Staging Table'!BS131)*Rates_previous!$E$76*100*12</f>
        <v>9464071.7383200005</v>
      </c>
      <c r="E129" s="115">
        <f>IF(Init!$R$9="Yes",'Staging Table'!F131,'Staging Table'!BS131)*Rates_previous!$E$77*100*12</f>
        <v>-1932175.1511600001</v>
      </c>
      <c r="F129" s="116"/>
      <c r="G129" s="116">
        <f>IF(Init!$R$9="Yes",SUMPRODUCT('Staging Table'!AJ131:AU131,LS_Demand_Rates_Restatement!$C$10:$N$10),SUMPRODUCT(LS_Demand_Rates_Restatement!$C$10:$N$10,'Staging Table'!CW131:DH131))*1000</f>
        <v>203295.44575018695</v>
      </c>
      <c r="H129" s="117"/>
      <c r="I129" s="115">
        <v>0</v>
      </c>
      <c r="J129" s="117">
        <f>IF(Init!$R$9="Yes",IF('Staging Table'!D131=1,'Staging Table'!H131*-1*'Staging Table'!F131/'Staging Table'!E131,'Staging Table'!H131*SUM(D129:I129)*(-1)),IF('Staging Table'!D131=1,'Staging Table'!BU131*-1*'Staging Table'!BS131/'Staging Table'!BR131,'Staging Table'!BU131*SUM(D129:I129)*(-1)))</f>
        <v>0</v>
      </c>
      <c r="K129" s="115">
        <f>IF(Init!$R$9="Yes",'Staging Table'!K131,'Staging Table'!BX131)*(-1)*Rates_previous!$H$32</f>
        <v>0</v>
      </c>
      <c r="L129" s="115">
        <f>IF('Staging Table'!C131=1,"",SUM(D129:K129))</f>
        <v>7735192.0329101877</v>
      </c>
      <c r="M129" s="115">
        <f>IF('Staging Table'!C131=1,"",IF(Init!$R$9="Yes",(RT1SC!$C$3*'Staging Table'!F131*'Staging Table'!$F$2),X129))</f>
        <v>235713.63286965599</v>
      </c>
      <c r="N129" s="69">
        <f>IF('Staging Table'!C131=1,"",IF(M129=0, 0, L129/M129))</f>
        <v>32.816057089016844</v>
      </c>
      <c r="O129" s="115">
        <f>'Staging Table'!BS131*Rates_current!$F$77*100*12</f>
        <v>9830750.8805999998</v>
      </c>
      <c r="P129" s="115">
        <f>'Staging Table'!BS131*Rates_current!$F$78*100*12</f>
        <v>-1574622.8297999999</v>
      </c>
      <c r="Q129" s="116"/>
      <c r="R129" s="116">
        <f>SUMPRODUCT('Staging Table'!CW131:DH131, LS_Demand_Rates_Restatement!$C$11:$N$11)*1000</f>
        <v>249892.77985389944</v>
      </c>
      <c r="S129" s="117"/>
      <c r="T129" s="117">
        <v>0</v>
      </c>
      <c r="U129" s="117">
        <f>IF('Staging Table'!D131=1, 'Staging Table'!BU131*-1*'Staging Table'!BS131/'Staging Table'!BR131,SUM(O129:T129)*'Staging Table'!BU131*-1)</f>
        <v>0</v>
      </c>
      <c r="V129" s="115">
        <f>'Staging Table'!BX131*Rates_current!$I$44*-1</f>
        <v>0</v>
      </c>
      <c r="W129" s="115">
        <f>IF('Staging Table'!C131=1,"",SUM(O129:V129))</f>
        <v>8506020.8306538984</v>
      </c>
      <c r="X129" s="115">
        <f>IF('Staging Table'!C131=1,"",(RT1SC!$C$4*'Staging Table'!BS131*'Staging Table'!$BS$2))</f>
        <v>236407.420306368</v>
      </c>
      <c r="Y129" s="69">
        <f>IF('Staging Table'!C131=1,"",IF(X129=0, 0, W129/X129))</f>
        <v>35.980346215997244</v>
      </c>
      <c r="Z129" s="64">
        <f ca="1">IF('Staging Table'!C131=1,"",(Y129/N129-1)+(RAND()/100000000000))</f>
        <v>9.6425025055238991E-2</v>
      </c>
      <c r="AA129" s="45">
        <f t="shared" ca="1" si="6"/>
        <v>31</v>
      </c>
      <c r="AD129" s="119"/>
      <c r="AE129" s="119"/>
      <c r="AG129" s="119"/>
      <c r="AH129" s="119"/>
    </row>
    <row r="130" spans="1:34">
      <c r="B130" s="2">
        <v>10482</v>
      </c>
      <c r="C130" s="3" t="s">
        <v>134</v>
      </c>
      <c r="D130" s="115">
        <f>IF(Init!$R$9="Yes",'Staging Table'!F132,'Staging Table'!BS132)*Rates_previous!$E$76*100*12</f>
        <v>1000689.00984</v>
      </c>
      <c r="E130" s="115">
        <f>IF(Init!$R$9="Yes",'Staging Table'!F132,'Staging Table'!BS132)*Rates_previous!$E$77*100*12</f>
        <v>-204299.63892</v>
      </c>
      <c r="F130" s="116"/>
      <c r="G130" s="116">
        <f>IF(Init!$R$9="Yes",SUMPRODUCT('Staging Table'!AJ132:AU132,LS_Demand_Rates_Restatement!$C$10:$N$10),SUMPRODUCT(LS_Demand_Rates_Restatement!$C$10:$N$10,'Staging Table'!CW132:DH132))*1000</f>
        <v>43527.581694017084</v>
      </c>
      <c r="H130" s="117"/>
      <c r="I130" s="115">
        <v>0</v>
      </c>
      <c r="J130" s="117">
        <f>IF(Init!$R$9="Yes",IF('Staging Table'!D132=1,'Staging Table'!H132*-1*'Staging Table'!F132/'Staging Table'!E132,'Staging Table'!H132*SUM(D130:I130)*(-1)),IF('Staging Table'!D132=1,'Staging Table'!BU132*-1*'Staging Table'!BS132/'Staging Table'!BR132,'Staging Table'!BU132*SUM(D130:I130)*(-1)))</f>
        <v>0</v>
      </c>
      <c r="K130" s="115">
        <f>IF(Init!$R$9="Yes",'Staging Table'!K132,'Staging Table'!BX132)*(-1)*Rates_previous!$H$32</f>
        <v>0</v>
      </c>
      <c r="L130" s="115">
        <f>IF('Staging Table'!C132=1,"",SUM(D130:K130))</f>
        <v>839916.95261401695</v>
      </c>
      <c r="M130" s="115">
        <f>IF('Staging Table'!C132=1,"",IF(Init!$R$9="Yes",(RT1SC!$C$3*'Staging Table'!F132*'Staging Table'!$F$2),X130))</f>
        <v>24923.315080871998</v>
      </c>
      <c r="N130" s="69">
        <f>IF('Staging Table'!C132=1,"",IF(M130=0, 0, L130/M130))</f>
        <v>33.700049527465609</v>
      </c>
      <c r="O130" s="115">
        <f>'Staging Table'!BS132*Rates_current!$F$77*100*12</f>
        <v>979475.21879999992</v>
      </c>
      <c r="P130" s="115">
        <f>'Staging Table'!BS132*Rates_current!$F$78*100*12</f>
        <v>-156885.68040000001</v>
      </c>
      <c r="Q130" s="116"/>
      <c r="R130" s="116">
        <f>SUMPRODUCT('Staging Table'!CW132:DH132, LS_Demand_Rates_Restatement!$C$11:$N$11)*1000</f>
        <v>48001.281265420235</v>
      </c>
      <c r="S130" s="117"/>
      <c r="T130" s="117">
        <v>0</v>
      </c>
      <c r="U130" s="117">
        <f>IF('Staging Table'!D132=1, 'Staging Table'!BU132*-1*'Staging Table'!BS132/'Staging Table'!BR132,SUM(O130:T130)*'Staging Table'!BU132*-1)</f>
        <v>0</v>
      </c>
      <c r="V130" s="115">
        <f>'Staging Table'!BX132*Rates_current!$I$44*-1</f>
        <v>0</v>
      </c>
      <c r="W130" s="115">
        <f>IF('Staging Table'!C132=1,"",SUM(O130:V130))</f>
        <v>870590.81966542022</v>
      </c>
      <c r="X130" s="115">
        <f>IF('Staging Table'!C132=1,"",(RT1SC!$C$4*'Staging Table'!BS132*'Staging Table'!$BS$2))</f>
        <v>23554.173281664</v>
      </c>
      <c r="Y130" s="69">
        <f>IF('Staging Table'!C132=1,"",IF(X130=0, 0, W130/X130))</f>
        <v>36.96121316824739</v>
      </c>
      <c r="Z130" s="64">
        <f ca="1">IF('Staging Table'!C132=1,"",(Y130/N130-1)+(RAND()/100000000000))</f>
        <v>9.6770292227864541E-2</v>
      </c>
      <c r="AA130" s="45">
        <f t="shared" ca="1" si="6"/>
        <v>29</v>
      </c>
      <c r="AD130" s="119"/>
      <c r="AE130" s="119"/>
      <c r="AG130" s="119"/>
      <c r="AH130" s="119"/>
    </row>
    <row r="131" spans="1:34">
      <c r="B131" s="2">
        <v>10502</v>
      </c>
      <c r="C131" s="3" t="s">
        <v>135</v>
      </c>
      <c r="D131" s="115">
        <f>IF(Init!$R$9="Yes",'Staging Table'!F133,'Staging Table'!BS133)*Rates_previous!$E$76*100*12</f>
        <v>6713360.2504800009</v>
      </c>
      <c r="E131" s="115">
        <f>IF(Init!$R$9="Yes",'Staging Table'!F133,'Staging Table'!BS133)*Rates_previous!$E$77*100*12</f>
        <v>-1370592.72324</v>
      </c>
      <c r="F131" s="116"/>
      <c r="G131" s="116">
        <f>IF(Init!$R$9="Yes",SUMPRODUCT('Staging Table'!AJ133:AU133,LS_Demand_Rates_Restatement!$C$10:$N$10),SUMPRODUCT(LS_Demand_Rates_Restatement!$C$10:$N$10,'Staging Table'!CW133:DH133))*1000</f>
        <v>275358.67006501078</v>
      </c>
      <c r="H131" s="117"/>
      <c r="I131" s="115">
        <v>0</v>
      </c>
      <c r="J131" s="117">
        <f>IF(Init!$R$9="Yes",IF('Staging Table'!D133=1,'Staging Table'!H133*-1*'Staging Table'!F133/'Staging Table'!E133,'Staging Table'!H133*SUM(D131:I131)*(-1)),IF('Staging Table'!D133=1,'Staging Table'!BU133*-1*'Staging Table'!BS133/'Staging Table'!BR133,'Staging Table'!BU133*SUM(D131:I131)*(-1)))</f>
        <v>-393268.83381135087</v>
      </c>
      <c r="K131" s="115">
        <f>IF(Init!$R$9="Yes",'Staging Table'!K133,'Staging Table'!BX133)*(-1)*Rates_previous!$H$32</f>
        <v>-83184.794289999991</v>
      </c>
      <c r="L131" s="115">
        <f>IF('Staging Table'!C133=1,"",SUM(D131:K131))</f>
        <v>5141672.5692036608</v>
      </c>
      <c r="M131" s="115">
        <f>IF('Staging Table'!C133=1,"",IF(Init!$R$9="Yes",(RT1SC!$C$3*'Staging Table'!F133*'Staging Table'!$F$2),X131))</f>
        <v>167203.98758138402</v>
      </c>
      <c r="N131" s="69">
        <f>IF('Staging Table'!C133=1,"",IF(M131=0, 0, L131/M131))</f>
        <v>30.750896815191261</v>
      </c>
      <c r="O131" s="115">
        <f>'Staging Table'!BS133*Rates_current!$F$77*100*12</f>
        <v>6852441.7806000011</v>
      </c>
      <c r="P131" s="115">
        <f>'Staging Table'!BS133*Rates_current!$F$78*100*12</f>
        <v>-1097577.5298000001</v>
      </c>
      <c r="Q131" s="116"/>
      <c r="R131" s="116">
        <f>SUMPRODUCT('Staging Table'!CW133:DH133, LS_Demand_Rates_Restatement!$C$11:$N$11)*1000</f>
        <v>331365.20200453175</v>
      </c>
      <c r="S131" s="117"/>
      <c r="T131" s="117">
        <v>0</v>
      </c>
      <c r="U131" s="117">
        <f>IF('Staging Table'!D133=1, 'Staging Table'!BU133*-1*'Staging Table'!BS133/'Staging Table'!BR133,SUM(O131:T131)*'Staging Table'!BU133*-1)</f>
        <v>-426036.06169631728</v>
      </c>
      <c r="V131" s="115">
        <f>'Staging Table'!BX133*Rates_current!$I$44*-1</f>
        <v>-85988.776119999995</v>
      </c>
      <c r="W131" s="115">
        <f>IF('Staging Table'!C133=1,"",SUM(O131:V131))</f>
        <v>5574204.6149882153</v>
      </c>
      <c r="X131" s="115">
        <f>IF('Staging Table'!C133=1,"",(RT1SC!$C$4*'Staging Table'!BS133*'Staging Table'!$BS$2))</f>
        <v>164785.79345836802</v>
      </c>
      <c r="Y131" s="69">
        <f>IF('Staging Table'!C133=1,"",IF(X131=0, 0, W131/X131))</f>
        <v>33.826973175308943</v>
      </c>
      <c r="Z131" s="64">
        <f ca="1">IF('Staging Table'!C133=1,"",(Y131/N131-1)+(RAND()/100000000000))</f>
        <v>0.10003208617423563</v>
      </c>
      <c r="AA131" s="45">
        <f t="shared" ca="1" si="6"/>
        <v>14</v>
      </c>
      <c r="AD131" s="119"/>
      <c r="AE131" s="119"/>
      <c r="AG131" s="119"/>
      <c r="AH131" s="119"/>
    </row>
    <row r="132" spans="1:34">
      <c r="B132" s="2">
        <v>13927</v>
      </c>
      <c r="C132" s="3" t="s">
        <v>238</v>
      </c>
      <c r="D132" s="115">
        <f>IF(Init!$R$9="Yes",'Staging Table'!F134,'Staging Table'!BS134)*Rates_previous!$E$76*100*12</f>
        <v>1286173.1037599999</v>
      </c>
      <c r="E132" s="115">
        <f>IF(Init!$R$9="Yes",'Staging Table'!F134,'Staging Table'!BS134)*Rates_previous!$E$77*100*12</f>
        <v>-262583.77788000001</v>
      </c>
      <c r="F132" s="116"/>
      <c r="G132" s="116">
        <f>IF(Init!$R$9="Yes",SUMPRODUCT('Staging Table'!AJ134:AU134,LS_Demand_Rates_Restatement!$C$10:$N$10),SUMPRODUCT(LS_Demand_Rates_Restatement!$C$10:$N$10,'Staging Table'!CW134:DH134))*1000</f>
        <v>37707.543042868601</v>
      </c>
      <c r="H132" s="117"/>
      <c r="I132" s="115">
        <v>0</v>
      </c>
      <c r="J132" s="117">
        <f>IF(Init!$R$9="Yes",IF('Staging Table'!D134=1,'Staging Table'!H134*-1*'Staging Table'!F134/'Staging Table'!E134,'Staging Table'!H134*SUM(D132:I132)*(-1)),IF('Staging Table'!D134=1,'Staging Table'!BU134*-1*'Staging Table'!BS134/'Staging Table'!BR134,'Staging Table'!BU134*SUM(D132:I132)*(-1)))</f>
        <v>0</v>
      </c>
      <c r="K132" s="115">
        <f>IF(Init!$R$9="Yes",'Staging Table'!K134,'Staging Table'!BX134)*(-1)*Rates_previous!$H$32</f>
        <v>0</v>
      </c>
      <c r="L132" s="115">
        <f>IF('Staging Table'!C134=1,"",SUM(D132:K132))</f>
        <v>1061296.8689228685</v>
      </c>
      <c r="M132" s="115">
        <f>IF('Staging Table'!C134=1,"",IF(Init!$R$9="Yes",(RT1SC!$C$3*'Staging Table'!F134*'Staging Table'!$F$2),X132))</f>
        <v>32033.626030008003</v>
      </c>
      <c r="N132" s="69">
        <f>IF('Staging Table'!C134=1,"",IF(M132=0, 0, L132/M132))</f>
        <v>33.1307129554638</v>
      </c>
      <c r="O132" s="115">
        <f>'Staging Table'!BS134*Rates_current!$F$77*100*12</f>
        <v>1492521.3341999999</v>
      </c>
      <c r="P132" s="115">
        <f>'Staging Table'!BS134*Rates_current!$F$78*100*12</f>
        <v>-239061.91860000003</v>
      </c>
      <c r="Q132" s="116"/>
      <c r="R132" s="116">
        <f>SUMPRODUCT('Staging Table'!CW134:DH134, LS_Demand_Rates_Restatement!$C$11:$N$11)*1000</f>
        <v>39840.400913701938</v>
      </c>
      <c r="S132" s="117"/>
      <c r="T132" s="117">
        <v>0</v>
      </c>
      <c r="U132" s="117">
        <f>IF('Staging Table'!D134=1, 'Staging Table'!BU134*-1*'Staging Table'!BS134/'Staging Table'!BR134,SUM(O132:T132)*'Staging Table'!BU134*-1)</f>
        <v>0</v>
      </c>
      <c r="V132" s="115">
        <f>'Staging Table'!BX134*Rates_current!$I$44*-1</f>
        <v>0</v>
      </c>
      <c r="W132" s="115">
        <f>IF('Staging Table'!C134=1,"",SUM(O132:V132))</f>
        <v>1293299.8165137018</v>
      </c>
      <c r="X132" s="115">
        <f>IF('Staging Table'!C134=1,"",(RT1SC!$C$4*'Staging Table'!BS134*'Staging Table'!$BS$2))</f>
        <v>35891.777002176001</v>
      </c>
      <c r="Y132" s="69">
        <f>IF('Staging Table'!C134=1,"",IF(X132=0, 0, W132/X132))</f>
        <v>36.033318061551903</v>
      </c>
      <c r="Z132" s="64">
        <f ca="1">IF('Staging Table'!C134=1,"",(Y132/N132-1)+(RAND()/100000000000))</f>
        <v>8.7610704610946638E-2</v>
      </c>
      <c r="AA132" s="45">
        <f t="shared" ref="AA132:AA137" ca="1" si="7">IF(Z132="","",RANK(Z132,$Z$4:$Z$137))</f>
        <v>105</v>
      </c>
      <c r="AD132" s="119"/>
      <c r="AE132" s="119"/>
      <c r="AG132" s="119"/>
      <c r="AH132" s="119"/>
    </row>
    <row r="133" spans="1:34">
      <c r="B133" s="2">
        <v>10597</v>
      </c>
      <c r="C133" s="3" t="s">
        <v>136</v>
      </c>
      <c r="D133" s="115">
        <f>IF(Init!$R$9="Yes",'Staging Table'!F135,'Staging Table'!BS135)*Rates_previous!$E$76*100*12</f>
        <v>4441444.9480799995</v>
      </c>
      <c r="E133" s="115">
        <f>IF(Init!$R$9="Yes",'Staging Table'!F135,'Staging Table'!BS135)*Rates_previous!$E$77*100*12</f>
        <v>-906760.83204000012</v>
      </c>
      <c r="F133" s="116"/>
      <c r="G133" s="116">
        <f>IF(Init!$R$9="Yes",SUMPRODUCT('Staging Table'!AJ135:AU135,LS_Demand_Rates_Restatement!$C$10:$N$10),SUMPRODUCT(LS_Demand_Rates_Restatement!$C$10:$N$10,'Staging Table'!CW135:DH135))*1000</f>
        <v>318011.77460905438</v>
      </c>
      <c r="H133" s="117"/>
      <c r="I133" s="115">
        <v>0</v>
      </c>
      <c r="J133" s="117">
        <f>IF(Init!$R$9="Yes",IF('Staging Table'!D135=1,'Staging Table'!H135*-1*'Staging Table'!F135/'Staging Table'!E135,'Staging Table'!H135*SUM(D133:I133)*(-1)),IF('Staging Table'!D135=1,'Staging Table'!BU135*-1*'Staging Table'!BS135/'Staging Table'!BR135,'Staging Table'!BU135*SUM(D133:I133)*(-1)))</f>
        <v>0</v>
      </c>
      <c r="K133" s="115">
        <f>IF(Init!$R$9="Yes",'Staging Table'!K135,'Staging Table'!BX135)*(-1)*Rates_previous!$H$32</f>
        <v>0</v>
      </c>
      <c r="L133" s="115">
        <f>IF('Staging Table'!C135=1,"",SUM(D133:K133))</f>
        <v>3852695.8906490537</v>
      </c>
      <c r="M133" s="115">
        <f>IF('Staging Table'!C135=1,"",IF(Init!$R$9="Yes",(RT1SC!$C$3*'Staging Table'!F135*'Staging Table'!$F$2),X133))</f>
        <v>110619.314059464</v>
      </c>
      <c r="N133" s="69">
        <f>IF('Staging Table'!C135=1,"",IF(M133=0, 0, L133/M133))</f>
        <v>34.828419642685695</v>
      </c>
      <c r="O133" s="115">
        <f>'Staging Table'!BS135*Rates_current!$F$77*100*12</f>
        <v>4727224.0001999997</v>
      </c>
      <c r="P133" s="115">
        <f>'Staging Table'!BS135*Rates_current!$F$78*100*12</f>
        <v>-757174.59659999993</v>
      </c>
      <c r="Q133" s="116"/>
      <c r="R133" s="116">
        <f>SUMPRODUCT('Staging Table'!CW135:DH135, LS_Demand_Rates_Restatement!$C$11:$N$11)*1000</f>
        <v>350327.12458349357</v>
      </c>
      <c r="S133" s="117"/>
      <c r="T133" s="117">
        <v>0</v>
      </c>
      <c r="U133" s="117">
        <f>IF('Staging Table'!D135=1, 'Staging Table'!BU135*-1*'Staging Table'!BS135/'Staging Table'!BR135,SUM(O133:T133)*'Staging Table'!BU135*-1)</f>
        <v>0</v>
      </c>
      <c r="V133" s="115">
        <f>'Staging Table'!BX135*Rates_current!$I$44*-1</f>
        <v>0</v>
      </c>
      <c r="W133" s="115">
        <f>IF('Staging Table'!C135=1,"",SUM(O133:V133))</f>
        <v>4320376.5281834938</v>
      </c>
      <c r="X133" s="115">
        <f>IF('Staging Table'!C135=1,"",(RT1SC!$C$4*'Staging Table'!BS135*'Staging Table'!$BS$2))</f>
        <v>113679.091726656</v>
      </c>
      <c r="Y133" s="69">
        <f>IF('Staging Table'!C135=1,"",IF(X133=0, 0, W133/X133))</f>
        <v>38.005023285829367</v>
      </c>
      <c r="Z133" s="64">
        <f ca="1">IF('Staging Table'!C135=1,"",(Y133/N133-1)+(RAND()/100000000000))</f>
        <v>9.120722892520472E-2</v>
      </c>
      <c r="AA133" s="45">
        <f t="shared" ca="1" si="7"/>
        <v>96</v>
      </c>
      <c r="AD133" s="119"/>
      <c r="AE133" s="119"/>
      <c r="AG133" s="119"/>
      <c r="AH133" s="119"/>
    </row>
    <row r="134" spans="1:34">
      <c r="B134" s="2">
        <v>10706</v>
      </c>
      <c r="C134" s="3" t="s">
        <v>137</v>
      </c>
      <c r="D134" s="115">
        <f>IF(Init!$R$9="Yes",'Staging Table'!F136,'Staging Table'!BS136)*Rates_previous!$E$76*100*12</f>
        <v>6041750.2005599998</v>
      </c>
      <c r="E134" s="115">
        <f>IF(Init!$R$9="Yes",'Staging Table'!F136,'Staging Table'!BS136)*Rates_previous!$E$77*100*12</f>
        <v>-1233477.5062800001</v>
      </c>
      <c r="F134" s="116"/>
      <c r="G134" s="116">
        <f>IF(Init!$R$9="Yes",SUMPRODUCT('Staging Table'!AJ136:AU136,LS_Demand_Rates_Restatement!$C$10:$N$10),SUMPRODUCT(LS_Demand_Rates_Restatement!$C$10:$N$10,'Staging Table'!CW136:DH136))*1000</f>
        <v>223928.2236344284</v>
      </c>
      <c r="H134" s="117"/>
      <c r="I134" s="115">
        <v>0</v>
      </c>
      <c r="J134" s="117">
        <f>IF(Init!$R$9="Yes",IF('Staging Table'!D136=1,'Staging Table'!H136*-1*'Staging Table'!F136/'Staging Table'!E136,'Staging Table'!H136*SUM(D134:I134)*(-1)),IF('Staging Table'!D136=1,'Staging Table'!BU136*-1*'Staging Table'!BS136/'Staging Table'!BR136,'Staging Table'!BU136*SUM(D134:I134)*(-1)))</f>
        <v>0</v>
      </c>
      <c r="K134" s="115">
        <f>IF(Init!$R$9="Yes",'Staging Table'!K136,'Staging Table'!BX136)*(-1)*Rates_previous!$H$32</f>
        <v>0</v>
      </c>
      <c r="L134" s="115">
        <f>IF('Staging Table'!C136=1,"",SUM(D134:K134))</f>
        <v>5032200.9179144278</v>
      </c>
      <c r="M134" s="115">
        <f>IF('Staging Table'!C136=1,"",IF(Init!$R$9="Yes",(RT1SC!$C$3*'Staging Table'!F136*'Staging Table'!$F$2),X134))</f>
        <v>150476.763917448</v>
      </c>
      <c r="N134" s="69">
        <f>IF('Staging Table'!C136=1,"",IF(M134=0, 0, L134/M134))</f>
        <v>33.441714101953366</v>
      </c>
      <c r="O134" s="115">
        <f>'Staging Table'!BS136*Rates_current!$F$77*100*12</f>
        <v>6131431.9949999992</v>
      </c>
      <c r="P134" s="115">
        <f>'Staging Table'!BS136*Rates_current!$F$78*100*12</f>
        <v>-982091.08499999985</v>
      </c>
      <c r="Q134" s="116"/>
      <c r="R134" s="116">
        <f>SUMPRODUCT('Staging Table'!CW136:DH136, LS_Demand_Rates_Restatement!$C$11:$N$11)*1000</f>
        <v>247907.61895315172</v>
      </c>
      <c r="S134" s="117"/>
      <c r="T134" s="117">
        <v>0</v>
      </c>
      <c r="U134" s="117">
        <f>IF('Staging Table'!D136=1, 'Staging Table'!BU136*-1*'Staging Table'!BS136/'Staging Table'!BR136,SUM(O134:T134)*'Staging Table'!BU136*-1)</f>
        <v>0</v>
      </c>
      <c r="V134" s="115">
        <f>'Staging Table'!BX136*Rates_current!$I$44*-1</f>
        <v>0</v>
      </c>
      <c r="W134" s="115">
        <f>IF('Staging Table'!C136=1,"",SUM(O134:V134))</f>
        <v>5397248.5289531508</v>
      </c>
      <c r="X134" s="115">
        <f>IF('Staging Table'!C136=1,"",(RT1SC!$C$4*'Staging Table'!BS136*'Staging Table'!$BS$2))</f>
        <v>147447.13179360001</v>
      </c>
      <c r="Y134" s="69">
        <f>IF('Staging Table'!C136=1,"",IF(X134=0, 0, W134/X134))</f>
        <v>36.604635595817129</v>
      </c>
      <c r="Z134" s="64">
        <f ca="1">IF('Staging Table'!C136=1,"",(Y134/N134-1)+(RAND()/100000000000))</f>
        <v>9.4580124825579939E-2</v>
      </c>
      <c r="AA134" s="45">
        <f t="shared" ca="1" si="7"/>
        <v>53</v>
      </c>
      <c r="AD134" s="119"/>
      <c r="AE134" s="119"/>
      <c r="AG134" s="119"/>
      <c r="AH134" s="119"/>
    </row>
    <row r="135" spans="1:34">
      <c r="B135" s="2">
        <v>11680</v>
      </c>
      <c r="C135" s="3" t="s">
        <v>138</v>
      </c>
      <c r="D135" s="115">
        <f>IF(Init!$R$9="Yes",'Staging Table'!F137,'Staging Table'!BS137)*Rates_previous!$E$76*100*12</f>
        <v>2282627.1837599999</v>
      </c>
      <c r="E135" s="115">
        <f>IF(Init!$R$9="Yes",'Staging Table'!F137,'Staging Table'!BS137)*Rates_previous!$E$77*100*12</f>
        <v>-466018.81787999999</v>
      </c>
      <c r="F135" s="116"/>
      <c r="G135" s="116">
        <f>IF(Init!$R$9="Yes",SUMPRODUCT('Staging Table'!AJ137:AU137,LS_Demand_Rates_Restatement!$C$10:$N$10),SUMPRODUCT(LS_Demand_Rates_Restatement!$C$10:$N$10,'Staging Table'!CW137:DH137))*1000</f>
        <v>117970.75878058228</v>
      </c>
      <c r="H135" s="117"/>
      <c r="I135" s="115">
        <v>0</v>
      </c>
      <c r="J135" s="117">
        <f>IF(Init!$R$9="Yes",IF('Staging Table'!D137=1,'Staging Table'!H137*-1*'Staging Table'!F137/'Staging Table'!E137,'Staging Table'!H137*SUM(D135:I135)*(-1)),IF('Staging Table'!D137=1,'Staging Table'!BU137*-1*'Staging Table'!BS137/'Staging Table'!BR137,'Staging Table'!BU137*SUM(D135:I135)*(-1)))</f>
        <v>0</v>
      </c>
      <c r="K135" s="115">
        <f>IF(Init!$R$9="Yes",'Staging Table'!K137,'Staging Table'!BX137)*(-1)*Rates_previous!$H$32</f>
        <v>0</v>
      </c>
      <c r="L135" s="115">
        <f>IF('Staging Table'!C137=1,"",SUM(D135:K135))</f>
        <v>1934579.1246605823</v>
      </c>
      <c r="M135" s="115">
        <f>IF('Staging Table'!C137=1,"",IF(Init!$R$9="Yes",(RT1SC!$C$3*'Staging Table'!F137*'Staging Table'!$F$2),X135))</f>
        <v>56851.465294007998</v>
      </c>
      <c r="N135" s="69">
        <f>IF('Staging Table'!C137=1,"",IF(M135=0, 0, L135/M135))</f>
        <v>34.028658973975155</v>
      </c>
      <c r="O135" s="115">
        <f>'Staging Table'!BS137*Rates_current!$F$77*100*12</f>
        <v>2318678.3802000005</v>
      </c>
      <c r="P135" s="115">
        <f>'Staging Table'!BS137*Rates_current!$F$78*100*12</f>
        <v>-371390.13660000003</v>
      </c>
      <c r="Q135" s="116"/>
      <c r="R135" s="116">
        <f>SUMPRODUCT('Staging Table'!CW137:DH137, LS_Demand_Rates_Restatement!$C$11:$N$11)*1000</f>
        <v>129695.01029613605</v>
      </c>
      <c r="S135" s="117"/>
      <c r="T135" s="117">
        <v>0</v>
      </c>
      <c r="U135" s="117">
        <f>IF('Staging Table'!D137=1, 'Staging Table'!BU137*-1*'Staging Table'!BS137/'Staging Table'!BR137,SUM(O135:T135)*'Staging Table'!BU137*-1)</f>
        <v>0</v>
      </c>
      <c r="V135" s="115">
        <f>'Staging Table'!BX137*Rates_current!$I$44*-1</f>
        <v>0</v>
      </c>
      <c r="W135" s="115">
        <f>IF('Staging Table'!C137=1,"",SUM(O135:V135))</f>
        <v>2076983.2538961365</v>
      </c>
      <c r="X135" s="115">
        <f>IF('Staging Table'!C137=1,"",(RT1SC!$C$4*'Staging Table'!BS137*'Staging Table'!$BS$2))</f>
        <v>55758.993493056012</v>
      </c>
      <c r="Y135" s="69">
        <f>IF('Staging Table'!C137=1,"",IF(X135=0, 0, W135/X135))</f>
        <v>37.249296010961807</v>
      </c>
      <c r="Z135" s="64">
        <f ca="1">IF('Staging Table'!C137=1,"",(Y135/N135-1)+(RAND()/100000000000))</f>
        <v>9.4644841562454604E-2</v>
      </c>
      <c r="AA135" s="45">
        <f t="shared" ca="1" si="7"/>
        <v>52</v>
      </c>
      <c r="AD135" s="119"/>
      <c r="AE135" s="119"/>
      <c r="AG135" s="119"/>
      <c r="AH135" s="119"/>
    </row>
    <row r="136" spans="1:34">
      <c r="B136" s="2">
        <v>12026</v>
      </c>
      <c r="C136" s="3" t="s">
        <v>139</v>
      </c>
      <c r="D136" s="115">
        <f>IF(Init!$R$9="Yes",'Staging Table'!F138,'Staging Table'!BS138)*Rates_previous!$E$76*100*12</f>
        <v>16291276.867439998</v>
      </c>
      <c r="E136" s="115">
        <f>IF(Init!$R$9="Yes",'Staging Table'!F138,'Staging Table'!BS138)*Rates_previous!$E$77*100*12</f>
        <v>-3326010.3277200004</v>
      </c>
      <c r="F136" s="116"/>
      <c r="G136" s="116">
        <f>IF(Init!$R$9="Yes",SUMPRODUCT('Staging Table'!AJ138:AU138,LS_Demand_Rates_Restatement!$C$10:$N$10),SUMPRODUCT(LS_Demand_Rates_Restatement!$C$10:$N$10,'Staging Table'!CW138:DH138))*1000</f>
        <v>791873.77435811982</v>
      </c>
      <c r="H136" s="117"/>
      <c r="I136" s="115">
        <v>0</v>
      </c>
      <c r="J136" s="117">
        <f>IF(Init!$R$9="Yes",IF('Staging Table'!D138=1,'Staging Table'!H138*-1*'Staging Table'!F138/'Staging Table'!E138,'Staging Table'!H138*SUM(D136:I136)*(-1)),IF('Staging Table'!D138=1,'Staging Table'!BU138*-1*'Staging Table'!BS138/'Staging Table'!BR138,'Staging Table'!BU138*SUM(D136:I136)*(-1)))</f>
        <v>0</v>
      </c>
      <c r="K136" s="115">
        <f>IF(Init!$R$9="Yes",'Staging Table'!K138,'Staging Table'!BX138)*(-1)*Rates_previous!$H$32</f>
        <v>0</v>
      </c>
      <c r="L136" s="115">
        <f>IF('Staging Table'!C138=1,"",SUM(D136:K136))</f>
        <v>13757140.314078119</v>
      </c>
      <c r="M136" s="115">
        <f>IF('Staging Table'!C138=1,"",IF(Init!$R$9="Yes",(RT1SC!$C$3*'Staging Table'!F138*'Staging Table'!$F$2),X136))</f>
        <v>405753.05858695199</v>
      </c>
      <c r="N136" s="69">
        <f>IF('Staging Table'!C138=1,"",IF(M136=0, 0, L136/M136))</f>
        <v>33.905204219501883</v>
      </c>
      <c r="O136" s="115">
        <f>'Staging Table'!BS138*Rates_current!$F$77*100*12</f>
        <v>16550075.193599999</v>
      </c>
      <c r="P136" s="115">
        <f>'Staging Table'!BS138*Rates_current!$F$78*100*12</f>
        <v>-2650878.5088</v>
      </c>
      <c r="Q136" s="116"/>
      <c r="R136" s="116">
        <f>SUMPRODUCT('Staging Table'!CW138:DH138, LS_Demand_Rates_Restatement!$C$11:$N$11)*1000</f>
        <v>856560.51770192338</v>
      </c>
      <c r="S136" s="117"/>
      <c r="T136" s="117">
        <v>0</v>
      </c>
      <c r="U136" s="117">
        <f>IF('Staging Table'!D138=1, 'Staging Table'!BU138*-1*'Staging Table'!BS138/'Staging Table'!BR138,SUM(O136:T136)*'Staging Table'!BU138*-1)</f>
        <v>0</v>
      </c>
      <c r="V136" s="115">
        <f>'Staging Table'!BX138*Rates_current!$I$44*-1</f>
        <v>0</v>
      </c>
      <c r="W136" s="115">
        <f>IF('Staging Table'!C138=1,"",SUM(O136:V136))</f>
        <v>14755757.202501923</v>
      </c>
      <c r="X136" s="115">
        <f>IF('Staging Table'!C138=1,"",(RT1SC!$C$4*'Staging Table'!BS138*'Staging Table'!$BS$2))</f>
        <v>397992.03844300803</v>
      </c>
      <c r="Y136" s="69">
        <f>IF('Staging Table'!C138=1,"",IF(X136=0, 0, W136/X136))</f>
        <v>37.075508495667883</v>
      </c>
      <c r="Z136" s="64">
        <f ca="1">IF('Staging Table'!C138=1,"",(Y136/N136-1)+(RAND()/100000000000))</f>
        <v>9.3504945611081455E-2</v>
      </c>
      <c r="AA136" s="45">
        <f t="shared" ca="1" si="7"/>
        <v>68</v>
      </c>
      <c r="AD136" s="119"/>
      <c r="AE136" s="119"/>
      <c r="AG136" s="119"/>
      <c r="AH136" s="119"/>
    </row>
    <row r="137" spans="1:34">
      <c r="B137" s="2">
        <v>10298</v>
      </c>
      <c r="C137" s="3" t="s">
        <v>140</v>
      </c>
      <c r="D137" s="115">
        <f>IF(Init!$R$9="Yes",'Staging Table'!F139,'Staging Table'!BS139)*Rates_previous!$E$76*100*12</f>
        <v>271928581.72920001</v>
      </c>
      <c r="E137" s="115">
        <f>IF(Init!$R$9="Yes",'Staging Table'!F139,'Staging Table'!BS139)*Rates_previous!$E$77*100*12</f>
        <v>-55516659.534599997</v>
      </c>
      <c r="F137" s="116"/>
      <c r="G137" s="116">
        <f>IF(Init!$R$9="Yes",SUMPRODUCT('Staging Table'!AJ139:AU139,LS_Demand_Rates_Restatement!$C$10:$N$10),SUMPRODUCT(LS_Demand_Rates_Restatement!$C$10:$N$10,'Staging Table'!CW139:DH139))*1000</f>
        <v>29596809.392930456</v>
      </c>
      <c r="H137" s="117"/>
      <c r="I137" s="115">
        <v>0</v>
      </c>
      <c r="J137" s="117">
        <f>IF(Init!$R$9="Yes",IF('Staging Table'!D139=1,'Staging Table'!H139*-1*'Staging Table'!F139/'Staging Table'!E139,'Staging Table'!H139*SUM(D137:I137)*(-1)),IF('Staging Table'!D139=1,'Staging Table'!BU139*-1*'Staging Table'!BS139/'Staging Table'!BR139,'Staging Table'!BU139*SUM(D137:I137)*(-1)))</f>
        <v>0</v>
      </c>
      <c r="K137" s="115">
        <f>IF(Init!$R$9="Yes",'Staging Table'!K139,'Staging Table'!BX139)*(-1)*Rates_previous!$H$32</f>
        <v>-3223344.2888400001</v>
      </c>
      <c r="L137" s="115">
        <f>IF('Staging Table'!C139=1,"",SUM(D137:K137))</f>
        <v>242785387.29869047</v>
      </c>
      <c r="M137" s="115">
        <f>IF('Staging Table'!C139=1,"",IF(Init!$R$9="Yes",(RT1SC!$C$3*'Staging Table'!F139*'Staging Table'!$F$2),X137))</f>
        <v>6772695.2682483606</v>
      </c>
      <c r="N137" s="69">
        <f>IF('Staging Table'!C139=1,"",IF(M137=0, 0, L137/M137))</f>
        <v>35.84767624743327</v>
      </c>
      <c r="O137" s="115">
        <f>'Staging Table'!BS139*Rates_current!$F$77*100*12</f>
        <v>277377695.98500001</v>
      </c>
      <c r="P137" s="115">
        <f>'Staging Table'!BS139*Rates_current!$F$78*100*12</f>
        <v>-44428473.255000003</v>
      </c>
      <c r="Q137" s="116"/>
      <c r="R137" s="116">
        <f>SUMPRODUCT('Staging Table'!CW139:DH139, LS_Demand_Rates_Restatement!$C$11:$N$11)*1000</f>
        <v>26983790.77364134</v>
      </c>
      <c r="S137" s="117"/>
      <c r="T137" s="117">
        <v>0</v>
      </c>
      <c r="U137" s="117">
        <f>IF('Staging Table'!D139=1, 'Staging Table'!BU139*-1*'Staging Table'!BS139/'Staging Table'!BR139,SUM(O137:T137)*'Staging Table'!BU139*-1)</f>
        <v>0</v>
      </c>
      <c r="V137" s="115">
        <f>'Staging Table'!BX139*Rates_current!$I$44*-1</f>
        <v>-3331996.3435200001</v>
      </c>
      <c r="W137" s="115">
        <f>IF('Staging Table'!C139=1,"",SUM(O137:V137))</f>
        <v>256601017.16012138</v>
      </c>
      <c r="X137" s="115">
        <f>IF('Staging Table'!C139=1,"",(RT1SC!$C$4*'Staging Table'!BS139*'Staging Table'!$BS$2))</f>
        <v>6670308.9473808007</v>
      </c>
      <c r="Y137" s="69">
        <f>IF('Staging Table'!C139=1,"",IF(X137=0, 0, W137/X137))</f>
        <v>38.469135265598112</v>
      </c>
      <c r="Z137" s="64">
        <f ca="1">IF('Staging Table'!C139=1,"",(Y137/N137-1)+(RAND()/100000000000))</f>
        <v>7.312772521869601E-2</v>
      </c>
      <c r="AA137" s="45">
        <f t="shared" ca="1" si="7"/>
        <v>115</v>
      </c>
      <c r="AD137" s="119"/>
      <c r="AE137" s="119"/>
      <c r="AG137" s="119"/>
      <c r="AH137" s="119"/>
    </row>
    <row r="138" spans="1:34">
      <c r="AD138" s="119"/>
      <c r="AE138" s="119"/>
      <c r="AG138" s="119"/>
      <c r="AH138" s="119"/>
    </row>
    <row r="139" spans="1:34">
      <c r="A139" s="16"/>
      <c r="W139" s="125"/>
      <c r="AD139" s="119"/>
      <c r="AE139" s="119"/>
      <c r="AG139" s="119"/>
      <c r="AH139" s="119"/>
    </row>
    <row r="140" spans="1:34">
      <c r="A140" s="16"/>
      <c r="AD140" s="119"/>
      <c r="AE140" s="119"/>
      <c r="AG140" s="119"/>
      <c r="AH140" s="119"/>
    </row>
    <row r="141" spans="1:34">
      <c r="A141" s="16"/>
    </row>
    <row r="142" spans="1:34">
      <c r="S142" s="36"/>
      <c r="T142" s="36"/>
    </row>
    <row r="143" spans="1:34">
      <c r="B143" s="2"/>
      <c r="C143" s="3"/>
      <c r="G143" s="36"/>
    </row>
    <row r="144" spans="1:34">
      <c r="B144" s="2"/>
      <c r="C144" s="3"/>
    </row>
    <row r="145" spans="2:3">
      <c r="B145" s="2"/>
      <c r="C145" s="3"/>
    </row>
    <row r="146" spans="2:3">
      <c r="B146" s="2"/>
      <c r="C146" s="3"/>
    </row>
    <row r="147" spans="2:3">
      <c r="B147" s="2"/>
      <c r="C147" s="3"/>
    </row>
    <row r="148" spans="2:3">
      <c r="B148" s="2"/>
      <c r="C148" s="3"/>
    </row>
    <row r="149" spans="2:3">
      <c r="B149" s="2"/>
      <c r="C149" s="3"/>
    </row>
    <row r="150" spans="2:3">
      <c r="B150" s="2"/>
      <c r="C150" s="3"/>
    </row>
    <row r="151" spans="2:3">
      <c r="B151" s="2"/>
      <c r="C151" s="3"/>
    </row>
    <row r="152" spans="2:3">
      <c r="B152" s="2"/>
      <c r="C152" s="3"/>
    </row>
    <row r="153" spans="2:3">
      <c r="B153" s="2"/>
      <c r="C153" s="3"/>
    </row>
    <row r="154" spans="2:3">
      <c r="B154" s="2"/>
      <c r="C154" s="3"/>
    </row>
    <row r="155" spans="2:3">
      <c r="B155" s="2"/>
      <c r="C155" s="3"/>
    </row>
    <row r="156" spans="2:3">
      <c r="B156" s="2"/>
      <c r="C156" s="3"/>
    </row>
    <row r="157" spans="2:3">
      <c r="B157" s="2"/>
      <c r="C157" s="3"/>
    </row>
    <row r="158" spans="2:3">
      <c r="B158" s="2"/>
      <c r="C158" s="3"/>
    </row>
    <row r="159" spans="2:3">
      <c r="B159" s="2"/>
      <c r="C159" s="3"/>
    </row>
    <row r="160" spans="2:3">
      <c r="B160" s="2"/>
      <c r="C160" s="3"/>
    </row>
    <row r="161" spans="2:3">
      <c r="B161" s="2"/>
      <c r="C161" s="3"/>
    </row>
    <row r="162" spans="2:3">
      <c r="B162" s="2"/>
      <c r="C162" s="3"/>
    </row>
    <row r="163" spans="2:3">
      <c r="B163" s="2"/>
      <c r="C163" s="3"/>
    </row>
    <row r="164" spans="2:3">
      <c r="B164" s="2"/>
      <c r="C164" s="3"/>
    </row>
    <row r="165" spans="2:3">
      <c r="B165" s="2"/>
      <c r="C165" s="3"/>
    </row>
    <row r="166" spans="2:3">
      <c r="B166" s="2"/>
      <c r="C166" s="3"/>
    </row>
    <row r="167" spans="2:3">
      <c r="B167" s="19"/>
      <c r="C167" s="19"/>
    </row>
    <row r="168" spans="2:3">
      <c r="B168" s="19"/>
      <c r="C168" s="19"/>
    </row>
    <row r="169" spans="2:3">
      <c r="B169" s="19"/>
      <c r="C169" s="19"/>
    </row>
  </sheetData>
  <conditionalFormatting sqref="B2">
    <cfRule type="expression" dxfId="0" priority="1" stopIfTrue="1">
      <formula>A1 &gt; 30</formula>
    </cfRule>
  </conditionalFormatting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8">
    <tabColor theme="7"/>
  </sheetPr>
  <dimension ref="A1:Z139"/>
  <sheetViews>
    <sheetView topLeftCell="N1" workbookViewId="0">
      <selection activeCell="Y88" sqref="Y88"/>
    </sheetView>
  </sheetViews>
  <sheetFormatPr defaultRowHeight="15"/>
  <cols>
    <col min="2" max="2" width="35.28515625" bestFit="1" customWidth="1"/>
    <col min="4" max="4" width="14.5703125" customWidth="1"/>
    <col min="8" max="8" width="35.28515625" bestFit="1" customWidth="1"/>
    <col min="10" max="10" width="11.5703125" bestFit="1" customWidth="1"/>
    <col min="11" max="11" width="9.5703125" bestFit="1" customWidth="1"/>
    <col min="12" max="12" width="10.5703125" bestFit="1" customWidth="1"/>
    <col min="14" max="14" width="31.5703125" customWidth="1"/>
    <col min="20" max="20" width="35.28515625" bestFit="1" customWidth="1"/>
    <col min="22" max="22" width="13.28515625" bestFit="1" customWidth="1"/>
    <col min="25" max="25" width="30.5703125" style="56" bestFit="1" customWidth="1"/>
    <col min="26" max="26" width="9.140625" style="56"/>
  </cols>
  <sheetData>
    <row r="1" spans="1:26">
      <c r="Y1"/>
      <c r="Z1"/>
    </row>
    <row r="2" spans="1:26">
      <c r="X2" s="50"/>
      <c r="Y2" s="50" t="s">
        <v>3</v>
      </c>
      <c r="Z2" s="50" t="s">
        <v>601</v>
      </c>
    </row>
    <row r="3" spans="1:26">
      <c r="B3" s="50" t="s">
        <v>225</v>
      </c>
      <c r="H3" s="50" t="s">
        <v>233</v>
      </c>
      <c r="N3" s="50" t="s">
        <v>232</v>
      </c>
      <c r="T3" s="50" t="s">
        <v>234</v>
      </c>
      <c r="Y3" s="57" t="s">
        <v>121</v>
      </c>
      <c r="Z3" s="58">
        <v>29.189094840072123</v>
      </c>
    </row>
    <row r="4" spans="1:26">
      <c r="A4" t="s">
        <v>224</v>
      </c>
      <c r="B4" t="s">
        <v>227</v>
      </c>
      <c r="C4" t="s">
        <v>226</v>
      </c>
      <c r="D4" t="s">
        <v>230</v>
      </c>
      <c r="E4" t="s">
        <v>228</v>
      </c>
      <c r="F4" t="s">
        <v>229</v>
      </c>
      <c r="H4" t="s">
        <v>227</v>
      </c>
      <c r="I4" t="s">
        <v>226</v>
      </c>
      <c r="J4" t="s">
        <v>230</v>
      </c>
      <c r="K4" t="s">
        <v>228</v>
      </c>
      <c r="L4" t="s">
        <v>229</v>
      </c>
      <c r="N4" t="s">
        <v>227</v>
      </c>
      <c r="O4" t="s">
        <v>226</v>
      </c>
      <c r="P4" t="s">
        <v>230</v>
      </c>
      <c r="Q4" t="s">
        <v>228</v>
      </c>
      <c r="R4" t="s">
        <v>229</v>
      </c>
      <c r="T4" t="s">
        <v>227</v>
      </c>
      <c r="U4" t="s">
        <v>226</v>
      </c>
      <c r="V4" t="s">
        <v>600</v>
      </c>
      <c r="W4" t="s">
        <v>538</v>
      </c>
      <c r="Y4" s="57" t="s">
        <v>86</v>
      </c>
      <c r="Z4" s="58">
        <v>37.70636259978135</v>
      </c>
    </row>
    <row r="5" spans="1:26">
      <c r="A5">
        <v>1</v>
      </c>
      <c r="B5" t="str">
        <f ca="1">+INDEX('Charges_Including Slice and LS'!$C$4:$C$137,MATCH($A5,'Charges_Including Slice and LS'!$AA$4:$AA$137,0),1)</f>
        <v>Plummer, City of</v>
      </c>
      <c r="C5" s="55">
        <f ca="1">+INDEX('Charges_Including Slice and LS'!$Z$4:$Z$137,MATCH($A5,'Charges_Including Slice and LS'!$AA$4:$AA$137,0),1)</f>
        <v>0.25348483092388074</v>
      </c>
      <c r="D5" s="52">
        <f ca="1">+INDEX('Charges_Including Slice and LS'!$Y$4:$Y$137,MATCH($A5,'Charges_Including Slice and LS'!$AA$4:$AA$137,0),1)</f>
        <v>37.291034563182471</v>
      </c>
      <c r="E5" s="37">
        <f ca="1">+INDEX('Charges_Including Slice and LS'!$X$4:$X$137,MATCH($A5,'Charges_Including Slice and LS'!$AA$4:$AA$137,0),1)/1000</f>
        <v>22.348469319076177</v>
      </c>
      <c r="F5" s="37">
        <f ca="1">+SUM(E$5:E5)</f>
        <v>22.348469319076177</v>
      </c>
      <c r="H5" t="str">
        <f ca="1">+INDEX(Charges_NonSlice!$C$4:$C$137,MATCH($A5,Charges_NonSlice!$AA$4:$AA$137,0),1)</f>
        <v>Plummer, City of</v>
      </c>
      <c r="I5" s="55">
        <f ca="1">+INDEX(Charges_NonSlice!$Z$4:$Z$137,MATCH($A5,Charges_NonSlice!$AA$4:$AA$137,0),1)</f>
        <v>0.25347377492439466</v>
      </c>
      <c r="J5" s="52">
        <f ca="1">+INDEX(Charges_NonSlice!$Y$4:$Y$137,MATCH($A5,Charges_NonSlice!$AA$4:$AA$137,0),1)</f>
        <v>37.29233219120281</v>
      </c>
      <c r="K5" s="37">
        <f ca="1">+INDEX(Charges_NonSlice!$X$4:$X$137,MATCH($A5,Charges_NonSlice!$AA$4:$AA$137,0),1)/1000</f>
        <v>22.348469319076177</v>
      </c>
      <c r="L5" s="37">
        <f ca="1">+SUM(K$5:K5)</f>
        <v>22.348469319076177</v>
      </c>
      <c r="N5" t="str">
        <f ca="1">+INDEX('Charges_NonSlice &amp; Excl LS'!$C$4:$C$137,MATCH($A5,'Charges_NonSlice &amp; Excl LS'!$AA$4:$AA$137,0),1)</f>
        <v>Lost River Elec Coop</v>
      </c>
      <c r="O5" s="55">
        <f ca="1">+INDEX('Charges_NonSlice &amp; Excl LS'!$Z$4:$Z$137,MATCH($A5,'Charges_NonSlice &amp; Excl LS'!$AA$4:$AA$137,0),1)</f>
        <v>0.1176343399665323</v>
      </c>
      <c r="P5" s="52">
        <f ca="1">+INDEX('Charges_NonSlice &amp; Excl LS'!$Y$4:$Y$137,MATCH($A5,'Charges_NonSlice &amp; Excl LS'!$AA$4:$AA$137,0),1)</f>
        <v>29.952302934724099</v>
      </c>
      <c r="Q5" s="37">
        <f ca="1">+INDEX('Charges_NonSlice &amp; Excl LS'!$X$4:$X$137,MATCH($A5,'Charges_NonSlice &amp; Excl LS'!$AA$4:$AA$137,0),1)/1000</f>
        <v>83.928090730752004</v>
      </c>
      <c r="R5" s="37">
        <f ca="1">+SUM(Q$5:Q5)</f>
        <v>83.928090730752004</v>
      </c>
      <c r="T5" t="str">
        <f ca="1">+INDEX(Charges_NonSlice!$C$4:$C$137,MATCH($A5,Charges_NonSlice!$AA$4:$AA$137,0),1)</f>
        <v>Plummer, City of</v>
      </c>
      <c r="U5" s="55">
        <f ca="1">IFERROR(+V5/W5-1,"")</f>
        <v>3.0992607961885188E-2</v>
      </c>
      <c r="V5" s="52">
        <f ca="1">+INDEX(Charges_NonSlice!$Y$4:$Y$137,MATCH($A5,Charges_NonSlice!$AA$4:$AA$137,0),1)</f>
        <v>37.29233219120281</v>
      </c>
      <c r="W5" s="269">
        <f ca="1">IFERROR(+VLOOKUP(T5,Y:Z,2,FALSE), " ")</f>
        <v>36.171289593359987</v>
      </c>
      <c r="Y5" s="57" t="s">
        <v>87</v>
      </c>
      <c r="Z5" s="58">
        <v>36.04628902459654</v>
      </c>
    </row>
    <row r="6" spans="1:26">
      <c r="A6">
        <f>+A5+1</f>
        <v>2</v>
      </c>
      <c r="B6" t="str">
        <f ca="1">+INDEX('Charges_Including Slice and LS'!$C$4:$C$137,MATCH($A6,'Charges_Including Slice and LS'!$AA$4:$AA$137,0),1)</f>
        <v>U.S. Naval Base,  Bremerton</v>
      </c>
      <c r="C6" s="55">
        <f ca="1">+INDEX('Charges_Including Slice and LS'!$Z$4:$Z$137,MATCH($A6,'Charges_Including Slice and LS'!$AA$4:$AA$137,0),1)</f>
        <v>0.18009669072151663</v>
      </c>
      <c r="D6" s="52">
        <f ca="1">+INDEX('Charges_Including Slice and LS'!$Y$4:$Y$137,MATCH($A6,'Charges_Including Slice and LS'!$AA$4:$AA$137,0),1)</f>
        <v>35.866376988366113</v>
      </c>
      <c r="E6" s="37">
        <f ca="1">+INDEX('Charges_Including Slice and LS'!$X$4:$X$137,MATCH($A6,'Charges_Including Slice and LS'!$AA$4:$AA$137,0),1)/1000</f>
        <v>253.96039999144048</v>
      </c>
      <c r="F6" s="37">
        <f ca="1">+SUM(E$5:E6)</f>
        <v>276.30886931051668</v>
      </c>
      <c r="H6" t="str">
        <f ca="1">+INDEX(Charges_NonSlice!$C$4:$C$137,MATCH($A6,Charges_NonSlice!$AA$4:$AA$137,0),1)</f>
        <v>U.S. Naval Base,  Bremerton</v>
      </c>
      <c r="I6" s="55">
        <f ca="1">+INDEX(Charges_NonSlice!$Z$4:$Z$137,MATCH($A6,Charges_NonSlice!$AA$4:$AA$137,0),1)</f>
        <v>0.18009220819900792</v>
      </c>
      <c r="J6" s="52">
        <f ca="1">+INDEX(Charges_NonSlice!$Y$4:$Y$137,MATCH($A6,Charges_NonSlice!$AA$4:$AA$137,0),1)</f>
        <v>35.866755000056138</v>
      </c>
      <c r="K6" s="37">
        <f ca="1">+INDEX(Charges_NonSlice!$X$4:$X$137,MATCH($A6,Charges_NonSlice!$AA$4:$AA$137,0),1)/1000</f>
        <v>253.96039999144048</v>
      </c>
      <c r="L6" s="37">
        <f ca="1">+SUM(K$5:K6)</f>
        <v>276.30886931051668</v>
      </c>
      <c r="N6" t="str">
        <f ca="1">+INDEX('Charges_NonSlice &amp; Excl LS'!$C$4:$C$137,MATCH($A6,'Charges_NonSlice &amp; Excl LS'!$AA$4:$AA$137,0),1)</f>
        <v>Consolidated Irrigation District #19</v>
      </c>
      <c r="O6" s="55">
        <f ca="1">+INDEX('Charges_NonSlice &amp; Excl LS'!$Z$4:$Z$137,MATCH($A6,'Charges_NonSlice &amp; Excl LS'!$AA$4:$AA$137,0),1)</f>
        <v>0.11373080176724779</v>
      </c>
      <c r="P6" s="52">
        <f ca="1">+INDEX('Charges_NonSlice &amp; Excl LS'!$Y$4:$Y$137,MATCH($A6,'Charges_NonSlice &amp; Excl LS'!$AA$4:$AA$137,0),1)</f>
        <v>61.97385032336333</v>
      </c>
      <c r="Q6" s="37">
        <f ca="1">+INDEX('Charges_NonSlice &amp; Excl LS'!$X$4:$X$137,MATCH($A6,'Charges_NonSlice &amp; Excl LS'!$AA$4:$AA$137,0),1)/1000</f>
        <v>2.0054055517439999</v>
      </c>
      <c r="R6" s="37">
        <f ca="1">+SUM(Q$5:Q6)</f>
        <v>85.933496282496009</v>
      </c>
      <c r="T6" t="str">
        <f ca="1">+INDEX(Charges_NonSlice!$C$4:$C$137,MATCH($A6,Charges_NonSlice!$AA$4:$AA$137,0),1)</f>
        <v>U.S. Naval Base,  Bremerton</v>
      </c>
      <c r="U6" s="55">
        <f t="shared" ref="U6:U69" ca="1" si="0">IFERROR(+V6/W6-1,"")</f>
        <v>3.2894448376108665E-2</v>
      </c>
      <c r="V6" s="52">
        <f ca="1">+INDEX(Charges_NonSlice!$Y$4:$Y$137,MATCH($A6,Charges_NonSlice!$AA$4:$AA$137,0),1)</f>
        <v>35.866755000056138</v>
      </c>
      <c r="W6" s="269">
        <f t="shared" ref="W6:W69" ca="1" si="1">IFERROR(+VLOOKUP(T6,Y:Z,2,FALSE), " ")</f>
        <v>34.724511353938411</v>
      </c>
      <c r="Y6" s="57" t="s">
        <v>20</v>
      </c>
      <c r="Z6" s="58">
        <v>40.146471585960334</v>
      </c>
    </row>
    <row r="7" spans="1:26">
      <c r="A7">
        <f t="shared" ref="A7:A70" si="2">+A6+1</f>
        <v>3</v>
      </c>
      <c r="B7" t="str">
        <f ca="1">+INDEX('Charges_Including Slice and LS'!$C$4:$C$137,MATCH($A7,'Charges_Including Slice and LS'!$AA$4:$AA$137,0),1)</f>
        <v>Lost River Elec Coop</v>
      </c>
      <c r="C7" s="55">
        <f ca="1">+INDEX('Charges_Including Slice and LS'!$Z$4:$Z$137,MATCH($A7,'Charges_Including Slice and LS'!$AA$4:$AA$137,0),1)</f>
        <v>0.16445582601934575</v>
      </c>
      <c r="D7" s="52">
        <f ca="1">+INDEX('Charges_Including Slice and LS'!$Y$4:$Y$137,MATCH($A7,'Charges_Including Slice and LS'!$AA$4:$AA$137,0),1)</f>
        <v>30.500137989293474</v>
      </c>
      <c r="E7" s="37">
        <f ca="1">+INDEX('Charges_Including Slice and LS'!$X$4:$X$137,MATCH($A7,'Charges_Including Slice and LS'!$AA$4:$AA$137,0),1)/1000</f>
        <v>83.929559999999995</v>
      </c>
      <c r="F7" s="37">
        <f ca="1">+SUM(E$5:E7)</f>
        <v>360.23842931051666</v>
      </c>
      <c r="H7" t="str">
        <f ca="1">+INDEX(Charges_NonSlice!$C$4:$C$137,MATCH($A7,Charges_NonSlice!$AA$4:$AA$137,0),1)</f>
        <v>Lost River Elec Coop</v>
      </c>
      <c r="I7" s="55">
        <f ca="1">+INDEX(Charges_NonSlice!$Z$4:$Z$137,MATCH($A7,Charges_NonSlice!$AA$4:$AA$137,0),1)</f>
        <v>0.16444729354838758</v>
      </c>
      <c r="J7" s="52">
        <f ca="1">+INDEX(Charges_NonSlice!$Y$4:$Y$137,MATCH($A7,Charges_NonSlice!$AA$4:$AA$137,0),1)</f>
        <v>30.500973872073985</v>
      </c>
      <c r="K7" s="37">
        <f ca="1">+INDEX(Charges_NonSlice!$X$4:$X$137,MATCH($A7,Charges_NonSlice!$AA$4:$AA$137,0),1)/1000</f>
        <v>83.929559999999995</v>
      </c>
      <c r="L7" s="37">
        <f ca="1">+SUM(K$5:K7)</f>
        <v>360.23842931051666</v>
      </c>
      <c r="N7" t="str">
        <f ca="1">+INDEX('Charges_NonSlice &amp; Excl LS'!$C$4:$C$137,MATCH($A7,'Charges_NonSlice &amp; Excl LS'!$AA$4:$AA$137,0),1)</f>
        <v>Harney Elec Coop</v>
      </c>
      <c r="O7" s="55">
        <f ca="1">+INDEX('Charges_NonSlice &amp; Excl LS'!$Z$4:$Z$137,MATCH($A7,'Charges_NonSlice &amp; Excl LS'!$AA$4:$AA$137,0),1)</f>
        <v>0.11298960277020723</v>
      </c>
      <c r="P7" s="52">
        <f ca="1">+INDEX('Charges_NonSlice &amp; Excl LS'!$Y$4:$Y$137,MATCH($A7,'Charges_NonSlice &amp; Excl LS'!$AA$4:$AA$137,0),1)</f>
        <v>29.303147125789692</v>
      </c>
      <c r="Q7" s="37">
        <f ca="1">+INDEX('Charges_NonSlice &amp; Excl LS'!$X$4:$X$137,MATCH($A7,'Charges_NonSlice &amp; Excl LS'!$AA$4:$AA$137,0),1)/1000</f>
        <v>200.46581956377599</v>
      </c>
      <c r="R7" s="37">
        <f ca="1">+SUM(Q$5:Q7)</f>
        <v>286.39931584627197</v>
      </c>
      <c r="T7" t="str">
        <f ca="1">+INDEX(Charges_NonSlice!$C$4:$C$137,MATCH($A7,Charges_NonSlice!$AA$4:$AA$137,0),1)</f>
        <v>Lost River Elec Coop</v>
      </c>
      <c r="U7" s="55">
        <f t="shared" ca="1" si="0"/>
        <v>8.4210306367979326E-2</v>
      </c>
      <c r="V7" s="52">
        <f ca="1">+INDEX(Charges_NonSlice!$Y$4:$Y$137,MATCH($A7,Charges_NonSlice!$AA$4:$AA$137,0),1)</f>
        <v>30.500973872073985</v>
      </c>
      <c r="W7" s="269">
        <f t="shared" ca="1" si="1"/>
        <v>28.131971899667594</v>
      </c>
      <c r="Y7" s="57" t="s">
        <v>72</v>
      </c>
      <c r="Z7" s="58">
        <v>25.79242102044126</v>
      </c>
    </row>
    <row r="8" spans="1:26">
      <c r="A8">
        <f t="shared" si="2"/>
        <v>4</v>
      </c>
      <c r="B8" t="str">
        <f ca="1">+INDEX('Charges_Including Slice and LS'!$C$4:$C$137,MATCH($A8,'Charges_Including Slice and LS'!$AA$4:$AA$137,0),1)</f>
        <v>Wells Rural Elec Coop</v>
      </c>
      <c r="C8" s="55">
        <f ca="1">+INDEX('Charges_Including Slice and LS'!$Z$4:$Z$137,MATCH($A8,'Charges_Including Slice and LS'!$AA$4:$AA$137,0),1)</f>
        <v>0.16212301686017733</v>
      </c>
      <c r="D8" s="52">
        <f ca="1">+INDEX('Charges_Including Slice and LS'!$Y$4:$Y$137,MATCH($A8,'Charges_Including Slice and LS'!$AA$4:$AA$137,0),1)</f>
        <v>35.228934575437101</v>
      </c>
      <c r="E8" s="37">
        <f ca="1">+INDEX('Charges_Including Slice and LS'!$X$4:$X$137,MATCH($A8,'Charges_Including Slice and LS'!$AA$4:$AA$137,0),1)/1000</f>
        <v>753.5798654835279</v>
      </c>
      <c r="F8" s="37">
        <f ca="1">+SUM(E$5:E8)</f>
        <v>1113.8182947940445</v>
      </c>
      <c r="H8" t="str">
        <f ca="1">+INDEX(Charges_NonSlice!$C$4:$C$137,MATCH($A8,Charges_NonSlice!$AA$4:$AA$137,0),1)</f>
        <v>Wells Rural Elec Coop</v>
      </c>
      <c r="I8" s="55">
        <f ca="1">+INDEX(Charges_NonSlice!$Z$4:$Z$137,MATCH($A8,Charges_NonSlice!$AA$4:$AA$137,0),1)</f>
        <v>0.16212212035917969</v>
      </c>
      <c r="J8" s="52">
        <f ca="1">+INDEX(Charges_NonSlice!$Y$4:$Y$137,MATCH($A8,Charges_NonSlice!$AA$4:$AA$137,0),1)</f>
        <v>35.229087186998619</v>
      </c>
      <c r="K8" s="37">
        <f ca="1">+INDEX(Charges_NonSlice!$X$4:$X$137,MATCH($A8,Charges_NonSlice!$AA$4:$AA$137,0),1)/1000</f>
        <v>753.5798654835279</v>
      </c>
      <c r="L8" s="37">
        <f ca="1">+SUM(K$5:K8)</f>
        <v>1113.8182947940445</v>
      </c>
      <c r="N8" t="str">
        <f ca="1">+INDEX('Charges_NonSlice &amp; Excl LS'!$C$4:$C$137,MATCH($A8,'Charges_NonSlice &amp; Excl LS'!$AA$4:$AA$137,0),1)</f>
        <v>Plummer, City of</v>
      </c>
      <c r="O8" s="55">
        <f ca="1">+INDEX('Charges_NonSlice &amp; Excl LS'!$Z$4:$Z$137,MATCH($A8,'Charges_NonSlice &amp; Excl LS'!$AA$4:$AA$137,0),1)</f>
        <v>0.10677091055242588</v>
      </c>
      <c r="P8" s="52">
        <f ca="1">+INDEX('Charges_NonSlice &amp; Excl LS'!$Y$4:$Y$137,MATCH($A8,'Charges_NonSlice &amp; Excl LS'!$AA$4:$AA$137,0),1)</f>
        <v>36.217695498280044</v>
      </c>
      <c r="Q8" s="37">
        <f ca="1">+INDEX('Charges_NonSlice &amp; Excl LS'!$X$4:$X$137,MATCH($A8,'Charges_NonSlice &amp; Excl LS'!$AA$4:$AA$137,0),1)/1000</f>
        <v>22.345947576575998</v>
      </c>
      <c r="R8" s="37">
        <f ca="1">+SUM(Q$5:Q8)</f>
        <v>308.74526342284798</v>
      </c>
      <c r="T8" t="str">
        <f ca="1">+INDEX(Charges_NonSlice!$C$4:$C$137,MATCH($A8,Charges_NonSlice!$AA$4:$AA$137,0),1)</f>
        <v>Wells Rural Elec Coop</v>
      </c>
      <c r="U8" s="55">
        <f t="shared" ca="1" si="0"/>
        <v>0.11105165797969518</v>
      </c>
      <c r="V8" s="52">
        <f ca="1">+INDEX(Charges_NonSlice!$Y$4:$Y$137,MATCH($A8,Charges_NonSlice!$AA$4:$AA$137,0),1)</f>
        <v>35.229087186998619</v>
      </c>
      <c r="W8" s="269">
        <f t="shared" ca="1" si="1"/>
        <v>31.707875087516804</v>
      </c>
      <c r="Y8" s="57" t="s">
        <v>115</v>
      </c>
      <c r="Z8" s="58">
        <v>30.108854597399535</v>
      </c>
    </row>
    <row r="9" spans="1:26">
      <c r="A9">
        <f t="shared" si="2"/>
        <v>5</v>
      </c>
      <c r="B9" t="str">
        <f ca="1">+INDEX('Charges_Including Slice and LS'!$C$4:$C$137,MATCH($A9,'Charges_Including Slice and LS'!$AA$4:$AA$137,0),1)</f>
        <v>Harney Elec Coop</v>
      </c>
      <c r="C9" s="55">
        <f ca="1">+INDEX('Charges_Including Slice and LS'!$Z$4:$Z$137,MATCH($A9,'Charges_Including Slice and LS'!$AA$4:$AA$137,0),1)</f>
        <v>0.16178497239201253</v>
      </c>
      <c r="D9" s="52">
        <f ca="1">+INDEX('Charges_Including Slice and LS'!$Y$4:$Y$137,MATCH($A9,'Charges_Including Slice and LS'!$AA$4:$AA$137,0),1)</f>
        <v>28.756968668093499</v>
      </c>
      <c r="E9" s="37">
        <f ca="1">+INDEX('Charges_Including Slice and LS'!$X$4:$X$137,MATCH($A9,'Charges_Including Slice and LS'!$AA$4:$AA$137,0),1)/1000</f>
        <v>200.4586108334515</v>
      </c>
      <c r="F9" s="37">
        <f ca="1">+SUM(E$5:E9)</f>
        <v>1314.276905627496</v>
      </c>
      <c r="H9" t="str">
        <f ca="1">+INDEX(Charges_NonSlice!$C$4:$C$137,MATCH($A9,Charges_NonSlice!$AA$4:$AA$137,0),1)</f>
        <v>Harney Elec Coop</v>
      </c>
      <c r="I9" s="55">
        <f ca="1">+INDEX(Charges_NonSlice!$Z$4:$Z$137,MATCH($A9,Charges_NonSlice!$AA$4:$AA$137,0),1)</f>
        <v>0.16178203714245451</v>
      </c>
      <c r="J9" s="52">
        <f ca="1">+INDEX(Charges_NonSlice!$Y$4:$Y$137,MATCH($A9,Charges_NonSlice!$AA$4:$AA$137,0),1)</f>
        <v>28.757261881005221</v>
      </c>
      <c r="K9" s="37">
        <f ca="1">+INDEX(Charges_NonSlice!$X$4:$X$137,MATCH($A9,Charges_NonSlice!$AA$4:$AA$137,0),1)/1000</f>
        <v>200.4586108334515</v>
      </c>
      <c r="L9" s="37">
        <f ca="1">+SUM(K$5:K9)</f>
        <v>1314.276905627496</v>
      </c>
      <c r="N9" t="str">
        <f ca="1">+INDEX('Charges_NonSlice &amp; Excl LS'!$C$4:$C$137,MATCH($A9,'Charges_NonSlice &amp; Excl LS'!$AA$4:$AA$137,0),1)</f>
        <v>Asotin County PUD #1</v>
      </c>
      <c r="O9" s="55">
        <f ca="1">+INDEX('Charges_NonSlice &amp; Excl LS'!$Z$4:$Z$137,MATCH($A9,'Charges_NonSlice &amp; Excl LS'!$AA$4:$AA$137,0),1)</f>
        <v>0.10408330458717364</v>
      </c>
      <c r="P9" s="52">
        <f ca="1">+INDEX('Charges_NonSlice &amp; Excl LS'!$Y$4:$Y$137,MATCH($A9,'Charges_NonSlice &amp; Excl LS'!$AA$4:$AA$137,0),1)</f>
        <v>42.507657595328354</v>
      </c>
      <c r="Q9" s="37">
        <f ca="1">+INDEX('Charges_NonSlice &amp; Excl LS'!$X$4:$X$137,MATCH($A9,'Charges_NonSlice &amp; Excl LS'!$AA$4:$AA$137,0),1)/1000</f>
        <v>5.0571096522239998</v>
      </c>
      <c r="R9" s="37">
        <f ca="1">+SUM(Q$5:Q9)</f>
        <v>313.80237307507196</v>
      </c>
      <c r="T9" t="str">
        <f ca="1">+INDEX(Charges_NonSlice!$C$4:$C$137,MATCH($A9,Charges_NonSlice!$AA$4:$AA$137,0),1)</f>
        <v>Harney Elec Coop</v>
      </c>
      <c r="U9" s="55">
        <f t="shared" ca="1" si="0"/>
        <v>0.1149500800337524</v>
      </c>
      <c r="V9" s="52">
        <f ca="1">+INDEX(Charges_NonSlice!$Y$4:$Y$137,MATCH($A9,Charges_NonSlice!$AA$4:$AA$137,0),1)</f>
        <v>28.757261881005221</v>
      </c>
      <c r="W9" s="269">
        <f t="shared" ca="1" si="1"/>
        <v>25.79242102044126</v>
      </c>
      <c r="Y9" s="57" t="s">
        <v>102</v>
      </c>
      <c r="Z9" s="58">
        <v>38.109907203162606</v>
      </c>
    </row>
    <row r="10" spans="1:26">
      <c r="A10">
        <f t="shared" si="2"/>
        <v>6</v>
      </c>
      <c r="B10" t="str">
        <f ca="1">+INDEX('Charges_Including Slice and LS'!$C$4:$C$137,MATCH($A10,'Charges_Including Slice and LS'!$AA$4:$AA$137,0),1)</f>
        <v>Klickitat County PUD #1</v>
      </c>
      <c r="C10" s="55">
        <f ca="1">+INDEX('Charges_Including Slice and LS'!$Z$4:$Z$137,MATCH($A10,'Charges_Including Slice and LS'!$AA$4:$AA$137,0),1)</f>
        <v>0.14130049852808271</v>
      </c>
      <c r="D10" s="52">
        <f ca="1">+INDEX('Charges_Including Slice and LS'!$Y$4:$Y$137,MATCH($A10,'Charges_Including Slice and LS'!$AA$4:$AA$137,0),1)</f>
        <v>33.597097434673643</v>
      </c>
      <c r="E10" s="37">
        <f ca="1">+INDEX('Charges_Including Slice and LS'!$X$4:$X$137,MATCH($A10,'Charges_Including Slice and LS'!$AA$4:$AA$137,0),1)/1000</f>
        <v>322.98119999999994</v>
      </c>
      <c r="F10" s="37">
        <f ca="1">+SUM(E$5:E10)</f>
        <v>1637.258105627496</v>
      </c>
      <c r="H10" t="str">
        <f ca="1">+INDEX(Charges_NonSlice!$C$4:$C$137,MATCH($A10,Charges_NonSlice!$AA$4:$AA$137,0),1)</f>
        <v>Klickitat County PUD #1</v>
      </c>
      <c r="I10" s="55">
        <f ca="1">+INDEX(Charges_NonSlice!$Z$4:$Z$137,MATCH($A10,Charges_NonSlice!$AA$4:$AA$137,0),1)</f>
        <v>0.14129800933565873</v>
      </c>
      <c r="J10" s="52">
        <f ca="1">+INDEX(Charges_NonSlice!$Y$4:$Y$137,MATCH($A10,Charges_NonSlice!$AA$4:$AA$137,0),1)</f>
        <v>33.597293398303975</v>
      </c>
      <c r="K10" s="37">
        <f ca="1">+INDEX(Charges_NonSlice!$X$4:$X$137,MATCH($A10,Charges_NonSlice!$AA$4:$AA$137,0),1)/1000</f>
        <v>322.98119999999994</v>
      </c>
      <c r="L10" s="37">
        <f ca="1">+SUM(K$5:K10)</f>
        <v>1637.258105627496</v>
      </c>
      <c r="N10" t="str">
        <f ca="1">+INDEX('Charges_NonSlice &amp; Excl LS'!$C$4:$C$137,MATCH($A10,'Charges_NonSlice &amp; Excl LS'!$AA$4:$AA$137,0),1)</f>
        <v>Wells Rural Elec Coop</v>
      </c>
      <c r="O10" s="55">
        <f ca="1">+INDEX('Charges_NonSlice &amp; Excl LS'!$Z$4:$Z$137,MATCH($A10,'Charges_NonSlice &amp; Excl LS'!$AA$4:$AA$137,0),1)</f>
        <v>0.10350578871276149</v>
      </c>
      <c r="P10" s="52">
        <f ca="1">+INDEX('Charges_NonSlice &amp; Excl LS'!$Y$4:$Y$137,MATCH($A10,'Charges_NonSlice &amp; Excl LS'!$AA$4:$AA$137,0),1)</f>
        <v>34.527842481752515</v>
      </c>
      <c r="Q10" s="37">
        <f ca="1">+INDEX('Charges_NonSlice &amp; Excl LS'!$X$4:$X$137,MATCH($A10,'Charges_NonSlice &amp; Excl LS'!$AA$4:$AA$137,0),1)/1000</f>
        <v>753.57784582444799</v>
      </c>
      <c r="R10" s="37">
        <f ca="1">+SUM(Q$5:Q10)</f>
        <v>1067.3802188995201</v>
      </c>
      <c r="T10" t="str">
        <f ca="1">+INDEX(Charges_NonSlice!$C$4:$C$137,MATCH($A10,Charges_NonSlice!$AA$4:$AA$137,0),1)</f>
        <v>Klickitat County PUD #1</v>
      </c>
      <c r="U10" s="55">
        <f t="shared" ca="1" si="0"/>
        <v>5.8005375881958976E-2</v>
      </c>
      <c r="V10" s="52">
        <f ca="1">+INDEX(Charges_NonSlice!$Y$4:$Y$137,MATCH($A10,Charges_NonSlice!$AA$4:$AA$137,0),1)</f>
        <v>33.597293398303975</v>
      </c>
      <c r="W10" s="269">
        <f t="shared" ca="1" si="1"/>
        <v>31.755314447525461</v>
      </c>
      <c r="Y10" s="57" t="s">
        <v>110</v>
      </c>
      <c r="Z10" s="58">
        <v>37.399676217435363</v>
      </c>
    </row>
    <row r="11" spans="1:26">
      <c r="A11">
        <f t="shared" si="2"/>
        <v>7</v>
      </c>
      <c r="B11" t="str">
        <f ca="1">+INDEX('Charges_Including Slice and LS'!$C$4:$C$137,MATCH($A11,'Charges_Including Slice and LS'!$AA$4:$AA$137,0),1)</f>
        <v>Umpqua Indian Utility Cooperative</v>
      </c>
      <c r="C11" s="55">
        <f ca="1">+INDEX('Charges_Including Slice and LS'!$Z$4:$Z$137,MATCH($A11,'Charges_Including Slice and LS'!$AA$4:$AA$137,0),1)</f>
        <v>0.12715587021926769</v>
      </c>
      <c r="D11" s="52">
        <f ca="1">+INDEX('Charges_Including Slice and LS'!$Y$4:$Y$137,MATCH($A11,'Charges_Including Slice and LS'!$AA$4:$AA$137,0),1)</f>
        <v>37.658193324867625</v>
      </c>
      <c r="E11" s="37">
        <f ca="1">+INDEX('Charges_Including Slice and LS'!$X$4:$X$137,MATCH($A11,'Charges_Including Slice and LS'!$AA$4:$AA$137,0),1)/1000</f>
        <v>23.558506390397465</v>
      </c>
      <c r="F11" s="37">
        <f ca="1">+SUM(E$5:E11)</f>
        <v>1660.8166120178935</v>
      </c>
      <c r="H11" t="str">
        <f ca="1">+INDEX(Charges_NonSlice!$C$4:$C$137,MATCH($A11,Charges_NonSlice!$AA$4:$AA$137,0),1)</f>
        <v>Clatskanie PUD</v>
      </c>
      <c r="I11" s="55">
        <f ca="1">+INDEX(Charges_NonSlice!$Z$4:$Z$137,MATCH($A11,Charges_NonSlice!$AA$4:$AA$137,0),1)</f>
        <v>0.13711162196783749</v>
      </c>
      <c r="J11" s="52">
        <f ca="1">+INDEX(Charges_NonSlice!$Y$4:$Y$137,MATCH($A11,Charges_NonSlice!$AA$4:$AA$137,0),1)</f>
        <v>35.904084706301326</v>
      </c>
      <c r="K11" s="37">
        <f ca="1">+INDEX(Charges_NonSlice!$X$4:$X$137,MATCH($A11,Charges_NonSlice!$AA$4:$AA$137,0),1)/1000</f>
        <v>308.1326546516359</v>
      </c>
      <c r="L11" s="37">
        <f ca="1">+SUM(K$5:K11)</f>
        <v>1945.3907602791319</v>
      </c>
      <c r="N11" t="str">
        <f ca="1">+INDEX('Charges_NonSlice &amp; Excl LS'!$C$4:$C$137,MATCH($A11,'Charges_NonSlice &amp; Excl LS'!$AA$4:$AA$137,0),1)</f>
        <v>Soda Springs, City of</v>
      </c>
      <c r="O11" s="55">
        <f ca="1">+INDEX('Charges_NonSlice &amp; Excl LS'!$Z$4:$Z$137,MATCH($A11,'Charges_NonSlice &amp; Excl LS'!$AA$4:$AA$137,0),1)</f>
        <v>0.10299035007816018</v>
      </c>
      <c r="P11" s="52">
        <f ca="1">+INDEX('Charges_NonSlice &amp; Excl LS'!$Y$4:$Y$137,MATCH($A11,'Charges_NonSlice &amp; Excl LS'!$AA$4:$AA$137,0),1)</f>
        <v>37.510323264522803</v>
      </c>
      <c r="Q11" s="37">
        <f ca="1">+INDEX('Charges_NonSlice &amp; Excl LS'!$X$4:$X$137,MATCH($A11,'Charges_NonSlice &amp; Excl LS'!$AA$4:$AA$137,0),1)/1000</f>
        <v>24.419860771391999</v>
      </c>
      <c r="R11" s="37">
        <f ca="1">+SUM(Q$5:Q11)</f>
        <v>1091.8000796709121</v>
      </c>
      <c r="T11" t="str">
        <f ca="1">+INDEX(Charges_NonSlice!$C$4:$C$137,MATCH($A11,Charges_NonSlice!$AA$4:$AA$137,0),1)</f>
        <v>Clatskanie PUD</v>
      </c>
      <c r="U11" s="55">
        <f t="shared" ca="1" si="0"/>
        <v>8.2927311622791988E-2</v>
      </c>
      <c r="V11" s="52">
        <f ca="1">+INDEX(Charges_NonSlice!$Y$4:$Y$137,MATCH($A11,Charges_NonSlice!$AA$4:$AA$137,0),1)</f>
        <v>35.904084706301326</v>
      </c>
      <c r="W11" s="269">
        <f t="shared" ca="1" si="1"/>
        <v>33.154658046714339</v>
      </c>
      <c r="Y11" s="57" t="s">
        <v>8</v>
      </c>
      <c r="Z11" s="58">
        <v>39.522911482621673</v>
      </c>
    </row>
    <row r="12" spans="1:26">
      <c r="A12">
        <f t="shared" si="2"/>
        <v>8</v>
      </c>
      <c r="B12" t="str">
        <f ca="1">+INDEX('Charges_Including Slice and LS'!$C$4:$C$137,MATCH($A12,'Charges_Including Slice and LS'!$AA$4:$AA$137,0),1)</f>
        <v>Asotin County PUD #1</v>
      </c>
      <c r="C12" s="55">
        <f ca="1">+INDEX('Charges_Including Slice and LS'!$Z$4:$Z$137,MATCH($A12,'Charges_Including Slice and LS'!$AA$4:$AA$137,0),1)</f>
        <v>0.12596775009090538</v>
      </c>
      <c r="D12" s="52">
        <f ca="1">+INDEX('Charges_Including Slice and LS'!$Y$4:$Y$137,MATCH($A12,'Charges_Including Slice and LS'!$AA$4:$AA$137,0),1)</f>
        <v>43.909131573570249</v>
      </c>
      <c r="E12" s="37">
        <f ca="1">+INDEX('Charges_Including Slice and LS'!$X$4:$X$137,MATCH($A12,'Charges_Including Slice and LS'!$AA$4:$AA$137,0),1)/1000</f>
        <v>5.0545199999999992</v>
      </c>
      <c r="F12" s="37">
        <f ca="1">+SUM(E$5:E12)</f>
        <v>1665.8711320178934</v>
      </c>
      <c r="H12" t="str">
        <f ca="1">+INDEX(Charges_NonSlice!$C$4:$C$137,MATCH($A12,Charges_NonSlice!$AA$4:$AA$137,0),1)</f>
        <v>Cowlitz County PUD #1</v>
      </c>
      <c r="I12" s="55">
        <f ca="1">+INDEX(Charges_NonSlice!$Z$4:$Z$137,MATCH($A12,Charges_NonSlice!$AA$4:$AA$137,0),1)</f>
        <v>0.13571349562375223</v>
      </c>
      <c r="J12" s="52">
        <f ca="1">+INDEX(Charges_NonSlice!$Y$4:$Y$137,MATCH($A12,Charges_NonSlice!$AA$4:$AA$137,0),1)</f>
        <v>35.7753390221798</v>
      </c>
      <c r="K12" s="37">
        <f ca="1">+INDEX(Charges_NonSlice!$X$4:$X$137,MATCH($A12,Charges_NonSlice!$AA$4:$AA$137,0),1)/1000</f>
        <v>1565.6510433017461</v>
      </c>
      <c r="L12" s="37">
        <f ca="1">+SUM(K$5:K12)</f>
        <v>3511.041803580878</v>
      </c>
      <c r="N12" t="str">
        <f ca="1">+INDEX('Charges_NonSlice &amp; Excl LS'!$C$4:$C$137,MATCH($A12,'Charges_NonSlice &amp; Excl LS'!$AA$4:$AA$137,0),1)</f>
        <v>Klickitat County PUD #1</v>
      </c>
      <c r="O12" s="55">
        <f ca="1">+INDEX('Charges_NonSlice &amp; Excl LS'!$Z$4:$Z$137,MATCH($A12,'Charges_NonSlice &amp; Excl LS'!$AA$4:$AA$137,0),1)</f>
        <v>0.10281735576691539</v>
      </c>
      <c r="P12" s="52">
        <f ca="1">+INDEX('Charges_NonSlice &amp; Excl LS'!$Y$4:$Y$137,MATCH($A12,'Charges_NonSlice &amp; Excl LS'!$AA$4:$AA$137,0),1)</f>
        <v>31.744666770603313</v>
      </c>
      <c r="Q12" s="37">
        <f ca="1">+INDEX('Charges_NonSlice &amp; Excl LS'!$X$4:$X$137,MATCH($A12,'Charges_NonSlice &amp; Excl LS'!$AA$4:$AA$137,0),1)/1000</f>
        <v>322.98239724672004</v>
      </c>
      <c r="R12" s="37">
        <f ca="1">+SUM(Q$5:Q12)</f>
        <v>1414.782476917632</v>
      </c>
      <c r="T12" t="str">
        <f ca="1">+INDEX(Charges_NonSlice!$C$4:$C$137,MATCH($A12,Charges_NonSlice!$AA$4:$AA$137,0),1)</f>
        <v>Cowlitz County PUD #1</v>
      </c>
      <c r="U12" s="55">
        <f t="shared" ca="1" si="0"/>
        <v>8.0688738593216236E-2</v>
      </c>
      <c r="V12" s="52">
        <f ca="1">+INDEX(Charges_NonSlice!$Y$4:$Y$137,MATCH($A12,Charges_NonSlice!$AA$4:$AA$137,0),1)</f>
        <v>35.7753390221798</v>
      </c>
      <c r="W12" s="269">
        <f t="shared" ca="1" si="1"/>
        <v>33.104202666856928</v>
      </c>
      <c r="Y12" s="57" t="s">
        <v>92</v>
      </c>
      <c r="Z12" s="58">
        <v>33.419713791832287</v>
      </c>
    </row>
    <row r="13" spans="1:26">
      <c r="A13">
        <f t="shared" si="2"/>
        <v>9</v>
      </c>
      <c r="B13" t="str">
        <f ca="1">+INDEX('Charges_Including Slice and LS'!$C$4:$C$137,MATCH($A13,'Charges_Including Slice and LS'!$AA$4:$AA$137,0),1)</f>
        <v>U.S. Naval Station, Everett (Jim Creek)</v>
      </c>
      <c r="C13" s="55">
        <f ca="1">+INDEX('Charges_Including Slice and LS'!$Z$4:$Z$137,MATCH($A13,'Charges_Including Slice and LS'!$AA$4:$AA$137,0),1)</f>
        <v>0.12424769343603863</v>
      </c>
      <c r="D13" s="52">
        <f ca="1">+INDEX('Charges_Including Slice and LS'!$Y$4:$Y$137,MATCH($A13,'Charges_Including Slice and LS'!$AA$4:$AA$137,0),1)</f>
        <v>37.816825906693325</v>
      </c>
      <c r="E13" s="37">
        <f ca="1">+INDEX('Charges_Including Slice and LS'!$X$4:$X$137,MATCH($A13,'Charges_Including Slice and LS'!$AA$4:$AA$137,0),1)/1000</f>
        <v>13.455360000000001</v>
      </c>
      <c r="F13" s="37">
        <f ca="1">+SUM(E$5:E13)</f>
        <v>1679.3264920178933</v>
      </c>
      <c r="H13" t="str">
        <f ca="1">+INDEX(Charges_NonSlice!$C$4:$C$137,MATCH($A13,Charges_NonSlice!$AA$4:$AA$137,0),1)</f>
        <v>Franklin County PUD #1</v>
      </c>
      <c r="I13" s="55">
        <f ca="1">+INDEX(Charges_NonSlice!$Z$4:$Z$137,MATCH($A13,Charges_NonSlice!$AA$4:$AA$137,0),1)</f>
        <v>0.13029149273073526</v>
      </c>
      <c r="J13" s="52">
        <f ca="1">+INDEX(Charges_NonSlice!$Y$4:$Y$137,MATCH($A13,Charges_NonSlice!$AA$4:$AA$137,0),1)</f>
        <v>34.253567210872419</v>
      </c>
      <c r="K13" s="37">
        <f ca="1">+INDEX(Charges_NonSlice!$X$4:$X$137,MATCH($A13,Charges_NonSlice!$AA$4:$AA$137,0),1)/1000</f>
        <v>550.4965596296646</v>
      </c>
      <c r="L13" s="37">
        <f ca="1">+SUM(K$5:K13)</f>
        <v>4061.5383632105427</v>
      </c>
      <c r="N13" t="str">
        <f ca="1">+INDEX('Charges_NonSlice &amp; Excl LS'!$C$4:$C$137,MATCH($A13,'Charges_NonSlice &amp; Excl LS'!$AA$4:$AA$137,0),1)</f>
        <v>Southside Elec Lines</v>
      </c>
      <c r="O13" s="55">
        <f ca="1">+INDEX('Charges_NonSlice &amp; Excl LS'!$Z$4:$Z$137,MATCH($A13,'Charges_NonSlice &amp; Excl LS'!$AA$4:$AA$137,0),1)</f>
        <v>0.10266385212926489</v>
      </c>
      <c r="P13" s="52">
        <f ca="1">+INDEX('Charges_NonSlice &amp; Excl LS'!$Y$4:$Y$137,MATCH($A13,'Charges_NonSlice &amp; Excl LS'!$AA$4:$AA$137,0),1)</f>
        <v>31.774518004026501</v>
      </c>
      <c r="Q13" s="37">
        <f ca="1">+INDEX('Charges_NonSlice &amp; Excl LS'!$X$4:$X$137,MATCH($A13,'Charges_NonSlice &amp; Excl LS'!$AA$4:$AA$137,0),1)/1000</f>
        <v>59.601649472639998</v>
      </c>
      <c r="R13" s="37">
        <f ca="1">+SUM(Q$5:Q13)</f>
        <v>1474.3841263902721</v>
      </c>
      <c r="T13" t="str">
        <f ca="1">+INDEX(Charges_NonSlice!$C$4:$C$137,MATCH($A13,Charges_NonSlice!$AA$4:$AA$137,0),1)</f>
        <v>Franklin County PUD #1</v>
      </c>
      <c r="U13" s="55">
        <f t="shared" ca="1" si="0"/>
        <v>7.7750613381404321E-2</v>
      </c>
      <c r="V13" s="52">
        <f ca="1">+INDEX(Charges_NonSlice!$Y$4:$Y$137,MATCH($A13,Charges_NonSlice!$AA$4:$AA$137,0),1)</f>
        <v>34.253567210872419</v>
      </c>
      <c r="W13" s="269">
        <f t="shared" ca="1" si="1"/>
        <v>31.782461346417673</v>
      </c>
      <c r="Y13" s="57" t="s">
        <v>84</v>
      </c>
      <c r="Z13" s="58">
        <v>28.131971899667594</v>
      </c>
    </row>
    <row r="14" spans="1:26">
      <c r="A14">
        <f t="shared" si="2"/>
        <v>10</v>
      </c>
      <c r="B14" t="str">
        <f ca="1">+INDEX('Charges_Including Slice and LS'!$C$4:$C$137,MATCH($A14,'Charges_Including Slice and LS'!$AA$4:$AA$137,0),1)</f>
        <v>Big Bend Elec Coop</v>
      </c>
      <c r="C14" s="55">
        <f ca="1">+INDEX('Charges_Including Slice and LS'!$Z$4:$Z$137,MATCH($A14,'Charges_Including Slice and LS'!$AA$4:$AA$137,0),1)</f>
        <v>0.12415691539245825</v>
      </c>
      <c r="D14" s="52">
        <f ca="1">+INDEX('Charges_Including Slice and LS'!$Y$4:$Y$137,MATCH($A14,'Charges_Including Slice and LS'!$AA$4:$AA$137,0),1)</f>
        <v>29.21045026906269</v>
      </c>
      <c r="E14" s="37">
        <f ca="1">+INDEX('Charges_Including Slice and LS'!$X$4:$X$137,MATCH($A14,'Charges_Including Slice and LS'!$AA$4:$AA$137,0),1)/1000</f>
        <v>539.15171999999995</v>
      </c>
      <c r="F14" s="37">
        <f ca="1">+SUM(E$5:E14)</f>
        <v>2218.4782120178934</v>
      </c>
      <c r="H14" t="str">
        <f ca="1">+INDEX(Charges_NonSlice!$C$4:$C$137,MATCH($A14,Charges_NonSlice!$AA$4:$AA$137,0),1)</f>
        <v>Lewis County PUD #1</v>
      </c>
      <c r="I14" s="55">
        <f ca="1">+INDEX(Charges_NonSlice!$Z$4:$Z$137,MATCH($A14,Charges_NonSlice!$AA$4:$AA$137,0),1)</f>
        <v>0.12842838043124188</v>
      </c>
      <c r="J14" s="52">
        <f ca="1">+INDEX(Charges_NonSlice!$Y$4:$Y$137,MATCH($A14,Charges_NonSlice!$AA$4:$AA$137,0),1)</f>
        <v>35.85409030128843</v>
      </c>
      <c r="K14" s="37">
        <f ca="1">+INDEX(Charges_NonSlice!$X$4:$X$137,MATCH($A14,Charges_NonSlice!$AA$4:$AA$137,0),1)/1000</f>
        <v>405.95154030514857</v>
      </c>
      <c r="L14" s="37">
        <f ca="1">+SUM(K$5:K14)</f>
        <v>4467.4899035156914</v>
      </c>
      <c r="N14" t="str">
        <f ca="1">+INDEX('Charges_NonSlice &amp; Excl LS'!$C$4:$C$137,MATCH($A14,'Charges_NonSlice &amp; Excl LS'!$AA$4:$AA$137,0),1)</f>
        <v>Nespelem Valley Elec Coop</v>
      </c>
      <c r="O14" s="55">
        <f ca="1">+INDEX('Charges_NonSlice &amp; Excl LS'!$Z$4:$Z$137,MATCH($A14,'Charges_NonSlice &amp; Excl LS'!$AA$4:$AA$137,0),1)</f>
        <v>0.10199797780875712</v>
      </c>
      <c r="P14" s="52">
        <f ca="1">+INDEX('Charges_NonSlice &amp; Excl LS'!$Y$4:$Y$137,MATCH($A14,'Charges_NonSlice &amp; Excl LS'!$AA$4:$AA$137,0),1)</f>
        <v>34.895001181158548</v>
      </c>
      <c r="Q14" s="37">
        <f ca="1">+INDEX('Charges_NonSlice &amp; Excl LS'!$X$4:$X$137,MATCH($A14,'Charges_NonSlice &amp; Excl LS'!$AA$4:$AA$137,0),1)/1000</f>
        <v>51.816690032639997</v>
      </c>
      <c r="R14" s="37">
        <f ca="1">+SUM(Q$5:Q14)</f>
        <v>1526.2008164229121</v>
      </c>
      <c r="T14" t="str">
        <f ca="1">+INDEX(Charges_NonSlice!$C$4:$C$137,MATCH($A14,Charges_NonSlice!$AA$4:$AA$137,0),1)</f>
        <v>Lewis County PUD #1</v>
      </c>
      <c r="U14" s="55">
        <f t="shared" ca="1" si="0"/>
        <v>0.13620705779809228</v>
      </c>
      <c r="V14" s="52">
        <f ca="1">+INDEX(Charges_NonSlice!$Y$4:$Y$137,MATCH($A14,Charges_NonSlice!$AA$4:$AA$137,0),1)</f>
        <v>35.85409030128843</v>
      </c>
      <c r="W14" s="269">
        <f t="shared" ca="1" si="1"/>
        <v>31.55594753193288</v>
      </c>
      <c r="Y14" s="57" t="s">
        <v>135</v>
      </c>
      <c r="Z14" s="58">
        <v>32.720586829639714</v>
      </c>
    </row>
    <row r="15" spans="1:26">
      <c r="A15">
        <f t="shared" si="2"/>
        <v>11</v>
      </c>
      <c r="B15" t="str">
        <f ca="1">+INDEX('Charges_Including Slice and LS'!$C$4:$C$137,MATCH($A15,'Charges_Including Slice and LS'!$AA$4:$AA$137,0),1)</f>
        <v>Soda Springs, City of</v>
      </c>
      <c r="C15" s="55">
        <f ca="1">+INDEX('Charges_Including Slice and LS'!$Z$4:$Z$137,MATCH($A15,'Charges_Including Slice and LS'!$AA$4:$AA$137,0),1)</f>
        <v>0.12278284838308566</v>
      </c>
      <c r="D15" s="52">
        <f ca="1">+INDEX('Charges_Including Slice and LS'!$Y$4:$Y$137,MATCH($A15,'Charges_Including Slice and LS'!$AA$4:$AA$137,0),1)</f>
        <v>38.78658462410236</v>
      </c>
      <c r="E15" s="37">
        <f ca="1">+INDEX('Charges_Including Slice and LS'!$X$4:$X$137,MATCH($A15,'Charges_Including Slice and LS'!$AA$4:$AA$137,0),1)/1000</f>
        <v>24.420535441498796</v>
      </c>
      <c r="F15" s="37">
        <f ca="1">+SUM(E$5:E15)</f>
        <v>2242.8987474593923</v>
      </c>
      <c r="H15" t="str">
        <f ca="1">+INDEX(Charges_NonSlice!$C$4:$C$137,MATCH($A15,Charges_NonSlice!$AA$4:$AA$137,0),1)</f>
        <v>Umpqua Indian Utility Cooperative</v>
      </c>
      <c r="I15" s="55">
        <f ca="1">+INDEX(Charges_NonSlice!$Z$4:$Z$137,MATCH($A15,Charges_NonSlice!$AA$4:$AA$137,0),1)</f>
        <v>0.12713551787716953</v>
      </c>
      <c r="J15" s="52">
        <f ca="1">+INDEX(Charges_NonSlice!$Y$4:$Y$137,MATCH($A15,Charges_NonSlice!$AA$4:$AA$137,0),1)</f>
        <v>37.663541711472106</v>
      </c>
      <c r="K15" s="37">
        <f ca="1">+INDEX(Charges_NonSlice!$X$4:$X$137,MATCH($A15,Charges_NonSlice!$AA$4:$AA$137,0),1)/1000</f>
        <v>23.558506390397465</v>
      </c>
      <c r="L15" s="37">
        <f ca="1">+SUM(K$5:K15)</f>
        <v>4491.0484099060886</v>
      </c>
      <c r="N15" t="str">
        <f ca="1">+INDEX('Charges_NonSlice &amp; Excl LS'!$C$4:$C$137,MATCH($A15,'Charges_NonSlice &amp; Excl LS'!$AA$4:$AA$137,0),1)</f>
        <v>Declo, City of</v>
      </c>
      <c r="O15" s="55">
        <f ca="1">+INDEX('Charges_NonSlice &amp; Excl LS'!$Z$4:$Z$137,MATCH($A15,'Charges_NonSlice &amp; Excl LS'!$AA$4:$AA$137,0),1)</f>
        <v>0.10137541926713091</v>
      </c>
      <c r="P15" s="52">
        <f ca="1">+INDEX('Charges_NonSlice &amp; Excl LS'!$Y$4:$Y$137,MATCH($A15,'Charges_NonSlice &amp; Excl LS'!$AA$4:$AA$137,0),1)</f>
        <v>41.940101798337352</v>
      </c>
      <c r="Q15" s="37">
        <f ca="1">+INDEX('Charges_NonSlice &amp; Excl LS'!$X$4:$X$137,MATCH($A15,'Charges_NonSlice &amp; Excl LS'!$AA$4:$AA$137,0),1)/1000</f>
        <v>3.163807516416</v>
      </c>
      <c r="R15" s="37">
        <f ca="1">+SUM(Q$5:Q15)</f>
        <v>1529.3646239393281</v>
      </c>
      <c r="T15" t="str">
        <f ca="1">+INDEX(Charges_NonSlice!$C$4:$C$137,MATCH($A15,Charges_NonSlice!$AA$4:$AA$137,0),1)</f>
        <v>Umpqua Indian Utility Cooperative</v>
      </c>
      <c r="U15" s="55">
        <f t="shared" ca="1" si="0"/>
        <v>8.7539998750615577E-2</v>
      </c>
      <c r="V15" s="52">
        <f ca="1">+INDEX(Charges_NonSlice!$Y$4:$Y$137,MATCH($A15,Charges_NonSlice!$AA$4:$AA$137,0),1)</f>
        <v>37.663541711472106</v>
      </c>
      <c r="W15" s="269">
        <f t="shared" ca="1" si="1"/>
        <v>34.631868027604156</v>
      </c>
      <c r="Y15" s="57" t="s">
        <v>34</v>
      </c>
      <c r="Z15" s="58">
        <v>37.60296351703974</v>
      </c>
    </row>
    <row r="16" spans="1:26">
      <c r="A16">
        <f t="shared" si="2"/>
        <v>12</v>
      </c>
      <c r="B16" t="str">
        <f ca="1">+INDEX('Charges_Including Slice and LS'!$C$4:$C$137,MATCH($A16,'Charges_Including Slice and LS'!$AA$4:$AA$137,0),1)</f>
        <v>Whatcom County PUD #1</v>
      </c>
      <c r="C16" s="55">
        <f ca="1">+INDEX('Charges_Including Slice and LS'!$Z$4:$Z$137,MATCH($A16,'Charges_Including Slice and LS'!$AA$4:$AA$137,0),1)</f>
        <v>0.12185049351392679</v>
      </c>
      <c r="D16" s="52">
        <f ca="1">+INDEX('Charges_Including Slice and LS'!$Y$4:$Y$137,MATCH($A16,'Charges_Including Slice and LS'!$AA$4:$AA$137,0),1)</f>
        <v>36.616204117505823</v>
      </c>
      <c r="E16" s="37">
        <f ca="1">+INDEX('Charges_Including Slice and LS'!$X$4:$X$137,MATCH($A16,'Charges_Including Slice and LS'!$AA$4:$AA$137,0),1)/1000</f>
        <v>236.40611999999999</v>
      </c>
      <c r="F16" s="37">
        <f ca="1">+SUM(E$5:E16)</f>
        <v>2479.3048674593924</v>
      </c>
      <c r="H16" t="str">
        <f ca="1">+INDEX(Charges_NonSlice!$C$4:$C$137,MATCH($A16,Charges_NonSlice!$AA$4:$AA$137,0),1)</f>
        <v>Tacoma Public Utilities</v>
      </c>
      <c r="I16" s="55">
        <f ca="1">+INDEX(Charges_NonSlice!$Z$4:$Z$137,MATCH($A16,Charges_NonSlice!$AA$4:$AA$137,0),1)</f>
        <v>0.12657675006353228</v>
      </c>
      <c r="J16" s="52">
        <f ca="1">+INDEX(Charges_NonSlice!$Y$4:$Y$137,MATCH($A16,Charges_NonSlice!$AA$4:$AA$137,0),1)</f>
        <v>35.656250195343993</v>
      </c>
      <c r="K16" s="37">
        <f ca="1">+INDEX(Charges_NonSlice!$X$4:$X$137,MATCH($A16,Charges_NonSlice!$AA$4:$AA$137,0),1)/1000</f>
        <v>1098.055125801282</v>
      </c>
      <c r="L16" s="37">
        <f ca="1">+SUM(K$5:K16)</f>
        <v>5589.1035357073706</v>
      </c>
      <c r="N16" t="str">
        <f ca="1">+INDEX('Charges_NonSlice &amp; Excl LS'!$C$4:$C$137,MATCH($A16,'Charges_NonSlice &amp; Excl LS'!$AA$4:$AA$137,0),1)</f>
        <v>U.S. Airforce Base, Fairchild</v>
      </c>
      <c r="O16" s="55">
        <f ca="1">+INDEX('Charges_NonSlice &amp; Excl LS'!$Z$4:$Z$137,MATCH($A16,'Charges_NonSlice &amp; Excl LS'!$AA$4:$AA$137,0),1)</f>
        <v>0.1012532597422794</v>
      </c>
      <c r="P16" s="52">
        <f ca="1">+INDEX('Charges_NonSlice &amp; Excl LS'!$Y$4:$Y$137,MATCH($A16,'Charges_NonSlice &amp; Excl LS'!$AA$4:$AA$137,0),1)</f>
        <v>40.372783389290298</v>
      </c>
      <c r="Q16" s="37">
        <f ca="1">+INDEX('Charges_NonSlice &amp; Excl LS'!$X$4:$X$137,MATCH($A16,'Charges_NonSlice &amp; Excl LS'!$AA$4:$AA$137,0),1)/1000</f>
        <v>45.694597929023999</v>
      </c>
      <c r="R16" s="37">
        <f ca="1">+SUM(Q$5:Q16)</f>
        <v>1575.0592218683521</v>
      </c>
      <c r="T16" t="str">
        <f ca="1">+INDEX(Charges_NonSlice!$C$4:$C$137,MATCH($A16,Charges_NonSlice!$AA$4:$AA$137,0),1)</f>
        <v>Tacoma Public Utilities</v>
      </c>
      <c r="U16" s="55">
        <f t="shared" ca="1" si="0"/>
        <v>7.1777191367313087E-2</v>
      </c>
      <c r="V16" s="52">
        <f ca="1">+INDEX(Charges_NonSlice!$Y$4:$Y$137,MATCH($A16,Charges_NonSlice!$AA$4:$AA$137,0),1)</f>
        <v>35.656250195343993</v>
      </c>
      <c r="W16" s="269">
        <f t="shared" ca="1" si="1"/>
        <v>33.26834204211395</v>
      </c>
      <c r="Y16" s="57" t="s">
        <v>51</v>
      </c>
      <c r="Z16" s="58">
        <v>26.332535113418015</v>
      </c>
    </row>
    <row r="17" spans="1:26">
      <c r="A17">
        <f t="shared" si="2"/>
        <v>13</v>
      </c>
      <c r="B17" t="str">
        <f ca="1">+INDEX('Charges_Including Slice and LS'!$C$4:$C$137,MATCH($A17,'Charges_Including Slice and LS'!$AA$4:$AA$137,0),1)</f>
        <v>Port of Seattle - SETAC In'tl. Airport</v>
      </c>
      <c r="C17" s="55">
        <f ca="1">+INDEX('Charges_Including Slice and LS'!$Z$4:$Z$137,MATCH($A17,'Charges_Including Slice and LS'!$AA$4:$AA$137,0),1)</f>
        <v>0.12078534613704164</v>
      </c>
      <c r="D17" s="52">
        <f ca="1">+INDEX('Charges_Including Slice and LS'!$Y$4:$Y$137,MATCH($A17,'Charges_Including Slice and LS'!$AA$4:$AA$137,0),1)</f>
        <v>37.492238225288567</v>
      </c>
      <c r="E17" s="37">
        <f ca="1">+INDEX('Charges_Including Slice and LS'!$X$4:$X$137,MATCH($A17,'Charges_Including Slice and LS'!$AA$4:$AA$137,0),1)/1000</f>
        <v>147.4503327037705</v>
      </c>
      <c r="F17" s="37">
        <f ca="1">+SUM(E$5:E17)</f>
        <v>2626.755200163163</v>
      </c>
      <c r="H17" t="str">
        <f ca="1">+INDEX(Charges_NonSlice!$C$4:$C$137,MATCH($A17,Charges_NonSlice!$AA$4:$AA$137,0),1)</f>
        <v>Asotin County PUD #1</v>
      </c>
      <c r="I17" s="55">
        <f ca="1">+INDEX(Charges_NonSlice!$Z$4:$Z$137,MATCH($A17,Charges_NonSlice!$AA$4:$AA$137,0),1)</f>
        <v>0.12596775009091263</v>
      </c>
      <c r="J17" s="52">
        <f ca="1">+INDEX(Charges_NonSlice!$Y$4:$Y$137,MATCH($A17,Charges_NonSlice!$AA$4:$AA$137,0),1)</f>
        <v>43.909131573570249</v>
      </c>
      <c r="K17" s="37">
        <f ca="1">+INDEX(Charges_NonSlice!$X$4:$X$137,MATCH($A17,Charges_NonSlice!$AA$4:$AA$137,0),1)/1000</f>
        <v>5.0545199999999992</v>
      </c>
      <c r="L17" s="37">
        <f ca="1">+SUM(K$5:K17)</f>
        <v>5594.1580557073703</v>
      </c>
      <c r="N17" t="str">
        <f ca="1">+INDEX('Charges_NonSlice &amp; Excl LS'!$C$4:$C$137,MATCH($A17,'Charges_NonSlice &amp; Excl LS'!$AA$4:$AA$137,0),1)</f>
        <v>Northern Wasco County PUD</v>
      </c>
      <c r="O17" s="55">
        <f ca="1">+INDEX('Charges_NonSlice &amp; Excl LS'!$Z$4:$Z$137,MATCH($A17,'Charges_NonSlice &amp; Excl LS'!$AA$4:$AA$137,0),1)</f>
        <v>0.10042345206387672</v>
      </c>
      <c r="P17" s="52">
        <f ca="1">+INDEX('Charges_NonSlice &amp; Excl LS'!$Y$4:$Y$137,MATCH($A17,'Charges_NonSlice &amp; Excl LS'!$AA$4:$AA$137,0),1)</f>
        <v>39.544992759633502</v>
      </c>
      <c r="Q17" s="37">
        <f ca="1">+INDEX('Charges_NonSlice &amp; Excl LS'!$X$4:$X$137,MATCH($A17,'Charges_NonSlice &amp; Excl LS'!$AA$4:$AA$137,0),1)/1000</f>
        <v>570.60638711424008</v>
      </c>
      <c r="R17" s="37">
        <f ca="1">+SUM(Q$5:Q17)</f>
        <v>2145.6656089825919</v>
      </c>
      <c r="T17" t="str">
        <f ca="1">+INDEX(Charges_NonSlice!$C$4:$C$137,MATCH($A17,Charges_NonSlice!$AA$4:$AA$137,0),1)</f>
        <v>Asotin County PUD #1</v>
      </c>
      <c r="U17" s="55">
        <f t="shared" ca="1" si="0"/>
        <v>0.11097917451949879</v>
      </c>
      <c r="V17" s="52">
        <f ca="1">+INDEX(Charges_NonSlice!$Y$4:$Y$137,MATCH($A17,Charges_NonSlice!$AA$4:$AA$137,0),1)</f>
        <v>43.909131573570249</v>
      </c>
      <c r="W17" s="269">
        <f t="shared" ca="1" si="1"/>
        <v>39.522911482621673</v>
      </c>
      <c r="Y17" s="57" t="s">
        <v>136</v>
      </c>
      <c r="Z17" s="58">
        <v>36.68192819952089</v>
      </c>
    </row>
    <row r="18" spans="1:26">
      <c r="A18">
        <f t="shared" si="2"/>
        <v>14</v>
      </c>
      <c r="B18" t="str">
        <f ca="1">+INDEX('Charges_Including Slice and LS'!$C$4:$C$137,MATCH($A18,'Charges_Including Slice and LS'!$AA$4:$AA$137,0),1)</f>
        <v>Consolidated Irrigation District #19</v>
      </c>
      <c r="C18" s="55">
        <f ca="1">+INDEX('Charges_Including Slice and LS'!$Z$4:$Z$137,MATCH($A18,'Charges_Including Slice and LS'!$AA$4:$AA$137,0),1)</f>
        <v>0.12031304184898632</v>
      </c>
      <c r="D18" s="52">
        <f ca="1">+INDEX('Charges_Including Slice and LS'!$Y$4:$Y$137,MATCH($A18,'Charges_Including Slice and LS'!$AA$4:$AA$137,0),1)</f>
        <v>62.400318241853107</v>
      </c>
      <c r="E18" s="37">
        <f ca="1">+INDEX('Charges_Including Slice and LS'!$X$4:$X$137,MATCH($A18,'Charges_Including Slice and LS'!$AA$4:$AA$137,0),1)/1000</f>
        <v>2.00604</v>
      </c>
      <c r="F18" s="37">
        <f ca="1">+SUM(E$5:E18)</f>
        <v>2628.7612401631632</v>
      </c>
      <c r="H18" t="str">
        <f ca="1">+INDEX(Charges_NonSlice!$C$4:$C$137,MATCH($A18,Charges_NonSlice!$AA$4:$AA$137,0),1)</f>
        <v>Eugene Water &amp; Electric Board</v>
      </c>
      <c r="I18" s="55">
        <f ca="1">+INDEX(Charges_NonSlice!$Z$4:$Z$137,MATCH($A18,Charges_NonSlice!$AA$4:$AA$137,0),1)</f>
        <v>0.1255185404620405</v>
      </c>
      <c r="J18" s="52">
        <f ca="1">+INDEX(Charges_NonSlice!$Y$4:$Y$137,MATCH($A18,Charges_NonSlice!$AA$4:$AA$137,0),1)</f>
        <v>36.582721534648549</v>
      </c>
      <c r="K18" s="37">
        <f ca="1">+INDEX(Charges_NonSlice!$X$4:$X$137,MATCH($A18,Charges_NonSlice!$AA$4:$AA$137,0),1)/1000</f>
        <v>1066.1395143174527</v>
      </c>
      <c r="L18" s="37">
        <f ca="1">+SUM(K$5:K18)</f>
        <v>6660.2975700248226</v>
      </c>
      <c r="N18" t="str">
        <f ca="1">+INDEX('Charges_NonSlice &amp; Excl LS'!$C$4:$C$137,MATCH($A18,'Charges_NonSlice &amp; Excl LS'!$AA$4:$AA$137,0),1)</f>
        <v>Yakama Power</v>
      </c>
      <c r="O18" s="55">
        <f ca="1">+INDEX('Charges_NonSlice &amp; Excl LS'!$Z$4:$Z$137,MATCH($A18,'Charges_NonSlice &amp; Excl LS'!$AA$4:$AA$137,0),1)</f>
        <v>0.10003208617423563</v>
      </c>
      <c r="P18" s="52">
        <f ca="1">+INDEX('Charges_NonSlice &amp; Excl LS'!$Y$4:$Y$137,MATCH($A18,'Charges_NonSlice &amp; Excl LS'!$AA$4:$AA$137,0),1)</f>
        <v>33.826973175308943</v>
      </c>
      <c r="Q18" s="37">
        <f ca="1">+INDEX('Charges_NonSlice &amp; Excl LS'!$X$4:$X$137,MATCH($A18,'Charges_NonSlice &amp; Excl LS'!$AA$4:$AA$137,0),1)/1000</f>
        <v>164.785793458368</v>
      </c>
      <c r="R18" s="37">
        <f ca="1">+SUM(Q$5:Q18)</f>
        <v>2310.45140244096</v>
      </c>
      <c r="T18" t="str">
        <f ca="1">+INDEX(Charges_NonSlice!$C$4:$C$137,MATCH($A18,Charges_NonSlice!$AA$4:$AA$137,0),1)</f>
        <v>Eugene Water &amp; Electric Board</v>
      </c>
      <c r="U18" s="55">
        <f t="shared" ca="1" si="0"/>
        <v>7.550810238860306E-2</v>
      </c>
      <c r="V18" s="52">
        <f ca="1">+INDEX(Charges_NonSlice!$Y$4:$Y$137,MATCH($A18,Charges_NonSlice!$AA$4:$AA$137,0),1)</f>
        <v>36.582721534648549</v>
      </c>
      <c r="W18" s="269">
        <f t="shared" ca="1" si="1"/>
        <v>34.014361633726182</v>
      </c>
      <c r="Y18" s="57" t="s">
        <v>57</v>
      </c>
      <c r="Z18" s="58">
        <v>32.762245991353382</v>
      </c>
    </row>
    <row r="19" spans="1:26">
      <c r="A19">
        <f t="shared" si="2"/>
        <v>15</v>
      </c>
      <c r="B19" t="str">
        <f ca="1">+INDEX('Charges_Including Slice and LS'!$C$4:$C$137,MATCH($A19,'Charges_Including Slice and LS'!$AA$4:$AA$137,0),1)</f>
        <v>Salmon River Elec Coop</v>
      </c>
      <c r="C19" s="55">
        <f ca="1">+INDEX('Charges_Including Slice and LS'!$Z$4:$Z$137,MATCH($A19,'Charges_Including Slice and LS'!$AA$4:$AA$137,0),1)</f>
        <v>0.11703750143315728</v>
      </c>
      <c r="D19" s="52">
        <f ca="1">+INDEX('Charges_Including Slice and LS'!$Y$4:$Y$137,MATCH($A19,'Charges_Including Slice and LS'!$AA$4:$AA$137,0),1)</f>
        <v>31.908433118908462</v>
      </c>
      <c r="E19" s="37">
        <f ca="1">+INDEX('Charges_Including Slice and LS'!$X$4:$X$137,MATCH($A19,'Charges_Including Slice and LS'!$AA$4:$AA$137,0),1)/1000</f>
        <v>103.03584508216174</v>
      </c>
      <c r="F19" s="37">
        <f ca="1">+SUM(E$5:E19)</f>
        <v>2731.797085245325</v>
      </c>
      <c r="H19" t="str">
        <f ca="1">+INDEX(Charges_NonSlice!$C$4:$C$137,MATCH($A19,Charges_NonSlice!$AA$4:$AA$137,0),1)</f>
        <v>U.S. Naval Station, Everett (Jim Creek)</v>
      </c>
      <c r="I19" s="55">
        <f ca="1">+INDEX(Charges_NonSlice!$Z$4:$Z$137,MATCH($A19,Charges_NonSlice!$AA$4:$AA$137,0),1)</f>
        <v>0.12421495147149068</v>
      </c>
      <c r="J19" s="52">
        <f ca="1">+INDEX(Charges_NonSlice!$Y$4:$Y$137,MATCH($A19,Charges_NonSlice!$AA$4:$AA$137,0),1)</f>
        <v>37.825447006388906</v>
      </c>
      <c r="K19" s="37">
        <f ca="1">+INDEX(Charges_NonSlice!$X$4:$X$137,MATCH($A19,Charges_NonSlice!$AA$4:$AA$137,0),1)/1000</f>
        <v>13.455360000000001</v>
      </c>
      <c r="L19" s="37">
        <f ca="1">+SUM(K$5:K19)</f>
        <v>6673.7529300248225</v>
      </c>
      <c r="N19" t="str">
        <f ca="1">+INDEX('Charges_NonSlice &amp; Excl LS'!$C$4:$C$137,MATCH($A19,'Charges_NonSlice &amp; Excl LS'!$AA$4:$AA$137,0),1)</f>
        <v>Vigilante Elec Coop</v>
      </c>
      <c r="O19" s="55">
        <f ca="1">+INDEX('Charges_NonSlice &amp; Excl LS'!$Z$4:$Z$137,MATCH($A19,'Charges_NonSlice &amp; Excl LS'!$AA$4:$AA$137,0),1)</f>
        <v>9.9997258283852808E-2</v>
      </c>
      <c r="P19" s="52">
        <f ca="1">+INDEX('Charges_NonSlice &amp; Excl LS'!$Y$4:$Y$137,MATCH($A19,'Charges_NonSlice &amp; Excl LS'!$AA$4:$AA$137,0),1)</f>
        <v>32.805710294119308</v>
      </c>
      <c r="Q19" s="37">
        <f ca="1">+INDEX('Charges_NonSlice &amp; Excl LS'!$X$4:$X$137,MATCH($A19,'Charges_NonSlice &amp; Excl LS'!$AA$4:$AA$137,0),1)/1000</f>
        <v>168.74678082144001</v>
      </c>
      <c r="R19" s="37">
        <f ca="1">+SUM(Q$5:Q19)</f>
        <v>2479.1981832624001</v>
      </c>
      <c r="T19" t="str">
        <f ca="1">+INDEX(Charges_NonSlice!$C$4:$C$137,MATCH($A19,Charges_NonSlice!$AA$4:$AA$137,0),1)</f>
        <v>U.S. Naval Station, Everett (Jim Creek)</v>
      </c>
      <c r="U19" s="55">
        <f t="shared" ca="1" si="0"/>
        <v>9.5673895315044888E-2</v>
      </c>
      <c r="V19" s="52">
        <f ca="1">+INDEX(Charges_NonSlice!$Y$4:$Y$137,MATCH($A19,Charges_NonSlice!$AA$4:$AA$137,0),1)</f>
        <v>37.825447006388906</v>
      </c>
      <c r="W19" s="269">
        <f t="shared" ca="1" si="1"/>
        <v>34.522541029886227</v>
      </c>
      <c r="Y19" s="57" t="s">
        <v>113</v>
      </c>
      <c r="Z19" s="58">
        <v>29.191269744672471</v>
      </c>
    </row>
    <row r="20" spans="1:26">
      <c r="A20">
        <f t="shared" si="2"/>
        <v>16</v>
      </c>
      <c r="B20" t="str">
        <f ca="1">+INDEX('Charges_Including Slice and LS'!$C$4:$C$137,MATCH($A20,'Charges_Including Slice and LS'!$AA$4:$AA$137,0),1)</f>
        <v>Heyburn, City of</v>
      </c>
      <c r="C20" s="55">
        <f ca="1">+INDEX('Charges_Including Slice and LS'!$Z$4:$Z$137,MATCH($A20,'Charges_Including Slice and LS'!$AA$4:$AA$137,0),1)</f>
        <v>0.11518072601635282</v>
      </c>
      <c r="D20" s="52">
        <f ca="1">+INDEX('Charges_Including Slice and LS'!$Y$4:$Y$137,MATCH($A20,'Charges_Including Slice and LS'!$AA$4:$AA$137,0),1)</f>
        <v>38.931906169780447</v>
      </c>
      <c r="E20" s="37">
        <f ca="1">+INDEX('Charges_Including Slice and LS'!$X$4:$X$137,MATCH($A20,'Charges_Including Slice and LS'!$AA$4:$AA$137,0),1)/1000</f>
        <v>42.441147505435943</v>
      </c>
      <c r="F20" s="37">
        <f ca="1">+SUM(E$5:E20)</f>
        <v>2774.2382327507607</v>
      </c>
      <c r="H20" t="str">
        <f ca="1">+INDEX(Charges_NonSlice!$C$4:$C$137,MATCH($A20,Charges_NonSlice!$AA$4:$AA$137,0),1)</f>
        <v>Big Bend Elec Coop</v>
      </c>
      <c r="I20" s="55">
        <f ca="1">+INDEX(Charges_NonSlice!$Z$4:$Z$137,MATCH($A20,Charges_NonSlice!$AA$4:$AA$137,0),1)</f>
        <v>0.12415688913065331</v>
      </c>
      <c r="J20" s="52">
        <f ca="1">+INDEX(Charges_NonSlice!$Y$4:$Y$137,MATCH($A20,Charges_NonSlice!$AA$4:$AA$137,0),1)</f>
        <v>29.210455374175169</v>
      </c>
      <c r="K20" s="37">
        <f ca="1">+INDEX(Charges_NonSlice!$X$4:$X$137,MATCH($A20,Charges_NonSlice!$AA$4:$AA$137,0),1)/1000</f>
        <v>539.15171999999995</v>
      </c>
      <c r="L20" s="37">
        <f ca="1">+SUM(K$5:K20)</f>
        <v>7212.9046500248223</v>
      </c>
      <c r="N20" t="str">
        <f ca="1">+INDEX('Charges_NonSlice &amp; Excl LS'!$C$4:$C$137,MATCH($A20,'Charges_NonSlice &amp; Excl LS'!$AA$4:$AA$137,0),1)</f>
        <v>Missoula Elec Coop</v>
      </c>
      <c r="O20" s="55">
        <f ca="1">+INDEX('Charges_NonSlice &amp; Excl LS'!$Z$4:$Z$137,MATCH($A20,'Charges_NonSlice &amp; Excl LS'!$AA$4:$AA$137,0),1)</f>
        <v>9.9747257403790382E-2</v>
      </c>
      <c r="P20" s="52">
        <f ca="1">+INDEX('Charges_NonSlice &amp; Excl LS'!$Y$4:$Y$137,MATCH($A20,'Charges_NonSlice &amp; Excl LS'!$AA$4:$AA$137,0),1)</f>
        <v>36.010544491408908</v>
      </c>
      <c r="Q20" s="37">
        <f ca="1">+INDEX('Charges_NonSlice &amp; Excl LS'!$X$4:$X$137,MATCH($A20,'Charges_NonSlice &amp; Excl LS'!$AA$4:$AA$137,0),1)/1000</f>
        <v>237.75266129760001</v>
      </c>
      <c r="R20" s="37">
        <f ca="1">+SUM(Q$5:Q20)</f>
        <v>2716.95084456</v>
      </c>
      <c r="T20" t="str">
        <f ca="1">+INDEX(Charges_NonSlice!$C$4:$C$137,MATCH($A20,Charges_NonSlice!$AA$4:$AA$137,0),1)</f>
        <v>Big Bend Elec Coop</v>
      </c>
      <c r="U20" s="55">
        <f t="shared" ca="1" si="0"/>
        <v>5.9132340260163341E-2</v>
      </c>
      <c r="V20" s="52">
        <f ca="1">+INDEX(Charges_NonSlice!$Y$4:$Y$137,MATCH($A20,Charges_NonSlice!$AA$4:$AA$137,0),1)</f>
        <v>29.210455374175169</v>
      </c>
      <c r="W20" s="269">
        <f t="shared" ca="1" si="1"/>
        <v>27.5796085756384</v>
      </c>
      <c r="Y20" s="57" t="s">
        <v>73</v>
      </c>
      <c r="Z20" s="58">
        <v>37.145627359910733</v>
      </c>
    </row>
    <row r="21" spans="1:26">
      <c r="A21">
        <f t="shared" si="2"/>
        <v>17</v>
      </c>
      <c r="B21" t="str">
        <f ca="1">+INDEX('Charges_Including Slice and LS'!$C$4:$C$137,MATCH($A21,'Charges_Including Slice and LS'!$AA$4:$AA$137,0),1)</f>
        <v>Central Lincoln PUD</v>
      </c>
      <c r="C21" s="55">
        <f ca="1">+INDEX('Charges_Including Slice and LS'!$Z$4:$Z$137,MATCH($A21,'Charges_Including Slice and LS'!$AA$4:$AA$137,0),1)</f>
        <v>0.11457098766129342</v>
      </c>
      <c r="D21" s="52">
        <f ca="1">+INDEX('Charges_Including Slice and LS'!$Y$4:$Y$137,MATCH($A21,'Charges_Including Slice and LS'!$AA$4:$AA$137,0),1)</f>
        <v>37.28454839549493</v>
      </c>
      <c r="E21" s="37">
        <f ca="1">+INDEX('Charges_Including Slice and LS'!$X$4:$X$137,MATCH($A21,'Charges_Including Slice and LS'!$AA$4:$AA$137,0),1)/1000</f>
        <v>1327.3130343512132</v>
      </c>
      <c r="F21" s="37">
        <f ca="1">+SUM(E$5:E21)</f>
        <v>4101.5512671019742</v>
      </c>
      <c r="H21" t="str">
        <f ca="1">+INDEX(Charges_NonSlice!$C$4:$C$137,MATCH($A21,Charges_NonSlice!$AA$4:$AA$137,0),1)</f>
        <v>Soda Springs, City of</v>
      </c>
      <c r="I21" s="55">
        <f ca="1">+INDEX(Charges_NonSlice!$Z$4:$Z$137,MATCH($A21,Charges_NonSlice!$AA$4:$AA$137,0),1)</f>
        <v>0.12277804558954049</v>
      </c>
      <c r="J21" s="52">
        <f ca="1">+INDEX(Charges_NonSlice!$Y$4:$Y$137,MATCH($A21,Charges_NonSlice!$AA$4:$AA$137,0),1)</f>
        <v>38.787935945824159</v>
      </c>
      <c r="K21" s="37">
        <f ca="1">+INDEX(Charges_NonSlice!$X$4:$X$137,MATCH($A21,Charges_NonSlice!$AA$4:$AA$137,0),1)/1000</f>
        <v>24.420535441498796</v>
      </c>
      <c r="L21" s="37">
        <f ca="1">+SUM(K$5:K21)</f>
        <v>7237.3251854663213</v>
      </c>
      <c r="N21" t="str">
        <f ca="1">+INDEX('Charges_NonSlice &amp; Excl LS'!$C$4:$C$137,MATCH($A21,'Charges_NonSlice &amp; Excl LS'!$AA$4:$AA$137,0),1)</f>
        <v>Wasco Elec Coop</v>
      </c>
      <c r="O21" s="55">
        <f ca="1">+INDEX('Charges_NonSlice &amp; Excl LS'!$Z$4:$Z$137,MATCH($A21,'Charges_NonSlice &amp; Excl LS'!$AA$4:$AA$137,0),1)</f>
        <v>9.973197859740697E-2</v>
      </c>
      <c r="P21" s="52">
        <f ca="1">+INDEX('Charges_NonSlice &amp; Excl LS'!$Y$4:$Y$137,MATCH($A21,'Charges_NonSlice &amp; Excl LS'!$AA$4:$AA$137,0),1)</f>
        <v>35.787983901552579</v>
      </c>
      <c r="Q21" s="37">
        <f ca="1">+INDEX('Charges_NonSlice &amp; Excl LS'!$X$4:$X$137,MATCH($A21,'Charges_NonSlice &amp; Excl LS'!$AA$4:$AA$137,0),1)/1000</f>
        <v>114.91222930195201</v>
      </c>
      <c r="R21" s="37">
        <f ca="1">+SUM(Q$5:Q21)</f>
        <v>2831.8630738619518</v>
      </c>
      <c r="T21" t="str">
        <f ca="1">+INDEX(Charges_NonSlice!$C$4:$C$137,MATCH($A21,Charges_NonSlice!$AA$4:$AA$137,0),1)</f>
        <v>Soda Springs, City of</v>
      </c>
      <c r="U21" s="55">
        <f t="shared" ca="1" si="0"/>
        <v>7.3459345799913534E-2</v>
      </c>
      <c r="V21" s="52">
        <f ca="1">+INDEX(Charges_NonSlice!$Y$4:$Y$137,MATCH($A21,Charges_NonSlice!$AA$4:$AA$137,0),1)</f>
        <v>38.787935945824159</v>
      </c>
      <c r="W21" s="269">
        <f t="shared" ca="1" si="1"/>
        <v>36.133586332438526</v>
      </c>
      <c r="Y21" s="57" t="s">
        <v>17</v>
      </c>
      <c r="Z21" s="58">
        <v>35.521317651818784</v>
      </c>
    </row>
    <row r="22" spans="1:26">
      <c r="A22">
        <f t="shared" si="2"/>
        <v>18</v>
      </c>
      <c r="B22" t="str">
        <f ca="1">+INDEX('Charges_Including Slice and LS'!$C$4:$C$137,MATCH($A22,'Charges_Including Slice and LS'!$AA$4:$AA$137,0),1)</f>
        <v>Southside Elec Lines</v>
      </c>
      <c r="C22" s="55">
        <f ca="1">+INDEX('Charges_Including Slice and LS'!$Z$4:$Z$137,MATCH($A22,'Charges_Including Slice and LS'!$AA$4:$AA$137,0),1)</f>
        <v>0.11415240552875666</v>
      </c>
      <c r="D22" s="52">
        <f ca="1">+INDEX('Charges_Including Slice and LS'!$Y$4:$Y$137,MATCH($A22,'Charges_Including Slice and LS'!$AA$4:$AA$137,0),1)</f>
        <v>31.913576184753342</v>
      </c>
      <c r="E22" s="37">
        <f ca="1">+INDEX('Charges_Including Slice and LS'!$X$4:$X$137,MATCH($A22,'Charges_Including Slice and LS'!$AA$4:$AA$137,0),1)/1000</f>
        <v>59.60304</v>
      </c>
      <c r="F22" s="37">
        <f ca="1">+SUM(E$5:E22)</f>
        <v>4161.1543071019742</v>
      </c>
      <c r="H22" t="str">
        <f ca="1">+INDEX(Charges_NonSlice!$C$4:$C$137,MATCH($A22,Charges_NonSlice!$AA$4:$AA$137,0),1)</f>
        <v>Whatcom County PUD #1</v>
      </c>
      <c r="I22" s="55">
        <f ca="1">+INDEX(Charges_NonSlice!$Z$4:$Z$137,MATCH($A22,Charges_NonSlice!$AA$4:$AA$137,0),1)</f>
        <v>0.12184846521501415</v>
      </c>
      <c r="J22" s="52">
        <f ca="1">+INDEX(Charges_NonSlice!$Y$4:$Y$137,MATCH($A22,Charges_NonSlice!$AA$4:$AA$137,0),1)</f>
        <v>36.616732868622755</v>
      </c>
      <c r="K22" s="37">
        <f ca="1">+INDEX(Charges_NonSlice!$X$4:$X$137,MATCH($A22,Charges_NonSlice!$AA$4:$AA$137,0),1)/1000</f>
        <v>236.40611999999999</v>
      </c>
      <c r="L22" s="37">
        <f ca="1">+SUM(K$5:K22)</f>
        <v>7473.7313054663209</v>
      </c>
      <c r="N22" t="str">
        <f ca="1">+INDEX('Charges_NonSlice &amp; Excl LS'!$C$4:$C$137,MATCH($A22,'Charges_NonSlice &amp; Excl LS'!$AA$4:$AA$137,0),1)</f>
        <v>Columbia Power Coop</v>
      </c>
      <c r="O22" s="55">
        <f ca="1">+INDEX('Charges_NonSlice &amp; Excl LS'!$Z$4:$Z$137,MATCH($A22,'Charges_NonSlice &amp; Excl LS'!$AA$4:$AA$137,0),1)</f>
        <v>9.9685638889257105E-2</v>
      </c>
      <c r="P22" s="52">
        <f ca="1">+INDEX('Charges_NonSlice &amp; Excl LS'!$Y$4:$Y$137,MATCH($A22,'Charges_NonSlice &amp; Excl LS'!$AA$4:$AA$137,0),1)</f>
        <v>33.273647127618879</v>
      </c>
      <c r="Q22" s="37">
        <f ca="1">+INDEX('Charges_NonSlice &amp; Excl LS'!$X$4:$X$137,MATCH($A22,'Charges_NonSlice &amp; Excl LS'!$AA$4:$AA$137,0),1)/1000</f>
        <v>28.181553172799997</v>
      </c>
      <c r="R22" s="37">
        <f ca="1">+SUM(Q$5:Q22)</f>
        <v>2860.0446270347516</v>
      </c>
      <c r="T22" t="str">
        <f ca="1">+INDEX(Charges_NonSlice!$C$4:$C$137,MATCH($A22,Charges_NonSlice!$AA$4:$AA$137,0),1)</f>
        <v>Whatcom County PUD #1</v>
      </c>
      <c r="U22" s="55">
        <f t="shared" ca="1" si="0"/>
        <v>6.3205241421245173E-2</v>
      </c>
      <c r="V22" s="52">
        <f ca="1">+INDEX(Charges_NonSlice!$Y$4:$Y$137,MATCH($A22,Charges_NonSlice!$AA$4:$AA$137,0),1)</f>
        <v>36.616732868622755</v>
      </c>
      <c r="W22" s="269">
        <f t="shared" ca="1" si="1"/>
        <v>34.439947662104402</v>
      </c>
      <c r="Y22" s="57" t="s">
        <v>97</v>
      </c>
      <c r="Z22" s="58">
        <v>33.806875353979301</v>
      </c>
    </row>
    <row r="23" spans="1:26">
      <c r="A23">
        <f t="shared" si="2"/>
        <v>19</v>
      </c>
      <c r="B23" t="str">
        <f ca="1">+INDEX('Charges_Including Slice and LS'!$C$4:$C$137,MATCH($A23,'Charges_Including Slice and LS'!$AA$4:$AA$137,0),1)</f>
        <v>U.S. Naval Submarine Base, Bangor</v>
      </c>
      <c r="C23" s="55">
        <f ca="1">+INDEX('Charges_Including Slice and LS'!$Z$4:$Z$137,MATCH($A23,'Charges_Including Slice and LS'!$AA$4:$AA$137,0),1)</f>
        <v>0.11301648387783579</v>
      </c>
      <c r="D23" s="52">
        <f ca="1">+INDEX('Charges_Including Slice and LS'!$Y$4:$Y$137,MATCH($A23,'Charges_Including Slice and LS'!$AA$4:$AA$137,0),1)</f>
        <v>40.199464257714112</v>
      </c>
      <c r="E23" s="37">
        <f ca="1">+INDEX('Charges_Including Slice and LS'!$X$4:$X$137,MATCH($A23,'Charges_Including Slice and LS'!$AA$4:$AA$137,0),1)/1000</f>
        <v>179.91775162062197</v>
      </c>
      <c r="F23" s="37">
        <f ca="1">+SUM(E$5:E23)</f>
        <v>4341.072058722596</v>
      </c>
      <c r="H23" t="str">
        <f ca="1">+INDEX(Charges_NonSlice!$C$4:$C$137,MATCH($A23,Charges_NonSlice!$AA$4:$AA$137,0),1)</f>
        <v>Port of Seattle - SETAC In'tl. Airport</v>
      </c>
      <c r="I23" s="55">
        <f ca="1">+INDEX(Charges_NonSlice!$Z$4:$Z$137,MATCH($A23,Charges_NonSlice!$AA$4:$AA$137,0),1)</f>
        <v>0.12078216280681908</v>
      </c>
      <c r="J23" s="52">
        <f ca="1">+INDEX(Charges_NonSlice!$Y$4:$Y$137,MATCH($A23,Charges_NonSlice!$AA$4:$AA$137,0),1)</f>
        <v>37.49311987809746</v>
      </c>
      <c r="K23" s="37">
        <f ca="1">+INDEX(Charges_NonSlice!$X$4:$X$137,MATCH($A23,Charges_NonSlice!$AA$4:$AA$137,0),1)/1000</f>
        <v>147.4503327037705</v>
      </c>
      <c r="L23" s="37">
        <f ca="1">+SUM(K$5:K23)</f>
        <v>7621.181638170091</v>
      </c>
      <c r="N23" t="str">
        <f ca="1">+INDEX('Charges_NonSlice &amp; Excl LS'!$C$4:$C$137,MATCH($A23,'Charges_NonSlice &amp; Excl LS'!$AA$4:$AA$137,0),1)</f>
        <v>Cheney, City of</v>
      </c>
      <c r="O23" s="55">
        <f ca="1">+INDEX('Charges_NonSlice &amp; Excl LS'!$Z$4:$Z$137,MATCH($A23,'Charges_NonSlice &amp; Excl LS'!$AA$4:$AA$137,0),1)</f>
        <v>9.9381616769868897E-2</v>
      </c>
      <c r="P23" s="52">
        <f ca="1">+INDEX('Charges_NonSlice &amp; Excl LS'!$Y$4:$Y$137,MATCH($A23,'Charges_NonSlice &amp; Excl LS'!$AA$4:$AA$137,0),1)</f>
        <v>40.487233618102429</v>
      </c>
      <c r="Q23" s="37">
        <f ca="1">+INDEX('Charges_NonSlice &amp; Excl LS'!$X$4:$X$137,MATCH($A23,'Charges_NonSlice &amp; Excl LS'!$AA$4:$AA$137,0),1)/1000</f>
        <v>139.35700194355204</v>
      </c>
      <c r="R23" s="37">
        <f ca="1">+SUM(Q$5:Q23)</f>
        <v>2999.4016289783035</v>
      </c>
      <c r="T23" t="str">
        <f ca="1">+INDEX(Charges_NonSlice!$C$4:$C$137,MATCH($A23,Charges_NonSlice!$AA$4:$AA$137,0),1)</f>
        <v>Port of Seattle - SETAC In'tl. Airport</v>
      </c>
      <c r="U23" s="55">
        <f t="shared" ca="1" si="0"/>
        <v>7.6554964781091694E-2</v>
      </c>
      <c r="V23" s="52">
        <f ca="1">+INDEX(Charges_NonSlice!$Y$4:$Y$137,MATCH($A23,Charges_NonSlice!$AA$4:$AA$137,0),1)</f>
        <v>37.49311987809746</v>
      </c>
      <c r="W23" s="269">
        <f t="shared" ca="1" si="1"/>
        <v>34.826944377820382</v>
      </c>
      <c r="Y23" s="57" t="s">
        <v>89</v>
      </c>
      <c r="Z23" s="58">
        <v>35.335356918824949</v>
      </c>
    </row>
    <row r="24" spans="1:26">
      <c r="A24">
        <f t="shared" si="2"/>
        <v>20</v>
      </c>
      <c r="B24" t="str">
        <f ca="1">+INDEX('Charges_Including Slice and LS'!$C$4:$C$137,MATCH($A24,'Charges_Including Slice and LS'!$AA$4:$AA$137,0),1)</f>
        <v>Columbia REA</v>
      </c>
      <c r="C24" s="55">
        <f ca="1">+INDEX('Charges_Including Slice and LS'!$Z$4:$Z$137,MATCH($A24,'Charges_Including Slice and LS'!$AA$4:$AA$137,0),1)</f>
        <v>0.10686000796974711</v>
      </c>
      <c r="D24" s="52">
        <f ca="1">+INDEX('Charges_Including Slice and LS'!$Y$4:$Y$137,MATCH($A24,'Charges_Including Slice and LS'!$AA$4:$AA$137,0),1)</f>
        <v>29.018536040771696</v>
      </c>
      <c r="E24" s="37">
        <f ca="1">+INDEX('Charges_Including Slice and LS'!$X$4:$X$137,MATCH($A24,'Charges_Including Slice and LS'!$AA$4:$AA$137,0),1)/1000</f>
        <v>332.08934160342778</v>
      </c>
      <c r="F24" s="37">
        <f ca="1">+SUM(E$5:E24)</f>
        <v>4673.1614003260238</v>
      </c>
      <c r="H24" t="str">
        <f ca="1">+INDEX(Charges_NonSlice!$C$4:$C$137,MATCH($A24,Charges_NonSlice!$AA$4:$AA$137,0),1)</f>
        <v>Consolidated Irrigation District #19</v>
      </c>
      <c r="I24" s="55">
        <f ca="1">+INDEX(Charges_NonSlice!$Z$4:$Z$137,MATCH($A24,Charges_NonSlice!$AA$4:$AA$137,0),1)</f>
        <v>0.1202649583486317</v>
      </c>
      <c r="J24" s="52">
        <f ca="1">+INDEX(Charges_NonSlice!$Y$4:$Y$137,MATCH($A24,Charges_NonSlice!$AA$4:$AA$137,0),1)</f>
        <v>62.422252001897775</v>
      </c>
      <c r="K24" s="37">
        <f ca="1">+INDEX(Charges_NonSlice!$X$4:$X$137,MATCH($A24,Charges_NonSlice!$AA$4:$AA$137,0),1)/1000</f>
        <v>2.00604</v>
      </c>
      <c r="L24" s="37">
        <f ca="1">+SUM(K$5:K24)</f>
        <v>7623.1876781700912</v>
      </c>
      <c r="N24" t="str">
        <f ca="1">+INDEX('Charges_NonSlice &amp; Excl LS'!$C$4:$C$137,MATCH($A24,'Charges_NonSlice &amp; Excl LS'!$AA$4:$AA$137,0),1)</f>
        <v>Surprise Valley Elec Coop</v>
      </c>
      <c r="O24" s="55">
        <f ca="1">+INDEX('Charges_NonSlice &amp; Excl LS'!$Z$4:$Z$137,MATCH($A24,'Charges_NonSlice &amp; Excl LS'!$AA$4:$AA$137,0),1)</f>
        <v>9.9175183162631159E-2</v>
      </c>
      <c r="P24" s="52">
        <f ca="1">+INDEX('Charges_NonSlice &amp; Excl LS'!$Y$4:$Y$137,MATCH($A24,'Charges_NonSlice &amp; Excl LS'!$AA$4:$AA$137,0),1)</f>
        <v>30.533220833527245</v>
      </c>
      <c r="Q24" s="37">
        <f ca="1">+INDEX('Charges_NonSlice &amp; Excl LS'!$X$4:$X$137,MATCH($A24,'Charges_NonSlice &amp; Excl LS'!$AA$4:$AA$137,0),1)/1000</f>
        <v>144.77533371379201</v>
      </c>
      <c r="R24" s="37">
        <f ca="1">+SUM(Q$5:Q24)</f>
        <v>3144.1769626920955</v>
      </c>
      <c r="T24" t="str">
        <f ca="1">+INDEX(Charges_NonSlice!$C$4:$C$137,MATCH($A24,Charges_NonSlice!$AA$4:$AA$137,0),1)</f>
        <v>Consolidated Irrigation District #19</v>
      </c>
      <c r="U24" s="55">
        <f t="shared" ca="1" si="0"/>
        <v>0.90191904201710327</v>
      </c>
      <c r="V24" s="52">
        <f ca="1">+INDEX(Charges_NonSlice!$Y$4:$Y$137,MATCH($A24,Charges_NonSlice!$AA$4:$AA$137,0),1)</f>
        <v>62.422252001897775</v>
      </c>
      <c r="W24" s="269">
        <f t="shared" ca="1" si="1"/>
        <v>32.820667243383348</v>
      </c>
      <c r="Y24" s="57" t="s">
        <v>39</v>
      </c>
      <c r="Z24" s="58">
        <v>36.439888775859025</v>
      </c>
    </row>
    <row r="25" spans="1:26">
      <c r="A25">
        <f t="shared" si="2"/>
        <v>21</v>
      </c>
      <c r="B25" t="str">
        <f ca="1">+INDEX('Charges_Including Slice and LS'!$C$4:$C$137,MATCH($A25,'Charges_Including Slice and LS'!$AA$4:$AA$137,0),1)</f>
        <v>U.S. Airforce Base, Fairchild</v>
      </c>
      <c r="C25" s="55">
        <f ca="1">+INDEX('Charges_Including Slice and LS'!$Z$4:$Z$137,MATCH($A25,'Charges_Including Slice and LS'!$AA$4:$AA$137,0),1)</f>
        <v>0.10600122926526184</v>
      </c>
      <c r="D25" s="52">
        <f ca="1">+INDEX('Charges_Including Slice and LS'!$Y$4:$Y$137,MATCH($A25,'Charges_Including Slice and LS'!$AA$4:$AA$137,0),1)</f>
        <v>41.35886110485378</v>
      </c>
      <c r="E25" s="37">
        <f ca="1">+INDEX('Charges_Including Slice and LS'!$X$4:$X$137,MATCH($A25,'Charges_Including Slice and LS'!$AA$4:$AA$137,0),1)/1000</f>
        <v>45.691074697341669</v>
      </c>
      <c r="F25" s="37">
        <f ca="1">+SUM(E$5:E25)</f>
        <v>4718.8524750233655</v>
      </c>
      <c r="H25" t="str">
        <f ca="1">+INDEX(Charges_NonSlice!$C$4:$C$137,MATCH($A25,Charges_NonSlice!$AA$4:$AA$137,0),1)</f>
        <v>Idaho Falls Power</v>
      </c>
      <c r="I25" s="55">
        <f ca="1">+INDEX(Charges_NonSlice!$Z$4:$Z$137,MATCH($A25,Charges_NonSlice!$AA$4:$AA$137,0),1)</f>
        <v>0.11942286934140607</v>
      </c>
      <c r="J25" s="52">
        <f ca="1">+INDEX(Charges_NonSlice!$Y$4:$Y$137,MATCH($A25,Charges_NonSlice!$AA$4:$AA$137,0),1)</f>
        <v>35.977725013896617</v>
      </c>
      <c r="K25" s="37">
        <f ca="1">+INDEX(Charges_NonSlice!$X$4:$X$137,MATCH($A25,Charges_NonSlice!$AA$4:$AA$137,0),1)/1000</f>
        <v>360.25948538395437</v>
      </c>
      <c r="L25" s="37">
        <f ca="1">+SUM(K$5:K25)</f>
        <v>7983.4471635540458</v>
      </c>
      <c r="N25" t="str">
        <f ca="1">+INDEX('Charges_NonSlice &amp; Excl LS'!$C$4:$C$137,MATCH($A25,'Charges_NonSlice &amp; Excl LS'!$AA$4:$AA$137,0),1)</f>
        <v>Columbia REA</v>
      </c>
      <c r="O25" s="55">
        <f ca="1">+INDEX('Charges_NonSlice &amp; Excl LS'!$Z$4:$Z$137,MATCH($A25,'Charges_NonSlice &amp; Excl LS'!$AA$4:$AA$137,0),1)</f>
        <v>9.907727961758854E-2</v>
      </c>
      <c r="P25" s="52">
        <f ca="1">+INDEX('Charges_NonSlice &amp; Excl LS'!$Y$4:$Y$137,MATCH($A25,'Charges_NonSlice &amp; Excl LS'!$AA$4:$AA$137,0),1)</f>
        <v>29.237741701013586</v>
      </c>
      <c r="Q25" s="37">
        <f ca="1">+INDEX('Charges_NonSlice &amp; Excl LS'!$X$4:$X$137,MATCH($A25,'Charges_NonSlice &amp; Excl LS'!$AA$4:$AA$137,0),1)/1000</f>
        <v>332.09391377529602</v>
      </c>
      <c r="R25" s="37">
        <f ca="1">+SUM(Q$5:Q25)</f>
        <v>3476.2708764673916</v>
      </c>
      <c r="T25" t="str">
        <f ca="1">+INDEX(Charges_NonSlice!$C$4:$C$137,MATCH($A25,Charges_NonSlice!$AA$4:$AA$137,0),1)</f>
        <v>Idaho Falls Power</v>
      </c>
      <c r="U25" s="55">
        <f t="shared" ca="1" si="0"/>
        <v>6.9826824483178784E-2</v>
      </c>
      <c r="V25" s="52">
        <f ca="1">+INDEX(Charges_NonSlice!$Y$4:$Y$137,MATCH($A25,Charges_NonSlice!$AA$4:$AA$137,0),1)</f>
        <v>35.977725013896617</v>
      </c>
      <c r="W25" s="269">
        <f t="shared" ca="1" si="1"/>
        <v>33.629484876000419</v>
      </c>
      <c r="Y25" s="57" t="s">
        <v>138</v>
      </c>
      <c r="Z25" s="58">
        <v>35.826104013626043</v>
      </c>
    </row>
    <row r="26" spans="1:26">
      <c r="A26">
        <f t="shared" si="2"/>
        <v>22</v>
      </c>
      <c r="B26" t="str">
        <f ca="1">+INDEX('Charges_Including Slice and LS'!$C$4:$C$137,MATCH($A26,'Charges_Including Slice and LS'!$AA$4:$AA$137,0),1)</f>
        <v>Tillamook PUD #1</v>
      </c>
      <c r="C26" s="55">
        <f ca="1">+INDEX('Charges_Including Slice and LS'!$Z$4:$Z$137,MATCH($A26,'Charges_Including Slice and LS'!$AA$4:$AA$137,0),1)</f>
        <v>0.10575839199406002</v>
      </c>
      <c r="D26" s="52">
        <f ca="1">+INDEX('Charges_Including Slice and LS'!$Y$4:$Y$137,MATCH($A26,'Charges_Including Slice and LS'!$AA$4:$AA$137,0),1)</f>
        <v>38.10518063671379</v>
      </c>
      <c r="E26" s="37">
        <f ca="1">+INDEX('Charges_Including Slice and LS'!$X$4:$X$137,MATCH($A26,'Charges_Including Slice and LS'!$AA$4:$AA$137,0),1)/1000</f>
        <v>483.97763856932244</v>
      </c>
      <c r="F26" s="37">
        <f ca="1">+SUM(E$5:E26)</f>
        <v>5202.8301135926877</v>
      </c>
      <c r="H26" t="str">
        <f ca="1">+INDEX(Charges_NonSlice!$C$4:$C$137,MATCH($A26,Charges_NonSlice!$AA$4:$AA$137,0),1)</f>
        <v>Salmon River Elec Coop</v>
      </c>
      <c r="I26" s="55">
        <f ca="1">+INDEX(Charges_NonSlice!$Z$4:$Z$137,MATCH($A26,Charges_NonSlice!$AA$4:$AA$137,0),1)</f>
        <v>0.11703376644123523</v>
      </c>
      <c r="J26" s="52">
        <f ca="1">+INDEX(Charges_NonSlice!$Y$4:$Y$137,MATCH($A26,Charges_NonSlice!$AA$4:$AA$137,0),1)</f>
        <v>31.909344743401135</v>
      </c>
      <c r="K26" s="37">
        <f ca="1">+INDEX(Charges_NonSlice!$X$4:$X$137,MATCH($A26,Charges_NonSlice!$AA$4:$AA$137,0),1)/1000</f>
        <v>103.03584508216174</v>
      </c>
      <c r="L26" s="37">
        <f ca="1">+SUM(K$5:K26)</f>
        <v>8086.4830086362072</v>
      </c>
      <c r="N26" t="str">
        <f ca="1">+INDEX('Charges_NonSlice &amp; Excl LS'!$C$4:$C$137,MATCH($A26,'Charges_NonSlice &amp; Excl LS'!$AA$4:$AA$137,0),1)</f>
        <v>Hood River Elec Coop</v>
      </c>
      <c r="O26" s="55">
        <f ca="1">+INDEX('Charges_NonSlice &amp; Excl LS'!$Z$4:$Z$137,MATCH($A26,'Charges_NonSlice &amp; Excl LS'!$AA$4:$AA$137,0),1)</f>
        <v>9.888421723544831E-2</v>
      </c>
      <c r="P26" s="52">
        <f ca="1">+INDEX('Charges_NonSlice &amp; Excl LS'!$Y$4:$Y$137,MATCH($A26,'Charges_NonSlice &amp; Excl LS'!$AA$4:$AA$137,0),1)</f>
        <v>38.10243729303469</v>
      </c>
      <c r="Q26" s="37">
        <f ca="1">+INDEX('Charges_NonSlice &amp; Excl LS'!$X$4:$X$137,MATCH($A26,'Charges_NonSlice &amp; Excl LS'!$AA$4:$AA$137,0),1)/1000</f>
        <v>115.40423873856001</v>
      </c>
      <c r="R26" s="37">
        <f ca="1">+SUM(Q$5:Q26)</f>
        <v>3591.6751152059514</v>
      </c>
      <c r="T26" t="str">
        <f ca="1">+INDEX(Charges_NonSlice!$C$4:$C$137,MATCH($A26,Charges_NonSlice!$AA$4:$AA$137,0),1)</f>
        <v>Salmon River Elec Coop</v>
      </c>
      <c r="U26" s="55">
        <f t="shared" ca="1" si="0"/>
        <v>7.1911313824909673E-2</v>
      </c>
      <c r="V26" s="52">
        <f ca="1">+INDEX(Charges_NonSlice!$Y$4:$Y$137,MATCH($A26,Charges_NonSlice!$AA$4:$AA$137,0),1)</f>
        <v>31.909344743401135</v>
      </c>
      <c r="W26" s="269">
        <f t="shared" ca="1" si="1"/>
        <v>29.768642547058086</v>
      </c>
      <c r="Y26" s="57" t="s">
        <v>10</v>
      </c>
      <c r="Z26" s="58">
        <v>31.622231969445231</v>
      </c>
    </row>
    <row r="27" spans="1:26">
      <c r="A27">
        <f t="shared" si="2"/>
        <v>23</v>
      </c>
      <c r="B27" t="str">
        <f ca="1">+INDEX('Charges_Including Slice and LS'!$C$4:$C$137,MATCH($A27,'Charges_Including Slice and LS'!$AA$4:$AA$137,0),1)</f>
        <v>Port Angeles, City of</v>
      </c>
      <c r="C27" s="55">
        <f ca="1">+INDEX('Charges_Including Slice and LS'!$Z$4:$Z$137,MATCH($A27,'Charges_Including Slice and LS'!$AA$4:$AA$137,0),1)</f>
        <v>0.10553072843024687</v>
      </c>
      <c r="D27" s="52">
        <f ca="1">+INDEX('Charges_Including Slice and LS'!$Y$4:$Y$137,MATCH($A27,'Charges_Including Slice and LS'!$AA$4:$AA$137,0),1)</f>
        <v>35.921592459816083</v>
      </c>
      <c r="E27" s="37">
        <f ca="1">+INDEX('Charges_Including Slice and LS'!$X$4:$X$137,MATCH($A27,'Charges_Including Slice and LS'!$AA$4:$AA$137,0),1)/1000</f>
        <v>428.16958327494069</v>
      </c>
      <c r="F27" s="37">
        <f ca="1">+SUM(E$5:E27)</f>
        <v>5630.9996968676287</v>
      </c>
      <c r="H27" t="str">
        <f ca="1">+INDEX(Charges_NonSlice!$C$4:$C$137,MATCH($A27,Charges_NonSlice!$AA$4:$AA$137,0),1)</f>
        <v>Heyburn, City of</v>
      </c>
      <c r="I27" s="55">
        <f ca="1">+INDEX(Charges_NonSlice!$Z$4:$Z$137,MATCH($A27,Charges_NonSlice!$AA$4:$AA$137,0),1)</f>
        <v>0.11517767543718875</v>
      </c>
      <c r="J27" s="52">
        <f ca="1">+INDEX(Charges_NonSlice!$Y$4:$Y$137,MATCH($A27,Charges_NonSlice!$AA$4:$AA$137,0),1)</f>
        <v>38.932424534652583</v>
      </c>
      <c r="K27" s="37">
        <f ca="1">+INDEX(Charges_NonSlice!$X$4:$X$137,MATCH($A27,Charges_NonSlice!$AA$4:$AA$137,0),1)/1000</f>
        <v>42.441147505435943</v>
      </c>
      <c r="L27" s="37">
        <f ca="1">+SUM(K$5:K27)</f>
        <v>8128.9241561416429</v>
      </c>
      <c r="N27" t="str">
        <f ca="1">+INDEX('Charges_NonSlice &amp; Excl LS'!$C$4:$C$137,MATCH($A27,'Charges_NonSlice &amp; Excl LS'!$AA$4:$AA$137,0),1)</f>
        <v>East End Mutual Electric</v>
      </c>
      <c r="O27" s="55">
        <f ca="1">+INDEX('Charges_NonSlice &amp; Excl LS'!$Z$4:$Z$137,MATCH($A27,'Charges_NonSlice &amp; Excl LS'!$AA$4:$AA$137,0),1)</f>
        <v>9.8703888727411732E-2</v>
      </c>
      <c r="P27" s="52">
        <f ca="1">+INDEX('Charges_NonSlice &amp; Excl LS'!$Y$4:$Y$137,MATCH($A27,'Charges_NonSlice &amp; Excl LS'!$AA$4:$AA$137,0),1)</f>
        <v>35.722163306229909</v>
      </c>
      <c r="Q27" s="37">
        <f ca="1">+INDEX('Charges_NonSlice &amp; Excl LS'!$X$4:$X$137,MATCH($A27,'Charges_NonSlice &amp; Excl LS'!$AA$4:$AA$137,0),1)/1000</f>
        <v>23.672504665152005</v>
      </c>
      <c r="R27" s="37">
        <f ca="1">+SUM(Q$5:Q27)</f>
        <v>3615.3476198711032</v>
      </c>
      <c r="T27" t="str">
        <f ca="1">+INDEX(Charges_NonSlice!$C$4:$C$137,MATCH($A27,Charges_NonSlice!$AA$4:$AA$137,0),1)</f>
        <v>Heyburn, City of</v>
      </c>
      <c r="U27" s="55">
        <f t="shared" ca="1" si="0"/>
        <v>0.10771465379084777</v>
      </c>
      <c r="V27" s="52">
        <f ca="1">+INDEX(Charges_NonSlice!$Y$4:$Y$137,MATCH($A27,Charges_NonSlice!$AA$4:$AA$137,0),1)</f>
        <v>38.932424534652583</v>
      </c>
      <c r="W27" s="269">
        <f t="shared" ca="1" si="1"/>
        <v>35.146618672432567</v>
      </c>
      <c r="Y27" s="57" t="s">
        <v>108</v>
      </c>
      <c r="Z27" s="58">
        <v>37.011478017435863</v>
      </c>
    </row>
    <row r="28" spans="1:26">
      <c r="A28">
        <f t="shared" si="2"/>
        <v>24</v>
      </c>
      <c r="B28" t="str">
        <f ca="1">+INDEX('Charges_Including Slice and LS'!$C$4:$C$137,MATCH($A28,'Charges_Including Slice and LS'!$AA$4:$AA$137,0),1)</f>
        <v>Vigilante Elec Coop</v>
      </c>
      <c r="C28" s="55">
        <f ca="1">+INDEX('Charges_Including Slice and LS'!$Z$4:$Z$137,MATCH($A28,'Charges_Including Slice and LS'!$AA$4:$AA$137,0),1)</f>
        <v>0.10495553822437895</v>
      </c>
      <c r="D28" s="52">
        <f ca="1">+INDEX('Charges_Including Slice and LS'!$Y$4:$Y$137,MATCH($A28,'Charges_Including Slice and LS'!$AA$4:$AA$137,0),1)</f>
        <v>33.605791043993491</v>
      </c>
      <c r="E28" s="37">
        <f ca="1">+INDEX('Charges_Including Slice and LS'!$X$4:$X$137,MATCH($A28,'Charges_Including Slice and LS'!$AA$4:$AA$137,0),1)/1000</f>
        <v>168.74337696108387</v>
      </c>
      <c r="F28" s="37">
        <f ca="1">+SUM(E$5:E28)</f>
        <v>5799.743073828713</v>
      </c>
      <c r="H28" t="str">
        <f ca="1">+INDEX(Charges_NonSlice!$C$4:$C$137,MATCH($A28,Charges_NonSlice!$AA$4:$AA$137,0),1)</f>
        <v>Central Lincoln PUD</v>
      </c>
      <c r="I28" s="55">
        <f ca="1">+INDEX(Charges_NonSlice!$Z$4:$Z$137,MATCH($A28,Charges_NonSlice!$AA$4:$AA$137,0),1)</f>
        <v>0.11457096959878153</v>
      </c>
      <c r="J28" s="52">
        <f ca="1">+INDEX(Charges_NonSlice!$Y$4:$Y$137,MATCH($A28,Charges_NonSlice!$AA$4:$AA$137,0),1)</f>
        <v>37.284553669307378</v>
      </c>
      <c r="K28" s="37">
        <f ca="1">+INDEX(Charges_NonSlice!$X$4:$X$137,MATCH($A28,Charges_NonSlice!$AA$4:$AA$137,0),1)/1000</f>
        <v>1327.3130343512132</v>
      </c>
      <c r="L28" s="37">
        <f ca="1">+SUM(K$5:K28)</f>
        <v>9456.2371904928568</v>
      </c>
      <c r="N28" t="str">
        <f ca="1">+INDEX('Charges_NonSlice &amp; Excl LS'!$C$4:$C$137,MATCH($A28,'Charges_NonSlice &amp; Excl LS'!$AA$4:$AA$137,0),1)</f>
        <v>Ashland, City of</v>
      </c>
      <c r="O28" s="55">
        <f ca="1">+INDEX('Charges_NonSlice &amp; Excl LS'!$Z$4:$Z$137,MATCH($A28,'Charges_NonSlice &amp; Excl LS'!$AA$4:$AA$137,0),1)</f>
        <v>9.8116581318074367E-2</v>
      </c>
      <c r="P28" s="52">
        <f ca="1">+INDEX('Charges_NonSlice &amp; Excl LS'!$Y$4:$Y$137,MATCH($A28,'Charges_NonSlice &amp; Excl LS'!$AA$4:$AA$137,0),1)</f>
        <v>38.109019819717432</v>
      </c>
      <c r="Q28" s="37">
        <f ca="1">+INDEX('Charges_NonSlice &amp; Excl LS'!$X$4:$X$137,MATCH($A28,'Charges_NonSlice &amp; Excl LS'!$AA$4:$AA$137,0),1)/1000</f>
        <v>168.34819089811199</v>
      </c>
      <c r="R28" s="37">
        <f ca="1">+SUM(Q$5:Q28)</f>
        <v>3783.6958107692153</v>
      </c>
      <c r="T28" t="str">
        <f ca="1">+INDEX(Charges_NonSlice!$C$4:$C$137,MATCH($A28,Charges_NonSlice!$AA$4:$AA$137,0),1)</f>
        <v>Central Lincoln PUD</v>
      </c>
      <c r="U28" s="55">
        <f t="shared" ca="1" si="0"/>
        <v>8.2001535989643548E-2</v>
      </c>
      <c r="V28" s="52">
        <f ca="1">+INDEX(Charges_NonSlice!$Y$4:$Y$137,MATCH($A28,Charges_NonSlice!$AA$4:$AA$137,0),1)</f>
        <v>37.284553669307378</v>
      </c>
      <c r="W28" s="269">
        <f t="shared" ca="1" si="1"/>
        <v>34.458873143100831</v>
      </c>
      <c r="Y28" s="57" t="s">
        <v>11</v>
      </c>
      <c r="Z28" s="58">
        <v>27.5796085756384</v>
      </c>
    </row>
    <row r="29" spans="1:26">
      <c r="A29">
        <f t="shared" si="2"/>
        <v>25</v>
      </c>
      <c r="B29" t="str">
        <f ca="1">+INDEX('Charges_Including Slice and LS'!$C$4:$C$137,MATCH($A29,'Charges_Including Slice and LS'!$AA$4:$AA$137,0),1)</f>
        <v>Northern Wasco County PUD</v>
      </c>
      <c r="C29" s="55">
        <f ca="1">+INDEX('Charges_Including Slice and LS'!$Z$4:$Z$137,MATCH($A29,'Charges_Including Slice and LS'!$AA$4:$AA$137,0),1)</f>
        <v>0.10395713049260319</v>
      </c>
      <c r="D29" s="52">
        <f ca="1">+INDEX('Charges_Including Slice and LS'!$Y$4:$Y$137,MATCH($A29,'Charges_Including Slice and LS'!$AA$4:$AA$137,0),1)</f>
        <v>40.32555333733233</v>
      </c>
      <c r="E29" s="37">
        <f ca="1">+INDEX('Charges_Including Slice and LS'!$X$4:$X$137,MATCH($A29,'Charges_Including Slice and LS'!$AA$4:$AA$137,0),1)/1000</f>
        <v>570.59886968276464</v>
      </c>
      <c r="F29" s="37">
        <f ca="1">+SUM(E$5:E29)</f>
        <v>6370.3419435114774</v>
      </c>
      <c r="H29" t="str">
        <f ca="1">+INDEX(Charges_NonSlice!$C$4:$C$137,MATCH($A29,Charges_NonSlice!$AA$4:$AA$137,0),1)</f>
        <v>Southside Elec Lines</v>
      </c>
      <c r="I29" s="55">
        <f ca="1">+INDEX(Charges_NonSlice!$Z$4:$Z$137,MATCH($A29,Charges_NonSlice!$AA$4:$AA$137,0),1)</f>
        <v>0.11414566989370026</v>
      </c>
      <c r="J29" s="52">
        <f ca="1">+INDEX(Charges_NonSlice!$Y$4:$Y$137,MATCH($A29,Charges_NonSlice!$AA$4:$AA$137,0),1)</f>
        <v>31.915251563037547</v>
      </c>
      <c r="K29" s="37">
        <f ca="1">+INDEX(Charges_NonSlice!$X$4:$X$137,MATCH($A29,Charges_NonSlice!$AA$4:$AA$137,0),1)/1000</f>
        <v>59.60304</v>
      </c>
      <c r="L29" s="37">
        <f ca="1">+SUM(K$5:K29)</f>
        <v>9515.8402304928568</v>
      </c>
      <c r="N29" t="str">
        <f ca="1">+INDEX('Charges_NonSlice &amp; Excl LS'!$C$4:$C$137,MATCH($A29,'Charges_NonSlice &amp; Excl LS'!$AA$4:$AA$137,0),1)</f>
        <v>McCleary, City of</v>
      </c>
      <c r="O29" s="55">
        <f ca="1">+INDEX('Charges_NonSlice &amp; Excl LS'!$Z$4:$Z$137,MATCH($A29,'Charges_NonSlice &amp; Excl LS'!$AA$4:$AA$137,0),1)</f>
        <v>9.7606029295527877E-2</v>
      </c>
      <c r="P29" s="52">
        <f ca="1">+INDEX('Charges_NonSlice &amp; Excl LS'!$Y$4:$Y$137,MATCH($A29,'Charges_NonSlice &amp; Excl LS'!$AA$4:$AA$137,0),1)</f>
        <v>39.035089471112862</v>
      </c>
      <c r="Q29" s="37">
        <f ca="1">+INDEX('Charges_NonSlice &amp; Excl LS'!$X$4:$X$137,MATCH($A29,'Charges_NonSlice &amp; Excl LS'!$AA$4:$AA$137,0),1)/1000</f>
        <v>32.584726232064007</v>
      </c>
      <c r="R29" s="37">
        <f ca="1">+SUM(Q$5:Q29)</f>
        <v>3816.2805370012793</v>
      </c>
      <c r="T29" t="str">
        <f ca="1">+INDEX(Charges_NonSlice!$C$4:$C$137,MATCH($A29,Charges_NonSlice!$AA$4:$AA$137,0),1)</f>
        <v>Southside Elec Lines</v>
      </c>
      <c r="U29" s="55">
        <f t="shared" ca="1" si="0"/>
        <v>9.3314948002980014E-2</v>
      </c>
      <c r="V29" s="52">
        <f ca="1">+INDEX(Charges_NonSlice!$Y$4:$Y$137,MATCH($A29,Charges_NonSlice!$AA$4:$AA$137,0),1)</f>
        <v>31.915251563037547</v>
      </c>
      <c r="W29" s="269">
        <f t="shared" ca="1" si="1"/>
        <v>29.191269744672471</v>
      </c>
      <c r="Y29" s="57" t="s">
        <v>68</v>
      </c>
      <c r="Z29" s="58">
        <v>31.782461346417673</v>
      </c>
    </row>
    <row r="30" spans="1:26">
      <c r="A30">
        <f t="shared" si="2"/>
        <v>26</v>
      </c>
      <c r="B30" t="str">
        <f ca="1">+INDEX('Charges_Including Slice and LS'!$C$4:$C$137,MATCH($A30,'Charges_Including Slice and LS'!$AA$4:$AA$137,0),1)</f>
        <v>Nespelem Valley Elec Coop</v>
      </c>
      <c r="C30" s="55">
        <f ca="1">+INDEX('Charges_Including Slice and LS'!$Z$4:$Z$137,MATCH($A30,'Charges_Including Slice and LS'!$AA$4:$AA$137,0),1)</f>
        <v>0.10348568494402141</v>
      </c>
      <c r="D30" s="52">
        <f ca="1">+INDEX('Charges_Including Slice and LS'!$Y$4:$Y$137,MATCH($A30,'Charges_Including Slice and LS'!$AA$4:$AA$137,0),1)</f>
        <v>36.734274469597551</v>
      </c>
      <c r="E30" s="37">
        <f ca="1">+INDEX('Charges_Including Slice and LS'!$X$4:$X$137,MATCH($A30,'Charges_Including Slice and LS'!$AA$4:$AA$137,0),1)/1000</f>
        <v>51.815400000000004</v>
      </c>
      <c r="F30" s="37">
        <f ca="1">+SUM(E$5:E30)</f>
        <v>6422.1573435114778</v>
      </c>
      <c r="H30" t="str">
        <f ca="1">+INDEX(Charges_NonSlice!$C$4:$C$137,MATCH($A30,Charges_NonSlice!$AA$4:$AA$137,0),1)</f>
        <v>U.S. Naval Submarine Base, Bangor</v>
      </c>
      <c r="I30" s="55">
        <f ca="1">+INDEX(Charges_NonSlice!$Z$4:$Z$137,MATCH($A30,Charges_NonSlice!$AA$4:$AA$137,0),1)</f>
        <v>0.11301438876049558</v>
      </c>
      <c r="J30" s="52">
        <f ca="1">+INDEX(Charges_NonSlice!$Y$4:$Y$137,MATCH($A30,Charges_NonSlice!$AA$4:$AA$137,0),1)</f>
        <v>40.200114554857926</v>
      </c>
      <c r="K30" s="37">
        <f ca="1">+INDEX(Charges_NonSlice!$X$4:$X$137,MATCH($A30,Charges_NonSlice!$AA$4:$AA$137,0),1)/1000</f>
        <v>179.91775162062197</v>
      </c>
      <c r="L30" s="37">
        <f ca="1">+SUM(K$5:K30)</f>
        <v>9695.7579821134786</v>
      </c>
      <c r="N30" t="str">
        <f ca="1">+INDEX('Charges_NonSlice &amp; Excl LS'!$C$4:$C$137,MATCH($A30,'Charges_NonSlice &amp; Excl LS'!$AA$4:$AA$137,0),1)</f>
        <v>U.S. Naval Submarine Base, Bangor</v>
      </c>
      <c r="O30" s="55">
        <f ca="1">+INDEX('Charges_NonSlice &amp; Excl LS'!$Z$4:$Z$137,MATCH($A30,'Charges_NonSlice &amp; Excl LS'!$AA$4:$AA$137,0),1)</f>
        <v>9.7494220491440228E-2</v>
      </c>
      <c r="P30" s="52">
        <f ca="1">+INDEX('Charges_NonSlice &amp; Excl LS'!$Y$4:$Y$137,MATCH($A30,'Charges_NonSlice &amp; Excl LS'!$AA$4:$AA$137,0),1)</f>
        <v>39.331727217734795</v>
      </c>
      <c r="Q30" s="37">
        <f ca="1">+INDEX('Charges_NonSlice &amp; Excl LS'!$X$4:$X$137,MATCH($A30,'Charges_NonSlice &amp; Excl LS'!$AA$4:$AA$137,0),1)/1000</f>
        <v>179.91975460972799</v>
      </c>
      <c r="R30" s="37">
        <f ca="1">+SUM(Q$5:Q30)</f>
        <v>3996.2002916110073</v>
      </c>
      <c r="T30" t="str">
        <f ca="1">+INDEX(Charges_NonSlice!$C$4:$C$137,MATCH($A30,Charges_NonSlice!$AA$4:$AA$137,0),1)</f>
        <v>U.S. Naval Submarine Base, Bangor</v>
      </c>
      <c r="U30" s="55">
        <f t="shared" ca="1" si="0"/>
        <v>7.7623201515873319E-2</v>
      </c>
      <c r="V30" s="52">
        <f ca="1">+INDEX(Charges_NonSlice!$Y$4:$Y$137,MATCH($A30,Charges_NonSlice!$AA$4:$AA$137,0),1)</f>
        <v>40.200114554857926</v>
      </c>
      <c r="W30" s="269">
        <f t="shared" ca="1" si="1"/>
        <v>37.304425608421518</v>
      </c>
      <c r="Y30" s="57" t="s">
        <v>49</v>
      </c>
      <c r="Z30" s="58">
        <v>31.891426299288462</v>
      </c>
    </row>
    <row r="31" spans="1:26">
      <c r="A31">
        <f t="shared" si="2"/>
        <v>27</v>
      </c>
      <c r="B31" t="str">
        <f ca="1">+INDEX('Charges_Including Slice and LS'!$C$4:$C$137,MATCH($A31,'Charges_Including Slice and LS'!$AA$4:$AA$137,0),1)</f>
        <v>Surprise Valley Elec Coop</v>
      </c>
      <c r="C31" s="55">
        <f ca="1">+INDEX('Charges_Including Slice and LS'!$Z$4:$Z$137,MATCH($A31,'Charges_Including Slice and LS'!$AA$4:$AA$137,0),1)</f>
        <v>0.10320837848720082</v>
      </c>
      <c r="D31" s="52">
        <f ca="1">+INDEX('Charges_Including Slice and LS'!$Y$4:$Y$137,MATCH($A31,'Charges_Including Slice and LS'!$AA$4:$AA$137,0),1)</f>
        <v>31.66619353080107</v>
      </c>
      <c r="E31" s="37">
        <f ca="1">+INDEX('Charges_Including Slice and LS'!$X$4:$X$137,MATCH($A31,'Charges_Including Slice and LS'!$AA$4:$AA$137,0),1)/1000</f>
        <v>144.77278354605482</v>
      </c>
      <c r="F31" s="37">
        <f ca="1">+SUM(E$5:E31)</f>
        <v>6566.9301270575324</v>
      </c>
      <c r="H31" t="str">
        <f ca="1">+INDEX(Charges_NonSlice!$C$4:$C$137,MATCH($A31,Charges_NonSlice!$AA$4:$AA$137,0),1)</f>
        <v>Columbia REA</v>
      </c>
      <c r="I31" s="55">
        <f ca="1">+INDEX(Charges_NonSlice!$Z$4:$Z$137,MATCH($A31,Charges_NonSlice!$AA$4:$AA$137,0),1)</f>
        <v>0.10685950143514218</v>
      </c>
      <c r="J31" s="52">
        <f ca="1">+INDEX(Charges_NonSlice!$Y$4:$Y$137,MATCH($A31,Charges_NonSlice!$AA$4:$AA$137,0),1)</f>
        <v>29.01865489103939</v>
      </c>
      <c r="K31" s="37">
        <f ca="1">+INDEX(Charges_NonSlice!$X$4:$X$137,MATCH($A31,Charges_NonSlice!$AA$4:$AA$137,0),1)/1000</f>
        <v>332.08934160342778</v>
      </c>
      <c r="L31" s="37">
        <f ca="1">+SUM(K$5:K31)</f>
        <v>10027.847323716906</v>
      </c>
      <c r="N31" t="str">
        <f ca="1">+INDEX('Charges_NonSlice &amp; Excl LS'!$C$4:$C$137,MATCH($A31,'Charges_NonSlice &amp; Excl LS'!$AA$4:$AA$137,0),1)</f>
        <v>Tillamook PUD #1</v>
      </c>
      <c r="O31" s="55">
        <f ca="1">+INDEX('Charges_NonSlice &amp; Excl LS'!$Z$4:$Z$137,MATCH($A31,'Charges_NonSlice &amp; Excl LS'!$AA$4:$AA$137,0),1)</f>
        <v>9.7486770122171953E-2</v>
      </c>
      <c r="P31" s="52">
        <f ca="1">+INDEX('Charges_NonSlice &amp; Excl LS'!$Y$4:$Y$137,MATCH($A31,'Charges_NonSlice &amp; Excl LS'!$AA$4:$AA$137,0),1)</f>
        <v>37.08013002689097</v>
      </c>
      <c r="Q31" s="37">
        <f ca="1">+INDEX('Charges_NonSlice &amp; Excl LS'!$X$4:$X$137,MATCH($A31,'Charges_NonSlice &amp; Excl LS'!$AA$4:$AA$137,0),1)/1000</f>
        <v>483.98158643347205</v>
      </c>
      <c r="R31" s="37">
        <f ca="1">+SUM(Q$5:Q31)</f>
        <v>4480.1818780444792</v>
      </c>
      <c r="T31" t="str">
        <f ca="1">+INDEX(Charges_NonSlice!$C$4:$C$137,MATCH($A31,Charges_NonSlice!$AA$4:$AA$137,0),1)</f>
        <v>Columbia REA</v>
      </c>
      <c r="U31" s="55">
        <f t="shared" ca="1" si="0"/>
        <v>0.10200764058803569</v>
      </c>
      <c r="V31" s="52">
        <f ca="1">+INDEX(Charges_NonSlice!$Y$4:$Y$137,MATCH($A31,Charges_NonSlice!$AA$4:$AA$137,0),1)</f>
        <v>29.01865489103939</v>
      </c>
      <c r="W31" s="269">
        <f t="shared" ca="1" si="1"/>
        <v>26.332535113418015</v>
      </c>
      <c r="Y31" s="57" t="s">
        <v>13</v>
      </c>
      <c r="Z31" s="58">
        <v>36.211238009780168</v>
      </c>
    </row>
    <row r="32" spans="1:26">
      <c r="A32">
        <f t="shared" si="2"/>
        <v>28</v>
      </c>
      <c r="B32" t="str">
        <f ca="1">+INDEX('Charges_Including Slice and LS'!$C$4:$C$137,MATCH($A32,'Charges_Including Slice and LS'!$AA$4:$AA$137,0),1)</f>
        <v>Yakama Power</v>
      </c>
      <c r="C32" s="55">
        <f ca="1">+INDEX('Charges_Including Slice and LS'!$Z$4:$Z$137,MATCH($A32,'Charges_Including Slice and LS'!$AA$4:$AA$137,0),1)</f>
        <v>0.10277784196353389</v>
      </c>
      <c r="D32" s="52">
        <f ca="1">+INDEX('Charges_Including Slice and LS'!$Y$4:$Y$137,MATCH($A32,'Charges_Including Slice and LS'!$AA$4:$AA$137,0),1)</f>
        <v>34.755293356063483</v>
      </c>
      <c r="E32" s="37">
        <f ca="1">+INDEX('Charges_Including Slice and LS'!$X$4:$X$137,MATCH($A32,'Charges_Including Slice and LS'!$AA$4:$AA$137,0),1)/1000</f>
        <v>164.78667872726771</v>
      </c>
      <c r="F32" s="37">
        <f ca="1">+SUM(E$5:E32)</f>
        <v>6731.7168057848003</v>
      </c>
      <c r="H32" t="str">
        <f ca="1">+INDEX(Charges_NonSlice!$C$4:$C$137,MATCH($A32,Charges_NonSlice!$AA$4:$AA$137,0),1)</f>
        <v>U.S. Airforce Base, Fairchild</v>
      </c>
      <c r="I32" s="55">
        <f ca="1">+INDEX(Charges_NonSlice!$Z$4:$Z$137,MATCH($A32,Charges_NonSlice!$AA$4:$AA$137,0),1)</f>
        <v>0.10599781721419649</v>
      </c>
      <c r="J32" s="52">
        <f ca="1">+INDEX(Charges_NonSlice!$Y$4:$Y$137,MATCH($A32,Charges_NonSlice!$AA$4:$AA$137,0),1)</f>
        <v>41.360064841039986</v>
      </c>
      <c r="K32" s="37">
        <f ca="1">+INDEX(Charges_NonSlice!$X$4:$X$137,MATCH($A32,Charges_NonSlice!$AA$4:$AA$137,0),1)/1000</f>
        <v>45.691074697341669</v>
      </c>
      <c r="L32" s="37">
        <f ca="1">+SUM(K$5:K32)</f>
        <v>10073.538398414246</v>
      </c>
      <c r="N32" t="str">
        <f ca="1">+INDEX('Charges_NonSlice &amp; Excl LS'!$C$4:$C$137,MATCH($A32,'Charges_NonSlice &amp; Excl LS'!$AA$4:$AA$137,0),1)</f>
        <v>Benton County PUD #1</v>
      </c>
      <c r="O32" s="55">
        <f ca="1">+INDEX('Charges_NonSlice &amp; Excl LS'!$Z$4:$Z$137,MATCH($A32,'Charges_NonSlice &amp; Excl LS'!$AA$4:$AA$137,0),1)</f>
        <v>9.7350379150712804E-2</v>
      </c>
      <c r="P32" s="52">
        <f ca="1">+INDEX('Charges_NonSlice &amp; Excl LS'!$Y$4:$Y$137,MATCH($A32,'Charges_NonSlice &amp; Excl LS'!$AA$4:$AA$137,0),1)</f>
        <v>35.155869582615388</v>
      </c>
      <c r="Q32" s="37">
        <f ca="1">+INDEX('Charges_NonSlice &amp; Excl LS'!$X$4:$X$137,MATCH($A32,'Charges_NonSlice &amp; Excl LS'!$AA$4:$AA$137,0),1)/1000</f>
        <v>1770.2312690129284</v>
      </c>
      <c r="R32" s="37">
        <f ca="1">+SUM(Q$5:Q32)</f>
        <v>6250.4131470574075</v>
      </c>
      <c r="T32" t="str">
        <f ca="1">+INDEX(Charges_NonSlice!$C$4:$C$137,MATCH($A32,Charges_NonSlice!$AA$4:$AA$137,0),1)</f>
        <v>U.S. Airforce Base, Fairchild</v>
      </c>
      <c r="U32" s="55">
        <f t="shared" ca="1" si="0"/>
        <v>0.12127266702755501</v>
      </c>
      <c r="V32" s="52">
        <f ca="1">+INDEX(Charges_NonSlice!$Y$4:$Y$137,MATCH($A32,Charges_NonSlice!$AA$4:$AA$137,0),1)</f>
        <v>41.360064841039986</v>
      </c>
      <c r="W32" s="269">
        <f t="shared" ca="1" si="1"/>
        <v>36.886714585386009</v>
      </c>
      <c r="Y32" s="57" t="s">
        <v>127</v>
      </c>
      <c r="Z32" s="58">
        <v>37.270419879323832</v>
      </c>
    </row>
    <row r="33" spans="1:26">
      <c r="A33">
        <f t="shared" si="2"/>
        <v>29</v>
      </c>
      <c r="B33" t="str">
        <f ca="1">+INDEX('Charges_Including Slice and LS'!$C$4:$C$137,MATCH($A33,'Charges_Including Slice and LS'!$AA$4:$AA$137,0),1)</f>
        <v>Benton County PUD #1</v>
      </c>
      <c r="C33" s="55">
        <f ca="1">+INDEX('Charges_Including Slice and LS'!$Z$4:$Z$137,MATCH($A33,'Charges_Including Slice and LS'!$AA$4:$AA$137,0),1)</f>
        <v>0.10274141297556823</v>
      </c>
      <c r="D33" s="52">
        <f ca="1">+INDEX('Charges_Including Slice and LS'!$Y$4:$Y$137,MATCH($A33,'Charges_Including Slice and LS'!$AA$4:$AA$137,0),1)</f>
        <v>35.672604835928944</v>
      </c>
      <c r="E33" s="37">
        <f ca="1">+INDEX('Charges_Including Slice and LS'!$X$4:$X$137,MATCH($A33,'Charges_Including Slice and LS'!$AA$4:$AA$137,0),1)/1000</f>
        <v>1770.2276334963474</v>
      </c>
      <c r="F33" s="37">
        <f ca="1">+SUM(E$5:E33)</f>
        <v>8501.9444392811474</v>
      </c>
      <c r="H33" t="str">
        <f ca="1">+INDEX(Charges_NonSlice!$C$4:$C$137,MATCH($A33,Charges_NonSlice!$AA$4:$AA$137,0),1)</f>
        <v>Tillamook PUD #1</v>
      </c>
      <c r="I33" s="55">
        <f ca="1">+INDEX(Charges_NonSlice!$Z$4:$Z$137,MATCH($A33,Charges_NonSlice!$AA$4:$AA$137,0),1)</f>
        <v>0.10575769447539486</v>
      </c>
      <c r="J33" s="52">
        <f ca="1">+INDEX(Charges_NonSlice!$Y$4:$Y$137,MATCH($A33,Charges_NonSlice!$AA$4:$AA$137,0),1)</f>
        <v>38.10540791994184</v>
      </c>
      <c r="K33" s="37">
        <f ca="1">+INDEX(Charges_NonSlice!$X$4:$X$137,MATCH($A33,Charges_NonSlice!$AA$4:$AA$137,0),1)/1000</f>
        <v>483.97763856932244</v>
      </c>
      <c r="L33" s="37">
        <f ca="1">+SUM(K$5:K33)</f>
        <v>10557.516036983568</v>
      </c>
      <c r="N33" t="str">
        <f ca="1">+INDEX('Charges_NonSlice &amp; Excl LS'!$C$4:$C$137,MATCH($A33,'Charges_NonSlice &amp; Excl LS'!$AA$4:$AA$137,0),1)</f>
        <v>Umpqua Indian Utility Cooperative</v>
      </c>
      <c r="O33" s="55">
        <f ca="1">+INDEX('Charges_NonSlice &amp; Excl LS'!$Z$4:$Z$137,MATCH($A33,'Charges_NonSlice &amp; Excl LS'!$AA$4:$AA$137,0),1)</f>
        <v>9.6770292227864541E-2</v>
      </c>
      <c r="P33" s="52">
        <f ca="1">+INDEX('Charges_NonSlice &amp; Excl LS'!$Y$4:$Y$137,MATCH($A33,'Charges_NonSlice &amp; Excl LS'!$AA$4:$AA$137,0),1)</f>
        <v>36.96121316824739</v>
      </c>
      <c r="Q33" s="37">
        <f ca="1">+INDEX('Charges_NonSlice &amp; Excl LS'!$X$4:$X$137,MATCH($A33,'Charges_NonSlice &amp; Excl LS'!$AA$4:$AA$137,0),1)/1000</f>
        <v>23.554173281663999</v>
      </c>
      <c r="R33" s="37">
        <f ca="1">+SUM(Q$5:Q33)</f>
        <v>6273.9673203390712</v>
      </c>
      <c r="T33" t="str">
        <f ca="1">+INDEX(Charges_NonSlice!$C$4:$C$137,MATCH($A33,Charges_NonSlice!$AA$4:$AA$137,0),1)</f>
        <v>Tillamook PUD #1</v>
      </c>
      <c r="U33" s="55">
        <f t="shared" ca="1" si="0"/>
        <v>9.4280083472510823E-2</v>
      </c>
      <c r="V33" s="52">
        <f ca="1">+INDEX(Charges_NonSlice!$Y$4:$Y$137,MATCH($A33,Charges_NonSlice!$AA$4:$AA$137,0),1)</f>
        <v>38.10540791994184</v>
      </c>
      <c r="W33" s="269">
        <f t="shared" ca="1" si="1"/>
        <v>34.82235352307687</v>
      </c>
      <c r="Y33" s="57" t="s">
        <v>238</v>
      </c>
      <c r="Z33" s="58">
        <v>34.156259944871834</v>
      </c>
    </row>
    <row r="34" spans="1:26">
      <c r="A34">
        <f t="shared" si="2"/>
        <v>30</v>
      </c>
      <c r="B34" t="str">
        <f ca="1">+INDEX('Charges_Including Slice and LS'!$C$4:$C$137,MATCH($A34,'Charges_Including Slice and LS'!$AA$4:$AA$137,0),1)</f>
        <v>Columbia Power Coop</v>
      </c>
      <c r="C34" s="55">
        <f ca="1">+INDEX('Charges_Including Slice and LS'!$Z$4:$Z$137,MATCH($A34,'Charges_Including Slice and LS'!$AA$4:$AA$137,0),1)</f>
        <v>0.10250770547035076</v>
      </c>
      <c r="D34" s="52">
        <f ca="1">+INDEX('Charges_Including Slice and LS'!$Y$4:$Y$137,MATCH($A34,'Charges_Including Slice and LS'!$AA$4:$AA$137,0),1)</f>
        <v>34.656535891804396</v>
      </c>
      <c r="E34" s="37">
        <f ca="1">+INDEX('Charges_Including Slice and LS'!$X$4:$X$137,MATCH($A34,'Charges_Including Slice and LS'!$AA$4:$AA$137,0),1)/1000</f>
        <v>28.176787663550641</v>
      </c>
      <c r="F34" s="37">
        <f ca="1">+SUM(E$5:E34)</f>
        <v>8530.1212269446987</v>
      </c>
      <c r="H34" t="str">
        <f ca="1">+INDEX(Charges_NonSlice!$C$4:$C$137,MATCH($A34,Charges_NonSlice!$AA$4:$AA$137,0),1)</f>
        <v>Port Angeles, City of</v>
      </c>
      <c r="I34" s="55">
        <f ca="1">+INDEX(Charges_NonSlice!$Z$4:$Z$137,MATCH($A34,Charges_NonSlice!$AA$4:$AA$137,0),1)</f>
        <v>0.10553050086867573</v>
      </c>
      <c r="J34" s="52">
        <f ca="1">+INDEX(Charges_NonSlice!$Y$4:$Y$137,MATCH($A34,Charges_NonSlice!$AA$4:$AA$137,0),1)</f>
        <v>35.92166252551241</v>
      </c>
      <c r="K34" s="37">
        <f ca="1">+INDEX(Charges_NonSlice!$X$4:$X$137,MATCH($A34,Charges_NonSlice!$AA$4:$AA$137,0),1)/1000</f>
        <v>428.16958327494069</v>
      </c>
      <c r="L34" s="37">
        <f ca="1">+SUM(K$5:K34)</f>
        <v>10985.68562025851</v>
      </c>
      <c r="N34" t="str">
        <f ca="1">+INDEX('Charges_NonSlice &amp; Excl LS'!$C$4:$C$137,MATCH($A34,'Charges_NonSlice &amp; Excl LS'!$AA$4:$AA$137,0),1)</f>
        <v>Troy, City of</v>
      </c>
      <c r="O34" s="55">
        <f ca="1">+INDEX('Charges_NonSlice &amp; Excl LS'!$Z$4:$Z$137,MATCH($A34,'Charges_NonSlice &amp; Excl LS'!$AA$4:$AA$137,0),1)</f>
        <v>9.6679164335693887E-2</v>
      </c>
      <c r="P34" s="52">
        <f ca="1">+INDEX('Charges_NonSlice &amp; Excl LS'!$Y$4:$Y$137,MATCH($A34,'Charges_NonSlice &amp; Excl LS'!$AA$4:$AA$137,0),1)</f>
        <v>37.825671040074177</v>
      </c>
      <c r="Q34" s="37">
        <f ca="1">+INDEX('Charges_NonSlice &amp; Excl LS'!$X$4:$X$137,MATCH($A34,'Charges_NonSlice &amp; Excl LS'!$AA$4:$AA$137,0),1)/1000</f>
        <v>17.544184593984003</v>
      </c>
      <c r="R34" s="37">
        <f ca="1">+SUM(Q$5:Q34)</f>
        <v>6291.5115049330552</v>
      </c>
      <c r="T34" t="str">
        <f ca="1">+INDEX(Charges_NonSlice!$C$4:$C$137,MATCH($A34,Charges_NonSlice!$AA$4:$AA$137,0),1)</f>
        <v>Port Angeles, City of</v>
      </c>
      <c r="U34" s="55">
        <f t="shared" ca="1" si="0"/>
        <v>6.9453598497775548E-2</v>
      </c>
      <c r="V34" s="52">
        <f ca="1">+INDEX(Charges_NonSlice!$Y$4:$Y$137,MATCH($A34,Charges_NonSlice!$AA$4:$AA$137,0),1)</f>
        <v>35.92166252551241</v>
      </c>
      <c r="W34" s="269">
        <f t="shared" ca="1" si="1"/>
        <v>33.588799529002777</v>
      </c>
      <c r="Y34" s="57" t="s">
        <v>21</v>
      </c>
      <c r="Z34" s="58">
        <v>36.89069859276848</v>
      </c>
    </row>
    <row r="35" spans="1:26">
      <c r="A35">
        <f t="shared" si="2"/>
        <v>31</v>
      </c>
      <c r="B35" t="str">
        <f ca="1">+INDEX('Charges_Including Slice and LS'!$C$4:$C$137,MATCH($A35,'Charges_Including Slice and LS'!$AA$4:$AA$137,0),1)</f>
        <v>Seattle City Light</v>
      </c>
      <c r="C35" s="55">
        <f ca="1">+INDEX('Charges_Including Slice and LS'!$Z$4:$Z$137,MATCH($A35,'Charges_Including Slice and LS'!$AA$4:$AA$137,0),1)</f>
        <v>0.10221159851156927</v>
      </c>
      <c r="D35" s="52">
        <f ca="1">+INDEX('Charges_Including Slice and LS'!$Y$4:$Y$137,MATCH($A35,'Charges_Including Slice and LS'!$AA$4:$AA$137,0),1)</f>
        <v>39.766806080430584</v>
      </c>
      <c r="E35" s="37">
        <f ca="1">+INDEX('Charges_Including Slice and LS'!$X$4:$X$137,MATCH($A35,'Charges_Including Slice and LS'!$AA$4:$AA$137,0),1)/1000</f>
        <v>4380.1842185613568</v>
      </c>
      <c r="F35" s="37">
        <f ca="1">+SUM(E$5:E35)</f>
        <v>12910.305445506056</v>
      </c>
      <c r="H35" t="str">
        <f ca="1">+INDEX(Charges_NonSlice!$C$4:$C$137,MATCH($A35,Charges_NonSlice!$AA$4:$AA$137,0),1)</f>
        <v>Vigilante Elec Coop</v>
      </c>
      <c r="I35" s="55">
        <f ca="1">+INDEX(Charges_NonSlice!$Z$4:$Z$137,MATCH($A35,Charges_NonSlice!$AA$4:$AA$137,0),1)</f>
        <v>0.10495317519366862</v>
      </c>
      <c r="J35" s="52">
        <f ca="1">+INDEX(Charges_NonSlice!$Y$4:$Y$137,MATCH($A35,Charges_NonSlice!$AA$4:$AA$137,0),1)</f>
        <v>33.606435618807872</v>
      </c>
      <c r="K35" s="37">
        <f ca="1">+INDEX(Charges_NonSlice!$X$4:$X$137,MATCH($A35,Charges_NonSlice!$AA$4:$AA$137,0),1)/1000</f>
        <v>168.74337696108387</v>
      </c>
      <c r="L35" s="37">
        <f ca="1">+SUM(K$5:K35)</f>
        <v>11154.428997219593</v>
      </c>
      <c r="N35" t="str">
        <f ca="1">+INDEX('Charges_NonSlice &amp; Excl LS'!$C$4:$C$137,MATCH($A35,'Charges_NonSlice &amp; Excl LS'!$AA$4:$AA$137,0),1)</f>
        <v>Whatcom County PUD #1</v>
      </c>
      <c r="O35" s="55">
        <f ca="1">+INDEX('Charges_NonSlice &amp; Excl LS'!$Z$4:$Z$137,MATCH($A35,'Charges_NonSlice &amp; Excl LS'!$AA$4:$AA$137,0),1)</f>
        <v>9.6425025055238991E-2</v>
      </c>
      <c r="P35" s="52">
        <f ca="1">+INDEX('Charges_NonSlice &amp; Excl LS'!$Y$4:$Y$137,MATCH($A35,'Charges_NonSlice &amp; Excl LS'!$AA$4:$AA$137,0),1)</f>
        <v>35.980346215997244</v>
      </c>
      <c r="Q35" s="37">
        <f ca="1">+INDEX('Charges_NonSlice &amp; Excl LS'!$X$4:$X$137,MATCH($A35,'Charges_NonSlice &amp; Excl LS'!$AA$4:$AA$137,0),1)/1000</f>
        <v>236.40742030636801</v>
      </c>
      <c r="R35" s="37">
        <f ca="1">+SUM(Q$5:Q35)</f>
        <v>6527.9189252394235</v>
      </c>
      <c r="T35" t="str">
        <f ca="1">+INDEX(Charges_NonSlice!$C$4:$C$137,MATCH($A35,Charges_NonSlice!$AA$4:$AA$137,0),1)</f>
        <v>Vigilante Elec Coop</v>
      </c>
      <c r="U35" s="55">
        <f t="shared" ca="1" si="0"/>
        <v>0.13998743788080947</v>
      </c>
      <c r="V35" s="52">
        <f ca="1">+INDEX(Charges_NonSlice!$Y$4:$Y$137,MATCH($A35,Charges_NonSlice!$AA$4:$AA$137,0),1)</f>
        <v>33.606435618807872</v>
      </c>
      <c r="W35" s="269">
        <f t="shared" ca="1" si="1"/>
        <v>29.479654338367865</v>
      </c>
      <c r="Y35" s="57" t="s">
        <v>107</v>
      </c>
      <c r="Z35" s="58">
        <v>31.627058439241615</v>
      </c>
    </row>
    <row r="36" spans="1:26">
      <c r="A36">
        <f t="shared" si="2"/>
        <v>32</v>
      </c>
      <c r="B36" t="str">
        <f ca="1">+INDEX('Charges_Including Slice and LS'!$C$4:$C$137,MATCH($A36,'Charges_Including Slice and LS'!$AA$4:$AA$137,0),1)</f>
        <v>Cheney, City of</v>
      </c>
      <c r="C36" s="55">
        <f ca="1">+INDEX('Charges_Including Slice and LS'!$Z$4:$Z$137,MATCH($A36,'Charges_Including Slice and LS'!$AA$4:$AA$137,0),1)</f>
        <v>0.10200540689069452</v>
      </c>
      <c r="D36" s="52">
        <f ca="1">+INDEX('Charges_Including Slice and LS'!$Y$4:$Y$137,MATCH($A36,'Charges_Including Slice and LS'!$AA$4:$AA$137,0),1)</f>
        <v>41.599201942820535</v>
      </c>
      <c r="E36" s="37">
        <f ca="1">+INDEX('Charges_Including Slice and LS'!$X$4:$X$137,MATCH($A36,'Charges_Including Slice and LS'!$AA$4:$AA$137,0),1)/1000</f>
        <v>139.35407999999998</v>
      </c>
      <c r="F36" s="37">
        <f ca="1">+SUM(E$5:E36)</f>
        <v>13049.659525506055</v>
      </c>
      <c r="H36" t="str">
        <f ca="1">+INDEX(Charges_NonSlice!$C$4:$C$137,MATCH($A36,Charges_NonSlice!$AA$4:$AA$137,0),1)</f>
        <v>Northern Wasco County PUD</v>
      </c>
      <c r="I36" s="55">
        <f ca="1">+INDEX(Charges_NonSlice!$Z$4:$Z$137,MATCH($A36,Charges_NonSlice!$AA$4:$AA$137,0),1)</f>
        <v>0.10395668792078112</v>
      </c>
      <c r="J36" s="52">
        <f ca="1">+INDEX(Charges_NonSlice!$Y$4:$Y$137,MATCH($A36,Charges_NonSlice!$AA$4:$AA$137,0),1)</f>
        <v>40.325704056172782</v>
      </c>
      <c r="K36" s="37">
        <f ca="1">+INDEX(Charges_NonSlice!$X$4:$X$137,MATCH($A36,Charges_NonSlice!$AA$4:$AA$137,0),1)/1000</f>
        <v>570.59886968276464</v>
      </c>
      <c r="L36" s="37">
        <f ca="1">+SUM(K$5:K36)</f>
        <v>11725.027866902357</v>
      </c>
      <c r="N36" t="str">
        <f ca="1">+INDEX('Charges_NonSlice &amp; Excl LS'!$C$4:$C$137,MATCH($A36,'Charges_NonSlice &amp; Excl LS'!$AA$4:$AA$137,0),1)</f>
        <v>Heyburn, City of</v>
      </c>
      <c r="O36" s="55">
        <f ca="1">+INDEX('Charges_NonSlice &amp; Excl LS'!$Z$4:$Z$137,MATCH($A36,'Charges_NonSlice &amp; Excl LS'!$AA$4:$AA$137,0),1)</f>
        <v>9.638465357117787E-2</v>
      </c>
      <c r="P36" s="52">
        <f ca="1">+INDEX('Charges_NonSlice &amp; Excl LS'!$Y$4:$Y$137,MATCH($A36,'Charges_NonSlice &amp; Excl LS'!$AA$4:$AA$137,0),1)</f>
        <v>37.872709845903906</v>
      </c>
      <c r="Q36" s="37">
        <f ca="1">+INDEX('Charges_NonSlice &amp; Excl LS'!$X$4:$X$137,MATCH($A36,'Charges_NonSlice &amp; Excl LS'!$AA$4:$AA$137,0),1)/1000</f>
        <v>42.443598866880002</v>
      </c>
      <c r="R36" s="37">
        <f ca="1">+SUM(Q$5:Q36)</f>
        <v>6570.3625241063037</v>
      </c>
      <c r="T36" t="str">
        <f ca="1">+INDEX(Charges_NonSlice!$C$4:$C$137,MATCH($A36,Charges_NonSlice!$AA$4:$AA$137,0),1)</f>
        <v>Northern Wasco County PUD</v>
      </c>
      <c r="U36" s="55">
        <f t="shared" ca="1" si="0"/>
        <v>0.17993290544533957</v>
      </c>
      <c r="V36" s="52">
        <f ca="1">+INDEX(Charges_NonSlice!$Y$4:$Y$137,MATCH($A36,Charges_NonSlice!$AA$4:$AA$137,0),1)</f>
        <v>40.325704056172782</v>
      </c>
      <c r="W36" s="269">
        <f t="shared" ca="1" si="1"/>
        <v>34.176268726866923</v>
      </c>
      <c r="Y36" s="57" t="s">
        <v>79</v>
      </c>
      <c r="Z36" s="58">
        <v>39.046014616935182</v>
      </c>
    </row>
    <row r="37" spans="1:26">
      <c r="A37">
        <f t="shared" si="2"/>
        <v>33</v>
      </c>
      <c r="B37" t="str">
        <f ca="1">+INDEX('Charges_Including Slice and LS'!$C$4:$C$137,MATCH($A37,'Charges_Including Slice and LS'!$AA$4:$AA$137,0),1)</f>
        <v>Energy Northwest</v>
      </c>
      <c r="C37" s="55">
        <f ca="1">+INDEX('Charges_Including Slice and LS'!$Z$4:$Z$137,MATCH($A37,'Charges_Including Slice and LS'!$AA$4:$AA$137,0),1)</f>
        <v>0.10190075245945379</v>
      </c>
      <c r="D37" s="52">
        <f ca="1">+INDEX('Charges_Including Slice and LS'!$Y$4:$Y$137,MATCH($A37,'Charges_Including Slice and LS'!$AA$4:$AA$137,0),1)</f>
        <v>37.899713616604814</v>
      </c>
      <c r="E37" s="37">
        <f ca="1">+INDEX('Charges_Including Slice and LS'!$X$4:$X$137,MATCH($A37,'Charges_Including Slice and LS'!$AA$4:$AA$137,0),1)/1000</f>
        <v>19.868206172757247</v>
      </c>
      <c r="F37" s="37">
        <f ca="1">+SUM(E$5:E37)</f>
        <v>13069.527731678812</v>
      </c>
      <c r="H37" t="str">
        <f ca="1">+INDEX(Charges_NonSlice!$C$4:$C$137,MATCH($A37,Charges_NonSlice!$AA$4:$AA$137,0),1)</f>
        <v>Nespelem Valley Elec Coop</v>
      </c>
      <c r="I37" s="55">
        <f ca="1">+INDEX(Charges_NonSlice!$Z$4:$Z$137,MATCH($A37,Charges_NonSlice!$AA$4:$AA$137,0),1)</f>
        <v>0.10348094560744094</v>
      </c>
      <c r="J37" s="52">
        <f ca="1">+INDEX(Charges_NonSlice!$Y$4:$Y$137,MATCH($A37,Charges_NonSlice!$AA$4:$AA$137,0),1)</f>
        <v>36.735738349119053</v>
      </c>
      <c r="K37" s="37">
        <f ca="1">+INDEX(Charges_NonSlice!$X$4:$X$137,MATCH($A37,Charges_NonSlice!$AA$4:$AA$137,0),1)/1000</f>
        <v>51.815400000000004</v>
      </c>
      <c r="L37" s="37">
        <f ca="1">+SUM(K$5:K37)</f>
        <v>11776.843266902357</v>
      </c>
      <c r="N37" t="str">
        <f ca="1">+INDEX('Charges_NonSlice &amp; Excl LS'!$C$4:$C$137,MATCH($A37,'Charges_NonSlice &amp; Excl LS'!$AA$4:$AA$137,0),1)</f>
        <v>Ellensburg, City of</v>
      </c>
      <c r="O37" s="55">
        <f ca="1">+INDEX('Charges_NonSlice &amp; Excl LS'!$Z$4:$Z$137,MATCH($A37,'Charges_NonSlice &amp; Excl LS'!$AA$4:$AA$137,0),1)</f>
        <v>9.6118954478325386E-2</v>
      </c>
      <c r="P37" s="52">
        <f ca="1">+INDEX('Charges_NonSlice &amp; Excl LS'!$Y$4:$Y$137,MATCH($A37,'Charges_NonSlice &amp; Excl LS'!$AA$4:$AA$137,0),1)</f>
        <v>40.401210886294443</v>
      </c>
      <c r="Q37" s="37">
        <f ca="1">+INDEX('Charges_NonSlice &amp; Excl LS'!$X$4:$X$137,MATCH($A37,'Charges_NonSlice &amp; Excl LS'!$AA$4:$AA$137,0),1)/1000</f>
        <v>211.29002716915201</v>
      </c>
      <c r="R37" s="37">
        <f ca="1">+SUM(Q$5:Q37)</f>
        <v>6781.6525512754561</v>
      </c>
      <c r="T37" t="str">
        <f ca="1">+INDEX(Charges_NonSlice!$C$4:$C$137,MATCH($A37,Charges_NonSlice!$AA$4:$AA$137,0),1)</f>
        <v>Nespelem Valley Elec Coop</v>
      </c>
      <c r="U37" s="55">
        <f t="shared" ca="1" si="0"/>
        <v>9.922360729783386E-2</v>
      </c>
      <c r="V37" s="52">
        <f ca="1">+INDEX(Charges_NonSlice!$Y$4:$Y$137,MATCH($A37,Charges_NonSlice!$AA$4:$AA$137,0),1)</f>
        <v>36.735738349119053</v>
      </c>
      <c r="W37" s="269">
        <f t="shared" ca="1" si="1"/>
        <v>33.419713791832287</v>
      </c>
      <c r="Y37" s="57" t="s">
        <v>130</v>
      </c>
      <c r="Z37" s="58">
        <v>33.702346177186051</v>
      </c>
    </row>
    <row r="38" spans="1:26">
      <c r="A38">
        <f t="shared" si="2"/>
        <v>34</v>
      </c>
      <c r="B38" t="str">
        <f ca="1">+INDEX('Charges_Including Slice and LS'!$C$4:$C$137,MATCH($A38,'Charges_Including Slice and LS'!$AA$4:$AA$137,0),1)</f>
        <v>Missoula Elec Coop</v>
      </c>
      <c r="C38" s="55">
        <f ca="1">+INDEX('Charges_Including Slice and LS'!$Z$4:$Z$137,MATCH($A38,'Charges_Including Slice and LS'!$AA$4:$AA$137,0),1)</f>
        <v>0.10178446526285254</v>
      </c>
      <c r="D38" s="52">
        <f ca="1">+INDEX('Charges_Including Slice and LS'!$Y$4:$Y$137,MATCH($A38,'Charges_Including Slice and LS'!$AA$4:$AA$137,0),1)</f>
        <v>37.352234212031064</v>
      </c>
      <c r="E38" s="37">
        <f ca="1">+INDEX('Charges_Including Slice and LS'!$X$4:$X$137,MATCH($A38,'Charges_Including Slice and LS'!$AA$4:$AA$137,0),1)/1000</f>
        <v>237.75515999999996</v>
      </c>
      <c r="F38" s="37">
        <f ca="1">+SUM(E$5:E38)</f>
        <v>13307.282891678813</v>
      </c>
      <c r="H38" t="str">
        <f ca="1">+INDEX(Charges_NonSlice!$C$4:$C$137,MATCH($A38,Charges_NonSlice!$AA$4:$AA$137,0),1)</f>
        <v>Surprise Valley Elec Coop</v>
      </c>
      <c r="I38" s="55">
        <f ca="1">+INDEX(Charges_NonSlice!$Z$4:$Z$137,MATCH($A38,Charges_NonSlice!$AA$4:$AA$137,0),1)</f>
        <v>0.10320583706849898</v>
      </c>
      <c r="J38" s="52">
        <f ca="1">+INDEX(Charges_NonSlice!$Y$4:$Y$137,MATCH($A38,Charges_NonSlice!$AA$4:$AA$137,0),1)</f>
        <v>31.66687437876546</v>
      </c>
      <c r="K38" s="37">
        <f ca="1">+INDEX(Charges_NonSlice!$X$4:$X$137,MATCH($A38,Charges_NonSlice!$AA$4:$AA$137,0),1)/1000</f>
        <v>144.77278354605482</v>
      </c>
      <c r="L38" s="37">
        <f ca="1">+SUM(K$5:K38)</f>
        <v>11921.616050448412</v>
      </c>
      <c r="N38" t="str">
        <f ca="1">+INDEX('Charges_NonSlice &amp; Excl LS'!$C$4:$C$137,MATCH($A38,'Charges_NonSlice &amp; Excl LS'!$AA$4:$AA$137,0),1)</f>
        <v>Pacific County PUD #2</v>
      </c>
      <c r="O38" s="55">
        <f ca="1">+INDEX('Charges_NonSlice &amp; Excl LS'!$Z$4:$Z$137,MATCH($A38,'Charges_NonSlice &amp; Excl LS'!$AA$4:$AA$137,0),1)</f>
        <v>9.6108048475793281E-2</v>
      </c>
      <c r="P38" s="52">
        <f ca="1">+INDEX('Charges_NonSlice &amp; Excl LS'!$Y$4:$Y$137,MATCH($A38,'Charges_NonSlice &amp; Excl LS'!$AA$4:$AA$137,0),1)</f>
        <v>37.869436739979605</v>
      </c>
      <c r="Q38" s="37">
        <f ca="1">+INDEX('Charges_NonSlice &amp; Excl LS'!$X$4:$X$137,MATCH($A38,'Charges_NonSlice &amp; Excl LS'!$AA$4:$AA$137,0),1)/1000</f>
        <v>320.05525249728004</v>
      </c>
      <c r="R38" s="37">
        <f ca="1">+SUM(Q$5:Q38)</f>
        <v>7101.707803772736</v>
      </c>
      <c r="T38" t="str">
        <f ca="1">+INDEX(Charges_NonSlice!$C$4:$C$137,MATCH($A38,Charges_NonSlice!$AA$4:$AA$137,0),1)</f>
        <v>Surprise Valley Elec Coop</v>
      </c>
      <c r="U38" s="55">
        <f t="shared" ca="1" si="0"/>
        <v>5.1746232203083942E-2</v>
      </c>
      <c r="V38" s="52">
        <f ca="1">+INDEX(Charges_NonSlice!$Y$4:$Y$137,MATCH($A38,Charges_NonSlice!$AA$4:$AA$137,0),1)</f>
        <v>31.66687437876546</v>
      </c>
      <c r="W38" s="269">
        <f t="shared" ca="1" si="1"/>
        <v>30.108854597399535</v>
      </c>
      <c r="Y38" s="57" t="s">
        <v>25</v>
      </c>
      <c r="Z38" s="58">
        <v>36.62654882126558</v>
      </c>
    </row>
    <row r="39" spans="1:26">
      <c r="A39">
        <f t="shared" si="2"/>
        <v>35</v>
      </c>
      <c r="B39" t="str">
        <f ca="1">+INDEX('Charges_Including Slice and LS'!$C$4:$C$137,MATCH($A39,'Charges_Including Slice and LS'!$AA$4:$AA$137,0),1)</f>
        <v>Steilacoom, Town of</v>
      </c>
      <c r="C39" s="55">
        <f ca="1">+INDEX('Charges_Including Slice and LS'!$Z$4:$Z$137,MATCH($A39,'Charges_Including Slice and LS'!$AA$4:$AA$137,0),1)</f>
        <v>0.10124026688362897</v>
      </c>
      <c r="D39" s="52">
        <f ca="1">+INDEX('Charges_Including Slice and LS'!$Y$4:$Y$137,MATCH($A39,'Charges_Including Slice and LS'!$AA$4:$AA$137,0),1)</f>
        <v>39.294890443473335</v>
      </c>
      <c r="E39" s="37">
        <f ca="1">+INDEX('Charges_Including Slice and LS'!$X$4:$X$137,MATCH($A39,'Charges_Including Slice and LS'!$AA$4:$AA$137,0),1)/1000</f>
        <v>40.333773380807507</v>
      </c>
      <c r="F39" s="37">
        <f ca="1">+SUM(E$5:E39)</f>
        <v>13347.616665059621</v>
      </c>
      <c r="H39" t="str">
        <f ca="1">+INDEX(Charges_NonSlice!$C$4:$C$137,MATCH($A39,Charges_NonSlice!$AA$4:$AA$137,0),1)</f>
        <v>Yakama Power</v>
      </c>
      <c r="I39" s="55">
        <f ca="1">+INDEX(Charges_NonSlice!$Z$4:$Z$137,MATCH($A39,Charges_NonSlice!$AA$4:$AA$137,0),1)</f>
        <v>0.10277543375147484</v>
      </c>
      <c r="J39" s="52">
        <f ca="1">+INDEX(Charges_NonSlice!$Y$4:$Y$137,MATCH($A39,Charges_NonSlice!$AA$4:$AA$137,0),1)</f>
        <v>34.756010100893299</v>
      </c>
      <c r="K39" s="37">
        <f ca="1">+INDEX(Charges_NonSlice!$X$4:$X$137,MATCH($A39,Charges_NonSlice!$AA$4:$AA$137,0),1)/1000</f>
        <v>164.78667872726771</v>
      </c>
      <c r="L39" s="37">
        <f ca="1">+SUM(K$5:K39)</f>
        <v>12086.402729175679</v>
      </c>
      <c r="N39" t="str">
        <f ca="1">+INDEX('Charges_NonSlice &amp; Excl LS'!$C$4:$C$137,MATCH($A39,'Charges_NonSlice &amp; Excl LS'!$AA$4:$AA$137,0),1)</f>
        <v>Steilacoom, Town of</v>
      </c>
      <c r="O39" s="55">
        <f ca="1">+INDEX('Charges_NonSlice &amp; Excl LS'!$Z$4:$Z$137,MATCH($A39,'Charges_NonSlice &amp; Excl LS'!$AA$4:$AA$137,0),1)</f>
        <v>9.5824423711973569E-2</v>
      </c>
      <c r="P39" s="52">
        <f ca="1">+INDEX('Charges_NonSlice &amp; Excl LS'!$Y$4:$Y$137,MATCH($A39,'Charges_NonSlice &amp; Excl LS'!$AA$4:$AA$137,0),1)</f>
        <v>38.048516200513887</v>
      </c>
      <c r="Q39" s="37">
        <f ca="1">+INDEX('Charges_NonSlice &amp; Excl LS'!$X$4:$X$137,MATCH($A39,'Charges_NonSlice &amp; Excl LS'!$AA$4:$AA$137,0),1)/1000</f>
        <v>40.332317866752007</v>
      </c>
      <c r="R39" s="37">
        <f ca="1">+SUM(Q$5:Q39)</f>
        <v>7142.0401216394885</v>
      </c>
      <c r="T39" t="str">
        <f ca="1">+INDEX(Charges_NonSlice!$C$4:$C$137,MATCH($A39,Charges_NonSlice!$AA$4:$AA$137,0),1)</f>
        <v>Yakama Power</v>
      </c>
      <c r="U39" s="55">
        <f t="shared" ca="1" si="0"/>
        <v>6.2206197029749166E-2</v>
      </c>
      <c r="V39" s="52">
        <f ca="1">+INDEX(Charges_NonSlice!$Y$4:$Y$137,MATCH($A39,Charges_NonSlice!$AA$4:$AA$137,0),1)</f>
        <v>34.756010100893299</v>
      </c>
      <c r="W39" s="269">
        <f t="shared" ca="1" si="1"/>
        <v>32.720586829639714</v>
      </c>
      <c r="Y39" s="57" t="s">
        <v>128</v>
      </c>
      <c r="Z39" s="58">
        <v>29.479654338367865</v>
      </c>
    </row>
    <row r="40" spans="1:26">
      <c r="A40">
        <f t="shared" si="2"/>
        <v>36</v>
      </c>
      <c r="B40" t="str">
        <f ca="1">+INDEX('Charges_Including Slice and LS'!$C$4:$C$137,MATCH($A40,'Charges_Including Slice and LS'!$AA$4:$AA$137,0),1)</f>
        <v>Okanogan County PUD #1</v>
      </c>
      <c r="C40" s="55">
        <f ca="1">+INDEX('Charges_Including Slice and LS'!$Z$4:$Z$137,MATCH($A40,'Charges_Including Slice and LS'!$AA$4:$AA$137,0),1)</f>
        <v>0.10118532726032681</v>
      </c>
      <c r="D40" s="52">
        <f ca="1">+INDEX('Charges_Including Slice and LS'!$Y$4:$Y$137,MATCH($A40,'Charges_Including Slice and LS'!$AA$4:$AA$137,0),1)</f>
        <v>35.773415953250279</v>
      </c>
      <c r="E40" s="37">
        <f ca="1">+INDEX('Charges_Including Slice and LS'!$X$4:$X$137,MATCH($A40,'Charges_Including Slice and LS'!$AA$4:$AA$137,0),1)/1000</f>
        <v>404.50178387755818</v>
      </c>
      <c r="F40" s="37">
        <f ca="1">+SUM(E$5:E40)</f>
        <v>13752.118448937179</v>
      </c>
      <c r="H40" t="str">
        <f ca="1">+INDEX(Charges_NonSlice!$C$4:$C$137,MATCH($A40,Charges_NonSlice!$AA$4:$AA$137,0),1)</f>
        <v>Benton County PUD #1</v>
      </c>
      <c r="I40" s="55">
        <f ca="1">+INDEX(Charges_NonSlice!$Z$4:$Z$137,MATCH($A40,Charges_NonSlice!$AA$4:$AA$137,0),1)</f>
        <v>0.10274141112338799</v>
      </c>
      <c r="J40" s="52">
        <f ca="1">+INDEX(Charges_NonSlice!$Y$4:$Y$137,MATCH($A40,Charges_NonSlice!$AA$4:$AA$137,0),1)</f>
        <v>35.672605400828047</v>
      </c>
      <c r="K40" s="37">
        <f ca="1">+INDEX(Charges_NonSlice!$X$4:$X$137,MATCH($A40,Charges_NonSlice!$AA$4:$AA$137,0),1)/1000</f>
        <v>1770.2276334963474</v>
      </c>
      <c r="L40" s="37">
        <f ca="1">+SUM(K$5:K40)</f>
        <v>13856.630362672027</v>
      </c>
      <c r="N40" t="str">
        <f ca="1">+INDEX('Charges_NonSlice &amp; Excl LS'!$C$4:$C$137,MATCH($A40,'Charges_NonSlice &amp; Excl LS'!$AA$4:$AA$137,0),1)</f>
        <v>Emerald PUD</v>
      </c>
      <c r="O40" s="55">
        <f ca="1">+INDEX('Charges_NonSlice &amp; Excl LS'!$Z$4:$Z$137,MATCH($A40,'Charges_NonSlice &amp; Excl LS'!$AA$4:$AA$137,0),1)</f>
        <v>9.5729670974934303E-2</v>
      </c>
      <c r="P40" s="52">
        <f ca="1">+INDEX('Charges_NonSlice &amp; Excl LS'!$Y$4:$Y$137,MATCH($A40,'Charges_NonSlice &amp; Excl LS'!$AA$4:$AA$137,0),1)</f>
        <v>36.332072961134756</v>
      </c>
      <c r="Q40" s="37">
        <f ca="1">+INDEX('Charges_NonSlice &amp; Excl LS'!$X$4:$X$137,MATCH($A40,'Charges_NonSlice &amp; Excl LS'!$AA$4:$AA$137,0),1)/1000</f>
        <v>440.15537877004795</v>
      </c>
      <c r="R40" s="37">
        <f ca="1">+SUM(Q$5:Q40)</f>
        <v>7582.1955004095362</v>
      </c>
      <c r="T40" t="str">
        <f ca="1">+INDEX(Charges_NonSlice!$C$4:$C$137,MATCH($A40,Charges_NonSlice!$AA$4:$AA$137,0),1)</f>
        <v>Benton County PUD #1</v>
      </c>
      <c r="U40" s="55">
        <f t="shared" ca="1" si="0"/>
        <v>6.8253237771720654E-2</v>
      </c>
      <c r="V40" s="52">
        <f ca="1">+INDEX(Charges_NonSlice!$Y$4:$Y$137,MATCH($A40,Charges_NonSlice!$AA$4:$AA$137,0),1)</f>
        <v>35.672605400828047</v>
      </c>
      <c r="W40" s="269">
        <f t="shared" ca="1" si="1"/>
        <v>33.393397875617829</v>
      </c>
      <c r="Y40" s="57" t="s">
        <v>77</v>
      </c>
      <c r="Z40" s="58">
        <v>35.566157616475536</v>
      </c>
    </row>
    <row r="41" spans="1:26">
      <c r="A41">
        <f t="shared" si="2"/>
        <v>37</v>
      </c>
      <c r="B41" t="str">
        <f ca="1">+INDEX('Charges_Including Slice and LS'!$C$4:$C$137,MATCH($A41,'Charges_Including Slice and LS'!$AA$4:$AA$137,0),1)</f>
        <v>Troy, City of</v>
      </c>
      <c r="C41" s="55">
        <f ca="1">+INDEX('Charges_Including Slice and LS'!$Z$4:$Z$137,MATCH($A41,'Charges_Including Slice and LS'!$AA$4:$AA$137,0),1)</f>
        <v>0.10095606225905877</v>
      </c>
      <c r="D41" s="52">
        <f ca="1">+INDEX('Charges_Including Slice and LS'!$Y$4:$Y$137,MATCH($A41,'Charges_Including Slice and LS'!$AA$4:$AA$137,0),1)</f>
        <v>39.19576844506576</v>
      </c>
      <c r="E41" s="37">
        <f ca="1">+INDEX('Charges_Including Slice and LS'!$X$4:$X$137,MATCH($A41,'Charges_Including Slice and LS'!$AA$4:$AA$137,0),1)/1000</f>
        <v>17.550478035629208</v>
      </c>
      <c r="F41" s="37">
        <f ca="1">+SUM(E$5:E41)</f>
        <v>13769.668926972809</v>
      </c>
      <c r="H41" t="str">
        <f ca="1">+INDEX(Charges_NonSlice!$C$4:$C$137,MATCH($A41,Charges_NonSlice!$AA$4:$AA$137,0),1)</f>
        <v>Columbia Power Coop</v>
      </c>
      <c r="I41" s="55">
        <f ca="1">+INDEX(Charges_NonSlice!$Z$4:$Z$137,MATCH($A41,Charges_NonSlice!$AA$4:$AA$137,0),1)</f>
        <v>0.10250329271469902</v>
      </c>
      <c r="J41" s="52">
        <f ca="1">+INDEX(Charges_NonSlice!$Y$4:$Y$137,MATCH($A41,Charges_NonSlice!$AA$4:$AA$137,0),1)</f>
        <v>34.657889133361074</v>
      </c>
      <c r="K41" s="37">
        <f ca="1">+INDEX(Charges_NonSlice!$X$4:$X$137,MATCH($A41,Charges_NonSlice!$AA$4:$AA$137,0),1)/1000</f>
        <v>28.176787663550641</v>
      </c>
      <c r="L41" s="37">
        <f ca="1">+SUM(K$5:K41)</f>
        <v>13884.807150335579</v>
      </c>
      <c r="N41" t="str">
        <f ca="1">+INDEX('Charges_NonSlice &amp; Excl LS'!$C$4:$C$137,MATCH($A41,'Charges_NonSlice &amp; Excl LS'!$AA$4:$AA$137,0),1)</f>
        <v>Burley, City of</v>
      </c>
      <c r="O41" s="55">
        <f ca="1">+INDEX('Charges_NonSlice &amp; Excl LS'!$Z$4:$Z$137,MATCH($A41,'Charges_NonSlice &amp; Excl LS'!$AA$4:$AA$137,0),1)</f>
        <v>9.554086828265114E-2</v>
      </c>
      <c r="P41" s="52">
        <f ca="1">+INDEX('Charges_NonSlice &amp; Excl LS'!$Y$4:$Y$137,MATCH($A41,'Charges_NonSlice &amp; Excl LS'!$AA$4:$AA$137,0),1)</f>
        <v>37.220721466205205</v>
      </c>
      <c r="Q41" s="37">
        <f ca="1">+INDEX('Charges_NonSlice &amp; Excl LS'!$X$4:$X$137,MATCH($A41,'Charges_NonSlice &amp; Excl LS'!$AA$4:$AA$137,0),1)/1000</f>
        <v>123.911642414592</v>
      </c>
      <c r="R41" s="37">
        <f ca="1">+SUM(Q$5:Q41)</f>
        <v>7706.1071428241285</v>
      </c>
      <c r="T41" t="str">
        <f ca="1">+INDEX(Charges_NonSlice!$C$4:$C$137,MATCH($A41,Charges_NonSlice!$AA$4:$AA$137,0),1)</f>
        <v>Columbia Power Coop</v>
      </c>
      <c r="U41" s="55">
        <f t="shared" ca="1" si="0"/>
        <v>8.6746287485246043E-2</v>
      </c>
      <c r="V41" s="52">
        <f ca="1">+INDEX(Charges_NonSlice!$Y$4:$Y$137,MATCH($A41,Charges_NonSlice!$AA$4:$AA$137,0),1)</f>
        <v>34.657889133361074</v>
      </c>
      <c r="W41" s="269">
        <f t="shared" ca="1" si="1"/>
        <v>31.891426299288462</v>
      </c>
      <c r="Y41" s="57" t="s">
        <v>29</v>
      </c>
      <c r="Z41" s="58">
        <v>36.206735772270669</v>
      </c>
    </row>
    <row r="42" spans="1:26">
      <c r="A42">
        <f t="shared" si="2"/>
        <v>38</v>
      </c>
      <c r="B42" t="str">
        <f ca="1">+INDEX('Charges_Including Slice and LS'!$C$4:$C$137,MATCH($A42,'Charges_Including Slice and LS'!$AA$4:$AA$137,0),1)</f>
        <v>Pacific County PUD #2</v>
      </c>
      <c r="C42" s="55">
        <f ca="1">+INDEX('Charges_Including Slice and LS'!$Z$4:$Z$137,MATCH($A42,'Charges_Including Slice and LS'!$AA$4:$AA$137,0),1)</f>
        <v>0.10042878905437616</v>
      </c>
      <c r="D42" s="52">
        <f ca="1">+INDEX('Charges_Including Slice and LS'!$Y$4:$Y$137,MATCH($A42,'Charges_Including Slice and LS'!$AA$4:$AA$137,0),1)</f>
        <v>38.763892860382256</v>
      </c>
      <c r="E42" s="37">
        <f ca="1">+INDEX('Charges_Including Slice and LS'!$X$4:$X$137,MATCH($A42,'Charges_Including Slice and LS'!$AA$4:$AA$137,0),1)/1000</f>
        <v>320.05536000000001</v>
      </c>
      <c r="F42" s="37">
        <f ca="1">+SUM(E$5:E42)</f>
        <v>14089.724286972809</v>
      </c>
      <c r="H42" t="str">
        <f ca="1">+INDEX(Charges_NonSlice!$C$4:$C$137,MATCH($A42,Charges_NonSlice!$AA$4:$AA$137,0),1)</f>
        <v>Seattle City Light</v>
      </c>
      <c r="I42" s="55">
        <f ca="1">+INDEX(Charges_NonSlice!$Z$4:$Z$137,MATCH($A42,Charges_NonSlice!$AA$4:$AA$137,0),1)</f>
        <v>0.10221153254094849</v>
      </c>
      <c r="J42" s="52">
        <f ca="1">+INDEX(Charges_NonSlice!$Y$4:$Y$137,MATCH($A42,Charges_NonSlice!$AA$4:$AA$137,0),1)</f>
        <v>39.766829367122405</v>
      </c>
      <c r="K42" s="37">
        <f ca="1">+INDEX(Charges_NonSlice!$X$4:$X$137,MATCH($A42,Charges_NonSlice!$AA$4:$AA$137,0),1)/1000</f>
        <v>4380.1842185613568</v>
      </c>
      <c r="L42" s="37">
        <f ca="1">+SUM(K$5:K42)</f>
        <v>18264.991368896935</v>
      </c>
      <c r="N42" t="str">
        <f ca="1">+INDEX('Charges_NonSlice &amp; Excl LS'!$C$4:$C$137,MATCH($A42,'Charges_NonSlice &amp; Excl LS'!$AA$4:$AA$137,0),1)</f>
        <v>Mason County PUD #1</v>
      </c>
      <c r="O42" s="55">
        <f ca="1">+INDEX('Charges_NonSlice &amp; Excl LS'!$Z$4:$Z$137,MATCH($A42,'Charges_NonSlice &amp; Excl LS'!$AA$4:$AA$137,0),1)</f>
        <v>9.553605131521517E-2</v>
      </c>
      <c r="P42" s="52">
        <f ca="1">+INDEX('Charges_NonSlice &amp; Excl LS'!$Y$4:$Y$137,MATCH($A42,'Charges_NonSlice &amp; Excl LS'!$AA$4:$AA$137,0),1)</f>
        <v>39.70765742109802</v>
      </c>
      <c r="Q42" s="37">
        <f ca="1">+INDEX('Charges_NonSlice &amp; Excl LS'!$X$4:$X$137,MATCH($A42,'Charges_NonSlice &amp; Excl LS'!$AA$4:$AA$137,0),1)/1000</f>
        <v>79.182379456128004</v>
      </c>
      <c r="R42" s="37">
        <f ca="1">+SUM(Q$5:Q42)</f>
        <v>7785.2895222802563</v>
      </c>
      <c r="T42" t="str">
        <f ca="1">+INDEX(Charges_NonSlice!$C$4:$C$137,MATCH($A42,Charges_NonSlice!$AA$4:$AA$137,0),1)</f>
        <v>Seattle City Light</v>
      </c>
      <c r="U42" s="55">
        <f t="shared" ca="1" si="0"/>
        <v>6.3293412914187108E-2</v>
      </c>
      <c r="V42" s="52">
        <f ca="1">+INDEX(Charges_NonSlice!$Y$4:$Y$137,MATCH($A42,Charges_NonSlice!$AA$4:$AA$137,0),1)</f>
        <v>39.766829367122405</v>
      </c>
      <c r="W42" s="269">
        <f t="shared" ca="1" si="1"/>
        <v>37.399676217435363</v>
      </c>
      <c r="Y42" s="57" t="s">
        <v>66</v>
      </c>
      <c r="Z42" s="58">
        <v>32.932439008209641</v>
      </c>
    </row>
    <row r="43" spans="1:26">
      <c r="A43">
        <f t="shared" si="2"/>
        <v>39</v>
      </c>
      <c r="B43" t="str">
        <f ca="1">+INDEX('Charges_Including Slice and LS'!$C$4:$C$137,MATCH($A43,'Charges_Including Slice and LS'!$AA$4:$AA$137,0),1)</f>
        <v>U.S. DOE Albany Research Center</v>
      </c>
      <c r="C43" s="55">
        <f ca="1">+INDEX('Charges_Including Slice and LS'!$Z$4:$Z$137,MATCH($A43,'Charges_Including Slice and LS'!$AA$4:$AA$137,0),1)</f>
        <v>9.9523886025071784E-2</v>
      </c>
      <c r="D43" s="52">
        <f ca="1">+INDEX('Charges_Including Slice and LS'!$Y$4:$Y$137,MATCH($A43,'Charges_Including Slice and LS'!$AA$4:$AA$137,0),1)</f>
        <v>38.30390561883894</v>
      </c>
      <c r="E43" s="37">
        <f ca="1">+INDEX('Charges_Including Slice and LS'!$X$4:$X$137,MATCH($A43,'Charges_Including Slice and LS'!$AA$4:$AA$137,0),1)/1000</f>
        <v>4.0383599999999999</v>
      </c>
      <c r="F43" s="37">
        <f ca="1">+SUM(E$5:E43)</f>
        <v>14093.762646972809</v>
      </c>
      <c r="H43" t="str">
        <f ca="1">+INDEX(Charges_NonSlice!$C$4:$C$137,MATCH($A43,Charges_NonSlice!$AA$4:$AA$137,0),1)</f>
        <v>Cheney, City of</v>
      </c>
      <c r="I43" s="55">
        <f ca="1">+INDEX(Charges_NonSlice!$Z$4:$Z$137,MATCH($A43,Charges_NonSlice!$AA$4:$AA$137,0),1)</f>
        <v>0.10200487840679223</v>
      </c>
      <c r="J43" s="52">
        <f ca="1">+INDEX(Charges_NonSlice!$Y$4:$Y$137,MATCH($A43,Charges_NonSlice!$AA$4:$AA$137,0),1)</f>
        <v>41.599316758260457</v>
      </c>
      <c r="K43" s="37">
        <f ca="1">+INDEX(Charges_NonSlice!$X$4:$X$137,MATCH($A43,Charges_NonSlice!$AA$4:$AA$137,0),1)/1000</f>
        <v>139.35407999999998</v>
      </c>
      <c r="L43" s="37">
        <f ca="1">+SUM(K$5:K43)</f>
        <v>18404.345448896936</v>
      </c>
      <c r="N43" t="str">
        <f ca="1">+INDEX('Charges_NonSlice &amp; Excl LS'!$C$4:$C$137,MATCH($A43,'Charges_NonSlice &amp; Excl LS'!$AA$4:$AA$137,0),1)</f>
        <v>Farmers Elec Coop</v>
      </c>
      <c r="O43" s="55">
        <f ca="1">+INDEX('Charges_NonSlice &amp; Excl LS'!$Z$4:$Z$137,MATCH($A43,'Charges_NonSlice &amp; Excl LS'!$AA$4:$AA$137,0),1)</f>
        <v>9.5468242752947033E-2</v>
      </c>
      <c r="P43" s="52">
        <f ca="1">+INDEX('Charges_NonSlice &amp; Excl LS'!$Y$4:$Y$137,MATCH($A43,'Charges_NonSlice &amp; Excl LS'!$AA$4:$AA$137,0),1)</f>
        <v>44.584853481574648</v>
      </c>
      <c r="Q43" s="37">
        <f ca="1">+INDEX('Charges_NonSlice &amp; Excl LS'!$X$4:$X$137,MATCH($A43,'Charges_NonSlice &amp; Excl LS'!$AA$4:$AA$137,0),1)/1000</f>
        <v>4.4654527347840007</v>
      </c>
      <c r="R43" s="37">
        <f ca="1">+SUM(Q$5:Q43)</f>
        <v>7789.7549750150401</v>
      </c>
      <c r="T43" t="str">
        <f ca="1">+INDEX(Charges_NonSlice!$C$4:$C$137,MATCH($A43,Charges_NonSlice!$AA$4:$AA$137,0),1)</f>
        <v>Cheney, City of</v>
      </c>
      <c r="U43" s="55">
        <f t="shared" ca="1" si="0"/>
        <v>9.6362698869273622E-2</v>
      </c>
      <c r="V43" s="52">
        <f ca="1">+INDEX(Charges_NonSlice!$Y$4:$Y$137,MATCH($A43,Charges_NonSlice!$AA$4:$AA$137,0),1)</f>
        <v>41.599316758260457</v>
      </c>
      <c r="W43" s="269">
        <f t="shared" ca="1" si="1"/>
        <v>37.94302451293138</v>
      </c>
      <c r="Y43" s="57" t="s">
        <v>63</v>
      </c>
      <c r="Z43" s="58">
        <v>36.886714585386009</v>
      </c>
    </row>
    <row r="44" spans="1:26">
      <c r="A44">
        <f t="shared" si="2"/>
        <v>40</v>
      </c>
      <c r="B44" t="str">
        <f ca="1">+INDEX('Charges_Including Slice and LS'!$C$4:$C$137,MATCH($A44,'Charges_Including Slice and LS'!$AA$4:$AA$137,0),1)</f>
        <v>Pend Oreille County PUD  #1</v>
      </c>
      <c r="C44" s="55">
        <f ca="1">+INDEX('Charges_Including Slice and LS'!$Z$4:$Z$137,MATCH($A44,'Charges_Including Slice and LS'!$AA$4:$AA$137,0),1)</f>
        <v>9.945969127437343E-2</v>
      </c>
      <c r="D44" s="52">
        <f ca="1">+INDEX('Charges_Including Slice and LS'!$Y$4:$Y$137,MATCH($A44,'Charges_Including Slice and LS'!$AA$4:$AA$137,0),1)</f>
        <v>40.448515448281185</v>
      </c>
      <c r="E44" s="37">
        <f ca="1">+INDEX('Charges_Including Slice and LS'!$X$4:$X$137,MATCH($A44,'Charges_Including Slice and LS'!$AA$4:$AA$137,0),1)/1000</f>
        <v>133.77396789681052</v>
      </c>
      <c r="F44" s="37">
        <f ca="1">+SUM(E$5:E44)</f>
        <v>14227.536614869619</v>
      </c>
      <c r="H44" t="str">
        <f ca="1">+INDEX(Charges_NonSlice!$C$4:$C$137,MATCH($A44,Charges_NonSlice!$AA$4:$AA$137,0),1)</f>
        <v>Energy Northwest</v>
      </c>
      <c r="I44" s="55">
        <f ca="1">+INDEX(Charges_NonSlice!$Z$4:$Z$137,MATCH($A44,Charges_NonSlice!$AA$4:$AA$137,0),1)</f>
        <v>0.10189284990080696</v>
      </c>
      <c r="J44" s="52">
        <f ca="1">+INDEX(Charges_NonSlice!$Y$4:$Y$137,MATCH($A44,Charges_NonSlice!$AA$4:$AA$137,0),1)</f>
        <v>37.902381195123944</v>
      </c>
      <c r="K44" s="37">
        <f ca="1">+INDEX(Charges_NonSlice!$X$4:$X$137,MATCH($A44,Charges_NonSlice!$AA$4:$AA$137,0),1)/1000</f>
        <v>19.868206172757247</v>
      </c>
      <c r="L44" s="37">
        <f ca="1">+SUM(K$5:K44)</f>
        <v>18424.213655069692</v>
      </c>
      <c r="N44" t="str">
        <f ca="1">+INDEX('Charges_NonSlice &amp; Excl LS'!$C$4:$C$137,MATCH($A44,'Charges_NonSlice &amp; Excl LS'!$AA$4:$AA$137,0),1)</f>
        <v>Coulee Dam, City of</v>
      </c>
      <c r="O44" s="55">
        <f ca="1">+INDEX('Charges_NonSlice &amp; Excl LS'!$Z$4:$Z$137,MATCH($A44,'Charges_NonSlice &amp; Excl LS'!$AA$4:$AA$137,0),1)</f>
        <v>9.5419368575370311E-2</v>
      </c>
      <c r="P44" s="52">
        <f ca="1">+INDEX('Charges_NonSlice &amp; Excl LS'!$Y$4:$Y$137,MATCH($A44,'Charges_NonSlice &amp; Excl LS'!$AA$4:$AA$137,0),1)</f>
        <v>38.352533827254028</v>
      </c>
      <c r="Q44" s="37">
        <f ca="1">+INDEX('Charges_NonSlice &amp; Excl LS'!$X$4:$X$137,MATCH($A44,'Charges_NonSlice &amp; Excl LS'!$AA$4:$AA$137,0),1)/1000</f>
        <v>17.811987198720001</v>
      </c>
      <c r="R44" s="37">
        <f ca="1">+SUM(Q$5:Q44)</f>
        <v>7807.5669622137602</v>
      </c>
      <c r="T44" t="str">
        <f ca="1">+INDEX(Charges_NonSlice!$C$4:$C$137,MATCH($A44,Charges_NonSlice!$AA$4:$AA$137,0),1)</f>
        <v>Energy Northwest</v>
      </c>
      <c r="U44" s="55">
        <f t="shared" ca="1" si="0"/>
        <v>5.6888559948618855E-2</v>
      </c>
      <c r="V44" s="52">
        <f ca="1">+INDEX(Charges_NonSlice!$Y$4:$Y$137,MATCH($A44,Charges_NonSlice!$AA$4:$AA$137,0),1)</f>
        <v>37.902381195123944</v>
      </c>
      <c r="W44" s="269">
        <f t="shared" ca="1" si="1"/>
        <v>35.86223054298798</v>
      </c>
      <c r="Y44" s="57" t="s">
        <v>26</v>
      </c>
      <c r="Z44" s="58">
        <v>36.591789373091203</v>
      </c>
    </row>
    <row r="45" spans="1:26">
      <c r="A45">
        <f t="shared" si="2"/>
        <v>41</v>
      </c>
      <c r="B45" t="str">
        <f ca="1">+INDEX('Charges_Including Slice and LS'!$C$4:$C$137,MATCH($A45,'Charges_Including Slice and LS'!$AA$4:$AA$137,0),1)</f>
        <v>Sumas, Town of</v>
      </c>
      <c r="C45" s="55">
        <f ca="1">+INDEX('Charges_Including Slice and LS'!$Z$4:$Z$137,MATCH($A45,'Charges_Including Slice and LS'!$AA$4:$AA$137,0),1)</f>
        <v>9.9402726988724779E-2</v>
      </c>
      <c r="D45" s="52">
        <f ca="1">+INDEX('Charges_Including Slice and LS'!$Y$4:$Y$137,MATCH($A45,'Charges_Including Slice and LS'!$AA$4:$AA$137,0),1)</f>
        <v>36.650595971243519</v>
      </c>
      <c r="E45" s="37">
        <f ca="1">+INDEX('Charges_Including Slice and LS'!$X$4:$X$137,MATCH($A45,'Charges_Including Slice and LS'!$AA$4:$AA$137,0),1)/1000</f>
        <v>32.096640000000001</v>
      </c>
      <c r="F45" s="37">
        <f ca="1">+SUM(E$5:E45)</f>
        <v>14259.633254869619</v>
      </c>
      <c r="H45" t="str">
        <f ca="1">+INDEX(Charges_NonSlice!$C$4:$C$137,MATCH($A45,Charges_NonSlice!$AA$4:$AA$137,0),1)</f>
        <v>Missoula Elec Coop</v>
      </c>
      <c r="I45" s="55">
        <f ca="1">+INDEX(Charges_NonSlice!$Z$4:$Z$137,MATCH($A45,Charges_NonSlice!$AA$4:$AA$137,0),1)</f>
        <v>0.10178302682090354</v>
      </c>
      <c r="J45" s="52">
        <f ca="1">+INDEX(Charges_NonSlice!$Y$4:$Y$137,MATCH($A45,Charges_NonSlice!$AA$4:$AA$137,0),1)</f>
        <v>37.352552389863995</v>
      </c>
      <c r="K45" s="37">
        <f ca="1">+INDEX(Charges_NonSlice!$X$4:$X$137,MATCH($A45,Charges_NonSlice!$AA$4:$AA$137,0),1)/1000</f>
        <v>237.75515999999996</v>
      </c>
      <c r="L45" s="37">
        <f ca="1">+SUM(K$5:K45)</f>
        <v>18661.968815069693</v>
      </c>
      <c r="N45" t="str">
        <f ca="1">+INDEX('Charges_NonSlice &amp; Excl LS'!$C$4:$C$137,MATCH($A45,'Charges_NonSlice &amp; Excl LS'!$AA$4:$AA$137,0),1)</f>
        <v>Richland, City of</v>
      </c>
      <c r="O45" s="55">
        <f ca="1">+INDEX('Charges_NonSlice &amp; Excl LS'!$Z$4:$Z$137,MATCH($A45,'Charges_NonSlice &amp; Excl LS'!$AA$4:$AA$137,0),1)</f>
        <v>9.5410217034752345E-2</v>
      </c>
      <c r="P45" s="52">
        <f ca="1">+INDEX('Charges_NonSlice &amp; Excl LS'!$Y$4:$Y$137,MATCH($A45,'Charges_NonSlice &amp; Excl LS'!$AA$4:$AA$137,0),1)</f>
        <v>35.892337391578408</v>
      </c>
      <c r="Q45" s="37">
        <f ca="1">+INDEX('Charges_NonSlice &amp; Excl LS'!$X$4:$X$137,MATCH($A45,'Charges_NonSlice &amp; Excl LS'!$AA$4:$AA$137,0),1)/1000</f>
        <v>918.17057228870408</v>
      </c>
      <c r="R45" s="37">
        <f ca="1">+SUM(Q$5:Q45)</f>
        <v>8725.7375345024648</v>
      </c>
      <c r="T45" t="str">
        <f ca="1">+INDEX(Charges_NonSlice!$C$4:$C$137,MATCH($A45,Charges_NonSlice!$AA$4:$AA$137,0),1)</f>
        <v>Missoula Elec Coop</v>
      </c>
      <c r="U45" s="55">
        <f t="shared" ca="1" si="0"/>
        <v>9.6364854522444698E-2</v>
      </c>
      <c r="V45" s="52">
        <f ca="1">+INDEX(Charges_NonSlice!$Y$4:$Y$137,MATCH($A45,Charges_NonSlice!$AA$4:$AA$137,0),1)</f>
        <v>37.352552389863995</v>
      </c>
      <c r="W45" s="269">
        <f t="shared" ca="1" si="1"/>
        <v>34.069454375326579</v>
      </c>
      <c r="Y45" s="57" t="s">
        <v>94</v>
      </c>
      <c r="Z45" s="58">
        <v>34.176268726866923</v>
      </c>
    </row>
    <row r="46" spans="1:26">
      <c r="A46">
        <f t="shared" si="2"/>
        <v>42</v>
      </c>
      <c r="B46" t="str">
        <f ca="1">+INDEX('Charges_Including Slice and LS'!$C$4:$C$137,MATCH($A46,'Charges_Including Slice and LS'!$AA$4:$AA$137,0),1)</f>
        <v>Canby, City of</v>
      </c>
      <c r="C46" s="55">
        <f ca="1">+INDEX('Charges_Including Slice and LS'!$Z$4:$Z$137,MATCH($A46,'Charges_Including Slice and LS'!$AA$4:$AA$137,0),1)</f>
        <v>9.868348679180397E-2</v>
      </c>
      <c r="D46" s="52">
        <f ca="1">+INDEX('Charges_Including Slice and LS'!$Y$4:$Y$137,MATCH($A46,'Charges_Including Slice and LS'!$AA$4:$AA$137,0),1)</f>
        <v>38.777996377627254</v>
      </c>
      <c r="E46" s="37">
        <f ca="1">+INDEX('Charges_Including Slice and LS'!$X$4:$X$137,MATCH($A46,'Charges_Including Slice and LS'!$AA$4:$AA$137,0),1)/1000</f>
        <v>178.93175999999997</v>
      </c>
      <c r="F46" s="37">
        <f ca="1">+SUM(E$5:E46)</f>
        <v>14438.565014869619</v>
      </c>
      <c r="H46" t="str">
        <f ca="1">+INDEX(Charges_NonSlice!$C$4:$C$137,MATCH($A46,Charges_NonSlice!$AA$4:$AA$137,0),1)</f>
        <v>Steilacoom, Town of</v>
      </c>
      <c r="I46" s="55">
        <f ca="1">+INDEX(Charges_NonSlice!$Z$4:$Z$137,MATCH($A46,Charges_NonSlice!$AA$4:$AA$137,0),1)</f>
        <v>0.10123238890294192</v>
      </c>
      <c r="J46" s="52">
        <f ca="1">+INDEX(Charges_NonSlice!$Y$4:$Y$137,MATCH($A46,Charges_NonSlice!$AA$4:$AA$137,0),1)</f>
        <v>39.297667272681515</v>
      </c>
      <c r="K46" s="37">
        <f ca="1">+INDEX(Charges_NonSlice!$X$4:$X$137,MATCH($A46,Charges_NonSlice!$AA$4:$AA$137,0),1)/1000</f>
        <v>40.333773380807507</v>
      </c>
      <c r="L46" s="37">
        <f ca="1">+SUM(K$5:K46)</f>
        <v>18702.3025884505</v>
      </c>
      <c r="N46" t="str">
        <f ca="1">+INDEX('Charges_NonSlice &amp; Excl LS'!$C$4:$C$137,MATCH($A46,'Charges_NonSlice &amp; Excl LS'!$AA$4:$AA$137,0),1)</f>
        <v>Central Lincoln PUD</v>
      </c>
      <c r="O46" s="55">
        <f ca="1">+INDEX('Charges_NonSlice &amp; Excl LS'!$Z$4:$Z$137,MATCH($A46,'Charges_NonSlice &amp; Excl LS'!$AA$4:$AA$137,0),1)</f>
        <v>9.5314701496508655E-2</v>
      </c>
      <c r="P46" s="52">
        <f ca="1">+INDEX('Charges_NonSlice &amp; Excl LS'!$Y$4:$Y$137,MATCH($A46,'Charges_NonSlice &amp; Excl LS'!$AA$4:$AA$137,0),1)</f>
        <v>36.413088256224391</v>
      </c>
      <c r="Q46" s="37">
        <f ca="1">+INDEX('Charges_NonSlice &amp; Excl LS'!$X$4:$X$137,MATCH($A46,'Charges_NonSlice &amp; Excl LS'!$AA$4:$AA$137,0),1)/1000</f>
        <v>1327.3169006173441</v>
      </c>
      <c r="R46" s="37">
        <f ca="1">+SUM(Q$5:Q46)</f>
        <v>10053.05443511981</v>
      </c>
      <c r="T46" t="str">
        <f ca="1">+INDEX(Charges_NonSlice!$C$4:$C$137,MATCH($A46,Charges_NonSlice!$AA$4:$AA$137,0),1)</f>
        <v>Steilacoom, Town of</v>
      </c>
      <c r="U46" s="55">
        <f t="shared" ca="1" si="0"/>
        <v>7.8522731502631116E-2</v>
      </c>
      <c r="V46" s="52">
        <f ca="1">+INDEX(Charges_NonSlice!$Y$4:$Y$137,MATCH($A46,Charges_NonSlice!$AA$4:$AA$137,0),1)</f>
        <v>39.297667272681515</v>
      </c>
      <c r="W46" s="269">
        <f t="shared" ca="1" si="1"/>
        <v>36.436568395670989</v>
      </c>
      <c r="Y46" s="57" t="s">
        <v>28</v>
      </c>
      <c r="Z46" s="58">
        <v>35.620414462469377</v>
      </c>
    </row>
    <row r="47" spans="1:26">
      <c r="A47">
        <f t="shared" si="2"/>
        <v>43</v>
      </c>
      <c r="B47" t="str">
        <f ca="1">+INDEX('Charges_Including Slice and LS'!$C$4:$C$137,MATCH($A47,'Charges_Including Slice and LS'!$AA$4:$AA$137,0),1)</f>
        <v>Ashland, City of</v>
      </c>
      <c r="C47" s="55">
        <f ca="1">+INDEX('Charges_Including Slice and LS'!$Z$4:$Z$137,MATCH($A47,'Charges_Including Slice and LS'!$AA$4:$AA$137,0),1)</f>
        <v>9.8577922572661722E-2</v>
      </c>
      <c r="D47" s="52">
        <f ca="1">+INDEX('Charges_Including Slice and LS'!$Y$4:$Y$137,MATCH($A47,'Charges_Including Slice and LS'!$AA$4:$AA$137,0),1)</f>
        <v>39.639193871858716</v>
      </c>
      <c r="E47" s="37">
        <f ca="1">+INDEX('Charges_Including Slice and LS'!$X$4:$X$137,MATCH($A47,'Charges_Including Slice and LS'!$AA$4:$AA$137,0),1)/1000</f>
        <v>168.34932093755521</v>
      </c>
      <c r="F47" s="37">
        <f ca="1">+SUM(E$5:E47)</f>
        <v>14606.914335807174</v>
      </c>
      <c r="H47" t="str">
        <f ca="1">+INDEX(Charges_NonSlice!$C$4:$C$137,MATCH($A47,Charges_NonSlice!$AA$4:$AA$137,0),1)</f>
        <v>Okanogan County PUD #1</v>
      </c>
      <c r="I47" s="55">
        <f ca="1">+INDEX(Charges_NonSlice!$Z$4:$Z$137,MATCH($A47,Charges_NonSlice!$AA$4:$AA$137,0),1)</f>
        <v>0.10118461940108921</v>
      </c>
      <c r="J47" s="52">
        <f ca="1">+INDEX(Charges_NonSlice!$Y$4:$Y$137,MATCH($A47,Charges_NonSlice!$AA$4:$AA$137,0),1)</f>
        <v>35.773635977001838</v>
      </c>
      <c r="K47" s="37">
        <f ca="1">+INDEX(Charges_NonSlice!$X$4:$X$137,MATCH($A47,Charges_NonSlice!$AA$4:$AA$137,0),1)/1000</f>
        <v>404.50178387755818</v>
      </c>
      <c r="L47" s="37">
        <f ca="1">+SUM(K$5:K47)</f>
        <v>19106.804372328057</v>
      </c>
      <c r="N47" t="str">
        <f ca="1">+INDEX('Charges_NonSlice &amp; Excl LS'!$C$4:$C$137,MATCH($A47,'Charges_NonSlice &amp; Excl LS'!$AA$4:$AA$137,0),1)</f>
        <v>Sumas, Town of</v>
      </c>
      <c r="O47" s="55">
        <f ca="1">+INDEX('Charges_NonSlice &amp; Excl LS'!$Z$4:$Z$137,MATCH($A47,'Charges_NonSlice &amp; Excl LS'!$AA$4:$AA$137,0),1)</f>
        <v>9.5233161761217086E-2</v>
      </c>
      <c r="P47" s="52">
        <f ca="1">+INDEX('Charges_NonSlice &amp; Excl LS'!$Y$4:$Y$137,MATCH($A47,'Charges_NonSlice &amp; Excl LS'!$AA$4:$AA$137,0),1)</f>
        <v>36.068504151659738</v>
      </c>
      <c r="Q47" s="37">
        <f ca="1">+INDEX('Charges_NonSlice &amp; Excl LS'!$X$4:$X$137,MATCH($A47,'Charges_NonSlice &amp; Excl LS'!$AA$4:$AA$137,0),1)/1000</f>
        <v>32.098944763007999</v>
      </c>
      <c r="R47" s="37">
        <f ca="1">+SUM(Q$5:Q47)</f>
        <v>10085.153379882817</v>
      </c>
      <c r="T47" t="str">
        <f ca="1">+INDEX(Charges_NonSlice!$C$4:$C$137,MATCH($A47,Charges_NonSlice!$AA$4:$AA$137,0),1)</f>
        <v>Okanogan County PUD #1</v>
      </c>
      <c r="U47" s="55">
        <f t="shared" ca="1" si="0"/>
        <v>5.8176350296480051E-2</v>
      </c>
      <c r="V47" s="52">
        <f ca="1">+INDEX(Charges_NonSlice!$Y$4:$Y$137,MATCH($A47,Charges_NonSlice!$AA$4:$AA$137,0),1)</f>
        <v>35.773635977001838</v>
      </c>
      <c r="W47" s="269">
        <f t="shared" ca="1" si="1"/>
        <v>33.806875353979301</v>
      </c>
      <c r="Y47" s="57" t="s">
        <v>70</v>
      </c>
      <c r="Z47" s="58">
        <v>38.965291334220822</v>
      </c>
    </row>
    <row r="48" spans="1:26">
      <c r="A48">
        <f t="shared" si="2"/>
        <v>44</v>
      </c>
      <c r="B48" t="str">
        <f ca="1">+INDEX('Charges_Including Slice and LS'!$C$4:$C$137,MATCH($A48,'Charges_Including Slice and LS'!$AA$4:$AA$137,0),1)</f>
        <v>Milton, Town of</v>
      </c>
      <c r="C48" s="55">
        <f ca="1">+INDEX('Charges_Including Slice and LS'!$Z$4:$Z$137,MATCH($A48,'Charges_Including Slice and LS'!$AA$4:$AA$137,0),1)</f>
        <v>9.812505480895789E-2</v>
      </c>
      <c r="D48" s="52">
        <f ca="1">+INDEX('Charges_Including Slice and LS'!$Y$4:$Y$137,MATCH($A48,'Charges_Including Slice and LS'!$AA$4:$AA$137,0),1)</f>
        <v>38.275145179864147</v>
      </c>
      <c r="E48" s="37">
        <f ca="1">+INDEX('Charges_Including Slice and LS'!$X$4:$X$137,MATCH($A48,'Charges_Including Slice and LS'!$AA$4:$AA$137,0),1)/1000</f>
        <v>58.386085446582818</v>
      </c>
      <c r="F48" s="37">
        <f ca="1">+SUM(E$5:E48)</f>
        <v>14665.300421253756</v>
      </c>
      <c r="H48" t="str">
        <f ca="1">+INDEX(Charges_NonSlice!$C$4:$C$137,MATCH($A48,Charges_NonSlice!$AA$4:$AA$137,0),1)</f>
        <v>Troy, City of</v>
      </c>
      <c r="I48" s="55">
        <f ca="1">+INDEX(Charges_NonSlice!$Z$4:$Z$137,MATCH($A48,Charges_NonSlice!$AA$4:$AA$137,0),1)</f>
        <v>0.10095040744626907</v>
      </c>
      <c r="J48" s="52">
        <f ca="1">+INDEX(Charges_NonSlice!$Y$4:$Y$137,MATCH($A48,Charges_NonSlice!$AA$4:$AA$137,0),1)</f>
        <v>39.197762692739751</v>
      </c>
      <c r="K48" s="37">
        <f ca="1">+INDEX(Charges_NonSlice!$X$4:$X$137,MATCH($A48,Charges_NonSlice!$AA$4:$AA$137,0),1)/1000</f>
        <v>17.550478035629208</v>
      </c>
      <c r="L48" s="37">
        <f ca="1">+SUM(K$5:K48)</f>
        <v>19124.354850363685</v>
      </c>
      <c r="N48" t="str">
        <f ca="1">+INDEX('Charges_NonSlice &amp; Excl LS'!$C$4:$C$137,MATCH($A48,'Charges_NonSlice &amp; Excl LS'!$AA$4:$AA$137,0),1)</f>
        <v>U.S. Naval Base,  Bremerton</v>
      </c>
      <c r="O48" s="55">
        <f ca="1">+INDEX('Charges_NonSlice &amp; Excl LS'!$Z$4:$Z$137,MATCH($A48,'Charges_NonSlice &amp; Excl LS'!$AA$4:$AA$137,0),1)</f>
        <v>9.5133642364090942E-2</v>
      </c>
      <c r="P48" s="52">
        <f ca="1">+INDEX('Charges_NonSlice &amp; Excl LS'!$Y$4:$Y$137,MATCH($A48,'Charges_NonSlice &amp; Excl LS'!$AA$4:$AA$137,0),1)</f>
        <v>35.875338069722837</v>
      </c>
      <c r="Q48" s="37">
        <f ca="1">+INDEX('Charges_NonSlice &amp; Excl LS'!$X$4:$X$137,MATCH($A48,'Charges_NonSlice &amp; Excl LS'!$AA$4:$AA$137,0),1)/1000</f>
        <v>253.96406083545605</v>
      </c>
      <c r="R48" s="37">
        <f ca="1">+SUM(Q$5:Q48)</f>
        <v>10339.117440718273</v>
      </c>
      <c r="T48" t="str">
        <f ca="1">+INDEX(Charges_NonSlice!$C$4:$C$137,MATCH($A48,Charges_NonSlice!$AA$4:$AA$137,0),1)</f>
        <v>Troy, City of</v>
      </c>
      <c r="U48" s="55">
        <f t="shared" ca="1" si="0"/>
        <v>6.576217590745026E-2</v>
      </c>
      <c r="V48" s="52">
        <f ca="1">+INDEX(Charges_NonSlice!$Y$4:$Y$137,MATCH($A48,Charges_NonSlice!$AA$4:$AA$137,0),1)</f>
        <v>39.197762692739751</v>
      </c>
      <c r="W48" s="269">
        <f t="shared" ca="1" si="1"/>
        <v>36.779089724557501</v>
      </c>
      <c r="Y48" s="57" t="s">
        <v>140</v>
      </c>
      <c r="Z48" s="58">
        <v>34.268802686734865</v>
      </c>
    </row>
    <row r="49" spans="1:26">
      <c r="A49">
        <f t="shared" si="2"/>
        <v>45</v>
      </c>
      <c r="B49" t="str">
        <f ca="1">+INDEX('Charges_Including Slice and LS'!$C$4:$C$137,MATCH($A49,'Charges_Including Slice and LS'!$AA$4:$AA$137,0),1)</f>
        <v>Jefferson County PUD #1</v>
      </c>
      <c r="C49" s="55">
        <f ca="1">+INDEX('Charges_Including Slice and LS'!$Z$4:$Z$137,MATCH($A49,'Charges_Including Slice and LS'!$AA$4:$AA$137,0),1)</f>
        <v>9.7771509130438861E-2</v>
      </c>
      <c r="D49" s="52">
        <f ca="1">+INDEX('Charges_Including Slice and LS'!$Y$4:$Y$137,MATCH($A49,'Charges_Including Slice and LS'!$AA$4:$AA$137,0),1)</f>
        <v>38.093614927249178</v>
      </c>
      <c r="E49" s="37">
        <f ca="1">+INDEX('Charges_Including Slice and LS'!$X$4:$X$137,MATCH($A49,'Charges_Including Slice and LS'!$AA$4:$AA$137,0),1)/1000</f>
        <v>397.98988749337906</v>
      </c>
      <c r="F49" s="37">
        <f ca="1">+SUM(E$5:E49)</f>
        <v>15063.290308747135</v>
      </c>
      <c r="H49" t="str">
        <f ca="1">+INDEX(Charges_NonSlice!$C$4:$C$137,MATCH($A49,Charges_NonSlice!$AA$4:$AA$137,0),1)</f>
        <v>Pacific County PUD #2</v>
      </c>
      <c r="I49" s="55">
        <f ca="1">+INDEX(Charges_NonSlice!$Z$4:$Z$137,MATCH($A49,Charges_NonSlice!$AA$4:$AA$137,0),1)</f>
        <v>0.10042794256208432</v>
      </c>
      <c r="J49" s="52">
        <f ca="1">+INDEX(Charges_NonSlice!$Y$4:$Y$137,MATCH($A49,Charges_NonSlice!$AA$4:$AA$137,0),1)</f>
        <v>38.764180310653359</v>
      </c>
      <c r="K49" s="37">
        <f ca="1">+INDEX(Charges_NonSlice!$X$4:$X$137,MATCH($A49,Charges_NonSlice!$AA$4:$AA$137,0),1)/1000</f>
        <v>320.05536000000001</v>
      </c>
      <c r="L49" s="37">
        <f ca="1">+SUM(K$5:K49)</f>
        <v>19444.410210363683</v>
      </c>
      <c r="N49" t="str">
        <f ca="1">+INDEX('Charges_NonSlice &amp; Excl LS'!$C$4:$C$137,MATCH($A49,'Charges_NonSlice &amp; Excl LS'!$AA$4:$AA$137,0),1)</f>
        <v>Port Angeles, City of</v>
      </c>
      <c r="O49" s="55">
        <f ca="1">+INDEX('Charges_NonSlice &amp; Excl LS'!$Z$4:$Z$137,MATCH($A49,'Charges_NonSlice &amp; Excl LS'!$AA$4:$AA$137,0),1)</f>
        <v>9.5116395638114776E-2</v>
      </c>
      <c r="P49" s="52">
        <f ca="1">+INDEX('Charges_NonSlice &amp; Excl LS'!$Y$4:$Y$137,MATCH($A49,'Charges_NonSlice &amp; Excl LS'!$AA$4:$AA$137,0),1)</f>
        <v>35.022516977770387</v>
      </c>
      <c r="Q49" s="37">
        <f ca="1">+INDEX('Charges_NonSlice &amp; Excl LS'!$X$4:$X$137,MATCH($A49,'Charges_NonSlice &amp; Excl LS'!$AA$4:$AA$137,0),1)/1000</f>
        <v>428.17276920000006</v>
      </c>
      <c r="R49" s="37">
        <f ca="1">+SUM(Q$5:Q49)</f>
        <v>10767.290209918274</v>
      </c>
      <c r="T49" t="str">
        <f ca="1">+INDEX(Charges_NonSlice!$C$4:$C$137,MATCH($A49,Charges_NonSlice!$AA$4:$AA$137,0),1)</f>
        <v>Pacific County PUD #2</v>
      </c>
      <c r="U49" s="55">
        <f t="shared" ca="1" si="0"/>
        <v>7.2188068825684848E-2</v>
      </c>
      <c r="V49" s="52">
        <f ca="1">+INDEX(Charges_NonSlice!$Y$4:$Y$137,MATCH($A49,Charges_NonSlice!$AA$4:$AA$137,0),1)</f>
        <v>38.764180310653359</v>
      </c>
      <c r="W49" s="269">
        <f t="shared" ca="1" si="1"/>
        <v>36.154273152013218</v>
      </c>
      <c r="Y49" s="57" t="s">
        <v>117</v>
      </c>
      <c r="Z49" s="58">
        <v>34.821064103731885</v>
      </c>
    </row>
    <row r="50" spans="1:26">
      <c r="A50">
        <f t="shared" si="2"/>
        <v>46</v>
      </c>
      <c r="B50" t="str">
        <f ca="1">+INDEX('Charges_Including Slice and LS'!$C$4:$C$137,MATCH($A50,'Charges_Including Slice and LS'!$AA$4:$AA$137,0),1)</f>
        <v>Declo, City of</v>
      </c>
      <c r="C50" s="55">
        <f ca="1">+INDEX('Charges_Including Slice and LS'!$Z$4:$Z$137,MATCH($A50,'Charges_Including Slice and LS'!$AA$4:$AA$137,0),1)</f>
        <v>9.7438482808411622E-2</v>
      </c>
      <c r="D50" s="52">
        <f ca="1">+INDEX('Charges_Including Slice and LS'!$Y$4:$Y$137,MATCH($A50,'Charges_Including Slice and LS'!$AA$4:$AA$137,0),1)</f>
        <v>43.321064269964616</v>
      </c>
      <c r="E50" s="37">
        <f ca="1">+INDEX('Charges_Including Slice and LS'!$X$4:$X$137,MATCH($A50,'Charges_Including Slice and LS'!$AA$4:$AA$137,0),1)/1000</f>
        <v>3.1623599999999996</v>
      </c>
      <c r="F50" s="37">
        <f ca="1">+SUM(E$5:E50)</f>
        <v>15066.452668747135</v>
      </c>
      <c r="H50" t="str">
        <f ca="1">+INDEX(Charges_NonSlice!$C$4:$C$137,MATCH($A50,Charges_NonSlice!$AA$4:$AA$137,0),1)</f>
        <v>Pend Oreille County PUD  #1</v>
      </c>
      <c r="I50" s="55">
        <f ca="1">+INDEX(Charges_NonSlice!$Z$4:$Z$137,MATCH($A50,Charges_NonSlice!$AA$4:$AA$137,0),1)</f>
        <v>9.9457791250642177E-2</v>
      </c>
      <c r="J50" s="52">
        <f ca="1">+INDEX(Charges_NonSlice!$Y$4:$Y$137,MATCH($A50,Charges_NonSlice!$AA$4:$AA$137,0),1)</f>
        <v>40.449218126100178</v>
      </c>
      <c r="K50" s="37">
        <f ca="1">+INDEX(Charges_NonSlice!$X$4:$X$137,MATCH($A50,Charges_NonSlice!$AA$4:$AA$137,0),1)/1000</f>
        <v>133.77396789681052</v>
      </c>
      <c r="L50" s="37">
        <f ca="1">+SUM(K$5:K50)</f>
        <v>19578.184178260493</v>
      </c>
      <c r="N50" t="str">
        <f ca="1">+INDEX('Charges_NonSlice &amp; Excl LS'!$C$4:$C$137,MATCH($A50,'Charges_NonSlice &amp; Excl LS'!$AA$4:$AA$137,0),1)</f>
        <v>Blaine, City of</v>
      </c>
      <c r="O50" s="55">
        <f ca="1">+INDEX('Charges_NonSlice &amp; Excl LS'!$Z$4:$Z$137,MATCH($A50,'Charges_NonSlice &amp; Excl LS'!$AA$4:$AA$137,0),1)</f>
        <v>9.5059708956708386E-2</v>
      </c>
      <c r="P50" s="52">
        <f ca="1">+INDEX('Charges_NonSlice &amp; Excl LS'!$Y$4:$Y$137,MATCH($A50,'Charges_NonSlice &amp; Excl LS'!$AA$4:$AA$137,0),1)</f>
        <v>37.38780960194218</v>
      </c>
      <c r="Q50" s="37">
        <f ca="1">+INDEX('Charges_NonSlice &amp; Excl LS'!$X$4:$X$137,MATCH($A50,'Charges_NonSlice &amp; Excl LS'!$AA$4:$AA$137,0),1)/1000</f>
        <v>77.058642520896015</v>
      </c>
      <c r="R50" s="37">
        <f ca="1">+SUM(Q$5:Q50)</f>
        <v>10844.348852439171</v>
      </c>
      <c r="T50" t="str">
        <f ca="1">+INDEX(Charges_NonSlice!$C$4:$C$137,MATCH($A50,Charges_NonSlice!$AA$4:$AA$137,0),1)</f>
        <v>Pend Oreille County PUD  #1</v>
      </c>
      <c r="U50" s="55">
        <f t="shared" ca="1" si="0"/>
        <v>6.1383275232521184E-2</v>
      </c>
      <c r="V50" s="52">
        <f ca="1">+INDEX(Charges_NonSlice!$Y$4:$Y$137,MATCH($A50,Charges_NonSlice!$AA$4:$AA$137,0),1)</f>
        <v>40.449218126100178</v>
      </c>
      <c r="W50" s="269">
        <f t="shared" ca="1" si="1"/>
        <v>38.109907203162606</v>
      </c>
      <c r="Y50" s="57" t="s">
        <v>74</v>
      </c>
      <c r="Z50" s="58">
        <v>34.120766694305551</v>
      </c>
    </row>
    <row r="51" spans="1:26">
      <c r="A51">
        <f t="shared" si="2"/>
        <v>47</v>
      </c>
      <c r="B51" t="str">
        <f ca="1">+INDEX('Charges_Including Slice and LS'!$C$4:$C$137,MATCH($A51,'Charges_Including Slice and LS'!$AA$4:$AA$137,0),1)</f>
        <v>Mason County PUD #1</v>
      </c>
      <c r="C51" s="55">
        <f ca="1">+INDEX('Charges_Including Slice and LS'!$Z$4:$Z$137,MATCH($A51,'Charges_Including Slice and LS'!$AA$4:$AA$137,0),1)</f>
        <v>9.7342056632457194E-2</v>
      </c>
      <c r="D51" s="52">
        <f ca="1">+INDEX('Charges_Including Slice and LS'!$Y$4:$Y$137,MATCH($A51,'Charges_Including Slice and LS'!$AA$4:$AA$137,0),1)</f>
        <v>41.034847945204739</v>
      </c>
      <c r="E51" s="37">
        <f ca="1">+INDEX('Charges_Including Slice and LS'!$X$4:$X$137,MATCH($A51,'Charges_Including Slice and LS'!$AA$4:$AA$137,0),1)/1000</f>
        <v>79.181640000000002</v>
      </c>
      <c r="F51" s="37">
        <f ca="1">+SUM(E$5:E51)</f>
        <v>15145.634308747136</v>
      </c>
      <c r="H51" t="str">
        <f ca="1">+INDEX(Charges_NonSlice!$C$4:$C$137,MATCH($A51,Charges_NonSlice!$AA$4:$AA$137,0),1)</f>
        <v>U.S. DOE Albany Research Center</v>
      </c>
      <c r="I51" s="55">
        <f ca="1">+INDEX(Charges_NonSlice!$Z$4:$Z$137,MATCH($A51,Charges_NonSlice!$AA$4:$AA$137,0),1)</f>
        <v>9.9439185513253064E-2</v>
      </c>
      <c r="J51" s="52">
        <f ca="1">+INDEX(Charges_NonSlice!$Y$4:$Y$137,MATCH($A51,Charges_NonSlice!$AA$4:$AA$137,0),1)</f>
        <v>38.332382525305924</v>
      </c>
      <c r="K51" s="37">
        <f ca="1">+INDEX(Charges_NonSlice!$X$4:$X$137,MATCH($A51,Charges_NonSlice!$AA$4:$AA$137,0),1)/1000</f>
        <v>4.0383599999999999</v>
      </c>
      <c r="L51" s="37">
        <f ca="1">+SUM(K$5:K51)</f>
        <v>19582.222538260492</v>
      </c>
      <c r="N51" t="str">
        <f ca="1">+INDEX('Charges_NonSlice &amp; Excl LS'!$C$4:$C$137,MATCH($A51,'Charges_NonSlice &amp; Excl LS'!$AA$4:$AA$137,0),1)</f>
        <v>Okanogan County PUD #1</v>
      </c>
      <c r="O51" s="55">
        <f ca="1">+INDEX('Charges_NonSlice &amp; Excl LS'!$Z$4:$Z$137,MATCH($A51,'Charges_NonSlice &amp; Excl LS'!$AA$4:$AA$137,0),1)</f>
        <v>9.4936796663479414E-2</v>
      </c>
      <c r="P51" s="52">
        <f ca="1">+INDEX('Charges_NonSlice &amp; Excl LS'!$Y$4:$Y$137,MATCH($A51,'Charges_NonSlice &amp; Excl LS'!$AA$4:$AA$137,0),1)</f>
        <v>33.285031267711517</v>
      </c>
      <c r="Q51" s="37">
        <f ca="1">+INDEX('Charges_NonSlice &amp; Excl LS'!$X$4:$X$137,MATCH($A51,'Charges_NonSlice &amp; Excl LS'!$AA$4:$AA$137,0),1)/1000</f>
        <v>404.50026453484804</v>
      </c>
      <c r="R51" s="37">
        <f ca="1">+SUM(Q$5:Q51)</f>
        <v>11248.849116974019</v>
      </c>
      <c r="T51" t="str">
        <f ca="1">+INDEX(Charges_NonSlice!$C$4:$C$137,MATCH($A51,Charges_NonSlice!$AA$4:$AA$137,0),1)</f>
        <v>U.S. DOE Albany Research Center</v>
      </c>
      <c r="U51" s="55">
        <f t="shared" ca="1" si="0"/>
        <v>3.9698929409897943E-2</v>
      </c>
      <c r="V51" s="52">
        <f ca="1">+INDEX(Charges_NonSlice!$Y$4:$Y$137,MATCH($A51,Charges_NonSlice!$AA$4:$AA$137,0),1)</f>
        <v>38.332382525305924</v>
      </c>
      <c r="W51" s="269">
        <f t="shared" ca="1" si="1"/>
        <v>36.868733285185009</v>
      </c>
      <c r="Y51" s="57" t="s">
        <v>62</v>
      </c>
      <c r="Z51" s="58">
        <v>34.014361633726182</v>
      </c>
    </row>
    <row r="52" spans="1:26">
      <c r="A52">
        <f t="shared" si="2"/>
        <v>48</v>
      </c>
      <c r="B52" t="str">
        <f ca="1">+INDEX('Charges_Including Slice and LS'!$C$4:$C$137,MATCH($A52,'Charges_Including Slice and LS'!$AA$4:$AA$137,0),1)</f>
        <v>Hood River Elec Coop</v>
      </c>
      <c r="C52" s="55">
        <f ca="1">+INDEX('Charges_Including Slice and LS'!$Z$4:$Z$137,MATCH($A52,'Charges_Including Slice and LS'!$AA$4:$AA$137,0),1)</f>
        <v>9.719269096852387E-2</v>
      </c>
      <c r="D52" s="52">
        <f ca="1">+INDEX('Charges_Including Slice and LS'!$Y$4:$Y$137,MATCH($A52,'Charges_Including Slice and LS'!$AA$4:$AA$137,0),1)</f>
        <v>40.252592466604362</v>
      </c>
      <c r="E52" s="37">
        <f ca="1">+INDEX('Charges_Including Slice and LS'!$X$4:$X$137,MATCH($A52,'Charges_Including Slice and LS'!$AA$4:$AA$137,0),1)/1000</f>
        <v>115.40116081228585</v>
      </c>
      <c r="F52" s="37">
        <f ca="1">+SUM(E$5:E52)</f>
        <v>15261.035469559421</v>
      </c>
      <c r="H52" t="str">
        <f ca="1">+INDEX(Charges_NonSlice!$C$4:$C$137,MATCH($A52,Charges_NonSlice!$AA$4:$AA$137,0),1)</f>
        <v>Sumas, Town of</v>
      </c>
      <c r="I52" s="55">
        <f ca="1">+INDEX(Charges_NonSlice!$Z$4:$Z$137,MATCH($A52,Charges_NonSlice!$AA$4:$AA$137,0),1)</f>
        <v>9.939946312268845E-2</v>
      </c>
      <c r="J52" s="52">
        <f ca="1">+INDEX(Charges_NonSlice!$Y$4:$Y$137,MATCH($A52,Charges_NonSlice!$AA$4:$AA$137,0),1)</f>
        <v>36.65165527215477</v>
      </c>
      <c r="K52" s="37">
        <f ca="1">+INDEX(Charges_NonSlice!$X$4:$X$137,MATCH($A52,Charges_NonSlice!$AA$4:$AA$137,0),1)/1000</f>
        <v>32.096640000000001</v>
      </c>
      <c r="L52" s="37">
        <f ca="1">+SUM(K$5:K52)</f>
        <v>19614.319178260492</v>
      </c>
      <c r="N52" t="str">
        <f ca="1">+INDEX('Charges_NonSlice &amp; Excl LS'!$C$4:$C$137,MATCH($A52,'Charges_NonSlice &amp; Excl LS'!$AA$4:$AA$137,0),1)</f>
        <v>Columbia River PUD</v>
      </c>
      <c r="O52" s="55">
        <f ca="1">+INDEX('Charges_NonSlice &amp; Excl LS'!$Z$4:$Z$137,MATCH($A52,'Charges_NonSlice &amp; Excl LS'!$AA$4:$AA$137,0),1)</f>
        <v>9.4818810594667069E-2</v>
      </c>
      <c r="P52" s="52">
        <f ca="1">+INDEX('Charges_NonSlice &amp; Excl LS'!$Y$4:$Y$137,MATCH($A52,'Charges_NonSlice &amp; Excl LS'!$AA$4:$AA$137,0),1)</f>
        <v>38.366720593295462</v>
      </c>
      <c r="Q52" s="37">
        <f ca="1">+INDEX('Charges_NonSlice &amp; Excl LS'!$X$4:$X$137,MATCH($A52,'Charges_NonSlice &amp; Excl LS'!$AA$4:$AA$137,0),1)/1000</f>
        <v>513.21566612256004</v>
      </c>
      <c r="R52" s="37">
        <f ca="1">+SUM(Q$5:Q52)</f>
        <v>11762.064783096579</v>
      </c>
      <c r="T52" t="str">
        <f ca="1">+INDEX(Charges_NonSlice!$C$4:$C$137,MATCH($A52,Charges_NonSlice!$AA$4:$AA$137,0),1)</f>
        <v>Sumas, Town of</v>
      </c>
      <c r="U52" s="55">
        <f t="shared" ca="1" si="0"/>
        <v>5.3571784577264969E-2</v>
      </c>
      <c r="V52" s="52">
        <f ca="1">+INDEX(Charges_NonSlice!$Y$4:$Y$137,MATCH($A52,Charges_NonSlice!$AA$4:$AA$137,0),1)</f>
        <v>36.65165527215477</v>
      </c>
      <c r="W52" s="269">
        <f t="shared" ca="1" si="1"/>
        <v>34.788000028741159</v>
      </c>
      <c r="Y52" s="57" t="s">
        <v>40</v>
      </c>
      <c r="Z52" s="58">
        <v>35.462094239915459</v>
      </c>
    </row>
    <row r="53" spans="1:26">
      <c r="A53">
        <f t="shared" si="2"/>
        <v>49</v>
      </c>
      <c r="B53" t="str">
        <f ca="1">+INDEX('Charges_Including Slice and LS'!$C$4:$C$137,MATCH($A53,'Charges_Including Slice and LS'!$AA$4:$AA$137,0),1)</f>
        <v>Springfield Utility Board</v>
      </c>
      <c r="C53" s="55">
        <f ca="1">+INDEX('Charges_Including Slice and LS'!$Z$4:$Z$137,MATCH($A53,'Charges_Including Slice and LS'!$AA$4:$AA$137,0),1)</f>
        <v>9.7169217023262922E-2</v>
      </c>
      <c r="D53" s="52">
        <f ca="1">+INDEX('Charges_Including Slice and LS'!$Y$4:$Y$137,MATCH($A53,'Charges_Including Slice and LS'!$AA$4:$AA$137,0),1)</f>
        <v>38.134204888068908</v>
      </c>
      <c r="E53" s="37">
        <f ca="1">+INDEX('Charges_Including Slice and LS'!$X$4:$X$137,MATCH($A53,'Charges_Including Slice and LS'!$AA$4:$AA$137,0),1)/1000</f>
        <v>787.08372946140696</v>
      </c>
      <c r="F53" s="37">
        <f ca="1">+SUM(E$5:E53)</f>
        <v>16048.119199020828</v>
      </c>
      <c r="H53" t="str">
        <f ca="1">+INDEX(Charges_NonSlice!$C$4:$C$137,MATCH($A53,Charges_NonSlice!$AA$4:$AA$137,0),1)</f>
        <v>Canby, City of</v>
      </c>
      <c r="I53" s="55">
        <f ca="1">+INDEX(Charges_NonSlice!$Z$4:$Z$137,MATCH($A53,Charges_NonSlice!$AA$4:$AA$137,0),1)</f>
        <v>9.8683332747480063E-2</v>
      </c>
      <c r="J53" s="52">
        <f ca="1">+INDEX(Charges_NonSlice!$Y$4:$Y$137,MATCH($A53,Charges_NonSlice!$AA$4:$AA$137,0),1)</f>
        <v>38.77802432124107</v>
      </c>
      <c r="K53" s="37">
        <f ca="1">+INDEX(Charges_NonSlice!$X$4:$X$137,MATCH($A53,Charges_NonSlice!$AA$4:$AA$137,0),1)/1000</f>
        <v>178.93175999999997</v>
      </c>
      <c r="L53" s="37">
        <f ca="1">+SUM(K$5:K53)</f>
        <v>19793.250938260491</v>
      </c>
      <c r="N53" t="str">
        <f ca="1">+INDEX('Charges_NonSlice &amp; Excl LS'!$C$4:$C$137,MATCH($A53,'Charges_NonSlice &amp; Excl LS'!$AA$4:$AA$137,0),1)</f>
        <v>Grant County PUD #2</v>
      </c>
      <c r="O53" s="55">
        <f ca="1">+INDEX('Charges_NonSlice &amp; Excl LS'!$Z$4:$Z$137,MATCH($A53,'Charges_NonSlice &amp; Excl LS'!$AA$4:$AA$137,0),1)</f>
        <v>9.4777950907860578E-2</v>
      </c>
      <c r="P53" s="52">
        <f ca="1">+INDEX('Charges_NonSlice &amp; Excl LS'!$Y$4:$Y$137,MATCH($A53,'Charges_NonSlice &amp; Excl LS'!$AA$4:$AA$137,0),1)</f>
        <v>38.906705732464971</v>
      </c>
      <c r="Q53" s="37">
        <f ca="1">+INDEX('Charges_NonSlice &amp; Excl LS'!$X$4:$X$137,MATCH($A53,'Charges_NonSlice &amp; Excl LS'!$AA$4:$AA$137,0),1)/1000</f>
        <v>45.738193701888001</v>
      </c>
      <c r="R53" s="37">
        <f ca="1">+SUM(Q$5:Q53)</f>
        <v>11807.802976798466</v>
      </c>
      <c r="T53" t="str">
        <f ca="1">+INDEX(Charges_NonSlice!$C$4:$C$137,MATCH($A53,Charges_NonSlice!$AA$4:$AA$137,0),1)</f>
        <v>Canby, City of</v>
      </c>
      <c r="U53" s="55">
        <f t="shared" ca="1" si="0"/>
        <v>7.0883693917552559E-2</v>
      </c>
      <c r="V53" s="52">
        <f ca="1">+INDEX(Charges_NonSlice!$Y$4:$Y$137,MATCH($A53,Charges_NonSlice!$AA$4:$AA$137,0),1)</f>
        <v>38.77802432124107</v>
      </c>
      <c r="W53" s="269">
        <f t="shared" ca="1" si="1"/>
        <v>36.211238009780168</v>
      </c>
      <c r="Y53" s="57" t="s">
        <v>114</v>
      </c>
      <c r="Z53" s="58">
        <v>35.391682511967964</v>
      </c>
    </row>
    <row r="54" spans="1:26">
      <c r="A54">
        <f t="shared" si="2"/>
        <v>50</v>
      </c>
      <c r="B54" t="str">
        <f ca="1">+INDEX('Charges_Including Slice and LS'!$C$4:$C$137,MATCH($A54,'Charges_Including Slice and LS'!$AA$4:$AA$137,0),1)</f>
        <v>Elmhurst Mutual P &amp; L</v>
      </c>
      <c r="C54" s="55">
        <f ca="1">+INDEX('Charges_Including Slice and LS'!$Z$4:$Z$137,MATCH($A54,'Charges_Including Slice and LS'!$AA$4:$AA$137,0),1)</f>
        <v>9.6825689547209118E-2</v>
      </c>
      <c r="D54" s="52">
        <f ca="1">+INDEX('Charges_Including Slice and LS'!$Y$4:$Y$137,MATCH($A54,'Charges_Including Slice and LS'!$AA$4:$AA$137,0),1)</f>
        <v>39.108698034969407</v>
      </c>
      <c r="E54" s="37">
        <f ca="1">+INDEX('Charges_Including Slice and LS'!$X$4:$X$137,MATCH($A54,'Charges_Including Slice and LS'!$AA$4:$AA$137,0),1)/1000</f>
        <v>284.03424000000001</v>
      </c>
      <c r="F54" s="37">
        <f ca="1">+SUM(E$5:E54)</f>
        <v>16332.153439020829</v>
      </c>
      <c r="H54" t="str">
        <f ca="1">+INDEX(Charges_NonSlice!$C$4:$C$137,MATCH($A54,Charges_NonSlice!$AA$4:$AA$137,0),1)</f>
        <v>Ashland, City of</v>
      </c>
      <c r="I54" s="55">
        <f ca="1">+INDEX(Charges_NonSlice!$Z$4:$Z$137,MATCH($A54,Charges_NonSlice!$AA$4:$AA$137,0),1)</f>
        <v>9.8577776517647486E-2</v>
      </c>
      <c r="J54" s="52">
        <f ca="1">+INDEX(Charges_NonSlice!$Y$4:$Y$137,MATCH($A54,Charges_NonSlice!$AA$4:$AA$137,0),1)</f>
        <v>39.639247332127816</v>
      </c>
      <c r="K54" s="37">
        <f ca="1">+INDEX(Charges_NonSlice!$X$4:$X$137,MATCH($A54,Charges_NonSlice!$AA$4:$AA$137,0),1)/1000</f>
        <v>168.34932093755521</v>
      </c>
      <c r="L54" s="37">
        <f ca="1">+SUM(K$5:K54)</f>
        <v>19961.600259198047</v>
      </c>
      <c r="N54" t="str">
        <f ca="1">+INDEX('Charges_NonSlice &amp; Excl LS'!$C$4:$C$137,MATCH($A54,'Charges_NonSlice &amp; Excl LS'!$AA$4:$AA$137,0),1)</f>
        <v>Vera Irrigation District</v>
      </c>
      <c r="O54" s="55">
        <f ca="1">+INDEX('Charges_NonSlice &amp; Excl LS'!$Z$4:$Z$137,MATCH($A54,'Charges_NonSlice &amp; Excl LS'!$AA$4:$AA$137,0),1)</f>
        <v>9.4777067975478219E-2</v>
      </c>
      <c r="P54" s="52">
        <f ca="1">+INDEX('Charges_NonSlice &amp; Excl LS'!$Y$4:$Y$137,MATCH($A54,'Charges_NonSlice &amp; Excl LS'!$AA$4:$AA$137,0),1)</f>
        <v>39.51263945323911</v>
      </c>
      <c r="Q54" s="37">
        <f ca="1">+INDEX('Charges_NonSlice &amp; Excl LS'!$X$4:$X$137,MATCH($A54,'Charges_NonSlice &amp; Excl LS'!$AA$4:$AA$137,0),1)/1000</f>
        <v>239.25982944518404</v>
      </c>
      <c r="R54" s="37">
        <f ca="1">+SUM(Q$5:Q54)</f>
        <v>12047.06280624365</v>
      </c>
      <c r="T54" t="str">
        <f ca="1">+INDEX(Charges_NonSlice!$C$4:$C$137,MATCH($A54,Charges_NonSlice!$AA$4:$AA$137,0),1)</f>
        <v>Ashland, City of</v>
      </c>
      <c r="U54" s="55">
        <f t="shared" ca="1" si="0"/>
        <v>0.11592840447736563</v>
      </c>
      <c r="V54" s="52">
        <f ca="1">+INDEX(Charges_NonSlice!$Y$4:$Y$137,MATCH($A54,Charges_NonSlice!$AA$4:$AA$137,0),1)</f>
        <v>39.639247332127816</v>
      </c>
      <c r="W54" s="269">
        <f t="shared" ca="1" si="1"/>
        <v>35.521317651818784</v>
      </c>
      <c r="Y54" s="57" t="s">
        <v>103</v>
      </c>
      <c r="Z54" s="58">
        <v>36.998518783835415</v>
      </c>
    </row>
    <row r="55" spans="1:26">
      <c r="A55">
        <f t="shared" si="2"/>
        <v>51</v>
      </c>
      <c r="B55" t="str">
        <f ca="1">+INDEX('Charges_Including Slice and LS'!$C$4:$C$137,MATCH($A55,'Charges_Including Slice and LS'!$AA$4:$AA$137,0),1)</f>
        <v>Bandon, City of</v>
      </c>
      <c r="C55" s="55">
        <f ca="1">+INDEX('Charges_Including Slice and LS'!$Z$4:$Z$137,MATCH($A55,'Charges_Including Slice and LS'!$AA$4:$AA$137,0),1)</f>
        <v>9.6503301919711709E-2</v>
      </c>
      <c r="D55" s="52">
        <f ca="1">+INDEX('Charges_Including Slice and LS'!$Y$4:$Y$137,MATCH($A55,'Charges_Including Slice and LS'!$AA$4:$AA$137,0),1)</f>
        <v>37.136849558259414</v>
      </c>
      <c r="E55" s="37">
        <f ca="1">+INDEX('Charges_Including Slice and LS'!$X$4:$X$137,MATCH($A55,'Charges_Including Slice and LS'!$AA$4:$AA$137,0),1)/1000</f>
        <v>67.303080000000008</v>
      </c>
      <c r="F55" s="37">
        <f ca="1">+SUM(E$5:E55)</f>
        <v>16399.45651902083</v>
      </c>
      <c r="H55" t="str">
        <f ca="1">+INDEX(Charges_NonSlice!$C$4:$C$137,MATCH($A55,Charges_NonSlice!$AA$4:$AA$137,0),1)</f>
        <v>Milton, Town of</v>
      </c>
      <c r="I55" s="55">
        <f ca="1">+INDEX(Charges_NonSlice!$Z$4:$Z$137,MATCH($A55,Charges_NonSlice!$AA$4:$AA$137,0),1)</f>
        <v>9.8123849383263975E-2</v>
      </c>
      <c r="J55" s="52">
        <f ca="1">+INDEX(Charges_NonSlice!$Y$4:$Y$137,MATCH($A55,Charges_NonSlice!$AA$4:$AA$137,0),1)</f>
        <v>38.275573364076344</v>
      </c>
      <c r="K55" s="37">
        <f ca="1">+INDEX(Charges_NonSlice!$X$4:$X$137,MATCH($A55,Charges_NonSlice!$AA$4:$AA$137,0),1)/1000</f>
        <v>58.386085446582818</v>
      </c>
      <c r="L55" s="37">
        <f ca="1">+SUM(K$5:K55)</f>
        <v>20019.986344644629</v>
      </c>
      <c r="N55" t="str">
        <f ca="1">+INDEX('Charges_NonSlice &amp; Excl LS'!$C$4:$C$137,MATCH($A55,'Charges_NonSlice &amp; Excl LS'!$AA$4:$AA$137,0),1)</f>
        <v>Clark County PUD #1</v>
      </c>
      <c r="O55" s="55">
        <f ca="1">+INDEX('Charges_NonSlice &amp; Excl LS'!$Z$4:$Z$137,MATCH($A55,'Charges_NonSlice &amp; Excl LS'!$AA$4:$AA$137,0),1)</f>
        <v>9.4645900341041297E-2</v>
      </c>
      <c r="P55" s="52">
        <f ca="1">+INDEX('Charges_NonSlice &amp; Excl LS'!$Y$4:$Y$137,MATCH($A55,'Charges_NonSlice &amp; Excl LS'!$AA$4:$AA$137,0),1)</f>
        <v>39.282829388086668</v>
      </c>
      <c r="Q55" s="37">
        <f ca="1">+INDEX('Charges_NonSlice &amp; Excl LS'!$X$4:$X$137,MATCH($A55,'Charges_NonSlice &amp; Excl LS'!$AA$4:$AA$137,0),1)/1000</f>
        <v>2806.0855161642235</v>
      </c>
      <c r="R55" s="37">
        <f ca="1">+SUM(Q$5:Q55)</f>
        <v>14853.148322407873</v>
      </c>
      <c r="T55" t="str">
        <f ca="1">+INDEX(Charges_NonSlice!$C$4:$C$137,MATCH($A55,Charges_NonSlice!$AA$4:$AA$137,0),1)</f>
        <v>Milton, Town of</v>
      </c>
      <c r="U55" s="55">
        <f t="shared" ca="1" si="0"/>
        <v>5.6106202538259486E-2</v>
      </c>
      <c r="V55" s="52">
        <f ca="1">+INDEX(Charges_NonSlice!$Y$4:$Y$137,MATCH($A55,Charges_NonSlice!$AA$4:$AA$137,0),1)</f>
        <v>38.275573364076344</v>
      </c>
      <c r="W55" s="269">
        <f t="shared" ca="1" si="1"/>
        <v>36.242163214347507</v>
      </c>
      <c r="Y55" s="57" t="s">
        <v>36</v>
      </c>
      <c r="Z55" s="58">
        <v>36.471617434710907</v>
      </c>
    </row>
    <row r="56" spans="1:26">
      <c r="A56">
        <f t="shared" si="2"/>
        <v>52</v>
      </c>
      <c r="B56" t="str">
        <f ca="1">+INDEX('Charges_Including Slice and LS'!$C$4:$C$137,MATCH($A56,'Charges_Including Slice and LS'!$AA$4:$AA$137,0),1)</f>
        <v>Mason County PUD #3</v>
      </c>
      <c r="C56" s="55">
        <f ca="1">+INDEX('Charges_Including Slice and LS'!$Z$4:$Z$137,MATCH($A56,'Charges_Including Slice and LS'!$AA$4:$AA$137,0),1)</f>
        <v>9.6420858937490042E-2</v>
      </c>
      <c r="D56" s="52">
        <f ca="1">+INDEX('Charges_Including Slice and LS'!$Y$4:$Y$137,MATCH($A56,'Charges_Including Slice and LS'!$AA$4:$AA$137,0),1)</f>
        <v>38.582144717191674</v>
      </c>
      <c r="E56" s="37">
        <f ca="1">+INDEX('Charges_Including Slice and LS'!$X$4:$X$137,MATCH($A56,'Charges_Including Slice and LS'!$AA$4:$AA$137,0),1)/1000</f>
        <v>704.20763999999997</v>
      </c>
      <c r="F56" s="37">
        <f ca="1">+SUM(E$5:E56)</f>
        <v>17103.664159020831</v>
      </c>
      <c r="H56" t="str">
        <f ca="1">+INDEX(Charges_NonSlice!$C$4:$C$137,MATCH($A56,Charges_NonSlice!$AA$4:$AA$137,0),1)</f>
        <v>Jefferson County PUD #1</v>
      </c>
      <c r="I56" s="55">
        <f ca="1">+INDEX(Charges_NonSlice!$Z$4:$Z$137,MATCH($A56,Charges_NonSlice!$AA$4:$AA$137,0),1)</f>
        <v>9.7770543177834832E-2</v>
      </c>
      <c r="J56" s="52">
        <f ca="1">+INDEX(Charges_NonSlice!$Y$4:$Y$137,MATCH($A56,Charges_NonSlice!$AA$4:$AA$137,0),1)</f>
        <v>38.093946593967729</v>
      </c>
      <c r="K56" s="37">
        <f ca="1">+INDEX(Charges_NonSlice!$X$4:$X$137,MATCH($A56,Charges_NonSlice!$AA$4:$AA$137,0),1)/1000</f>
        <v>397.98988749337906</v>
      </c>
      <c r="L56" s="37">
        <f ca="1">+SUM(K$5:K56)</f>
        <v>20417.976232138008</v>
      </c>
      <c r="N56" t="str">
        <f ca="1">+INDEX('Charges_NonSlice &amp; Excl LS'!$C$4:$C$137,MATCH($A56,'Charges_NonSlice &amp; Excl LS'!$AA$4:$AA$137,0),1)</f>
        <v>Weiser, City of</v>
      </c>
      <c r="O56" s="55">
        <f ca="1">+INDEX('Charges_NonSlice &amp; Excl LS'!$Z$4:$Z$137,MATCH($A56,'Charges_NonSlice &amp; Excl LS'!$AA$4:$AA$137,0),1)</f>
        <v>9.4644841562454604E-2</v>
      </c>
      <c r="P56" s="52">
        <f ca="1">+INDEX('Charges_NonSlice &amp; Excl LS'!$Y$4:$Y$137,MATCH($A56,'Charges_NonSlice &amp; Excl LS'!$AA$4:$AA$137,0),1)</f>
        <v>37.249296010961807</v>
      </c>
      <c r="Q56" s="37">
        <f ca="1">+INDEX('Charges_NonSlice &amp; Excl LS'!$X$4:$X$137,MATCH($A56,'Charges_NonSlice &amp; Excl LS'!$AA$4:$AA$137,0),1)/1000</f>
        <v>55.75899349305601</v>
      </c>
      <c r="R56" s="37">
        <f ca="1">+SUM(Q$5:Q56)</f>
        <v>14908.907315900929</v>
      </c>
      <c r="T56" t="str">
        <f ca="1">+INDEX(Charges_NonSlice!$C$4:$C$137,MATCH($A56,Charges_NonSlice!$AA$4:$AA$137,0),1)</f>
        <v>Jefferson County PUD #1</v>
      </c>
      <c r="U56" s="55">
        <f t="shared" ca="1" si="0"/>
        <v>6.8564752222545211E-2</v>
      </c>
      <c r="V56" s="52">
        <f ca="1">+INDEX(Charges_NonSlice!$Y$4:$Y$137,MATCH($A56,Charges_NonSlice!$AA$4:$AA$137,0),1)</f>
        <v>38.093946593967729</v>
      </c>
      <c r="W56" s="269">
        <f t="shared" ca="1" si="1"/>
        <v>35.649637997823525</v>
      </c>
      <c r="Y56" s="57" t="s">
        <v>119</v>
      </c>
      <c r="Z56" s="58">
        <v>38.67685178511136</v>
      </c>
    </row>
    <row r="57" spans="1:26">
      <c r="A57">
        <f t="shared" si="2"/>
        <v>53</v>
      </c>
      <c r="B57" t="str">
        <f ca="1">+INDEX('Charges_Including Slice and LS'!$C$4:$C$137,MATCH($A57,'Charges_Including Slice and LS'!$AA$4:$AA$137,0),1)</f>
        <v>Blaine, City of</v>
      </c>
      <c r="C57" s="55">
        <f ca="1">+INDEX('Charges_Including Slice and LS'!$Z$4:$Z$137,MATCH($A57,'Charges_Including Slice and LS'!$AA$4:$AA$137,0),1)</f>
        <v>9.641545054347557E-2</v>
      </c>
      <c r="D57" s="52">
        <f ca="1">+INDEX('Charges_Including Slice and LS'!$Y$4:$Y$137,MATCH($A57,'Charges_Including Slice and LS'!$AA$4:$AA$137,0),1)</f>
        <v>38.335044793187002</v>
      </c>
      <c r="E57" s="37">
        <f ca="1">+INDEX('Charges_Including Slice and LS'!$X$4:$X$137,MATCH($A57,'Charges_Including Slice and LS'!$AA$4:$AA$137,0),1)/1000</f>
        <v>77.061271548754064</v>
      </c>
      <c r="F57" s="37">
        <f ca="1">+SUM(E$5:E57)</f>
        <v>17180.725430569586</v>
      </c>
      <c r="H57" t="str">
        <f ca="1">+INDEX(Charges_NonSlice!$C$4:$C$137,MATCH($A57,Charges_NonSlice!$AA$4:$AA$137,0),1)</f>
        <v>Declo, City of</v>
      </c>
      <c r="I57" s="55">
        <f ca="1">+INDEX(Charges_NonSlice!$Z$4:$Z$137,MATCH($A57,Charges_NonSlice!$AA$4:$AA$137,0),1)</f>
        <v>9.7423988211168377E-2</v>
      </c>
      <c r="J57" s="52">
        <f ca="1">+INDEX(Charges_NonSlice!$Y$4:$Y$137,MATCH($A57,Charges_NonSlice!$AA$4:$AA$137,0),1)</f>
        <v>43.326756221545082</v>
      </c>
      <c r="K57" s="37">
        <f ca="1">+INDEX(Charges_NonSlice!$X$4:$X$137,MATCH($A57,Charges_NonSlice!$AA$4:$AA$137,0),1)/1000</f>
        <v>3.1623599999999996</v>
      </c>
      <c r="L57" s="37">
        <f ca="1">+SUM(K$5:K57)</f>
        <v>20421.138592138006</v>
      </c>
      <c r="N57" t="str">
        <f ca="1">+INDEX('Charges_NonSlice &amp; Excl LS'!$C$4:$C$137,MATCH($A57,'Charges_NonSlice &amp; Excl LS'!$AA$4:$AA$137,0),1)</f>
        <v>Port of Seattle - SETAC In'tl. Airport</v>
      </c>
      <c r="O57" s="55">
        <f ca="1">+INDEX('Charges_NonSlice &amp; Excl LS'!$Z$4:$Z$137,MATCH($A57,'Charges_NonSlice &amp; Excl LS'!$AA$4:$AA$137,0),1)</f>
        <v>9.4580124825579939E-2</v>
      </c>
      <c r="P57" s="52">
        <f ca="1">+INDEX('Charges_NonSlice &amp; Excl LS'!$Y$4:$Y$137,MATCH($A57,'Charges_NonSlice &amp; Excl LS'!$AA$4:$AA$137,0),1)</f>
        <v>36.604635595817129</v>
      </c>
      <c r="Q57" s="37">
        <f ca="1">+INDEX('Charges_NonSlice &amp; Excl LS'!$X$4:$X$137,MATCH($A57,'Charges_NonSlice &amp; Excl LS'!$AA$4:$AA$137,0),1)/1000</f>
        <v>147.44713179360002</v>
      </c>
      <c r="R57" s="37">
        <f ca="1">+SUM(Q$5:Q57)</f>
        <v>15056.35444769453</v>
      </c>
      <c r="T57" t="str">
        <f ca="1">+INDEX(Charges_NonSlice!$C$4:$C$137,MATCH($A57,Charges_NonSlice!$AA$4:$AA$137,0),1)</f>
        <v>Declo, City of</v>
      </c>
      <c r="U57" s="55">
        <f t="shared" ca="1" si="0"/>
        <v>0.18405677786849717</v>
      </c>
      <c r="V57" s="52">
        <f ca="1">+INDEX(Charges_NonSlice!$Y$4:$Y$137,MATCH($A57,Charges_NonSlice!$AA$4:$AA$137,0),1)</f>
        <v>43.326756221545082</v>
      </c>
      <c r="W57" s="269">
        <f t="shared" ca="1" si="1"/>
        <v>36.591789373091203</v>
      </c>
      <c r="Y57" s="57" t="s">
        <v>80</v>
      </c>
      <c r="Z57" s="58">
        <v>36.075349902869341</v>
      </c>
    </row>
    <row r="58" spans="1:26">
      <c r="A58">
        <f t="shared" si="2"/>
        <v>54</v>
      </c>
      <c r="B58" t="str">
        <f ca="1">+INDEX('Charges_Including Slice and LS'!$C$4:$C$137,MATCH($A58,'Charges_Including Slice and LS'!$AA$4:$AA$137,0),1)</f>
        <v>Wasco Elec Coop</v>
      </c>
      <c r="C58" s="55">
        <f ca="1">+INDEX('Charges_Including Slice and LS'!$Z$4:$Z$137,MATCH($A58,'Charges_Including Slice and LS'!$AA$4:$AA$137,0),1)</f>
        <v>9.6328847533681664E-2</v>
      </c>
      <c r="D58" s="52">
        <f ca="1">+INDEX('Charges_Including Slice and LS'!$Y$4:$Y$137,MATCH($A58,'Charges_Including Slice and LS'!$AA$4:$AA$137,0),1)</f>
        <v>36.959062881828217</v>
      </c>
      <c r="E58" s="37">
        <f ca="1">+INDEX('Charges_Including Slice and LS'!$X$4:$X$137,MATCH($A58,'Charges_Including Slice and LS'!$AA$4:$AA$137,0),1)/1000</f>
        <v>114.91787478324264</v>
      </c>
      <c r="F58" s="37">
        <f ca="1">+SUM(E$5:E58)</f>
        <v>17295.643305352827</v>
      </c>
      <c r="H58" t="str">
        <f ca="1">+INDEX(Charges_NonSlice!$C$4:$C$137,MATCH($A58,Charges_NonSlice!$AA$4:$AA$137,0),1)</f>
        <v>Mason County PUD #1</v>
      </c>
      <c r="I58" s="55">
        <f ca="1">+INDEX(Charges_NonSlice!$Z$4:$Z$137,MATCH($A58,Charges_NonSlice!$AA$4:$AA$137,0),1)</f>
        <v>9.7339404634109852E-2</v>
      </c>
      <c r="J58" s="52">
        <f ca="1">+INDEX(Charges_NonSlice!$Y$4:$Y$137,MATCH($A58,Charges_NonSlice!$AA$4:$AA$137,0),1)</f>
        <v>41.035833022048315</v>
      </c>
      <c r="K58" s="37">
        <f ca="1">+INDEX(Charges_NonSlice!$X$4:$X$137,MATCH($A58,Charges_NonSlice!$AA$4:$AA$137,0),1)/1000</f>
        <v>79.181640000000002</v>
      </c>
      <c r="L58" s="37">
        <f ca="1">+SUM(K$5:K58)</f>
        <v>20500.320232138005</v>
      </c>
      <c r="N58" t="str">
        <f ca="1">+INDEX('Charges_NonSlice &amp; Excl LS'!$C$4:$C$137,MATCH($A58,'Charges_NonSlice &amp; Excl LS'!$AA$4:$AA$137,0),1)</f>
        <v>U.S. Naval Station, Everett (Jim Creek)</v>
      </c>
      <c r="O58" s="55">
        <f ca="1">+INDEX('Charges_NonSlice &amp; Excl LS'!$Z$4:$Z$137,MATCH($A58,'Charges_NonSlice &amp; Excl LS'!$AA$4:$AA$137,0),1)</f>
        <v>9.4415236204957662E-2</v>
      </c>
      <c r="P58" s="52">
        <f ca="1">+INDEX('Charges_NonSlice &amp; Excl LS'!$Y$4:$Y$137,MATCH($A58,'Charges_NonSlice &amp; Excl LS'!$AA$4:$AA$137,0),1)</f>
        <v>37.614124531212454</v>
      </c>
      <c r="Q58" s="37">
        <f ca="1">+INDEX('Charges_NonSlice &amp; Excl LS'!$X$4:$X$137,MATCH($A58,'Charges_NonSlice &amp; Excl LS'!$AA$4:$AA$137,0),1)/1000</f>
        <v>13.452409912320002</v>
      </c>
      <c r="R58" s="37">
        <f ca="1">+SUM(Q$5:Q58)</f>
        <v>15069.806857606849</v>
      </c>
      <c r="T58" t="str">
        <f ca="1">+INDEX(Charges_NonSlice!$C$4:$C$137,MATCH($A58,Charges_NonSlice!$AA$4:$AA$137,0),1)</f>
        <v>Mason County PUD #1</v>
      </c>
      <c r="U58" s="55">
        <f t="shared" ca="1" si="0"/>
        <v>8.8299962995801451E-2</v>
      </c>
      <c r="V58" s="52">
        <f ca="1">+INDEX(Charges_NonSlice!$Y$4:$Y$137,MATCH($A58,Charges_NonSlice!$AA$4:$AA$137,0),1)</f>
        <v>41.035833022048315</v>
      </c>
      <c r="W58" s="269">
        <f t="shared" ca="1" si="1"/>
        <v>37.70636259978135</v>
      </c>
      <c r="Y58" s="57" t="s">
        <v>16</v>
      </c>
      <c r="Z58" s="58">
        <v>36.867050336997927</v>
      </c>
    </row>
    <row r="59" spans="1:26">
      <c r="A59">
        <f t="shared" si="2"/>
        <v>55</v>
      </c>
      <c r="B59" t="str">
        <f ca="1">+INDEX('Charges_Including Slice and LS'!$C$4:$C$137,MATCH($A59,'Charges_Including Slice and LS'!$AA$4:$AA$137,0),1)</f>
        <v>Lakeview L &amp; P (WA)</v>
      </c>
      <c r="C59" s="55">
        <f ca="1">+INDEX('Charges_Including Slice and LS'!$Z$4:$Z$137,MATCH($A59,'Charges_Including Slice and LS'!$AA$4:$AA$137,0),1)</f>
        <v>9.6278025457479405E-2</v>
      </c>
      <c r="D59" s="52">
        <f ca="1">+INDEX('Charges_Including Slice and LS'!$Y$4:$Y$137,MATCH($A59,'Charges_Including Slice and LS'!$AA$4:$AA$137,0),1)</f>
        <v>38.111296920367863</v>
      </c>
      <c r="E59" s="37">
        <f ca="1">+INDEX('Charges_Including Slice and LS'!$X$4:$X$137,MATCH($A59,'Charges_Including Slice and LS'!$AA$4:$AA$137,0),1)/1000</f>
        <v>267.1223067678867</v>
      </c>
      <c r="F59" s="37">
        <f ca="1">+SUM(E$5:E59)</f>
        <v>17562.765612120715</v>
      </c>
      <c r="H59" t="str">
        <f ca="1">+INDEX(Charges_NonSlice!$C$4:$C$137,MATCH($A59,Charges_NonSlice!$AA$4:$AA$137,0),1)</f>
        <v>Hood River Elec Coop</v>
      </c>
      <c r="I59" s="55">
        <f ca="1">+INDEX(Charges_NonSlice!$Z$4:$Z$137,MATCH($A59,Charges_NonSlice!$AA$4:$AA$137,0),1)</f>
        <v>9.7191149086618495E-2</v>
      </c>
      <c r="J59" s="52">
        <f ca="1">+INDEX(Charges_NonSlice!$Y$4:$Y$137,MATCH($A59,Charges_NonSlice!$AA$4:$AA$137,0),1)</f>
        <v>40.25315571917082</v>
      </c>
      <c r="K59" s="37">
        <f ca="1">+INDEX(Charges_NonSlice!$X$4:$X$137,MATCH($A59,Charges_NonSlice!$AA$4:$AA$137,0),1)/1000</f>
        <v>115.40116081228585</v>
      </c>
      <c r="L59" s="37">
        <f ca="1">+SUM(K$5:K59)</f>
        <v>20615.72139295029</v>
      </c>
      <c r="N59" t="str">
        <f ca="1">+INDEX('Charges_NonSlice &amp; Excl LS'!$C$4:$C$137,MATCH($A59,'Charges_NonSlice &amp; Excl LS'!$AA$4:$AA$137,0),1)</f>
        <v>Umatilla Elec Coop</v>
      </c>
      <c r="O59" s="55">
        <f ca="1">+INDEX('Charges_NonSlice &amp; Excl LS'!$Z$4:$Z$137,MATCH($A59,'Charges_NonSlice &amp; Excl LS'!$AA$4:$AA$137,0),1)</f>
        <v>9.4319013216081965E-2</v>
      </c>
      <c r="P59" s="52">
        <f ca="1">+INDEX('Charges_NonSlice &amp; Excl LS'!$Y$4:$Y$137,MATCH($A59,'Charges_NonSlice &amp; Excl LS'!$AA$4:$AA$137,0),1)</f>
        <v>34.782292852520364</v>
      </c>
      <c r="Q59" s="37">
        <f ca="1">+INDEX('Charges_NonSlice &amp; Excl LS'!$X$4:$X$137,MATCH($A59,'Charges_NonSlice &amp; Excl LS'!$AA$4:$AA$137,0),1)/1000</f>
        <v>997.55224670649625</v>
      </c>
      <c r="R59" s="37">
        <f ca="1">+SUM(Q$5:Q59)</f>
        <v>16067.359104313346</v>
      </c>
      <c r="T59" t="str">
        <f ca="1">+INDEX(Charges_NonSlice!$C$4:$C$137,MATCH($A59,Charges_NonSlice!$AA$4:$AA$137,0),1)</f>
        <v>Hood River Elec Coop</v>
      </c>
      <c r="U59" s="55">
        <f t="shared" ca="1" si="0"/>
        <v>8.3657985612968222E-2</v>
      </c>
      <c r="V59" s="52">
        <f ca="1">+INDEX(Charges_NonSlice!$Y$4:$Y$137,MATCH($A59,Charges_NonSlice!$AA$4:$AA$137,0),1)</f>
        <v>40.25315571917082</v>
      </c>
      <c r="W59" s="269">
        <f t="shared" ca="1" si="1"/>
        <v>37.145627359910733</v>
      </c>
      <c r="Y59" s="57" t="s">
        <v>33</v>
      </c>
      <c r="Z59" s="58">
        <v>36.242163214347507</v>
      </c>
    </row>
    <row r="60" spans="1:26">
      <c r="A60">
        <f t="shared" si="2"/>
        <v>56</v>
      </c>
      <c r="B60" t="str">
        <f ca="1">+INDEX('Charges_Including Slice and LS'!$C$4:$C$137,MATCH($A60,'Charges_Including Slice and LS'!$AA$4:$AA$137,0),1)</f>
        <v>Benton REA</v>
      </c>
      <c r="C60" s="55">
        <f ca="1">+INDEX('Charges_Including Slice and LS'!$Z$4:$Z$137,MATCH($A60,'Charges_Including Slice and LS'!$AA$4:$AA$137,0),1)</f>
        <v>9.6185302100994977E-2</v>
      </c>
      <c r="D60" s="52">
        <f ca="1">+INDEX('Charges_Including Slice and LS'!$Y$4:$Y$137,MATCH($A60,'Charges_Including Slice and LS'!$AA$4:$AA$137,0),1)</f>
        <v>34.559828138193872</v>
      </c>
      <c r="E60" s="37">
        <f ca="1">+INDEX('Charges_Including Slice and LS'!$X$4:$X$137,MATCH($A60,'Charges_Including Slice and LS'!$AA$4:$AA$137,0),1)/1000</f>
        <v>525.62628000000007</v>
      </c>
      <c r="F60" s="37">
        <f ca="1">+SUM(E$5:E60)</f>
        <v>18088.391892120715</v>
      </c>
      <c r="H60" t="str">
        <f ca="1">+INDEX(Charges_NonSlice!$C$4:$C$137,MATCH($A60,Charges_NonSlice!$AA$4:$AA$137,0),1)</f>
        <v>Springfield Utility Board</v>
      </c>
      <c r="I60" s="55">
        <f ca="1">+INDEX(Charges_NonSlice!$Z$4:$Z$137,MATCH($A60,Charges_NonSlice!$AA$4:$AA$137,0),1)</f>
        <v>9.7168840517922919E-2</v>
      </c>
      <c r="J60" s="52">
        <f ca="1">+INDEX(Charges_NonSlice!$Y$4:$Y$137,MATCH($A60,Charges_NonSlice!$AA$4:$AA$137,0),1)</f>
        <v>38.134339562432046</v>
      </c>
      <c r="K60" s="37">
        <f ca="1">+INDEX(Charges_NonSlice!$X$4:$X$137,MATCH($A60,Charges_NonSlice!$AA$4:$AA$137,0),1)/1000</f>
        <v>787.08372946140696</v>
      </c>
      <c r="L60" s="37">
        <f ca="1">+SUM(K$5:K60)</f>
        <v>21402.805122411697</v>
      </c>
      <c r="N60" t="str">
        <f ca="1">+INDEX('Charges_NonSlice &amp; Excl LS'!$C$4:$C$137,MATCH($A60,'Charges_NonSlice &amp; Excl LS'!$AA$4:$AA$137,0),1)</f>
        <v>Lakeview L &amp; P (WA)</v>
      </c>
      <c r="O60" s="55">
        <f ca="1">+INDEX('Charges_NonSlice &amp; Excl LS'!$Z$4:$Z$137,MATCH($A60,'Charges_NonSlice &amp; Excl LS'!$AA$4:$AA$137,0),1)</f>
        <v>9.4198267142703532E-2</v>
      </c>
      <c r="P60" s="52">
        <f ca="1">+INDEX('Charges_NonSlice &amp; Excl LS'!$Y$4:$Y$137,MATCH($A60,'Charges_NonSlice &amp; Excl LS'!$AA$4:$AA$137,0),1)</f>
        <v>36.947261098503077</v>
      </c>
      <c r="Q60" s="37">
        <f ca="1">+INDEX('Charges_NonSlice &amp; Excl LS'!$X$4:$X$137,MATCH($A60,'Charges_NonSlice &amp; Excl LS'!$AA$4:$AA$137,0),1)/1000</f>
        <v>267.11752830528008</v>
      </c>
      <c r="R60" s="37">
        <f ca="1">+SUM(Q$5:Q60)</f>
        <v>16334.476632618625</v>
      </c>
      <c r="T60" t="str">
        <f ca="1">+INDEX(Charges_NonSlice!$C$4:$C$137,MATCH($A60,Charges_NonSlice!$AA$4:$AA$137,0),1)</f>
        <v>Springfield Utility Board</v>
      </c>
      <c r="U60" s="55">
        <f t="shared" ca="1" si="0"/>
        <v>7.7494395739355681E-2</v>
      </c>
      <c r="V60" s="52">
        <f ca="1">+INDEX(Charges_NonSlice!$Y$4:$Y$137,MATCH($A60,Charges_NonSlice!$AA$4:$AA$137,0),1)</f>
        <v>38.134339562432046</v>
      </c>
      <c r="W60" s="269">
        <f t="shared" ca="1" si="1"/>
        <v>35.391682511967964</v>
      </c>
      <c r="Y60" s="57" t="s">
        <v>78</v>
      </c>
      <c r="Z60" s="58">
        <v>31.755314447525461</v>
      </c>
    </row>
    <row r="61" spans="1:26">
      <c r="A61">
        <f t="shared" si="2"/>
        <v>57</v>
      </c>
      <c r="B61" t="str">
        <f ca="1">+INDEX('Charges_Including Slice and LS'!$C$4:$C$137,MATCH($A61,'Charges_Including Slice and LS'!$AA$4:$AA$137,0),1)</f>
        <v>Ohop Mutual Light Company</v>
      </c>
      <c r="C61" s="55">
        <f ca="1">+INDEX('Charges_Including Slice and LS'!$Z$4:$Z$137,MATCH($A61,'Charges_Including Slice and LS'!$AA$4:$AA$137,0),1)</f>
        <v>9.6097464619480016E-2</v>
      </c>
      <c r="D61" s="52">
        <f ca="1">+INDEX('Charges_Including Slice and LS'!$Y$4:$Y$137,MATCH($A61,'Charges_Including Slice and LS'!$AA$4:$AA$137,0),1)</f>
        <v>36.647100357506197</v>
      </c>
      <c r="E61" s="37">
        <f ca="1">+INDEX('Charges_Including Slice and LS'!$X$4:$X$137,MATCH($A61,'Charges_Including Slice and LS'!$AA$4:$AA$137,0),1)/1000</f>
        <v>94.32410256820728</v>
      </c>
      <c r="F61" s="37">
        <f ca="1">+SUM(E$5:E61)</f>
        <v>18182.715994688922</v>
      </c>
      <c r="H61" t="str">
        <f ca="1">+INDEX(Charges_NonSlice!$C$4:$C$137,MATCH($A61,Charges_NonSlice!$AA$4:$AA$137,0),1)</f>
        <v>Elmhurst Mutual P &amp; L</v>
      </c>
      <c r="I61" s="55">
        <f ca="1">+INDEX(Charges_NonSlice!$Z$4:$Z$137,MATCH($A61,Charges_NonSlice!$AA$4:$AA$137,0),1)</f>
        <v>9.6825185271051273E-2</v>
      </c>
      <c r="J61" s="52">
        <f ca="1">+INDEX(Charges_NonSlice!$Y$4:$Y$137,MATCH($A61,Charges_NonSlice!$AA$4:$AA$137,0),1)</f>
        <v>39.108877590786342</v>
      </c>
      <c r="K61" s="37">
        <f ca="1">+INDEX(Charges_NonSlice!$X$4:$X$137,MATCH($A61,Charges_NonSlice!$AA$4:$AA$137,0),1)/1000</f>
        <v>284.03424000000001</v>
      </c>
      <c r="L61" s="37">
        <f ca="1">+SUM(K$5:K61)</f>
        <v>21686.839362411698</v>
      </c>
      <c r="N61" t="str">
        <f ca="1">+INDEX('Charges_NonSlice &amp; Excl LS'!$C$4:$C$137,MATCH($A61,'Charges_NonSlice &amp; Excl LS'!$AA$4:$AA$137,0),1)</f>
        <v>Franklin County PUD #1</v>
      </c>
      <c r="O61" s="55">
        <f ca="1">+INDEX('Charges_NonSlice &amp; Excl LS'!$Z$4:$Z$137,MATCH($A61,'Charges_NonSlice &amp; Excl LS'!$AA$4:$AA$137,0),1)</f>
        <v>9.4107042591637421E-2</v>
      </c>
      <c r="P61" s="52">
        <f ca="1">+INDEX('Charges_NonSlice &amp; Excl LS'!$Y$4:$Y$137,MATCH($A61,'Charges_NonSlice &amp; Excl LS'!$AA$4:$AA$137,0),1)</f>
        <v>32.867644065863885</v>
      </c>
      <c r="Q61" s="37">
        <f ca="1">+INDEX('Charges_NonSlice &amp; Excl LS'!$X$4:$X$137,MATCH($A61,'Charges_NonSlice &amp; Excl LS'!$AA$4:$AA$137,0),1)/1000</f>
        <v>549.26937028108807</v>
      </c>
      <c r="R61" s="37">
        <f ca="1">+SUM(Q$5:Q61)</f>
        <v>16883.746002899712</v>
      </c>
      <c r="T61" t="str">
        <f ca="1">+INDEX(Charges_NonSlice!$C$4:$C$137,MATCH($A61,Charges_NonSlice!$AA$4:$AA$137,0),1)</f>
        <v>Elmhurst Mutual P &amp; L</v>
      </c>
      <c r="U61" s="55">
        <f t="shared" ca="1" si="0"/>
        <v>6.3604444610034783E-2</v>
      </c>
      <c r="V61" s="52">
        <f ca="1">+INDEX(Charges_NonSlice!$Y$4:$Y$137,MATCH($A61,Charges_NonSlice!$AA$4:$AA$137,0),1)</f>
        <v>39.108877590786342</v>
      </c>
      <c r="W61" s="269">
        <f t="shared" ca="1" si="1"/>
        <v>36.770133661039196</v>
      </c>
      <c r="Y61" s="57" t="s">
        <v>99</v>
      </c>
      <c r="Z61" s="58">
        <v>33.889205394709229</v>
      </c>
    </row>
    <row r="62" spans="1:26">
      <c r="A62">
        <f t="shared" si="2"/>
        <v>58</v>
      </c>
      <c r="B62" t="str">
        <f ca="1">+INDEX('Charges_Including Slice and LS'!$C$4:$C$137,MATCH($A62,'Charges_Including Slice and LS'!$AA$4:$AA$137,0),1)</f>
        <v>Ellensburg, City of</v>
      </c>
      <c r="C62" s="55">
        <f ca="1">+INDEX('Charges_Including Slice and LS'!$Z$4:$Z$137,MATCH($A62,'Charges_Including Slice and LS'!$AA$4:$AA$137,0),1)</f>
        <v>9.605250020541449E-2</v>
      </c>
      <c r="D62" s="52">
        <f ca="1">+INDEX('Charges_Including Slice and LS'!$Y$4:$Y$137,MATCH($A62,'Charges_Including Slice and LS'!$AA$4:$AA$137,0),1)</f>
        <v>41.7286832040406</v>
      </c>
      <c r="E62" s="37">
        <f ca="1">+INDEX('Charges_Including Slice and LS'!$X$4:$X$137,MATCH($A62,'Charges_Including Slice and LS'!$AA$4:$AA$137,0),1)/1000</f>
        <v>211.28930247240203</v>
      </c>
      <c r="F62" s="37">
        <f ca="1">+SUM(E$5:E62)</f>
        <v>18394.005297161326</v>
      </c>
      <c r="H62" t="str">
        <f ca="1">+INDEX(Charges_NonSlice!$C$4:$C$137,MATCH($A62,Charges_NonSlice!$AA$4:$AA$137,0),1)</f>
        <v>Bandon, City of</v>
      </c>
      <c r="I62" s="55">
        <f ca="1">+INDEX(Charges_NonSlice!$Z$4:$Z$137,MATCH($A62,Charges_NonSlice!$AA$4:$AA$137,0),1)</f>
        <v>9.6502864070811503E-2</v>
      </c>
      <c r="J62" s="52">
        <f ca="1">+INDEX(Charges_NonSlice!$Y$4:$Y$137,MATCH($A62,Charges_NonSlice!$AA$4:$AA$137,0),1)</f>
        <v>37.136998139869647</v>
      </c>
      <c r="K62" s="37">
        <f ca="1">+INDEX(Charges_NonSlice!$X$4:$X$137,MATCH($A62,Charges_NonSlice!$AA$4:$AA$137,0),1)/1000</f>
        <v>67.303080000000008</v>
      </c>
      <c r="L62" s="37">
        <f ca="1">+SUM(K$5:K62)</f>
        <v>21754.142442411699</v>
      </c>
      <c r="N62" t="str">
        <f ca="1">+INDEX('Charges_NonSlice &amp; Excl LS'!$C$4:$C$137,MATCH($A62,'Charges_NonSlice &amp; Excl LS'!$AA$4:$AA$137,0),1)</f>
        <v>Springfield Utility Board</v>
      </c>
      <c r="O62" s="55">
        <f ca="1">+INDEX('Charges_NonSlice &amp; Excl LS'!$Z$4:$Z$137,MATCH($A62,'Charges_NonSlice &amp; Excl LS'!$AA$4:$AA$137,0),1)</f>
        <v>9.4102111393876808E-2</v>
      </c>
      <c r="P62" s="52">
        <f ca="1">+INDEX('Charges_NonSlice &amp; Excl LS'!$Y$4:$Y$137,MATCH($A62,'Charges_NonSlice &amp; Excl LS'!$AA$4:$AA$137,0),1)</f>
        <v>36.986768303365892</v>
      </c>
      <c r="Q62" s="37">
        <f ca="1">+INDEX('Charges_NonSlice &amp; Excl LS'!$X$4:$X$137,MATCH($A62,'Charges_NonSlice &amp; Excl LS'!$AA$4:$AA$137,0),1)/1000</f>
        <v>787.08431125420805</v>
      </c>
      <c r="R62" s="37">
        <f ca="1">+SUM(Q$5:Q62)</f>
        <v>17670.830314153922</v>
      </c>
      <c r="T62" t="str">
        <f ca="1">+INDEX(Charges_NonSlice!$C$4:$C$137,MATCH($A62,Charges_NonSlice!$AA$4:$AA$137,0),1)</f>
        <v>Bandon, City of</v>
      </c>
      <c r="U62" s="55">
        <f t="shared" ca="1" si="0"/>
        <v>4.9705065520386338E-2</v>
      </c>
      <c r="V62" s="52">
        <f ca="1">+INDEX(Charges_NonSlice!$Y$4:$Y$137,MATCH($A62,Charges_NonSlice!$AA$4:$AA$137,0),1)</f>
        <v>37.136998139869647</v>
      </c>
      <c r="W62" s="269">
        <f t="shared" ca="1" si="1"/>
        <v>35.378507125198212</v>
      </c>
      <c r="Y62" s="57" t="s">
        <v>32</v>
      </c>
      <c r="Z62" s="58">
        <v>37.313450199241338</v>
      </c>
    </row>
    <row r="63" spans="1:26">
      <c r="A63">
        <f t="shared" si="2"/>
        <v>59</v>
      </c>
      <c r="B63" t="str">
        <f ca="1">+INDEX('Charges_Including Slice and LS'!$C$4:$C$137,MATCH($A63,'Charges_Including Slice and LS'!$AA$4:$AA$137,0),1)</f>
        <v>Parkland L &amp; W</v>
      </c>
      <c r="C63" s="55">
        <f ca="1">+INDEX('Charges_Including Slice and LS'!$Z$4:$Z$137,MATCH($A63,'Charges_Including Slice and LS'!$AA$4:$AA$137,0),1)</f>
        <v>9.59509637022119E-2</v>
      </c>
      <c r="D63" s="52">
        <f ca="1">+INDEX('Charges_Including Slice and LS'!$Y$4:$Y$137,MATCH($A63,'Charges_Including Slice and LS'!$AA$4:$AA$137,0),1)</f>
        <v>38.11854090279396</v>
      </c>
      <c r="E63" s="37">
        <f ca="1">+INDEX('Charges_Including Slice and LS'!$X$4:$X$137,MATCH($A63,'Charges_Including Slice and LS'!$AA$4:$AA$137,0),1)/1000</f>
        <v>118.82290301411771</v>
      </c>
      <c r="F63" s="37">
        <f ca="1">+SUM(E$5:E63)</f>
        <v>18512.828200175445</v>
      </c>
      <c r="H63" t="str">
        <f ca="1">+INDEX(Charges_NonSlice!$C$4:$C$137,MATCH($A63,Charges_NonSlice!$AA$4:$AA$137,0),1)</f>
        <v>Mason County PUD #3</v>
      </c>
      <c r="I63" s="55">
        <f ca="1">+INDEX(Charges_NonSlice!$Z$4:$Z$137,MATCH($A63,Charges_NonSlice!$AA$4:$AA$137,0),1)</f>
        <v>9.6420541038425775E-2</v>
      </c>
      <c r="J63" s="52">
        <f ca="1">+INDEX(Charges_NonSlice!$Y$4:$Y$137,MATCH($A63,Charges_NonSlice!$AA$4:$AA$137,0),1)</f>
        <v>38.582256900013206</v>
      </c>
      <c r="K63" s="37">
        <f ca="1">+INDEX(Charges_NonSlice!$X$4:$X$137,MATCH($A63,Charges_NonSlice!$AA$4:$AA$137,0),1)/1000</f>
        <v>704.20763999999997</v>
      </c>
      <c r="L63" s="37">
        <f ca="1">+SUM(K$5:K63)</f>
        <v>22458.3500824117</v>
      </c>
      <c r="N63" t="str">
        <f ca="1">+INDEX('Charges_NonSlice &amp; Excl LS'!$C$4:$C$137,MATCH($A63,'Charges_NonSlice &amp; Excl LS'!$AA$4:$AA$137,0),1)</f>
        <v>Modern Elec Coop</v>
      </c>
      <c r="O63" s="55">
        <f ca="1">+INDEX('Charges_NonSlice &amp; Excl LS'!$Z$4:$Z$137,MATCH($A63,'Charges_NonSlice &amp; Excl LS'!$AA$4:$AA$137,0),1)</f>
        <v>9.4076572634557334E-2</v>
      </c>
      <c r="P63" s="52">
        <f ca="1">+INDEX('Charges_NonSlice &amp; Excl LS'!$Y$4:$Y$137,MATCH($A63,'Charges_NonSlice &amp; Excl LS'!$AA$4:$AA$137,0),1)</f>
        <v>37.875974105999902</v>
      </c>
      <c r="Q63" s="37">
        <f ca="1">+INDEX('Charges_NonSlice &amp; Excl LS'!$X$4:$X$137,MATCH($A63,'Charges_NonSlice &amp; Excl LS'!$AA$4:$AA$137,0),1)/1000</f>
        <v>231.58074545356803</v>
      </c>
      <c r="R63" s="37">
        <f ca="1">+SUM(Q$5:Q63)</f>
        <v>17902.41105960749</v>
      </c>
      <c r="T63" t="str">
        <f ca="1">+INDEX(Charges_NonSlice!$C$4:$C$137,MATCH($A63,Charges_NonSlice!$AA$4:$AA$137,0),1)</f>
        <v>Mason County PUD #3</v>
      </c>
      <c r="U63" s="55">
        <f t="shared" ca="1" si="0"/>
        <v>7.0353091650744437E-2</v>
      </c>
      <c r="V63" s="52">
        <f ca="1">+INDEX(Charges_NonSlice!$Y$4:$Y$137,MATCH($A63,Charges_NonSlice!$AA$4:$AA$137,0),1)</f>
        <v>38.582256900013206</v>
      </c>
      <c r="W63" s="269">
        <f t="shared" ca="1" si="1"/>
        <v>36.04628902459654</v>
      </c>
      <c r="Y63" s="57" t="s">
        <v>65</v>
      </c>
      <c r="Z63" s="58">
        <v>35.442862038405906</v>
      </c>
    </row>
    <row r="64" spans="1:26">
      <c r="A64">
        <f t="shared" si="2"/>
        <v>60</v>
      </c>
      <c r="B64" t="str">
        <f ca="1">+INDEX('Charges_Including Slice and LS'!$C$4:$C$137,MATCH($A64,'Charges_Including Slice and LS'!$AA$4:$AA$137,0),1)</f>
        <v>United Electric Coop</v>
      </c>
      <c r="C64" s="55">
        <f ca="1">+INDEX('Charges_Including Slice and LS'!$Z$4:$Z$137,MATCH($A64,'Charges_Including Slice and LS'!$AA$4:$AA$137,0),1)</f>
        <v>9.5549657406084273E-2</v>
      </c>
      <c r="D64" s="52">
        <f ca="1">+INDEX('Charges_Including Slice and LS'!$Y$4:$Y$137,MATCH($A64,'Charges_Including Slice and LS'!$AA$4:$AA$137,0),1)</f>
        <v>33.49896235967929</v>
      </c>
      <c r="E64" s="37">
        <f ca="1">+INDEX('Charges_Including Slice and LS'!$X$4:$X$137,MATCH($A64,'Charges_Including Slice and LS'!$AA$4:$AA$137,0),1)/1000</f>
        <v>264.11399999999998</v>
      </c>
      <c r="F64" s="37">
        <f ca="1">+SUM(E$5:E64)</f>
        <v>18776.942200175446</v>
      </c>
      <c r="H64" t="str">
        <f ca="1">+INDEX(Charges_NonSlice!$C$4:$C$137,MATCH($A64,Charges_NonSlice!$AA$4:$AA$137,0),1)</f>
        <v>Blaine, City of</v>
      </c>
      <c r="I64" s="55">
        <f ca="1">+INDEX(Charges_NonSlice!$Z$4:$Z$137,MATCH($A64,Charges_NonSlice!$AA$4:$AA$137,0),1)</f>
        <v>9.6415043659450889E-2</v>
      </c>
      <c r="J64" s="52">
        <f ca="1">+INDEX(Charges_NonSlice!$Y$4:$Y$137,MATCH($A64,Charges_NonSlice!$AA$4:$AA$137,0),1)</f>
        <v>38.335187536743902</v>
      </c>
      <c r="K64" s="37">
        <f ca="1">+INDEX(Charges_NonSlice!$X$4:$X$137,MATCH($A64,Charges_NonSlice!$AA$4:$AA$137,0),1)/1000</f>
        <v>77.061271548754064</v>
      </c>
      <c r="L64" s="37">
        <f ca="1">+SUM(K$5:K64)</f>
        <v>22535.411353960455</v>
      </c>
      <c r="N64" t="str">
        <f ca="1">+INDEX('Charges_NonSlice &amp; Excl LS'!$C$4:$C$137,MATCH($A64,'Charges_NonSlice &amp; Excl LS'!$AA$4:$AA$137,0),1)</f>
        <v>Bandon, City of</v>
      </c>
      <c r="O64" s="55">
        <f ca="1">+INDEX('Charges_NonSlice &amp; Excl LS'!$Z$4:$Z$137,MATCH($A64,'Charges_NonSlice &amp; Excl LS'!$AA$4:$AA$137,0),1)</f>
        <v>9.3923807335085152E-2</v>
      </c>
      <c r="P64" s="52">
        <f ca="1">+INDEX('Charges_NonSlice &amp; Excl LS'!$Y$4:$Y$137,MATCH($A64,'Charges_NonSlice &amp; Excl LS'!$AA$4:$AA$137,0),1)</f>
        <v>36.334659584865911</v>
      </c>
      <c r="Q64" s="37">
        <f ca="1">+INDEX('Charges_NonSlice &amp; Excl LS'!$X$4:$X$137,MATCH($A64,'Charges_NonSlice &amp; Excl LS'!$AA$4:$AA$137,0),1)/1000</f>
        <v>67.305645334464003</v>
      </c>
      <c r="R64" s="37">
        <f ca="1">+SUM(Q$5:Q64)</f>
        <v>17969.716704941955</v>
      </c>
      <c r="T64" t="str">
        <f ca="1">+INDEX(Charges_NonSlice!$C$4:$C$137,MATCH($A64,Charges_NonSlice!$AA$4:$AA$137,0),1)</f>
        <v>Blaine, City of</v>
      </c>
      <c r="U64" s="55">
        <f t="shared" ca="1" si="0"/>
        <v>7.5921182291588396E-2</v>
      </c>
      <c r="V64" s="52">
        <f ca="1">+INDEX(Charges_NonSlice!$Y$4:$Y$137,MATCH($A64,Charges_NonSlice!$AA$4:$AA$137,0),1)</f>
        <v>38.335187536743902</v>
      </c>
      <c r="W64" s="269">
        <f t="shared" ca="1" si="1"/>
        <v>35.630107639571108</v>
      </c>
      <c r="Y64" s="57" t="s">
        <v>120</v>
      </c>
      <c r="Z64" s="58">
        <v>36.436568395670989</v>
      </c>
    </row>
    <row r="65" spans="1:26">
      <c r="A65">
        <f t="shared" si="2"/>
        <v>61</v>
      </c>
      <c r="B65" t="str">
        <f ca="1">+INDEX('Charges_Including Slice and LS'!$C$4:$C$137,MATCH($A65,'Charges_Including Slice and LS'!$AA$4:$AA$137,0),1)</f>
        <v>Farmers Elec Coop</v>
      </c>
      <c r="C65" s="55">
        <f ca="1">+INDEX('Charges_Including Slice and LS'!$Z$4:$Z$137,MATCH($A65,'Charges_Including Slice and LS'!$AA$4:$AA$137,0),1)</f>
        <v>9.5451066145275251E-2</v>
      </c>
      <c r="D65" s="52">
        <f ca="1">+INDEX('Charges_Including Slice and LS'!$Y$4:$Y$137,MATCH($A65,'Charges_Including Slice and LS'!$AA$4:$AA$137,0),1)</f>
        <v>45.939878054754018</v>
      </c>
      <c r="E65" s="37">
        <f ca="1">+INDEX('Charges_Including Slice and LS'!$X$4:$X$137,MATCH($A65,'Charges_Including Slice and LS'!$AA$4:$AA$137,0),1)/1000</f>
        <v>4.4676</v>
      </c>
      <c r="F65" s="37">
        <f ca="1">+SUM(E$5:E65)</f>
        <v>18781.409800175446</v>
      </c>
      <c r="H65" t="str">
        <f ca="1">+INDEX(Charges_NonSlice!$C$4:$C$137,MATCH($A65,Charges_NonSlice!$AA$4:$AA$137,0),1)</f>
        <v>Wasco Elec Coop</v>
      </c>
      <c r="I65" s="55">
        <f ca="1">+INDEX(Charges_NonSlice!$Z$4:$Z$137,MATCH($A65,Charges_NonSlice!$AA$4:$AA$137,0),1)</f>
        <v>9.6326026430316944E-2</v>
      </c>
      <c r="J65" s="52">
        <f ca="1">+INDEX(Charges_NonSlice!$Y$4:$Y$137,MATCH($A65,Charges_NonSlice!$AA$4:$AA$137,0),1)</f>
        <v>36.960050195596544</v>
      </c>
      <c r="K65" s="37">
        <f ca="1">+INDEX(Charges_NonSlice!$X$4:$X$137,MATCH($A65,Charges_NonSlice!$AA$4:$AA$137,0),1)/1000</f>
        <v>114.91787478324264</v>
      </c>
      <c r="L65" s="37">
        <f ca="1">+SUM(K$5:K65)</f>
        <v>22650.329228743696</v>
      </c>
      <c r="N65" t="str">
        <f ca="1">+INDEX('Charges_NonSlice &amp; Excl LS'!$C$4:$C$137,MATCH($A65,'Charges_NonSlice &amp; Excl LS'!$AA$4:$AA$137,0),1)</f>
        <v>McMinnville, City of</v>
      </c>
      <c r="O65" s="55">
        <f ca="1">+INDEX('Charges_NonSlice &amp; Excl LS'!$Z$4:$Z$137,MATCH($A65,'Charges_NonSlice &amp; Excl LS'!$AA$4:$AA$137,0),1)</f>
        <v>9.3864533877326281E-2</v>
      </c>
      <c r="P65" s="52">
        <f ca="1">+INDEX('Charges_NonSlice &amp; Excl LS'!$Y$4:$Y$137,MATCH($A65,'Charges_NonSlice &amp; Excl LS'!$AA$4:$AA$137,0),1)</f>
        <v>38.47575395502102</v>
      </c>
      <c r="Q65" s="37">
        <f ca="1">+INDEX('Charges_NonSlice &amp; Excl LS'!$X$4:$X$137,MATCH($A65,'Charges_NonSlice &amp; Excl LS'!$AA$4:$AA$137,0),1)/1000</f>
        <v>738.87984240172818</v>
      </c>
      <c r="R65" s="37">
        <f ca="1">+SUM(Q$5:Q65)</f>
        <v>18708.596547343685</v>
      </c>
      <c r="T65" t="str">
        <f ca="1">+INDEX(Charges_NonSlice!$C$4:$C$137,MATCH($A65,Charges_NonSlice!$AA$4:$AA$137,0),1)</f>
        <v>Wasco Elec Coop</v>
      </c>
      <c r="U65" s="55">
        <f t="shared" ca="1" si="0"/>
        <v>9.6661045533254608E-2</v>
      </c>
      <c r="V65" s="52">
        <f ca="1">+INDEX(Charges_NonSlice!$Y$4:$Y$137,MATCH($A65,Charges_NonSlice!$AA$4:$AA$137,0),1)</f>
        <v>36.960050195596544</v>
      </c>
      <c r="W65" s="269">
        <f t="shared" ca="1" si="1"/>
        <v>33.702346177186051</v>
      </c>
      <c r="Y65" s="57" t="s">
        <v>50</v>
      </c>
      <c r="Z65" s="58">
        <v>35.858940454466143</v>
      </c>
    </row>
    <row r="66" spans="1:26">
      <c r="A66">
        <f t="shared" si="2"/>
        <v>62</v>
      </c>
      <c r="B66" t="str">
        <f ca="1">+INDEX('Charges_Including Slice and LS'!$C$4:$C$137,MATCH($A66,'Charges_Including Slice and LS'!$AA$4:$AA$137,0),1)</f>
        <v>Glacier Elec  Coop</v>
      </c>
      <c r="C66" s="55">
        <f ca="1">+INDEX('Charges_Including Slice and LS'!$Z$4:$Z$137,MATCH($A66,'Charges_Including Slice and LS'!$AA$4:$AA$137,0),1)</f>
        <v>9.5219771814451251E-2</v>
      </c>
      <c r="D66" s="52">
        <f ca="1">+INDEX('Charges_Including Slice and LS'!$Y$4:$Y$137,MATCH($A66,'Charges_Including Slice and LS'!$AA$4:$AA$137,0),1)</f>
        <v>35.421000794706153</v>
      </c>
      <c r="E66" s="37">
        <f ca="1">+INDEX('Charges_Including Slice and LS'!$X$4:$X$137,MATCH($A66,'Charges_Including Slice and LS'!$AA$4:$AA$137,0),1)/1000</f>
        <v>161.98006756183173</v>
      </c>
      <c r="F66" s="37">
        <f ca="1">+SUM(E$5:E66)</f>
        <v>18943.389867737278</v>
      </c>
      <c r="H66" t="str">
        <f ca="1">+INDEX(Charges_NonSlice!$C$4:$C$137,MATCH($A66,Charges_NonSlice!$AA$4:$AA$137,0),1)</f>
        <v>Lakeview L &amp; P (WA)</v>
      </c>
      <c r="I66" s="55">
        <f ca="1">+INDEX(Charges_NonSlice!$Z$4:$Z$137,MATCH($A66,Charges_NonSlice!$AA$4:$AA$137,0),1)</f>
        <v>9.6277278985687789E-2</v>
      </c>
      <c r="J66" s="52">
        <f ca="1">+INDEX(Charges_NonSlice!$Y$4:$Y$137,MATCH($A66,Charges_NonSlice!$AA$4:$AA$137,0),1)</f>
        <v>38.11156645981918</v>
      </c>
      <c r="K66" s="37">
        <f ca="1">+INDEX(Charges_NonSlice!$X$4:$X$137,MATCH($A66,Charges_NonSlice!$AA$4:$AA$137,0),1)/1000</f>
        <v>267.1223067678867</v>
      </c>
      <c r="L66" s="37">
        <f ca="1">+SUM(K$5:K66)</f>
        <v>22917.451535511584</v>
      </c>
      <c r="N66" t="str">
        <f ca="1">+INDEX('Charges_NonSlice &amp; Excl LS'!$C$4:$C$137,MATCH($A66,'Charges_NonSlice &amp; Excl LS'!$AA$4:$AA$137,0),1)</f>
        <v>Chewelah, City of</v>
      </c>
      <c r="O66" s="55">
        <f ca="1">+INDEX('Charges_NonSlice &amp; Excl LS'!$Z$4:$Z$137,MATCH($A66,'Charges_NonSlice &amp; Excl LS'!$AA$4:$AA$137,0),1)</f>
        <v>9.3814199838551965E-2</v>
      </c>
      <c r="P66" s="52">
        <f ca="1">+INDEX('Charges_NonSlice &amp; Excl LS'!$Y$4:$Y$137,MATCH($A66,'Charges_NonSlice &amp; Excl LS'!$AA$4:$AA$137,0),1)</f>
        <v>38.568691247482619</v>
      </c>
      <c r="Q66" s="37">
        <f ca="1">+INDEX('Charges_NonSlice &amp; Excl LS'!$X$4:$X$137,MATCH($A66,'Charges_NonSlice &amp; Excl LS'!$AA$4:$AA$137,0),1)/1000</f>
        <v>22.07814497184</v>
      </c>
      <c r="R66" s="37">
        <f ca="1">+SUM(Q$5:Q66)</f>
        <v>18730.674692315526</v>
      </c>
      <c r="T66" t="str">
        <f ca="1">+INDEX(Charges_NonSlice!$C$4:$C$137,MATCH($A66,Charges_NonSlice!$AA$4:$AA$137,0),1)</f>
        <v>Lakeview L &amp; P (WA)</v>
      </c>
      <c r="U66" s="55">
        <f t="shared" ca="1" si="0"/>
        <v>5.6443431939876554E-2</v>
      </c>
      <c r="V66" s="52">
        <f ca="1">+INDEX(Charges_NonSlice!$Y$4:$Y$137,MATCH($A66,Charges_NonSlice!$AA$4:$AA$137,0),1)</f>
        <v>38.11156645981918</v>
      </c>
      <c r="W66" s="269">
        <f t="shared" ca="1" si="1"/>
        <v>36.075349902869341</v>
      </c>
      <c r="Y66" s="57" t="s">
        <v>91</v>
      </c>
      <c r="Z66" s="58">
        <v>37.18809078475666</v>
      </c>
    </row>
    <row r="67" spans="1:26">
      <c r="A67">
        <f t="shared" si="2"/>
        <v>63</v>
      </c>
      <c r="B67" t="str">
        <f ca="1">+INDEX('Charges_Including Slice and LS'!$C$4:$C$137,MATCH($A67,'Charges_Including Slice and LS'!$AA$4:$AA$137,0),1)</f>
        <v>Columbia River PUD</v>
      </c>
      <c r="C67" s="55">
        <f ca="1">+INDEX('Charges_Including Slice and LS'!$Z$4:$Z$137,MATCH($A67,'Charges_Including Slice and LS'!$AA$4:$AA$137,0),1)</f>
        <v>9.4670417843057283E-2</v>
      </c>
      <c r="D67" s="52">
        <f ca="1">+INDEX('Charges_Including Slice and LS'!$Y$4:$Y$137,MATCH($A67,'Charges_Including Slice and LS'!$AA$4:$AA$137,0),1)</f>
        <v>39.392447477482953</v>
      </c>
      <c r="E67" s="37">
        <f ca="1">+INDEX('Charges_Including Slice and LS'!$X$4:$X$137,MATCH($A67,'Charges_Including Slice and LS'!$AA$4:$AA$137,0),1)/1000</f>
        <v>513.21142429500344</v>
      </c>
      <c r="F67" s="37">
        <f ca="1">+SUM(E$5:E67)</f>
        <v>19456.601292032283</v>
      </c>
      <c r="H67" t="str">
        <f ca="1">+INDEX(Charges_NonSlice!$C$4:$C$137,MATCH($A67,Charges_NonSlice!$AA$4:$AA$137,0),1)</f>
        <v>Benton REA</v>
      </c>
      <c r="I67" s="55">
        <f ca="1">+INDEX(Charges_NonSlice!$Z$4:$Z$137,MATCH($A67,Charges_NonSlice!$AA$4:$AA$137,0),1)</f>
        <v>9.6185289748060426E-2</v>
      </c>
      <c r="J67" s="52">
        <f ca="1">+INDEX(Charges_NonSlice!$Y$4:$Y$137,MATCH($A67,Charges_NonSlice!$AA$4:$AA$137,0),1)</f>
        <v>34.559831682279146</v>
      </c>
      <c r="K67" s="37">
        <f ca="1">+INDEX(Charges_NonSlice!$X$4:$X$137,MATCH($A67,Charges_NonSlice!$AA$4:$AA$137,0),1)/1000</f>
        <v>525.62628000000007</v>
      </c>
      <c r="L67" s="37">
        <f ca="1">+SUM(K$5:K67)</f>
        <v>23443.077815511584</v>
      </c>
      <c r="N67" t="str">
        <f ca="1">+INDEX('Charges_NonSlice &amp; Excl LS'!$C$4:$C$137,MATCH($A67,'Charges_NonSlice &amp; Excl LS'!$AA$4:$AA$137,0),1)</f>
        <v>Monmouth, City of</v>
      </c>
      <c r="O67" s="55">
        <f ca="1">+INDEX('Charges_NonSlice &amp; Excl LS'!$Z$4:$Z$137,MATCH($A67,'Charges_NonSlice &amp; Excl LS'!$AA$4:$AA$137,0),1)</f>
        <v>9.3778509435918547E-2</v>
      </c>
      <c r="P67" s="52">
        <f ca="1">+INDEX('Charges_NonSlice &amp; Excl LS'!$Y$4:$Y$137,MATCH($A67,'Charges_NonSlice &amp; Excl LS'!$AA$4:$AA$137,0),1)</f>
        <v>38.717028604899056</v>
      </c>
      <c r="Q67" s="37">
        <f ca="1">+INDEX('Charges_NonSlice &amp; Excl LS'!$X$4:$X$137,MATCH($A67,'Charges_NonSlice &amp; Excl LS'!$AA$4:$AA$137,0),1)/1000</f>
        <v>73.68308410771202</v>
      </c>
      <c r="R67" s="37">
        <f ca="1">+SUM(Q$5:Q67)</f>
        <v>18804.35777642324</v>
      </c>
      <c r="T67" t="str">
        <f ca="1">+INDEX(Charges_NonSlice!$C$4:$C$137,MATCH($A67,Charges_NonSlice!$AA$4:$AA$137,0),1)</f>
        <v>Benton REA</v>
      </c>
      <c r="U67" s="55">
        <f t="shared" ca="1" si="0"/>
        <v>9.2896659403180371E-2</v>
      </c>
      <c r="V67" s="52">
        <f ca="1">+INDEX(Charges_NonSlice!$Y$4:$Y$137,MATCH($A67,Charges_NonSlice!$AA$4:$AA$137,0),1)</f>
        <v>34.559831682279146</v>
      </c>
      <c r="W67" s="269">
        <f t="shared" ca="1" si="1"/>
        <v>31.622231969445231</v>
      </c>
      <c r="Y67" s="57" t="s">
        <v>31</v>
      </c>
      <c r="Z67" s="58">
        <v>38.550179644658783</v>
      </c>
    </row>
    <row r="68" spans="1:26">
      <c r="A68">
        <f t="shared" si="2"/>
        <v>64</v>
      </c>
      <c r="B68" t="str">
        <f ca="1">+INDEX('Charges_Including Slice and LS'!$C$4:$C$137,MATCH($A68,'Charges_Including Slice and LS'!$AA$4:$AA$137,0),1)</f>
        <v>Chewelah, City of</v>
      </c>
      <c r="C68" s="55">
        <f ca="1">+INDEX('Charges_Including Slice and LS'!$Z$4:$Z$137,MATCH($A68,'Charges_Including Slice and LS'!$AA$4:$AA$137,0),1)</f>
        <v>9.3635024635795261E-2</v>
      </c>
      <c r="D68" s="52">
        <f ca="1">+INDEX('Charges_Including Slice and LS'!$Y$4:$Y$137,MATCH($A68,'Charges_Including Slice and LS'!$AA$4:$AA$137,0),1)</f>
        <v>39.92103855185313</v>
      </c>
      <c r="E68" s="37">
        <f ca="1">+INDEX('Charges_Including Slice and LS'!$X$4:$X$137,MATCH($A68,'Charges_Including Slice and LS'!$AA$4:$AA$137,0),1)/1000</f>
        <v>22.07849530326785</v>
      </c>
      <c r="F68" s="37">
        <f ca="1">+SUM(E$5:E68)</f>
        <v>19478.67978733555</v>
      </c>
      <c r="H68" t="str">
        <f ca="1">+INDEX(Charges_NonSlice!$C$4:$C$137,MATCH($A68,Charges_NonSlice!$AA$4:$AA$137,0),1)</f>
        <v>Ohop Mutual Light Company</v>
      </c>
      <c r="I68" s="55">
        <f ca="1">+INDEX(Charges_NonSlice!$Z$4:$Z$137,MATCH($A68,Charges_NonSlice!$AA$4:$AA$137,0),1)</f>
        <v>9.6094809785940927E-2</v>
      </c>
      <c r="J68" s="52">
        <f ca="1">+INDEX(Charges_NonSlice!$Y$4:$Y$137,MATCH($A68,Charges_NonSlice!$AA$4:$AA$137,0),1)</f>
        <v>36.647971019687205</v>
      </c>
      <c r="K68" s="37">
        <f ca="1">+INDEX(Charges_NonSlice!$X$4:$X$137,MATCH($A68,Charges_NonSlice!$AA$4:$AA$137,0),1)/1000</f>
        <v>94.32410256820728</v>
      </c>
      <c r="L68" s="37">
        <f ca="1">+SUM(K$5:K68)</f>
        <v>23537.401918079791</v>
      </c>
      <c r="N68" t="str">
        <f ca="1">+INDEX('Charges_NonSlice &amp; Excl LS'!$C$4:$C$137,MATCH($A68,'Charges_NonSlice &amp; Excl LS'!$AA$4:$AA$137,0),1)</f>
        <v>Canby, City of</v>
      </c>
      <c r="O68" s="55">
        <f ca="1">+INDEX('Charges_NonSlice &amp; Excl LS'!$Z$4:$Z$137,MATCH($A68,'Charges_NonSlice &amp; Excl LS'!$AA$4:$AA$137,0),1)</f>
        <v>9.3610655272253332E-2</v>
      </c>
      <c r="P68" s="52">
        <f ca="1">+INDEX('Charges_NonSlice &amp; Excl LS'!$Y$4:$Y$137,MATCH($A68,'Charges_NonSlice &amp; Excl LS'!$AA$4:$AA$137,0),1)</f>
        <v>37.609625252233279</v>
      </c>
      <c r="Q68" s="37">
        <f ca="1">+INDEX('Charges_NonSlice &amp; Excl LS'!$X$4:$X$137,MATCH($A68,'Charges_NonSlice &amp; Excl LS'!$AA$4:$AA$137,0),1)/1000</f>
        <v>178.92950776896004</v>
      </c>
      <c r="R68" s="37">
        <f ca="1">+SUM(Q$5:Q68)</f>
        <v>18983.2872841922</v>
      </c>
      <c r="T68" t="str">
        <f ca="1">+INDEX(Charges_NonSlice!$C$4:$C$137,MATCH($A68,Charges_NonSlice!$AA$4:$AA$137,0),1)</f>
        <v>Ohop Mutual Light Company</v>
      </c>
      <c r="U68" s="55">
        <f t="shared" ca="1" si="0"/>
        <v>4.5381608753054525E-2</v>
      </c>
      <c r="V68" s="52">
        <f ca="1">+INDEX(Charges_NonSlice!$Y$4:$Y$137,MATCH($A68,Charges_NonSlice!$AA$4:$AA$137,0),1)</f>
        <v>36.647971019687205</v>
      </c>
      <c r="W68" s="269">
        <f t="shared" ca="1" si="1"/>
        <v>35.057026747774344</v>
      </c>
      <c r="Y68" s="57" t="s">
        <v>9</v>
      </c>
      <c r="Z68" s="58">
        <v>33.393397875617829</v>
      </c>
    </row>
    <row r="69" spans="1:26">
      <c r="A69">
        <f t="shared" si="2"/>
        <v>65</v>
      </c>
      <c r="B69" t="str">
        <f ca="1">+INDEX('Charges_Including Slice and LS'!$C$4:$C$137,MATCH($A69,'Charges_Including Slice and LS'!$AA$4:$AA$137,0),1)</f>
        <v>East End Mutual Electric</v>
      </c>
      <c r="C69" s="55">
        <f ca="1">+INDEX('Charges_Including Slice and LS'!$Z$4:$Z$137,MATCH($A69,'Charges_Including Slice and LS'!$AA$4:$AA$137,0),1)</f>
        <v>9.3194441130882044E-2</v>
      </c>
      <c r="D69" s="52">
        <f ca="1">+INDEX('Charges_Including Slice and LS'!$Y$4:$Y$137,MATCH($A69,'Charges_Including Slice and LS'!$AA$4:$AA$137,0),1)</f>
        <v>35.997117994492257</v>
      </c>
      <c r="E69" s="37">
        <f ca="1">+INDEX('Charges_Including Slice and LS'!$X$4:$X$137,MATCH($A69,'Charges_Including Slice and LS'!$AA$4:$AA$137,0),1)/1000</f>
        <v>23.669520000000002</v>
      </c>
      <c r="F69" s="37">
        <f ca="1">+SUM(E$5:E69)</f>
        <v>19502.349307335549</v>
      </c>
      <c r="H69" t="str">
        <f ca="1">+INDEX(Charges_NonSlice!$C$4:$C$137,MATCH($A69,Charges_NonSlice!$AA$4:$AA$137,0),1)</f>
        <v>Ellensburg, City of</v>
      </c>
      <c r="I69" s="55">
        <f ca="1">+INDEX(Charges_NonSlice!$Z$4:$Z$137,MATCH($A69,Charges_NonSlice!$AA$4:$AA$137,0),1)</f>
        <v>9.605225322506758E-2</v>
      </c>
      <c r="J69" s="52">
        <f ca="1">+INDEX(Charges_NonSlice!$Y$4:$Y$137,MATCH($A69,Charges_NonSlice!$AA$4:$AA$137,0),1)</f>
        <v>41.728777860986156</v>
      </c>
      <c r="K69" s="37">
        <f ca="1">+INDEX(Charges_NonSlice!$X$4:$X$137,MATCH($A69,Charges_NonSlice!$AA$4:$AA$137,0),1)/1000</f>
        <v>211.28930247240203</v>
      </c>
      <c r="L69" s="37">
        <f ca="1">+SUM(K$5:K69)</f>
        <v>23748.691220552195</v>
      </c>
      <c r="N69" t="str">
        <f ca="1">+INDEX('Charges_NonSlice &amp; Excl LS'!$C$4:$C$137,MATCH($A69,'Charges_NonSlice &amp; Excl LS'!$AA$4:$AA$137,0),1)</f>
        <v>U.S. DOE Richland Operations Office</v>
      </c>
      <c r="O69" s="55">
        <f ca="1">+INDEX('Charges_NonSlice &amp; Excl LS'!$Z$4:$Z$137,MATCH($A69,'Charges_NonSlice &amp; Excl LS'!$AA$4:$AA$137,0),1)</f>
        <v>9.3562687358333466E-2</v>
      </c>
      <c r="P69" s="52">
        <f ca="1">+INDEX('Charges_NonSlice &amp; Excl LS'!$Y$4:$Y$137,MATCH($A69,'Charges_NonSlice &amp; Excl LS'!$AA$4:$AA$137,0),1)</f>
        <v>35.72469786993539</v>
      </c>
      <c r="Q69" s="37">
        <f ca="1">+INDEX('Charges_NonSlice &amp; Excl LS'!$X$4:$X$137,MATCH($A69,'Charges_NonSlice &amp; Excl LS'!$AA$4:$AA$137,0),1)/1000</f>
        <v>341.95278641011197</v>
      </c>
      <c r="R69" s="37">
        <f ca="1">+SUM(Q$5:Q69)</f>
        <v>19325.240070602311</v>
      </c>
      <c r="T69" t="str">
        <f ca="1">+INDEX(Charges_NonSlice!$C$4:$C$137,MATCH($A69,Charges_NonSlice!$AA$4:$AA$137,0),1)</f>
        <v>Ellensburg, City of</v>
      </c>
      <c r="U69" s="55">
        <f t="shared" ca="1" si="0"/>
        <v>0.1714849052346854</v>
      </c>
      <c r="V69" s="52">
        <f ca="1">+INDEX(Charges_NonSlice!$Y$4:$Y$137,MATCH($A69,Charges_NonSlice!$AA$4:$AA$137,0),1)</f>
        <v>41.728777860986156</v>
      </c>
      <c r="W69" s="269">
        <f t="shared" ca="1" si="1"/>
        <v>35.620414462469377</v>
      </c>
      <c r="Y69" s="57" t="s">
        <v>76</v>
      </c>
      <c r="Z69" s="58">
        <v>33.451751826339148</v>
      </c>
    </row>
    <row r="70" spans="1:26">
      <c r="A70">
        <f t="shared" si="2"/>
        <v>66</v>
      </c>
      <c r="B70" t="str">
        <f ca="1">+INDEX('Charges_Including Slice and LS'!$C$4:$C$137,MATCH($A70,'Charges_Including Slice and LS'!$AA$4:$AA$137,0),1)</f>
        <v>Modern Elec Coop</v>
      </c>
      <c r="C70" s="55">
        <f ca="1">+INDEX('Charges_Including Slice and LS'!$Z$4:$Z$137,MATCH($A70,'Charges_Including Slice and LS'!$AA$4:$AA$137,0),1)</f>
        <v>9.3118019296937998E-2</v>
      </c>
      <c r="D70" s="52">
        <f ca="1">+INDEX('Charges_Including Slice and LS'!$Y$4:$Y$137,MATCH($A70,'Charges_Including Slice and LS'!$AA$4:$AA$137,0),1)</f>
        <v>39.108738228472085</v>
      </c>
      <c r="E70" s="37">
        <f ca="1">+INDEX('Charges_Including Slice and LS'!$X$4:$X$137,MATCH($A70,'Charges_Including Slice and LS'!$AA$4:$AA$137,0),1)/1000</f>
        <v>231.57935999999998</v>
      </c>
      <c r="F70" s="37">
        <f ca="1">+SUM(E$5:E70)</f>
        <v>19733.928667335549</v>
      </c>
      <c r="H70" t="str">
        <f ca="1">+INDEX(Charges_NonSlice!$C$4:$C$137,MATCH($A70,Charges_NonSlice!$AA$4:$AA$137,0),1)</f>
        <v>Parkland L &amp; W</v>
      </c>
      <c r="I70" s="55">
        <f ca="1">+INDEX(Charges_NonSlice!$Z$4:$Z$137,MATCH($A70,Charges_NonSlice!$AA$4:$AA$137,0),1)</f>
        <v>9.5948804578722111E-2</v>
      </c>
      <c r="J70" s="52">
        <f ca="1">+INDEX(Charges_NonSlice!$Y$4:$Y$137,MATCH($A70,Charges_NonSlice!$AA$4:$AA$137,0),1)</f>
        <v>38.119323580187299</v>
      </c>
      <c r="K70" s="37">
        <f ca="1">+INDEX(Charges_NonSlice!$X$4:$X$137,MATCH($A70,Charges_NonSlice!$AA$4:$AA$137,0),1)/1000</f>
        <v>118.82290301411771</v>
      </c>
      <c r="L70" s="37">
        <f ca="1">+SUM(K$5:K70)</f>
        <v>23867.514123566314</v>
      </c>
      <c r="N70" t="str">
        <f ca="1">+INDEX('Charges_NonSlice &amp; Excl LS'!$C$4:$C$137,MATCH($A70,'Charges_NonSlice &amp; Excl LS'!$AA$4:$AA$137,0),1)</f>
        <v>Salmon River Elec Coop</v>
      </c>
      <c r="O70" s="55">
        <f ca="1">+INDEX('Charges_NonSlice &amp; Excl LS'!$Z$4:$Z$137,MATCH($A70,'Charges_NonSlice &amp; Excl LS'!$AA$4:$AA$137,0),1)</f>
        <v>9.3542623773863964E-2</v>
      </c>
      <c r="P70" s="52">
        <f ca="1">+INDEX('Charges_NonSlice &amp; Excl LS'!$Y$4:$Y$137,MATCH($A70,'Charges_NonSlice &amp; Excl LS'!$AA$4:$AA$137,0),1)</f>
        <v>31.259211710569623</v>
      </c>
      <c r="Q70" s="37">
        <f ca="1">+INDEX('Charges_NonSlice &amp; Excl LS'!$X$4:$X$137,MATCH($A70,'Charges_NonSlice &amp; Excl LS'!$AA$4:$AA$137,0),1)/1000</f>
        <v>103.03549518028802</v>
      </c>
      <c r="R70" s="37">
        <f ca="1">+SUM(Q$5:Q70)</f>
        <v>19428.275565782598</v>
      </c>
      <c r="T70" t="str">
        <f ca="1">+INDEX(Charges_NonSlice!$C$4:$C$137,MATCH($A70,Charges_NonSlice!$AA$4:$AA$137,0),1)</f>
        <v>Parkland L &amp; W</v>
      </c>
      <c r="U70" s="55">
        <f t="shared" ref="U70:U120" ca="1" si="3">IFERROR(+V70/W70-1,"")</f>
        <v>6.5469825022455463E-2</v>
      </c>
      <c r="V70" s="52">
        <f ca="1">+INDEX(Charges_NonSlice!$Y$4:$Y$137,MATCH($A70,Charges_NonSlice!$AA$4:$AA$137,0),1)</f>
        <v>38.119323580187299</v>
      </c>
      <c r="W70" s="269">
        <f t="shared" ref="W70:W121" ca="1" si="4">IFERROR(+VLOOKUP(T70,Y:Z,2,FALSE), " ")</f>
        <v>35.777009057374208</v>
      </c>
      <c r="Y70" s="57" t="s">
        <v>60</v>
      </c>
      <c r="Z70" s="58">
        <v>31.515101177899179</v>
      </c>
    </row>
    <row r="71" spans="1:26">
      <c r="A71">
        <f t="shared" ref="A71:A120" si="5">+A70+1</f>
        <v>67</v>
      </c>
      <c r="B71" t="str">
        <f ca="1">+INDEX('Charges_Including Slice and LS'!$C$4:$C$137,MATCH($A71,'Charges_Including Slice and LS'!$AA$4:$AA$137,0),1)</f>
        <v>Richland, City of</v>
      </c>
      <c r="C71" s="55">
        <f ca="1">+INDEX('Charges_Including Slice and LS'!$Z$4:$Z$137,MATCH($A71,'Charges_Including Slice and LS'!$AA$4:$AA$137,0),1)</f>
        <v>9.292565138038146E-2</v>
      </c>
      <c r="D71" s="52">
        <f ca="1">+INDEX('Charges_Including Slice and LS'!$Y$4:$Y$137,MATCH($A71,'Charges_Including Slice and LS'!$AA$4:$AA$137,0),1)</f>
        <v>37.269902811148448</v>
      </c>
      <c r="E71" s="37">
        <f ca="1">+INDEX('Charges_Including Slice and LS'!$X$4:$X$137,MATCH($A71,'Charges_Including Slice and LS'!$AA$4:$AA$137,0),1)/1000</f>
        <v>918.17063999999993</v>
      </c>
      <c r="F71" s="37">
        <f ca="1">+SUM(E$5:E71)</f>
        <v>20652.099307335549</v>
      </c>
      <c r="H71" t="str">
        <f ca="1">+INDEX(Charges_NonSlice!$C$4:$C$137,MATCH($A71,Charges_NonSlice!$AA$4:$AA$137,0),1)</f>
        <v>United Electric Coop</v>
      </c>
      <c r="I71" s="55">
        <f ca="1">+INDEX(Charges_NonSlice!$Z$4:$Z$137,MATCH($A71,Charges_NonSlice!$AA$4:$AA$137,0),1)</f>
        <v>9.5548243731438109E-2</v>
      </c>
      <c r="J71" s="52">
        <f ca="1">+INDEX(Charges_NonSlice!$Y$4:$Y$137,MATCH($A71,Charges_NonSlice!$AA$4:$AA$137,0),1)</f>
        <v>33.499375373327062</v>
      </c>
      <c r="K71" s="37">
        <f ca="1">+INDEX(Charges_NonSlice!$X$4:$X$137,MATCH($A71,Charges_NonSlice!$AA$4:$AA$137,0),1)/1000</f>
        <v>264.11399999999998</v>
      </c>
      <c r="L71" s="37">
        <f ca="1">+SUM(K$5:K71)</f>
        <v>24131.628123566315</v>
      </c>
      <c r="N71" t="str">
        <f ca="1">+INDEX('Charges_NonSlice &amp; Excl LS'!$C$4:$C$137,MATCH($A71,'Charges_NonSlice &amp; Excl LS'!$AA$4:$AA$137,0),1)</f>
        <v>Riverside Elec Coop</v>
      </c>
      <c r="O71" s="55">
        <f ca="1">+INDEX('Charges_NonSlice &amp; Excl LS'!$Z$4:$Z$137,MATCH($A71,'Charges_NonSlice &amp; Excl LS'!$AA$4:$AA$137,0),1)</f>
        <v>9.3535159140222812E-2</v>
      </c>
      <c r="P71" s="52">
        <f ca="1">+INDEX('Charges_NonSlice &amp; Excl LS'!$Y$4:$Y$137,MATCH($A71,'Charges_NonSlice &amp; Excl LS'!$AA$4:$AA$137,0),1)</f>
        <v>33.795196717962639</v>
      </c>
      <c r="Q71" s="37">
        <f ca="1">+INDEX('Charges_NonSlice &amp; Excl LS'!$X$4:$X$137,MATCH($A71,'Charges_NonSlice &amp; Excl LS'!$AA$4:$AA$137,0),1)/1000</f>
        <v>20.901059104512001</v>
      </c>
      <c r="R71" s="37">
        <f ca="1">+SUM(Q$5:Q71)</f>
        <v>19449.17662488711</v>
      </c>
      <c r="T71" t="str">
        <f ca="1">+INDEX(Charges_NonSlice!$C$4:$C$137,MATCH($A71,Charges_NonSlice!$AA$4:$AA$137,0),1)</f>
        <v>United Electric Coop</v>
      </c>
      <c r="U71" s="55">
        <f t="shared" ca="1" si="3"/>
        <v>5.0593834177257824E-2</v>
      </c>
      <c r="V71" s="52">
        <f ca="1">+INDEX(Charges_NonSlice!$Y$4:$Y$137,MATCH($A71,Charges_NonSlice!$AA$4:$AA$137,0),1)</f>
        <v>33.499375373327062</v>
      </c>
      <c r="W71" s="269">
        <f t="shared" ca="1" si="4"/>
        <v>31.886133616576121</v>
      </c>
      <c r="Y71" s="57" t="s">
        <v>69</v>
      </c>
      <c r="Z71" s="58">
        <v>33.285101506513151</v>
      </c>
    </row>
    <row r="72" spans="1:26">
      <c r="A72">
        <f t="shared" si="5"/>
        <v>68</v>
      </c>
      <c r="B72" t="str">
        <f ca="1">+INDEX('Charges_Including Slice and LS'!$C$4:$C$137,MATCH($A72,'Charges_Including Slice and LS'!$AA$4:$AA$137,0),1)</f>
        <v>Tanner Elec Coop</v>
      </c>
      <c r="C72" s="55">
        <f ca="1">+INDEX('Charges_Including Slice and LS'!$Z$4:$Z$137,MATCH($A72,'Charges_Including Slice and LS'!$AA$4:$AA$137,0),1)</f>
        <v>9.2916744687472241E-2</v>
      </c>
      <c r="D72" s="52">
        <f ca="1">+INDEX('Charges_Including Slice and LS'!$Y$4:$Y$137,MATCH($A72,'Charges_Including Slice and LS'!$AA$4:$AA$137,0),1)</f>
        <v>38.172240616875946</v>
      </c>
      <c r="E72" s="37">
        <f ca="1">+INDEX('Charges_Including Slice and LS'!$X$4:$X$137,MATCH($A72,'Charges_Including Slice and LS'!$AA$4:$AA$137,0),1)/1000</f>
        <v>97.197540737687262</v>
      </c>
      <c r="F72" s="37">
        <f ca="1">+SUM(E$5:E72)</f>
        <v>20749.296848073238</v>
      </c>
      <c r="H72" t="str">
        <f ca="1">+INDEX(Charges_NonSlice!$C$4:$C$137,MATCH($A72,Charges_NonSlice!$AA$4:$AA$137,0),1)</f>
        <v>Farmers Elec Coop</v>
      </c>
      <c r="I72" s="55">
        <f ca="1">+INDEX(Charges_NonSlice!$Z$4:$Z$137,MATCH($A72,Charges_NonSlice!$AA$4:$AA$137,0),1)</f>
        <v>9.5420980085971191E-2</v>
      </c>
      <c r="J72" s="52">
        <f ca="1">+INDEX(Charges_NonSlice!$Y$4:$Y$137,MATCH($A72,Charges_NonSlice!$AA$4:$AA$137,0),1)</f>
        <v>45.952636582822777</v>
      </c>
      <c r="K72" s="37">
        <f ca="1">+INDEX(Charges_NonSlice!$X$4:$X$137,MATCH($A72,Charges_NonSlice!$AA$4:$AA$137,0),1)/1000</f>
        <v>4.4676</v>
      </c>
      <c r="L72" s="37">
        <f ca="1">+SUM(K$5:K72)</f>
        <v>24136.095723566315</v>
      </c>
      <c r="N72" t="str">
        <f ca="1">+INDEX('Charges_NonSlice &amp; Excl LS'!$C$4:$C$137,MATCH($A72,'Charges_NonSlice &amp; Excl LS'!$AA$4:$AA$137,0),1)</f>
        <v>Jefferson County PUD #1</v>
      </c>
      <c r="O72" s="55">
        <f ca="1">+INDEX('Charges_NonSlice &amp; Excl LS'!$Z$4:$Z$137,MATCH($A72,'Charges_NonSlice &amp; Excl LS'!$AA$4:$AA$137,0),1)</f>
        <v>9.3504945611081455E-2</v>
      </c>
      <c r="P72" s="52">
        <f ca="1">+INDEX('Charges_NonSlice &amp; Excl LS'!$Y$4:$Y$137,MATCH($A72,'Charges_NonSlice &amp; Excl LS'!$AA$4:$AA$137,0),1)</f>
        <v>37.075508495667883</v>
      </c>
      <c r="Q72" s="37">
        <f ca="1">+INDEX('Charges_NonSlice &amp; Excl LS'!$X$4:$X$137,MATCH($A72,'Charges_NonSlice &amp; Excl LS'!$AA$4:$AA$137,0),1)/1000</f>
        <v>397.99203844300803</v>
      </c>
      <c r="R72" s="37">
        <f ca="1">+SUM(Q$5:Q72)</f>
        <v>19847.168663330118</v>
      </c>
      <c r="T72" t="str">
        <f ca="1">+INDEX(Charges_NonSlice!$C$4:$C$137,MATCH($A72,Charges_NonSlice!$AA$4:$AA$137,0),1)</f>
        <v>Farmers Elec Coop</v>
      </c>
      <c r="U72" s="55">
        <f t="shared" ca="1" si="3"/>
        <v>0.29652725372540378</v>
      </c>
      <c r="V72" s="52">
        <f ca="1">+INDEX(Charges_NonSlice!$Y$4:$Y$137,MATCH($A72,Charges_NonSlice!$AA$4:$AA$137,0),1)</f>
        <v>45.952636582822777</v>
      </c>
      <c r="W72" s="269">
        <f t="shared" ca="1" si="4"/>
        <v>35.442862038405906</v>
      </c>
      <c r="Y72" s="57" t="s">
        <v>41</v>
      </c>
      <c r="Z72" s="58">
        <v>36.133586332438526</v>
      </c>
    </row>
    <row r="73" spans="1:26">
      <c r="A73">
        <f t="shared" si="5"/>
        <v>69</v>
      </c>
      <c r="B73" t="str">
        <f ca="1">+INDEX('Charges_Including Slice and LS'!$C$4:$C$137,MATCH($A73,'Charges_Including Slice and LS'!$AA$4:$AA$137,0),1)</f>
        <v>Lower Valley Energy</v>
      </c>
      <c r="C73" s="55">
        <f ca="1">+INDEX('Charges_Including Slice and LS'!$Z$4:$Z$137,MATCH($A73,'Charges_Including Slice and LS'!$AA$4:$AA$137,0),1)</f>
        <v>9.288267275548108E-2</v>
      </c>
      <c r="D73" s="52">
        <f ca="1">+INDEX('Charges_Including Slice and LS'!$Y$4:$Y$137,MATCH($A73,'Charges_Including Slice and LS'!$AA$4:$AA$137,0),1)</f>
        <v>38.200261695820735</v>
      </c>
      <c r="E73" s="37">
        <f ca="1">+INDEX('Charges_Including Slice and LS'!$X$4:$X$137,MATCH($A73,'Charges_Including Slice and LS'!$AA$4:$AA$137,0),1)/1000</f>
        <v>758.02907999999991</v>
      </c>
      <c r="F73" s="37">
        <f ca="1">+SUM(E$5:E73)</f>
        <v>21507.325928073238</v>
      </c>
      <c r="H73" t="str">
        <f ca="1">+INDEX(Charges_NonSlice!$C$4:$C$137,MATCH($A73,Charges_NonSlice!$AA$4:$AA$137,0),1)</f>
        <v>Glacier Elec  Coop</v>
      </c>
      <c r="I73" s="55">
        <f ca="1">+INDEX(Charges_NonSlice!$Z$4:$Z$137,MATCH($A73,Charges_NonSlice!$AA$4:$AA$137,0),1)</f>
        <v>9.5218740682216987E-2</v>
      </c>
      <c r="J73" s="52">
        <f ca="1">+INDEX(Charges_NonSlice!$Y$4:$Y$137,MATCH($A73,Charges_NonSlice!$AA$4:$AA$137,0),1)</f>
        <v>35.421351022983337</v>
      </c>
      <c r="K73" s="37">
        <f ca="1">+INDEX(Charges_NonSlice!$X$4:$X$137,MATCH($A73,Charges_NonSlice!$AA$4:$AA$137,0),1)/1000</f>
        <v>161.98006756183173</v>
      </c>
      <c r="L73" s="37">
        <f ca="1">+SUM(K$5:K73)</f>
        <v>24298.075791128147</v>
      </c>
      <c r="N73" t="str">
        <f ca="1">+INDEX('Charges_NonSlice &amp; Excl LS'!$C$4:$C$137,MATCH($A73,'Charges_NonSlice &amp; Excl LS'!$AA$4:$AA$137,0),1)</f>
        <v>Albion, City of</v>
      </c>
      <c r="O73" s="55">
        <f ca="1">+INDEX('Charges_NonSlice &amp; Excl LS'!$Z$4:$Z$137,MATCH($A73,'Charges_NonSlice &amp; Excl LS'!$AA$4:$AA$137,0),1)</f>
        <v>9.3325045971420453E-2</v>
      </c>
      <c r="P73" s="52">
        <f ca="1">+INDEX('Charges_NonSlice &amp; Excl LS'!$Y$4:$Y$137,MATCH($A73,'Charges_NonSlice &amp; Excl LS'!$AA$4:$AA$137,0),1)</f>
        <v>42.439392534984066</v>
      </c>
      <c r="Q73" s="37">
        <f ca="1">+INDEX('Charges_NonSlice &amp; Excl LS'!$X$4:$X$137,MATCH($A73,'Charges_NonSlice &amp; Excl LS'!$AA$4:$AA$137,0),1)/1000</f>
        <v>3.5063457317760003</v>
      </c>
      <c r="R73" s="37">
        <f ca="1">+SUM(Q$5:Q73)</f>
        <v>19850.675009061895</v>
      </c>
      <c r="T73" t="str">
        <f ca="1">+INDEX(Charges_NonSlice!$C$4:$C$137,MATCH($A73,Charges_NonSlice!$AA$4:$AA$137,0),1)</f>
        <v>Glacier Elec  Coop</v>
      </c>
      <c r="U73" s="55">
        <f t="shared" ca="1" si="3"/>
        <v>6.4180351562159732E-2</v>
      </c>
      <c r="V73" s="52">
        <f ca="1">+INDEX(Charges_NonSlice!$Y$4:$Y$137,MATCH($A73,Charges_NonSlice!$AA$4:$AA$137,0),1)</f>
        <v>35.421351022983337</v>
      </c>
      <c r="W73" s="269">
        <f t="shared" ca="1" si="4"/>
        <v>33.285101506513151</v>
      </c>
      <c r="Y73" s="57" t="s">
        <v>101</v>
      </c>
      <c r="Z73" s="58">
        <v>35.777009057374208</v>
      </c>
    </row>
    <row r="74" spans="1:26">
      <c r="A74">
        <f t="shared" si="5"/>
        <v>70</v>
      </c>
      <c r="B74" t="str">
        <f ca="1">+INDEX('Charges_Including Slice and LS'!$C$4:$C$137,MATCH($A74,'Charges_Including Slice and LS'!$AA$4:$AA$137,0),1)</f>
        <v>Riverside Elec Coop</v>
      </c>
      <c r="C74" s="55">
        <f ca="1">+INDEX('Charges_Including Slice and LS'!$Z$4:$Z$137,MATCH($A74,'Charges_Including Slice and LS'!$AA$4:$AA$137,0),1)</f>
        <v>9.249296122168367E-2</v>
      </c>
      <c r="D74" s="52">
        <f ca="1">+INDEX('Charges_Including Slice and LS'!$Y$4:$Y$137,MATCH($A74,'Charges_Including Slice and LS'!$AA$4:$AA$137,0),1)</f>
        <v>33.88856324105604</v>
      </c>
      <c r="E74" s="37">
        <f ca="1">+INDEX('Charges_Including Slice and LS'!$X$4:$X$137,MATCH($A74,'Charges_Including Slice and LS'!$AA$4:$AA$137,0),1)/1000</f>
        <v>20.90136</v>
      </c>
      <c r="F74" s="37">
        <f ca="1">+SUM(E$5:E74)</f>
        <v>21528.227288073238</v>
      </c>
      <c r="H74" t="str">
        <f ca="1">+INDEX(Charges_NonSlice!$C$4:$C$137,MATCH($A74,Charges_NonSlice!$AA$4:$AA$137,0),1)</f>
        <v>Columbia River PUD</v>
      </c>
      <c r="I74" s="55">
        <f ca="1">+INDEX(Charges_NonSlice!$Z$4:$Z$137,MATCH($A74,Charges_NonSlice!$AA$4:$AA$137,0),1)</f>
        <v>9.4670195037337868E-2</v>
      </c>
      <c r="J74" s="52">
        <f ca="1">+INDEX(Charges_NonSlice!$Y$4:$Y$137,MATCH($A74,Charges_NonSlice!$AA$4:$AA$137,0),1)</f>
        <v>39.392529315099992</v>
      </c>
      <c r="K74" s="37">
        <f ca="1">+INDEX(Charges_NonSlice!$X$4:$X$137,MATCH($A74,Charges_NonSlice!$AA$4:$AA$137,0),1)/1000</f>
        <v>513.21142429500344</v>
      </c>
      <c r="L74" s="37">
        <f ca="1">+SUM(K$5:K74)</f>
        <v>24811.287215423152</v>
      </c>
      <c r="N74" t="str">
        <f ca="1">+INDEX('Charges_NonSlice &amp; Excl LS'!$C$4:$C$137,MATCH($A74,'Charges_NonSlice &amp; Excl LS'!$AA$4:$AA$137,0),1)</f>
        <v>Big Bend Elec Coop</v>
      </c>
      <c r="O74" s="55">
        <f ca="1">+INDEX('Charges_NonSlice &amp; Excl LS'!$Z$4:$Z$137,MATCH($A74,'Charges_NonSlice &amp; Excl LS'!$AA$4:$AA$137,0),1)</f>
        <v>9.3279330228271409E-2</v>
      </c>
      <c r="P74" s="52">
        <f ca="1">+INDEX('Charges_NonSlice &amp; Excl LS'!$Y$4:$Y$137,MATCH($A74,'Charges_NonSlice &amp; Excl LS'!$AA$4:$AA$137,0),1)</f>
        <v>30.012421311311357</v>
      </c>
      <c r="Q74" s="37">
        <f ca="1">+INDEX('Charges_NonSlice &amp; Excl LS'!$X$4:$X$137,MATCH($A74,'Charges_NonSlice &amp; Excl LS'!$AA$4:$AA$137,0),1)/1000</f>
        <v>539.14892300908809</v>
      </c>
      <c r="R74" s="37">
        <f ca="1">+SUM(Q$5:Q74)</f>
        <v>20389.823932070984</v>
      </c>
      <c r="T74" t="str">
        <f ca="1">+INDEX(Charges_NonSlice!$C$4:$C$137,MATCH($A74,Charges_NonSlice!$AA$4:$AA$137,0),1)</f>
        <v>Columbia River PUD</v>
      </c>
      <c r="U74" s="55">
        <f t="shared" ca="1" si="3"/>
        <v>9.8541362791263021E-2</v>
      </c>
      <c r="V74" s="52">
        <f ca="1">+INDEX(Charges_NonSlice!$Y$4:$Y$137,MATCH($A74,Charges_NonSlice!$AA$4:$AA$137,0),1)</f>
        <v>39.392529315099992</v>
      </c>
      <c r="W74" s="269">
        <f t="shared" ca="1" si="4"/>
        <v>35.858940454466143</v>
      </c>
      <c r="Y74" s="57" t="s">
        <v>27</v>
      </c>
      <c r="Z74" s="58">
        <v>35.374774907501127</v>
      </c>
    </row>
    <row r="75" spans="1:26">
      <c r="A75">
        <f t="shared" si="5"/>
        <v>71</v>
      </c>
      <c r="B75" t="str">
        <f ca="1">+INDEX('Charges_Including Slice and LS'!$C$4:$C$137,MATCH($A75,'Charges_Including Slice and LS'!$AA$4:$AA$137,0),1)</f>
        <v>Emerald PUD</v>
      </c>
      <c r="C75" s="55">
        <f ca="1">+INDEX('Charges_Including Slice and LS'!$Z$4:$Z$137,MATCH($A75,'Charges_Including Slice and LS'!$AA$4:$AA$137,0),1)</f>
        <v>9.180812891868366E-2</v>
      </c>
      <c r="D75" s="52">
        <f ca="1">+INDEX('Charges_Including Slice and LS'!$Y$4:$Y$137,MATCH($A75,'Charges_Including Slice and LS'!$AA$4:$AA$137,0),1)</f>
        <v>37.428738263760394</v>
      </c>
      <c r="E75" s="37">
        <f ca="1">+INDEX('Charges_Including Slice and LS'!$X$4:$X$137,MATCH($A75,'Charges_Including Slice and LS'!$AA$4:$AA$137,0),1)/1000</f>
        <v>440.15496000000002</v>
      </c>
      <c r="F75" s="37">
        <f ca="1">+SUM(E$5:E75)</f>
        <v>21968.382248073238</v>
      </c>
      <c r="H75" t="str">
        <f ca="1">+INDEX(Charges_NonSlice!$C$4:$C$137,MATCH($A75,Charges_NonSlice!$AA$4:$AA$137,0),1)</f>
        <v>Chewelah, City of</v>
      </c>
      <c r="I75" s="55">
        <f ca="1">+INDEX(Charges_NonSlice!$Z$4:$Z$137,MATCH($A75,Charges_NonSlice!$AA$4:$AA$137,0),1)</f>
        <v>9.3633049579522648E-2</v>
      </c>
      <c r="J75" s="52">
        <f ca="1">+INDEX(Charges_NonSlice!$Y$4:$Y$137,MATCH($A75,Charges_NonSlice!$AA$4:$AA$137,0),1)</f>
        <v>39.921808531861572</v>
      </c>
      <c r="K75" s="37">
        <f ca="1">+INDEX(Charges_NonSlice!$X$4:$X$137,MATCH($A75,Charges_NonSlice!$AA$4:$AA$137,0),1)/1000</f>
        <v>22.07849530326785</v>
      </c>
      <c r="L75" s="37">
        <f ca="1">+SUM(K$5:K75)</f>
        <v>24833.365710726419</v>
      </c>
      <c r="N75" t="str">
        <f ca="1">+INDEX('Charges_NonSlice &amp; Excl LS'!$C$4:$C$137,MATCH($A75,'Charges_NonSlice &amp; Excl LS'!$AA$4:$AA$137,0),1)</f>
        <v>Tanner Elec Coop</v>
      </c>
      <c r="O75" s="55">
        <f ca="1">+INDEX('Charges_NonSlice &amp; Excl LS'!$Z$4:$Z$137,MATCH($A75,'Charges_NonSlice &amp; Excl LS'!$AA$4:$AA$137,0),1)</f>
        <v>9.3233195599851063E-2</v>
      </c>
      <c r="P75" s="52">
        <f ca="1">+INDEX('Charges_NonSlice &amp; Excl LS'!$Y$4:$Y$137,MATCH($A75,'Charges_NonSlice &amp; Excl LS'!$AA$4:$AA$137,0),1)</f>
        <v>37.034038726378384</v>
      </c>
      <c r="Q75" s="37">
        <f ca="1">+INDEX('Charges_NonSlice &amp; Excl LS'!$X$4:$X$137,MATCH($A75,'Charges_NonSlice &amp; Excl LS'!$AA$4:$AA$137,0),1)/1000</f>
        <v>97.19988958406401</v>
      </c>
      <c r="R75" s="37">
        <f ca="1">+SUM(Q$5:Q75)</f>
        <v>20487.023821655046</v>
      </c>
      <c r="T75" t="str">
        <f ca="1">+INDEX(Charges_NonSlice!$C$4:$C$137,MATCH($A75,Charges_NonSlice!$AA$4:$AA$137,0),1)</f>
        <v>Chewelah, City of</v>
      </c>
      <c r="U75" s="55">
        <f t="shared" ca="1" si="3"/>
        <v>8.9969156708609832E-2</v>
      </c>
      <c r="V75" s="52">
        <f ca="1">+INDEX(Charges_NonSlice!$Y$4:$Y$137,MATCH($A75,Charges_NonSlice!$AA$4:$AA$137,0),1)</f>
        <v>39.921808531861572</v>
      </c>
      <c r="W75" s="269">
        <f t="shared" ca="1" si="4"/>
        <v>36.62654882126558</v>
      </c>
      <c r="Y75" s="57" t="s">
        <v>59</v>
      </c>
      <c r="Z75" s="58">
        <v>36.770133661039196</v>
      </c>
    </row>
    <row r="76" spans="1:26">
      <c r="A76">
        <f t="shared" si="5"/>
        <v>72</v>
      </c>
      <c r="B76" t="str">
        <f ca="1">+INDEX('Charges_Including Slice and LS'!$C$4:$C$137,MATCH($A76,'Charges_Including Slice and LS'!$AA$4:$AA$137,0),1)</f>
        <v>Monmouth, City of</v>
      </c>
      <c r="C76" s="55">
        <f ca="1">+INDEX('Charges_Including Slice and LS'!$Z$4:$Z$137,MATCH($A76,'Charges_Including Slice and LS'!$AA$4:$AA$137,0),1)</f>
        <v>9.1300773926395587E-2</v>
      </c>
      <c r="D76" s="52">
        <f ca="1">+INDEX('Charges_Including Slice and LS'!$Y$4:$Y$137,MATCH($A76,'Charges_Including Slice and LS'!$AA$4:$AA$137,0),1)</f>
        <v>39.943574855200474</v>
      </c>
      <c r="E76" s="37">
        <f ca="1">+INDEX('Charges_Including Slice and LS'!$X$4:$X$137,MATCH($A76,'Charges_Including Slice and LS'!$AA$4:$AA$137,0),1)/1000</f>
        <v>73.680360000000007</v>
      </c>
      <c r="F76" s="37">
        <f ca="1">+SUM(E$5:E76)</f>
        <v>22042.062608073236</v>
      </c>
      <c r="H76" t="str">
        <f ca="1">+INDEX(Charges_NonSlice!$C$4:$C$137,MATCH($A76,Charges_NonSlice!$AA$4:$AA$137,0),1)</f>
        <v>East End Mutual Electric</v>
      </c>
      <c r="I76" s="55">
        <f ca="1">+INDEX(Charges_NonSlice!$Z$4:$Z$137,MATCH($A76,Charges_NonSlice!$AA$4:$AA$137,0),1)</f>
        <v>9.3188447183366843E-2</v>
      </c>
      <c r="J76" s="52">
        <f ca="1">+INDEX(Charges_NonSlice!$Y$4:$Y$137,MATCH($A76,Charges_NonSlice!$AA$4:$AA$137,0),1)</f>
        <v>35.99912015130294</v>
      </c>
      <c r="K76" s="37">
        <f ca="1">+INDEX(Charges_NonSlice!$X$4:$X$137,MATCH($A76,Charges_NonSlice!$AA$4:$AA$137,0),1)/1000</f>
        <v>23.669520000000002</v>
      </c>
      <c r="L76" s="37">
        <f ca="1">+SUM(K$5:K76)</f>
        <v>24857.035230726418</v>
      </c>
      <c r="N76" t="str">
        <f ca="1">+INDEX('Charges_NonSlice &amp; Excl LS'!$C$4:$C$137,MATCH($A76,'Charges_NonSlice &amp; Excl LS'!$AA$4:$AA$137,0),1)</f>
        <v>Eatonville, City of</v>
      </c>
      <c r="O76" s="55">
        <f ca="1">+INDEX('Charges_NonSlice &amp; Excl LS'!$Z$4:$Z$137,MATCH($A76,'Charges_NonSlice &amp; Excl LS'!$AA$4:$AA$137,0),1)</f>
        <v>9.310317240972224E-2</v>
      </c>
      <c r="P76" s="52">
        <f ca="1">+INDEX('Charges_NonSlice &amp; Excl LS'!$Y$4:$Y$137,MATCH($A76,'Charges_NonSlice &amp; Excl LS'!$AA$4:$AA$137,0),1)</f>
        <v>38.356625926551139</v>
      </c>
      <c r="Q76" s="37">
        <f ca="1">+INDEX('Charges_NonSlice &amp; Excl LS'!$X$4:$X$137,MATCH($A76,'Charges_NonSlice &amp; Excl LS'!$AA$4:$AA$137,0),1)/1000</f>
        <v>29.090836435391999</v>
      </c>
      <c r="R76" s="37">
        <f ca="1">+SUM(Q$5:Q76)</f>
        <v>20516.114658090439</v>
      </c>
      <c r="T76" t="str">
        <f ca="1">+INDEX(Charges_NonSlice!$C$4:$C$137,MATCH($A76,Charges_NonSlice!$AA$4:$AA$137,0),1)</f>
        <v>East End Mutual Electric</v>
      </c>
      <c r="U76" s="55">
        <f t="shared" ca="1" si="3"/>
        <v>9.8798908988224854E-2</v>
      </c>
      <c r="V76" s="52">
        <f ca="1">+INDEX(Charges_NonSlice!$Y$4:$Y$137,MATCH($A76,Charges_NonSlice!$AA$4:$AA$137,0),1)</f>
        <v>35.99912015130294</v>
      </c>
      <c r="W76" s="269">
        <f t="shared" ca="1" si="4"/>
        <v>32.762245991353382</v>
      </c>
      <c r="Y76" s="57" t="s">
        <v>24</v>
      </c>
      <c r="Z76" s="58">
        <v>37.94302451293138</v>
      </c>
    </row>
    <row r="77" spans="1:26">
      <c r="A77">
        <f t="shared" si="5"/>
        <v>73</v>
      </c>
      <c r="B77" t="str">
        <f ca="1">+INDEX('Charges_Including Slice and LS'!$C$4:$C$137,MATCH($A77,'Charges_Including Slice and LS'!$AA$4:$AA$137,0),1)</f>
        <v>Albion, City of</v>
      </c>
      <c r="C77" s="55">
        <f ca="1">+INDEX('Charges_Including Slice and LS'!$Z$4:$Z$137,MATCH($A77,'Charges_Including Slice and LS'!$AA$4:$AA$137,0),1)</f>
        <v>9.1190235508977216E-2</v>
      </c>
      <c r="D77" s="52">
        <f ca="1">+INDEX('Charges_Including Slice and LS'!$Y$4:$Y$137,MATCH($A77,'Charges_Including Slice and LS'!$AA$4:$AA$137,0),1)</f>
        <v>44.018206174190794</v>
      </c>
      <c r="E77" s="37">
        <f ca="1">+INDEX('Charges_Including Slice and LS'!$X$4:$X$137,MATCH($A77,'Charges_Including Slice and LS'!$AA$4:$AA$137,0),1)/1000</f>
        <v>3.504</v>
      </c>
      <c r="F77" s="37">
        <f ca="1">+SUM(E$5:E77)</f>
        <v>22045.566608073237</v>
      </c>
      <c r="H77" t="str">
        <f ca="1">+INDEX(Charges_NonSlice!$C$4:$C$137,MATCH($A77,Charges_NonSlice!$AA$4:$AA$137,0),1)</f>
        <v>Modern Elec Coop</v>
      </c>
      <c r="I77" s="55">
        <f ca="1">+INDEX(Charges_NonSlice!$Z$4:$Z$137,MATCH($A77,Charges_NonSlice!$AA$4:$AA$137,0),1)</f>
        <v>9.3117053654162452E-2</v>
      </c>
      <c r="J77" s="52">
        <f ca="1">+INDEX(Charges_NonSlice!$Y$4:$Y$137,MATCH($A77,Charges_NonSlice!$AA$4:$AA$137,0),1)</f>
        <v>39.109096636924377</v>
      </c>
      <c r="K77" s="37">
        <f ca="1">+INDEX(Charges_NonSlice!$X$4:$X$137,MATCH($A77,Charges_NonSlice!$AA$4:$AA$137,0),1)/1000</f>
        <v>231.57935999999998</v>
      </c>
      <c r="L77" s="37">
        <f ca="1">+SUM(K$5:K77)</f>
        <v>25088.614590726418</v>
      </c>
      <c r="N77" t="str">
        <f ca="1">+INDEX('Charges_NonSlice &amp; Excl LS'!$C$4:$C$137,MATCH($A77,'Charges_NonSlice &amp; Excl LS'!$AA$4:$AA$137,0),1)</f>
        <v>Drain, City of</v>
      </c>
      <c r="O77" s="55">
        <f ca="1">+INDEX('Charges_NonSlice &amp; Excl LS'!$Z$4:$Z$137,MATCH($A77,'Charges_NonSlice &amp; Excl LS'!$AA$4:$AA$137,0),1)</f>
        <v>9.3092517577318443E-2</v>
      </c>
      <c r="P77" s="52">
        <f ca="1">+INDEX('Charges_NonSlice &amp; Excl LS'!$Y$4:$Y$137,MATCH($A77,'Charges_NonSlice &amp; Excl LS'!$AA$4:$AA$137,0),1)</f>
        <v>36.745464181119516</v>
      </c>
      <c r="Q77" s="37">
        <f ca="1">+INDEX('Charges_NonSlice &amp; Excl LS'!$X$4:$X$137,MATCH($A77,'Charges_NonSlice &amp; Excl LS'!$AA$4:$AA$137,0),1)/1000</f>
        <v>16.634901331392001</v>
      </c>
      <c r="R77" s="37">
        <f ca="1">+SUM(Q$5:Q77)</f>
        <v>20532.749559421831</v>
      </c>
      <c r="T77" t="str">
        <f ca="1">+INDEX(Charges_NonSlice!$C$4:$C$137,MATCH($A77,Charges_NonSlice!$AA$4:$AA$137,0),1)</f>
        <v>Modern Elec Coop</v>
      </c>
      <c r="U77" s="55">
        <f t="shared" ca="1" si="3"/>
        <v>5.1656479578003456E-2</v>
      </c>
      <c r="V77" s="52">
        <f ca="1">+INDEX(Charges_NonSlice!$Y$4:$Y$137,MATCH($A77,Charges_NonSlice!$AA$4:$AA$137,0),1)</f>
        <v>39.109096636924377</v>
      </c>
      <c r="W77" s="269">
        <f t="shared" ca="1" si="4"/>
        <v>37.18809078475666</v>
      </c>
      <c r="Y77" s="57" t="s">
        <v>19</v>
      </c>
      <c r="Z77" s="58">
        <v>35.630107639571108</v>
      </c>
    </row>
    <row r="78" spans="1:26">
      <c r="A78">
        <f t="shared" si="5"/>
        <v>74</v>
      </c>
      <c r="B78" t="str">
        <f ca="1">+INDEX('Charges_Including Slice and LS'!$C$4:$C$137,MATCH($A78,'Charges_Including Slice and LS'!$AA$4:$AA$137,0),1)</f>
        <v>Peninsula Light Company</v>
      </c>
      <c r="C78" s="55">
        <f ca="1">+INDEX('Charges_Including Slice and LS'!$Z$4:$Z$137,MATCH($A78,'Charges_Including Slice and LS'!$AA$4:$AA$137,0),1)</f>
        <v>9.0559853570396892E-2</v>
      </c>
      <c r="D78" s="52">
        <f ca="1">+INDEX('Charges_Including Slice and LS'!$Y$4:$Y$137,MATCH($A78,'Charges_Including Slice and LS'!$AA$4:$AA$137,0),1)</f>
        <v>39.633548546989651</v>
      </c>
      <c r="E78" s="37">
        <f ca="1">+INDEX('Charges_Including Slice and LS'!$X$4:$X$137,MATCH($A78,'Charges_Including Slice and LS'!$AA$4:$AA$137,0),1)/1000</f>
        <v>610.20031602019105</v>
      </c>
      <c r="F78" s="37">
        <f ca="1">+SUM(E$5:E78)</f>
        <v>22655.766924093426</v>
      </c>
      <c r="H78" t="str">
        <f ca="1">+INDEX(Charges_NonSlice!$C$4:$C$137,MATCH($A78,Charges_NonSlice!$AA$4:$AA$137,0),1)</f>
        <v>Richland, City of</v>
      </c>
      <c r="I78" s="55">
        <f ca="1">+INDEX(Charges_NonSlice!$Z$4:$Z$137,MATCH($A78,Charges_NonSlice!$AA$4:$AA$137,0),1)</f>
        <v>9.29255561097104E-2</v>
      </c>
      <c r="J78" s="52">
        <f ca="1">+INDEX(Charges_NonSlice!$Y$4:$Y$137,MATCH($A78,Charges_NonSlice!$AA$4:$AA$137,0),1)</f>
        <v>37.269936573935723</v>
      </c>
      <c r="K78" s="37">
        <f ca="1">+INDEX(Charges_NonSlice!$X$4:$X$137,MATCH($A78,Charges_NonSlice!$AA$4:$AA$137,0),1)/1000</f>
        <v>918.17063999999993</v>
      </c>
      <c r="L78" s="37">
        <f ca="1">+SUM(K$5:K78)</f>
        <v>26006.785230726418</v>
      </c>
      <c r="N78" t="str">
        <f ca="1">+INDEX('Charges_NonSlice &amp; Excl LS'!$C$4:$C$137,MATCH($A78,'Charges_NonSlice &amp; Excl LS'!$AA$4:$AA$137,0),1)</f>
        <v>Elmhurst Mutual P &amp; L</v>
      </c>
      <c r="O78" s="55">
        <f ca="1">+INDEX('Charges_NonSlice &amp; Excl LS'!$Z$4:$Z$137,MATCH($A78,'Charges_NonSlice &amp; Excl LS'!$AA$4:$AA$137,0),1)</f>
        <v>9.3064200461346711E-2</v>
      </c>
      <c r="P78" s="52">
        <f ca="1">+INDEX('Charges_NonSlice &amp; Excl LS'!$Y$4:$Y$137,MATCH($A78,'Charges_NonSlice &amp; Excl LS'!$AA$4:$AA$137,0),1)</f>
        <v>37.69865511056458</v>
      </c>
      <c r="Q78" s="37">
        <f ca="1">+INDEX('Charges_NonSlice &amp; Excl LS'!$X$4:$X$137,MATCH($A78,'Charges_NonSlice &amp; Excl LS'!$AA$4:$AA$137,0),1)/1000</f>
        <v>284.03268817651201</v>
      </c>
      <c r="R78" s="37">
        <f ca="1">+SUM(Q$5:Q78)</f>
        <v>20816.782247598341</v>
      </c>
      <c r="T78" t="str">
        <f ca="1">+INDEX(Charges_NonSlice!$C$4:$C$137,MATCH($A78,Charges_NonSlice!$AA$4:$AA$137,0),1)</f>
        <v>Richland, City of</v>
      </c>
      <c r="U78" s="55">
        <f t="shared" ca="1" si="3"/>
        <v>2.2778549165786588E-2</v>
      </c>
      <c r="V78" s="52">
        <f ca="1">+INDEX(Charges_NonSlice!$Y$4:$Y$137,MATCH($A78,Charges_NonSlice!$AA$4:$AA$137,0),1)</f>
        <v>37.269936573935723</v>
      </c>
      <c r="W78" s="269">
        <f t="shared" ca="1" si="4"/>
        <v>36.439888775859025</v>
      </c>
      <c r="Y78" s="57" t="s">
        <v>137</v>
      </c>
      <c r="Z78" s="58">
        <v>34.826944377820382</v>
      </c>
    </row>
    <row r="79" spans="1:26">
      <c r="A79">
        <f t="shared" si="5"/>
        <v>75</v>
      </c>
      <c r="B79" t="str">
        <f ca="1">+INDEX('Charges_Including Slice and LS'!$C$4:$C$137,MATCH($A79,'Charges_Including Slice and LS'!$AA$4:$AA$137,0),1)</f>
        <v>Eatonville, City of</v>
      </c>
      <c r="C79" s="55">
        <f ca="1">+INDEX('Charges_Including Slice and LS'!$Z$4:$Z$137,MATCH($A79,'Charges_Including Slice and LS'!$AA$4:$AA$137,0),1)</f>
        <v>9.0198808960605031E-2</v>
      </c>
      <c r="D79" s="52">
        <f ca="1">+INDEX('Charges_Including Slice and LS'!$Y$4:$Y$137,MATCH($A79,'Charges_Including Slice and LS'!$AA$4:$AA$137,0),1)</f>
        <v>39.757556738996698</v>
      </c>
      <c r="E79" s="37">
        <f ca="1">+INDEX('Charges_Including Slice and LS'!$X$4:$X$137,MATCH($A79,'Charges_Including Slice and LS'!$AA$4:$AA$137,0),1)/1000</f>
        <v>29.093606717225423</v>
      </c>
      <c r="F79" s="37">
        <f ca="1">+SUM(E$5:E79)</f>
        <v>22684.860530810653</v>
      </c>
      <c r="H79" t="str">
        <f ca="1">+INDEX(Charges_NonSlice!$C$4:$C$137,MATCH($A79,Charges_NonSlice!$AA$4:$AA$137,0),1)</f>
        <v>Tanner Elec Coop</v>
      </c>
      <c r="I79" s="55">
        <f ca="1">+INDEX(Charges_NonSlice!$Z$4:$Z$137,MATCH($A79,Charges_NonSlice!$AA$4:$AA$137,0),1)</f>
        <v>9.2913655531364145E-2</v>
      </c>
      <c r="J79" s="52">
        <f ca="1">+INDEX(Charges_NonSlice!$Y$4:$Y$137,MATCH($A79,Charges_NonSlice!$AA$4:$AA$137,0),1)</f>
        <v>38.173362044426199</v>
      </c>
      <c r="K79" s="37">
        <f ca="1">+INDEX(Charges_NonSlice!$X$4:$X$137,MATCH($A79,Charges_NonSlice!$AA$4:$AA$137,0),1)/1000</f>
        <v>97.197540737687262</v>
      </c>
      <c r="L79" s="37">
        <f ca="1">+SUM(K$5:K79)</f>
        <v>26103.982771464107</v>
      </c>
      <c r="N79" t="str">
        <f ca="1">+INDEX('Charges_NonSlice &amp; Excl LS'!$C$4:$C$137,MATCH($A79,'Charges_NonSlice &amp; Excl LS'!$AA$4:$AA$137,0),1)</f>
        <v>Glacier Elec  Coop</v>
      </c>
      <c r="O79" s="55">
        <f ca="1">+INDEX('Charges_NonSlice &amp; Excl LS'!$Z$4:$Z$137,MATCH($A79,'Charges_NonSlice &amp; Excl LS'!$AA$4:$AA$137,0),1)</f>
        <v>9.3002907899127227E-2</v>
      </c>
      <c r="P79" s="52">
        <f ca="1">+INDEX('Charges_NonSlice &amp; Excl LS'!$Y$4:$Y$137,MATCH($A79,'Charges_NonSlice &amp; Excl LS'!$AA$4:$AA$137,0),1)</f>
        <v>34.567418209218722</v>
      </c>
      <c r="Q79" s="37">
        <f ca="1">+INDEX('Charges_NonSlice &amp; Excl LS'!$X$4:$X$137,MATCH($A79,'Charges_NonSlice &amp; Excl LS'!$AA$4:$AA$137,0),1)/1000</f>
        <v>161.98320805996801</v>
      </c>
      <c r="R79" s="37">
        <f ca="1">+SUM(Q$5:Q79)</f>
        <v>20978.765455658307</v>
      </c>
      <c r="T79" t="str">
        <f ca="1">+INDEX(Charges_NonSlice!$C$4:$C$137,MATCH($A79,Charges_NonSlice!$AA$4:$AA$137,0),1)</f>
        <v>Tanner Elec Coop</v>
      </c>
      <c r="U79" s="55">
        <f t="shared" ca="1" si="3"/>
        <v>9.6272128005848057E-2</v>
      </c>
      <c r="V79" s="52">
        <f ca="1">+INDEX(Charges_NonSlice!$Y$4:$Y$137,MATCH($A79,Charges_NonSlice!$AA$4:$AA$137,0),1)</f>
        <v>38.173362044426199</v>
      </c>
      <c r="W79" s="269">
        <f t="shared" ca="1" si="4"/>
        <v>34.821064103731885</v>
      </c>
      <c r="Y79" s="57" t="s">
        <v>75</v>
      </c>
      <c r="Z79" s="58">
        <v>33.629484876000419</v>
      </c>
    </row>
    <row r="80" spans="1:26">
      <c r="A80">
        <f t="shared" si="5"/>
        <v>76</v>
      </c>
      <c r="B80" t="str">
        <f ca="1">+INDEX('Charges_Including Slice and LS'!$C$4:$C$137,MATCH($A80,'Charges_Including Slice and LS'!$AA$4:$AA$137,0),1)</f>
        <v>Clallam County PUD #1</v>
      </c>
      <c r="C80" s="55">
        <f ca="1">+INDEX('Charges_Including Slice and LS'!$Z$4:$Z$137,MATCH($A80,'Charges_Including Slice and LS'!$AA$4:$AA$137,0),1)</f>
        <v>9.0107041252405748E-2</v>
      </c>
      <c r="D80" s="52">
        <f ca="1">+INDEX('Charges_Including Slice and LS'!$Y$4:$Y$137,MATCH($A80,'Charges_Including Slice and LS'!$AA$4:$AA$137,0),1)</f>
        <v>36.056056969936115</v>
      </c>
      <c r="E80" s="37">
        <f ca="1">+INDEX('Charges_Including Slice and LS'!$X$4:$X$137,MATCH($A80,'Charges_Including Slice and LS'!$AA$4:$AA$137,0),1)/1000</f>
        <v>669.83791354066864</v>
      </c>
      <c r="F80" s="37">
        <f ca="1">+SUM(E$5:E80)</f>
        <v>23354.698444351321</v>
      </c>
      <c r="H80" t="str">
        <f ca="1">+INDEX(Charges_NonSlice!$C$4:$C$137,MATCH($A80,Charges_NonSlice!$AA$4:$AA$137,0),1)</f>
        <v>Lower Valley Energy</v>
      </c>
      <c r="I80" s="55">
        <f ca="1">+INDEX(Charges_NonSlice!$Z$4:$Z$137,MATCH($A80,Charges_NonSlice!$AA$4:$AA$137,0),1)</f>
        <v>9.2882389378221381E-2</v>
      </c>
      <c r="J80" s="52">
        <f ca="1">+INDEX(Charges_NonSlice!$Y$4:$Y$137,MATCH($A80,Charges_NonSlice!$AA$4:$AA$137,0),1)</f>
        <v>38.200355376291419</v>
      </c>
      <c r="K80" s="37">
        <f ca="1">+INDEX(Charges_NonSlice!$X$4:$X$137,MATCH($A80,Charges_NonSlice!$AA$4:$AA$137,0),1)/1000</f>
        <v>758.02907999999991</v>
      </c>
      <c r="L80" s="37">
        <f ca="1">+SUM(K$5:K80)</f>
        <v>26862.011851464107</v>
      </c>
      <c r="N80" t="str">
        <f ca="1">+INDEX('Charges_NonSlice &amp; Excl LS'!$C$4:$C$137,MATCH($A80,'Charges_NonSlice &amp; Excl LS'!$AA$4:$AA$137,0),1)</f>
        <v>Lewis County PUD #1</v>
      </c>
      <c r="O80" s="55">
        <f ca="1">+INDEX('Charges_NonSlice &amp; Excl LS'!$Z$4:$Z$137,MATCH($A80,'Charges_NonSlice &amp; Excl LS'!$AA$4:$AA$137,0),1)</f>
        <v>9.2938359865514089E-2</v>
      </c>
      <c r="P80" s="52">
        <f ca="1">+INDEX('Charges_NonSlice &amp; Excl LS'!$Y$4:$Y$137,MATCH($A80,'Charges_NonSlice &amp; Excl LS'!$AA$4:$AA$137,0),1)</f>
        <v>34.923303287434727</v>
      </c>
      <c r="Q80" s="37">
        <f ca="1">+INDEX('Charges_NonSlice &amp; Excl LS'!$X$4:$X$137,MATCH($A80,'Charges_NonSlice &amp; Excl LS'!$AA$4:$AA$137,0),1)/1000</f>
        <v>404.43798485932808</v>
      </c>
      <c r="R80" s="37">
        <f ca="1">+SUM(Q$5:Q80)</f>
        <v>21383.203440517635</v>
      </c>
      <c r="T80" t="str">
        <f ca="1">+INDEX(Charges_NonSlice!$C$4:$C$137,MATCH($A80,Charges_NonSlice!$AA$4:$AA$137,0),1)</f>
        <v>Lower Valley Energy</v>
      </c>
      <c r="U80" s="55">
        <f t="shared" ca="1" si="3"/>
        <v>9.6473187294021434E-2</v>
      </c>
      <c r="V80" s="52">
        <f ca="1">+INDEX(Charges_NonSlice!$Y$4:$Y$137,MATCH($A80,Charges_NonSlice!$AA$4:$AA$137,0),1)</f>
        <v>38.200355376291419</v>
      </c>
      <c r="W80" s="269">
        <f t="shared" ca="1" si="4"/>
        <v>34.83929732068124</v>
      </c>
      <c r="Y80" s="57" t="s">
        <v>42</v>
      </c>
      <c r="Z80" s="58">
        <v>34.788000028741159</v>
      </c>
    </row>
    <row r="81" spans="1:26">
      <c r="A81">
        <f t="shared" si="5"/>
        <v>77</v>
      </c>
      <c r="B81" t="str">
        <f ca="1">+INDEX('Charges_Including Slice and LS'!$C$4:$C$137,MATCH($A81,'Charges_Including Slice and LS'!$AA$4:$AA$137,0),1)</f>
        <v>McMinnville, City of</v>
      </c>
      <c r="C81" s="55">
        <f ca="1">+INDEX('Charges_Including Slice and LS'!$Z$4:$Z$137,MATCH($A81,'Charges_Including Slice and LS'!$AA$4:$AA$137,0),1)</f>
        <v>8.9657381282622975E-2</v>
      </c>
      <c r="D81" s="52">
        <f ca="1">+INDEX('Charges_Including Slice and LS'!$Y$4:$Y$137,MATCH($A81,'Charges_Including Slice and LS'!$AA$4:$AA$137,0),1)</f>
        <v>39.450648296434302</v>
      </c>
      <c r="E81" s="37">
        <f ca="1">+INDEX('Charges_Including Slice and LS'!$X$4:$X$137,MATCH($A81,'Charges_Including Slice and LS'!$AA$4:$AA$137,0),1)/1000</f>
        <v>738.88017061590836</v>
      </c>
      <c r="F81" s="37">
        <f ca="1">+SUM(E$5:E81)</f>
        <v>24093.578614967228</v>
      </c>
      <c r="H81" t="str">
        <f ca="1">+INDEX(Charges_NonSlice!$C$4:$C$137,MATCH($A81,Charges_NonSlice!$AA$4:$AA$137,0),1)</f>
        <v>Riverside Elec Coop</v>
      </c>
      <c r="I81" s="55">
        <f ca="1">+INDEX(Charges_NonSlice!$Z$4:$Z$137,MATCH($A81,Charges_NonSlice!$AA$4:$AA$137,0),1)</f>
        <v>9.2478740748772187E-2</v>
      </c>
      <c r="J81" s="52">
        <f ca="1">+INDEX(Charges_NonSlice!$Y$4:$Y$137,MATCH($A81,Charges_NonSlice!$AA$4:$AA$137,0),1)</f>
        <v>33.89313010539442</v>
      </c>
      <c r="K81" s="37">
        <f ca="1">+INDEX(Charges_NonSlice!$X$4:$X$137,MATCH($A81,Charges_NonSlice!$AA$4:$AA$137,0),1)/1000</f>
        <v>20.90136</v>
      </c>
      <c r="L81" s="37">
        <f ca="1">+SUM(K$5:K81)</f>
        <v>26882.913211464107</v>
      </c>
      <c r="N81" t="str">
        <f ca="1">+INDEX('Charges_NonSlice &amp; Excl LS'!$C$4:$C$137,MATCH($A81,'Charges_NonSlice &amp; Excl LS'!$AA$4:$AA$137,0),1)</f>
        <v>Cowlitz County PUD #1</v>
      </c>
      <c r="O81" s="55">
        <f ca="1">+INDEX('Charges_NonSlice &amp; Excl LS'!$Z$4:$Z$137,MATCH($A81,'Charges_NonSlice &amp; Excl LS'!$AA$4:$AA$137,0),1)</f>
        <v>9.2938359748621885E-2</v>
      </c>
      <c r="P81" s="52">
        <f ca="1">+INDEX('Charges_NonSlice &amp; Excl LS'!$Y$4:$Y$137,MATCH($A81,'Charges_NonSlice &amp; Excl LS'!$AA$4:$AA$137,0),1)</f>
        <v>34.923303338366523</v>
      </c>
      <c r="Q81" s="37">
        <f ca="1">+INDEX('Charges_NonSlice &amp; Excl LS'!$X$4:$X$137,MATCH($A81,'Charges_NonSlice &amp; Excl LS'!$AA$4:$AA$137,0),1)/1000</f>
        <v>1559.1405368054402</v>
      </c>
      <c r="R81" s="37">
        <f ca="1">+SUM(Q$5:Q81)</f>
        <v>22942.343977323075</v>
      </c>
      <c r="T81" t="str">
        <f ca="1">+INDEX(Charges_NonSlice!$C$4:$C$137,MATCH($A81,Charges_NonSlice!$AA$4:$AA$137,0),1)</f>
        <v>Riverside Elec Coop</v>
      </c>
      <c r="U81" s="55">
        <f t="shared" ca="1" si="3"/>
        <v>7.1649776425023237E-2</v>
      </c>
      <c r="V81" s="52">
        <f ca="1">+INDEX(Charges_NonSlice!$Y$4:$Y$137,MATCH($A81,Charges_NonSlice!$AA$4:$AA$137,0),1)</f>
        <v>33.89313010539442</v>
      </c>
      <c r="W81" s="269">
        <f t="shared" ca="1" si="4"/>
        <v>31.627058439241615</v>
      </c>
      <c r="Y81" s="57" t="s">
        <v>58</v>
      </c>
      <c r="Z81" s="58">
        <v>37.358173707310634</v>
      </c>
    </row>
    <row r="82" spans="1:26">
      <c r="A82">
        <f t="shared" si="5"/>
        <v>78</v>
      </c>
      <c r="B82" t="str">
        <f ca="1">+INDEX('Charges_Including Slice and LS'!$C$4:$C$137,MATCH($A82,'Charges_Including Slice and LS'!$AA$4:$AA$137,0),1)</f>
        <v>Coulee Dam, City of</v>
      </c>
      <c r="C82" s="55">
        <f ca="1">+INDEX('Charges_Including Slice and LS'!$Z$4:$Z$137,MATCH($A82,'Charges_Including Slice and LS'!$AA$4:$AA$137,0),1)</f>
        <v>8.9122474473241856E-2</v>
      </c>
      <c r="D82" s="52">
        <f ca="1">+INDEX('Charges_Including Slice and LS'!$Y$4:$Y$137,MATCH($A82,'Charges_Including Slice and LS'!$AA$4:$AA$137,0),1)</f>
        <v>40.224203626059314</v>
      </c>
      <c r="E82" s="37">
        <f ca="1">+INDEX('Charges_Including Slice and LS'!$X$4:$X$137,MATCH($A82,'Charges_Including Slice and LS'!$AA$4:$AA$137,0),1)/1000</f>
        <v>17.809079999999998</v>
      </c>
      <c r="F82" s="37">
        <f ca="1">+SUM(E$5:E82)</f>
        <v>24111.387694967227</v>
      </c>
      <c r="H82" t="str">
        <f ca="1">+INDEX(Charges_NonSlice!$C$4:$C$137,MATCH($A82,Charges_NonSlice!$AA$4:$AA$137,0),1)</f>
        <v>Emerald PUD</v>
      </c>
      <c r="I82" s="55">
        <f ca="1">+INDEX(Charges_NonSlice!$Z$4:$Z$137,MATCH($A82,Charges_NonSlice!$AA$4:$AA$137,0),1)</f>
        <v>9.1807806949104134E-2</v>
      </c>
      <c r="J82" s="52">
        <f ca="1">+INDEX(Charges_NonSlice!$Y$4:$Y$137,MATCH($A82,Charges_NonSlice!$AA$4:$AA$137,0),1)</f>
        <v>37.428848801108593</v>
      </c>
      <c r="K82" s="37">
        <f ca="1">+INDEX(Charges_NonSlice!$X$4:$X$137,MATCH($A82,Charges_NonSlice!$AA$4:$AA$137,0),1)/1000</f>
        <v>440.15496000000002</v>
      </c>
      <c r="L82" s="37">
        <f ca="1">+SUM(K$5:K82)</f>
        <v>27323.068171464107</v>
      </c>
      <c r="N82" t="str">
        <f ca="1">+INDEX('Charges_NonSlice &amp; Excl LS'!$C$4:$C$137,MATCH($A82,'Charges_NonSlice &amp; Excl LS'!$AA$4:$AA$137,0),1)</f>
        <v>Clatskanie PUD</v>
      </c>
      <c r="O82" s="55">
        <f ca="1">+INDEX('Charges_NonSlice &amp; Excl LS'!$Z$4:$Z$137,MATCH($A82,'Charges_NonSlice &amp; Excl LS'!$AA$4:$AA$137,0),1)</f>
        <v>9.2938359747109678E-2</v>
      </c>
      <c r="P82" s="52">
        <f ca="1">+INDEX('Charges_NonSlice &amp; Excl LS'!$Y$4:$Y$137,MATCH($A82,'Charges_NonSlice &amp; Excl LS'!$AA$4:$AA$137,0),1)</f>
        <v>34.923303338366523</v>
      </c>
      <c r="Q82" s="37">
        <f ca="1">+INDEX('Charges_NonSlice &amp; Excl LS'!$X$4:$X$137,MATCH($A82,'Charges_NonSlice &amp; Excl LS'!$AA$4:$AA$137,0),1)/1000</f>
        <v>307.07616811891199</v>
      </c>
      <c r="R82" s="37">
        <f ca="1">+SUM(Q$5:Q82)</f>
        <v>23249.420145441985</v>
      </c>
      <c r="T82" t="str">
        <f ca="1">+INDEX(Charges_NonSlice!$C$4:$C$137,MATCH($A82,Charges_NonSlice!$AA$4:$AA$137,0),1)</f>
        <v>Emerald PUD</v>
      </c>
      <c r="U82" s="55">
        <f t="shared" ca="1" si="3"/>
        <v>0.18764806084000729</v>
      </c>
      <c r="V82" s="52">
        <f ca="1">+INDEX(Charges_NonSlice!$Y$4:$Y$137,MATCH($A82,Charges_NonSlice!$AA$4:$AA$137,0),1)</f>
        <v>37.428848801108593</v>
      </c>
      <c r="W82" s="269">
        <f t="shared" ca="1" si="4"/>
        <v>31.515101177899179</v>
      </c>
      <c r="Y82" s="57" t="s">
        <v>30</v>
      </c>
      <c r="Z82" s="58">
        <v>35.146618672432567</v>
      </c>
    </row>
    <row r="83" spans="1:26">
      <c r="A83">
        <f t="shared" si="5"/>
        <v>79</v>
      </c>
      <c r="B83" t="str">
        <f ca="1">+INDEX('Charges_Including Slice and LS'!$C$4:$C$137,MATCH($A83,'Charges_Including Slice and LS'!$AA$4:$AA$137,0),1)</f>
        <v>Oregon Trail Coop</v>
      </c>
      <c r="C83" s="55">
        <f ca="1">+INDEX('Charges_Including Slice and LS'!$Z$4:$Z$137,MATCH($A83,'Charges_Including Slice and LS'!$AA$4:$AA$137,0),1)</f>
        <v>8.908848648491606E-2</v>
      </c>
      <c r="D83" s="52">
        <f ca="1">+INDEX('Charges_Including Slice and LS'!$Y$4:$Y$137,MATCH($A83,'Charges_Including Slice and LS'!$AA$4:$AA$137,0),1)</f>
        <v>35.886372918174338</v>
      </c>
      <c r="E83" s="37">
        <f ca="1">+INDEX('Charges_Including Slice and LS'!$X$4:$X$137,MATCH($A83,'Charges_Including Slice and LS'!$AA$4:$AA$137,0),1)/1000</f>
        <v>697.62887999999998</v>
      </c>
      <c r="F83" s="37">
        <f ca="1">+SUM(E$5:E83)</f>
        <v>24809.016574967227</v>
      </c>
      <c r="H83" t="str">
        <f ca="1">+INDEX(Charges_NonSlice!$C$4:$C$137,MATCH($A83,Charges_NonSlice!$AA$4:$AA$137,0),1)</f>
        <v>Monmouth, City of</v>
      </c>
      <c r="I83" s="55">
        <f ca="1">+INDEX(Charges_NonSlice!$Z$4:$Z$137,MATCH($A83,Charges_NonSlice!$AA$4:$AA$137,0),1)</f>
        <v>9.1299792105447128E-2</v>
      </c>
      <c r="J83" s="52">
        <f ca="1">+INDEX(Charges_NonSlice!$Y$4:$Y$137,MATCH($A83,Charges_NonSlice!$AA$4:$AA$137,0),1)</f>
        <v>39.943954875059227</v>
      </c>
      <c r="K83" s="37">
        <f ca="1">+INDEX(Charges_NonSlice!$X$4:$X$137,MATCH($A83,Charges_NonSlice!$AA$4:$AA$137,0),1)/1000</f>
        <v>73.680360000000007</v>
      </c>
      <c r="L83" s="37">
        <f ca="1">+SUM(K$5:K83)</f>
        <v>27396.748531464105</v>
      </c>
      <c r="N83" t="str">
        <f ca="1">+INDEX('Charges_NonSlice &amp; Excl LS'!$C$4:$C$137,MATCH($A83,'Charges_NonSlice &amp; Excl LS'!$AA$4:$AA$137,0),1)</f>
        <v>Pend Oreille County PUD  #1</v>
      </c>
      <c r="O83" s="55">
        <f ca="1">+INDEX('Charges_NonSlice &amp; Excl LS'!$Z$4:$Z$137,MATCH($A83,'Charges_NonSlice &amp; Excl LS'!$AA$4:$AA$137,0),1)</f>
        <v>9.2938359744164922E-2</v>
      </c>
      <c r="P83" s="52">
        <f ca="1">+INDEX('Charges_NonSlice &amp; Excl LS'!$Y$4:$Y$137,MATCH($A83,'Charges_NonSlice &amp; Excl LS'!$AA$4:$AA$137,0),1)</f>
        <v>34.92330333836653</v>
      </c>
      <c r="Q83" s="37">
        <f ca="1">+INDEX('Charges_NonSlice &amp; Excl LS'!$X$4:$X$137,MATCH($A83,'Charges_NonSlice &amp; Excl LS'!$AA$4:$AA$137,0),1)/1000</f>
        <v>133.77674301696001</v>
      </c>
      <c r="R83" s="37">
        <f ca="1">+SUM(Q$5:Q83)</f>
        <v>23383.196888458944</v>
      </c>
      <c r="T83" t="str">
        <f ca="1">+INDEX(Charges_NonSlice!$C$4:$C$137,MATCH($A83,Charges_NonSlice!$AA$4:$AA$137,0),1)</f>
        <v>Monmouth, City of</v>
      </c>
      <c r="U83" s="55">
        <f t="shared" ca="1" si="3"/>
        <v>9.5206565668886745E-2</v>
      </c>
      <c r="V83" s="52">
        <f ca="1">+INDEX(Charges_NonSlice!$Y$4:$Y$137,MATCH($A83,Charges_NonSlice!$AA$4:$AA$137,0),1)</f>
        <v>39.943954875059227</v>
      </c>
      <c r="W83" s="269">
        <f t="shared" ca="1" si="4"/>
        <v>36.471617434710907</v>
      </c>
      <c r="Y83" s="57" t="s">
        <v>61</v>
      </c>
      <c r="Z83" s="58">
        <v>35.86223054298798</v>
      </c>
    </row>
    <row r="84" spans="1:26">
      <c r="A84">
        <f t="shared" si="5"/>
        <v>80</v>
      </c>
      <c r="B84" t="str">
        <f ca="1">+INDEX('Charges_Including Slice and LS'!$C$4:$C$137,MATCH($A84,'Charges_Including Slice and LS'!$AA$4:$AA$137,0),1)</f>
        <v>PNGC Aggregate</v>
      </c>
      <c r="C84" s="55">
        <f ca="1">+INDEX('Charges_Including Slice and LS'!$Z$4:$Z$137,MATCH($A84,'Charges_Including Slice and LS'!$AA$4:$AA$137,0),1)</f>
        <v>8.8670342256632409E-2</v>
      </c>
      <c r="D84" s="52">
        <f ca="1">+INDEX('Charges_Including Slice and LS'!$Y$4:$Y$137,MATCH($A84,'Charges_Including Slice and LS'!$AA$4:$AA$137,0),1)</f>
        <v>39.813971742155601</v>
      </c>
      <c r="E84" s="37">
        <f ca="1">+INDEX('Charges_Including Slice and LS'!$X$4:$X$137,MATCH($A84,'Charges_Including Slice and LS'!$AA$4:$AA$137,0),1)/1000</f>
        <v>6670.3314187468122</v>
      </c>
      <c r="F84" s="37">
        <f ca="1">+SUM(E$5:E84)</f>
        <v>31479.34799371404</v>
      </c>
      <c r="H84" t="str">
        <f ca="1">+INDEX(Charges_NonSlice!$C$4:$C$137,MATCH($A84,Charges_NonSlice!$AA$4:$AA$137,0),1)</f>
        <v>Albion, City of</v>
      </c>
      <c r="I84" s="55">
        <f ca="1">+INDEX(Charges_NonSlice!$Z$4:$Z$137,MATCH($A84,Charges_NonSlice!$AA$4:$AA$137,0),1)</f>
        <v>9.1184933952239478E-2</v>
      </c>
      <c r="J84" s="52">
        <f ca="1">+INDEX(Charges_NonSlice!$Y$4:$Y$137,MATCH($A84,Charges_NonSlice!$AA$4:$AA$137,0),1)</f>
        <v>44.020489279213621</v>
      </c>
      <c r="K84" s="37">
        <f ca="1">+INDEX(Charges_NonSlice!$X$4:$X$137,MATCH($A84,Charges_NonSlice!$AA$4:$AA$137,0),1)/1000</f>
        <v>3.504</v>
      </c>
      <c r="L84" s="37">
        <f ca="1">+SUM(K$5:K84)</f>
        <v>27400.252531464106</v>
      </c>
      <c r="N84" t="str">
        <f ca="1">+INDEX('Charges_NonSlice &amp; Excl LS'!$C$4:$C$137,MATCH($A84,'Charges_NonSlice &amp; Excl LS'!$AA$4:$AA$137,0),1)</f>
        <v>Idaho Falls Power</v>
      </c>
      <c r="O84" s="55">
        <f ca="1">+INDEX('Charges_NonSlice &amp; Excl LS'!$Z$4:$Z$137,MATCH($A84,'Charges_NonSlice &amp; Excl LS'!$AA$4:$AA$137,0),1)</f>
        <v>9.2938359742173196E-2</v>
      </c>
      <c r="P84" s="52">
        <f ca="1">+INDEX('Charges_NonSlice &amp; Excl LS'!$Y$4:$Y$137,MATCH($A84,'Charges_NonSlice &amp; Excl LS'!$AA$4:$AA$137,0),1)</f>
        <v>34.923303338366523</v>
      </c>
      <c r="Q84" s="37">
        <f ca="1">+INDEX('Charges_NonSlice &amp; Excl LS'!$X$4:$X$137,MATCH($A84,'Charges_NonSlice &amp; Excl LS'!$AA$4:$AA$137,0),1)/1000</f>
        <v>359.39732352326405</v>
      </c>
      <c r="R84" s="37">
        <f ca="1">+SUM(Q$5:Q84)</f>
        <v>23742.594211982207</v>
      </c>
      <c r="T84" t="str">
        <f ca="1">+INDEX(Charges_NonSlice!$C$4:$C$137,MATCH($A84,Charges_NonSlice!$AA$4:$AA$137,0),1)</f>
        <v>Albion, City of</v>
      </c>
      <c r="U84" s="55">
        <f t="shared" ca="1" si="3"/>
        <v>0.19403339504589723</v>
      </c>
      <c r="V84" s="52">
        <f ca="1">+INDEX(Charges_NonSlice!$Y$4:$Y$137,MATCH($A84,Charges_NonSlice!$AA$4:$AA$137,0),1)</f>
        <v>44.020489279213621</v>
      </c>
      <c r="W84" s="269">
        <f t="shared" ca="1" si="4"/>
        <v>36.867050336997927</v>
      </c>
      <c r="Y84" s="57" t="s">
        <v>122</v>
      </c>
      <c r="Z84" s="58">
        <v>31.886133616576121</v>
      </c>
    </row>
    <row r="85" spans="1:26">
      <c r="A85">
        <f t="shared" si="5"/>
        <v>81</v>
      </c>
      <c r="B85" t="str">
        <f ca="1">+INDEX('Charges_Including Slice and LS'!$C$4:$C$137,MATCH($A85,'Charges_Including Slice and LS'!$AA$4:$AA$137,0),1)</f>
        <v>Vera Irrigation District</v>
      </c>
      <c r="C85" s="55">
        <f ca="1">+INDEX('Charges_Including Slice and LS'!$Z$4:$Z$137,MATCH($A85,'Charges_Including Slice and LS'!$AA$4:$AA$137,0),1)</f>
        <v>8.858524024987692E-2</v>
      </c>
      <c r="D85" s="52">
        <f ca="1">+INDEX('Charges_Including Slice and LS'!$Y$4:$Y$137,MATCH($A85,'Charges_Including Slice and LS'!$AA$4:$AA$137,0),1)</f>
        <v>40.889564670308118</v>
      </c>
      <c r="E85" s="37">
        <f ca="1">+INDEX('Charges_Including Slice and LS'!$X$4:$X$137,MATCH($A85,'Charges_Including Slice and LS'!$AA$4:$AA$137,0),1)/1000</f>
        <v>239.26187999999996</v>
      </c>
      <c r="F85" s="37">
        <f ca="1">+SUM(E$5:E85)</f>
        <v>31718.609873714038</v>
      </c>
      <c r="H85" t="str">
        <f ca="1">+INDEX(Charges_NonSlice!$C$4:$C$137,MATCH($A85,Charges_NonSlice!$AA$4:$AA$137,0),1)</f>
        <v>Peninsula Light Company</v>
      </c>
      <c r="I85" s="55">
        <f ca="1">+INDEX(Charges_NonSlice!$Z$4:$Z$137,MATCH($A85,Charges_NonSlice!$AA$4:$AA$137,0),1)</f>
        <v>9.0559465623877913E-2</v>
      </c>
      <c r="J85" s="52">
        <f ca="1">+INDEX(Charges_NonSlice!$Y$4:$Y$137,MATCH($A85,Charges_NonSlice!$AA$4:$AA$137,0),1)</f>
        <v>39.633704233569134</v>
      </c>
      <c r="K85" s="37">
        <f ca="1">+INDEX(Charges_NonSlice!$X$4:$X$137,MATCH($A85,Charges_NonSlice!$AA$4:$AA$137,0),1)/1000</f>
        <v>610.20031602019105</v>
      </c>
      <c r="L85" s="37">
        <f ca="1">+SUM(K$5:K85)</f>
        <v>28010.452847484295</v>
      </c>
      <c r="N85" t="str">
        <f ca="1">+INDEX('Charges_NonSlice &amp; Excl LS'!$C$4:$C$137,MATCH($A85,'Charges_NonSlice &amp; Excl LS'!$AA$4:$AA$137,0),1)</f>
        <v>Tacoma Public Utilities</v>
      </c>
      <c r="O85" s="55">
        <f ca="1">+INDEX('Charges_NonSlice &amp; Excl LS'!$Z$4:$Z$137,MATCH($A85,'Charges_NonSlice &amp; Excl LS'!$AA$4:$AA$137,0),1)</f>
        <v>9.2938359741609466E-2</v>
      </c>
      <c r="P85" s="52">
        <f ca="1">+INDEX('Charges_NonSlice &amp; Excl LS'!$Y$4:$Y$137,MATCH($A85,'Charges_NonSlice &amp; Excl LS'!$AA$4:$AA$137,0),1)</f>
        <v>34.923303338366516</v>
      </c>
      <c r="Q85" s="37">
        <f ca="1">+INDEX('Charges_NonSlice &amp; Excl LS'!$X$4:$X$137,MATCH($A85,'Charges_NonSlice &amp; Excl LS'!$AA$4:$AA$137,0),1)/1000</f>
        <v>1092.7903265116802</v>
      </c>
      <c r="R85" s="37">
        <f ca="1">+SUM(Q$5:Q85)</f>
        <v>24835.384538493887</v>
      </c>
      <c r="T85" t="str">
        <f ca="1">+INDEX(Charges_NonSlice!$C$4:$C$137,MATCH($A85,Charges_NonSlice!$AA$4:$AA$137,0),1)</f>
        <v>Peninsula Light Company</v>
      </c>
      <c r="U85" s="55">
        <f t="shared" ca="1" si="3"/>
        <v>7.1224079675455076E-2</v>
      </c>
      <c r="V85" s="52">
        <f ca="1">+INDEX(Charges_NonSlice!$Y$4:$Y$137,MATCH($A85,Charges_NonSlice!$AA$4:$AA$137,0),1)</f>
        <v>39.633704233569134</v>
      </c>
      <c r="W85" s="269">
        <f t="shared" ca="1" si="4"/>
        <v>36.998518783835415</v>
      </c>
      <c r="Y85" s="57" t="s">
        <v>104</v>
      </c>
      <c r="Z85" s="58">
        <v>34.724511353938411</v>
      </c>
    </row>
    <row r="86" spans="1:26">
      <c r="A86">
        <f t="shared" si="5"/>
        <v>82</v>
      </c>
      <c r="B86" t="str">
        <f ca="1">+INDEX('Charges_Including Slice and LS'!$C$4:$C$137,MATCH($A86,'Charges_Including Slice and LS'!$AA$4:$AA$137,0),1)</f>
        <v>Rupert, City of</v>
      </c>
      <c r="C86" s="55">
        <f ca="1">+INDEX('Charges_Including Slice and LS'!$Z$4:$Z$137,MATCH($A86,'Charges_Including Slice and LS'!$AA$4:$AA$137,0),1)</f>
        <v>8.8253562339480299E-2</v>
      </c>
      <c r="D86" s="52">
        <f ca="1">+INDEX('Charges_Including Slice and LS'!$Y$4:$Y$137,MATCH($A86,'Charges_Including Slice and LS'!$AA$4:$AA$137,0),1)</f>
        <v>38.475188358075364</v>
      </c>
      <c r="E86" s="37">
        <f ca="1">+INDEX('Charges_Including Slice and LS'!$X$4:$X$137,MATCH($A86,'Charges_Including Slice and LS'!$AA$4:$AA$137,0),1)/1000</f>
        <v>82.856075890655063</v>
      </c>
      <c r="F86" s="37">
        <f ca="1">+SUM(E$5:E86)</f>
        <v>31801.465949604692</v>
      </c>
      <c r="H86" t="str">
        <f ca="1">+INDEX(Charges_NonSlice!$C$4:$C$137,MATCH($A86,Charges_NonSlice!$AA$4:$AA$137,0),1)</f>
        <v>Eatonville, City of</v>
      </c>
      <c r="I86" s="55">
        <f ca="1">+INDEX(Charges_NonSlice!$Z$4:$Z$137,MATCH($A86,Charges_NonSlice!$AA$4:$AA$137,0),1)</f>
        <v>9.0194558469818956E-2</v>
      </c>
      <c r="J86" s="52">
        <f ca="1">+INDEX(Charges_NonSlice!$Y$4:$Y$137,MATCH($A86,Charges_NonSlice!$AA$4:$AA$137,0),1)</f>
        <v>39.759275329630235</v>
      </c>
      <c r="K86" s="37">
        <f ca="1">+INDEX(Charges_NonSlice!$X$4:$X$137,MATCH($A86,Charges_NonSlice!$AA$4:$AA$137,0),1)/1000</f>
        <v>29.093606717225423</v>
      </c>
      <c r="L86" s="37">
        <f ca="1">+SUM(K$5:K86)</f>
        <v>28039.546454201522</v>
      </c>
      <c r="N86" t="str">
        <f ca="1">+INDEX('Charges_NonSlice &amp; Excl LS'!$C$4:$C$137,MATCH($A86,'Charges_NonSlice &amp; Excl LS'!$AA$4:$AA$137,0),1)</f>
        <v>Seattle City Light</v>
      </c>
      <c r="O86" s="55">
        <f ca="1">+INDEX('Charges_NonSlice &amp; Excl LS'!$Z$4:$Z$137,MATCH($A86,'Charges_NonSlice &amp; Excl LS'!$AA$4:$AA$137,0),1)</f>
        <v>9.2938359740481813E-2</v>
      </c>
      <c r="P86" s="52">
        <f ca="1">+INDEX('Charges_NonSlice &amp; Excl LS'!$Y$4:$Y$137,MATCH($A86,'Charges_NonSlice &amp; Excl LS'!$AA$4:$AA$137,0),1)</f>
        <v>34.923303338366516</v>
      </c>
      <c r="Q86" s="37">
        <f ca="1">+INDEX('Charges_NonSlice &amp; Excl LS'!$X$4:$X$137,MATCH($A86,'Charges_NonSlice &amp; Excl LS'!$AA$4:$AA$137,0),1)/1000</f>
        <v>4380.1856310295689</v>
      </c>
      <c r="R86" s="37">
        <f ca="1">+SUM(Q$5:Q86)</f>
        <v>29215.570169523457</v>
      </c>
      <c r="T86" t="str">
        <f ca="1">+INDEX(Charges_NonSlice!$C$4:$C$137,MATCH($A86,Charges_NonSlice!$AA$4:$AA$137,0),1)</f>
        <v>Eatonville, City of</v>
      </c>
      <c r="U86" s="55">
        <f t="shared" ca="1" si="3"/>
        <v>6.4272457244068271E-2</v>
      </c>
      <c r="V86" s="52">
        <f ca="1">+INDEX(Charges_NonSlice!$Y$4:$Y$137,MATCH($A86,Charges_NonSlice!$AA$4:$AA$137,0),1)</f>
        <v>39.759275329630235</v>
      </c>
      <c r="W86" s="269">
        <f t="shared" ca="1" si="4"/>
        <v>37.358173707310634</v>
      </c>
      <c r="Y86" s="57" t="s">
        <v>111</v>
      </c>
      <c r="Z86" s="58">
        <v>34.519868461700867</v>
      </c>
    </row>
    <row r="87" spans="1:26">
      <c r="A87">
        <f t="shared" si="5"/>
        <v>83</v>
      </c>
      <c r="B87" t="str">
        <f ca="1">+INDEX('Charges_Including Slice and LS'!$C$4:$C$137,MATCH($A87,'Charges_Including Slice and LS'!$AA$4:$AA$137,0),1)</f>
        <v>Wahkiakum County PUD #1</v>
      </c>
      <c r="C87" s="55">
        <f ca="1">+INDEX('Charges_Including Slice and LS'!$Z$4:$Z$137,MATCH($A87,'Charges_Including Slice and LS'!$AA$4:$AA$137,0),1)</f>
        <v>8.8035535545257518E-2</v>
      </c>
      <c r="D87" s="52">
        <f ca="1">+INDEX('Charges_Including Slice and LS'!$Y$4:$Y$137,MATCH($A87,'Charges_Including Slice and LS'!$AA$4:$AA$137,0),1)</f>
        <v>37.588919995974734</v>
      </c>
      <c r="E87" s="37">
        <f ca="1">+INDEX('Charges_Including Slice and LS'!$X$4:$X$137,MATCH($A87,'Charges_Including Slice and LS'!$AA$4:$AA$137,0),1)/1000</f>
        <v>44.097839999999998</v>
      </c>
      <c r="F87" s="37">
        <f ca="1">+SUM(E$5:E87)</f>
        <v>31845.56378960469</v>
      </c>
      <c r="H87" t="str">
        <f ca="1">+INDEX(Charges_NonSlice!$C$4:$C$137,MATCH($A87,Charges_NonSlice!$AA$4:$AA$137,0),1)</f>
        <v>Clallam County PUD #1</v>
      </c>
      <c r="I87" s="55">
        <f ca="1">+INDEX(Charges_NonSlice!$Z$4:$Z$137,MATCH($A87,Charges_NonSlice!$AA$4:$AA$137,0),1)</f>
        <v>9.0106894144635241E-2</v>
      </c>
      <c r="J87" s="52">
        <f ca="1">+INDEX(Charges_NonSlice!$Y$4:$Y$137,MATCH($A87,Charges_NonSlice!$AA$4:$AA$137,0),1)</f>
        <v>36.056107873279778</v>
      </c>
      <c r="K87" s="37">
        <f ca="1">+INDEX(Charges_NonSlice!$X$4:$X$137,MATCH($A87,Charges_NonSlice!$AA$4:$AA$137,0),1)/1000</f>
        <v>669.83791354066864</v>
      </c>
      <c r="L87" s="37">
        <f ca="1">+SUM(K$5:K87)</f>
        <v>28709.38436774219</v>
      </c>
      <c r="N87" t="str">
        <f ca="1">+INDEX('Charges_NonSlice &amp; Excl LS'!$C$4:$C$137,MATCH($A87,'Charges_NonSlice &amp; Excl LS'!$AA$4:$AA$137,0),1)</f>
        <v>Eugene Water &amp; Electric Board</v>
      </c>
      <c r="O87" s="55">
        <f ca="1">+INDEX('Charges_NonSlice &amp; Excl LS'!$Z$4:$Z$137,MATCH($A87,'Charges_NonSlice &amp; Excl LS'!$AA$4:$AA$137,0),1)</f>
        <v>9.2938359739746984E-2</v>
      </c>
      <c r="P87" s="52">
        <f ca="1">+INDEX('Charges_NonSlice &amp; Excl LS'!$Y$4:$Y$137,MATCH($A87,'Charges_NonSlice &amp; Excl LS'!$AA$4:$AA$137,0),1)</f>
        <v>34.923303338366523</v>
      </c>
      <c r="Q87" s="37">
        <f ca="1">+INDEX('Charges_NonSlice &amp; Excl LS'!$X$4:$X$137,MATCH($A87,'Charges_NonSlice &amp; Excl LS'!$AA$4:$AA$137,0),1)/1000</f>
        <v>1063.3195840556161</v>
      </c>
      <c r="R87" s="37">
        <f ca="1">+SUM(Q$5:Q87)</f>
        <v>30278.889753579071</v>
      </c>
      <c r="T87" t="str">
        <f ca="1">+INDEX(Charges_NonSlice!$C$4:$C$137,MATCH($A87,Charges_NonSlice!$AA$4:$AA$137,0),1)</f>
        <v>Clallam County PUD #1</v>
      </c>
      <c r="U87" s="55">
        <f t="shared" ca="1" si="3"/>
        <v>4.1680677302748714E-2</v>
      </c>
      <c r="V87" s="52">
        <f ca="1">+INDEX(Charges_NonSlice!$Y$4:$Y$137,MATCH($A87,Charges_NonSlice!$AA$4:$AA$137,0),1)</f>
        <v>36.056107873279778</v>
      </c>
      <c r="W87" s="269">
        <f t="shared" ca="1" si="4"/>
        <v>34.613398000854552</v>
      </c>
      <c r="Y87" s="57" t="s">
        <v>85</v>
      </c>
      <c r="Z87" s="58">
        <v>34.83929732068124</v>
      </c>
    </row>
    <row r="88" spans="1:26">
      <c r="A88">
        <f t="shared" si="5"/>
        <v>84</v>
      </c>
      <c r="B88" t="str">
        <f ca="1">+INDEX('Charges_Including Slice and LS'!$C$4:$C$137,MATCH($A88,'Charges_Including Slice and LS'!$AA$4:$AA$137,0),1)</f>
        <v>Drain, City of</v>
      </c>
      <c r="C88" s="55">
        <f ca="1">+INDEX('Charges_Including Slice and LS'!$Z$4:$Z$137,MATCH($A88,'Charges_Including Slice and LS'!$AA$4:$AA$137,0),1)</f>
        <v>8.7873930395293356E-2</v>
      </c>
      <c r="D88" s="52">
        <f ca="1">+INDEX('Charges_Including Slice and LS'!$Y$4:$Y$137,MATCH($A88,'Charges_Including Slice and LS'!$AA$4:$AA$137,0),1)</f>
        <v>37.673974156566885</v>
      </c>
      <c r="E88" s="37">
        <f ca="1">+INDEX('Charges_Including Slice and LS'!$X$4:$X$137,MATCH($A88,'Charges_Including Slice and LS'!$AA$4:$AA$137,0),1)/1000</f>
        <v>16.637720981954423</v>
      </c>
      <c r="F88" s="37">
        <f ca="1">+SUM(E$5:E88)</f>
        <v>31862.201510586645</v>
      </c>
      <c r="H88" t="str">
        <f ca="1">+INDEX(Charges_NonSlice!$C$4:$C$137,MATCH($A88,Charges_NonSlice!$AA$4:$AA$137,0),1)</f>
        <v>McMinnville, City of</v>
      </c>
      <c r="I88" s="55">
        <f ca="1">+INDEX(Charges_NonSlice!$Z$4:$Z$137,MATCH($A88,Charges_NonSlice!$AA$4:$AA$137,0),1)</f>
        <v>8.965730084503816E-2</v>
      </c>
      <c r="J88" s="52">
        <f ca="1">+INDEX(Charges_NonSlice!$Y$4:$Y$137,MATCH($A88,Charges_NonSlice!$AA$4:$AA$137,0),1)</f>
        <v>39.450680778020562</v>
      </c>
      <c r="K88" s="37">
        <f ca="1">+INDEX(Charges_NonSlice!$X$4:$X$137,MATCH($A88,Charges_NonSlice!$AA$4:$AA$137,0),1)/1000</f>
        <v>738.88017061590836</v>
      </c>
      <c r="L88" s="37">
        <f ca="1">+SUM(K$5:K88)</f>
        <v>29448.264538358097</v>
      </c>
      <c r="N88" t="str">
        <f ca="1">+INDEX('Charges_NonSlice &amp; Excl LS'!$C$4:$C$137,MATCH($A88,'Charges_NonSlice &amp; Excl LS'!$AA$4:$AA$137,0),1)</f>
        <v>Rupert, City of</v>
      </c>
      <c r="O88" s="55">
        <f ca="1">+INDEX('Charges_NonSlice &amp; Excl LS'!$Z$4:$Z$137,MATCH($A88,'Charges_NonSlice &amp; Excl LS'!$AA$4:$AA$137,0),1)</f>
        <v>9.2487408818650058E-2</v>
      </c>
      <c r="P88" s="52">
        <f ca="1">+INDEX('Charges_NonSlice &amp; Excl LS'!$Y$4:$Y$137,MATCH($A88,'Charges_NonSlice &amp; Excl LS'!$AA$4:$AA$137,0),1)</f>
        <v>37.225598389510694</v>
      </c>
      <c r="Q88" s="37">
        <f ca="1">+INDEX('Charges_NonSlice &amp; Excl LS'!$X$4:$X$137,MATCH($A88,'Charges_NonSlice &amp; Excl LS'!$AA$4:$AA$137,0),1)/1000</f>
        <v>82.850652344256005</v>
      </c>
      <c r="R88" s="37">
        <f ca="1">+SUM(Q$5:Q88)</f>
        <v>30361.740405923327</v>
      </c>
      <c r="T88" t="str">
        <f ca="1">+INDEX(Charges_NonSlice!$C$4:$C$137,MATCH($A88,Charges_NonSlice!$AA$4:$AA$137,0),1)</f>
        <v>McMinnville, City of</v>
      </c>
      <c r="U88" s="55">
        <f t="shared" ca="1" si="3"/>
        <v>5.727775285767267E-2</v>
      </c>
      <c r="V88" s="52">
        <f ca="1">+INDEX(Charges_NonSlice!$Y$4:$Y$137,MATCH($A88,Charges_NonSlice!$AA$4:$AA$137,0),1)</f>
        <v>39.450680778020562</v>
      </c>
      <c r="W88" s="269">
        <f t="shared" ca="1" si="4"/>
        <v>37.313450199241338</v>
      </c>
      <c r="Y88" s="57" t="s">
        <v>131</v>
      </c>
      <c r="Z88" s="58">
        <v>31.707875087516804</v>
      </c>
    </row>
    <row r="89" spans="1:26">
      <c r="A89">
        <f t="shared" si="5"/>
        <v>85</v>
      </c>
      <c r="B89" t="str">
        <f ca="1">+INDEX('Charges_Including Slice and LS'!$C$4:$C$137,MATCH($A89,'Charges_Including Slice and LS'!$AA$4:$AA$137,0),1)</f>
        <v>Weiser, City of</v>
      </c>
      <c r="C89" s="55">
        <f ca="1">+INDEX('Charges_Including Slice and LS'!$Z$4:$Z$137,MATCH($A89,'Charges_Including Slice and LS'!$AA$4:$AA$137,0),1)</f>
        <v>8.750991921287532E-2</v>
      </c>
      <c r="D89" s="52">
        <f ca="1">+INDEX('Charges_Including Slice and LS'!$Y$4:$Y$137,MATCH($A89,'Charges_Including Slice and LS'!$AA$4:$AA$137,0),1)</f>
        <v>38.803417723018129</v>
      </c>
      <c r="E89" s="37">
        <f ca="1">+INDEX('Charges_Including Slice and LS'!$X$4:$X$137,MATCH($A89,'Charges_Including Slice and LS'!$AA$4:$AA$137,0),1)/1000</f>
        <v>55.757400000000004</v>
      </c>
      <c r="F89" s="37">
        <f ca="1">+SUM(E$5:E89)</f>
        <v>31917.958910586643</v>
      </c>
      <c r="H89" t="str">
        <f ca="1">+INDEX(Charges_NonSlice!$C$4:$C$137,MATCH($A89,Charges_NonSlice!$AA$4:$AA$137,0),1)</f>
        <v>Coulee Dam, City of</v>
      </c>
      <c r="I89" s="55">
        <f ca="1">+INDEX(Charges_NonSlice!$Z$4:$Z$137,MATCH($A89,Charges_NonSlice!$AA$4:$AA$137,0),1)</f>
        <v>8.910685059052649E-2</v>
      </c>
      <c r="J89" s="52">
        <f ca="1">+INDEX(Charges_NonSlice!$Y$4:$Y$137,MATCH($A89,Charges_NonSlice!$AA$4:$AA$137,0),1)</f>
        <v>40.230436401699606</v>
      </c>
      <c r="K89" s="37">
        <f ca="1">+INDEX(Charges_NonSlice!$X$4:$X$137,MATCH($A89,Charges_NonSlice!$AA$4:$AA$137,0),1)/1000</f>
        <v>17.809079999999998</v>
      </c>
      <c r="L89" s="37">
        <f ca="1">+SUM(K$5:K89)</f>
        <v>29466.073618358096</v>
      </c>
      <c r="N89" t="str">
        <f ca="1">+INDEX('Charges_NonSlice &amp; Excl LS'!$C$4:$C$137,MATCH($A89,'Charges_NonSlice &amp; Excl LS'!$AA$4:$AA$137,0),1)</f>
        <v>Mason County PUD #3</v>
      </c>
      <c r="O89" s="55">
        <f ca="1">+INDEX('Charges_NonSlice &amp; Excl LS'!$Z$4:$Z$137,MATCH($A89,'Charges_NonSlice &amp; Excl LS'!$AA$4:$AA$137,0),1)</f>
        <v>9.2352721964661696E-2</v>
      </c>
      <c r="P89" s="52">
        <f ca="1">+INDEX('Charges_NonSlice &amp; Excl LS'!$Y$4:$Y$137,MATCH($A89,'Charges_NonSlice &amp; Excl LS'!$AA$4:$AA$137,0),1)</f>
        <v>37.448212258310377</v>
      </c>
      <c r="Q89" s="37">
        <f ca="1">+INDEX('Charges_NonSlice &amp; Excl LS'!$X$4:$X$137,MATCH($A89,'Charges_NonSlice &amp; Excl LS'!$AA$4:$AA$137,0),1)/1000</f>
        <v>704.20874703974403</v>
      </c>
      <c r="R89" s="37">
        <f ca="1">+SUM(Q$5:Q89)</f>
        <v>31065.949152963072</v>
      </c>
      <c r="T89" t="str">
        <f ca="1">+INDEX(Charges_NonSlice!$C$4:$C$137,MATCH($A89,Charges_NonSlice!$AA$4:$AA$137,0),1)</f>
        <v>Coulee Dam, City of</v>
      </c>
      <c r="U89" s="55">
        <f t="shared" ca="1" si="3"/>
        <v>4.0168331828556392E-2</v>
      </c>
      <c r="V89" s="52">
        <f ca="1">+INDEX(Charges_NonSlice!$Y$4:$Y$137,MATCH($A89,Charges_NonSlice!$AA$4:$AA$137,0),1)</f>
        <v>40.230436401699606</v>
      </c>
      <c r="W89" s="269">
        <f t="shared" ca="1" si="4"/>
        <v>38.67685178511136</v>
      </c>
      <c r="Y89" s="57" t="s">
        <v>134</v>
      </c>
      <c r="Z89" s="58">
        <v>34.631868027604156</v>
      </c>
    </row>
    <row r="90" spans="1:26">
      <c r="A90">
        <f t="shared" si="5"/>
        <v>86</v>
      </c>
      <c r="B90" t="str">
        <f ca="1">+INDEX('Charges_Including Slice and LS'!$C$4:$C$137,MATCH($A90,'Charges_Including Slice and LS'!$AA$4:$AA$137,0),1)</f>
        <v>Grant County PUD #2</v>
      </c>
      <c r="C90" s="55">
        <f ca="1">+INDEX('Charges_Including Slice and LS'!$Z$4:$Z$137,MATCH($A90,'Charges_Including Slice and LS'!$AA$4:$AA$137,0),1)</f>
        <v>8.7275701087746196E-2</v>
      </c>
      <c r="D90" s="52">
        <f ca="1">+INDEX('Charges_Including Slice and LS'!$Y$4:$Y$137,MATCH($A90,'Charges_Including Slice and LS'!$AA$4:$AA$137,0),1)</f>
        <v>40.928869798826966</v>
      </c>
      <c r="E90" s="37">
        <f ca="1">+INDEX('Charges_Including Slice and LS'!$X$4:$X$137,MATCH($A90,'Charges_Including Slice and LS'!$AA$4:$AA$137,0),1)/1000</f>
        <v>45.733990699915111</v>
      </c>
      <c r="F90" s="37">
        <f ca="1">+SUM(E$5:E90)</f>
        <v>31963.692901286558</v>
      </c>
      <c r="H90" t="str">
        <f ca="1">+INDEX(Charges_NonSlice!$C$4:$C$137,MATCH($A90,Charges_NonSlice!$AA$4:$AA$137,0),1)</f>
        <v>Oregon Trail Coop</v>
      </c>
      <c r="I90" s="55">
        <f ca="1">+INDEX(Charges_NonSlice!$Z$4:$Z$137,MATCH($A90,Charges_NonSlice!$AA$4:$AA$137,0),1)</f>
        <v>8.9088121841283105E-2</v>
      </c>
      <c r="J90" s="52">
        <f ca="1">+INDEX(Charges_NonSlice!$Y$4:$Y$137,MATCH($A90,Charges_NonSlice!$AA$4:$AA$137,0),1)</f>
        <v>35.886496268747173</v>
      </c>
      <c r="K90" s="37">
        <f ca="1">+INDEX(Charges_NonSlice!$X$4:$X$137,MATCH($A90,Charges_NonSlice!$AA$4:$AA$137,0),1)/1000</f>
        <v>697.62887999999998</v>
      </c>
      <c r="L90" s="37">
        <f ca="1">+SUM(K$5:K90)</f>
        <v>30163.702498358096</v>
      </c>
      <c r="N90" t="str">
        <f ca="1">+INDEX('Charges_NonSlice &amp; Excl LS'!$C$4:$C$137,MATCH($A90,'Charges_NonSlice &amp; Excl LS'!$AA$4:$AA$137,0),1)</f>
        <v>Milton, Town of</v>
      </c>
      <c r="O90" s="55">
        <f ca="1">+INDEX('Charges_NonSlice &amp; Excl LS'!$Z$4:$Z$137,MATCH($A90,'Charges_NonSlice &amp; Excl LS'!$AA$4:$AA$137,0),1)</f>
        <v>9.2238752260006718E-2</v>
      </c>
      <c r="P90" s="52">
        <f ca="1">+INDEX('Charges_NonSlice &amp; Excl LS'!$Y$4:$Y$137,MATCH($A90,'Charges_NonSlice &amp; Excl LS'!$AA$4:$AA$137,0),1)</f>
        <v>37.01889862675462</v>
      </c>
      <c r="Q90" s="37">
        <f ca="1">+INDEX('Charges_NonSlice &amp; Excl LS'!$X$4:$X$137,MATCH($A90,'Charges_NonSlice &amp; Excl LS'!$AA$4:$AA$137,0),1)/1000</f>
        <v>58.387195800000001</v>
      </c>
      <c r="R90" s="37">
        <f ca="1">+SUM(Q$5:Q90)</f>
        <v>31124.336348763074</v>
      </c>
      <c r="T90" t="str">
        <f ca="1">+INDEX(Charges_NonSlice!$C$4:$C$137,MATCH($A90,Charges_NonSlice!$AA$4:$AA$137,0),1)</f>
        <v>Oregon Trail Coop</v>
      </c>
      <c r="U90" s="55">
        <f t="shared" ca="1" si="3"/>
        <v>5.8935901587995332E-2</v>
      </c>
      <c r="V90" s="52">
        <f ca="1">+INDEX(Charges_NonSlice!$Y$4:$Y$137,MATCH($A90,Charges_NonSlice!$AA$4:$AA$137,0),1)</f>
        <v>35.886496268747173</v>
      </c>
      <c r="W90" s="269">
        <f t="shared" ca="1" si="4"/>
        <v>33.889205394709229</v>
      </c>
      <c r="Y90" s="57" t="s">
        <v>37</v>
      </c>
      <c r="Z90" s="58">
        <v>36.171289593359987</v>
      </c>
    </row>
    <row r="91" spans="1:26">
      <c r="A91">
        <f t="shared" si="5"/>
        <v>87</v>
      </c>
      <c r="B91" t="str">
        <f ca="1">+INDEX('Charges_Including Slice and LS'!$C$4:$C$137,MATCH($A91,'Charges_Including Slice and LS'!$AA$4:$AA$137,0),1)</f>
        <v>McCleary, City of</v>
      </c>
      <c r="C91" s="55">
        <f ca="1">+INDEX('Charges_Including Slice and LS'!$Z$4:$Z$137,MATCH($A91,'Charges_Including Slice and LS'!$AA$4:$AA$137,0),1)</f>
        <v>8.686230882029275E-2</v>
      </c>
      <c r="D91" s="52">
        <f ca="1">+INDEX('Charges_Including Slice and LS'!$Y$4:$Y$137,MATCH($A91,'Charges_Including Slice and LS'!$AA$4:$AA$137,0),1)</f>
        <v>39.93647228960706</v>
      </c>
      <c r="E91" s="37">
        <f ca="1">+INDEX('Charges_Including Slice and LS'!$X$4:$X$137,MATCH($A91,'Charges_Including Slice and LS'!$AA$4:$AA$137,0),1)/1000</f>
        <v>32.58642492346894</v>
      </c>
      <c r="F91" s="37">
        <f ca="1">+SUM(E$5:E91)</f>
        <v>31996.279326210028</v>
      </c>
      <c r="H91" t="str">
        <f ca="1">+INDEX(Charges_NonSlice!$C$4:$C$137,MATCH($A91,Charges_NonSlice!$AA$4:$AA$137,0),1)</f>
        <v>PNGC Aggregate</v>
      </c>
      <c r="I91" s="55">
        <f ca="1">+INDEX(Charges_NonSlice!$Z$4:$Z$137,MATCH($A91,Charges_NonSlice!$AA$4:$AA$137,0),1)</f>
        <v>8.8670139090368888E-2</v>
      </c>
      <c r="J91" s="52">
        <f ca="1">+INDEX(Charges_NonSlice!$Y$4:$Y$137,MATCH($A91,Charges_NonSlice!$AA$4:$AA$137,0),1)</f>
        <v>39.813991681194857</v>
      </c>
      <c r="K91" s="37">
        <f ca="1">+INDEX(Charges_NonSlice!$X$4:$X$137,MATCH($A91,Charges_NonSlice!$AA$4:$AA$137,0),1)/1000</f>
        <v>6670.3314187468122</v>
      </c>
      <c r="L91" s="37">
        <f ca="1">+SUM(K$5:K91)</f>
        <v>36834.033917104905</v>
      </c>
      <c r="N91" t="str">
        <f ca="1">+INDEX('Charges_NonSlice &amp; Excl LS'!$C$4:$C$137,MATCH($A91,'Charges_NonSlice &amp; Excl LS'!$AA$4:$AA$137,0),1)</f>
        <v>U.S. DOE Albany Research Center</v>
      </c>
      <c r="O91" s="55">
        <f ca="1">+INDEX('Charges_NonSlice &amp; Excl LS'!$Z$4:$Z$137,MATCH($A91,'Charges_NonSlice &amp; Excl LS'!$AA$4:$AA$137,0),1)</f>
        <v>9.2215210845252429E-2</v>
      </c>
      <c r="P91" s="52">
        <f ca="1">+INDEX('Charges_NonSlice &amp; Excl LS'!$Y$4:$Y$137,MATCH($A91,'Charges_NonSlice &amp; Excl LS'!$AA$4:$AA$137,0),1)</f>
        <v>36.739839498088557</v>
      </c>
      <c r="Q91" s="37">
        <f ca="1">+INDEX('Charges_NonSlice &amp; Excl LS'!$X$4:$X$137,MATCH($A91,'Charges_NonSlice &amp; Excl LS'!$AA$4:$AA$137,0),1)/1000</f>
        <v>4.035722973696001</v>
      </c>
      <c r="R91" s="37">
        <f ca="1">+SUM(Q$5:Q91)</f>
        <v>31128.372071736769</v>
      </c>
      <c r="T91" t="str">
        <f ca="1">+INDEX(Charges_NonSlice!$C$4:$C$137,MATCH($A91,Charges_NonSlice!$AA$4:$AA$137,0),1)</f>
        <v>PNGC Aggregate</v>
      </c>
      <c r="U91" s="55">
        <f t="shared" ca="1" si="3"/>
        <v>0.16181449480890331</v>
      </c>
      <c r="V91" s="52">
        <f ca="1">+INDEX(Charges_NonSlice!$Y$4:$Y$137,MATCH($A91,Charges_NonSlice!$AA$4:$AA$137,0),1)</f>
        <v>39.813991681194857</v>
      </c>
      <c r="W91" s="269">
        <f t="shared" ca="1" si="4"/>
        <v>34.268802686734865</v>
      </c>
      <c r="Y91" s="57" t="s">
        <v>90</v>
      </c>
      <c r="Z91" s="58">
        <v>34.069454375326579</v>
      </c>
    </row>
    <row r="92" spans="1:26">
      <c r="A92">
        <f t="shared" si="5"/>
        <v>88</v>
      </c>
      <c r="B92" t="str">
        <f ca="1">+INDEX('Charges_Including Slice and LS'!$C$4:$C$137,MATCH($A92,'Charges_Including Slice and LS'!$AA$4:$AA$137,0),1)</f>
        <v>Midstate Elec Coop</v>
      </c>
      <c r="C92" s="55">
        <f ca="1">+INDEX('Charges_Including Slice and LS'!$Z$4:$Z$137,MATCH($A92,'Charges_Including Slice and LS'!$AA$4:$AA$137,0),1)</f>
        <v>8.6641580031632831E-2</v>
      </c>
      <c r="D92" s="52">
        <f ca="1">+INDEX('Charges_Including Slice and LS'!$Y$4:$Y$137,MATCH($A92,'Charges_Including Slice and LS'!$AA$4:$AA$137,0),1)</f>
        <v>36.032494476011003</v>
      </c>
      <c r="E92" s="37">
        <f ca="1">+INDEX('Charges_Including Slice and LS'!$X$4:$X$137,MATCH($A92,'Charges_Including Slice and LS'!$AA$4:$AA$137,0),1)/1000</f>
        <v>411.84895131136807</v>
      </c>
      <c r="F92" s="37">
        <f ca="1">+SUM(E$5:E92)</f>
        <v>32408.128277521395</v>
      </c>
      <c r="H92" t="str">
        <f ca="1">+INDEX(Charges_NonSlice!$C$4:$C$137,MATCH($A92,Charges_NonSlice!$AA$4:$AA$137,0),1)</f>
        <v>Vera Irrigation District</v>
      </c>
      <c r="I92" s="55">
        <f ca="1">+INDEX(Charges_NonSlice!$Z$4:$Z$137,MATCH($A92,Charges_NonSlice!$AA$4:$AA$137,0),1)</f>
        <v>8.8584024110973505E-2</v>
      </c>
      <c r="J92" s="52">
        <f ca="1">+INDEX(Charges_NonSlice!$Y$4:$Y$137,MATCH($A92,Charges_NonSlice!$AA$4:$AA$137,0),1)</f>
        <v>40.890062033281282</v>
      </c>
      <c r="K92" s="37">
        <f ca="1">+INDEX(Charges_NonSlice!$X$4:$X$137,MATCH($A92,Charges_NonSlice!$AA$4:$AA$137,0),1)/1000</f>
        <v>239.26187999999996</v>
      </c>
      <c r="L92" s="37">
        <f ca="1">+SUM(K$5:K92)</f>
        <v>37073.295797104904</v>
      </c>
      <c r="N92" t="str">
        <f ca="1">+INDEX('Charges_NonSlice &amp; Excl LS'!$C$4:$C$137,MATCH($A92,'Charges_NonSlice &amp; Excl LS'!$AA$4:$AA$137,0),1)</f>
        <v>Ohop Mutual Light Company</v>
      </c>
      <c r="O92" s="55">
        <f ca="1">+INDEX('Charges_NonSlice &amp; Excl LS'!$Z$4:$Z$137,MATCH($A92,'Charges_NonSlice &amp; Excl LS'!$AA$4:$AA$137,0),1)</f>
        <v>9.2114789179611078E-2</v>
      </c>
      <c r="P92" s="52">
        <f ca="1">+INDEX('Charges_NonSlice &amp; Excl LS'!$Y$4:$Y$137,MATCH($A92,'Charges_NonSlice &amp; Excl LS'!$AA$4:$AA$137,0),1)</f>
        <v>35.213178599706879</v>
      </c>
      <c r="Q92" s="37">
        <f ca="1">+INDEX('Charges_NonSlice &amp; Excl LS'!$X$4:$X$137,MATCH($A92,'Charges_NonSlice &amp; Excl LS'!$AA$4:$AA$137,0),1)/1000</f>
        <v>94.328796542592002</v>
      </c>
      <c r="R92" s="37">
        <f ca="1">+SUM(Q$5:Q92)</f>
        <v>31222.70086827936</v>
      </c>
      <c r="T92" t="str">
        <f ca="1">+INDEX(Charges_NonSlice!$C$4:$C$137,MATCH($A92,Charges_NonSlice!$AA$4:$AA$137,0),1)</f>
        <v>Vera Irrigation District</v>
      </c>
      <c r="U92" s="55">
        <f t="shared" ca="1" si="3"/>
        <v>9.7118362649986745E-2</v>
      </c>
      <c r="V92" s="52">
        <f ca="1">+INDEX(Charges_NonSlice!$Y$4:$Y$137,MATCH($A92,Charges_NonSlice!$AA$4:$AA$137,0),1)</f>
        <v>40.890062033281282</v>
      </c>
      <c r="W92" s="269">
        <f t="shared" ca="1" si="4"/>
        <v>37.270419879323832</v>
      </c>
      <c r="Y92" s="57" t="s">
        <v>43</v>
      </c>
      <c r="Z92" s="58">
        <v>36.779089724557501</v>
      </c>
    </row>
    <row r="93" spans="1:26">
      <c r="A93">
        <f t="shared" si="5"/>
        <v>89</v>
      </c>
      <c r="B93" t="str">
        <f ca="1">+INDEX('Charges_Including Slice and LS'!$C$4:$C$137,MATCH($A93,'Charges_Including Slice and LS'!$AA$4:$AA$137,0),1)</f>
        <v>Grays Harbor PUD #1</v>
      </c>
      <c r="C93" s="55">
        <f ca="1">+INDEX('Charges_Including Slice and LS'!$Z$4:$Z$137,MATCH($A93,'Charges_Including Slice and LS'!$AA$4:$AA$137,0),1)</f>
        <v>8.6439575890811651E-2</v>
      </c>
      <c r="D93" s="52">
        <f ca="1">+INDEX('Charges_Including Slice and LS'!$Y$4:$Y$137,MATCH($A93,'Charges_Including Slice and LS'!$AA$4:$AA$137,0),1)</f>
        <v>38.041288047882233</v>
      </c>
      <c r="E93" s="37">
        <f ca="1">+INDEX('Charges_Including Slice and LS'!$X$4:$X$137,MATCH($A93,'Charges_Including Slice and LS'!$AA$4:$AA$137,0),1)/1000</f>
        <v>1116.2867538942517</v>
      </c>
      <c r="F93" s="37">
        <f ca="1">+SUM(E$5:E93)</f>
        <v>33524.415031415643</v>
      </c>
      <c r="H93" t="str">
        <f ca="1">+INDEX(Charges_NonSlice!$C$4:$C$137,MATCH($A93,Charges_NonSlice!$AA$4:$AA$137,0),1)</f>
        <v>Rupert, City of</v>
      </c>
      <c r="I93" s="55">
        <f ca="1">+INDEX(Charges_NonSlice!$Z$4:$Z$137,MATCH($A93,Charges_NonSlice!$AA$4:$AA$137,0),1)</f>
        <v>8.8252584892125202E-2</v>
      </c>
      <c r="J93" s="52">
        <f ca="1">+INDEX(Charges_NonSlice!$Y$4:$Y$137,MATCH($A93,Charges_NonSlice!$AA$4:$AA$137,0),1)</f>
        <v>38.475574569945231</v>
      </c>
      <c r="K93" s="37">
        <f ca="1">+INDEX(Charges_NonSlice!$X$4:$X$137,MATCH($A93,Charges_NonSlice!$AA$4:$AA$137,0),1)/1000</f>
        <v>82.856075890655063</v>
      </c>
      <c r="L93" s="37">
        <f ca="1">+SUM(K$5:K93)</f>
        <v>37156.151872995557</v>
      </c>
      <c r="N93" t="str">
        <f ca="1">+INDEX('Charges_NonSlice &amp; Excl LS'!$C$4:$C$137,MATCH($A93,'Charges_NonSlice &amp; Excl LS'!$AA$4:$AA$137,0),1)</f>
        <v>Bonners Ferry, City of</v>
      </c>
      <c r="O93" s="55">
        <f ca="1">+INDEX('Charges_NonSlice &amp; Excl LS'!$Z$4:$Z$137,MATCH($A93,'Charges_NonSlice &amp; Excl LS'!$AA$4:$AA$137,0),1)</f>
        <v>9.2005206168901704E-2</v>
      </c>
      <c r="P93" s="52">
        <f ca="1">+INDEX('Charges_NonSlice &amp; Excl LS'!$Y$4:$Y$137,MATCH($A93,'Charges_NonSlice &amp; Excl LS'!$AA$4:$AA$137,0),1)</f>
        <v>37.888957960439157</v>
      </c>
      <c r="Q93" s="37">
        <f ca="1">+INDEX('Charges_NonSlice &amp; Excl LS'!$X$4:$X$137,MATCH($A93,'Charges_NonSlice &amp; Excl LS'!$AA$4:$AA$137,0),1)/1000</f>
        <v>46.865455828800002</v>
      </c>
      <c r="R93" s="37">
        <f ca="1">+SUM(Q$5:Q93)</f>
        <v>31269.56632410816</v>
      </c>
      <c r="T93" t="str">
        <f ca="1">+INDEX(Charges_NonSlice!$C$4:$C$137,MATCH($A93,Charges_NonSlice!$AA$4:$AA$137,0),1)</f>
        <v>Rupert, City of</v>
      </c>
      <c r="U93" s="55">
        <f t="shared" ca="1" si="3"/>
        <v>8.4977506112367651E-2</v>
      </c>
      <c r="V93" s="52">
        <f ca="1">+INDEX(Charges_NonSlice!$Y$4:$Y$137,MATCH($A93,Charges_NonSlice!$AA$4:$AA$137,0),1)</f>
        <v>38.475574569945231</v>
      </c>
      <c r="W93" s="269">
        <f t="shared" ca="1" si="4"/>
        <v>35.462094239915459</v>
      </c>
      <c r="Y93" s="57" t="s">
        <v>35</v>
      </c>
      <c r="Z93" s="58">
        <v>36.08877567598023</v>
      </c>
    </row>
    <row r="94" spans="1:26">
      <c r="A94">
        <f t="shared" si="5"/>
        <v>90</v>
      </c>
      <c r="B94" t="str">
        <f ca="1">+INDEX('Charges_Including Slice and LS'!$C$4:$C$137,MATCH($A94,'Charges_Including Slice and LS'!$AA$4:$AA$137,0),1)</f>
        <v>Burley, City of</v>
      </c>
      <c r="C94" s="55">
        <f ca="1">+INDEX('Charges_Including Slice and LS'!$Z$4:$Z$137,MATCH($A94,'Charges_Including Slice and LS'!$AA$4:$AA$137,0),1)</f>
        <v>8.5842473241119072E-2</v>
      </c>
      <c r="D94" s="52">
        <f ca="1">+INDEX('Charges_Including Slice and LS'!$Y$4:$Y$137,MATCH($A94,'Charges_Including Slice and LS'!$AA$4:$AA$137,0),1)</f>
        <v>38.426378092236696</v>
      </c>
      <c r="E94" s="37">
        <f ca="1">+INDEX('Charges_Including Slice and LS'!$X$4:$X$137,MATCH($A94,'Charges_Including Slice and LS'!$AA$4:$AA$137,0),1)/1000</f>
        <v>123.90828431447591</v>
      </c>
      <c r="F94" s="37">
        <f ca="1">+SUM(E$5:E94)</f>
        <v>33648.323315730122</v>
      </c>
      <c r="H94" t="str">
        <f ca="1">+INDEX(Charges_NonSlice!$C$4:$C$137,MATCH($A94,Charges_NonSlice!$AA$4:$AA$137,0),1)</f>
        <v>Wahkiakum County PUD #1</v>
      </c>
      <c r="I94" s="55">
        <f ca="1">+INDEX(Charges_NonSlice!$Z$4:$Z$137,MATCH($A94,Charges_NonSlice!$AA$4:$AA$137,0),1)</f>
        <v>8.8028512386337937E-2</v>
      </c>
      <c r="J94" s="52">
        <f ca="1">+INDEX(Charges_NonSlice!$Y$4:$Y$137,MATCH($A94,Charges_NonSlice!$AA$4:$AA$137,0),1)</f>
        <v>37.591499069852439</v>
      </c>
      <c r="K94" s="37">
        <f ca="1">+INDEX(Charges_NonSlice!$X$4:$X$137,MATCH($A94,Charges_NonSlice!$AA$4:$AA$137,0),1)/1000</f>
        <v>44.097839999999998</v>
      </c>
      <c r="L94" s="37">
        <f ca="1">+SUM(K$5:K94)</f>
        <v>37200.249712995559</v>
      </c>
      <c r="N94" t="str">
        <f ca="1">+INDEX('Charges_NonSlice &amp; Excl LS'!$C$4:$C$137,MATCH($A94,'Charges_NonSlice &amp; Excl LS'!$AA$4:$AA$137,0),1)</f>
        <v>Energy Northwest</v>
      </c>
      <c r="O94" s="55">
        <f ca="1">+INDEX('Charges_NonSlice &amp; Excl LS'!$Z$4:$Z$137,MATCH($A94,'Charges_NonSlice &amp; Excl LS'!$AA$4:$AA$137,0),1)</f>
        <v>9.1934876656426592E-2</v>
      </c>
      <c r="P94" s="52">
        <f ca="1">+INDEX('Charges_NonSlice &amp; Excl LS'!$Y$4:$Y$137,MATCH($A94,'Charges_NonSlice &amp; Excl LS'!$AA$4:$AA$137,0),1)</f>
        <v>36.851805095433974</v>
      </c>
      <c r="Q94" s="37">
        <f ca="1">+INDEX('Charges_NonSlice &amp; Excl LS'!$X$4:$X$137,MATCH($A94,'Charges_NonSlice &amp; Excl LS'!$AA$4:$AA$137,0),1)/1000</f>
        <v>19.867216490880001</v>
      </c>
      <c r="R94" s="37">
        <f ca="1">+SUM(Q$5:Q94)</f>
        <v>31289.433540599039</v>
      </c>
      <c r="T94" t="str">
        <f ca="1">+INDEX(Charges_NonSlice!$C$4:$C$137,MATCH($A94,Charges_NonSlice!$AA$4:$AA$137,0),1)</f>
        <v>Wahkiakum County PUD #1</v>
      </c>
      <c r="U94" s="55">
        <f t="shared" ca="1" si="3"/>
        <v>0.13839217274406512</v>
      </c>
      <c r="V94" s="52">
        <f ca="1">+INDEX(Charges_NonSlice!$Y$4:$Y$137,MATCH($A94,Charges_NonSlice!$AA$4:$AA$137,0),1)</f>
        <v>37.591499069852439</v>
      </c>
      <c r="W94" s="269">
        <f t="shared" ca="1" si="4"/>
        <v>33.021571976587907</v>
      </c>
      <c r="Y94" s="57" t="s">
        <v>23</v>
      </c>
      <c r="Z94" s="58">
        <v>36.151351628958665</v>
      </c>
    </row>
    <row r="95" spans="1:26">
      <c r="A95">
        <f t="shared" si="5"/>
        <v>91</v>
      </c>
      <c r="B95" t="str">
        <f ca="1">+INDEX('Charges_Including Slice and LS'!$C$4:$C$137,MATCH($A95,'Charges_Including Slice and LS'!$AA$4:$AA$137,0),1)</f>
        <v>Forest Grove, City of</v>
      </c>
      <c r="C95" s="55">
        <f ca="1">+INDEX('Charges_Including Slice and LS'!$Z$4:$Z$137,MATCH($A95,'Charges_Including Slice and LS'!$AA$4:$AA$137,0),1)</f>
        <v>8.523036538438411E-2</v>
      </c>
      <c r="D95" s="52">
        <f ca="1">+INDEX('Charges_Including Slice and LS'!$Y$4:$Y$137,MATCH($A95,'Charges_Including Slice and LS'!$AA$4:$AA$137,0),1)</f>
        <v>39.252282185735893</v>
      </c>
      <c r="E95" s="37">
        <f ca="1">+INDEX('Charges_Including Slice and LS'!$X$4:$X$137,MATCH($A95,'Charges_Including Slice and LS'!$AA$4:$AA$137,0),1)/1000</f>
        <v>235.08336</v>
      </c>
      <c r="F95" s="37">
        <f ca="1">+SUM(E$5:E95)</f>
        <v>33883.406675730119</v>
      </c>
      <c r="H95" t="str">
        <f ca="1">+INDEX(Charges_NonSlice!$C$4:$C$137,MATCH($A95,Charges_NonSlice!$AA$4:$AA$137,0),1)</f>
        <v>Drain, City of</v>
      </c>
      <c r="I95" s="55">
        <f ca="1">+INDEX(Charges_NonSlice!$Z$4:$Z$137,MATCH($A95,Charges_NonSlice!$AA$4:$AA$137,0),1)</f>
        <v>8.7871032765339599E-2</v>
      </c>
      <c r="J95" s="52">
        <f ca="1">+INDEX(Charges_NonSlice!$Y$4:$Y$137,MATCH($A95,Charges_NonSlice!$AA$4:$AA$137,0),1)</f>
        <v>37.675116139896254</v>
      </c>
      <c r="K95" s="37">
        <f ca="1">+INDEX(Charges_NonSlice!$X$4:$X$137,MATCH($A95,Charges_NonSlice!$AA$4:$AA$137,0),1)/1000</f>
        <v>16.637720981954423</v>
      </c>
      <c r="L95" s="37">
        <f ca="1">+SUM(K$5:K95)</f>
        <v>37216.887433977514</v>
      </c>
      <c r="N95" t="str">
        <f ca="1">+INDEX('Charges_NonSlice &amp; Excl LS'!$C$4:$C$137,MATCH($A95,'Charges_NonSlice &amp; Excl LS'!$AA$4:$AA$137,0),1)</f>
        <v>Peninsula Light Company</v>
      </c>
      <c r="O95" s="55">
        <f ca="1">+INDEX('Charges_NonSlice &amp; Excl LS'!$Z$4:$Z$137,MATCH($A95,'Charges_NonSlice &amp; Excl LS'!$AA$4:$AA$137,0),1)</f>
        <v>9.1901458466506228E-2</v>
      </c>
      <c r="P95" s="52">
        <f ca="1">+INDEX('Charges_NonSlice &amp; Excl LS'!$Y$4:$Y$137,MATCH($A95,'Charges_NonSlice &amp; Excl LS'!$AA$4:$AA$137,0),1)</f>
        <v>38.214129719904825</v>
      </c>
      <c r="Q95" s="37">
        <f ca="1">+INDEX('Charges_NonSlice &amp; Excl LS'!$X$4:$X$137,MATCH($A95,'Charges_NonSlice &amp; Excl LS'!$AA$4:$AA$137,0),1)/1000</f>
        <v>610.20380480985614</v>
      </c>
      <c r="R95" s="37">
        <f ca="1">+SUM(Q$5:Q95)</f>
        <v>31899.637345408893</v>
      </c>
      <c r="T95" t="str">
        <f ca="1">+INDEX(Charges_NonSlice!$C$4:$C$137,MATCH($A95,Charges_NonSlice!$AA$4:$AA$137,0),1)</f>
        <v>Drain, City of</v>
      </c>
      <c r="U95" s="55">
        <f t="shared" ca="1" si="3"/>
        <v>6.5027727763925514E-2</v>
      </c>
      <c r="V95" s="52">
        <f ca="1">+INDEX(Charges_NonSlice!$Y$4:$Y$137,MATCH($A95,Charges_NonSlice!$AA$4:$AA$137,0),1)</f>
        <v>37.675116139896254</v>
      </c>
      <c r="W95" s="269">
        <f t="shared" ca="1" si="4"/>
        <v>35.374774907501127</v>
      </c>
      <c r="Y95" s="57" t="s">
        <v>109</v>
      </c>
      <c r="Z95" s="58">
        <v>29.768642547058086</v>
      </c>
    </row>
    <row r="96" spans="1:26">
      <c r="A96">
        <f t="shared" si="5"/>
        <v>92</v>
      </c>
      <c r="B96" t="str">
        <f ca="1">+INDEX('Charges_Including Slice and LS'!$C$4:$C$137,MATCH($A96,'Charges_Including Slice and LS'!$AA$4:$AA$137,0),1)</f>
        <v>Salem Elec Coop</v>
      </c>
      <c r="C96" s="55">
        <f ca="1">+INDEX('Charges_Including Slice and LS'!$Z$4:$Z$137,MATCH($A96,'Charges_Including Slice and LS'!$AA$4:$AA$137,0),1)</f>
        <v>8.461984045113824E-2</v>
      </c>
      <c r="D96" s="52">
        <f ca="1">+INDEX('Charges_Including Slice and LS'!$Y$4:$Y$137,MATCH($A96,'Charges_Including Slice and LS'!$AA$4:$AA$137,0),1)</f>
        <v>39.271618252220307</v>
      </c>
      <c r="E96" s="37">
        <f ca="1">+INDEX('Charges_Including Slice and LS'!$X$4:$X$137,MATCH($A96,'Charges_Including Slice and LS'!$AA$4:$AA$137,0),1)/1000</f>
        <v>340.88658512252914</v>
      </c>
      <c r="F96" s="37">
        <f ca="1">+SUM(E$5:E96)</f>
        <v>34224.293260852646</v>
      </c>
      <c r="H96" t="str">
        <f ca="1">+INDEX(Charges_NonSlice!$C$4:$C$137,MATCH($A96,Charges_NonSlice!$AA$4:$AA$137,0),1)</f>
        <v>Weiser, City of</v>
      </c>
      <c r="I96" s="55">
        <f ca="1">+INDEX(Charges_NonSlice!$Z$4:$Z$137,MATCH($A96,Charges_NonSlice!$AA$4:$AA$137,0),1)</f>
        <v>8.7503946841940697E-2</v>
      </c>
      <c r="J96" s="52">
        <f ca="1">+INDEX(Charges_NonSlice!$Y$4:$Y$137,MATCH($A96,Charges_NonSlice!$AA$4:$AA$137,0),1)</f>
        <v>38.805767186945786</v>
      </c>
      <c r="K96" s="37">
        <f ca="1">+INDEX(Charges_NonSlice!$X$4:$X$137,MATCH($A96,Charges_NonSlice!$AA$4:$AA$137,0),1)/1000</f>
        <v>55.757400000000004</v>
      </c>
      <c r="L96" s="37">
        <f ca="1">+SUM(K$5:K96)</f>
        <v>37272.644833977516</v>
      </c>
      <c r="N96" t="str">
        <f ca="1">+INDEX('Charges_NonSlice &amp; Excl LS'!$C$4:$C$137,MATCH($A96,'Charges_NonSlice &amp; Excl LS'!$AA$4:$AA$137,0),1)</f>
        <v>Salem Elec Coop</v>
      </c>
      <c r="O96" s="55">
        <f ca="1">+INDEX('Charges_NonSlice &amp; Excl LS'!$Z$4:$Z$137,MATCH($A96,'Charges_NonSlice &amp; Excl LS'!$AA$4:$AA$137,0),1)</f>
        <v>9.1858684612688896E-2</v>
      </c>
      <c r="P96" s="52">
        <f ca="1">+INDEX('Charges_NonSlice &amp; Excl LS'!$Y$4:$Y$137,MATCH($A96,'Charges_NonSlice &amp; Excl LS'!$AA$4:$AA$137,0),1)</f>
        <v>37.951678719189381</v>
      </c>
      <c r="Q96" s="37">
        <f ca="1">+INDEX('Charges_NonSlice &amp; Excl LS'!$X$4:$X$137,MATCH($A96,'Charges_NonSlice &amp; Excl LS'!$AA$4:$AA$137,0),1)/1000</f>
        <v>340.88780395871999</v>
      </c>
      <c r="R96" s="37">
        <f ca="1">+SUM(Q$5:Q96)</f>
        <v>32240.525149367615</v>
      </c>
      <c r="T96" t="str">
        <f ca="1">+INDEX(Charges_NonSlice!$C$4:$C$137,MATCH($A96,Charges_NonSlice!$AA$4:$AA$137,0),1)</f>
        <v>Weiser, City of</v>
      </c>
      <c r="U96" s="55">
        <f t="shared" ca="1" si="3"/>
        <v>8.3170170336871241E-2</v>
      </c>
      <c r="V96" s="52">
        <f ca="1">+INDEX(Charges_NonSlice!$Y$4:$Y$137,MATCH($A96,Charges_NonSlice!$AA$4:$AA$137,0),1)</f>
        <v>38.805767186945786</v>
      </c>
      <c r="W96" s="269">
        <f t="shared" ca="1" si="4"/>
        <v>35.826104013626043</v>
      </c>
      <c r="Y96" s="57" t="s">
        <v>38</v>
      </c>
      <c r="Z96" s="58">
        <v>33.588799529002777</v>
      </c>
    </row>
    <row r="97" spans="1:26">
      <c r="A97">
        <f t="shared" si="5"/>
        <v>93</v>
      </c>
      <c r="B97" t="str">
        <f ca="1">+INDEX('Charges_Including Slice and LS'!$C$4:$C$137,MATCH($A97,'Charges_Including Slice and LS'!$AA$4:$AA$137,0),1)</f>
        <v>Hermiston, City of</v>
      </c>
      <c r="C97" s="55">
        <f ca="1">+INDEX('Charges_Including Slice and LS'!$Z$4:$Z$137,MATCH($A97,'Charges_Including Slice and LS'!$AA$4:$AA$137,0),1)</f>
        <v>8.2629175595785379E-2</v>
      </c>
      <c r="D97" s="52">
        <f ca="1">+INDEX('Charges_Including Slice and LS'!$Y$4:$Y$137,MATCH($A97,'Charges_Including Slice and LS'!$AA$4:$AA$137,0),1)</f>
        <v>39.645007352843827</v>
      </c>
      <c r="E97" s="37">
        <f ca="1">+INDEX('Charges_Including Slice and LS'!$X$4:$X$137,MATCH($A97,'Charges_Including Slice and LS'!$AA$4:$AA$137,0),1)/1000</f>
        <v>113.67600871045079</v>
      </c>
      <c r="F97" s="37">
        <f ca="1">+SUM(E$5:E97)</f>
        <v>34337.969269563095</v>
      </c>
      <c r="H97" t="str">
        <f ca="1">+INDEX(Charges_NonSlice!$C$4:$C$137,MATCH($A97,Charges_NonSlice!$AA$4:$AA$137,0),1)</f>
        <v>Grant County PUD #2</v>
      </c>
      <c r="I97" s="55">
        <f ca="1">+INDEX(Charges_NonSlice!$Z$4:$Z$137,MATCH($A97,Charges_NonSlice!$AA$4:$AA$137,0),1)</f>
        <v>8.7272448686553053E-2</v>
      </c>
      <c r="J97" s="52">
        <f ca="1">+INDEX(Charges_NonSlice!$Y$4:$Y$137,MATCH($A97,Charges_NonSlice!$AA$4:$AA$137,0),1)</f>
        <v>40.930225464471953</v>
      </c>
      <c r="K97" s="37">
        <f ca="1">+INDEX(Charges_NonSlice!$X$4:$X$137,MATCH($A97,Charges_NonSlice!$AA$4:$AA$137,0),1)/1000</f>
        <v>45.733990699915111</v>
      </c>
      <c r="L97" s="37">
        <f ca="1">+SUM(K$5:K97)</f>
        <v>37318.378824677435</v>
      </c>
      <c r="N97" t="str">
        <f ca="1">+INDEX('Charges_NonSlice &amp; Excl LS'!$C$4:$C$137,MATCH($A97,'Charges_NonSlice &amp; Excl LS'!$AA$4:$AA$137,0),1)</f>
        <v>United Electric Coop</v>
      </c>
      <c r="O97" s="55">
        <f ca="1">+INDEX('Charges_NonSlice &amp; Excl LS'!$Z$4:$Z$137,MATCH($A97,'Charges_NonSlice &amp; Excl LS'!$AA$4:$AA$137,0),1)</f>
        <v>9.1363959532992839E-2</v>
      </c>
      <c r="P97" s="52">
        <f ca="1">+INDEX('Charges_NonSlice &amp; Excl LS'!$Y$4:$Y$137,MATCH($A97,'Charges_NonSlice &amp; Excl LS'!$AA$4:$AA$137,0),1)</f>
        <v>33.020782384400086</v>
      </c>
      <c r="Q97" s="37">
        <f ca="1">+INDEX('Charges_NonSlice &amp; Excl LS'!$X$4:$X$137,MATCH($A97,'Charges_NonSlice &amp; Excl LS'!$AA$4:$AA$137,0),1)/1000</f>
        <v>264.11564794521604</v>
      </c>
      <c r="R97" s="37">
        <f ca="1">+SUM(Q$5:Q97)</f>
        <v>32504.64079731283</v>
      </c>
      <c r="T97" t="str">
        <f ca="1">+INDEX(Charges_NonSlice!$C$4:$C$137,MATCH($A97,Charges_NonSlice!$AA$4:$AA$137,0),1)</f>
        <v>Grant County PUD #2</v>
      </c>
      <c r="U97" s="55">
        <f t="shared" ca="1" si="3"/>
        <v>5.0427805438360673E-2</v>
      </c>
      <c r="V97" s="52">
        <f ca="1">+INDEX(Charges_NonSlice!$Y$4:$Y$137,MATCH($A97,Charges_NonSlice!$AA$4:$AA$137,0),1)</f>
        <v>40.930225464471953</v>
      </c>
      <c r="W97" s="269">
        <f t="shared" ca="1" si="4"/>
        <v>38.965291334220822</v>
      </c>
      <c r="Y97" s="57" t="s">
        <v>44</v>
      </c>
      <c r="Z97" s="58">
        <v>34.613398000854552</v>
      </c>
    </row>
    <row r="98" spans="1:26">
      <c r="A98">
        <f t="shared" si="5"/>
        <v>94</v>
      </c>
      <c r="B98" t="str">
        <f ca="1">+INDEX('Charges_Including Slice and LS'!$C$4:$C$137,MATCH($A98,'Charges_Including Slice and LS'!$AA$4:$AA$137,0),1)</f>
        <v>Ferry County PUD #1</v>
      </c>
      <c r="C98" s="55">
        <f ca="1">+INDEX('Charges_Including Slice and LS'!$Z$4:$Z$137,MATCH($A98,'Charges_Including Slice and LS'!$AA$4:$AA$137,0),1)</f>
        <v>8.0743055694445148E-2</v>
      </c>
      <c r="D98" s="52">
        <f ca="1">+INDEX('Charges_Including Slice and LS'!$Y$4:$Y$137,MATCH($A98,'Charges_Including Slice and LS'!$AA$4:$AA$137,0),1)</f>
        <v>39.810395597923382</v>
      </c>
      <c r="E98" s="37">
        <f ca="1">+INDEX('Charges_Including Slice and LS'!$X$4:$X$137,MATCH($A98,'Charges_Including Slice and LS'!$AA$4:$AA$137,0),1)/1000</f>
        <v>84.648904996901734</v>
      </c>
      <c r="F98" s="37">
        <f ca="1">+SUM(E$5:E98)</f>
        <v>34422.618174559997</v>
      </c>
      <c r="H98" t="str">
        <f ca="1">+INDEX(Charges_NonSlice!$C$4:$C$137,MATCH($A98,Charges_NonSlice!$AA$4:$AA$137,0),1)</f>
        <v>McCleary, City of</v>
      </c>
      <c r="I98" s="55">
        <f ca="1">+INDEX(Charges_NonSlice!$Z$4:$Z$137,MATCH($A98,Charges_NonSlice!$AA$4:$AA$137,0),1)</f>
        <v>8.6860640346949042E-2</v>
      </c>
      <c r="J98" s="52">
        <f ca="1">+INDEX(Charges_NonSlice!$Y$4:$Y$137,MATCH($A98,Charges_NonSlice!$AA$4:$AA$137,0),1)</f>
        <v>39.93717810499043</v>
      </c>
      <c r="K98" s="37">
        <f ca="1">+INDEX(Charges_NonSlice!$X$4:$X$137,MATCH($A98,Charges_NonSlice!$AA$4:$AA$137,0),1)/1000</f>
        <v>32.58642492346894</v>
      </c>
      <c r="L98" s="37">
        <f ca="1">+SUM(K$5:K98)</f>
        <v>37350.9652496009</v>
      </c>
      <c r="N98" t="str">
        <f ca="1">+INDEX('Charges_NonSlice &amp; Excl LS'!$C$4:$C$137,MATCH($A98,'Charges_NonSlice &amp; Excl LS'!$AA$4:$AA$137,0),1)</f>
        <v>Forest Grove, City of</v>
      </c>
      <c r="O98" s="55">
        <f ca="1">+INDEX('Charges_NonSlice &amp; Excl LS'!$Z$4:$Z$137,MATCH($A98,'Charges_NonSlice &amp; Excl LS'!$AA$4:$AA$137,0),1)</f>
        <v>9.1362590512804986E-2</v>
      </c>
      <c r="P98" s="52">
        <f ca="1">+INDEX('Charges_NonSlice &amp; Excl LS'!$Y$4:$Y$137,MATCH($A98,'Charges_NonSlice &amp; Excl LS'!$AA$4:$AA$137,0),1)</f>
        <v>37.982834583899368</v>
      </c>
      <c r="Q98" s="37">
        <f ca="1">+INDEX('Charges_NonSlice &amp; Excl LS'!$X$4:$X$137,MATCH($A98,'Charges_NonSlice &amp; Excl LS'!$AA$4:$AA$137,0),1)/1000</f>
        <v>235.080863217792</v>
      </c>
      <c r="R98" s="37">
        <f ca="1">+SUM(Q$5:Q98)</f>
        <v>32739.72166053062</v>
      </c>
      <c r="T98" t="str">
        <f ca="1">+INDEX(Charges_NonSlice!$C$4:$C$137,MATCH($A98,Charges_NonSlice!$AA$4:$AA$137,0),1)</f>
        <v>McCleary, City of</v>
      </c>
      <c r="U98" s="55">
        <f t="shared" ca="1" si="3"/>
        <v>3.5979040126828954E-2</v>
      </c>
      <c r="V98" s="52">
        <f ca="1">+INDEX(Charges_NonSlice!$Y$4:$Y$137,MATCH($A98,Charges_NonSlice!$AA$4:$AA$137,0),1)</f>
        <v>39.93717810499043</v>
      </c>
      <c r="W98" s="269">
        <f t="shared" ca="1" si="4"/>
        <v>38.550179644658783</v>
      </c>
      <c r="Y98" s="57" t="s">
        <v>45</v>
      </c>
      <c r="Z98" s="58">
        <v>33.465181252502241</v>
      </c>
    </row>
    <row r="99" spans="1:26">
      <c r="A99">
        <f t="shared" si="5"/>
        <v>95</v>
      </c>
      <c r="B99" t="str">
        <f ca="1">+INDEX('Charges_Including Slice and LS'!$C$4:$C$137,MATCH($A99,'Charges_Including Slice and LS'!$AA$4:$AA$137,0),1)</f>
        <v>Snohomish County PUD #1</v>
      </c>
      <c r="C99" s="55">
        <f ca="1">+INDEX('Charges_Including Slice and LS'!$Z$4:$Z$137,MATCH($A99,'Charges_Including Slice and LS'!$AA$4:$AA$137,0),1)</f>
        <v>8.0183498536332082E-2</v>
      </c>
      <c r="D99" s="52">
        <f ca="1">+INDEX('Charges_Including Slice and LS'!$Y$4:$Y$137,MATCH($A99,'Charges_Including Slice and LS'!$AA$4:$AA$137,0),1)</f>
        <v>40.448048532485728</v>
      </c>
      <c r="E99" s="37">
        <f ca="1">+INDEX('Charges_Including Slice and LS'!$X$4:$X$137,MATCH($A99,'Charges_Including Slice and LS'!$AA$4:$AA$137,0),1)/1000</f>
        <v>6760.945299097013</v>
      </c>
      <c r="F99" s="37">
        <f ca="1">+SUM(E$5:E99)</f>
        <v>41183.563473657006</v>
      </c>
      <c r="H99" t="str">
        <f ca="1">+INDEX(Charges_NonSlice!$C$4:$C$137,MATCH($A99,Charges_NonSlice!$AA$4:$AA$137,0),1)</f>
        <v>Midstate Elec Coop</v>
      </c>
      <c r="I99" s="55">
        <f ca="1">+INDEX(Charges_NonSlice!$Z$4:$Z$137,MATCH($A99,Charges_NonSlice!$AA$4:$AA$137,0),1)</f>
        <v>8.6641040017046145E-2</v>
      </c>
      <c r="J99" s="52">
        <f ca="1">+INDEX(Charges_NonSlice!$Y$4:$Y$137,MATCH($A99,Charges_NonSlice!$AA$4:$AA$137,0),1)</f>
        <v>36.032671323282962</v>
      </c>
      <c r="K99" s="37">
        <f ca="1">+INDEX(Charges_NonSlice!$X$4:$X$137,MATCH($A99,Charges_NonSlice!$AA$4:$AA$137,0),1)/1000</f>
        <v>411.84895131136807</v>
      </c>
      <c r="L99" s="37">
        <f ca="1">+SUM(K$5:K99)</f>
        <v>37762.814200912268</v>
      </c>
      <c r="N99" t="str">
        <f ca="1">+INDEX('Charges_NonSlice &amp; Excl LS'!$C$4:$C$137,MATCH($A99,'Charges_NonSlice &amp; Excl LS'!$AA$4:$AA$137,0),1)</f>
        <v>Wahkiakum County PUD #1</v>
      </c>
      <c r="O99" s="55">
        <f ca="1">+INDEX('Charges_NonSlice &amp; Excl LS'!$Z$4:$Z$137,MATCH($A99,'Charges_NonSlice &amp; Excl LS'!$AA$4:$AA$137,0),1)</f>
        <v>9.1208076373387029E-2</v>
      </c>
      <c r="P99" s="52">
        <f ca="1">+INDEX('Charges_NonSlice &amp; Excl LS'!$Y$4:$Y$137,MATCH($A99,'Charges_NonSlice &amp; Excl LS'!$AA$4:$AA$137,0),1)</f>
        <v>36.507748276638509</v>
      </c>
      <c r="Q99" s="37">
        <f ca="1">+INDEX('Charges_NonSlice &amp; Excl LS'!$X$4:$X$137,MATCH($A99,'Charges_NonSlice &amp; Excl LS'!$AA$4:$AA$137,0),1)/1000</f>
        <v>44.100238235712006</v>
      </c>
      <c r="R99" s="37">
        <f ca="1">+SUM(Q$5:Q99)</f>
        <v>32783.821898766335</v>
      </c>
      <c r="T99" t="str">
        <f ca="1">+INDEX(Charges_NonSlice!$C$4:$C$137,MATCH($A99,Charges_NonSlice!$AA$4:$AA$137,0),1)</f>
        <v>Midstate Elec Coop</v>
      </c>
      <c r="U99" s="55">
        <f t="shared" ca="1" si="3"/>
        <v>0.11497093143967119</v>
      </c>
      <c r="V99" s="52">
        <f ca="1">+INDEX(Charges_NonSlice!$Y$4:$Y$137,MATCH($A99,Charges_NonSlice!$AA$4:$AA$137,0),1)</f>
        <v>36.032671323282962</v>
      </c>
      <c r="W99" s="269">
        <f t="shared" ca="1" si="4"/>
        <v>32.317139673549072</v>
      </c>
      <c r="Y99" s="57" t="s">
        <v>112</v>
      </c>
      <c r="Z99" s="58">
        <v>33.432417076093301</v>
      </c>
    </row>
    <row r="100" spans="1:26">
      <c r="A100">
        <f t="shared" si="5"/>
        <v>96</v>
      </c>
      <c r="B100" t="str">
        <f ca="1">+INDEX('Charges_Including Slice and LS'!$C$4:$C$137,MATCH($A100,'Charges_Including Slice and LS'!$AA$4:$AA$137,0),1)</f>
        <v>Kalispel Tribe Utility</v>
      </c>
      <c r="C100" s="55">
        <f ca="1">+INDEX('Charges_Including Slice and LS'!$Z$4:$Z$137,MATCH($A100,'Charges_Including Slice and LS'!$AA$4:$AA$137,0),1)</f>
        <v>7.9877436616822312E-2</v>
      </c>
      <c r="D100" s="52">
        <f ca="1">+INDEX('Charges_Including Slice and LS'!$Y$4:$Y$137,MATCH($A100,'Charges_Including Slice and LS'!$AA$4:$AA$137,0),1)</f>
        <v>36.98424442395563</v>
      </c>
      <c r="E100" s="37">
        <f ca="1">+INDEX('Charges_Including Slice and LS'!$X$4:$X$137,MATCH($A100,'Charges_Including Slice and LS'!$AA$4:$AA$137,0),1)/1000</f>
        <v>35.889720000000004</v>
      </c>
      <c r="F100" s="37">
        <f ca="1">+SUM(E$5:E100)</f>
        <v>41219.453193657006</v>
      </c>
      <c r="H100" t="str">
        <f ca="1">+INDEX(Charges_NonSlice!$C$4:$C$137,MATCH($A100,Charges_NonSlice!$AA$4:$AA$137,0),1)</f>
        <v>Grays Harbor PUD #1</v>
      </c>
      <c r="I100" s="55">
        <f ca="1">+INDEX(Charges_NonSlice!$Z$4:$Z$137,MATCH($A100,Charges_NonSlice!$AA$4:$AA$137,0),1)</f>
        <v>8.6439436566355499E-2</v>
      </c>
      <c r="J100" s="52">
        <f ca="1">+INDEX(Charges_NonSlice!$Y$4:$Y$137,MATCH($A100,Charges_NonSlice!$AA$4:$AA$137,0),1)</f>
        <v>38.041344484993736</v>
      </c>
      <c r="K100" s="37">
        <f ca="1">+INDEX(Charges_NonSlice!$X$4:$X$137,MATCH($A100,Charges_NonSlice!$AA$4:$AA$137,0),1)/1000</f>
        <v>1116.2867538942517</v>
      </c>
      <c r="L100" s="37">
        <f ca="1">+SUM(K$5:K100)</f>
        <v>38879.100954806519</v>
      </c>
      <c r="N100" t="str">
        <f ca="1">+INDEX('Charges_NonSlice &amp; Excl LS'!$C$4:$C$137,MATCH($A100,'Charges_NonSlice &amp; Excl LS'!$AA$4:$AA$137,0),1)</f>
        <v>Hermiston, City of</v>
      </c>
      <c r="O100" s="55">
        <f ca="1">+INDEX('Charges_NonSlice &amp; Excl LS'!$Z$4:$Z$137,MATCH($A100,'Charges_NonSlice &amp; Excl LS'!$AA$4:$AA$137,0),1)</f>
        <v>9.120722892520472E-2</v>
      </c>
      <c r="P100" s="52">
        <f ca="1">+INDEX('Charges_NonSlice &amp; Excl LS'!$Y$4:$Y$137,MATCH($A100,'Charges_NonSlice &amp; Excl LS'!$AA$4:$AA$137,0),1)</f>
        <v>38.005023285829367</v>
      </c>
      <c r="Q100" s="37">
        <f ca="1">+INDEX('Charges_NonSlice &amp; Excl LS'!$X$4:$X$137,MATCH($A100,'Charges_NonSlice &amp; Excl LS'!$AA$4:$AA$137,0),1)/1000</f>
        <v>113.679091726656</v>
      </c>
      <c r="R100" s="37">
        <f ca="1">+SUM(Q$5:Q100)</f>
        <v>32897.50099049299</v>
      </c>
      <c r="T100" t="str">
        <f ca="1">+INDEX(Charges_NonSlice!$C$4:$C$137,MATCH($A100,Charges_NonSlice!$AA$4:$AA$137,0),1)</f>
        <v>Grays Harbor PUD #1</v>
      </c>
      <c r="U100" s="55">
        <f t="shared" ca="1" si="3"/>
        <v>9.1006595330645146E-2</v>
      </c>
      <c r="V100" s="52">
        <f ca="1">+INDEX(Charges_NonSlice!$Y$4:$Y$137,MATCH($A100,Charges_NonSlice!$AA$4:$AA$137,0),1)</f>
        <v>38.041344484993736</v>
      </c>
      <c r="W100" s="269">
        <f t="shared" ca="1" si="4"/>
        <v>34.868115965389528</v>
      </c>
      <c r="Y100" s="57" t="s">
        <v>15</v>
      </c>
      <c r="Z100" s="58">
        <v>34.458873143100831</v>
      </c>
    </row>
    <row r="101" spans="1:26">
      <c r="A101">
        <f t="shared" si="5"/>
        <v>97</v>
      </c>
      <c r="B101" t="str">
        <f ca="1">+INDEX('Charges_Including Slice and LS'!$C$4:$C$137,MATCH($A101,'Charges_Including Slice and LS'!$AA$4:$AA$137,0),1)</f>
        <v>Franklin County PUD #1</v>
      </c>
      <c r="C101" s="55">
        <f ca="1">+INDEX('Charges_Including Slice and LS'!$Z$4:$Z$137,MATCH($A101,'Charges_Including Slice and LS'!$AA$4:$AA$137,0),1)</f>
        <v>7.9228201451627386E-2</v>
      </c>
      <c r="D101" s="52">
        <f ca="1">+INDEX('Charges_Including Slice and LS'!$Y$4:$Y$137,MATCH($A101,'Charges_Including Slice and LS'!$AA$4:$AA$137,0),1)</f>
        <v>37.685563658436045</v>
      </c>
      <c r="E101" s="37">
        <f ca="1">+INDEX('Charges_Including Slice and LS'!$X$4:$X$137,MATCH($A101,'Charges_Including Slice and LS'!$AA$4:$AA$137,0),1)/1000</f>
        <v>1035.1507665587526</v>
      </c>
      <c r="F101" s="37">
        <f ca="1">+SUM(E$5:E101)</f>
        <v>42254.603960215762</v>
      </c>
      <c r="H101" t="str">
        <f ca="1">+INDEX(Charges_NonSlice!$C$4:$C$137,MATCH($A101,Charges_NonSlice!$AA$4:$AA$137,0),1)</f>
        <v>Burley, City of</v>
      </c>
      <c r="I101" s="55">
        <f ca="1">+INDEX(Charges_NonSlice!$Z$4:$Z$137,MATCH($A101,Charges_NonSlice!$AA$4:$AA$137,0),1)</f>
        <v>8.5842209100544672E-2</v>
      </c>
      <c r="J101" s="52">
        <f ca="1">+INDEX(Charges_NonSlice!$Y$4:$Y$137,MATCH($A101,Charges_NonSlice!$AA$4:$AA$137,0),1)</f>
        <v>38.426483008546946</v>
      </c>
      <c r="K101" s="37">
        <f ca="1">+INDEX(Charges_NonSlice!$X$4:$X$137,MATCH($A101,Charges_NonSlice!$AA$4:$AA$137,0),1)/1000</f>
        <v>123.90828431447591</v>
      </c>
      <c r="L101" s="37">
        <f ca="1">+SUM(K$5:K101)</f>
        <v>39003.009239120998</v>
      </c>
      <c r="N101" t="str">
        <f ca="1">+INDEX('Charges_NonSlice &amp; Excl LS'!$C$4:$C$137,MATCH($A101,'Charges_NonSlice &amp; Excl LS'!$AA$4:$AA$137,0),1)</f>
        <v>Parkland L &amp; W</v>
      </c>
      <c r="O101" s="55">
        <f ca="1">+INDEX('Charges_NonSlice &amp; Excl LS'!$Z$4:$Z$137,MATCH($A101,'Charges_NonSlice &amp; Excl LS'!$AA$4:$AA$137,0),1)</f>
        <v>9.1025711065444687E-2</v>
      </c>
      <c r="P101" s="52">
        <f ca="1">+INDEX('Charges_NonSlice &amp; Excl LS'!$Y$4:$Y$137,MATCH($A101,'Charges_NonSlice &amp; Excl LS'!$AA$4:$AA$137,0),1)</f>
        <v>36.925119735621024</v>
      </c>
      <c r="Q101" s="37">
        <f ca="1">+INDEX('Charges_NonSlice &amp; Excl LS'!$X$4:$X$137,MATCH($A101,'Charges_NonSlice &amp; Excl LS'!$AA$4:$AA$137,0),1)/1000</f>
        <v>118.82339292460799</v>
      </c>
      <c r="R101" s="37">
        <f ca="1">+SUM(Q$5:Q101)</f>
        <v>33016.324383417596</v>
      </c>
      <c r="T101" t="str">
        <f ca="1">+INDEX(Charges_NonSlice!$C$4:$C$137,MATCH($A101,Charges_NonSlice!$AA$4:$AA$137,0),1)</f>
        <v>Burley, City of</v>
      </c>
      <c r="U101" s="55">
        <f t="shared" ca="1" si="3"/>
        <v>4.1630667739090077E-2</v>
      </c>
      <c r="V101" s="52">
        <f ca="1">+INDEX(Charges_NonSlice!$Y$4:$Y$137,MATCH($A101,Charges_NonSlice!$AA$4:$AA$137,0),1)</f>
        <v>38.426483008546946</v>
      </c>
      <c r="W101" s="269">
        <f t="shared" ca="1" si="4"/>
        <v>36.89069859276848</v>
      </c>
      <c r="Y101" s="57" t="s">
        <v>71</v>
      </c>
      <c r="Z101" s="58">
        <v>34.868115965389528</v>
      </c>
    </row>
    <row r="102" spans="1:26">
      <c r="A102">
        <f t="shared" si="5"/>
        <v>98</v>
      </c>
      <c r="B102" t="str">
        <f ca="1">+INDEX('Charges_Including Slice and LS'!$C$4:$C$137,MATCH($A102,'Charges_Including Slice and LS'!$AA$4:$AA$137,0),1)</f>
        <v>U.S. DOE Richland Operations Office</v>
      </c>
      <c r="C102" s="55">
        <f ca="1">+INDEX('Charges_Including Slice and LS'!$Z$4:$Z$137,MATCH($A102,'Charges_Including Slice and LS'!$AA$4:$AA$137,0),1)</f>
        <v>7.6769918353345526E-2</v>
      </c>
      <c r="D102" s="52">
        <f ca="1">+INDEX('Charges_Including Slice and LS'!$Y$4:$Y$137,MATCH($A102,'Charges_Including Slice and LS'!$AA$4:$AA$137,0),1)</f>
        <v>37.286118410615884</v>
      </c>
      <c r="E102" s="37">
        <f ca="1">+INDEX('Charges_Including Slice and LS'!$X$4:$X$137,MATCH($A102,'Charges_Including Slice and LS'!$AA$4:$AA$137,0),1)/1000</f>
        <v>341.95102018539478</v>
      </c>
      <c r="F102" s="37">
        <f ca="1">+SUM(E$5:E102)</f>
        <v>42596.554980401153</v>
      </c>
      <c r="H102" t="str">
        <f ca="1">+INDEX(Charges_NonSlice!$C$4:$C$137,MATCH($A102,Charges_NonSlice!$AA$4:$AA$137,0),1)</f>
        <v>Forest Grove, City of</v>
      </c>
      <c r="I102" s="55">
        <f ca="1">+INDEX(Charges_NonSlice!$Z$4:$Z$137,MATCH($A102,Charges_NonSlice!$AA$4:$AA$137,0),1)</f>
        <v>8.5230146782314359E-2</v>
      </c>
      <c r="J102" s="52">
        <f ca="1">+INDEX(Charges_NonSlice!$Y$4:$Y$137,MATCH($A102,Charges_NonSlice!$AA$4:$AA$137,0),1)</f>
        <v>39.252371515750575</v>
      </c>
      <c r="K102" s="37">
        <f ca="1">+INDEX(Charges_NonSlice!$X$4:$X$137,MATCH($A102,Charges_NonSlice!$AA$4:$AA$137,0),1)/1000</f>
        <v>235.08336</v>
      </c>
      <c r="L102" s="37">
        <f ca="1">+SUM(K$5:K102)</f>
        <v>39238.092599120995</v>
      </c>
      <c r="N102" t="str">
        <f ca="1">+INDEX('Charges_NonSlice &amp; Excl LS'!$C$4:$C$137,MATCH($A102,'Charges_NonSlice &amp; Excl LS'!$AA$4:$AA$137,0),1)</f>
        <v>Milton-Freewater, City of</v>
      </c>
      <c r="O102" s="55">
        <f ca="1">+INDEX('Charges_NonSlice &amp; Excl LS'!$Z$4:$Z$137,MATCH($A102,'Charges_NonSlice &amp; Excl LS'!$AA$4:$AA$137,0),1)</f>
        <v>9.1010244761151535E-2</v>
      </c>
      <c r="P102" s="52">
        <f ca="1">+INDEX('Charges_NonSlice &amp; Excl LS'!$Y$4:$Y$137,MATCH($A102,'Charges_NonSlice &amp; Excl LS'!$AA$4:$AA$137,0),1)</f>
        <v>36.751662572456091</v>
      </c>
      <c r="Q102" s="37">
        <f ca="1">+INDEX('Charges_NonSlice &amp; Excl LS'!$X$4:$X$137,MATCH($A102,'Charges_NonSlice &amp; Excl LS'!$AA$4:$AA$137,0),1)/1000</f>
        <v>81.854177535936003</v>
      </c>
      <c r="R102" s="37">
        <f ca="1">+SUM(Q$5:Q102)</f>
        <v>33098.178560953529</v>
      </c>
      <c r="T102" t="str">
        <f ca="1">+INDEX(Charges_NonSlice!$C$4:$C$137,MATCH($A102,Charges_NonSlice!$AA$4:$AA$137,0),1)</f>
        <v>Forest Grove, City of</v>
      </c>
      <c r="U102" s="55">
        <f t="shared" ca="1" si="3"/>
        <v>8.4117932161463793E-2</v>
      </c>
      <c r="V102" s="52">
        <f ca="1">+INDEX(Charges_NonSlice!$Y$4:$Y$137,MATCH($A102,Charges_NonSlice!$AA$4:$AA$137,0),1)</f>
        <v>39.252371515750575</v>
      </c>
      <c r="W102" s="269">
        <f t="shared" ca="1" si="4"/>
        <v>36.206735772270669</v>
      </c>
      <c r="Y102" s="57" t="s">
        <v>55</v>
      </c>
      <c r="Z102" s="58">
        <v>33.104202666856928</v>
      </c>
    </row>
    <row r="103" spans="1:26">
      <c r="A103">
        <f t="shared" si="5"/>
        <v>99</v>
      </c>
      <c r="B103" t="str">
        <f ca="1">+INDEX('Charges_Including Slice and LS'!$C$4:$C$137,MATCH($A103,'Charges_Including Slice and LS'!$AA$4:$AA$137,0),1)</f>
        <v>Skamania County PUD #1</v>
      </c>
      <c r="C103" s="55">
        <f ca="1">+INDEX('Charges_Including Slice and LS'!$Z$4:$Z$137,MATCH($A103,'Charges_Including Slice and LS'!$AA$4:$AA$137,0),1)</f>
        <v>7.6501822802607644E-2</v>
      </c>
      <c r="D103" s="52">
        <f ca="1">+INDEX('Charges_Including Slice and LS'!$Y$4:$Y$137,MATCH($A103,'Charges_Including Slice and LS'!$AA$4:$AA$137,0),1)</f>
        <v>36.778540788309343</v>
      </c>
      <c r="E103" s="37">
        <f ca="1">+INDEX('Charges_Including Slice and LS'!$X$4:$X$137,MATCH($A103,'Charges_Including Slice and LS'!$AA$4:$AA$137,0),1)/1000</f>
        <v>140.14247999999998</v>
      </c>
      <c r="F103" s="37">
        <f ca="1">+SUM(E$5:E103)</f>
        <v>42736.697460401156</v>
      </c>
      <c r="H103" t="str">
        <f ca="1">+INDEX(Charges_NonSlice!$C$4:$C$137,MATCH($A103,Charges_NonSlice!$AA$4:$AA$137,0),1)</f>
        <v>Salem Elec Coop</v>
      </c>
      <c r="I103" s="55">
        <f ca="1">+INDEX(Charges_NonSlice!$Z$4:$Z$137,MATCH($A103,Charges_NonSlice!$AA$4:$AA$137,0),1)</f>
        <v>8.4619128373881997E-2</v>
      </c>
      <c r="J103" s="52">
        <f ca="1">+INDEX(Charges_NonSlice!$Y$4:$Y$137,MATCH($A103,Charges_NonSlice!$AA$4:$AA$137,0),1)</f>
        <v>39.2719116049199</v>
      </c>
      <c r="K103" s="37">
        <f ca="1">+INDEX(Charges_NonSlice!$X$4:$X$137,MATCH($A103,Charges_NonSlice!$AA$4:$AA$137,0),1)/1000</f>
        <v>340.88658512252914</v>
      </c>
      <c r="L103" s="37">
        <f ca="1">+SUM(K$5:K103)</f>
        <v>39578.979184243522</v>
      </c>
      <c r="N103" t="str">
        <f ca="1">+INDEX('Charges_NonSlice &amp; Excl LS'!$C$4:$C$137,MATCH($A103,'Charges_NonSlice &amp; Excl LS'!$AA$4:$AA$137,0),1)</f>
        <v>Oregon Trail Coop</v>
      </c>
      <c r="O103" s="55">
        <f ca="1">+INDEX('Charges_NonSlice &amp; Excl LS'!$Z$4:$Z$137,MATCH($A103,'Charges_NonSlice &amp; Excl LS'!$AA$4:$AA$137,0),1)</f>
        <v>9.0752899166179193E-2</v>
      </c>
      <c r="P103" s="52">
        <f ca="1">+INDEX('Charges_NonSlice &amp; Excl LS'!$Y$4:$Y$137,MATCH($A103,'Charges_NonSlice &amp; Excl LS'!$AA$4:$AA$137,0),1)</f>
        <v>35.17311285180368</v>
      </c>
      <c r="Q103" s="37">
        <f ca="1">+INDEX('Charges_NonSlice &amp; Excl LS'!$X$4:$X$137,MATCH($A103,'Charges_NonSlice &amp; Excl LS'!$AA$4:$AA$137,0),1)/1000</f>
        <v>697.63201330483218</v>
      </c>
      <c r="R103" s="37">
        <f ca="1">+SUM(Q$5:Q103)</f>
        <v>33795.810574258365</v>
      </c>
      <c r="T103" t="str">
        <f ca="1">+INDEX(Charges_NonSlice!$C$4:$C$137,MATCH($A103,Charges_NonSlice!$AA$4:$AA$137,0),1)</f>
        <v>Salem Elec Coop</v>
      </c>
      <c r="U103" s="55">
        <f t="shared" ca="1" si="3"/>
        <v>6.1073853533197608E-2</v>
      </c>
      <c r="V103" s="52">
        <f ca="1">+INDEX(Charges_NonSlice!$Y$4:$Y$137,MATCH($A103,Charges_NonSlice!$AA$4:$AA$137,0),1)</f>
        <v>39.2719116049199</v>
      </c>
      <c r="W103" s="269">
        <f t="shared" ca="1" si="4"/>
        <v>37.011478017435863</v>
      </c>
      <c r="Y103" s="57" t="s">
        <v>46</v>
      </c>
      <c r="Z103" s="58">
        <v>33.154658046714339</v>
      </c>
    </row>
    <row r="104" spans="1:26">
      <c r="A104">
        <f t="shared" si="5"/>
        <v>100</v>
      </c>
      <c r="B104" t="str">
        <f ca="1">+INDEX('Charges_Including Slice and LS'!$C$4:$C$137,MATCH($A104,'Charges_Including Slice and LS'!$AA$4:$AA$137,0),1)</f>
        <v>Milton-Freewater, City of</v>
      </c>
      <c r="C104" s="55">
        <f ca="1">+INDEX('Charges_Including Slice and LS'!$Z$4:$Z$137,MATCH($A104,'Charges_Including Slice and LS'!$AA$4:$AA$137,0),1)</f>
        <v>7.587898523588428E-2</v>
      </c>
      <c r="D104" s="52">
        <f ca="1">+INDEX('Charges_Including Slice and LS'!$Y$4:$Y$137,MATCH($A104,'Charges_Including Slice and LS'!$AA$4:$AA$137,0),1)</f>
        <v>38.736128458596923</v>
      </c>
      <c r="E104" s="37">
        <f ca="1">+INDEX('Charges_Including Slice and LS'!$X$4:$X$137,MATCH($A104,'Charges_Including Slice and LS'!$AA$4:$AA$137,0),1)/1000</f>
        <v>81.857490831833388</v>
      </c>
      <c r="F104" s="37">
        <f ca="1">+SUM(E$5:E104)</f>
        <v>42818.554951232989</v>
      </c>
      <c r="H104" t="str">
        <f ca="1">+INDEX(Charges_NonSlice!$C$4:$C$137,MATCH($A104,Charges_NonSlice!$AA$4:$AA$137,0),1)</f>
        <v>Hermiston, City of</v>
      </c>
      <c r="I104" s="55">
        <f ca="1">+INDEX(Charges_NonSlice!$Z$4:$Z$137,MATCH($A104,Charges_NonSlice!$AA$4:$AA$137,0),1)</f>
        <v>8.2626604011172972E-2</v>
      </c>
      <c r="J104" s="52">
        <f ca="1">+INDEX(Charges_NonSlice!$Y$4:$Y$137,MATCH($A104,Charges_NonSlice!$AA$4:$AA$137,0),1)</f>
        <v>39.646142156937174</v>
      </c>
      <c r="K104" s="37">
        <f ca="1">+INDEX(Charges_NonSlice!$X$4:$X$137,MATCH($A104,Charges_NonSlice!$AA$4:$AA$137,0),1)/1000</f>
        <v>113.67600871045079</v>
      </c>
      <c r="L104" s="37">
        <f ca="1">+SUM(K$5:K104)</f>
        <v>39692.655192953971</v>
      </c>
      <c r="N104" t="str">
        <f ca="1">+INDEX('Charges_NonSlice &amp; Excl LS'!$C$4:$C$137,MATCH($A104,'Charges_NonSlice &amp; Excl LS'!$AA$4:$AA$137,0),1)</f>
        <v>Lower Valley Energy</v>
      </c>
      <c r="O104" s="55">
        <f ca="1">+INDEX('Charges_NonSlice &amp; Excl LS'!$Z$4:$Z$137,MATCH($A104,'Charges_NonSlice &amp; Excl LS'!$AA$4:$AA$137,0),1)</f>
        <v>9.0568725845062384E-2</v>
      </c>
      <c r="P104" s="52">
        <f ca="1">+INDEX('Charges_NonSlice &amp; Excl LS'!$Y$4:$Y$137,MATCH($A104,'Charges_NonSlice &amp; Excl LS'!$AA$4:$AA$137,0),1)</f>
        <v>36.652576522930815</v>
      </c>
      <c r="Q104" s="37">
        <f ca="1">+INDEX('Charges_NonSlice &amp; Excl LS'!$X$4:$X$137,MATCH($A104,'Charges_NonSlice &amp; Excl LS'!$AA$4:$AA$137,0),1)/1000</f>
        <v>758.03084262412813</v>
      </c>
      <c r="R104" s="37">
        <f ca="1">+SUM(Q$5:Q104)</f>
        <v>34553.841416882497</v>
      </c>
      <c r="T104" t="str">
        <f ca="1">+INDEX(Charges_NonSlice!$C$4:$C$137,MATCH($A104,Charges_NonSlice!$AA$4:$AA$137,0),1)</f>
        <v>Hermiston, City of</v>
      </c>
      <c r="U104" s="55">
        <f t="shared" ca="1" si="3"/>
        <v>8.0808564405155714E-2</v>
      </c>
      <c r="V104" s="52">
        <f ca="1">+INDEX(Charges_NonSlice!$Y$4:$Y$137,MATCH($A104,Charges_NonSlice!$AA$4:$AA$137,0),1)</f>
        <v>39.646142156937174</v>
      </c>
      <c r="W104" s="269">
        <f t="shared" ca="1" si="4"/>
        <v>36.68192819952089</v>
      </c>
      <c r="Y104" s="57" t="s">
        <v>18</v>
      </c>
      <c r="Z104" s="58">
        <v>35.378507125198212</v>
      </c>
    </row>
    <row r="105" spans="1:26">
      <c r="A105">
        <f t="shared" si="5"/>
        <v>101</v>
      </c>
      <c r="B105" t="str">
        <f ca="1">+INDEX('Charges_Including Slice and LS'!$C$4:$C$137,MATCH($A105,'Charges_Including Slice and LS'!$AA$4:$AA$137,0),1)</f>
        <v>Centralia, City of</v>
      </c>
      <c r="C105" s="55">
        <f ca="1">+INDEX('Charges_Including Slice and LS'!$Z$4:$Z$137,MATCH($A105,'Charges_Including Slice and LS'!$AA$4:$AA$137,0),1)</f>
        <v>7.5767503738778705E-2</v>
      </c>
      <c r="D105" s="52">
        <f ca="1">+INDEX('Charges_Including Slice and LS'!$Y$4:$Y$137,MATCH($A105,'Charges_Including Slice and LS'!$AA$4:$AA$137,0),1)</f>
        <v>37.544753068767008</v>
      </c>
      <c r="E105" s="37">
        <f ca="1">+INDEX('Charges_Including Slice and LS'!$X$4:$X$137,MATCH($A105,'Charges_Including Slice and LS'!$AA$4:$AA$137,0),1)/1000</f>
        <v>214.7187136753368</v>
      </c>
      <c r="F105" s="37">
        <f ca="1">+SUM(E$5:E105)</f>
        <v>43033.273664908324</v>
      </c>
      <c r="H105" t="str">
        <f ca="1">+INDEX(Charges_NonSlice!$C$4:$C$137,MATCH($A105,Charges_NonSlice!$AA$4:$AA$137,0),1)</f>
        <v>Ferry County PUD #1</v>
      </c>
      <c r="I105" s="55">
        <f ca="1">+INDEX(Charges_NonSlice!$Z$4:$Z$137,MATCH($A105,Charges_NonSlice!$AA$4:$AA$137,0),1)</f>
        <v>8.074165896095381E-2</v>
      </c>
      <c r="J105" s="52">
        <f ca="1">+INDEX(Charges_NonSlice!$Y$4:$Y$137,MATCH($A105,Charges_NonSlice!$AA$4:$AA$137,0),1)</f>
        <v>39.811032818215857</v>
      </c>
      <c r="K105" s="37">
        <f ca="1">+INDEX(Charges_NonSlice!$X$4:$X$137,MATCH($A105,Charges_NonSlice!$AA$4:$AA$137,0),1)/1000</f>
        <v>84.648904996901734</v>
      </c>
      <c r="L105" s="37">
        <f ca="1">+SUM(K$5:K105)</f>
        <v>39777.304097950873</v>
      </c>
      <c r="N105" t="str">
        <f ca="1">+INDEX('Charges_NonSlice &amp; Excl LS'!$C$4:$C$137,MATCH($A105,'Charges_NonSlice &amp; Excl LS'!$AA$4:$AA$137,0),1)</f>
        <v>Clallam County PUD #1</v>
      </c>
      <c r="O105" s="55">
        <f ca="1">+INDEX('Charges_NonSlice &amp; Excl LS'!$Z$4:$Z$137,MATCH($A105,'Charges_NonSlice &amp; Excl LS'!$AA$4:$AA$137,0),1)</f>
        <v>8.9584749260632895E-2</v>
      </c>
      <c r="P105" s="52">
        <f ca="1">+INDEX('Charges_NonSlice &amp; Excl LS'!$Y$4:$Y$137,MATCH($A105,'Charges_NonSlice &amp; Excl LS'!$AA$4:$AA$137,0),1)</f>
        <v>34.898211946370544</v>
      </c>
      <c r="Q105" s="37">
        <f ca="1">+INDEX('Charges_NonSlice &amp; Excl LS'!$X$4:$X$137,MATCH($A105,'Charges_NonSlice &amp; Excl LS'!$AA$4:$AA$137,0),1)/1000</f>
        <v>669.84282208780803</v>
      </c>
      <c r="R105" s="37">
        <f ca="1">+SUM(Q$5:Q105)</f>
        <v>35223.684238970302</v>
      </c>
      <c r="T105" t="str">
        <f ca="1">+INDEX(Charges_NonSlice!$C$4:$C$137,MATCH($A105,Charges_NonSlice!$AA$4:$AA$137,0),1)</f>
        <v>Ferry County PUD #1</v>
      </c>
      <c r="U105" s="55">
        <f t="shared" ca="1" si="3"/>
        <v>0.20886985650505485</v>
      </c>
      <c r="V105" s="52">
        <f ca="1">+INDEX(Charges_NonSlice!$Y$4:$Y$137,MATCH($A105,Charges_NonSlice!$AA$4:$AA$137,0),1)</f>
        <v>39.811032818215857</v>
      </c>
      <c r="W105" s="269">
        <f t="shared" ca="1" si="4"/>
        <v>32.932439008209641</v>
      </c>
      <c r="Y105" s="57" t="s">
        <v>139</v>
      </c>
      <c r="Z105" s="58">
        <v>35.649637997823525</v>
      </c>
    </row>
    <row r="106" spans="1:26">
      <c r="A106">
        <f t="shared" si="5"/>
        <v>102</v>
      </c>
      <c r="B106" t="str">
        <f ca="1">+INDEX('Charges_Including Slice and LS'!$C$4:$C$137,MATCH($A106,'Charges_Including Slice and LS'!$AA$4:$AA$137,0),1)</f>
        <v>Umatilla Elec Coop</v>
      </c>
      <c r="C106" s="55">
        <f ca="1">+INDEX('Charges_Including Slice and LS'!$Z$4:$Z$137,MATCH($A106,'Charges_Including Slice and LS'!$AA$4:$AA$137,0),1)</f>
        <v>7.5263929178988928E-2</v>
      </c>
      <c r="D106" s="52">
        <f ca="1">+INDEX('Charges_Including Slice and LS'!$Y$4:$Y$137,MATCH($A106,'Charges_Including Slice and LS'!$AA$4:$AA$137,0),1)</f>
        <v>35.446172135291846</v>
      </c>
      <c r="E106" s="37">
        <f ca="1">+INDEX('Charges_Including Slice and LS'!$X$4:$X$137,MATCH($A106,'Charges_Including Slice and LS'!$AA$4:$AA$137,0),1)/1000</f>
        <v>997.55376000000001</v>
      </c>
      <c r="F106" s="37">
        <f ca="1">+SUM(E$5:E106)</f>
        <v>44030.827424908326</v>
      </c>
      <c r="H106" t="str">
        <f ca="1">+INDEX(Charges_NonSlice!$C$4:$C$137,MATCH($A106,Charges_NonSlice!$AA$4:$AA$137,0),1)</f>
        <v>Snohomish County PUD #1</v>
      </c>
      <c r="I106" s="55">
        <f ca="1">+INDEX(Charges_NonSlice!$Z$4:$Z$137,MATCH($A106,Charges_NonSlice!$AA$4:$AA$137,0),1)</f>
        <v>8.0183465597279138E-2</v>
      </c>
      <c r="J106" s="52">
        <f ca="1">+INDEX(Charges_NonSlice!$Y$4:$Y$137,MATCH($A106,Charges_NonSlice!$AA$4:$AA$137,0),1)</f>
        <v>40.448063914950076</v>
      </c>
      <c r="K106" s="37">
        <f ca="1">+INDEX(Charges_NonSlice!$X$4:$X$137,MATCH($A106,Charges_NonSlice!$AA$4:$AA$137,0),1)/1000</f>
        <v>6760.945299097013</v>
      </c>
      <c r="L106" s="37">
        <f ca="1">+SUM(K$5:K106)</f>
        <v>46538.249397047883</v>
      </c>
      <c r="N106" t="str">
        <f ca="1">+INDEX('Charges_NonSlice &amp; Excl LS'!$C$4:$C$137,MATCH($A106,'Charges_NonSlice &amp; Excl LS'!$AA$4:$AA$137,0),1)</f>
        <v>Centralia, City of</v>
      </c>
      <c r="O106" s="55">
        <f ca="1">+INDEX('Charges_NonSlice &amp; Excl LS'!$Z$4:$Z$137,MATCH($A106,'Charges_NonSlice &amp; Excl LS'!$AA$4:$AA$137,0),1)</f>
        <v>8.8990638616033041E-2</v>
      </c>
      <c r="P106" s="52">
        <f ca="1">+INDEX('Charges_NonSlice &amp; Excl LS'!$Y$4:$Y$137,MATCH($A106,'Charges_NonSlice &amp; Excl LS'!$AA$4:$AA$137,0),1)</f>
        <v>36.487036800931243</v>
      </c>
      <c r="Q106" s="37">
        <f ca="1">+INDEX('Charges_NonSlice &amp; Excl LS'!$X$4:$X$137,MATCH($A106,'Charges_NonSlice &amp; Excl LS'!$AA$4:$AA$137,0),1)/1000</f>
        <v>214.72786525785602</v>
      </c>
      <c r="R106" s="37">
        <f ca="1">+SUM(Q$5:Q106)</f>
        <v>35438.412104228155</v>
      </c>
      <c r="T106" t="str">
        <f ca="1">+INDEX(Charges_NonSlice!$C$4:$C$137,MATCH($A106,Charges_NonSlice!$AA$4:$AA$137,0),1)</f>
        <v>Snohomish County PUD #1</v>
      </c>
      <c r="U106" s="55">
        <f t="shared" ca="1" si="3"/>
        <v>0.20984563643391163</v>
      </c>
      <c r="V106" s="52">
        <f ca="1">+INDEX(Charges_NonSlice!$Y$4:$Y$137,MATCH($A106,Charges_NonSlice!$AA$4:$AA$137,0),1)</f>
        <v>40.448063914950076</v>
      </c>
      <c r="W106" s="269">
        <f t="shared" ca="1" si="4"/>
        <v>33.432417076093301</v>
      </c>
      <c r="Y106" s="57" t="s">
        <v>118</v>
      </c>
      <c r="Z106" s="58">
        <v>34.82235352307687</v>
      </c>
    </row>
    <row r="107" spans="1:26">
      <c r="A107">
        <f t="shared" si="5"/>
        <v>103</v>
      </c>
      <c r="B107" t="str">
        <f ca="1">+INDEX('Charges_Including Slice and LS'!$C$4:$C$137,MATCH($A107,'Charges_Including Slice and LS'!$AA$4:$AA$137,0),1)</f>
        <v>Eugene Water &amp; Electric Board</v>
      </c>
      <c r="C107" s="55">
        <f ca="1">+INDEX('Charges_Including Slice and LS'!$Z$4:$Z$137,MATCH($A107,'Charges_Including Slice and LS'!$AA$4:$AA$137,0),1)</f>
        <v>7.508272297762135E-2</v>
      </c>
      <c r="D107" s="52">
        <f ca="1">+INDEX('Charges_Including Slice and LS'!$Y$4:$Y$137,MATCH($A107,'Charges_Including Slice and LS'!$AA$4:$AA$137,0),1)</f>
        <v>39.140219965321322</v>
      </c>
      <c r="E107" s="37">
        <f ca="1">+INDEX('Charges_Including Slice and LS'!$X$4:$X$137,MATCH($A107,'Charges_Including Slice and LS'!$AA$4:$AA$137,0),1)/1000</f>
        <v>2181.9421809337732</v>
      </c>
      <c r="F107" s="37">
        <f ca="1">+SUM(E$5:E107)</f>
        <v>46212.769605842099</v>
      </c>
      <c r="H107" t="str">
        <f ca="1">+INDEX(Charges_NonSlice!$C$4:$C$137,MATCH($A107,Charges_NonSlice!$AA$4:$AA$137,0),1)</f>
        <v>Kalispel Tribe Utility</v>
      </c>
      <c r="I107" s="55">
        <f ca="1">+INDEX(Charges_NonSlice!$Z$4:$Z$137,MATCH($A107,Charges_NonSlice!$AA$4:$AA$137,0),1)</f>
        <v>7.9868765901741995E-2</v>
      </c>
      <c r="J107" s="52">
        <f ca="1">+INDEX(Charges_NonSlice!$Y$4:$Y$137,MATCH($A107,Charges_NonSlice!$AA$4:$AA$137,0),1)</f>
        <v>36.987810904830937</v>
      </c>
      <c r="K107" s="37">
        <f ca="1">+INDEX(Charges_NonSlice!$X$4:$X$137,MATCH($A107,Charges_NonSlice!$AA$4:$AA$137,0),1)/1000</f>
        <v>35.889720000000004</v>
      </c>
      <c r="L107" s="37">
        <f ca="1">+SUM(K$5:K107)</f>
        <v>46574.139117047882</v>
      </c>
      <c r="N107" t="str">
        <f ca="1">+INDEX('Charges_NonSlice &amp; Excl LS'!$C$4:$C$137,MATCH($A107,'Charges_NonSlice &amp; Excl LS'!$AA$4:$AA$137,0),1)</f>
        <v>Grays Harbor PUD #1</v>
      </c>
      <c r="O107" s="55">
        <f ca="1">+INDEX('Charges_NonSlice &amp; Excl LS'!$Z$4:$Z$137,MATCH($A107,'Charges_NonSlice &amp; Excl LS'!$AA$4:$AA$137,0),1)</f>
        <v>8.8336541121628392E-2</v>
      </c>
      <c r="P107" s="52">
        <f ca="1">+INDEX('Charges_NonSlice &amp; Excl LS'!$Y$4:$Y$137,MATCH($A107,'Charges_NonSlice &amp; Excl LS'!$AA$4:$AA$137,0),1)</f>
        <v>37.084320994708882</v>
      </c>
      <c r="Q107" s="37">
        <f ca="1">+INDEX('Charges_NonSlice &amp; Excl LS'!$X$4:$X$137,MATCH($A107,'Charges_NonSlice &amp; Excl LS'!$AA$4:$AA$137,0),1)/1000</f>
        <v>1116.2884480853761</v>
      </c>
      <c r="R107" s="37">
        <f ca="1">+SUM(Q$5:Q107)</f>
        <v>36554.70055231353</v>
      </c>
      <c r="T107" t="str">
        <f ca="1">+INDEX(Charges_NonSlice!$C$4:$C$137,MATCH($A107,Charges_NonSlice!$AA$4:$AA$137,0),1)</f>
        <v>Kalispel Tribe Utility</v>
      </c>
      <c r="U107" s="55">
        <f t="shared" ca="1" si="3"/>
        <v>8.2899912476636084E-2</v>
      </c>
      <c r="V107" s="52">
        <f ca="1">+INDEX(Charges_NonSlice!$Y$4:$Y$137,MATCH($A107,Charges_NonSlice!$AA$4:$AA$137,0),1)</f>
        <v>36.987810904830937</v>
      </c>
      <c r="W107" s="269">
        <f t="shared" ca="1" si="4"/>
        <v>34.156259944871834</v>
      </c>
      <c r="Y107" s="57" t="s">
        <v>82</v>
      </c>
      <c r="Z107" s="58">
        <v>31.55594753193288</v>
      </c>
    </row>
    <row r="108" spans="1:26">
      <c r="A108">
        <f t="shared" si="5"/>
        <v>104</v>
      </c>
      <c r="B108" t="str">
        <f ca="1">+INDEX('Charges_Including Slice and LS'!$C$4:$C$137,MATCH($A108,'Charges_Including Slice and LS'!$AA$4:$AA$137,0),1)</f>
        <v>Cascade Locks, City of</v>
      </c>
      <c r="C108" s="55">
        <f ca="1">+INDEX('Charges_Including Slice and LS'!$Z$4:$Z$137,MATCH($A108,'Charges_Including Slice and LS'!$AA$4:$AA$137,0),1)</f>
        <v>7.4742643845417761E-2</v>
      </c>
      <c r="D108" s="52">
        <f ca="1">+INDEX('Charges_Including Slice and LS'!$Y$4:$Y$137,MATCH($A108,'Charges_Including Slice and LS'!$AA$4:$AA$137,0),1)</f>
        <v>36.864718749669606</v>
      </c>
      <c r="E108" s="37">
        <f ca="1">+INDEX('Charges_Including Slice and LS'!$X$4:$X$137,MATCH($A108,'Charges_Including Slice and LS'!$AA$4:$AA$137,0),1)/1000</f>
        <v>20.943751236358196</v>
      </c>
      <c r="F108" s="37">
        <f ca="1">+SUM(E$5:E108)</f>
        <v>46233.713357078457</v>
      </c>
      <c r="H108" t="str">
        <f ca="1">+INDEX(Charges_NonSlice!$C$4:$C$137,MATCH($A108,Charges_NonSlice!$AA$4:$AA$137,0),1)</f>
        <v>U.S. DOE Richland Operations Office</v>
      </c>
      <c r="I108" s="55">
        <f ca="1">+INDEX(Charges_NonSlice!$Z$4:$Z$137,MATCH($A108,Charges_NonSlice!$AA$4:$AA$137,0),1)</f>
        <v>7.6768451499403353E-2</v>
      </c>
      <c r="J108" s="52">
        <f ca="1">+INDEX(Charges_NonSlice!$Y$4:$Y$137,MATCH($A108,Charges_NonSlice!$AA$4:$AA$137,0),1)</f>
        <v>37.286463489276379</v>
      </c>
      <c r="K108" s="37">
        <f ca="1">+INDEX(Charges_NonSlice!$X$4:$X$137,MATCH($A108,Charges_NonSlice!$AA$4:$AA$137,0),1)/1000</f>
        <v>341.95102018539478</v>
      </c>
      <c r="L108" s="37">
        <f ca="1">+SUM(K$5:K108)</f>
        <v>46916.090137233274</v>
      </c>
      <c r="N108" t="str">
        <f ca="1">+INDEX('Charges_NonSlice &amp; Excl LS'!$C$4:$C$137,MATCH($A108,'Charges_NonSlice &amp; Excl LS'!$AA$4:$AA$137,0),1)</f>
        <v>Midstate Elec Coop</v>
      </c>
      <c r="O108" s="55">
        <f ca="1">+INDEX('Charges_NonSlice &amp; Excl LS'!$Z$4:$Z$137,MATCH($A108,'Charges_NonSlice &amp; Excl LS'!$AA$4:$AA$137,0),1)</f>
        <v>8.821005936554091E-2</v>
      </c>
      <c r="P108" s="52">
        <f ca="1">+INDEX('Charges_NonSlice &amp; Excl LS'!$Y$4:$Y$137,MATCH($A108,'Charges_NonSlice &amp; Excl LS'!$AA$4:$AA$137,0),1)</f>
        <v>35.339257479516306</v>
      </c>
      <c r="Q108" s="37">
        <f ca="1">+INDEX('Charges_NonSlice &amp; Excl LS'!$X$4:$X$137,MATCH($A108,'Charges_NonSlice &amp; Excl LS'!$AA$4:$AA$137,0),1)/1000</f>
        <v>411.84926624620806</v>
      </c>
      <c r="R108" s="37">
        <f ca="1">+SUM(Q$5:Q108)</f>
        <v>36966.549818559739</v>
      </c>
      <c r="T108" t="str">
        <f ca="1">+INDEX(Charges_NonSlice!$C$4:$C$137,MATCH($A108,Charges_NonSlice!$AA$4:$AA$137,0),1)</f>
        <v>U.S. DOE Richland Operations Office</v>
      </c>
      <c r="U108" s="55">
        <f t="shared" ca="1" si="3"/>
        <v>4.9844486112852637E-2</v>
      </c>
      <c r="V108" s="52">
        <f ca="1">+INDEX(Charges_NonSlice!$Y$4:$Y$137,MATCH($A108,Charges_NonSlice!$AA$4:$AA$137,0),1)</f>
        <v>37.286463489276379</v>
      </c>
      <c r="W108" s="269">
        <f t="shared" ca="1" si="4"/>
        <v>35.516177855382175</v>
      </c>
      <c r="Y108" s="57" t="s">
        <v>7</v>
      </c>
      <c r="Z108" s="58">
        <v>35.72319970270842</v>
      </c>
    </row>
    <row r="109" spans="1:26">
      <c r="A109">
        <f t="shared" si="5"/>
        <v>105</v>
      </c>
      <c r="B109" t="str">
        <f ca="1">+INDEX('Charges_Including Slice and LS'!$C$4:$C$137,MATCH($A109,'Charges_Including Slice and LS'!$AA$4:$AA$137,0),1)</f>
        <v>Idaho Falls Power</v>
      </c>
      <c r="C109" s="55">
        <f ca="1">+INDEX('Charges_Including Slice and LS'!$Z$4:$Z$137,MATCH($A109,'Charges_Including Slice and LS'!$AA$4:$AA$137,0),1)</f>
        <v>7.3912557653726979E-2</v>
      </c>
      <c r="D109" s="52">
        <f ca="1">+INDEX('Charges_Including Slice and LS'!$Y$4:$Y$137,MATCH($A109,'Charges_Including Slice and LS'!$AA$4:$AA$137,0),1)</f>
        <v>38.705947534592177</v>
      </c>
      <c r="E109" s="37">
        <f ca="1">+INDEX('Charges_Including Slice and LS'!$X$4:$X$137,MATCH($A109,'Charges_Including Slice and LS'!$AA$4:$AA$137,0),1)/1000</f>
        <v>701.79499796808238</v>
      </c>
      <c r="F109" s="37">
        <f ca="1">+SUM(E$5:E109)</f>
        <v>46935.508355046542</v>
      </c>
      <c r="H109" t="str">
        <f ca="1">+INDEX(Charges_NonSlice!$C$4:$C$137,MATCH($A109,Charges_NonSlice!$AA$4:$AA$137,0),1)</f>
        <v>Skamania County PUD #1</v>
      </c>
      <c r="I109" s="55">
        <f ca="1">+INDEX(Charges_NonSlice!$Z$4:$Z$137,MATCH($A109,Charges_NonSlice!$AA$4:$AA$137,0),1)</f>
        <v>7.650009474931245E-2</v>
      </c>
      <c r="J109" s="52">
        <f ca="1">+INDEX(Charges_NonSlice!$Y$4:$Y$137,MATCH($A109,Charges_NonSlice!$AA$4:$AA$137,0),1)</f>
        <v>36.779235615838495</v>
      </c>
      <c r="K109" s="37">
        <f ca="1">+INDEX(Charges_NonSlice!$X$4:$X$137,MATCH($A109,Charges_NonSlice!$AA$4:$AA$137,0),1)/1000</f>
        <v>140.14247999999998</v>
      </c>
      <c r="L109" s="37">
        <f ca="1">+SUM(K$5:K109)</f>
        <v>47056.232617233276</v>
      </c>
      <c r="N109" t="str">
        <f ca="1">+INDEX('Charges_NonSlice &amp; Excl LS'!$C$4:$C$137,MATCH($A109,'Charges_NonSlice &amp; Excl LS'!$AA$4:$AA$137,0),1)</f>
        <v>Kalispel Tribe Utility</v>
      </c>
      <c r="O109" s="55">
        <f ca="1">+INDEX('Charges_NonSlice &amp; Excl LS'!$Z$4:$Z$137,MATCH($A109,'Charges_NonSlice &amp; Excl LS'!$AA$4:$AA$137,0),1)</f>
        <v>8.7610704610946638E-2</v>
      </c>
      <c r="P109" s="52">
        <f ca="1">+INDEX('Charges_NonSlice &amp; Excl LS'!$Y$4:$Y$137,MATCH($A109,'Charges_NonSlice &amp; Excl LS'!$AA$4:$AA$137,0),1)</f>
        <v>36.033318061551903</v>
      </c>
      <c r="Q109" s="37">
        <f ca="1">+INDEX('Charges_NonSlice &amp; Excl LS'!$X$4:$X$137,MATCH($A109,'Charges_NonSlice &amp; Excl LS'!$AA$4:$AA$137,0),1)/1000</f>
        <v>35.891777002175999</v>
      </c>
      <c r="R109" s="37">
        <f ca="1">+SUM(Q$5:Q109)</f>
        <v>37002.441595561912</v>
      </c>
      <c r="T109" t="str">
        <f ca="1">+INDEX(Charges_NonSlice!$C$4:$C$137,MATCH($A109,Charges_NonSlice!$AA$4:$AA$137,0),1)</f>
        <v>Skamania County PUD #1</v>
      </c>
      <c r="U109" s="55">
        <f t="shared" ca="1" si="3"/>
        <v>6.5451209834253898E-2</v>
      </c>
      <c r="V109" s="52">
        <f ca="1">+INDEX(Charges_NonSlice!$Y$4:$Y$137,MATCH($A109,Charges_NonSlice!$AA$4:$AA$137,0),1)</f>
        <v>36.779235615838495</v>
      </c>
      <c r="W109" s="269">
        <f t="shared" ca="1" si="4"/>
        <v>34.519868461700867</v>
      </c>
      <c r="Y109" s="57" t="s">
        <v>95</v>
      </c>
      <c r="Z109" s="58">
        <v>35.057026747774344</v>
      </c>
    </row>
    <row r="110" spans="1:26">
      <c r="A110">
        <f t="shared" si="5"/>
        <v>106</v>
      </c>
      <c r="B110" t="str">
        <f ca="1">+INDEX('Charges_Including Slice and LS'!$C$4:$C$137,MATCH($A110,'Charges_Including Slice and LS'!$AA$4:$AA$137,0),1)</f>
        <v>Mission Valley</v>
      </c>
      <c r="C110" s="55">
        <f ca="1">+INDEX('Charges_Including Slice and LS'!$Z$4:$Z$137,MATCH($A110,'Charges_Including Slice and LS'!$AA$4:$AA$137,0),1)</f>
        <v>7.2657202360051951E-2</v>
      </c>
      <c r="D110" s="52">
        <f ca="1">+INDEX('Charges_Including Slice and LS'!$Y$4:$Y$137,MATCH($A110,'Charges_Including Slice and LS'!$AA$4:$AA$137,0),1)</f>
        <v>38.342040879777173</v>
      </c>
      <c r="E110" s="37">
        <f ca="1">+INDEX('Charges_Including Slice and LS'!$X$4:$X$137,MATCH($A110,'Charges_Including Slice and LS'!$AA$4:$AA$137,0),1)/1000</f>
        <v>334.37470573835009</v>
      </c>
      <c r="F110" s="37">
        <f ca="1">+SUM(E$5:E110)</f>
        <v>47269.883060784894</v>
      </c>
      <c r="H110" t="str">
        <f ca="1">+INDEX(Charges_NonSlice!$C$4:$C$137,MATCH($A110,Charges_NonSlice!$AA$4:$AA$137,0),1)</f>
        <v>Milton-Freewater, City of</v>
      </c>
      <c r="I110" s="55">
        <f ca="1">+INDEX(Charges_NonSlice!$Z$4:$Z$137,MATCH($A110,Charges_NonSlice!$AA$4:$AA$137,0),1)</f>
        <v>7.5878315844448249E-2</v>
      </c>
      <c r="J110" s="52">
        <f ca="1">+INDEX(Charges_NonSlice!$Y$4:$Y$137,MATCH($A110,Charges_NonSlice!$AA$4:$AA$137,0),1)</f>
        <v>38.73644608377375</v>
      </c>
      <c r="K110" s="37">
        <f ca="1">+INDEX(Charges_NonSlice!$X$4:$X$137,MATCH($A110,Charges_NonSlice!$AA$4:$AA$137,0),1)/1000</f>
        <v>81.857490831833388</v>
      </c>
      <c r="L110" s="37">
        <f ca="1">+SUM(K$5:K110)</f>
        <v>47138.090108065109</v>
      </c>
      <c r="N110" t="str">
        <f ca="1">+INDEX('Charges_NonSlice &amp; Excl LS'!$C$4:$C$137,MATCH($A110,'Charges_NonSlice &amp; Excl LS'!$AA$4:$AA$137,0),1)</f>
        <v>Snohomish County PUD #1</v>
      </c>
      <c r="O110" s="55">
        <f ca="1">+INDEX('Charges_NonSlice &amp; Excl LS'!$Z$4:$Z$137,MATCH($A110,'Charges_NonSlice &amp; Excl LS'!$AA$4:$AA$137,0),1)</f>
        <v>8.6988872775238799E-2</v>
      </c>
      <c r="P110" s="52">
        <f ca="1">+INDEX('Charges_NonSlice &amp; Excl LS'!$Y$4:$Y$137,MATCH($A110,'Charges_NonSlice &amp; Excl LS'!$AA$4:$AA$137,0),1)</f>
        <v>39.421369046501404</v>
      </c>
      <c r="Q110" s="37">
        <f ca="1">+INDEX('Charges_NonSlice &amp; Excl LS'!$X$4:$X$137,MATCH($A110,'Charges_NonSlice &amp; Excl LS'!$AA$4:$AA$137,0),1)/1000</f>
        <v>6760.9445591650565</v>
      </c>
      <c r="R110" s="37">
        <f ca="1">+SUM(Q$5:Q110)</f>
        <v>43763.38615472697</v>
      </c>
      <c r="T110" t="str">
        <f ca="1">+INDEX(Charges_NonSlice!$C$4:$C$137,MATCH($A110,Charges_NonSlice!$AA$4:$AA$137,0),1)</f>
        <v>Milton-Freewater, City of</v>
      </c>
      <c r="U110" s="55">
        <f t="shared" ca="1" si="3"/>
        <v>3.0143437131500805E-2</v>
      </c>
      <c r="V110" s="52">
        <f ca="1">+INDEX(Charges_NonSlice!$Y$4:$Y$137,MATCH($A110,Charges_NonSlice!$AA$4:$AA$137,0),1)</f>
        <v>38.73644608377375</v>
      </c>
      <c r="W110" s="269">
        <f t="shared" ca="1" si="4"/>
        <v>37.60296351703974</v>
      </c>
      <c r="Y110" s="57" t="s">
        <v>123</v>
      </c>
      <c r="Z110" s="58">
        <v>36.868733285185009</v>
      </c>
    </row>
    <row r="111" spans="1:26">
      <c r="A111">
        <f t="shared" si="5"/>
        <v>107</v>
      </c>
      <c r="B111" t="str">
        <f ca="1">+INDEX('Charges_Including Slice and LS'!$C$4:$C$137,MATCH($A111,'Charges_Including Slice and LS'!$AA$4:$AA$137,0),1)</f>
        <v>Clark County PUD #1</v>
      </c>
      <c r="C111" s="55">
        <f ca="1">+INDEX('Charges_Including Slice and LS'!$Z$4:$Z$137,MATCH($A111,'Charges_Including Slice and LS'!$AA$4:$AA$137,0),1)</f>
        <v>7.2138444674352029E-2</v>
      </c>
      <c r="D111" s="52">
        <f ca="1">+INDEX('Charges_Including Slice and LS'!$Y$4:$Y$137,MATCH($A111,'Charges_Including Slice and LS'!$AA$4:$AA$137,0),1)</f>
        <v>39.774011291522577</v>
      </c>
      <c r="E111" s="37">
        <f ca="1">+INDEX('Charges_Including Slice and LS'!$X$4:$X$137,MATCH($A111,'Charges_Including Slice and LS'!$AA$4:$AA$137,0),1)/1000</f>
        <v>2806.0820400000002</v>
      </c>
      <c r="F111" s="37">
        <f ca="1">+SUM(E$5:E111)</f>
        <v>50075.965100784895</v>
      </c>
      <c r="H111" t="str">
        <f ca="1">+INDEX(Charges_NonSlice!$C$4:$C$137,MATCH($A111,Charges_NonSlice!$AA$4:$AA$137,0),1)</f>
        <v>Centralia, City of</v>
      </c>
      <c r="I111" s="55">
        <f ca="1">+INDEX(Charges_NonSlice!$Z$4:$Z$137,MATCH($A111,Charges_NonSlice!$AA$4:$AA$137,0),1)</f>
        <v>7.576734560192476E-2</v>
      </c>
      <c r="J111" s="52">
        <f ca="1">+INDEX(Charges_NonSlice!$Y$4:$Y$137,MATCH($A111,Charges_NonSlice!$AA$4:$AA$137,0),1)</f>
        <v>37.544822927605779</v>
      </c>
      <c r="K111" s="37">
        <f ca="1">+INDEX(Charges_NonSlice!$X$4:$X$137,MATCH($A111,Charges_NonSlice!$AA$4:$AA$137,0),1)/1000</f>
        <v>214.7187136753368</v>
      </c>
      <c r="L111" s="37">
        <f ca="1">+SUM(K$5:K111)</f>
        <v>47352.808821740444</v>
      </c>
      <c r="N111" t="str">
        <f ca="1">+INDEX('Charges_NonSlice &amp; Excl LS'!$C$4:$C$137,MATCH($A111,'Charges_NonSlice &amp; Excl LS'!$AA$4:$AA$137,0),1)</f>
        <v>Cascade Locks, City of</v>
      </c>
      <c r="O111" s="55">
        <f ca="1">+INDEX('Charges_NonSlice &amp; Excl LS'!$Z$4:$Z$137,MATCH($A111,'Charges_NonSlice &amp; Excl LS'!$AA$4:$AA$137,0),1)</f>
        <v>8.6523782167827357E-2</v>
      </c>
      <c r="P111" s="52">
        <f ca="1">+INDEX('Charges_NonSlice &amp; Excl LS'!$Y$4:$Y$137,MATCH($A111,'Charges_NonSlice &amp; Excl LS'!$AA$4:$AA$137,0),1)</f>
        <v>36.055716856839069</v>
      </c>
      <c r="Q111" s="37">
        <f ca="1">+INDEX('Charges_NonSlice &amp; Excl LS'!$X$4:$X$137,MATCH($A111,'Charges_NonSlice &amp; Excl LS'!$AA$4:$AA$137,0),1)/1000</f>
        <v>20.944654877376003</v>
      </c>
      <c r="R111" s="37">
        <f ca="1">+SUM(Q$5:Q111)</f>
        <v>43784.330809604347</v>
      </c>
      <c r="T111" t="str">
        <f ca="1">+INDEX(Charges_NonSlice!$C$4:$C$137,MATCH($A111,Charges_NonSlice!$AA$4:$AA$137,0),1)</f>
        <v>Centralia, City of</v>
      </c>
      <c r="U111" s="55">
        <f t="shared" ca="1" si="3"/>
        <v>3.8545482695891531E-2</v>
      </c>
      <c r="V111" s="52">
        <f ca="1">+INDEX(Charges_NonSlice!$Y$4:$Y$137,MATCH($A111,Charges_NonSlice!$AA$4:$AA$137,0),1)</f>
        <v>37.544822927605779</v>
      </c>
      <c r="W111" s="269">
        <f t="shared" ca="1" si="4"/>
        <v>36.151351628958665</v>
      </c>
      <c r="Y111" s="57" t="s">
        <v>125</v>
      </c>
      <c r="Z111" s="58">
        <v>37.304425608421518</v>
      </c>
    </row>
    <row r="112" spans="1:26">
      <c r="A112">
        <f t="shared" si="5"/>
        <v>108</v>
      </c>
      <c r="B112" t="str">
        <f ca="1">+INDEX('Charges_Including Slice and LS'!$C$4:$C$137,MATCH($A112,'Charges_Including Slice and LS'!$AA$4:$AA$137,0),1)</f>
        <v>Kittitas County PUD #1</v>
      </c>
      <c r="C112" s="55">
        <f ca="1">+INDEX('Charges_Including Slice and LS'!$Z$4:$Z$137,MATCH($A112,'Charges_Including Slice and LS'!$AA$4:$AA$137,0),1)</f>
        <v>7.1482136877909927E-2</v>
      </c>
      <c r="D112" s="52">
        <f ca="1">+INDEX('Charges_Including Slice and LS'!$Y$4:$Y$137,MATCH($A112,'Charges_Including Slice and LS'!$AA$4:$AA$137,0),1)</f>
        <v>38.581993990395851</v>
      </c>
      <c r="E112" s="37">
        <f ca="1">+INDEX('Charges_Including Slice and LS'!$X$4:$X$137,MATCH($A112,'Charges_Including Slice and LS'!$AA$4:$AA$137,0),1)/1000</f>
        <v>85.477851045797237</v>
      </c>
      <c r="F112" s="37">
        <f ca="1">+SUM(E$5:E112)</f>
        <v>50161.442951830693</v>
      </c>
      <c r="H112" t="str">
        <f ca="1">+INDEX(Charges_NonSlice!$C$4:$C$137,MATCH($A112,Charges_NonSlice!$AA$4:$AA$137,0),1)</f>
        <v>Umatilla Elec Coop</v>
      </c>
      <c r="I112" s="55">
        <f ca="1">+INDEX(Charges_NonSlice!$Z$4:$Z$137,MATCH($A112,Charges_NonSlice!$AA$4:$AA$137,0),1)</f>
        <v>7.5263680385326923E-2</v>
      </c>
      <c r="J112" s="52">
        <f ca="1">+INDEX(Charges_NonSlice!$Y$4:$Y$137,MATCH($A112,Charges_NonSlice!$AA$4:$AA$137,0),1)</f>
        <v>35.446276530115512</v>
      </c>
      <c r="K112" s="37">
        <f ca="1">+INDEX(Charges_NonSlice!$X$4:$X$137,MATCH($A112,Charges_NonSlice!$AA$4:$AA$137,0),1)/1000</f>
        <v>997.55376000000001</v>
      </c>
      <c r="L112" s="37">
        <f ca="1">+SUM(K$5:K112)</f>
        <v>48350.362581740446</v>
      </c>
      <c r="N112" t="str">
        <f ca="1">+INDEX('Charges_NonSlice &amp; Excl LS'!$C$4:$C$137,MATCH($A112,'Charges_NonSlice &amp; Excl LS'!$AA$4:$AA$137,0),1)</f>
        <v>Kittitas County PUD #1</v>
      </c>
      <c r="O112" s="55">
        <f ca="1">+INDEX('Charges_NonSlice &amp; Excl LS'!$Z$4:$Z$137,MATCH($A112,'Charges_NonSlice &amp; Excl LS'!$AA$4:$AA$137,0),1)</f>
        <v>8.6359947754734948E-2</v>
      </c>
      <c r="P112" s="52">
        <f ca="1">+INDEX('Charges_NonSlice &amp; Excl LS'!$Y$4:$Y$137,MATCH($A112,'Charges_NonSlice &amp; Excl LS'!$AA$4:$AA$137,0),1)</f>
        <v>37.354464781924584</v>
      </c>
      <c r="Q112" s="37">
        <f ca="1">+INDEX('Charges_NonSlice &amp; Excl LS'!$X$4:$X$137,MATCH($A112,'Charges_NonSlice &amp; Excl LS'!$AA$4:$AA$137,0),1)/1000</f>
        <v>85.47885465120001</v>
      </c>
      <c r="R112" s="37">
        <f ca="1">+SUM(Q$5:Q112)</f>
        <v>43869.809664255547</v>
      </c>
      <c r="T112" t="str">
        <f ca="1">+INDEX(Charges_NonSlice!$C$4:$C$137,MATCH($A112,Charges_NonSlice!$AA$4:$AA$137,0),1)</f>
        <v>Umatilla Elec Coop</v>
      </c>
      <c r="U112" s="55">
        <f t="shared" ca="1" si="3"/>
        <v>0.2143671026568883</v>
      </c>
      <c r="V112" s="52">
        <f ca="1">+INDEX(Charges_NonSlice!$Y$4:$Y$137,MATCH($A112,Charges_NonSlice!$AA$4:$AA$137,0),1)</f>
        <v>35.446276530115512</v>
      </c>
      <c r="W112" s="269">
        <f t="shared" ca="1" si="4"/>
        <v>29.189094840072123</v>
      </c>
      <c r="Y112" s="57" t="s">
        <v>129</v>
      </c>
      <c r="Z112" s="58">
        <v>33.021571976587907</v>
      </c>
    </row>
    <row r="113" spans="1:26">
      <c r="A113">
        <f t="shared" si="5"/>
        <v>109</v>
      </c>
      <c r="B113" t="str">
        <f ca="1">+INDEX('Charges_Including Slice and LS'!$C$4:$C$137,MATCH($A113,'Charges_Including Slice and LS'!$AA$4:$AA$137,0),1)</f>
        <v>Clatskanie PUD</v>
      </c>
      <c r="C113" s="55">
        <f ca="1">+INDEX('Charges_Including Slice and LS'!$Z$4:$Z$137,MATCH($A113,'Charges_Including Slice and LS'!$AA$4:$AA$137,0),1)</f>
        <v>7.1398831106555344E-2</v>
      </c>
      <c r="D113" s="52">
        <f ca="1">+INDEX('Charges_Including Slice and LS'!$Y$4:$Y$137,MATCH($A113,'Charges_Including Slice and LS'!$AA$4:$AA$137,0),1)</f>
        <v>39.279330889115002</v>
      </c>
      <c r="E113" s="37">
        <f ca="1">+INDEX('Charges_Including Slice and LS'!$X$4:$X$137,MATCH($A113,'Charges_Including Slice and LS'!$AA$4:$AA$137,0),1)/1000</f>
        <v>759.4298673722119</v>
      </c>
      <c r="F113" s="37">
        <f ca="1">+SUM(E$5:E113)</f>
        <v>50920.872819202908</v>
      </c>
      <c r="H113" t="str">
        <f ca="1">+INDEX(Charges_NonSlice!$C$4:$C$137,MATCH($A113,Charges_NonSlice!$AA$4:$AA$137,0),1)</f>
        <v>Cascade Locks, City of</v>
      </c>
      <c r="I113" s="55">
        <f ca="1">+INDEX(Charges_NonSlice!$Z$4:$Z$137,MATCH($A113,Charges_NonSlice!$AA$4:$AA$137,0),1)</f>
        <v>7.4741068605753469E-2</v>
      </c>
      <c r="J113" s="52">
        <f ca="1">+INDEX(Charges_NonSlice!$Y$4:$Y$137,MATCH($A113,Charges_NonSlice!$AA$4:$AA$137,0),1)</f>
        <v>36.865330420101216</v>
      </c>
      <c r="K113" s="37">
        <f ca="1">+INDEX(Charges_NonSlice!$X$4:$X$137,MATCH($A113,Charges_NonSlice!$AA$4:$AA$137,0),1)/1000</f>
        <v>20.943751236358196</v>
      </c>
      <c r="L113" s="37">
        <f ca="1">+SUM(K$5:K113)</f>
        <v>48371.306332976805</v>
      </c>
      <c r="N113" t="str">
        <f ca="1">+INDEX('Charges_NonSlice &amp; Excl LS'!$C$4:$C$137,MATCH($A113,'Charges_NonSlice &amp; Excl LS'!$AA$4:$AA$137,0),1)</f>
        <v>Benton REA</v>
      </c>
      <c r="O113" s="55">
        <f ca="1">+INDEX('Charges_NonSlice &amp; Excl LS'!$Z$4:$Z$137,MATCH($A113,'Charges_NonSlice &amp; Excl LS'!$AA$4:$AA$137,0),1)</f>
        <v>8.6122869360128848E-2</v>
      </c>
      <c r="P113" s="52">
        <f ca="1">+INDEX('Charges_NonSlice &amp; Excl LS'!$Y$4:$Y$137,MATCH($A113,'Charges_NonSlice &amp; Excl LS'!$AA$4:$AA$137,0),1)</f>
        <v>33.602962370968847</v>
      </c>
      <c r="Q113" s="37">
        <f ca="1">+INDEX('Charges_NonSlice &amp; Excl LS'!$X$4:$X$137,MATCH($A113,'Charges_NonSlice &amp; Excl LS'!$AA$4:$AA$137,0),1)/1000</f>
        <v>525.62800545369612</v>
      </c>
      <c r="R113" s="37">
        <f ca="1">+SUM(Q$5:Q113)</f>
        <v>44395.437669709245</v>
      </c>
      <c r="T113" t="str">
        <f ca="1">+INDEX(Charges_NonSlice!$C$4:$C$137,MATCH($A113,Charges_NonSlice!$AA$4:$AA$137,0),1)</f>
        <v>Cascade Locks, City of</v>
      </c>
      <c r="U113" s="55">
        <f t="shared" ca="1" si="3"/>
        <v>0.18403410323935909</v>
      </c>
      <c r="V113" s="52">
        <f ca="1">+INDEX(Charges_NonSlice!$Y$4:$Y$137,MATCH($A113,Charges_NonSlice!$AA$4:$AA$137,0),1)</f>
        <v>36.865330420101216</v>
      </c>
      <c r="W113" s="269">
        <f t="shared" ca="1" si="4"/>
        <v>31.135361996113627</v>
      </c>
      <c r="Y113" s="57" t="s">
        <v>116</v>
      </c>
      <c r="Z113" s="58">
        <v>33.26834204211395</v>
      </c>
    </row>
    <row r="114" spans="1:26">
      <c r="A114">
        <f t="shared" si="5"/>
        <v>110</v>
      </c>
      <c r="B114" t="str">
        <f ca="1">+INDEX('Charges_Including Slice and LS'!$C$4:$C$137,MATCH($A114,'Charges_Including Slice and LS'!$AA$4:$AA$137,0),1)</f>
        <v>Minidoka, City of</v>
      </c>
      <c r="C114" s="55">
        <f ca="1">+INDEX('Charges_Including Slice and LS'!$Z$4:$Z$137,MATCH($A114,'Charges_Including Slice and LS'!$AA$4:$AA$137,0),1)</f>
        <v>7.0389864799578206E-2</v>
      </c>
      <c r="D114" s="52">
        <f ca="1">+INDEX('Charges_Including Slice and LS'!$Y$4:$Y$137,MATCH($A114,'Charges_Including Slice and LS'!$AA$4:$AA$137,0),1)</f>
        <v>39.890298602602421</v>
      </c>
      <c r="E114" s="37">
        <f ca="1">+INDEX('Charges_Including Slice and LS'!$X$4:$X$137,MATCH($A114,'Charges_Including Slice and LS'!$AA$4:$AA$137,0),1)/1000</f>
        <v>1.0118620599245867</v>
      </c>
      <c r="F114" s="37">
        <f ca="1">+SUM(E$5:E114)</f>
        <v>50921.884681262833</v>
      </c>
      <c r="H114" t="str">
        <f ca="1">+INDEX(Charges_NonSlice!$C$4:$C$137,MATCH($A114,Charges_NonSlice!$AA$4:$AA$137,0),1)</f>
        <v>Mission Valley</v>
      </c>
      <c r="I114" s="55">
        <f ca="1">+INDEX(Charges_NonSlice!$Z$4:$Z$137,MATCH($A114,Charges_NonSlice!$AA$4:$AA$137,0),1)</f>
        <v>7.2656616145785016E-2</v>
      </c>
      <c r="J114" s="52">
        <f ca="1">+INDEX(Charges_NonSlice!$Y$4:$Y$137,MATCH($A114,Charges_NonSlice!$AA$4:$AA$137,0),1)</f>
        <v>38.342266401847333</v>
      </c>
      <c r="K114" s="37">
        <f ca="1">+INDEX(Charges_NonSlice!$X$4:$X$137,MATCH($A114,Charges_NonSlice!$AA$4:$AA$137,0),1)/1000</f>
        <v>334.37470573835009</v>
      </c>
      <c r="L114" s="37">
        <f ca="1">+SUM(K$5:K114)</f>
        <v>48705.681038715156</v>
      </c>
      <c r="N114" t="str">
        <f ca="1">+INDEX('Charges_NonSlice &amp; Excl LS'!$C$4:$C$137,MATCH($A114,'Charges_NonSlice &amp; Excl LS'!$AA$4:$AA$137,0),1)</f>
        <v>Skamania County PUD #1</v>
      </c>
      <c r="O114" s="55">
        <f ca="1">+INDEX('Charges_NonSlice &amp; Excl LS'!$Z$4:$Z$137,MATCH($A114,'Charges_NonSlice &amp; Excl LS'!$AA$4:$AA$137,0),1)</f>
        <v>8.5075329307377795E-2</v>
      </c>
      <c r="P114" s="52">
        <f ca="1">+INDEX('Charges_NonSlice &amp; Excl LS'!$Y$4:$Y$137,MATCH($A114,'Charges_NonSlice &amp; Excl LS'!$AA$4:$AA$137,0),1)</f>
        <v>35.603569017001952</v>
      </c>
      <c r="Q114" s="37">
        <f ca="1">+INDEX('Charges_NonSlice &amp; Excl LS'!$X$4:$X$137,MATCH($A114,'Charges_NonSlice &amp; Excl LS'!$AA$4:$AA$137,0),1)/1000</f>
        <v>140.14172585510403</v>
      </c>
      <c r="R114" s="37">
        <f ca="1">+SUM(Q$5:Q114)</f>
        <v>44535.579395564346</v>
      </c>
      <c r="T114" t="str">
        <f ca="1">+INDEX(Charges_NonSlice!$C$4:$C$137,MATCH($A114,Charges_NonSlice!$AA$4:$AA$137,0),1)</f>
        <v>Mission Valley</v>
      </c>
      <c r="U114" s="55">
        <f t="shared" ca="1" si="3"/>
        <v>8.5096338206801736E-2</v>
      </c>
      <c r="V114" s="52">
        <f ca="1">+INDEX(Charges_NonSlice!$Y$4:$Y$137,MATCH($A114,Charges_NonSlice!$AA$4:$AA$137,0),1)</f>
        <v>38.342266401847333</v>
      </c>
      <c r="W114" s="269">
        <f t="shared" ca="1" si="4"/>
        <v>35.335356918824949</v>
      </c>
      <c r="Y114" s="57" t="s">
        <v>126</v>
      </c>
      <c r="Z114" s="58">
        <v>35.516177855382175</v>
      </c>
    </row>
    <row r="115" spans="1:26">
      <c r="A115">
        <f t="shared" si="5"/>
        <v>111</v>
      </c>
      <c r="B115" t="str">
        <f ca="1">+INDEX('Charges_Including Slice and LS'!$C$4:$C$137,MATCH($A115,'Charges_Including Slice and LS'!$AA$4:$AA$137,0),1)</f>
        <v>Cowlitz County PUD #1</v>
      </c>
      <c r="C115" s="55">
        <f ca="1">+INDEX('Charges_Including Slice and LS'!$Z$4:$Z$137,MATCH($A115,'Charges_Including Slice and LS'!$AA$4:$AA$137,0),1)</f>
        <v>6.9062243333092826E-2</v>
      </c>
      <c r="D115" s="52">
        <f ca="1">+INDEX('Charges_Including Slice and LS'!$Y$4:$Y$137,MATCH($A115,'Charges_Including Slice and LS'!$AA$4:$AA$137,0),1)</f>
        <v>39.336868177424357</v>
      </c>
      <c r="E115" s="37">
        <f ca="1">+INDEX('Charges_Including Slice and LS'!$X$4:$X$137,MATCH($A115,'Charges_Including Slice and LS'!$AA$4:$AA$137,0),1)/1000</f>
        <v>4047.1784864285942</v>
      </c>
      <c r="F115" s="37">
        <f ca="1">+SUM(E$5:E115)</f>
        <v>54969.063167691427</v>
      </c>
      <c r="H115" t="str">
        <f ca="1">+INDEX(Charges_NonSlice!$C$4:$C$137,MATCH($A115,Charges_NonSlice!$AA$4:$AA$137,0),1)</f>
        <v>Clark County PUD #1</v>
      </c>
      <c r="I115" s="55">
        <f ca="1">+INDEX(Charges_NonSlice!$Z$4:$Z$137,MATCH($A115,Charges_NonSlice!$AA$4:$AA$137,0),1)</f>
        <v>7.2138417885914366E-2</v>
      </c>
      <c r="J115" s="52">
        <f ca="1">+INDEX(Charges_NonSlice!$Y$4:$Y$137,MATCH($A115,Charges_NonSlice!$AA$4:$AA$137,0),1)</f>
        <v>39.774024477166996</v>
      </c>
      <c r="K115" s="37">
        <f ca="1">+INDEX(Charges_NonSlice!$X$4:$X$137,MATCH($A115,Charges_NonSlice!$AA$4:$AA$137,0),1)/1000</f>
        <v>2806.0820400000002</v>
      </c>
      <c r="L115" s="37">
        <f ca="1">+SUM(K$5:K115)</f>
        <v>51511.763078715157</v>
      </c>
      <c r="N115" t="str">
        <f ca="1">+INDEX('Charges_NonSlice &amp; Excl LS'!$C$4:$C$137,MATCH($A115,'Charges_NonSlice &amp; Excl LS'!$AA$4:$AA$137,0),1)</f>
        <v>Minidoka, City of</v>
      </c>
      <c r="O115" s="55">
        <f ca="1">+INDEX('Charges_NonSlice &amp; Excl LS'!$Z$4:$Z$137,MATCH($A115,'Charges_NonSlice &amp; Excl LS'!$AA$4:$AA$137,0),1)</f>
        <v>8.3592307198642829E-2</v>
      </c>
      <c r="P115" s="52">
        <f ca="1">+INDEX('Charges_NonSlice &amp; Excl LS'!$Y$4:$Y$137,MATCH($A115,'Charges_NonSlice &amp; Excl LS'!$AA$4:$AA$137,0),1)</f>
        <v>38.20662782316159</v>
      </c>
      <c r="Q115" s="37">
        <f ca="1">+INDEX('Charges_NonSlice &amp; Excl LS'!$X$4:$X$137,MATCH($A115,'Charges_NonSlice &amp; Excl LS'!$AA$4:$AA$137,0),1)/1000</f>
        <v>1.0151587109760001</v>
      </c>
      <c r="R115" s="37">
        <f ca="1">+SUM(Q$5:Q115)</f>
        <v>44536.594554275325</v>
      </c>
      <c r="T115" t="str">
        <f ca="1">+INDEX(Charges_NonSlice!$C$4:$C$137,MATCH($A115,Charges_NonSlice!$AA$4:$AA$137,0),1)</f>
        <v>Clark County PUD #1</v>
      </c>
      <c r="U115" s="55">
        <f t="shared" ca="1" si="3"/>
        <v>0.18851961915470072</v>
      </c>
      <c r="V115" s="52">
        <f ca="1">+INDEX(Charges_NonSlice!$Y$4:$Y$137,MATCH($A115,Charges_NonSlice!$AA$4:$AA$137,0),1)</f>
        <v>39.774024477166996</v>
      </c>
      <c r="W115" s="269">
        <f t="shared" ca="1" si="4"/>
        <v>33.465181252502241</v>
      </c>
      <c r="Y115" s="57" t="s">
        <v>48</v>
      </c>
      <c r="Z115" s="58">
        <v>31.218101617414593</v>
      </c>
    </row>
    <row r="116" spans="1:26">
      <c r="A116">
        <f t="shared" si="5"/>
        <v>112</v>
      </c>
      <c r="B116" t="str">
        <f ca="1">+INDEX('Charges_Including Slice and LS'!$C$4:$C$137,MATCH($A116,'Charges_Including Slice and LS'!$AA$4:$AA$137,0),1)</f>
        <v>Lewis County PUD #1</v>
      </c>
      <c r="C116" s="55">
        <f ca="1">+INDEX('Charges_Including Slice and LS'!$Z$4:$Z$137,MATCH($A116,'Charges_Including Slice and LS'!$AA$4:$AA$137,0),1)</f>
        <v>6.7936054160735976E-2</v>
      </c>
      <c r="D116" s="52">
        <f ca="1">+INDEX('Charges_Including Slice and LS'!$Y$4:$Y$137,MATCH($A116,'Charges_Including Slice and LS'!$AA$4:$AA$137,0),1)</f>
        <v>39.266050242335368</v>
      </c>
      <c r="E116" s="37">
        <f ca="1">+INDEX('Charges_Including Slice and LS'!$X$4:$X$137,MATCH($A116,'Charges_Including Slice and LS'!$AA$4:$AA$137,0),1)/1000</f>
        <v>1003.5499387897568</v>
      </c>
      <c r="F116" s="37">
        <f ca="1">+SUM(E$5:E116)</f>
        <v>55972.613106481185</v>
      </c>
      <c r="H116" t="str">
        <f ca="1">+INDEX(Charges_NonSlice!$C$4:$C$137,MATCH($A116,Charges_NonSlice!$AA$4:$AA$137,0),1)</f>
        <v>Kittitas County PUD #1</v>
      </c>
      <c r="I116" s="55">
        <f ca="1">+INDEX(Charges_NonSlice!$Z$4:$Z$137,MATCH($A116,Charges_NonSlice!$AA$4:$AA$137,0),1)</f>
        <v>7.1480416606374261E-2</v>
      </c>
      <c r="J116" s="52">
        <f ca="1">+INDEX(Charges_NonSlice!$Y$4:$Y$137,MATCH($A116,Charges_NonSlice!$AA$4:$AA$137,0),1)</f>
        <v>38.582722341628056</v>
      </c>
      <c r="K116" s="37">
        <f ca="1">+INDEX(Charges_NonSlice!$X$4:$X$137,MATCH($A116,Charges_NonSlice!$AA$4:$AA$137,0),1)/1000</f>
        <v>85.477851045797237</v>
      </c>
      <c r="L116" s="37">
        <f ca="1">+SUM(K$5:K116)</f>
        <v>51597.240929760956</v>
      </c>
      <c r="N116" t="str">
        <f ca="1">+INDEX('Charges_NonSlice &amp; Excl LS'!$C$4:$C$137,MATCH($A116,'Charges_NonSlice &amp; Excl LS'!$AA$4:$AA$137,0),1)</f>
        <v>Mission Valley</v>
      </c>
      <c r="O116" s="55">
        <f ca="1">+INDEX('Charges_NonSlice &amp; Excl LS'!$Z$4:$Z$137,MATCH($A116,'Charges_NonSlice &amp; Excl LS'!$AA$4:$AA$137,0),1)</f>
        <v>8.319044412714359E-2</v>
      </c>
      <c r="P116" s="52">
        <f ca="1">+INDEX('Charges_NonSlice &amp; Excl LS'!$Y$4:$Y$137,MATCH($A116,'Charges_NonSlice &amp; Excl LS'!$AA$4:$AA$137,0),1)</f>
        <v>36.290968317110867</v>
      </c>
      <c r="Q116" s="37">
        <f ca="1">+INDEX('Charges_NonSlice &amp; Excl LS'!$X$4:$X$137,MATCH($A116,'Charges_NonSlice &amp; Excl LS'!$AA$4:$AA$137,0),1)/1000</f>
        <v>334.37957786688003</v>
      </c>
      <c r="R116" s="37">
        <f ca="1">+SUM(Q$5:Q116)</f>
        <v>44870.974132142204</v>
      </c>
      <c r="T116" t="str">
        <f ca="1">+INDEX(Charges_NonSlice!$C$4:$C$137,MATCH($A116,Charges_NonSlice!$AA$4:$AA$137,0),1)</f>
        <v>Kittitas County PUD #1</v>
      </c>
      <c r="U116" s="55">
        <f t="shared" ca="1" si="3"/>
        <v>8.4815592330253153E-2</v>
      </c>
      <c r="V116" s="52">
        <f ca="1">+INDEX(Charges_NonSlice!$Y$4:$Y$137,MATCH($A116,Charges_NonSlice!$AA$4:$AA$137,0),1)</f>
        <v>38.582722341628056</v>
      </c>
      <c r="W116" s="269">
        <f t="shared" ca="1" si="4"/>
        <v>35.566157616475536</v>
      </c>
      <c r="Y116" s="57" t="s">
        <v>100</v>
      </c>
      <c r="Z116" s="58">
        <v>36.154273152013218</v>
      </c>
    </row>
    <row r="117" spans="1:26">
      <c r="A117">
        <f t="shared" si="5"/>
        <v>113</v>
      </c>
      <c r="B117" t="str">
        <f ca="1">+INDEX('Charges_Including Slice and LS'!$C$4:$C$137,MATCH($A117,'Charges_Including Slice and LS'!$AA$4:$AA$137,0),1)</f>
        <v>Idaho County L &amp; P</v>
      </c>
      <c r="C117" s="55">
        <f ca="1">+INDEX('Charges_Including Slice and LS'!$Z$4:$Z$137,MATCH($A117,'Charges_Including Slice and LS'!$AA$4:$AA$137,0),1)</f>
        <v>6.5541867351729025E-2</v>
      </c>
      <c r="D117" s="52">
        <f ca="1">+INDEX('Charges_Including Slice and LS'!$Y$4:$Y$137,MATCH($A117,'Charges_Including Slice and LS'!$AA$4:$AA$137,0),1)</f>
        <v>39.869159396176208</v>
      </c>
      <c r="E117" s="37">
        <f ca="1">+INDEX('Charges_Including Slice and LS'!$X$4:$X$137,MATCH($A117,'Charges_Including Slice and LS'!$AA$4:$AA$137,0),1)/1000</f>
        <v>54.739558231516057</v>
      </c>
      <c r="F117" s="37">
        <f ca="1">+SUM(E$5:E117)</f>
        <v>56027.3526647127</v>
      </c>
      <c r="H117" t="str">
        <f ca="1">+INDEX(Charges_NonSlice!$C$4:$C$137,MATCH($A117,Charges_NonSlice!$AA$4:$AA$137,0),1)</f>
        <v>Minidoka, City of</v>
      </c>
      <c r="I117" s="55">
        <f ca="1">+INDEX(Charges_NonSlice!$Z$4:$Z$137,MATCH($A117,Charges_NonSlice!$AA$4:$AA$137,0),1)</f>
        <v>7.0339501195407106E-2</v>
      </c>
      <c r="J117" s="52">
        <f ca="1">+INDEX(Charges_NonSlice!$Y$4:$Y$137,MATCH($A117,Charges_NonSlice!$AA$4:$AA$137,0),1)</f>
        <v>39.916982081575846</v>
      </c>
      <c r="K117" s="37">
        <f ca="1">+INDEX(Charges_NonSlice!$X$4:$X$137,MATCH($A117,Charges_NonSlice!$AA$4:$AA$137,0),1)/1000</f>
        <v>1.0118620599245867</v>
      </c>
      <c r="L117" s="37">
        <f ca="1">+SUM(K$5:K117)</f>
        <v>51598.25279182088</v>
      </c>
      <c r="N117" t="str">
        <f ca="1">+INDEX('Charges_NonSlice &amp; Excl LS'!$C$4:$C$137,MATCH($A117,'Charges_NonSlice &amp; Excl LS'!$AA$4:$AA$137,0),1)</f>
        <v>Idaho County L &amp; P</v>
      </c>
      <c r="O117" s="55">
        <f ca="1">+INDEX('Charges_NonSlice &amp; Excl LS'!$Z$4:$Z$137,MATCH($A117,'Charges_NonSlice &amp; Excl LS'!$AA$4:$AA$137,0),1)</f>
        <v>8.0498501713769821E-2</v>
      </c>
      <c r="P117" s="52">
        <f ca="1">+INDEX('Charges_NonSlice &amp; Excl LS'!$Y$4:$Y$137,MATCH($A117,'Charges_NonSlice &amp; Excl LS'!$AA$4:$AA$137,0),1)</f>
        <v>38.106472146925782</v>
      </c>
      <c r="Q117" s="37">
        <f ca="1">+INDEX('Charges_NonSlice &amp; Excl LS'!$X$4:$X$137,MATCH($A117,'Charges_NonSlice &amp; Excl LS'!$AA$4:$AA$137,0),1)/1000</f>
        <v>54.743834782080008</v>
      </c>
      <c r="R117" s="37">
        <f ca="1">+SUM(Q$5:Q117)</f>
        <v>44925.717966924283</v>
      </c>
      <c r="T117" t="str">
        <f ca="1">+INDEX(Charges_NonSlice!$C$4:$C$137,MATCH($A117,Charges_NonSlice!$AA$4:$AA$137,0),1)</f>
        <v>Minidoka, City of</v>
      </c>
      <c r="U117" s="55">
        <f t="shared" ca="1" si="3"/>
        <v>0.10607748070942646</v>
      </c>
      <c r="V117" s="52">
        <f ca="1">+INDEX(Charges_NonSlice!$Y$4:$Y$137,MATCH($A117,Charges_NonSlice!$AA$4:$AA$137,0),1)</f>
        <v>39.916982081575846</v>
      </c>
      <c r="W117" s="269">
        <f t="shared" ca="1" si="4"/>
        <v>36.08877567598023</v>
      </c>
      <c r="Y117" s="57" t="s">
        <v>22</v>
      </c>
      <c r="Z117" s="58">
        <v>31.135361996113627</v>
      </c>
    </row>
    <row r="118" spans="1:26">
      <c r="A118">
        <f t="shared" si="5"/>
        <v>114</v>
      </c>
      <c r="B118" t="str">
        <f ca="1">+INDEX('Charges_Including Slice and LS'!$C$4:$C$137,MATCH($A118,'Charges_Including Slice and LS'!$AA$4:$AA$137,0),1)</f>
        <v>Tacoma Public Utilities</v>
      </c>
      <c r="C118" s="55">
        <f ca="1">+INDEX('Charges_Including Slice and LS'!$Z$4:$Z$137,MATCH($A118,'Charges_Including Slice and LS'!$AA$4:$AA$137,0),1)</f>
        <v>6.5001796805396167E-2</v>
      </c>
      <c r="D118" s="52">
        <f ca="1">+INDEX('Charges_Including Slice and LS'!$Y$4:$Y$137,MATCH($A118,'Charges_Including Slice and LS'!$AA$4:$AA$137,0),1)</f>
        <v>39.370293786608691</v>
      </c>
      <c r="E118" s="37">
        <f ca="1">+INDEX('Charges_Including Slice and LS'!$X$4:$X$137,MATCH($A118,'Charges_Including Slice and LS'!$AA$4:$AA$137,0),1)/1000</f>
        <v>2940.4187150014736</v>
      </c>
      <c r="F118" s="37">
        <f ca="1">+SUM(E$5:E118)</f>
        <v>58967.771379714177</v>
      </c>
      <c r="H118" t="str">
        <f ca="1">+INDEX(Charges_NonSlice!$C$4:$C$137,MATCH($A118,Charges_NonSlice!$AA$4:$AA$137,0),1)</f>
        <v>Idaho County L &amp; P</v>
      </c>
      <c r="I118" s="55">
        <f ca="1">+INDEX(Charges_NonSlice!$Z$4:$Z$137,MATCH($A118,Charges_NonSlice!$AA$4:$AA$137,0),1)</f>
        <v>6.5539253139930698E-2</v>
      </c>
      <c r="J118" s="52">
        <f ca="1">+INDEX(Charges_NonSlice!$Y$4:$Y$137,MATCH($A118,Charges_NonSlice!$AA$4:$AA$137,0),1)</f>
        <v>39.870252491663706</v>
      </c>
      <c r="K118" s="37">
        <f ca="1">+INDEX(Charges_NonSlice!$X$4:$X$137,MATCH($A118,Charges_NonSlice!$AA$4:$AA$137,0),1)/1000</f>
        <v>54.739558231516057</v>
      </c>
      <c r="L118" s="37">
        <f ca="1">+SUM(K$5:K118)</f>
        <v>51652.992350052395</v>
      </c>
      <c r="N118" t="str">
        <f ca="1">+INDEX('Charges_NonSlice &amp; Excl LS'!$C$4:$C$137,MATCH($A118,'Charges_NonSlice &amp; Excl LS'!$AA$4:$AA$137,0),1)</f>
        <v>Ferry County PUD #1</v>
      </c>
      <c r="O118" s="55">
        <f ca="1">+INDEX('Charges_NonSlice &amp; Excl LS'!$Z$4:$Z$137,MATCH($A118,'Charges_NonSlice &amp; Excl LS'!$AA$4:$AA$137,0),1)</f>
        <v>7.9100537599712792E-2</v>
      </c>
      <c r="P118" s="52">
        <f ca="1">+INDEX('Charges_NonSlice &amp; Excl LS'!$Y$4:$Y$137,MATCH($A118,'Charges_NonSlice &amp; Excl LS'!$AA$4:$AA$137,0),1)</f>
        <v>38.734925541784364</v>
      </c>
      <c r="Q118" s="37">
        <f ca="1">+INDEX('Charges_NonSlice &amp; Excl LS'!$X$4:$X$137,MATCH($A118,'Charges_NonSlice &amp; Excl LS'!$AA$4:$AA$137,0),1)/1000</f>
        <v>84.650534966784022</v>
      </c>
      <c r="R118" s="37">
        <f ca="1">+SUM(Q$5:Q118)</f>
        <v>45010.368501891069</v>
      </c>
      <c r="T118" t="str">
        <f ca="1">+INDEX(Charges_NonSlice!$C$4:$C$137,MATCH($A118,Charges_NonSlice!$AA$4:$AA$137,0),1)</f>
        <v>Idaho County L &amp; P</v>
      </c>
      <c r="U118" s="55">
        <f t="shared" ca="1" si="3"/>
        <v>0.16850400370158414</v>
      </c>
      <c r="V118" s="52">
        <f ca="1">+INDEX(Charges_NonSlice!$Y$4:$Y$137,MATCH($A118,Charges_NonSlice!$AA$4:$AA$137,0),1)</f>
        <v>39.870252491663706</v>
      </c>
      <c r="W118" s="269">
        <f t="shared" ca="1" si="4"/>
        <v>34.120766694305551</v>
      </c>
      <c r="Y118" s="57" t="s">
        <v>52</v>
      </c>
      <c r="Z118" s="58">
        <v>32.820667243383348</v>
      </c>
    </row>
    <row r="119" spans="1:26">
      <c r="A119">
        <f t="shared" si="5"/>
        <v>115</v>
      </c>
      <c r="B119" t="str">
        <f ca="1">+INDEX('Charges_Including Slice and LS'!$C$4:$C$137,MATCH($A119,'Charges_Including Slice and LS'!$AA$4:$AA$137,0),1)</f>
        <v>Bonners Ferry, City of</v>
      </c>
      <c r="C119" s="55">
        <f ca="1">+INDEX('Charges_Including Slice and LS'!$Z$4:$Z$137,MATCH($A119,'Charges_Including Slice and LS'!$AA$4:$AA$137,0),1)</f>
        <v>6.2846440518947916E-2</v>
      </c>
      <c r="D119" s="52">
        <f ca="1">+INDEX('Charges_Including Slice and LS'!$Y$4:$Y$137,MATCH($A119,'Charges_Including Slice and LS'!$AA$4:$AA$137,0),1)</f>
        <v>42.288614433375379</v>
      </c>
      <c r="E119" s="37">
        <f ca="1">+INDEX('Charges_Including Slice and LS'!$X$4:$X$137,MATCH($A119,'Charges_Including Slice and LS'!$AA$4:$AA$137,0),1)/1000</f>
        <v>46.862443766457147</v>
      </c>
      <c r="F119" s="37">
        <f ca="1">+SUM(E$5:E119)</f>
        <v>59014.633823480632</v>
      </c>
      <c r="H119" t="str">
        <f ca="1">+INDEX(Charges_NonSlice!$C$4:$C$137,MATCH($A119,Charges_NonSlice!$AA$4:$AA$137,0),1)</f>
        <v>Bonners Ferry, City of</v>
      </c>
      <c r="I119" s="55">
        <f ca="1">+INDEX(Charges_NonSlice!$Z$4:$Z$137,MATCH($A119,Charges_NonSlice!$AA$4:$AA$137,0),1)</f>
        <v>6.2846016795991611E-2</v>
      </c>
      <c r="J119" s="52">
        <f ca="1">+INDEX(Charges_NonSlice!$Y$4:$Y$137,MATCH($A119,Charges_NonSlice!$AA$4:$AA$137,0),1)</f>
        <v>42.28887050196753</v>
      </c>
      <c r="K119" s="37">
        <f ca="1">+INDEX(Charges_NonSlice!$X$4:$X$137,MATCH($A119,Charges_NonSlice!$AA$4:$AA$137,0),1)/1000</f>
        <v>46.862443766457147</v>
      </c>
      <c r="L119" s="37">
        <f ca="1">+SUM(K$5:K119)</f>
        <v>51699.854793818849</v>
      </c>
      <c r="N119" t="str">
        <f ca="1">+INDEX('Charges_NonSlice &amp; Excl LS'!$C$4:$C$137,MATCH($A119,'Charges_NonSlice &amp; Excl LS'!$AA$4:$AA$137,0),1)</f>
        <v>PNGC Aggregate</v>
      </c>
      <c r="O119" s="55">
        <f ca="1">+INDEX('Charges_NonSlice &amp; Excl LS'!$Z$4:$Z$137,MATCH($A119,'Charges_NonSlice &amp; Excl LS'!$AA$4:$AA$137,0),1)</f>
        <v>7.312772521869601E-2</v>
      </c>
      <c r="P119" s="52">
        <f ca="1">+INDEX('Charges_NonSlice &amp; Excl LS'!$Y$4:$Y$137,MATCH($A119,'Charges_NonSlice &amp; Excl LS'!$AA$4:$AA$137,0),1)</f>
        <v>38.469135265598112</v>
      </c>
      <c r="Q119" s="37">
        <f ca="1">+INDEX('Charges_NonSlice &amp; Excl LS'!$X$4:$X$137,MATCH($A119,'Charges_NonSlice &amp; Excl LS'!$AA$4:$AA$137,0),1)/1000</f>
        <v>6670.3089473808004</v>
      </c>
      <c r="R119" s="37">
        <f ca="1">+SUM(Q$5:Q119)</f>
        <v>51680.677449271869</v>
      </c>
      <c r="T119" t="str">
        <f ca="1">+INDEX(Charges_NonSlice!$C$4:$C$137,MATCH($A119,Charges_NonSlice!$AA$4:$AA$137,0),1)</f>
        <v>Bonners Ferry, City of</v>
      </c>
      <c r="U119" s="55">
        <f t="shared" ca="1" si="3"/>
        <v>5.3364563095413153E-2</v>
      </c>
      <c r="V119" s="52">
        <f ca="1">+INDEX(Charges_NonSlice!$Y$4:$Y$137,MATCH($A119,Charges_NonSlice!$AA$4:$AA$137,0),1)</f>
        <v>42.28887050196753</v>
      </c>
      <c r="W119" s="269">
        <f t="shared" ca="1" si="4"/>
        <v>40.146471585960334</v>
      </c>
      <c r="Y119" s="57" t="s">
        <v>88</v>
      </c>
      <c r="Z119" s="58">
        <v>32.317139673549072</v>
      </c>
    </row>
    <row r="120" spans="1:26">
      <c r="A120">
        <f t="shared" si="5"/>
        <v>116</v>
      </c>
      <c r="B120" t="str">
        <f ca="1">+INDEX('Charges_Including Slice and LS'!$C$4:$C$137,MATCH($A120,'Charges_Including Slice and LS'!$AA$4:$AA$137,0),1)</f>
        <v>Columbia Basin Elec Coop</v>
      </c>
      <c r="C120" s="55">
        <f ca="1">+INDEX('Charges_Including Slice and LS'!$Z$4:$Z$137,MATCH($A120,'Charges_Including Slice and LS'!$AA$4:$AA$137,0),1)</f>
        <v>2.2410119371162216E-3</v>
      </c>
      <c r="D120" s="52">
        <f ca="1">+INDEX('Charges_Including Slice and LS'!$Y$4:$Y$137,MATCH($A120,'Charges_Including Slice and LS'!$AA$4:$AA$137,0),1)</f>
        <v>30.570894025814408</v>
      </c>
      <c r="E120" s="37">
        <f ca="1">+INDEX('Charges_Including Slice and LS'!$X$4:$X$137,MATCH($A120,'Charges_Including Slice and LS'!$AA$4:$AA$137,0),1)/1000</f>
        <v>106.76538830237537</v>
      </c>
      <c r="F120" s="37">
        <f ca="1">+SUM(E$5:E120)</f>
        <v>59121.399211783006</v>
      </c>
      <c r="H120" t="str">
        <f ca="1">+INDEX(Charges_NonSlice!$C$4:$C$137,MATCH($A120,Charges_NonSlice!$AA$4:$AA$137,0),1)</f>
        <v>Columbia Basin Elec Coop</v>
      </c>
      <c r="I120" s="55">
        <f ca="1">+INDEX(Charges_NonSlice!$Z$4:$Z$137,MATCH($A120,Charges_NonSlice!$AA$4:$AA$137,0),1)</f>
        <v>2.2400005589592892E-3</v>
      </c>
      <c r="J120" s="52">
        <f ca="1">+INDEX(Charges_NonSlice!$Y$4:$Y$137,MATCH($A120,Charges_NonSlice!$AA$4:$AA$137,0),1)</f>
        <v>30.571207528020544</v>
      </c>
      <c r="K120" s="37">
        <f ca="1">+INDEX(Charges_NonSlice!$X$4:$X$137,MATCH($A120,Charges_NonSlice!$AA$4:$AA$137,0),1)/1000</f>
        <v>106.76538830237537</v>
      </c>
      <c r="L120" s="37">
        <f ca="1">+SUM(K$5:K120)</f>
        <v>51806.620182121223</v>
      </c>
      <c r="N120" t="str">
        <f ca="1">+INDEX('Charges_NonSlice &amp; Excl LS'!$C$4:$C$137,MATCH($A120,'Charges_NonSlice &amp; Excl LS'!$AA$4:$AA$137,0),1)</f>
        <v>Columbia Basin Elec Coop</v>
      </c>
      <c r="O120" s="55">
        <f ca="1">+INDEX('Charges_NonSlice &amp; Excl LS'!$Z$4:$Z$137,MATCH($A120,'Charges_NonSlice &amp; Excl LS'!$AA$4:$AA$137,0),1)</f>
        <v>8.6791920251136287E-3</v>
      </c>
      <c r="P120" s="52">
        <f ca="1">+INDEX('Charges_NonSlice &amp; Excl LS'!$Y$4:$Y$137,MATCH($A120,'Charges_NonSlice &amp; Excl LS'!$AA$4:$AA$137,0),1)</f>
        <v>31.636396023442295</v>
      </c>
      <c r="Q120" s="37">
        <f ca="1">+INDEX('Charges_NonSlice &amp; Excl LS'!$X$4:$X$137,MATCH($A120,'Charges_NonSlice &amp; Excl LS'!$AA$4:$AA$137,0),1)/1000</f>
        <v>106.766047743936</v>
      </c>
      <c r="R120" s="37">
        <f ca="1">+SUM(Q$5:Q120)</f>
        <v>51787.443497015804</v>
      </c>
      <c r="T120" t="str">
        <f ca="1">+INDEX(Charges_NonSlice!$C$4:$C$137,MATCH($A120,Charges_NonSlice!$AA$4:$AA$137,0),1)</f>
        <v>Columbia Basin Elec Coop</v>
      </c>
      <c r="U120" s="55">
        <f t="shared" ca="1" si="3"/>
        <v>-2.0721762563332469E-2</v>
      </c>
      <c r="V120" s="52">
        <f ca="1">+INDEX(Charges_NonSlice!$Y$4:$Y$137,MATCH($A120,Charges_NonSlice!$AA$4:$AA$137,0),1)</f>
        <v>30.571207528020544</v>
      </c>
      <c r="W120" s="269">
        <f t="shared" ca="1" si="4"/>
        <v>31.218101617414593</v>
      </c>
      <c r="Y120" s="57" t="s">
        <v>133</v>
      </c>
      <c r="Z120" s="58">
        <v>34.439947662104402</v>
      </c>
    </row>
    <row r="121" spans="1:26">
      <c r="C121" s="55"/>
      <c r="D121" s="52"/>
      <c r="E121" s="37"/>
      <c r="F121" s="37"/>
      <c r="I121" s="55"/>
      <c r="J121" s="52"/>
      <c r="K121" s="37"/>
      <c r="L121" s="37"/>
      <c r="O121" s="55"/>
      <c r="P121" s="52"/>
      <c r="Q121" s="37"/>
      <c r="R121" s="37"/>
      <c r="U121" s="55"/>
      <c r="V121" s="52"/>
      <c r="W121" s="269" t="str">
        <f t="shared" si="4"/>
        <v xml:space="preserve"> </v>
      </c>
      <c r="Y121" s="57" t="s">
        <v>124</v>
      </c>
      <c r="Z121" s="58">
        <v>34.522541029886227</v>
      </c>
    </row>
    <row r="122" spans="1:26">
      <c r="C122" s="55"/>
      <c r="D122" s="52"/>
      <c r="E122" s="37"/>
      <c r="F122" s="37"/>
      <c r="I122" s="55"/>
      <c r="J122" s="52"/>
      <c r="K122" s="37"/>
      <c r="L122" s="37"/>
      <c r="O122" s="55"/>
      <c r="P122" s="52"/>
      <c r="Q122" s="37"/>
      <c r="R122" s="37"/>
      <c r="U122" s="55"/>
      <c r="V122" s="52"/>
      <c r="Y122" s="57"/>
      <c r="Z122" s="58"/>
    </row>
    <row r="123" spans="1:26">
      <c r="C123" s="55"/>
      <c r="D123" s="52"/>
      <c r="E123" s="37"/>
      <c r="F123" s="37"/>
      <c r="I123" s="55"/>
      <c r="J123" s="52"/>
      <c r="K123" s="37"/>
      <c r="L123" s="37"/>
      <c r="O123" s="55"/>
      <c r="P123" s="52"/>
      <c r="Q123" s="37"/>
      <c r="R123" s="37"/>
      <c r="U123" s="55"/>
      <c r="V123" s="52"/>
      <c r="Y123" s="57"/>
      <c r="Z123" s="58"/>
    </row>
    <row r="124" spans="1:26">
      <c r="C124" s="55"/>
      <c r="D124" s="52"/>
      <c r="E124" s="37"/>
      <c r="F124" s="37"/>
      <c r="Y124" s="57"/>
      <c r="Z124" s="58"/>
    </row>
    <row r="125" spans="1:26">
      <c r="Y125" s="57"/>
      <c r="Z125" s="58"/>
    </row>
    <row r="126" spans="1:26">
      <c r="C126" s="59"/>
      <c r="I126" s="59"/>
      <c r="O126" s="59"/>
      <c r="U126" s="59"/>
      <c r="Y126" s="57"/>
      <c r="Z126" s="58"/>
    </row>
    <row r="127" spans="1:26">
      <c r="Y127" s="57"/>
      <c r="Z127" s="58"/>
    </row>
    <row r="128" spans="1:26">
      <c r="Y128" s="57"/>
      <c r="Z128" s="58"/>
    </row>
    <row r="129" spans="25:26">
      <c r="Y129" s="57"/>
      <c r="Z129" s="58"/>
    </row>
    <row r="130" spans="25:26">
      <c r="Y130" s="57"/>
      <c r="Z130" s="58"/>
    </row>
    <row r="131" spans="25:26">
      <c r="Y131" s="57"/>
      <c r="Z131" s="58"/>
    </row>
    <row r="132" spans="25:26">
      <c r="Y132" s="57"/>
      <c r="Z132" s="58"/>
    </row>
    <row r="133" spans="25:26">
      <c r="Y133" s="57"/>
      <c r="Z133" s="58"/>
    </row>
    <row r="134" spans="25:26">
      <c r="Y134" s="57"/>
      <c r="Z134" s="58"/>
    </row>
    <row r="135" spans="25:26">
      <c r="Y135" s="57"/>
      <c r="Z135" s="58"/>
    </row>
    <row r="136" spans="25:26">
      <c r="Y136" s="57"/>
      <c r="Z136" s="58"/>
    </row>
    <row r="137" spans="25:26">
      <c r="Y137"/>
      <c r="Z137"/>
    </row>
    <row r="138" spans="25:26">
      <c r="Y138"/>
      <c r="Z138"/>
    </row>
    <row r="139" spans="25:26">
      <c r="Y139"/>
      <c r="Z139"/>
    </row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0">
    <tabColor theme="7"/>
  </sheetPr>
  <dimension ref="A2:Q119"/>
  <sheetViews>
    <sheetView workbookViewId="0">
      <pane xSplit="2" ySplit="3" topLeftCell="I4" activePane="bottomRight" state="frozen"/>
      <selection activeCell="B86" sqref="B86"/>
      <selection pane="topRight" activeCell="B86" sqref="B86"/>
      <selection pane="bottomLeft" activeCell="B86" sqref="B86"/>
      <selection pane="bottomRight" activeCell="B117" sqref="B117:Q117"/>
    </sheetView>
  </sheetViews>
  <sheetFormatPr defaultRowHeight="15"/>
  <cols>
    <col min="2" max="2" width="35.42578125" customWidth="1"/>
    <col min="3" max="10" width="15.85546875" style="52" customWidth="1"/>
    <col min="11" max="11" width="12.28515625" style="52" customWidth="1"/>
    <col min="12" max="16" width="15.85546875" style="52" customWidth="1"/>
    <col min="17" max="17" width="14.5703125" style="52" customWidth="1"/>
  </cols>
  <sheetData>
    <row r="2" spans="1:17">
      <c r="C2" s="51" t="s">
        <v>226</v>
      </c>
      <c r="D2" s="51"/>
      <c r="E2" s="51"/>
      <c r="L2" s="51" t="s">
        <v>230</v>
      </c>
      <c r="M2" s="51"/>
    </row>
    <row r="3" spans="1:17" ht="69" customHeight="1">
      <c r="C3" s="53" t="s">
        <v>225</v>
      </c>
      <c r="D3" s="53"/>
      <c r="E3" s="53"/>
      <c r="F3" s="53" t="s">
        <v>233</v>
      </c>
      <c r="G3" s="53"/>
      <c r="H3" s="53" t="s">
        <v>231</v>
      </c>
      <c r="I3" s="53"/>
      <c r="J3" s="53" t="s">
        <v>232</v>
      </c>
      <c r="K3" s="53" t="s">
        <v>235</v>
      </c>
      <c r="L3" s="53" t="s">
        <v>225</v>
      </c>
      <c r="M3" s="53"/>
      <c r="N3" s="53" t="s">
        <v>233</v>
      </c>
      <c r="O3" s="53"/>
      <c r="P3" s="53" t="s">
        <v>232</v>
      </c>
    </row>
    <row r="4" spans="1:17">
      <c r="A4">
        <f>IF(VLOOKUP(B4,TOCA_current!$B$2:$BG$136,45,FALSE)=0,0,1)</f>
        <v>0</v>
      </c>
      <c r="B4" t="s">
        <v>35</v>
      </c>
      <c r="C4" s="267" t="str">
        <f>IF(A4=1,VLOOKUP($B4,Outputs!$B:$F,2,FALSE),"")</f>
        <v/>
      </c>
      <c r="D4" s="267">
        <f ca="1">IF(A4=0,VLOOKUP($B4,Outputs!$B:$F,2,FALSE),"")</f>
        <v>7.0389864799578206E-2</v>
      </c>
      <c r="E4" s="54"/>
      <c r="F4" s="54" t="str">
        <f>IF(A4=1,VLOOKUP($B4,Outputs!$H:$L,2,FALSE),"")</f>
        <v/>
      </c>
      <c r="G4" s="54">
        <f ca="1">IF(A4=0,VLOOKUP($B4,Outputs!$H:$L,2,FALSE),"")</f>
        <v>7.0339501195407106E-2</v>
      </c>
      <c r="H4" s="267"/>
      <c r="I4" s="267"/>
      <c r="J4" s="268">
        <f ca="1">VLOOKUP($B4,Outputs!$N:$R,2,FALSE)</f>
        <v>8.3592307198642829E-2</v>
      </c>
      <c r="K4" s="268">
        <f ca="1">+VLOOKUP(B4,Outputs!T:U,2,FALSE)</f>
        <v>0.10607748070942646</v>
      </c>
      <c r="L4" s="267" t="str">
        <f>IF($A4=1,VLOOKUP($B4,Outputs!$B:$F,3,FALSE),"")</f>
        <v/>
      </c>
      <c r="M4" s="267">
        <f ca="1">IF($A4=0,VLOOKUP($B4,Outputs!$B:$F,3,FALSE),"")</f>
        <v>39.890298602602421</v>
      </c>
      <c r="N4" s="267" t="str">
        <f>IF($A4=1,VLOOKUP($B4,Outputs!$H:$L,3,FALSE),"")</f>
        <v/>
      </c>
      <c r="O4" s="267">
        <f ca="1">IF($A4=0,VLOOKUP($B4,Outputs!$H:$L,3,FALSE),"")</f>
        <v>39.916982081575846</v>
      </c>
      <c r="P4" s="267" t="str">
        <f>IF($A4=1,VLOOKUP($B4,Outputs!$N:$R,3,FALSE),"")</f>
        <v/>
      </c>
      <c r="Q4" s="267">
        <f ca="1">IF($A4=0,VLOOKUP($B4,Outputs!$N:$R,3,FALSE),"")</f>
        <v>38.20662782316159</v>
      </c>
    </row>
    <row r="5" spans="1:17">
      <c r="A5">
        <f>IF(VLOOKUP(B5,TOCA_current!$B$2:$BG$136,45,FALSE)=0,0,1)</f>
        <v>0</v>
      </c>
      <c r="B5" t="s">
        <v>52</v>
      </c>
      <c r="C5" s="267" t="str">
        <f>IF(A5=1,VLOOKUP($B5,Outputs!$B:$F,2,FALSE),"")</f>
        <v/>
      </c>
      <c r="D5" s="267">
        <f ca="1">IF(A5=0,VLOOKUP($B5,Outputs!$B:$F,2,FALSE),"")</f>
        <v>0.12031304184898632</v>
      </c>
      <c r="E5" s="54"/>
      <c r="F5" s="54" t="str">
        <f>IF(A5=1,VLOOKUP($B5,Outputs!$H:$L,2,FALSE),"")</f>
        <v/>
      </c>
      <c r="G5" s="54">
        <f ca="1">IF(A5=0,VLOOKUP($B5,Outputs!$H:$L,2,FALSE),"")</f>
        <v>0.1202649583486317</v>
      </c>
      <c r="H5" s="267"/>
      <c r="I5" s="267"/>
      <c r="J5" s="268">
        <f ca="1">VLOOKUP($B5,Outputs!$N:$R,2,FALSE)</f>
        <v>0.11373080176724779</v>
      </c>
      <c r="K5" s="268">
        <f ca="1">+VLOOKUP(B5,Outputs!T:U,2,FALSE)</f>
        <v>0.90191904201710327</v>
      </c>
      <c r="L5" s="267" t="str">
        <f>IF($A5=1,VLOOKUP($B5,Outputs!$B:$F,3,FALSE),"")</f>
        <v/>
      </c>
      <c r="M5" s="267">
        <f ca="1">IF($A5=0,VLOOKUP($B5,Outputs!$B:$F,3,FALSE),"")</f>
        <v>62.400318241853107</v>
      </c>
      <c r="N5" s="267" t="str">
        <f>IF($A5=1,VLOOKUP($B5,Outputs!$H:$L,3,FALSE),"")</f>
        <v/>
      </c>
      <c r="O5" s="267">
        <f ca="1">IF($A5=0,VLOOKUP($B5,Outputs!$H:$L,3,FALSE),"")</f>
        <v>62.422252001897775</v>
      </c>
      <c r="P5" s="267" t="str">
        <f>IF($A5=1,VLOOKUP($B5,Outputs!$N:$R,3,FALSE),"")</f>
        <v/>
      </c>
      <c r="Q5" s="267">
        <f ca="1">IF($A5=0,VLOOKUP($B5,Outputs!$N:$R,3,FALSE),"")</f>
        <v>61.97385032336333</v>
      </c>
    </row>
    <row r="6" spans="1:17">
      <c r="A6">
        <f>IF(VLOOKUP(B6,TOCA_current!$B$2:$BG$136,45,FALSE)=0,0,1)</f>
        <v>0</v>
      </c>
      <c r="B6" t="s">
        <v>26</v>
      </c>
      <c r="C6" s="267" t="str">
        <f>IF(A6=1,VLOOKUP($B6,Outputs!$B:$F,2,FALSE),"")</f>
        <v/>
      </c>
      <c r="D6" s="267">
        <f ca="1">IF(A6=0,VLOOKUP($B6,Outputs!$B:$F,2,FALSE),"")</f>
        <v>9.7438482808411622E-2</v>
      </c>
      <c r="E6" s="54"/>
      <c r="F6" s="54" t="str">
        <f>IF(A6=1,VLOOKUP($B6,Outputs!$H:$L,2,FALSE),"")</f>
        <v/>
      </c>
      <c r="G6" s="54">
        <f ca="1">IF(A6=0,VLOOKUP($B6,Outputs!$H:$L,2,FALSE),"")</f>
        <v>9.7423988211168377E-2</v>
      </c>
      <c r="H6" s="267"/>
      <c r="I6" s="267"/>
      <c r="J6" s="268">
        <f ca="1">VLOOKUP($B6,Outputs!$N:$R,2,FALSE)</f>
        <v>0.10137541926713091</v>
      </c>
      <c r="K6" s="268">
        <f ca="1">+VLOOKUP(B6,Outputs!T:U,2,FALSE)</f>
        <v>0.18405677786849717</v>
      </c>
      <c r="L6" s="267" t="str">
        <f>IF($A6=1,VLOOKUP($B6,Outputs!$B:$F,3,FALSE),"")</f>
        <v/>
      </c>
      <c r="M6" s="267">
        <f ca="1">IF($A6=0,VLOOKUP($B6,Outputs!$B:$F,3,FALSE),"")</f>
        <v>43.321064269964616</v>
      </c>
      <c r="N6" s="267" t="str">
        <f>IF($A6=1,VLOOKUP($B6,Outputs!$H:$L,3,FALSE),"")</f>
        <v/>
      </c>
      <c r="O6" s="267">
        <f ca="1">IF($A6=0,VLOOKUP($B6,Outputs!$H:$L,3,FALSE),"")</f>
        <v>43.326756221545082</v>
      </c>
      <c r="P6" s="267" t="str">
        <f>IF($A6=1,VLOOKUP($B6,Outputs!$N:$R,3,FALSE),"")</f>
        <v/>
      </c>
      <c r="Q6" s="267">
        <f ca="1">IF($A6=0,VLOOKUP($B6,Outputs!$N:$R,3,FALSE),"")</f>
        <v>41.940101798337352</v>
      </c>
    </row>
    <row r="7" spans="1:17">
      <c r="A7">
        <f>IF(VLOOKUP(B7,TOCA_current!$B$2:$BG$136,45,FALSE)=0,0,1)</f>
        <v>0</v>
      </c>
      <c r="B7" t="s">
        <v>16</v>
      </c>
      <c r="C7" s="267" t="str">
        <f>IF(A7=1,VLOOKUP($B7,Outputs!$B:$F,2,FALSE),"")</f>
        <v/>
      </c>
      <c r="D7" s="267">
        <f ca="1">IF(A7=0,VLOOKUP($B7,Outputs!$B:$F,2,FALSE),"")</f>
        <v>9.1190235508977216E-2</v>
      </c>
      <c r="E7" s="54"/>
      <c r="F7" s="54" t="str">
        <f>IF(A7=1,VLOOKUP($B7,Outputs!$H:$L,2,FALSE),"")</f>
        <v/>
      </c>
      <c r="G7" s="54">
        <f ca="1">IF(A7=0,VLOOKUP($B7,Outputs!$H:$L,2,FALSE),"")</f>
        <v>9.1184933952239478E-2</v>
      </c>
      <c r="H7" s="267"/>
      <c r="I7" s="267"/>
      <c r="J7" s="268">
        <f ca="1">VLOOKUP($B7,Outputs!$N:$R,2,FALSE)</f>
        <v>9.3325045971420453E-2</v>
      </c>
      <c r="K7" s="268">
        <f ca="1">+VLOOKUP(B7,Outputs!T:U,2,FALSE)</f>
        <v>0.19403339504589723</v>
      </c>
      <c r="L7" s="267" t="str">
        <f>IF($A7=1,VLOOKUP($B7,Outputs!$B:$F,3,FALSE),"")</f>
        <v/>
      </c>
      <c r="M7" s="267">
        <f ca="1">IF($A7=0,VLOOKUP($B7,Outputs!$B:$F,3,FALSE),"")</f>
        <v>44.018206174190794</v>
      </c>
      <c r="N7" s="267" t="str">
        <f>IF($A7=1,VLOOKUP($B7,Outputs!$H:$L,3,FALSE),"")</f>
        <v/>
      </c>
      <c r="O7" s="267">
        <f ca="1">IF($A7=0,VLOOKUP($B7,Outputs!$H:$L,3,FALSE),"")</f>
        <v>44.020489279213621</v>
      </c>
      <c r="P7" s="267" t="str">
        <f>IF($A7=1,VLOOKUP($B7,Outputs!$N:$R,3,FALSE),"")</f>
        <v/>
      </c>
      <c r="Q7" s="267">
        <f ca="1">IF($A7=0,VLOOKUP($B7,Outputs!$N:$R,3,FALSE),"")</f>
        <v>42.439392534984066</v>
      </c>
    </row>
    <row r="8" spans="1:17">
      <c r="A8">
        <f>IF(VLOOKUP(B8,TOCA_current!$B$2:$BG$136,45,FALSE)=0,0,1)</f>
        <v>0</v>
      </c>
      <c r="B8" t="s">
        <v>123</v>
      </c>
      <c r="C8" s="267" t="str">
        <f>IF(A8=1,VLOOKUP($B8,Outputs!$B:$F,2,FALSE),"")</f>
        <v/>
      </c>
      <c r="D8" s="267">
        <f ca="1">IF(A8=0,VLOOKUP($B8,Outputs!$B:$F,2,FALSE),"")</f>
        <v>9.9523886025071784E-2</v>
      </c>
      <c r="E8" s="54"/>
      <c r="F8" s="54" t="str">
        <f>IF(A8=1,VLOOKUP($B8,Outputs!$H:$L,2,FALSE),"")</f>
        <v/>
      </c>
      <c r="G8" s="54">
        <f ca="1">IF(A8=0,VLOOKUP($B8,Outputs!$H:$L,2,FALSE),"")</f>
        <v>9.9439185513253064E-2</v>
      </c>
      <c r="H8" s="267"/>
      <c r="I8" s="267"/>
      <c r="J8" s="268">
        <f ca="1">VLOOKUP($B8,Outputs!$N:$R,2,FALSE)</f>
        <v>9.2215210845252429E-2</v>
      </c>
      <c r="K8" s="268">
        <f ca="1">+VLOOKUP(B8,Outputs!T:U,2,FALSE)</f>
        <v>3.9698929409897943E-2</v>
      </c>
      <c r="L8" s="267" t="str">
        <f>IF($A8=1,VLOOKUP($B8,Outputs!$B:$F,3,FALSE),"")</f>
        <v/>
      </c>
      <c r="M8" s="267">
        <f ca="1">IF($A8=0,VLOOKUP($B8,Outputs!$B:$F,3,FALSE),"")</f>
        <v>38.30390561883894</v>
      </c>
      <c r="N8" s="267" t="str">
        <f>IF($A8=1,VLOOKUP($B8,Outputs!$H:$L,3,FALSE),"")</f>
        <v/>
      </c>
      <c r="O8" s="267">
        <f ca="1">IF($A8=0,VLOOKUP($B8,Outputs!$H:$L,3,FALSE),"")</f>
        <v>38.332382525305924</v>
      </c>
      <c r="P8" s="267" t="str">
        <f>IF($A8=1,VLOOKUP($B8,Outputs!$N:$R,3,FALSE),"")</f>
        <v/>
      </c>
      <c r="Q8" s="267">
        <f ca="1">IF($A8=0,VLOOKUP($B8,Outputs!$N:$R,3,FALSE),"")</f>
        <v>36.739839498088557</v>
      </c>
    </row>
    <row r="9" spans="1:17">
      <c r="A9">
        <f>IF(VLOOKUP(B9,TOCA_current!$B$2:$BG$136,45,FALSE)=0,0,1)</f>
        <v>0</v>
      </c>
      <c r="B9" t="s">
        <v>65</v>
      </c>
      <c r="C9" s="267" t="str">
        <f>IF(A9=1,VLOOKUP($B9,Outputs!$B:$F,2,FALSE),"")</f>
        <v/>
      </c>
      <c r="D9" s="267">
        <f ca="1">IF(A9=0,VLOOKUP($B9,Outputs!$B:$F,2,FALSE),"")</f>
        <v>9.5451066145275251E-2</v>
      </c>
      <c r="E9" s="54"/>
      <c r="F9" s="54" t="str">
        <f>IF(A9=1,VLOOKUP($B9,Outputs!$H:$L,2,FALSE),"")</f>
        <v/>
      </c>
      <c r="G9" s="54">
        <f ca="1">IF(A9=0,VLOOKUP($B9,Outputs!$H:$L,2,FALSE),"")</f>
        <v>9.5420980085971191E-2</v>
      </c>
      <c r="H9" s="267"/>
      <c r="I9" s="267"/>
      <c r="J9" s="268">
        <f ca="1">VLOOKUP($B9,Outputs!$N:$R,2,FALSE)</f>
        <v>9.5468242752947033E-2</v>
      </c>
      <c r="K9" s="268">
        <f ca="1">+VLOOKUP(B9,Outputs!T:U,2,FALSE)</f>
        <v>0.29652725372540378</v>
      </c>
      <c r="L9" s="267" t="str">
        <f>IF($A9=1,VLOOKUP($B9,Outputs!$B:$F,3,FALSE),"")</f>
        <v/>
      </c>
      <c r="M9" s="267">
        <f ca="1">IF($A9=0,VLOOKUP($B9,Outputs!$B:$F,3,FALSE),"")</f>
        <v>45.939878054754018</v>
      </c>
      <c r="N9" s="267" t="str">
        <f>IF($A9=1,VLOOKUP($B9,Outputs!$H:$L,3,FALSE),"")</f>
        <v/>
      </c>
      <c r="O9" s="267">
        <f ca="1">IF($A9=0,VLOOKUP($B9,Outputs!$H:$L,3,FALSE),"")</f>
        <v>45.952636582822777</v>
      </c>
      <c r="P9" s="267" t="str">
        <f>IF($A9=1,VLOOKUP($B9,Outputs!$N:$R,3,FALSE),"")</f>
        <v/>
      </c>
      <c r="Q9" s="267">
        <f ca="1">IF($A9=0,VLOOKUP($B9,Outputs!$N:$R,3,FALSE),"")</f>
        <v>44.584853481574648</v>
      </c>
    </row>
    <row r="10" spans="1:17">
      <c r="A10">
        <f>IF(VLOOKUP(B10,TOCA_current!$B$2:$BG$136,45,FALSE)=0,0,1)</f>
        <v>0</v>
      </c>
      <c r="B10" t="s">
        <v>8</v>
      </c>
      <c r="C10" s="267" t="str">
        <f>IF(A10=1,VLOOKUP($B10,Outputs!$B:$F,2,FALSE),"")</f>
        <v/>
      </c>
      <c r="D10" s="267">
        <f ca="1">IF(A10=0,VLOOKUP($B10,Outputs!$B:$F,2,FALSE),"")</f>
        <v>0.12596775009090538</v>
      </c>
      <c r="E10" s="54"/>
      <c r="F10" s="54" t="str">
        <f>IF(A10=1,VLOOKUP($B10,Outputs!$H:$L,2,FALSE),"")</f>
        <v/>
      </c>
      <c r="G10" s="54">
        <f ca="1">IF(A10=0,VLOOKUP($B10,Outputs!$H:$L,2,FALSE),"")</f>
        <v>0.12596775009091263</v>
      </c>
      <c r="H10" s="267"/>
      <c r="I10" s="267"/>
      <c r="J10" s="268">
        <f ca="1">VLOOKUP($B10,Outputs!$N:$R,2,FALSE)</f>
        <v>0.10408330458717364</v>
      </c>
      <c r="K10" s="268">
        <f ca="1">+VLOOKUP(B10,Outputs!T:U,2,FALSE)</f>
        <v>0.11097917451949879</v>
      </c>
      <c r="L10" s="267" t="str">
        <f>IF($A10=1,VLOOKUP($B10,Outputs!$B:$F,3,FALSE),"")</f>
        <v/>
      </c>
      <c r="M10" s="267">
        <f ca="1">IF($A10=0,VLOOKUP($B10,Outputs!$B:$F,3,FALSE),"")</f>
        <v>43.909131573570249</v>
      </c>
      <c r="N10" s="267" t="str">
        <f>IF($A10=1,VLOOKUP($B10,Outputs!$H:$L,3,FALSE),"")</f>
        <v/>
      </c>
      <c r="O10" s="267">
        <f ca="1">IF($A10=0,VLOOKUP($B10,Outputs!$H:$L,3,FALSE),"")</f>
        <v>43.909131573570249</v>
      </c>
      <c r="P10" s="267" t="str">
        <f>IF($A10=1,VLOOKUP($B10,Outputs!$N:$R,3,FALSE),"")</f>
        <v/>
      </c>
      <c r="Q10" s="267">
        <f ca="1">IF($A10=0,VLOOKUP($B10,Outputs!$N:$R,3,FALSE),"")</f>
        <v>42.507657595328354</v>
      </c>
    </row>
    <row r="11" spans="1:17">
      <c r="A11">
        <f>IF(VLOOKUP(B11,TOCA_current!$B$2:$BG$136,45,FALSE)=0,0,1)</f>
        <v>0</v>
      </c>
      <c r="B11" t="s">
        <v>124</v>
      </c>
      <c r="C11" s="267" t="str">
        <f>IF(A11=1,VLOOKUP($B11,Outputs!$B:$F,2,FALSE),"")</f>
        <v/>
      </c>
      <c r="D11" s="267">
        <f ca="1">IF(A11=0,VLOOKUP($B11,Outputs!$B:$F,2,FALSE),"")</f>
        <v>0.12424769343603863</v>
      </c>
      <c r="E11" s="54"/>
      <c r="F11" s="54" t="str">
        <f>IF(A11=1,VLOOKUP($B11,Outputs!$H:$L,2,FALSE),"")</f>
        <v/>
      </c>
      <c r="G11" s="54">
        <f ca="1">IF(A11=0,VLOOKUP($B11,Outputs!$H:$L,2,FALSE),"")</f>
        <v>0.12421495147149068</v>
      </c>
      <c r="H11" s="267"/>
      <c r="I11" s="267"/>
      <c r="J11" s="268">
        <f ca="1">VLOOKUP($B11,Outputs!$N:$R,2,FALSE)</f>
        <v>9.4415236204957662E-2</v>
      </c>
      <c r="K11" s="268">
        <f ca="1">+VLOOKUP(B11,Outputs!T:U,2,FALSE)</f>
        <v>9.5673895315044888E-2</v>
      </c>
      <c r="L11" s="267" t="str">
        <f>IF($A11=1,VLOOKUP($B11,Outputs!$B:$F,3,FALSE),"")</f>
        <v/>
      </c>
      <c r="M11" s="267">
        <f ca="1">IF($A11=0,VLOOKUP($B11,Outputs!$B:$F,3,FALSE),"")</f>
        <v>37.816825906693325</v>
      </c>
      <c r="N11" s="267" t="str">
        <f>IF($A11=1,VLOOKUP($B11,Outputs!$H:$L,3,FALSE),"")</f>
        <v/>
      </c>
      <c r="O11" s="267">
        <f ca="1">IF($A11=0,VLOOKUP($B11,Outputs!$H:$L,3,FALSE),"")</f>
        <v>37.825447006388906</v>
      </c>
      <c r="P11" s="267" t="str">
        <f>IF($A11=1,VLOOKUP($B11,Outputs!$N:$R,3,FALSE),"")</f>
        <v/>
      </c>
      <c r="Q11" s="267">
        <f ca="1">IF($A11=0,VLOOKUP($B11,Outputs!$N:$R,3,FALSE),"")</f>
        <v>37.614124531212454</v>
      </c>
    </row>
    <row r="12" spans="1:17">
      <c r="A12">
        <f>IF(VLOOKUP(B12,TOCA_current!$B$2:$BG$136,45,FALSE)=0,0,1)</f>
        <v>0</v>
      </c>
      <c r="B12" t="s">
        <v>27</v>
      </c>
      <c r="C12" s="267" t="str">
        <f>IF(A12=1,VLOOKUP($B12,Outputs!$B:$F,2,FALSE),"")</f>
        <v/>
      </c>
      <c r="D12" s="267">
        <f ca="1">IF(A12=0,VLOOKUP($B12,Outputs!$B:$F,2,FALSE),"")</f>
        <v>8.7873930395293356E-2</v>
      </c>
      <c r="E12" s="54"/>
      <c r="F12" s="54" t="str">
        <f>IF(A12=1,VLOOKUP($B12,Outputs!$H:$L,2,FALSE),"")</f>
        <v/>
      </c>
      <c r="G12" s="54">
        <f ca="1">IF(A12=0,VLOOKUP($B12,Outputs!$H:$L,2,FALSE),"")</f>
        <v>8.7871032765339599E-2</v>
      </c>
      <c r="H12" s="267"/>
      <c r="I12" s="267"/>
      <c r="J12" s="268">
        <f ca="1">VLOOKUP($B12,Outputs!$N:$R,2,FALSE)</f>
        <v>9.3092517577318443E-2</v>
      </c>
      <c r="K12" s="268">
        <f ca="1">+VLOOKUP(B12,Outputs!T:U,2,FALSE)</f>
        <v>6.5027727763925514E-2</v>
      </c>
      <c r="L12" s="267" t="str">
        <f>IF($A12=1,VLOOKUP($B12,Outputs!$B:$F,3,FALSE),"")</f>
        <v/>
      </c>
      <c r="M12" s="267">
        <f ca="1">IF($A12=0,VLOOKUP($B12,Outputs!$B:$F,3,FALSE),"")</f>
        <v>37.673974156566885</v>
      </c>
      <c r="N12" s="267" t="str">
        <f>IF($A12=1,VLOOKUP($B12,Outputs!$H:$L,3,FALSE),"")</f>
        <v/>
      </c>
      <c r="O12" s="267">
        <f ca="1">IF($A12=0,VLOOKUP($B12,Outputs!$H:$L,3,FALSE),"")</f>
        <v>37.675116139896254</v>
      </c>
      <c r="P12" s="267" t="str">
        <f>IF($A12=1,VLOOKUP($B12,Outputs!$N:$R,3,FALSE),"")</f>
        <v/>
      </c>
      <c r="Q12" s="267">
        <f ca="1">IF($A12=0,VLOOKUP($B12,Outputs!$N:$R,3,FALSE),"")</f>
        <v>36.745464181119516</v>
      </c>
    </row>
    <row r="13" spans="1:17">
      <c r="A13">
        <f>IF(VLOOKUP(B13,TOCA_current!$B$2:$BG$136,45,FALSE)=0,0,1)</f>
        <v>0</v>
      </c>
      <c r="B13" t="s">
        <v>119</v>
      </c>
      <c r="C13" s="267" t="str">
        <f>IF(A13=1,VLOOKUP($B13,Outputs!$B:$F,2,FALSE),"")</f>
        <v/>
      </c>
      <c r="D13" s="267">
        <f ca="1">IF(A13=0,VLOOKUP($B13,Outputs!$B:$F,2,FALSE),"")</f>
        <v>8.9122474473241856E-2</v>
      </c>
      <c r="E13" s="54"/>
      <c r="F13" s="54" t="str">
        <f>IF(A13=1,VLOOKUP($B13,Outputs!$H:$L,2,FALSE),"")</f>
        <v/>
      </c>
      <c r="G13" s="54">
        <f ca="1">IF(A13=0,VLOOKUP($B13,Outputs!$H:$L,2,FALSE),"")</f>
        <v>8.910685059052649E-2</v>
      </c>
      <c r="H13" s="267"/>
      <c r="I13" s="267"/>
      <c r="J13" s="268">
        <f ca="1">VLOOKUP($B13,Outputs!$N:$R,2,FALSE)</f>
        <v>9.5419368575370311E-2</v>
      </c>
      <c r="K13" s="268">
        <f ca="1">+VLOOKUP(B13,Outputs!T:U,2,FALSE)</f>
        <v>4.0168331828556392E-2</v>
      </c>
      <c r="L13" s="267" t="str">
        <f>IF($A13=1,VLOOKUP($B13,Outputs!$B:$F,3,FALSE),"")</f>
        <v/>
      </c>
      <c r="M13" s="267">
        <f ca="1">IF($A13=0,VLOOKUP($B13,Outputs!$B:$F,3,FALSE),"")</f>
        <v>40.224203626059314</v>
      </c>
      <c r="N13" s="267" t="str">
        <f>IF($A13=1,VLOOKUP($B13,Outputs!$H:$L,3,FALSE),"")</f>
        <v/>
      </c>
      <c r="O13" s="267">
        <f ca="1">IF($A13=0,VLOOKUP($B13,Outputs!$H:$L,3,FALSE),"")</f>
        <v>40.230436401699606</v>
      </c>
      <c r="P13" s="267" t="str">
        <f>IF($A13=1,VLOOKUP($B13,Outputs!$N:$R,3,FALSE),"")</f>
        <v/>
      </c>
      <c r="Q13" s="267">
        <f ca="1">IF($A13=0,VLOOKUP($B13,Outputs!$N:$R,3,FALSE),"")</f>
        <v>38.352533827254028</v>
      </c>
    </row>
    <row r="14" spans="1:17">
      <c r="A14">
        <f>IF(VLOOKUP(B14,TOCA_current!$B$2:$BG$136,45,FALSE)=0,0,1)</f>
        <v>0</v>
      </c>
      <c r="B14" t="s">
        <v>43</v>
      </c>
      <c r="C14" s="267" t="str">
        <f>IF(A14=1,VLOOKUP($B14,Outputs!$B:$F,2,FALSE),"")</f>
        <v/>
      </c>
      <c r="D14" s="267">
        <f ca="1">IF(A14=0,VLOOKUP($B14,Outputs!$B:$F,2,FALSE),"")</f>
        <v>0.10095606225905877</v>
      </c>
      <c r="E14" s="54"/>
      <c r="F14" s="54" t="str">
        <f>IF(A14=1,VLOOKUP($B14,Outputs!$H:$L,2,FALSE),"")</f>
        <v/>
      </c>
      <c r="G14" s="54">
        <f ca="1">IF(A14=0,VLOOKUP($B14,Outputs!$H:$L,2,FALSE),"")</f>
        <v>0.10095040744626907</v>
      </c>
      <c r="H14" s="267"/>
      <c r="I14" s="267"/>
      <c r="J14" s="268">
        <f ca="1">VLOOKUP($B14,Outputs!$N:$R,2,FALSE)</f>
        <v>9.6679164335693887E-2</v>
      </c>
      <c r="K14" s="268">
        <f ca="1">+VLOOKUP(B14,Outputs!T:U,2,FALSE)</f>
        <v>6.576217590745026E-2</v>
      </c>
      <c r="L14" s="267" t="str">
        <f>IF($A14=1,VLOOKUP($B14,Outputs!$B:$F,3,FALSE),"")</f>
        <v/>
      </c>
      <c r="M14" s="267">
        <f ca="1">IF($A14=0,VLOOKUP($B14,Outputs!$B:$F,3,FALSE),"")</f>
        <v>39.19576844506576</v>
      </c>
      <c r="N14" s="267" t="str">
        <f>IF($A14=1,VLOOKUP($B14,Outputs!$H:$L,3,FALSE),"")</f>
        <v/>
      </c>
      <c r="O14" s="267">
        <f ca="1">IF($A14=0,VLOOKUP($B14,Outputs!$H:$L,3,FALSE),"")</f>
        <v>39.197762692739751</v>
      </c>
      <c r="P14" s="267" t="str">
        <f>IF($A14=1,VLOOKUP($B14,Outputs!$N:$R,3,FALSE),"")</f>
        <v/>
      </c>
      <c r="Q14" s="267">
        <f ca="1">IF($A14=0,VLOOKUP($B14,Outputs!$N:$R,3,FALSE),"")</f>
        <v>37.825671040074177</v>
      </c>
    </row>
    <row r="15" spans="1:17">
      <c r="A15">
        <f>IF(VLOOKUP(B15,TOCA_current!$B$2:$BG$136,45,FALSE)=0,0,1)</f>
        <v>0</v>
      </c>
      <c r="B15" t="s">
        <v>107</v>
      </c>
      <c r="C15" s="267" t="str">
        <f>IF(A15=1,VLOOKUP($B15,Outputs!$B:$F,2,FALSE),"")</f>
        <v/>
      </c>
      <c r="D15" s="267">
        <f ca="1">IF(A15=0,VLOOKUP($B15,Outputs!$B:$F,2,FALSE),"")</f>
        <v>9.249296122168367E-2</v>
      </c>
      <c r="E15" s="54"/>
      <c r="F15" s="54" t="str">
        <f>IF(A15=1,VLOOKUP($B15,Outputs!$H:$L,2,FALSE),"")</f>
        <v/>
      </c>
      <c r="G15" s="54">
        <f ca="1">IF(A15=0,VLOOKUP($B15,Outputs!$H:$L,2,FALSE),"")</f>
        <v>9.2478740748772187E-2</v>
      </c>
      <c r="H15" s="267"/>
      <c r="I15" s="267"/>
      <c r="J15" s="268">
        <f ca="1">VLOOKUP($B15,Outputs!$N:$R,2,FALSE)</f>
        <v>9.3535159140222812E-2</v>
      </c>
      <c r="K15" s="268">
        <f ca="1">+VLOOKUP(B15,Outputs!T:U,2,FALSE)</f>
        <v>7.1649776425023237E-2</v>
      </c>
      <c r="L15" s="267" t="str">
        <f>IF($A15=1,VLOOKUP($B15,Outputs!$B:$F,3,FALSE),"")</f>
        <v/>
      </c>
      <c r="M15" s="267">
        <f ca="1">IF($A15=0,VLOOKUP($B15,Outputs!$B:$F,3,FALSE),"")</f>
        <v>33.88856324105604</v>
      </c>
      <c r="N15" s="267" t="str">
        <f>IF($A15=1,VLOOKUP($B15,Outputs!$H:$L,3,FALSE),"")</f>
        <v/>
      </c>
      <c r="O15" s="267">
        <f ca="1">IF($A15=0,VLOOKUP($B15,Outputs!$H:$L,3,FALSE),"")</f>
        <v>33.89313010539442</v>
      </c>
      <c r="P15" s="267" t="str">
        <f>IF($A15=1,VLOOKUP($B15,Outputs!$N:$R,3,FALSE),"")</f>
        <v/>
      </c>
      <c r="Q15" s="267">
        <f ca="1">IF($A15=0,VLOOKUP($B15,Outputs!$N:$R,3,FALSE),"")</f>
        <v>33.795196717962639</v>
      </c>
    </row>
    <row r="16" spans="1:17">
      <c r="A16">
        <f>IF(VLOOKUP(B16,TOCA_current!$B$2:$BG$136,45,FALSE)=0,0,1)</f>
        <v>0</v>
      </c>
      <c r="B16" t="s">
        <v>22</v>
      </c>
      <c r="C16" s="267" t="str">
        <f>IF(A16=1,VLOOKUP($B16,Outputs!$B:$F,2,FALSE),"")</f>
        <v/>
      </c>
      <c r="D16" s="267">
        <f ca="1">IF(A16=0,VLOOKUP($B16,Outputs!$B:$F,2,FALSE),"")</f>
        <v>7.4742643845417761E-2</v>
      </c>
      <c r="E16" s="54"/>
      <c r="F16" s="54" t="str">
        <f>IF(A16=1,VLOOKUP($B16,Outputs!$H:$L,2,FALSE),"")</f>
        <v/>
      </c>
      <c r="G16" s="54">
        <f ca="1">IF(A16=0,VLOOKUP($B16,Outputs!$H:$L,2,FALSE),"")</f>
        <v>7.4741068605753469E-2</v>
      </c>
      <c r="H16" s="267"/>
      <c r="I16" s="267"/>
      <c r="J16" s="268">
        <f ca="1">VLOOKUP($B16,Outputs!$N:$R,2,FALSE)</f>
        <v>8.6523782167827357E-2</v>
      </c>
      <c r="K16" s="268">
        <f ca="1">+VLOOKUP(B16,Outputs!T:U,2,FALSE)</f>
        <v>0.18403410323935909</v>
      </c>
      <c r="L16" s="267" t="str">
        <f>IF($A16=1,VLOOKUP($B16,Outputs!$B:$F,3,FALSE),"")</f>
        <v/>
      </c>
      <c r="M16" s="267">
        <f ca="1">IF($A16=0,VLOOKUP($B16,Outputs!$B:$F,3,FALSE),"")</f>
        <v>36.864718749669606</v>
      </c>
      <c r="N16" s="267" t="str">
        <f>IF($A16=1,VLOOKUP($B16,Outputs!$H:$L,3,FALSE),"")</f>
        <v/>
      </c>
      <c r="O16" s="267">
        <f ca="1">IF($A16=0,VLOOKUP($B16,Outputs!$H:$L,3,FALSE),"")</f>
        <v>36.865330420101216</v>
      </c>
      <c r="P16" s="267" t="str">
        <f>IF($A16=1,VLOOKUP($B16,Outputs!$N:$R,3,FALSE),"")</f>
        <v/>
      </c>
      <c r="Q16" s="267">
        <f ca="1">IF($A16=0,VLOOKUP($B16,Outputs!$N:$R,3,FALSE),"")</f>
        <v>36.055716856839069</v>
      </c>
    </row>
    <row r="17" spans="1:17">
      <c r="A17">
        <f>IF(VLOOKUP(B17,TOCA_current!$B$2:$BG$136,45,FALSE)=0,0,1)</f>
        <v>0</v>
      </c>
      <c r="B17" t="s">
        <v>61</v>
      </c>
      <c r="C17" s="267" t="str">
        <f>IF(A17=1,VLOOKUP($B17,Outputs!$B:$F,2,FALSE),"")</f>
        <v/>
      </c>
      <c r="D17" s="267">
        <f ca="1">IF(A17=0,VLOOKUP($B17,Outputs!$B:$F,2,FALSE),"")</f>
        <v>0.10190075245945379</v>
      </c>
      <c r="E17" s="54"/>
      <c r="F17" s="54" t="str">
        <f>IF(A17=1,VLOOKUP($B17,Outputs!$H:$L,2,FALSE),"")</f>
        <v/>
      </c>
      <c r="G17" s="54">
        <f ca="1">IF(A17=0,VLOOKUP($B17,Outputs!$H:$L,2,FALSE),"")</f>
        <v>0.10189284990080696</v>
      </c>
      <c r="H17" s="267"/>
      <c r="I17" s="267"/>
      <c r="J17" s="268">
        <f ca="1">VLOOKUP($B17,Outputs!$N:$R,2,FALSE)</f>
        <v>9.1934876656426592E-2</v>
      </c>
      <c r="K17" s="268">
        <f ca="1">+VLOOKUP(B17,Outputs!T:U,2,FALSE)</f>
        <v>5.6888559948618855E-2</v>
      </c>
      <c r="L17" s="267" t="str">
        <f>IF($A17=1,VLOOKUP($B17,Outputs!$B:$F,3,FALSE),"")</f>
        <v/>
      </c>
      <c r="M17" s="267">
        <f ca="1">IF($A17=0,VLOOKUP($B17,Outputs!$B:$F,3,FALSE),"")</f>
        <v>37.899713616604814</v>
      </c>
      <c r="N17" s="267" t="str">
        <f>IF($A17=1,VLOOKUP($B17,Outputs!$H:$L,3,FALSE),"")</f>
        <v/>
      </c>
      <c r="O17" s="267">
        <f ca="1">IF($A17=0,VLOOKUP($B17,Outputs!$H:$L,3,FALSE),"")</f>
        <v>37.902381195123944</v>
      </c>
      <c r="P17" s="267" t="str">
        <f>IF($A17=1,VLOOKUP($B17,Outputs!$N:$R,3,FALSE),"")</f>
        <v/>
      </c>
      <c r="Q17" s="267">
        <f ca="1">IF($A17=0,VLOOKUP($B17,Outputs!$N:$R,3,FALSE),"")</f>
        <v>36.851805095433974</v>
      </c>
    </row>
    <row r="18" spans="1:17">
      <c r="A18">
        <f>IF(VLOOKUP(B18,TOCA_current!$B$2:$BG$136,45,FALSE)=0,0,1)</f>
        <v>0</v>
      </c>
      <c r="B18" t="s">
        <v>25</v>
      </c>
      <c r="C18" s="267" t="str">
        <f>IF(A18=1,VLOOKUP($B18,Outputs!$B:$F,2,FALSE),"")</f>
        <v/>
      </c>
      <c r="D18" s="267">
        <f ca="1">IF(A18=0,VLOOKUP($B18,Outputs!$B:$F,2,FALSE),"")</f>
        <v>9.3635024635795261E-2</v>
      </c>
      <c r="E18" s="54"/>
      <c r="F18" s="54" t="str">
        <f>IF(A18=1,VLOOKUP($B18,Outputs!$H:$L,2,FALSE),"")</f>
        <v/>
      </c>
      <c r="G18" s="54">
        <f ca="1">IF(A18=0,VLOOKUP($B18,Outputs!$H:$L,2,FALSE),"")</f>
        <v>9.3633049579522648E-2</v>
      </c>
      <c r="H18" s="267"/>
      <c r="I18" s="267"/>
      <c r="J18" s="268">
        <f ca="1">VLOOKUP($B18,Outputs!$N:$R,2,FALSE)</f>
        <v>9.3814199838551965E-2</v>
      </c>
      <c r="K18" s="268">
        <f ca="1">+VLOOKUP(B18,Outputs!T:U,2,FALSE)</f>
        <v>8.9969156708609832E-2</v>
      </c>
      <c r="L18" s="267" t="str">
        <f>IF($A18=1,VLOOKUP($B18,Outputs!$B:$F,3,FALSE),"")</f>
        <v/>
      </c>
      <c r="M18" s="267">
        <f ca="1">IF($A18=0,VLOOKUP($B18,Outputs!$B:$F,3,FALSE),"")</f>
        <v>39.92103855185313</v>
      </c>
      <c r="N18" s="267" t="str">
        <f>IF($A18=1,VLOOKUP($B18,Outputs!$H:$L,3,FALSE),"")</f>
        <v/>
      </c>
      <c r="O18" s="267">
        <f ca="1">IF($A18=0,VLOOKUP($B18,Outputs!$H:$L,3,FALSE),"")</f>
        <v>39.921808531861572</v>
      </c>
      <c r="P18" s="267" t="str">
        <f>IF($A18=1,VLOOKUP($B18,Outputs!$N:$R,3,FALSE),"")</f>
        <v/>
      </c>
      <c r="Q18" s="267">
        <f ca="1">IF($A18=0,VLOOKUP($B18,Outputs!$N:$R,3,FALSE),"")</f>
        <v>38.568691247482619</v>
      </c>
    </row>
    <row r="19" spans="1:17">
      <c r="A19">
        <f>IF(VLOOKUP(B19,TOCA_current!$B$2:$BG$136,45,FALSE)=0,0,1)</f>
        <v>0</v>
      </c>
      <c r="B19" t="s">
        <v>57</v>
      </c>
      <c r="C19" s="267" t="str">
        <f>IF(A19=1,VLOOKUP($B19,Outputs!$B:$F,2,FALSE),"")</f>
        <v/>
      </c>
      <c r="D19" s="267">
        <f ca="1">IF(A19=0,VLOOKUP($B19,Outputs!$B:$F,2,FALSE),"")</f>
        <v>9.3194441130882044E-2</v>
      </c>
      <c r="E19" s="54"/>
      <c r="F19" s="54" t="str">
        <f>IF(A19=1,VLOOKUP($B19,Outputs!$H:$L,2,FALSE),"")</f>
        <v/>
      </c>
      <c r="G19" s="54">
        <f ca="1">IF(A19=0,VLOOKUP($B19,Outputs!$H:$L,2,FALSE),"")</f>
        <v>9.3188447183366843E-2</v>
      </c>
      <c r="H19" s="267"/>
      <c r="I19" s="267"/>
      <c r="J19" s="268">
        <f ca="1">VLOOKUP($B19,Outputs!$N:$R,2,FALSE)</f>
        <v>9.8703888727411732E-2</v>
      </c>
      <c r="K19" s="268">
        <f ca="1">+VLOOKUP(B19,Outputs!T:U,2,FALSE)</f>
        <v>9.8798908988224854E-2</v>
      </c>
      <c r="L19" s="267" t="str">
        <f>IF($A19=1,VLOOKUP($B19,Outputs!$B:$F,3,FALSE),"")</f>
        <v/>
      </c>
      <c r="M19" s="267">
        <f ca="1">IF($A19=0,VLOOKUP($B19,Outputs!$B:$F,3,FALSE),"")</f>
        <v>35.997117994492257</v>
      </c>
      <c r="N19" s="267" t="str">
        <f>IF($A19=1,VLOOKUP($B19,Outputs!$H:$L,3,FALSE),"")</f>
        <v/>
      </c>
      <c r="O19" s="267">
        <f ca="1">IF($A19=0,VLOOKUP($B19,Outputs!$H:$L,3,FALSE),"")</f>
        <v>35.99912015130294</v>
      </c>
      <c r="P19" s="267" t="str">
        <f>IF($A19=1,VLOOKUP($B19,Outputs!$N:$R,3,FALSE),"")</f>
        <v/>
      </c>
      <c r="Q19" s="267">
        <f ca="1">IF($A19=0,VLOOKUP($B19,Outputs!$N:$R,3,FALSE),"")</f>
        <v>35.722163306229909</v>
      </c>
    </row>
    <row r="20" spans="1:17">
      <c r="A20">
        <f>IF(VLOOKUP(B20,TOCA_current!$B$2:$BG$136,45,FALSE)=0,0,1)</f>
        <v>0</v>
      </c>
      <c r="B20" t="s">
        <v>134</v>
      </c>
      <c r="C20" s="267" t="str">
        <f>IF(A20=1,VLOOKUP($B20,Outputs!$B:$F,2,FALSE),"")</f>
        <v/>
      </c>
      <c r="D20" s="267">
        <f ca="1">IF(A20=0,VLOOKUP($B20,Outputs!$B:$F,2,FALSE),"")</f>
        <v>0.12715587021926769</v>
      </c>
      <c r="E20" s="54"/>
      <c r="F20" s="54" t="str">
        <f>IF(A20=1,VLOOKUP($B20,Outputs!$H:$L,2,FALSE),"")</f>
        <v/>
      </c>
      <c r="G20" s="54">
        <f ca="1">IF(A20=0,VLOOKUP($B20,Outputs!$H:$L,2,FALSE),"")</f>
        <v>0.12713551787716953</v>
      </c>
      <c r="H20" s="267"/>
      <c r="I20" s="267"/>
      <c r="J20" s="268">
        <f ca="1">VLOOKUP($B20,Outputs!$N:$R,2,FALSE)</f>
        <v>9.6770292227864541E-2</v>
      </c>
      <c r="K20" s="268">
        <f ca="1">+VLOOKUP(B20,Outputs!T:U,2,FALSE)</f>
        <v>8.7539998750615577E-2</v>
      </c>
      <c r="L20" s="267" t="str">
        <f>IF($A20=1,VLOOKUP($B20,Outputs!$B:$F,3,FALSE),"")</f>
        <v/>
      </c>
      <c r="M20" s="267">
        <f ca="1">IF($A20=0,VLOOKUP($B20,Outputs!$B:$F,3,FALSE),"")</f>
        <v>37.658193324867625</v>
      </c>
      <c r="N20" s="267" t="str">
        <f>IF($A20=1,VLOOKUP($B20,Outputs!$H:$L,3,FALSE),"")</f>
        <v/>
      </c>
      <c r="O20" s="267">
        <f ca="1">IF($A20=0,VLOOKUP($B20,Outputs!$H:$L,3,FALSE),"")</f>
        <v>37.663541711472106</v>
      </c>
      <c r="P20" s="267" t="str">
        <f>IF($A20=1,VLOOKUP($B20,Outputs!$N:$R,3,FALSE),"")</f>
        <v/>
      </c>
      <c r="Q20" s="267">
        <f ca="1">IF($A20=0,VLOOKUP($B20,Outputs!$N:$R,3,FALSE),"")</f>
        <v>36.96121316824739</v>
      </c>
    </row>
    <row r="21" spans="1:17">
      <c r="A21">
        <f>IF(VLOOKUP(B21,TOCA_current!$B$2:$BG$136,45,FALSE)=0,0,1)</f>
        <v>0</v>
      </c>
      <c r="B21" t="s">
        <v>238</v>
      </c>
      <c r="C21" s="267" t="str">
        <f>IF(A21=1,VLOOKUP($B21,Outputs!$B:$F,2,FALSE),"")</f>
        <v/>
      </c>
      <c r="D21" s="267">
        <f ca="1">IF(A21=0,VLOOKUP($B21,Outputs!$B:$F,2,FALSE),"")</f>
        <v>7.9877436616822312E-2</v>
      </c>
      <c r="E21" s="54"/>
      <c r="F21" s="54" t="str">
        <f>IF(A21=1,VLOOKUP($B21,Outputs!$H:$L,2,FALSE),"")</f>
        <v/>
      </c>
      <c r="G21" s="54">
        <f ca="1">IF(A21=0,VLOOKUP($B21,Outputs!$H:$L,2,FALSE),"")</f>
        <v>7.9868765901741995E-2</v>
      </c>
      <c r="H21" s="267"/>
      <c r="I21" s="267"/>
      <c r="J21" s="268">
        <f ca="1">VLOOKUP($B21,Outputs!$N:$R,2,FALSE)</f>
        <v>8.7610704610946638E-2</v>
      </c>
      <c r="K21" s="268">
        <f ca="1">+VLOOKUP(B21,Outputs!T:U,2,FALSE)</f>
        <v>8.2899912476636084E-2</v>
      </c>
      <c r="L21" s="267" t="str">
        <f>IF($A21=1,VLOOKUP($B21,Outputs!$B:$F,3,FALSE),"")</f>
        <v/>
      </c>
      <c r="M21" s="267">
        <f ca="1">IF($A21=0,VLOOKUP($B21,Outputs!$B:$F,3,FALSE),"")</f>
        <v>36.98424442395563</v>
      </c>
      <c r="N21" s="267" t="str">
        <f>IF($A21=1,VLOOKUP($B21,Outputs!$H:$L,3,FALSE),"")</f>
        <v/>
      </c>
      <c r="O21" s="267">
        <f ca="1">IF($A21=0,VLOOKUP($B21,Outputs!$H:$L,3,FALSE),"")</f>
        <v>36.987810904830937</v>
      </c>
      <c r="P21" s="267" t="str">
        <f>IF($A21=1,VLOOKUP($B21,Outputs!$N:$R,3,FALSE),"")</f>
        <v/>
      </c>
      <c r="Q21" s="267">
        <f ca="1">IF($A21=0,VLOOKUP($B21,Outputs!$N:$R,3,FALSE),"")</f>
        <v>36.033318061551903</v>
      </c>
    </row>
    <row r="22" spans="1:17">
      <c r="A22">
        <f>IF(VLOOKUP(B22,TOCA_current!$B$2:$BG$136,45,FALSE)=0,0,1)</f>
        <v>0</v>
      </c>
      <c r="B22" t="s">
        <v>41</v>
      </c>
      <c r="C22" s="267" t="str">
        <f>IF(A22=1,VLOOKUP($B22,Outputs!$B:$F,2,FALSE),"")</f>
        <v/>
      </c>
      <c r="D22" s="267">
        <f ca="1">IF(A22=0,VLOOKUP($B22,Outputs!$B:$F,2,FALSE),"")</f>
        <v>0.12278284838308566</v>
      </c>
      <c r="E22" s="54"/>
      <c r="F22" s="54" t="str">
        <f>IF(A22=1,VLOOKUP($B22,Outputs!$H:$L,2,FALSE),"")</f>
        <v/>
      </c>
      <c r="G22" s="54">
        <f ca="1">IF(A22=0,VLOOKUP($B22,Outputs!$H:$L,2,FALSE),"")</f>
        <v>0.12277804558954049</v>
      </c>
      <c r="H22" s="267"/>
      <c r="I22" s="267"/>
      <c r="J22" s="268">
        <f ca="1">VLOOKUP($B22,Outputs!$N:$R,2,FALSE)</f>
        <v>0.10299035007816018</v>
      </c>
      <c r="K22" s="268">
        <f ca="1">+VLOOKUP(B22,Outputs!T:U,2,FALSE)</f>
        <v>7.3459345799913534E-2</v>
      </c>
      <c r="L22" s="267" t="str">
        <f>IF($A22=1,VLOOKUP($B22,Outputs!$B:$F,3,FALSE),"")</f>
        <v/>
      </c>
      <c r="M22" s="267">
        <f ca="1">IF($A22=0,VLOOKUP($B22,Outputs!$B:$F,3,FALSE),"")</f>
        <v>38.78658462410236</v>
      </c>
      <c r="N22" s="267" t="str">
        <f>IF($A22=1,VLOOKUP($B22,Outputs!$H:$L,3,FALSE),"")</f>
        <v/>
      </c>
      <c r="O22" s="267">
        <f ca="1">IF($A22=0,VLOOKUP($B22,Outputs!$H:$L,3,FALSE),"")</f>
        <v>38.787935945824159</v>
      </c>
      <c r="P22" s="267" t="str">
        <f>IF($A22=1,VLOOKUP($B22,Outputs!$N:$R,3,FALSE),"")</f>
        <v/>
      </c>
      <c r="Q22" s="267">
        <f ca="1">IF($A22=0,VLOOKUP($B22,Outputs!$N:$R,3,FALSE),"")</f>
        <v>37.510323264522803</v>
      </c>
    </row>
    <row r="23" spans="1:17">
      <c r="A23">
        <f>IF(VLOOKUP(B23,TOCA_current!$B$2:$BG$136,45,FALSE)=0,0,1)</f>
        <v>0</v>
      </c>
      <c r="B23" t="s">
        <v>49</v>
      </c>
      <c r="C23" s="267" t="str">
        <f>IF(A23=1,VLOOKUP($B23,Outputs!$B:$F,2,FALSE),"")</f>
        <v/>
      </c>
      <c r="D23" s="267">
        <f ca="1">IF(A23=0,VLOOKUP($B23,Outputs!$B:$F,2,FALSE),"")</f>
        <v>0.10250770547035076</v>
      </c>
      <c r="E23" s="54"/>
      <c r="F23" s="54" t="str">
        <f>IF(A23=1,VLOOKUP($B23,Outputs!$H:$L,2,FALSE),"")</f>
        <v/>
      </c>
      <c r="G23" s="54">
        <f ca="1">IF(A23=0,VLOOKUP($B23,Outputs!$H:$L,2,FALSE),"")</f>
        <v>0.10250329271469902</v>
      </c>
      <c r="H23" s="267"/>
      <c r="I23" s="267"/>
      <c r="J23" s="268">
        <f ca="1">VLOOKUP($B23,Outputs!$N:$R,2,FALSE)</f>
        <v>9.9685638889257105E-2</v>
      </c>
      <c r="K23" s="268">
        <f ca="1">+VLOOKUP(B23,Outputs!T:U,2,FALSE)</f>
        <v>8.6746287485246043E-2</v>
      </c>
      <c r="L23" s="267" t="str">
        <f>IF($A23=1,VLOOKUP($B23,Outputs!$B:$F,3,FALSE),"")</f>
        <v/>
      </c>
      <c r="M23" s="267">
        <f ca="1">IF($A23=0,VLOOKUP($B23,Outputs!$B:$F,3,FALSE),"")</f>
        <v>34.656535891804396</v>
      </c>
      <c r="N23" s="267" t="str">
        <f>IF($A23=1,VLOOKUP($B23,Outputs!$H:$L,3,FALSE),"")</f>
        <v/>
      </c>
      <c r="O23" s="267">
        <f ca="1">IF($A23=0,VLOOKUP($B23,Outputs!$H:$L,3,FALSE),"")</f>
        <v>34.657889133361074</v>
      </c>
      <c r="P23" s="267" t="str">
        <f>IF($A23=1,VLOOKUP($B23,Outputs!$N:$R,3,FALSE),"")</f>
        <v/>
      </c>
      <c r="Q23" s="267">
        <f ca="1">IF($A23=0,VLOOKUP($B23,Outputs!$N:$R,3,FALSE),"")</f>
        <v>33.273647127618879</v>
      </c>
    </row>
    <row r="24" spans="1:17">
      <c r="A24">
        <f>IF(VLOOKUP(B24,TOCA_current!$B$2:$BG$136,45,FALSE)=0,0,1)</f>
        <v>0</v>
      </c>
      <c r="B24" t="s">
        <v>58</v>
      </c>
      <c r="C24" s="267" t="str">
        <f>IF(A24=1,VLOOKUP($B24,Outputs!$B:$F,2,FALSE),"")</f>
        <v/>
      </c>
      <c r="D24" s="267">
        <f ca="1">IF(A24=0,VLOOKUP($B24,Outputs!$B:$F,2,FALSE),"")</f>
        <v>9.0198808960605031E-2</v>
      </c>
      <c r="E24" s="54"/>
      <c r="F24" s="54" t="str">
        <f>IF(A24=1,VLOOKUP($B24,Outputs!$H:$L,2,FALSE),"")</f>
        <v/>
      </c>
      <c r="G24" s="54">
        <f ca="1">IF(A24=0,VLOOKUP($B24,Outputs!$H:$L,2,FALSE),"")</f>
        <v>9.0194558469818956E-2</v>
      </c>
      <c r="H24" s="267"/>
      <c r="I24" s="267"/>
      <c r="J24" s="268">
        <f ca="1">VLOOKUP($B24,Outputs!$N:$R,2,FALSE)</f>
        <v>9.310317240972224E-2</v>
      </c>
      <c r="K24" s="268">
        <f ca="1">+VLOOKUP(B24,Outputs!T:U,2,FALSE)</f>
        <v>6.4272457244068271E-2</v>
      </c>
      <c r="L24" s="267" t="str">
        <f>IF($A24=1,VLOOKUP($B24,Outputs!$B:$F,3,FALSE),"")</f>
        <v/>
      </c>
      <c r="M24" s="267">
        <f ca="1">IF($A24=0,VLOOKUP($B24,Outputs!$B:$F,3,FALSE),"")</f>
        <v>39.757556738996698</v>
      </c>
      <c r="N24" s="267" t="str">
        <f>IF($A24=1,VLOOKUP($B24,Outputs!$H:$L,3,FALSE),"")</f>
        <v/>
      </c>
      <c r="O24" s="267">
        <f ca="1">IF($A24=0,VLOOKUP($B24,Outputs!$H:$L,3,FALSE),"")</f>
        <v>39.759275329630235</v>
      </c>
      <c r="P24" s="267" t="str">
        <f>IF($A24=1,VLOOKUP($B24,Outputs!$N:$R,3,FALSE),"")</f>
        <v/>
      </c>
      <c r="Q24" s="267">
        <f ca="1">IF($A24=0,VLOOKUP($B24,Outputs!$N:$R,3,FALSE),"")</f>
        <v>38.356625926551139</v>
      </c>
    </row>
    <row r="25" spans="1:17">
      <c r="A25">
        <f>IF(VLOOKUP(B25,TOCA_current!$B$2:$BG$136,45,FALSE)=0,0,1)</f>
        <v>0</v>
      </c>
      <c r="B25" t="s">
        <v>42</v>
      </c>
      <c r="C25" s="267" t="str">
        <f>IF(A25=1,VLOOKUP($B25,Outputs!$B:$F,2,FALSE),"")</f>
        <v/>
      </c>
      <c r="D25" s="267">
        <f ca="1">IF(A25=0,VLOOKUP($B25,Outputs!$B:$F,2,FALSE),"")</f>
        <v>9.9402726988724779E-2</v>
      </c>
      <c r="E25" s="54"/>
      <c r="F25" s="54" t="str">
        <f>IF(A25=1,VLOOKUP($B25,Outputs!$H:$L,2,FALSE),"")</f>
        <v/>
      </c>
      <c r="G25" s="54">
        <f ca="1">IF(A25=0,VLOOKUP($B25,Outputs!$H:$L,2,FALSE),"")</f>
        <v>9.939946312268845E-2</v>
      </c>
      <c r="H25" s="267"/>
      <c r="I25" s="267"/>
      <c r="J25" s="268">
        <f ca="1">VLOOKUP($B25,Outputs!$N:$R,2,FALSE)</f>
        <v>9.5233161761217086E-2</v>
      </c>
      <c r="K25" s="268">
        <f ca="1">+VLOOKUP(B25,Outputs!T:U,2,FALSE)</f>
        <v>5.3571784577264969E-2</v>
      </c>
      <c r="L25" s="267" t="str">
        <f>IF($A25=1,VLOOKUP($B25,Outputs!$B:$F,3,FALSE),"")</f>
        <v/>
      </c>
      <c r="M25" s="267">
        <f ca="1">IF($A25=0,VLOOKUP($B25,Outputs!$B:$F,3,FALSE),"")</f>
        <v>36.650595971243519</v>
      </c>
      <c r="N25" s="267" t="str">
        <f>IF($A25=1,VLOOKUP($B25,Outputs!$H:$L,3,FALSE),"")</f>
        <v/>
      </c>
      <c r="O25" s="267">
        <f ca="1">IF($A25=0,VLOOKUP($B25,Outputs!$H:$L,3,FALSE),"")</f>
        <v>36.65165527215477</v>
      </c>
      <c r="P25" s="267" t="str">
        <f>IF($A25=1,VLOOKUP($B25,Outputs!$N:$R,3,FALSE),"")</f>
        <v/>
      </c>
      <c r="Q25" s="267">
        <f ca="1">IF($A25=0,VLOOKUP($B25,Outputs!$N:$R,3,FALSE),"")</f>
        <v>36.068504151659738</v>
      </c>
    </row>
    <row r="26" spans="1:17">
      <c r="A26">
        <f>IF(VLOOKUP(B26,TOCA_current!$B$2:$BG$136,45,FALSE)=0,0,1)</f>
        <v>0</v>
      </c>
      <c r="B26" t="s">
        <v>31</v>
      </c>
      <c r="C26" s="267" t="str">
        <f>IF(A26=1,VLOOKUP($B26,Outputs!$B:$F,2,FALSE),"")</f>
        <v/>
      </c>
      <c r="D26" s="267">
        <f ca="1">IF(A26=0,VLOOKUP($B26,Outputs!$B:$F,2,FALSE),"")</f>
        <v>8.686230882029275E-2</v>
      </c>
      <c r="E26" s="54"/>
      <c r="F26" s="54" t="str">
        <f>IF(A26=1,VLOOKUP($B26,Outputs!$H:$L,2,FALSE),"")</f>
        <v/>
      </c>
      <c r="G26" s="54">
        <f ca="1">IF(A26=0,VLOOKUP($B26,Outputs!$H:$L,2,FALSE),"")</f>
        <v>8.6860640346949042E-2</v>
      </c>
      <c r="H26" s="267"/>
      <c r="I26" s="267"/>
      <c r="J26" s="268">
        <f ca="1">VLOOKUP($B26,Outputs!$N:$R,2,FALSE)</f>
        <v>9.7606029295527877E-2</v>
      </c>
      <c r="K26" s="268">
        <f ca="1">+VLOOKUP(B26,Outputs!T:U,2,FALSE)</f>
        <v>3.5979040126828954E-2</v>
      </c>
      <c r="L26" s="267" t="str">
        <f>IF($A26=1,VLOOKUP($B26,Outputs!$B:$F,3,FALSE),"")</f>
        <v/>
      </c>
      <c r="M26" s="267">
        <f ca="1">IF($A26=0,VLOOKUP($B26,Outputs!$B:$F,3,FALSE),"")</f>
        <v>39.93647228960706</v>
      </c>
      <c r="N26" s="267" t="str">
        <f>IF($A26=1,VLOOKUP($B26,Outputs!$H:$L,3,FALSE),"")</f>
        <v/>
      </c>
      <c r="O26" s="267">
        <f ca="1">IF($A26=0,VLOOKUP($B26,Outputs!$H:$L,3,FALSE),"")</f>
        <v>39.93717810499043</v>
      </c>
      <c r="P26" s="267" t="str">
        <f>IF($A26=1,VLOOKUP($B26,Outputs!$N:$R,3,FALSE),"")</f>
        <v/>
      </c>
      <c r="Q26" s="267">
        <f ca="1">IF($A26=0,VLOOKUP($B26,Outputs!$N:$R,3,FALSE),"")</f>
        <v>39.035089471112862</v>
      </c>
    </row>
    <row r="27" spans="1:17">
      <c r="A27">
        <f>IF(VLOOKUP(B27,TOCA_current!$B$2:$BG$136,45,FALSE)=0,0,1)</f>
        <v>0</v>
      </c>
      <c r="B27" t="s">
        <v>37</v>
      </c>
      <c r="C27" s="267" t="str">
        <f>IF(A27=1,VLOOKUP($B27,Outputs!$B:$F,2,FALSE),"")</f>
        <v/>
      </c>
      <c r="D27" s="267">
        <f ca="1">IF(A27=0,VLOOKUP($B27,Outputs!$B:$F,2,FALSE),"")</f>
        <v>0.25348483092388074</v>
      </c>
      <c r="E27" s="54"/>
      <c r="F27" s="54" t="str">
        <f>IF(A27=1,VLOOKUP($B27,Outputs!$H:$L,2,FALSE),"")</f>
        <v/>
      </c>
      <c r="G27" s="54">
        <f ca="1">IF(A27=0,VLOOKUP($B27,Outputs!$H:$L,2,FALSE),"")</f>
        <v>0.25347377492439466</v>
      </c>
      <c r="H27" s="267"/>
      <c r="I27" s="267"/>
      <c r="J27" s="268">
        <f ca="1">VLOOKUP($B27,Outputs!$N:$R,2,FALSE)</f>
        <v>0.10677091055242588</v>
      </c>
      <c r="K27" s="268">
        <f ca="1">+VLOOKUP(B27,Outputs!T:U,2,FALSE)</f>
        <v>3.0992607961885188E-2</v>
      </c>
      <c r="L27" s="267" t="str">
        <f>IF($A27=1,VLOOKUP($B27,Outputs!$B:$F,3,FALSE),"")</f>
        <v/>
      </c>
      <c r="M27" s="267">
        <f ca="1">IF($A27=0,VLOOKUP($B27,Outputs!$B:$F,3,FALSE),"")</f>
        <v>37.291034563182471</v>
      </c>
      <c r="N27" s="267" t="str">
        <f>IF($A27=1,VLOOKUP($B27,Outputs!$H:$L,3,FALSE),"")</f>
        <v/>
      </c>
      <c r="O27" s="267">
        <f ca="1">IF($A27=0,VLOOKUP($B27,Outputs!$H:$L,3,FALSE),"")</f>
        <v>37.29233219120281</v>
      </c>
      <c r="P27" s="267" t="str">
        <f>IF($A27=1,VLOOKUP($B27,Outputs!$N:$R,3,FALSE),"")</f>
        <v/>
      </c>
      <c r="Q27" s="267">
        <f ca="1">IF($A27=0,VLOOKUP($B27,Outputs!$N:$R,3,FALSE),"")</f>
        <v>36.217695498280044</v>
      </c>
    </row>
    <row r="28" spans="1:17">
      <c r="A28">
        <f>IF(VLOOKUP(B28,TOCA_current!$B$2:$BG$136,45,FALSE)=0,0,1)</f>
        <v>0</v>
      </c>
      <c r="B28" t="s">
        <v>120</v>
      </c>
      <c r="C28" s="267" t="str">
        <f>IF(A28=1,VLOOKUP($B28,Outputs!$B:$F,2,FALSE),"")</f>
        <v/>
      </c>
      <c r="D28" s="267">
        <f ca="1">IF(A28=0,VLOOKUP($B28,Outputs!$B:$F,2,FALSE),"")</f>
        <v>0.10124026688362897</v>
      </c>
      <c r="E28" s="54"/>
      <c r="F28" s="54" t="str">
        <f>IF(A28=1,VLOOKUP($B28,Outputs!$H:$L,2,FALSE),"")</f>
        <v/>
      </c>
      <c r="G28" s="54">
        <f ca="1">IF(A28=0,VLOOKUP($B28,Outputs!$H:$L,2,FALSE),"")</f>
        <v>0.10123238890294192</v>
      </c>
      <c r="H28" s="267"/>
      <c r="I28" s="267"/>
      <c r="J28" s="268">
        <f ca="1">VLOOKUP($B28,Outputs!$N:$R,2,FALSE)</f>
        <v>9.5824423711973569E-2</v>
      </c>
      <c r="K28" s="268">
        <f ca="1">+VLOOKUP(B28,Outputs!T:U,2,FALSE)</f>
        <v>7.8522731502631116E-2</v>
      </c>
      <c r="L28" s="267" t="str">
        <f>IF($A28=1,VLOOKUP($B28,Outputs!$B:$F,3,FALSE),"")</f>
        <v/>
      </c>
      <c r="M28" s="267">
        <f ca="1">IF($A28=0,VLOOKUP($B28,Outputs!$B:$F,3,FALSE),"")</f>
        <v>39.294890443473335</v>
      </c>
      <c r="N28" s="267" t="str">
        <f>IF($A28=1,VLOOKUP($B28,Outputs!$H:$L,3,FALSE),"")</f>
        <v/>
      </c>
      <c r="O28" s="267">
        <f ca="1">IF($A28=0,VLOOKUP($B28,Outputs!$H:$L,3,FALSE),"")</f>
        <v>39.297667272681515</v>
      </c>
      <c r="P28" s="267" t="str">
        <f>IF($A28=1,VLOOKUP($B28,Outputs!$N:$R,3,FALSE),"")</f>
        <v/>
      </c>
      <c r="Q28" s="267">
        <f ca="1">IF($A28=0,VLOOKUP($B28,Outputs!$N:$R,3,FALSE),"")</f>
        <v>38.048516200513887</v>
      </c>
    </row>
    <row r="29" spans="1:17">
      <c r="A29">
        <f>IF(VLOOKUP(B29,TOCA_current!$B$2:$BG$136,45,FALSE)=0,0,1)</f>
        <v>0</v>
      </c>
      <c r="B29" t="s">
        <v>30</v>
      </c>
      <c r="C29" s="267" t="str">
        <f>IF(A29=1,VLOOKUP($B29,Outputs!$B:$F,2,FALSE),"")</f>
        <v/>
      </c>
      <c r="D29" s="267">
        <f ca="1">IF(A29=0,VLOOKUP($B29,Outputs!$B:$F,2,FALSE),"")</f>
        <v>0.11518072601635282</v>
      </c>
      <c r="E29" s="54"/>
      <c r="F29" s="54" t="str">
        <f>IF(A29=1,VLOOKUP($B29,Outputs!$H:$L,2,FALSE),"")</f>
        <v/>
      </c>
      <c r="G29" s="54">
        <f ca="1">IF(A29=0,VLOOKUP($B29,Outputs!$H:$L,2,FALSE),"")</f>
        <v>0.11517767543718875</v>
      </c>
      <c r="H29" s="267"/>
      <c r="I29" s="267"/>
      <c r="J29" s="268">
        <f ca="1">VLOOKUP($B29,Outputs!$N:$R,2,FALSE)</f>
        <v>9.638465357117787E-2</v>
      </c>
      <c r="K29" s="268">
        <f ca="1">+VLOOKUP(B29,Outputs!T:U,2,FALSE)</f>
        <v>0.10771465379084777</v>
      </c>
      <c r="L29" s="267" t="str">
        <f>IF($A29=1,VLOOKUP($B29,Outputs!$B:$F,3,FALSE),"")</f>
        <v/>
      </c>
      <c r="M29" s="267">
        <f ca="1">IF($A29=0,VLOOKUP($B29,Outputs!$B:$F,3,FALSE),"")</f>
        <v>38.931906169780447</v>
      </c>
      <c r="N29" s="267" t="str">
        <f>IF($A29=1,VLOOKUP($B29,Outputs!$H:$L,3,FALSE),"")</f>
        <v/>
      </c>
      <c r="O29" s="267">
        <f ca="1">IF($A29=0,VLOOKUP($B29,Outputs!$H:$L,3,FALSE),"")</f>
        <v>38.932424534652583</v>
      </c>
      <c r="P29" s="267" t="str">
        <f>IF($A29=1,VLOOKUP($B29,Outputs!$N:$R,3,FALSE),"")</f>
        <v/>
      </c>
      <c r="Q29" s="267">
        <f ca="1">IF($A29=0,VLOOKUP($B29,Outputs!$N:$R,3,FALSE),"")</f>
        <v>37.872709845903906</v>
      </c>
    </row>
    <row r="30" spans="1:17">
      <c r="A30">
        <f>IF(VLOOKUP(B30,TOCA_current!$B$2:$BG$136,45,FALSE)=0,0,1)</f>
        <v>0</v>
      </c>
      <c r="B30" t="s">
        <v>129</v>
      </c>
      <c r="C30" s="267" t="str">
        <f>IF(A30=1,VLOOKUP($B30,Outputs!$B:$F,2,FALSE),"")</f>
        <v/>
      </c>
      <c r="D30" s="267">
        <f ca="1">IF(A30=0,VLOOKUP($B30,Outputs!$B:$F,2,FALSE),"")</f>
        <v>8.8035535545257518E-2</v>
      </c>
      <c r="E30" s="54"/>
      <c r="F30" s="54" t="str">
        <f>IF(A30=1,VLOOKUP($B30,Outputs!$H:$L,2,FALSE),"")</f>
        <v/>
      </c>
      <c r="G30" s="54">
        <f ca="1">IF(A30=0,VLOOKUP($B30,Outputs!$H:$L,2,FALSE),"")</f>
        <v>8.8028512386337937E-2</v>
      </c>
      <c r="H30" s="267"/>
      <c r="I30" s="267"/>
      <c r="J30" s="268">
        <f ca="1">VLOOKUP($B30,Outputs!$N:$R,2,FALSE)</f>
        <v>9.1208076373387029E-2</v>
      </c>
      <c r="K30" s="268">
        <f ca="1">+VLOOKUP(B30,Outputs!T:U,2,FALSE)</f>
        <v>0.13839217274406512</v>
      </c>
      <c r="L30" s="267" t="str">
        <f>IF($A30=1,VLOOKUP($B30,Outputs!$B:$F,3,FALSE),"")</f>
        <v/>
      </c>
      <c r="M30" s="267">
        <f ca="1">IF($A30=0,VLOOKUP($B30,Outputs!$B:$F,3,FALSE),"")</f>
        <v>37.588919995974734</v>
      </c>
      <c r="N30" s="267" t="str">
        <f>IF($A30=1,VLOOKUP($B30,Outputs!$H:$L,3,FALSE),"")</f>
        <v/>
      </c>
      <c r="O30" s="267">
        <f ca="1">IF($A30=0,VLOOKUP($B30,Outputs!$H:$L,3,FALSE),"")</f>
        <v>37.591499069852439</v>
      </c>
      <c r="P30" s="267" t="str">
        <f>IF($A30=1,VLOOKUP($B30,Outputs!$N:$R,3,FALSE),"")</f>
        <v/>
      </c>
      <c r="Q30" s="267">
        <f ca="1">IF($A30=0,VLOOKUP($B30,Outputs!$N:$R,3,FALSE),"")</f>
        <v>36.507748276638509</v>
      </c>
    </row>
    <row r="31" spans="1:17">
      <c r="A31">
        <f>IF(VLOOKUP(B31,TOCA_current!$B$2:$BG$136,45,FALSE)=0,0,1)</f>
        <v>0</v>
      </c>
      <c r="B31" t="s">
        <v>20</v>
      </c>
      <c r="C31" s="267" t="str">
        <f>IF(A31=1,VLOOKUP($B31,Outputs!$B:$F,2,FALSE),"")</f>
        <v/>
      </c>
      <c r="D31" s="267">
        <f ca="1">IF(A31=0,VLOOKUP($B31,Outputs!$B:$F,2,FALSE),"")</f>
        <v>6.2846440518947916E-2</v>
      </c>
      <c r="E31" s="54"/>
      <c r="F31" s="54" t="str">
        <f>IF(A31=1,VLOOKUP($B31,Outputs!$H:$L,2,FALSE),"")</f>
        <v/>
      </c>
      <c r="G31" s="54">
        <f ca="1">IF(A31=0,VLOOKUP($B31,Outputs!$H:$L,2,FALSE),"")</f>
        <v>6.2846016795991611E-2</v>
      </c>
      <c r="H31" s="267"/>
      <c r="I31" s="267"/>
      <c r="J31" s="268">
        <f ca="1">VLOOKUP($B31,Outputs!$N:$R,2,FALSE)</f>
        <v>9.2005206168901704E-2</v>
      </c>
      <c r="K31" s="268">
        <f ca="1">+VLOOKUP(B31,Outputs!T:U,2,FALSE)</f>
        <v>5.3364563095413153E-2</v>
      </c>
      <c r="L31" s="267" t="str">
        <f>IF($A31=1,VLOOKUP($B31,Outputs!$B:$F,3,FALSE),"")</f>
        <v/>
      </c>
      <c r="M31" s="267">
        <f ca="1">IF($A31=0,VLOOKUP($B31,Outputs!$B:$F,3,FALSE),"")</f>
        <v>42.288614433375379</v>
      </c>
      <c r="N31" s="267" t="str">
        <f>IF($A31=1,VLOOKUP($B31,Outputs!$H:$L,3,FALSE),"")</f>
        <v/>
      </c>
      <c r="O31" s="267">
        <f ca="1">IF($A31=0,VLOOKUP($B31,Outputs!$H:$L,3,FALSE),"")</f>
        <v>42.28887050196753</v>
      </c>
      <c r="P31" s="267" t="str">
        <f>IF($A31=1,VLOOKUP($B31,Outputs!$N:$R,3,FALSE),"")</f>
        <v/>
      </c>
      <c r="Q31" s="267">
        <f ca="1">IF($A31=0,VLOOKUP($B31,Outputs!$N:$R,3,FALSE),"")</f>
        <v>37.888957960439157</v>
      </c>
    </row>
    <row r="32" spans="1:17">
      <c r="A32">
        <f>IF(VLOOKUP(B32,TOCA_current!$B$2:$BG$136,45,FALSE)=0,0,1)</f>
        <v>0</v>
      </c>
      <c r="B32" t="s">
        <v>70</v>
      </c>
      <c r="C32" s="267" t="str">
        <f>IF(A32=1,VLOOKUP($B32,Outputs!$B:$F,2,FALSE),"")</f>
        <v/>
      </c>
      <c r="D32" s="267">
        <f ca="1">IF(A32=0,VLOOKUP($B32,Outputs!$B:$F,2,FALSE),"")</f>
        <v>8.7275701087746196E-2</v>
      </c>
      <c r="E32" s="54"/>
      <c r="F32" s="54" t="str">
        <f>IF(A32=1,VLOOKUP($B32,Outputs!$H:$L,2,FALSE),"")</f>
        <v/>
      </c>
      <c r="G32" s="54">
        <f ca="1">IF(A32=0,VLOOKUP($B32,Outputs!$H:$L,2,FALSE),"")</f>
        <v>8.7272448686553053E-2</v>
      </c>
      <c r="H32" s="267"/>
      <c r="I32" s="267"/>
      <c r="J32" s="268">
        <f ca="1">VLOOKUP($B32,Outputs!$N:$R,2,FALSE)</f>
        <v>9.4777950907860578E-2</v>
      </c>
      <c r="K32" s="268">
        <f ca="1">+VLOOKUP(B32,Outputs!T:U,2,FALSE)</f>
        <v>5.0427805438360673E-2</v>
      </c>
      <c r="L32" s="267" t="str">
        <f>IF($A32=1,VLOOKUP($B32,Outputs!$B:$F,3,FALSE),"")</f>
        <v/>
      </c>
      <c r="M32" s="267">
        <f ca="1">IF($A32=0,VLOOKUP($B32,Outputs!$B:$F,3,FALSE),"")</f>
        <v>40.928869798826966</v>
      </c>
      <c r="N32" s="267" t="str">
        <f>IF($A32=1,VLOOKUP($B32,Outputs!$H:$L,3,FALSE),"")</f>
        <v/>
      </c>
      <c r="O32" s="267">
        <f ca="1">IF($A32=0,VLOOKUP($B32,Outputs!$H:$L,3,FALSE),"")</f>
        <v>40.930225464471953</v>
      </c>
      <c r="P32" s="267" t="str">
        <f>IF($A32=1,VLOOKUP($B32,Outputs!$N:$R,3,FALSE),"")</f>
        <v/>
      </c>
      <c r="Q32" s="267">
        <f ca="1">IF($A32=0,VLOOKUP($B32,Outputs!$N:$R,3,FALSE),"")</f>
        <v>38.906705732464971</v>
      </c>
    </row>
    <row r="33" spans="1:17">
      <c r="A33">
        <f>IF(VLOOKUP(B33,TOCA_current!$B$2:$BG$136,45,FALSE)=0,0,1)</f>
        <v>0</v>
      </c>
      <c r="B33" t="s">
        <v>63</v>
      </c>
      <c r="C33" s="267" t="str">
        <f>IF(A33=1,VLOOKUP($B33,Outputs!$B:$F,2,FALSE),"")</f>
        <v/>
      </c>
      <c r="D33" s="267">
        <f ca="1">IF(A33=0,VLOOKUP($B33,Outputs!$B:$F,2,FALSE),"")</f>
        <v>0.10600122926526184</v>
      </c>
      <c r="E33" s="54"/>
      <c r="F33" s="54" t="str">
        <f>IF(A33=1,VLOOKUP($B33,Outputs!$H:$L,2,FALSE),"")</f>
        <v/>
      </c>
      <c r="G33" s="54">
        <f ca="1">IF(A33=0,VLOOKUP($B33,Outputs!$H:$L,2,FALSE),"")</f>
        <v>0.10599781721419649</v>
      </c>
      <c r="H33" s="267"/>
      <c r="I33" s="267"/>
      <c r="J33" s="268">
        <f ca="1">VLOOKUP($B33,Outputs!$N:$R,2,FALSE)</f>
        <v>0.1012532597422794</v>
      </c>
      <c r="K33" s="268">
        <f ca="1">+VLOOKUP(B33,Outputs!T:U,2,FALSE)</f>
        <v>0.12127266702755501</v>
      </c>
      <c r="L33" s="267" t="str">
        <f>IF($A33=1,VLOOKUP($B33,Outputs!$B:$F,3,FALSE),"")</f>
        <v/>
      </c>
      <c r="M33" s="267">
        <f ca="1">IF($A33=0,VLOOKUP($B33,Outputs!$B:$F,3,FALSE),"")</f>
        <v>41.35886110485378</v>
      </c>
      <c r="N33" s="267" t="str">
        <f>IF($A33=1,VLOOKUP($B33,Outputs!$H:$L,3,FALSE),"")</f>
        <v/>
      </c>
      <c r="O33" s="267">
        <f ca="1">IF($A33=0,VLOOKUP($B33,Outputs!$H:$L,3,FALSE),"")</f>
        <v>41.360064841039986</v>
      </c>
      <c r="P33" s="267" t="str">
        <f>IF($A33=1,VLOOKUP($B33,Outputs!$N:$R,3,FALSE),"")</f>
        <v/>
      </c>
      <c r="Q33" s="267">
        <f ca="1">IF($A33=0,VLOOKUP($B33,Outputs!$N:$R,3,FALSE),"")</f>
        <v>40.372783389290298</v>
      </c>
    </row>
    <row r="34" spans="1:17">
      <c r="A34">
        <f>IF(VLOOKUP(B34,TOCA_current!$B$2:$BG$136,45,FALSE)=0,0,1)</f>
        <v>0</v>
      </c>
      <c r="B34" t="s">
        <v>92</v>
      </c>
      <c r="C34" s="267" t="str">
        <f>IF(A34=1,VLOOKUP($B34,Outputs!$B:$F,2,FALSE),"")</f>
        <v/>
      </c>
      <c r="D34" s="267">
        <f ca="1">IF(A34=0,VLOOKUP($B34,Outputs!$B:$F,2,FALSE),"")</f>
        <v>0.10348568494402141</v>
      </c>
      <c r="E34" s="54"/>
      <c r="F34" s="54" t="str">
        <f>IF(A34=1,VLOOKUP($B34,Outputs!$H:$L,2,FALSE),"")</f>
        <v/>
      </c>
      <c r="G34" s="54">
        <f ca="1">IF(A34=0,VLOOKUP($B34,Outputs!$H:$L,2,FALSE),"")</f>
        <v>0.10348094560744094</v>
      </c>
      <c r="H34" s="267"/>
      <c r="I34" s="267"/>
      <c r="J34" s="268">
        <f ca="1">VLOOKUP($B34,Outputs!$N:$R,2,FALSE)</f>
        <v>0.10199797780875712</v>
      </c>
      <c r="K34" s="268">
        <f ca="1">+VLOOKUP(B34,Outputs!T:U,2,FALSE)</f>
        <v>9.922360729783386E-2</v>
      </c>
      <c r="L34" s="267" t="str">
        <f>IF($A34=1,VLOOKUP($B34,Outputs!$B:$F,3,FALSE),"")</f>
        <v/>
      </c>
      <c r="M34" s="267">
        <f ca="1">IF($A34=0,VLOOKUP($B34,Outputs!$B:$F,3,FALSE),"")</f>
        <v>36.734274469597551</v>
      </c>
      <c r="N34" s="267" t="str">
        <f>IF($A34=1,VLOOKUP($B34,Outputs!$H:$L,3,FALSE),"")</f>
        <v/>
      </c>
      <c r="O34" s="267">
        <f ca="1">IF($A34=0,VLOOKUP($B34,Outputs!$H:$L,3,FALSE),"")</f>
        <v>36.735738349119053</v>
      </c>
      <c r="P34" s="267" t="str">
        <f>IF($A34=1,VLOOKUP($B34,Outputs!$N:$R,3,FALSE),"")</f>
        <v/>
      </c>
      <c r="Q34" s="267">
        <f ca="1">IF($A34=0,VLOOKUP($B34,Outputs!$N:$R,3,FALSE),"")</f>
        <v>34.895001181158548</v>
      </c>
    </row>
    <row r="35" spans="1:17">
      <c r="A35">
        <f>IF(VLOOKUP(B35,TOCA_current!$B$2:$BG$136,45,FALSE)=0,0,1)</f>
        <v>0</v>
      </c>
      <c r="B35" t="s">
        <v>74</v>
      </c>
      <c r="C35" s="267" t="str">
        <f>IF(A35=1,VLOOKUP($B35,Outputs!$B:$F,2,FALSE),"")</f>
        <v/>
      </c>
      <c r="D35" s="267">
        <f ca="1">IF(A35=0,VLOOKUP($B35,Outputs!$B:$F,2,FALSE),"")</f>
        <v>6.5541867351729025E-2</v>
      </c>
      <c r="E35" s="54"/>
      <c r="F35" s="54" t="str">
        <f>IF(A35=1,VLOOKUP($B35,Outputs!$H:$L,2,FALSE),"")</f>
        <v/>
      </c>
      <c r="G35" s="54">
        <f ca="1">IF(A35=0,VLOOKUP($B35,Outputs!$H:$L,2,FALSE),"")</f>
        <v>6.5539253139930698E-2</v>
      </c>
      <c r="H35" s="267"/>
      <c r="I35" s="267"/>
      <c r="J35" s="268">
        <f ca="1">VLOOKUP($B35,Outputs!$N:$R,2,FALSE)</f>
        <v>8.0498501713769821E-2</v>
      </c>
      <c r="K35" s="268">
        <f ca="1">+VLOOKUP(B35,Outputs!T:U,2,FALSE)</f>
        <v>0.16850400370158414</v>
      </c>
      <c r="L35" s="267" t="str">
        <f>IF($A35=1,VLOOKUP($B35,Outputs!$B:$F,3,FALSE),"")</f>
        <v/>
      </c>
      <c r="M35" s="267">
        <f ca="1">IF($A35=0,VLOOKUP($B35,Outputs!$B:$F,3,FALSE),"")</f>
        <v>39.869159396176208</v>
      </c>
      <c r="N35" s="267" t="str">
        <f>IF($A35=1,VLOOKUP($B35,Outputs!$H:$L,3,FALSE),"")</f>
        <v/>
      </c>
      <c r="O35" s="267">
        <f ca="1">IF($A35=0,VLOOKUP($B35,Outputs!$H:$L,3,FALSE),"")</f>
        <v>39.870252491663706</v>
      </c>
      <c r="P35" s="267" t="str">
        <f>IF($A35=1,VLOOKUP($B35,Outputs!$N:$R,3,FALSE),"")</f>
        <v/>
      </c>
      <c r="Q35" s="267">
        <f ca="1">IF($A35=0,VLOOKUP($B35,Outputs!$N:$R,3,FALSE),"")</f>
        <v>38.106472146925782</v>
      </c>
    </row>
    <row r="36" spans="1:17">
      <c r="A36">
        <f>IF(VLOOKUP(B36,TOCA_current!$B$2:$BG$136,45,FALSE)=0,0,1)</f>
        <v>0</v>
      </c>
      <c r="B36" t="s">
        <v>138</v>
      </c>
      <c r="C36" s="267" t="str">
        <f>IF(A36=1,VLOOKUP($B36,Outputs!$B:$F,2,FALSE),"")</f>
        <v/>
      </c>
      <c r="D36" s="267">
        <f ca="1">IF(A36=0,VLOOKUP($B36,Outputs!$B:$F,2,FALSE),"")</f>
        <v>8.750991921287532E-2</v>
      </c>
      <c r="E36" s="54"/>
      <c r="F36" s="54" t="str">
        <f>IF(A36=1,VLOOKUP($B36,Outputs!$H:$L,2,FALSE),"")</f>
        <v/>
      </c>
      <c r="G36" s="54">
        <f ca="1">IF(A36=0,VLOOKUP($B36,Outputs!$H:$L,2,FALSE),"")</f>
        <v>8.7503946841940697E-2</v>
      </c>
      <c r="H36" s="267"/>
      <c r="I36" s="267"/>
      <c r="J36" s="268">
        <f ca="1">VLOOKUP($B36,Outputs!$N:$R,2,FALSE)</f>
        <v>9.4644841562454604E-2</v>
      </c>
      <c r="K36" s="268">
        <f ca="1">+VLOOKUP(B36,Outputs!T:U,2,FALSE)</f>
        <v>8.3170170336871241E-2</v>
      </c>
      <c r="L36" s="267" t="str">
        <f>IF($A36=1,VLOOKUP($B36,Outputs!$B:$F,3,FALSE),"")</f>
        <v/>
      </c>
      <c r="M36" s="267">
        <f ca="1">IF($A36=0,VLOOKUP($B36,Outputs!$B:$F,3,FALSE),"")</f>
        <v>38.803417723018129</v>
      </c>
      <c r="N36" s="267" t="str">
        <f>IF($A36=1,VLOOKUP($B36,Outputs!$H:$L,3,FALSE),"")</f>
        <v/>
      </c>
      <c r="O36" s="267">
        <f ca="1">IF($A36=0,VLOOKUP($B36,Outputs!$H:$L,3,FALSE),"")</f>
        <v>38.805767186945786</v>
      </c>
      <c r="P36" s="267" t="str">
        <f>IF($A36=1,VLOOKUP($B36,Outputs!$N:$R,3,FALSE),"")</f>
        <v/>
      </c>
      <c r="Q36" s="267">
        <f ca="1">IF($A36=0,VLOOKUP($B36,Outputs!$N:$R,3,FALSE),"")</f>
        <v>37.249296010961807</v>
      </c>
    </row>
    <row r="37" spans="1:17">
      <c r="A37">
        <f>IF(VLOOKUP(B37,TOCA_current!$B$2:$BG$136,45,FALSE)=0,0,1)</f>
        <v>0</v>
      </c>
      <c r="B37" t="s">
        <v>113</v>
      </c>
      <c r="C37" s="267" t="str">
        <f>IF(A37=1,VLOOKUP($B37,Outputs!$B:$F,2,FALSE),"")</f>
        <v/>
      </c>
      <c r="D37" s="267">
        <f ca="1">IF(A37=0,VLOOKUP($B37,Outputs!$B:$F,2,FALSE),"")</f>
        <v>0.11415240552875666</v>
      </c>
      <c r="E37" s="54"/>
      <c r="F37" s="54" t="str">
        <f>IF(A37=1,VLOOKUP($B37,Outputs!$H:$L,2,FALSE),"")</f>
        <v/>
      </c>
      <c r="G37" s="54">
        <f ca="1">IF(A37=0,VLOOKUP($B37,Outputs!$H:$L,2,FALSE),"")</f>
        <v>0.11414566989370026</v>
      </c>
      <c r="H37" s="267"/>
      <c r="I37" s="267"/>
      <c r="J37" s="268">
        <f ca="1">VLOOKUP($B37,Outputs!$N:$R,2,FALSE)</f>
        <v>0.10266385212926489</v>
      </c>
      <c r="K37" s="268">
        <f ca="1">+VLOOKUP(B37,Outputs!T:U,2,FALSE)</f>
        <v>9.3314948002980014E-2</v>
      </c>
      <c r="L37" s="267" t="str">
        <f>IF($A37=1,VLOOKUP($B37,Outputs!$B:$F,3,FALSE),"")</f>
        <v/>
      </c>
      <c r="M37" s="267">
        <f ca="1">IF($A37=0,VLOOKUP($B37,Outputs!$B:$F,3,FALSE),"")</f>
        <v>31.913576184753342</v>
      </c>
      <c r="N37" s="267" t="str">
        <f>IF($A37=1,VLOOKUP($B37,Outputs!$H:$L,3,FALSE),"")</f>
        <v/>
      </c>
      <c r="O37" s="267">
        <f ca="1">IF($A37=0,VLOOKUP($B37,Outputs!$H:$L,3,FALSE),"")</f>
        <v>31.915251563037547</v>
      </c>
      <c r="P37" s="267" t="str">
        <f>IF($A37=1,VLOOKUP($B37,Outputs!$N:$R,3,FALSE),"")</f>
        <v/>
      </c>
      <c r="Q37" s="267">
        <f ca="1">IF($A37=0,VLOOKUP($B37,Outputs!$N:$R,3,FALSE),"")</f>
        <v>31.774518004026501</v>
      </c>
    </row>
    <row r="38" spans="1:17">
      <c r="A38">
        <f>IF(VLOOKUP(B38,TOCA_current!$B$2:$BG$136,45,FALSE)=0,0,1)</f>
        <v>0</v>
      </c>
      <c r="B38" t="s">
        <v>33</v>
      </c>
      <c r="C38" s="267" t="str">
        <f>IF(A38=1,VLOOKUP($B38,Outputs!$B:$F,2,FALSE),"")</f>
        <v/>
      </c>
      <c r="D38" s="267">
        <f ca="1">IF(A38=0,VLOOKUP($B38,Outputs!$B:$F,2,FALSE),"")</f>
        <v>9.812505480895789E-2</v>
      </c>
      <c r="E38" s="54"/>
      <c r="F38" s="54" t="str">
        <f>IF(A38=1,VLOOKUP($B38,Outputs!$H:$L,2,FALSE),"")</f>
        <v/>
      </c>
      <c r="G38" s="54">
        <f ca="1">IF(A38=0,VLOOKUP($B38,Outputs!$H:$L,2,FALSE),"")</f>
        <v>9.8123849383263975E-2</v>
      </c>
      <c r="H38" s="267"/>
      <c r="I38" s="267"/>
      <c r="J38" s="268">
        <f ca="1">VLOOKUP($B38,Outputs!$N:$R,2,FALSE)</f>
        <v>9.2238752260006718E-2</v>
      </c>
      <c r="K38" s="268">
        <f ca="1">+VLOOKUP(B38,Outputs!T:U,2,FALSE)</f>
        <v>5.6106202538259486E-2</v>
      </c>
      <c r="L38" s="267" t="str">
        <f>IF($A38=1,VLOOKUP($B38,Outputs!$B:$F,3,FALSE),"")</f>
        <v/>
      </c>
      <c r="M38" s="267">
        <f ca="1">IF($A38=0,VLOOKUP($B38,Outputs!$B:$F,3,FALSE),"")</f>
        <v>38.275145179864147</v>
      </c>
      <c r="N38" s="267" t="str">
        <f>IF($A38=1,VLOOKUP($B38,Outputs!$H:$L,3,FALSE),"")</f>
        <v/>
      </c>
      <c r="O38" s="267">
        <f ca="1">IF($A38=0,VLOOKUP($B38,Outputs!$H:$L,3,FALSE),"")</f>
        <v>38.275573364076344</v>
      </c>
      <c r="P38" s="267" t="str">
        <f>IF($A38=1,VLOOKUP($B38,Outputs!$N:$R,3,FALSE),"")</f>
        <v/>
      </c>
      <c r="Q38" s="267">
        <f ca="1">IF($A38=0,VLOOKUP($B38,Outputs!$N:$R,3,FALSE),"")</f>
        <v>37.01889862675462</v>
      </c>
    </row>
    <row r="39" spans="1:17">
      <c r="A39">
        <f>IF(VLOOKUP(B39,TOCA_current!$B$2:$BG$136,45,FALSE)=0,0,1)</f>
        <v>0</v>
      </c>
      <c r="B39" t="s">
        <v>18</v>
      </c>
      <c r="C39" s="267" t="str">
        <f>IF(A39=1,VLOOKUP($B39,Outputs!$B:$F,2,FALSE),"")</f>
        <v/>
      </c>
      <c r="D39" s="267">
        <f ca="1">IF(A39=0,VLOOKUP($B39,Outputs!$B:$F,2,FALSE),"")</f>
        <v>9.6503301919711709E-2</v>
      </c>
      <c r="E39" s="54"/>
      <c r="F39" s="54" t="str">
        <f>IF(A39=1,VLOOKUP($B39,Outputs!$H:$L,2,FALSE),"")</f>
        <v/>
      </c>
      <c r="G39" s="54">
        <f ca="1">IF(A39=0,VLOOKUP($B39,Outputs!$H:$L,2,FALSE),"")</f>
        <v>9.6502864070811503E-2</v>
      </c>
      <c r="H39" s="267"/>
      <c r="I39" s="267"/>
      <c r="J39" s="268">
        <f ca="1">VLOOKUP($B39,Outputs!$N:$R,2,FALSE)</f>
        <v>9.3923807335085152E-2</v>
      </c>
      <c r="K39" s="268">
        <f ca="1">+VLOOKUP(B39,Outputs!T:U,2,FALSE)</f>
        <v>4.9705065520386338E-2</v>
      </c>
      <c r="L39" s="267" t="str">
        <f>IF($A39=1,VLOOKUP($B39,Outputs!$B:$F,3,FALSE),"")</f>
        <v/>
      </c>
      <c r="M39" s="267">
        <f ca="1">IF($A39=0,VLOOKUP($B39,Outputs!$B:$F,3,FALSE),"")</f>
        <v>37.136849558259414</v>
      </c>
      <c r="N39" s="267" t="str">
        <f>IF($A39=1,VLOOKUP($B39,Outputs!$H:$L,3,FALSE),"")</f>
        <v/>
      </c>
      <c r="O39" s="267">
        <f ca="1">IF($A39=0,VLOOKUP($B39,Outputs!$H:$L,3,FALSE),"")</f>
        <v>37.136998139869647</v>
      </c>
      <c r="P39" s="267" t="str">
        <f>IF($A39=1,VLOOKUP($B39,Outputs!$N:$R,3,FALSE),"")</f>
        <v/>
      </c>
      <c r="Q39" s="267">
        <f ca="1">IF($A39=0,VLOOKUP($B39,Outputs!$N:$R,3,FALSE),"")</f>
        <v>36.334659584865911</v>
      </c>
    </row>
    <row r="40" spans="1:17">
      <c r="A40">
        <f>IF(VLOOKUP(B40,TOCA_current!$B$2:$BG$136,45,FALSE)=0,0,1)</f>
        <v>0</v>
      </c>
      <c r="B40" t="s">
        <v>36</v>
      </c>
      <c r="C40" s="267" t="str">
        <f>IF(A40=1,VLOOKUP($B40,Outputs!$B:$F,2,FALSE),"")</f>
        <v/>
      </c>
      <c r="D40" s="267">
        <f ca="1">IF(A40=0,VLOOKUP($B40,Outputs!$B:$F,2,FALSE),"")</f>
        <v>9.1300773926395587E-2</v>
      </c>
      <c r="E40" s="54"/>
      <c r="F40" s="54" t="str">
        <f>IF(A40=1,VLOOKUP($B40,Outputs!$H:$L,2,FALSE),"")</f>
        <v/>
      </c>
      <c r="G40" s="54">
        <f ca="1">IF(A40=0,VLOOKUP($B40,Outputs!$H:$L,2,FALSE),"")</f>
        <v>9.1299792105447128E-2</v>
      </c>
      <c r="H40" s="267"/>
      <c r="I40" s="267"/>
      <c r="J40" s="268">
        <f ca="1">VLOOKUP($B40,Outputs!$N:$R,2,FALSE)</f>
        <v>9.3778509435918547E-2</v>
      </c>
      <c r="K40" s="268">
        <f ca="1">+VLOOKUP(B40,Outputs!T:U,2,FALSE)</f>
        <v>9.5206565668886745E-2</v>
      </c>
      <c r="L40" s="267" t="str">
        <f>IF($A40=1,VLOOKUP($B40,Outputs!$B:$F,3,FALSE),"")</f>
        <v/>
      </c>
      <c r="M40" s="267">
        <f ca="1">IF($A40=0,VLOOKUP($B40,Outputs!$B:$F,3,FALSE),"")</f>
        <v>39.943574855200474</v>
      </c>
      <c r="N40" s="267" t="str">
        <f>IF($A40=1,VLOOKUP($B40,Outputs!$H:$L,3,FALSE),"")</f>
        <v/>
      </c>
      <c r="O40" s="267">
        <f ca="1">IF($A40=0,VLOOKUP($B40,Outputs!$H:$L,3,FALSE),"")</f>
        <v>39.943954875059227</v>
      </c>
      <c r="P40" s="267" t="str">
        <f>IF($A40=1,VLOOKUP($B40,Outputs!$N:$R,3,FALSE),"")</f>
        <v/>
      </c>
      <c r="Q40" s="267">
        <f ca="1">IF($A40=0,VLOOKUP($B40,Outputs!$N:$R,3,FALSE),"")</f>
        <v>38.717028604899056</v>
      </c>
    </row>
    <row r="41" spans="1:17">
      <c r="A41">
        <f>IF(VLOOKUP(B41,TOCA_current!$B$2:$BG$136,45,FALSE)=0,0,1)</f>
        <v>0</v>
      </c>
      <c r="B41" t="s">
        <v>19</v>
      </c>
      <c r="C41" s="267" t="str">
        <f>IF(A41=1,VLOOKUP($B41,Outputs!$B:$F,2,FALSE),"")</f>
        <v/>
      </c>
      <c r="D41" s="267">
        <f ca="1">IF(A41=0,VLOOKUP($B41,Outputs!$B:$F,2,FALSE),"")</f>
        <v>9.641545054347557E-2</v>
      </c>
      <c r="E41" s="54"/>
      <c r="F41" s="54" t="str">
        <f>IF(A41=1,VLOOKUP($B41,Outputs!$H:$L,2,FALSE),"")</f>
        <v/>
      </c>
      <c r="G41" s="54">
        <f ca="1">IF(A41=0,VLOOKUP($B41,Outputs!$H:$L,2,FALSE),"")</f>
        <v>9.6415043659450889E-2</v>
      </c>
      <c r="H41" s="267"/>
      <c r="I41" s="267"/>
      <c r="J41" s="268">
        <f ca="1">VLOOKUP($B41,Outputs!$N:$R,2,FALSE)</f>
        <v>9.5059708956708386E-2</v>
      </c>
      <c r="K41" s="268">
        <f ca="1">+VLOOKUP(B41,Outputs!T:U,2,FALSE)</f>
        <v>7.5921182291588396E-2</v>
      </c>
      <c r="L41" s="267" t="str">
        <f>IF($A41=1,VLOOKUP($B41,Outputs!$B:$F,3,FALSE),"")</f>
        <v/>
      </c>
      <c r="M41" s="267">
        <f ca="1">IF($A41=0,VLOOKUP($B41,Outputs!$B:$F,3,FALSE),"")</f>
        <v>38.335044793187002</v>
      </c>
      <c r="N41" s="267" t="str">
        <f>IF($A41=1,VLOOKUP($B41,Outputs!$H:$L,3,FALSE),"")</f>
        <v/>
      </c>
      <c r="O41" s="267">
        <f ca="1">IF($A41=0,VLOOKUP($B41,Outputs!$H:$L,3,FALSE),"")</f>
        <v>38.335187536743902</v>
      </c>
      <c r="P41" s="267" t="str">
        <f>IF($A41=1,VLOOKUP($B41,Outputs!$N:$R,3,FALSE),"")</f>
        <v/>
      </c>
      <c r="Q41" s="267">
        <f ca="1">IF($A41=0,VLOOKUP($B41,Outputs!$N:$R,3,FALSE),"")</f>
        <v>37.38780960194218</v>
      </c>
    </row>
    <row r="42" spans="1:17">
      <c r="A42">
        <f>IF(VLOOKUP(B42,TOCA_current!$B$2:$BG$136,45,FALSE)=0,0,1)</f>
        <v>0</v>
      </c>
      <c r="B42" t="s">
        <v>86</v>
      </c>
      <c r="C42" s="267" t="str">
        <f>IF(A42=1,VLOOKUP($B42,Outputs!$B:$F,2,FALSE),"")</f>
        <v/>
      </c>
      <c r="D42" s="267">
        <f ca="1">IF(A42=0,VLOOKUP($B42,Outputs!$B:$F,2,FALSE),"")</f>
        <v>9.7342056632457194E-2</v>
      </c>
      <c r="E42" s="54"/>
      <c r="F42" s="54" t="str">
        <f>IF(A42=1,VLOOKUP($B42,Outputs!$H:$L,2,FALSE),"")</f>
        <v/>
      </c>
      <c r="G42" s="54">
        <f ca="1">IF(A42=0,VLOOKUP($B42,Outputs!$H:$L,2,FALSE),"")</f>
        <v>9.7339404634109852E-2</v>
      </c>
      <c r="H42" s="267"/>
      <c r="I42" s="267"/>
      <c r="J42" s="268">
        <f ca="1">VLOOKUP($B42,Outputs!$N:$R,2,FALSE)</f>
        <v>9.553605131521517E-2</v>
      </c>
      <c r="K42" s="268">
        <f ca="1">+VLOOKUP(B42,Outputs!T:U,2,FALSE)</f>
        <v>8.8299962995801451E-2</v>
      </c>
      <c r="L42" s="267" t="str">
        <f>IF($A42=1,VLOOKUP($B42,Outputs!$B:$F,3,FALSE),"")</f>
        <v/>
      </c>
      <c r="M42" s="267">
        <f ca="1">IF($A42=0,VLOOKUP($B42,Outputs!$B:$F,3,FALSE),"")</f>
        <v>41.034847945204739</v>
      </c>
      <c r="N42" s="267" t="str">
        <f>IF($A42=1,VLOOKUP($B42,Outputs!$H:$L,3,FALSE),"")</f>
        <v/>
      </c>
      <c r="O42" s="267">
        <f ca="1">IF($A42=0,VLOOKUP($B42,Outputs!$H:$L,3,FALSE),"")</f>
        <v>41.035833022048315</v>
      </c>
      <c r="P42" s="267" t="str">
        <f>IF($A42=1,VLOOKUP($B42,Outputs!$N:$R,3,FALSE),"")</f>
        <v/>
      </c>
      <c r="Q42" s="267">
        <f ca="1">IF($A42=0,VLOOKUP($B42,Outputs!$N:$R,3,FALSE),"")</f>
        <v>39.70765742109802</v>
      </c>
    </row>
    <row r="43" spans="1:17">
      <c r="A43">
        <f>IF(VLOOKUP(B43,TOCA_current!$B$2:$BG$136,45,FALSE)=0,0,1)</f>
        <v>0</v>
      </c>
      <c r="B43" t="s">
        <v>66</v>
      </c>
      <c r="C43" s="267" t="str">
        <f>IF(A43=1,VLOOKUP($B43,Outputs!$B:$F,2,FALSE),"")</f>
        <v/>
      </c>
      <c r="D43" s="267">
        <f ca="1">IF(A43=0,VLOOKUP($B43,Outputs!$B:$F,2,FALSE),"")</f>
        <v>8.0743055694445148E-2</v>
      </c>
      <c r="E43" s="54"/>
      <c r="F43" s="54" t="str">
        <f>IF(A43=1,VLOOKUP($B43,Outputs!$H:$L,2,FALSE),"")</f>
        <v/>
      </c>
      <c r="G43" s="54">
        <f ca="1">IF(A43=0,VLOOKUP($B43,Outputs!$H:$L,2,FALSE),"")</f>
        <v>8.074165896095381E-2</v>
      </c>
      <c r="H43" s="267"/>
      <c r="I43" s="267"/>
      <c r="J43" s="268">
        <f ca="1">VLOOKUP($B43,Outputs!$N:$R,2,FALSE)</f>
        <v>7.9100537599712792E-2</v>
      </c>
      <c r="K43" s="268">
        <f ca="1">+VLOOKUP(B43,Outputs!T:U,2,FALSE)</f>
        <v>0.20886985650505485</v>
      </c>
      <c r="L43" s="267" t="str">
        <f>IF($A43=1,VLOOKUP($B43,Outputs!$B:$F,3,FALSE),"")</f>
        <v/>
      </c>
      <c r="M43" s="267">
        <f ca="1">IF($A43=0,VLOOKUP($B43,Outputs!$B:$F,3,FALSE),"")</f>
        <v>39.810395597923382</v>
      </c>
      <c r="N43" s="267" t="str">
        <f>IF($A43=1,VLOOKUP($B43,Outputs!$H:$L,3,FALSE),"")</f>
        <v/>
      </c>
      <c r="O43" s="267">
        <f ca="1">IF($A43=0,VLOOKUP($B43,Outputs!$H:$L,3,FALSE),"")</f>
        <v>39.811032818215857</v>
      </c>
      <c r="P43" s="267" t="str">
        <f>IF($A43=1,VLOOKUP($B43,Outputs!$N:$R,3,FALSE),"")</f>
        <v/>
      </c>
      <c r="Q43" s="267">
        <f ca="1">IF($A43=0,VLOOKUP($B43,Outputs!$N:$R,3,FALSE),"")</f>
        <v>38.734925541784364</v>
      </c>
    </row>
    <row r="44" spans="1:17">
      <c r="A44">
        <f>IF(VLOOKUP(B44,TOCA_current!$B$2:$BG$136,45,FALSE)=0,0,1)</f>
        <v>0</v>
      </c>
      <c r="B44" t="s">
        <v>40</v>
      </c>
      <c r="C44" s="267" t="str">
        <f>IF(A44=1,VLOOKUP($B44,Outputs!$B:$F,2,FALSE),"")</f>
        <v/>
      </c>
      <c r="D44" s="267">
        <f ca="1">IF(A44=0,VLOOKUP($B44,Outputs!$B:$F,2,FALSE),"")</f>
        <v>8.8253562339480299E-2</v>
      </c>
      <c r="E44" s="54"/>
      <c r="F44" s="54" t="str">
        <f>IF(A44=1,VLOOKUP($B44,Outputs!$H:$L,2,FALSE),"")</f>
        <v/>
      </c>
      <c r="G44" s="54">
        <f ca="1">IF(A44=0,VLOOKUP($B44,Outputs!$H:$L,2,FALSE),"")</f>
        <v>8.8252584892125202E-2</v>
      </c>
      <c r="H44" s="267"/>
      <c r="I44" s="267"/>
      <c r="J44" s="268">
        <f ca="1">VLOOKUP($B44,Outputs!$N:$R,2,FALSE)</f>
        <v>9.2487408818650058E-2</v>
      </c>
      <c r="K44" s="268">
        <f ca="1">+VLOOKUP(B44,Outputs!T:U,2,FALSE)</f>
        <v>8.4977506112367651E-2</v>
      </c>
      <c r="L44" s="267" t="str">
        <f>IF($A44=1,VLOOKUP($B44,Outputs!$B:$F,3,FALSE),"")</f>
        <v/>
      </c>
      <c r="M44" s="267">
        <f ca="1">IF($A44=0,VLOOKUP($B44,Outputs!$B:$F,3,FALSE),"")</f>
        <v>38.475188358075364</v>
      </c>
      <c r="N44" s="267" t="str">
        <f>IF($A44=1,VLOOKUP($B44,Outputs!$H:$L,3,FALSE),"")</f>
        <v/>
      </c>
      <c r="O44" s="267">
        <f ca="1">IF($A44=0,VLOOKUP($B44,Outputs!$H:$L,3,FALSE),"")</f>
        <v>38.475574569945231</v>
      </c>
      <c r="P44" s="267" t="str">
        <f>IF($A44=1,VLOOKUP($B44,Outputs!$N:$R,3,FALSE),"")</f>
        <v/>
      </c>
      <c r="Q44" s="267">
        <f ca="1">IF($A44=0,VLOOKUP($B44,Outputs!$N:$R,3,FALSE),"")</f>
        <v>37.225598389510694</v>
      </c>
    </row>
    <row r="45" spans="1:17">
      <c r="A45">
        <f>IF(VLOOKUP(B45,TOCA_current!$B$2:$BG$136,45,FALSE)=0,0,1)</f>
        <v>0</v>
      </c>
      <c r="B45" t="s">
        <v>84</v>
      </c>
      <c r="C45" s="267" t="str">
        <f>IF(A45=1,VLOOKUP($B45,Outputs!$B:$F,2,FALSE),"")</f>
        <v/>
      </c>
      <c r="D45" s="267">
        <f ca="1">IF(A45=0,VLOOKUP($B45,Outputs!$B:$F,2,FALSE),"")</f>
        <v>0.16445582601934575</v>
      </c>
      <c r="E45" s="54"/>
      <c r="F45" s="54" t="str">
        <f>IF(A45=1,VLOOKUP($B45,Outputs!$H:$L,2,FALSE),"")</f>
        <v/>
      </c>
      <c r="G45" s="54">
        <f ca="1">IF(A45=0,VLOOKUP($B45,Outputs!$H:$L,2,FALSE),"")</f>
        <v>0.16444729354838758</v>
      </c>
      <c r="H45" s="267"/>
      <c r="I45" s="267"/>
      <c r="J45" s="268">
        <f ca="1">VLOOKUP($B45,Outputs!$N:$R,2,FALSE)</f>
        <v>0.1176343399665323</v>
      </c>
      <c r="K45" s="268">
        <f ca="1">+VLOOKUP(B45,Outputs!T:U,2,FALSE)</f>
        <v>8.4210306367979326E-2</v>
      </c>
      <c r="L45" s="267" t="str">
        <f>IF($A45=1,VLOOKUP($B45,Outputs!$B:$F,3,FALSE),"")</f>
        <v/>
      </c>
      <c r="M45" s="267">
        <f ca="1">IF($A45=0,VLOOKUP($B45,Outputs!$B:$F,3,FALSE),"")</f>
        <v>30.500137989293474</v>
      </c>
      <c r="N45" s="267" t="str">
        <f>IF($A45=1,VLOOKUP($B45,Outputs!$H:$L,3,FALSE),"")</f>
        <v/>
      </c>
      <c r="O45" s="267">
        <f ca="1">IF($A45=0,VLOOKUP($B45,Outputs!$H:$L,3,FALSE),"")</f>
        <v>30.500973872073985</v>
      </c>
      <c r="P45" s="267" t="str">
        <f>IF($A45=1,VLOOKUP($B45,Outputs!$N:$R,3,FALSE),"")</f>
        <v/>
      </c>
      <c r="Q45" s="267">
        <f ca="1">IF($A45=0,VLOOKUP($B45,Outputs!$N:$R,3,FALSE),"")</f>
        <v>29.952302934724099</v>
      </c>
    </row>
    <row r="46" spans="1:17">
      <c r="A46">
        <f>IF(VLOOKUP(B46,TOCA_current!$B$2:$BG$136,45,FALSE)=0,0,1)</f>
        <v>0</v>
      </c>
      <c r="B46" t="s">
        <v>77</v>
      </c>
      <c r="C46" s="267" t="str">
        <f>IF(A46=1,VLOOKUP($B46,Outputs!$B:$F,2,FALSE),"")</f>
        <v/>
      </c>
      <c r="D46" s="267">
        <f ca="1">IF(A46=0,VLOOKUP($B46,Outputs!$B:$F,2,FALSE),"")</f>
        <v>7.1482136877909927E-2</v>
      </c>
      <c r="E46" s="54"/>
      <c r="F46" s="54" t="str">
        <f>IF(A46=1,VLOOKUP($B46,Outputs!$H:$L,2,FALSE),"")</f>
        <v/>
      </c>
      <c r="G46" s="54">
        <f ca="1">IF(A46=0,VLOOKUP($B46,Outputs!$H:$L,2,FALSE),"")</f>
        <v>7.1480416606374261E-2</v>
      </c>
      <c r="H46" s="267"/>
      <c r="I46" s="267"/>
      <c r="J46" s="268">
        <f ca="1">VLOOKUP($B46,Outputs!$N:$R,2,FALSE)</f>
        <v>8.6359947754734948E-2</v>
      </c>
      <c r="K46" s="268">
        <f ca="1">+VLOOKUP(B46,Outputs!T:U,2,FALSE)</f>
        <v>8.4815592330253153E-2</v>
      </c>
      <c r="L46" s="267" t="str">
        <f>IF($A46=1,VLOOKUP($B46,Outputs!$B:$F,3,FALSE),"")</f>
        <v/>
      </c>
      <c r="M46" s="267">
        <f ca="1">IF($A46=0,VLOOKUP($B46,Outputs!$B:$F,3,FALSE),"")</f>
        <v>38.581993990395851</v>
      </c>
      <c r="N46" s="267" t="str">
        <f>IF($A46=1,VLOOKUP($B46,Outputs!$H:$L,3,FALSE),"")</f>
        <v/>
      </c>
      <c r="O46" s="267">
        <f ca="1">IF($A46=0,VLOOKUP($B46,Outputs!$H:$L,3,FALSE),"")</f>
        <v>38.582722341628056</v>
      </c>
      <c r="P46" s="267" t="str">
        <f>IF($A46=1,VLOOKUP($B46,Outputs!$N:$R,3,FALSE),"")</f>
        <v/>
      </c>
      <c r="Q46" s="267">
        <f ca="1">IF($A46=0,VLOOKUP($B46,Outputs!$N:$R,3,FALSE),"")</f>
        <v>37.354464781924584</v>
      </c>
    </row>
    <row r="47" spans="1:17">
      <c r="A47">
        <f>IF(VLOOKUP(B47,TOCA_current!$B$2:$BG$136,45,FALSE)=0,0,1)</f>
        <v>0</v>
      </c>
      <c r="B47" t="s">
        <v>95</v>
      </c>
      <c r="C47" s="267" t="str">
        <f>IF(A47=1,VLOOKUP($B47,Outputs!$B:$F,2,FALSE),"")</f>
        <v/>
      </c>
      <c r="D47" s="267">
        <f ca="1">IF(A47=0,VLOOKUP($B47,Outputs!$B:$F,2,FALSE),"")</f>
        <v>9.6097464619480016E-2</v>
      </c>
      <c r="E47" s="54"/>
      <c r="F47" s="54" t="str">
        <f>IF(A47=1,VLOOKUP($B47,Outputs!$H:$L,2,FALSE),"")</f>
        <v/>
      </c>
      <c r="G47" s="54">
        <f ca="1">IF(A47=0,VLOOKUP($B47,Outputs!$H:$L,2,FALSE),"")</f>
        <v>9.6094809785940927E-2</v>
      </c>
      <c r="H47" s="267"/>
      <c r="I47" s="267"/>
      <c r="J47" s="268">
        <f ca="1">VLOOKUP($B47,Outputs!$N:$R,2,FALSE)</f>
        <v>9.2114789179611078E-2</v>
      </c>
      <c r="K47" s="268">
        <f ca="1">+VLOOKUP(B47,Outputs!T:U,2,FALSE)</f>
        <v>4.5381608753054525E-2</v>
      </c>
      <c r="L47" s="267" t="str">
        <f>IF($A47=1,VLOOKUP($B47,Outputs!$B:$F,3,FALSE),"")</f>
        <v/>
      </c>
      <c r="M47" s="267">
        <f ca="1">IF($A47=0,VLOOKUP($B47,Outputs!$B:$F,3,FALSE),"")</f>
        <v>36.647100357506197</v>
      </c>
      <c r="N47" s="267" t="str">
        <f>IF($A47=1,VLOOKUP($B47,Outputs!$H:$L,3,FALSE),"")</f>
        <v/>
      </c>
      <c r="O47" s="267">
        <f ca="1">IF($A47=0,VLOOKUP($B47,Outputs!$H:$L,3,FALSE),"")</f>
        <v>36.647971019687205</v>
      </c>
      <c r="P47" s="267" t="str">
        <f>IF($A47=1,VLOOKUP($B47,Outputs!$N:$R,3,FALSE),"")</f>
        <v/>
      </c>
      <c r="Q47" s="267">
        <f ca="1">IF($A47=0,VLOOKUP($B47,Outputs!$N:$R,3,FALSE),"")</f>
        <v>35.213178599706879</v>
      </c>
    </row>
    <row r="48" spans="1:17">
      <c r="A48">
        <f>IF(VLOOKUP(B48,TOCA_current!$B$2:$BG$136,45,FALSE)=0,0,1)</f>
        <v>0</v>
      </c>
      <c r="B48" t="s">
        <v>34</v>
      </c>
      <c r="C48" s="267" t="str">
        <f>IF(A48=1,VLOOKUP($B48,Outputs!$B:$F,2,FALSE),"")</f>
        <v/>
      </c>
      <c r="D48" s="267">
        <f ca="1">IF(A48=0,VLOOKUP($B48,Outputs!$B:$F,2,FALSE),"")</f>
        <v>7.587898523588428E-2</v>
      </c>
      <c r="E48" s="54"/>
      <c r="F48" s="54" t="str">
        <f>IF(A48=1,VLOOKUP($B48,Outputs!$H:$L,2,FALSE),"")</f>
        <v/>
      </c>
      <c r="G48" s="54">
        <f ca="1">IF(A48=0,VLOOKUP($B48,Outputs!$H:$L,2,FALSE),"")</f>
        <v>7.5878315844448249E-2</v>
      </c>
      <c r="H48" s="267"/>
      <c r="I48" s="267"/>
      <c r="J48" s="268">
        <f ca="1">VLOOKUP($B48,Outputs!$N:$R,2,FALSE)</f>
        <v>9.1010244761151535E-2</v>
      </c>
      <c r="K48" s="268">
        <f ca="1">+VLOOKUP(B48,Outputs!T:U,2,FALSE)</f>
        <v>3.0143437131500805E-2</v>
      </c>
      <c r="L48" s="267" t="str">
        <f>IF($A48=1,VLOOKUP($B48,Outputs!$B:$F,3,FALSE),"")</f>
        <v/>
      </c>
      <c r="M48" s="267">
        <f ca="1">IF($A48=0,VLOOKUP($B48,Outputs!$B:$F,3,FALSE),"")</f>
        <v>38.736128458596923</v>
      </c>
      <c r="N48" s="267" t="str">
        <f>IF($A48=1,VLOOKUP($B48,Outputs!$H:$L,3,FALSE),"")</f>
        <v/>
      </c>
      <c r="O48" s="267">
        <f ca="1">IF($A48=0,VLOOKUP($B48,Outputs!$H:$L,3,FALSE),"")</f>
        <v>38.73644608377375</v>
      </c>
      <c r="P48" s="267" t="str">
        <f>IF($A48=1,VLOOKUP($B48,Outputs!$N:$R,3,FALSE),"")</f>
        <v/>
      </c>
      <c r="Q48" s="267">
        <f ca="1">IF($A48=0,VLOOKUP($B48,Outputs!$N:$R,3,FALSE),"")</f>
        <v>36.751662572456091</v>
      </c>
    </row>
    <row r="49" spans="1:17">
      <c r="A49">
        <f>IF(VLOOKUP(B49,TOCA_current!$B$2:$BG$136,45,FALSE)=0,0,1)</f>
        <v>0</v>
      </c>
      <c r="B49" t="s">
        <v>117</v>
      </c>
      <c r="C49" s="267" t="str">
        <f>IF(A49=1,VLOOKUP($B49,Outputs!$B:$F,2,FALSE),"")</f>
        <v/>
      </c>
      <c r="D49" s="267">
        <f ca="1">IF(A49=0,VLOOKUP($B49,Outputs!$B:$F,2,FALSE),"")</f>
        <v>9.2916744687472241E-2</v>
      </c>
      <c r="E49" s="54"/>
      <c r="F49" s="54" t="str">
        <f>IF(A49=1,VLOOKUP($B49,Outputs!$H:$L,2,FALSE),"")</f>
        <v/>
      </c>
      <c r="G49" s="54">
        <f ca="1">IF(A49=0,VLOOKUP($B49,Outputs!$H:$L,2,FALSE),"")</f>
        <v>9.2913655531364145E-2</v>
      </c>
      <c r="H49" s="267"/>
      <c r="I49" s="267"/>
      <c r="J49" s="268">
        <f ca="1">VLOOKUP($B49,Outputs!$N:$R,2,FALSE)</f>
        <v>9.3233195599851063E-2</v>
      </c>
      <c r="K49" s="268">
        <f ca="1">+VLOOKUP(B49,Outputs!T:U,2,FALSE)</f>
        <v>9.6272128005848057E-2</v>
      </c>
      <c r="L49" s="267" t="str">
        <f>IF($A49=1,VLOOKUP($B49,Outputs!$B:$F,3,FALSE),"")</f>
        <v/>
      </c>
      <c r="M49" s="267">
        <f ca="1">IF($A49=0,VLOOKUP($B49,Outputs!$B:$F,3,FALSE),"")</f>
        <v>38.172240616875946</v>
      </c>
      <c r="N49" s="267" t="str">
        <f>IF($A49=1,VLOOKUP($B49,Outputs!$H:$L,3,FALSE),"")</f>
        <v/>
      </c>
      <c r="O49" s="267">
        <f ca="1">IF($A49=0,VLOOKUP($B49,Outputs!$H:$L,3,FALSE),"")</f>
        <v>38.173362044426199</v>
      </c>
      <c r="P49" s="267" t="str">
        <f>IF($A49=1,VLOOKUP($B49,Outputs!$N:$R,3,FALSE),"")</f>
        <v/>
      </c>
      <c r="Q49" s="267">
        <f ca="1">IF($A49=0,VLOOKUP($B49,Outputs!$N:$R,3,FALSE),"")</f>
        <v>37.034038726378384</v>
      </c>
    </row>
    <row r="50" spans="1:17">
      <c r="A50">
        <f>IF(VLOOKUP(B50,TOCA_current!$B$2:$BG$136,45,FALSE)=0,0,1)</f>
        <v>0</v>
      </c>
      <c r="B50" t="s">
        <v>48</v>
      </c>
      <c r="C50" s="267" t="str">
        <f>IF(A50=1,VLOOKUP($B50,Outputs!$B:$F,2,FALSE),"")</f>
        <v/>
      </c>
      <c r="D50" s="267">
        <f ca="1">IF(A50=0,VLOOKUP($B50,Outputs!$B:$F,2,FALSE),"")</f>
        <v>2.2410119371162216E-3</v>
      </c>
      <c r="E50" s="54"/>
      <c r="F50" s="54" t="str">
        <f>IF(A50=1,VLOOKUP($B50,Outputs!$H:$L,2,FALSE),"")</f>
        <v/>
      </c>
      <c r="G50" s="54">
        <f ca="1">IF(A50=0,VLOOKUP($B50,Outputs!$H:$L,2,FALSE),"")</f>
        <v>2.2400005589592892E-3</v>
      </c>
      <c r="H50" s="267"/>
      <c r="I50" s="267"/>
      <c r="J50" s="268">
        <f ca="1">VLOOKUP($B50,Outputs!$N:$R,2,FALSE)</f>
        <v>8.6791920251136287E-3</v>
      </c>
      <c r="K50" s="268">
        <f ca="1">+VLOOKUP(B50,Outputs!T:U,2,FALSE)</f>
        <v>-2.0721762563332469E-2</v>
      </c>
      <c r="L50" s="267" t="str">
        <f>IF($A50=1,VLOOKUP($B50,Outputs!$B:$F,3,FALSE),"")</f>
        <v/>
      </c>
      <c r="M50" s="267">
        <f ca="1">IF($A50=0,VLOOKUP($B50,Outputs!$B:$F,3,FALSE),"")</f>
        <v>30.570894025814408</v>
      </c>
      <c r="N50" s="267" t="str">
        <f>IF($A50=1,VLOOKUP($B50,Outputs!$H:$L,3,FALSE),"")</f>
        <v/>
      </c>
      <c r="O50" s="267">
        <f ca="1">IF($A50=0,VLOOKUP($B50,Outputs!$H:$L,3,FALSE),"")</f>
        <v>30.571207528020544</v>
      </c>
      <c r="P50" s="267" t="str">
        <f>IF($A50=1,VLOOKUP($B50,Outputs!$N:$R,3,FALSE),"")</f>
        <v/>
      </c>
      <c r="Q50" s="267">
        <f ca="1">IF($A50=0,VLOOKUP($B50,Outputs!$N:$R,3,FALSE),"")</f>
        <v>31.636396023442295</v>
      </c>
    </row>
    <row r="51" spans="1:17">
      <c r="A51">
        <f>IF(VLOOKUP(B51,TOCA_current!$B$2:$BG$136,45,FALSE)=0,0,1)</f>
        <v>0</v>
      </c>
      <c r="B51" t="s">
        <v>109</v>
      </c>
      <c r="C51" s="267" t="str">
        <f>IF(A51=1,VLOOKUP($B51,Outputs!$B:$F,2,FALSE),"")</f>
        <v/>
      </c>
      <c r="D51" s="267">
        <f ca="1">IF(A51=0,VLOOKUP($B51,Outputs!$B:$F,2,FALSE),"")</f>
        <v>0.11703750143315728</v>
      </c>
      <c r="E51" s="54"/>
      <c r="F51" s="54" t="str">
        <f>IF(A51=1,VLOOKUP($B51,Outputs!$H:$L,2,FALSE),"")</f>
        <v/>
      </c>
      <c r="G51" s="54">
        <f ca="1">IF(A51=0,VLOOKUP($B51,Outputs!$H:$L,2,FALSE),"")</f>
        <v>0.11703376644123523</v>
      </c>
      <c r="H51" s="267"/>
      <c r="I51" s="267"/>
      <c r="J51" s="268">
        <f ca="1">VLOOKUP($B51,Outputs!$N:$R,2,FALSE)</f>
        <v>9.3542623773863964E-2</v>
      </c>
      <c r="K51" s="268">
        <f ca="1">+VLOOKUP(B51,Outputs!T:U,2,FALSE)</f>
        <v>7.1911313824909673E-2</v>
      </c>
      <c r="L51" s="267" t="str">
        <f>IF($A51=1,VLOOKUP($B51,Outputs!$B:$F,3,FALSE),"")</f>
        <v/>
      </c>
      <c r="M51" s="267">
        <f ca="1">IF($A51=0,VLOOKUP($B51,Outputs!$B:$F,3,FALSE),"")</f>
        <v>31.908433118908462</v>
      </c>
      <c r="N51" s="267" t="str">
        <f>IF($A51=1,VLOOKUP($B51,Outputs!$H:$L,3,FALSE),"")</f>
        <v/>
      </c>
      <c r="O51" s="267">
        <f ca="1">IF($A51=0,VLOOKUP($B51,Outputs!$H:$L,3,FALSE),"")</f>
        <v>31.909344743401135</v>
      </c>
      <c r="P51" s="267" t="str">
        <f>IF($A51=1,VLOOKUP($B51,Outputs!$N:$R,3,FALSE),"")</f>
        <v/>
      </c>
      <c r="Q51" s="267">
        <f ca="1">IF($A51=0,VLOOKUP($B51,Outputs!$N:$R,3,FALSE),"")</f>
        <v>31.259211710569623</v>
      </c>
    </row>
    <row r="52" spans="1:17">
      <c r="A52">
        <f>IF(VLOOKUP(B52,TOCA_current!$B$2:$BG$136,45,FALSE)=0,0,1)</f>
        <v>0</v>
      </c>
      <c r="B52" t="s">
        <v>136</v>
      </c>
      <c r="C52" s="267" t="str">
        <f>IF(A52=1,VLOOKUP($B52,Outputs!$B:$F,2,FALSE),"")</f>
        <v/>
      </c>
      <c r="D52" s="267">
        <f ca="1">IF(A52=0,VLOOKUP($B52,Outputs!$B:$F,2,FALSE),"")</f>
        <v>8.2629175595785379E-2</v>
      </c>
      <c r="E52" s="54"/>
      <c r="F52" s="54" t="str">
        <f>IF(A52=1,VLOOKUP($B52,Outputs!$H:$L,2,FALSE),"")</f>
        <v/>
      </c>
      <c r="G52" s="54">
        <f ca="1">IF(A52=0,VLOOKUP($B52,Outputs!$H:$L,2,FALSE),"")</f>
        <v>8.2626604011172972E-2</v>
      </c>
      <c r="H52" s="267"/>
      <c r="I52" s="267"/>
      <c r="J52" s="268">
        <f ca="1">VLOOKUP($B52,Outputs!$N:$R,2,FALSE)</f>
        <v>9.120722892520472E-2</v>
      </c>
      <c r="K52" s="268">
        <f ca="1">+VLOOKUP(B52,Outputs!T:U,2,FALSE)</f>
        <v>8.0808564405155714E-2</v>
      </c>
      <c r="L52" s="267" t="str">
        <f>IF($A52=1,VLOOKUP($B52,Outputs!$B:$F,3,FALSE),"")</f>
        <v/>
      </c>
      <c r="M52" s="267">
        <f ca="1">IF($A52=0,VLOOKUP($B52,Outputs!$B:$F,3,FALSE),"")</f>
        <v>39.645007352843827</v>
      </c>
      <c r="N52" s="267" t="str">
        <f>IF($A52=1,VLOOKUP($B52,Outputs!$H:$L,3,FALSE),"")</f>
        <v/>
      </c>
      <c r="O52" s="267">
        <f ca="1">IF($A52=0,VLOOKUP($B52,Outputs!$H:$L,3,FALSE),"")</f>
        <v>39.646142156937174</v>
      </c>
      <c r="P52" s="267" t="str">
        <f>IF($A52=1,VLOOKUP($B52,Outputs!$N:$R,3,FALSE),"")</f>
        <v/>
      </c>
      <c r="Q52" s="267">
        <f ca="1">IF($A52=0,VLOOKUP($B52,Outputs!$N:$R,3,FALSE),"")</f>
        <v>38.005023285829367</v>
      </c>
    </row>
    <row r="53" spans="1:17">
      <c r="A53">
        <f>IF(VLOOKUP(B53,TOCA_current!$B$2:$BG$136,45,FALSE)=0,0,1)</f>
        <v>0</v>
      </c>
      <c r="B53" t="s">
        <v>130</v>
      </c>
      <c r="C53" s="267" t="str">
        <f>IF(A53=1,VLOOKUP($B53,Outputs!$B:$F,2,FALSE),"")</f>
        <v/>
      </c>
      <c r="D53" s="267">
        <f ca="1">IF(A53=0,VLOOKUP($B53,Outputs!$B:$F,2,FALSE),"")</f>
        <v>9.6328847533681664E-2</v>
      </c>
      <c r="E53" s="54"/>
      <c r="F53" s="54" t="str">
        <f>IF(A53=1,VLOOKUP($B53,Outputs!$H:$L,2,FALSE),"")</f>
        <v/>
      </c>
      <c r="G53" s="54">
        <f ca="1">IF(A53=0,VLOOKUP($B53,Outputs!$H:$L,2,FALSE),"")</f>
        <v>9.6326026430316944E-2</v>
      </c>
      <c r="H53" s="267"/>
      <c r="I53" s="267"/>
      <c r="J53" s="268">
        <f ca="1">VLOOKUP($B53,Outputs!$N:$R,2,FALSE)</f>
        <v>9.973197859740697E-2</v>
      </c>
      <c r="K53" s="268">
        <f ca="1">+VLOOKUP(B53,Outputs!T:U,2,FALSE)</f>
        <v>9.6661045533254608E-2</v>
      </c>
      <c r="L53" s="267" t="str">
        <f>IF($A53=1,VLOOKUP($B53,Outputs!$B:$F,3,FALSE),"")</f>
        <v/>
      </c>
      <c r="M53" s="267">
        <f ca="1">IF($A53=0,VLOOKUP($B53,Outputs!$B:$F,3,FALSE),"")</f>
        <v>36.959062881828217</v>
      </c>
      <c r="N53" s="267" t="str">
        <f>IF($A53=1,VLOOKUP($B53,Outputs!$H:$L,3,FALSE),"")</f>
        <v/>
      </c>
      <c r="O53" s="267">
        <f ca="1">IF($A53=0,VLOOKUP($B53,Outputs!$H:$L,3,FALSE),"")</f>
        <v>36.960050195596544</v>
      </c>
      <c r="P53" s="267" t="str">
        <f>IF($A53=1,VLOOKUP($B53,Outputs!$N:$R,3,FALSE),"")</f>
        <v/>
      </c>
      <c r="Q53" s="267">
        <f ca="1">IF($A53=0,VLOOKUP($B53,Outputs!$N:$R,3,FALSE),"")</f>
        <v>35.787983901552579</v>
      </c>
    </row>
    <row r="54" spans="1:17">
      <c r="A54">
        <f>IF(VLOOKUP(B54,TOCA_current!$B$2:$BG$136,45,FALSE)=0,0,1)</f>
        <v>0</v>
      </c>
      <c r="B54" t="s">
        <v>73</v>
      </c>
      <c r="C54" s="267" t="str">
        <f>IF(A54=1,VLOOKUP($B54,Outputs!$B:$F,2,FALSE),"")</f>
        <v/>
      </c>
      <c r="D54" s="267">
        <f ca="1">IF(A54=0,VLOOKUP($B54,Outputs!$B:$F,2,FALSE),"")</f>
        <v>9.719269096852387E-2</v>
      </c>
      <c r="E54" s="54"/>
      <c r="F54" s="54" t="str">
        <f>IF(A54=1,VLOOKUP($B54,Outputs!$H:$L,2,FALSE),"")</f>
        <v/>
      </c>
      <c r="G54" s="54">
        <f ca="1">IF(A54=0,VLOOKUP($B54,Outputs!$H:$L,2,FALSE),"")</f>
        <v>9.7191149086618495E-2</v>
      </c>
      <c r="H54" s="267"/>
      <c r="I54" s="267"/>
      <c r="J54" s="268">
        <f ca="1">VLOOKUP($B54,Outputs!$N:$R,2,FALSE)</f>
        <v>9.888421723544831E-2</v>
      </c>
      <c r="K54" s="268">
        <f ca="1">+VLOOKUP(B54,Outputs!T:U,2,FALSE)</f>
        <v>8.3657985612968222E-2</v>
      </c>
      <c r="L54" s="267" t="str">
        <f>IF($A54=1,VLOOKUP($B54,Outputs!$B:$F,3,FALSE),"")</f>
        <v/>
      </c>
      <c r="M54" s="267">
        <f ca="1">IF($A54=0,VLOOKUP($B54,Outputs!$B:$F,3,FALSE),"")</f>
        <v>40.252592466604362</v>
      </c>
      <c r="N54" s="267" t="str">
        <f>IF($A54=1,VLOOKUP($B54,Outputs!$H:$L,3,FALSE),"")</f>
        <v/>
      </c>
      <c r="O54" s="267">
        <f ca="1">IF($A54=0,VLOOKUP($B54,Outputs!$H:$L,3,FALSE),"")</f>
        <v>40.25315571917082</v>
      </c>
      <c r="P54" s="267" t="str">
        <f>IF($A54=1,VLOOKUP($B54,Outputs!$N:$R,3,FALSE),"")</f>
        <v/>
      </c>
      <c r="Q54" s="267">
        <f ca="1">IF($A54=0,VLOOKUP($B54,Outputs!$N:$R,3,FALSE),"")</f>
        <v>38.10243729303469</v>
      </c>
    </row>
    <row r="55" spans="1:17">
      <c r="A55">
        <f>IF(VLOOKUP(B55,TOCA_current!$B$2:$BG$136,45,FALSE)=0,0,1)</f>
        <v>0</v>
      </c>
      <c r="B55" t="s">
        <v>101</v>
      </c>
      <c r="C55" s="267" t="str">
        <f>IF(A55=1,VLOOKUP($B55,Outputs!$B:$F,2,FALSE),"")</f>
        <v/>
      </c>
      <c r="D55" s="267">
        <f ca="1">IF(A55=0,VLOOKUP($B55,Outputs!$B:$F,2,FALSE),"")</f>
        <v>9.59509637022119E-2</v>
      </c>
      <c r="E55" s="54"/>
      <c r="F55" s="54" t="str">
        <f>IF(A55=1,VLOOKUP($B55,Outputs!$H:$L,2,FALSE),"")</f>
        <v/>
      </c>
      <c r="G55" s="54">
        <f ca="1">IF(A55=0,VLOOKUP($B55,Outputs!$H:$L,2,FALSE),"")</f>
        <v>9.5948804578722111E-2</v>
      </c>
      <c r="H55" s="267"/>
      <c r="I55" s="267"/>
      <c r="J55" s="268">
        <f ca="1">VLOOKUP($B55,Outputs!$N:$R,2,FALSE)</f>
        <v>9.1025711065444687E-2</v>
      </c>
      <c r="K55" s="268">
        <f ca="1">+VLOOKUP(B55,Outputs!T:U,2,FALSE)</f>
        <v>6.5469825022455463E-2</v>
      </c>
      <c r="L55" s="267" t="str">
        <f>IF($A55=1,VLOOKUP($B55,Outputs!$B:$F,3,FALSE),"")</f>
        <v/>
      </c>
      <c r="M55" s="267">
        <f ca="1">IF($A55=0,VLOOKUP($B55,Outputs!$B:$F,3,FALSE),"")</f>
        <v>38.11854090279396</v>
      </c>
      <c r="N55" s="267" t="str">
        <f>IF($A55=1,VLOOKUP($B55,Outputs!$H:$L,3,FALSE),"")</f>
        <v/>
      </c>
      <c r="O55" s="267">
        <f ca="1">IF($A55=0,VLOOKUP($B55,Outputs!$H:$L,3,FALSE),"")</f>
        <v>38.119323580187299</v>
      </c>
      <c r="P55" s="267" t="str">
        <f>IF($A55=1,VLOOKUP($B55,Outputs!$N:$R,3,FALSE),"")</f>
        <v/>
      </c>
      <c r="Q55" s="267">
        <f ca="1">IF($A55=0,VLOOKUP($B55,Outputs!$N:$R,3,FALSE),"")</f>
        <v>36.925119735621024</v>
      </c>
    </row>
    <row r="56" spans="1:17">
      <c r="A56">
        <f>IF(VLOOKUP(B56,TOCA_current!$B$2:$BG$136,45,FALSE)=0,0,1)</f>
        <v>0</v>
      </c>
      <c r="B56" t="s">
        <v>21</v>
      </c>
      <c r="C56" s="267" t="str">
        <f>IF(A56=1,VLOOKUP($B56,Outputs!$B:$F,2,FALSE),"")</f>
        <v/>
      </c>
      <c r="D56" s="267">
        <f ca="1">IF(A56=0,VLOOKUP($B56,Outputs!$B:$F,2,FALSE),"")</f>
        <v>8.5842473241119072E-2</v>
      </c>
      <c r="E56" s="54"/>
      <c r="F56" s="54" t="str">
        <f>IF(A56=1,VLOOKUP($B56,Outputs!$H:$L,2,FALSE),"")</f>
        <v/>
      </c>
      <c r="G56" s="54">
        <f ca="1">IF(A56=0,VLOOKUP($B56,Outputs!$H:$L,2,FALSE),"")</f>
        <v>8.5842209100544672E-2</v>
      </c>
      <c r="H56" s="267"/>
      <c r="I56" s="267"/>
      <c r="J56" s="268">
        <f ca="1">VLOOKUP($B56,Outputs!$N:$R,2,FALSE)</f>
        <v>9.554086828265114E-2</v>
      </c>
      <c r="K56" s="268">
        <f ca="1">+VLOOKUP(B56,Outputs!T:U,2,FALSE)</f>
        <v>4.1630667739090077E-2</v>
      </c>
      <c r="L56" s="267" t="str">
        <f>IF($A56=1,VLOOKUP($B56,Outputs!$B:$F,3,FALSE),"")</f>
        <v/>
      </c>
      <c r="M56" s="267">
        <f ca="1">IF($A56=0,VLOOKUP($B56,Outputs!$B:$F,3,FALSE),"")</f>
        <v>38.426378092236696</v>
      </c>
      <c r="N56" s="267" t="str">
        <f>IF($A56=1,VLOOKUP($B56,Outputs!$H:$L,3,FALSE),"")</f>
        <v/>
      </c>
      <c r="O56" s="267">
        <f ca="1">IF($A56=0,VLOOKUP($B56,Outputs!$H:$L,3,FALSE),"")</f>
        <v>38.426483008546946</v>
      </c>
      <c r="P56" s="267" t="str">
        <f>IF($A56=1,VLOOKUP($B56,Outputs!$N:$R,3,FALSE),"")</f>
        <v/>
      </c>
      <c r="Q56" s="267">
        <f ca="1">IF($A56=0,VLOOKUP($B56,Outputs!$N:$R,3,FALSE),"")</f>
        <v>37.220721466205205</v>
      </c>
    </row>
    <row r="57" spans="1:17">
      <c r="A57">
        <f>IF(VLOOKUP(B57,TOCA_current!$B$2:$BG$136,45,FALSE)=0,0,1)</f>
        <v>0</v>
      </c>
      <c r="B57" t="s">
        <v>111</v>
      </c>
      <c r="C57" s="267" t="str">
        <f>IF(A57=1,VLOOKUP($B57,Outputs!$B:$F,2,FALSE),"")</f>
        <v/>
      </c>
      <c r="D57" s="267">
        <f ca="1">IF(A57=0,VLOOKUP($B57,Outputs!$B:$F,2,FALSE),"")</f>
        <v>7.6501822802607644E-2</v>
      </c>
      <c r="E57" s="54"/>
      <c r="F57" s="54" t="str">
        <f>IF(A57=1,VLOOKUP($B57,Outputs!$H:$L,2,FALSE),"")</f>
        <v/>
      </c>
      <c r="G57" s="54">
        <f ca="1">IF(A57=0,VLOOKUP($B57,Outputs!$H:$L,2,FALSE),"")</f>
        <v>7.650009474931245E-2</v>
      </c>
      <c r="H57" s="267"/>
      <c r="I57" s="267"/>
      <c r="J57" s="268">
        <f ca="1">VLOOKUP($B57,Outputs!$N:$R,2,FALSE)</f>
        <v>8.5075329307377795E-2</v>
      </c>
      <c r="K57" s="268">
        <f ca="1">+VLOOKUP(B57,Outputs!T:U,2,FALSE)</f>
        <v>6.5451209834253898E-2</v>
      </c>
      <c r="L57" s="267" t="str">
        <f>IF($A57=1,VLOOKUP($B57,Outputs!$B:$F,3,FALSE),"")</f>
        <v/>
      </c>
      <c r="M57" s="267">
        <f ca="1">IF($A57=0,VLOOKUP($B57,Outputs!$B:$F,3,FALSE),"")</f>
        <v>36.778540788309343</v>
      </c>
      <c r="N57" s="267" t="str">
        <f>IF($A57=1,VLOOKUP($B57,Outputs!$H:$L,3,FALSE),"")</f>
        <v/>
      </c>
      <c r="O57" s="267">
        <f ca="1">IF($A57=0,VLOOKUP($B57,Outputs!$H:$L,3,FALSE),"")</f>
        <v>36.779235615838495</v>
      </c>
      <c r="P57" s="267" t="str">
        <f>IF($A57=1,VLOOKUP($B57,Outputs!$N:$R,3,FALSE),"")</f>
        <v/>
      </c>
      <c r="Q57" s="267">
        <f ca="1">IF($A57=0,VLOOKUP($B57,Outputs!$N:$R,3,FALSE),"")</f>
        <v>35.603569017001952</v>
      </c>
    </row>
    <row r="58" spans="1:17">
      <c r="A58">
        <f>IF(VLOOKUP(B58,TOCA_current!$B$2:$BG$136,45,FALSE)=0,0,1)</f>
        <v>0</v>
      </c>
      <c r="B58" t="s">
        <v>24</v>
      </c>
      <c r="C58" s="267" t="str">
        <f>IF(A58=1,VLOOKUP($B58,Outputs!$B:$F,2,FALSE),"")</f>
        <v/>
      </c>
      <c r="D58" s="267">
        <f ca="1">IF(A58=0,VLOOKUP($B58,Outputs!$B:$F,2,FALSE),"")</f>
        <v>0.10200540689069452</v>
      </c>
      <c r="E58" s="54"/>
      <c r="F58" s="54" t="str">
        <f>IF(A58=1,VLOOKUP($B58,Outputs!$H:$L,2,FALSE),"")</f>
        <v/>
      </c>
      <c r="G58" s="54">
        <f ca="1">IF(A58=0,VLOOKUP($B58,Outputs!$H:$L,2,FALSE),"")</f>
        <v>0.10200487840679223</v>
      </c>
      <c r="H58" s="267"/>
      <c r="I58" s="267"/>
      <c r="J58" s="268">
        <f ca="1">VLOOKUP($B58,Outputs!$N:$R,2,FALSE)</f>
        <v>9.9381616769868897E-2</v>
      </c>
      <c r="K58" s="268">
        <f ca="1">+VLOOKUP(B58,Outputs!T:U,2,FALSE)</f>
        <v>9.6362698869273622E-2</v>
      </c>
      <c r="L58" s="267" t="str">
        <f>IF($A58=1,VLOOKUP($B58,Outputs!$B:$F,3,FALSE),"")</f>
        <v/>
      </c>
      <c r="M58" s="267">
        <f ca="1">IF($A58=0,VLOOKUP($B58,Outputs!$B:$F,3,FALSE),"")</f>
        <v>41.599201942820535</v>
      </c>
      <c r="N58" s="267" t="str">
        <f>IF($A58=1,VLOOKUP($B58,Outputs!$H:$L,3,FALSE),"")</f>
        <v/>
      </c>
      <c r="O58" s="267">
        <f ca="1">IF($A58=0,VLOOKUP($B58,Outputs!$H:$L,3,FALSE),"")</f>
        <v>41.599316758260457</v>
      </c>
      <c r="P58" s="267" t="str">
        <f>IF($A58=1,VLOOKUP($B58,Outputs!$N:$R,3,FALSE),"")</f>
        <v/>
      </c>
      <c r="Q58" s="267">
        <f ca="1">IF($A58=0,VLOOKUP($B58,Outputs!$N:$R,3,FALSE),"")</f>
        <v>40.487233618102429</v>
      </c>
    </row>
    <row r="59" spans="1:17">
      <c r="A59">
        <f>IF(VLOOKUP(B59,TOCA_current!$B$2:$BG$136,45,FALSE)=0,0,1)</f>
        <v>0</v>
      </c>
      <c r="B59" t="s">
        <v>115</v>
      </c>
      <c r="C59" s="267" t="str">
        <f>IF(A59=1,VLOOKUP($B59,Outputs!$B:$F,2,FALSE),"")</f>
        <v/>
      </c>
      <c r="D59" s="267">
        <f ca="1">IF(A59=0,VLOOKUP($B59,Outputs!$B:$F,2,FALSE),"")</f>
        <v>0.10320837848720082</v>
      </c>
      <c r="E59" s="54"/>
      <c r="F59" s="54" t="str">
        <f>IF(A59=1,VLOOKUP($B59,Outputs!$H:$L,2,FALSE),"")</f>
        <v/>
      </c>
      <c r="G59" s="54">
        <f ca="1">IF(A59=0,VLOOKUP($B59,Outputs!$H:$L,2,FALSE),"")</f>
        <v>0.10320583706849898</v>
      </c>
      <c r="H59" s="267"/>
      <c r="I59" s="267"/>
      <c r="J59" s="268">
        <f ca="1">VLOOKUP($B59,Outputs!$N:$R,2,FALSE)</f>
        <v>9.9175183162631159E-2</v>
      </c>
      <c r="K59" s="268">
        <f ca="1">+VLOOKUP(B59,Outputs!T:U,2,FALSE)</f>
        <v>5.1746232203083942E-2</v>
      </c>
      <c r="L59" s="267" t="str">
        <f>IF($A59=1,VLOOKUP($B59,Outputs!$B:$F,3,FALSE),"")</f>
        <v/>
      </c>
      <c r="M59" s="267">
        <f ca="1">IF($A59=0,VLOOKUP($B59,Outputs!$B:$F,3,FALSE),"")</f>
        <v>31.66619353080107</v>
      </c>
      <c r="N59" s="267" t="str">
        <f>IF($A59=1,VLOOKUP($B59,Outputs!$H:$L,3,FALSE),"")</f>
        <v/>
      </c>
      <c r="O59" s="267">
        <f ca="1">IF($A59=0,VLOOKUP($B59,Outputs!$H:$L,3,FALSE),"")</f>
        <v>31.66687437876546</v>
      </c>
      <c r="P59" s="267" t="str">
        <f>IF($A59=1,VLOOKUP($B59,Outputs!$N:$R,3,FALSE),"")</f>
        <v/>
      </c>
      <c r="Q59" s="267">
        <f ca="1">IF($A59=0,VLOOKUP($B59,Outputs!$N:$R,3,FALSE),"")</f>
        <v>30.533220833527245</v>
      </c>
    </row>
    <row r="60" spans="1:17">
      <c r="A60">
        <f>IF(VLOOKUP(B60,TOCA_current!$B$2:$BG$136,45,FALSE)=0,0,1)</f>
        <v>0</v>
      </c>
      <c r="B60" t="s">
        <v>137</v>
      </c>
      <c r="C60" s="267" t="str">
        <f>IF(A60=1,VLOOKUP($B60,Outputs!$B:$F,2,FALSE),"")</f>
        <v/>
      </c>
      <c r="D60" s="267">
        <f ca="1">IF(A60=0,VLOOKUP($B60,Outputs!$B:$F,2,FALSE),"")</f>
        <v>0.12078534613704164</v>
      </c>
      <c r="E60" s="54"/>
      <c r="F60" s="54" t="str">
        <f>IF(A60=1,VLOOKUP($B60,Outputs!$H:$L,2,FALSE),"")</f>
        <v/>
      </c>
      <c r="G60" s="54">
        <f ca="1">IF(A60=0,VLOOKUP($B60,Outputs!$H:$L,2,FALSE),"")</f>
        <v>0.12078216280681908</v>
      </c>
      <c r="H60" s="267"/>
      <c r="I60" s="267"/>
      <c r="J60" s="268">
        <f ca="1">VLOOKUP($B60,Outputs!$N:$R,2,FALSE)</f>
        <v>9.4580124825579939E-2</v>
      </c>
      <c r="K60" s="268">
        <f ca="1">+VLOOKUP(B60,Outputs!T:U,2,FALSE)</f>
        <v>7.6554964781091694E-2</v>
      </c>
      <c r="L60" s="267" t="str">
        <f>IF($A60=1,VLOOKUP($B60,Outputs!$B:$F,3,FALSE),"")</f>
        <v/>
      </c>
      <c r="M60" s="267">
        <f ca="1">IF($A60=0,VLOOKUP($B60,Outputs!$B:$F,3,FALSE),"")</f>
        <v>37.492238225288567</v>
      </c>
      <c r="N60" s="267" t="str">
        <f>IF($A60=1,VLOOKUP($B60,Outputs!$H:$L,3,FALSE),"")</f>
        <v/>
      </c>
      <c r="O60" s="267">
        <f ca="1">IF($A60=0,VLOOKUP($B60,Outputs!$H:$L,3,FALSE),"")</f>
        <v>37.49311987809746</v>
      </c>
      <c r="P60" s="267" t="str">
        <f>IF($A60=1,VLOOKUP($B60,Outputs!$N:$R,3,FALSE),"")</f>
        <v/>
      </c>
      <c r="Q60" s="267">
        <f ca="1">IF($A60=0,VLOOKUP($B60,Outputs!$N:$R,3,FALSE),"")</f>
        <v>36.604635595817129</v>
      </c>
    </row>
    <row r="61" spans="1:17">
      <c r="A61">
        <f>IF(VLOOKUP(B61,TOCA_current!$B$2:$BG$136,45,FALSE)=0,0,1)</f>
        <v>0</v>
      </c>
      <c r="B61" t="s">
        <v>69</v>
      </c>
      <c r="C61" s="267" t="str">
        <f>IF(A61=1,VLOOKUP($B61,Outputs!$B:$F,2,FALSE),"")</f>
        <v/>
      </c>
      <c r="D61" s="267">
        <f ca="1">IF(A61=0,VLOOKUP($B61,Outputs!$B:$F,2,FALSE),"")</f>
        <v>9.5219771814451251E-2</v>
      </c>
      <c r="E61" s="54"/>
      <c r="F61" s="54" t="str">
        <f>IF(A61=1,VLOOKUP($B61,Outputs!$H:$L,2,FALSE),"")</f>
        <v/>
      </c>
      <c r="G61" s="54">
        <f ca="1">IF(A61=0,VLOOKUP($B61,Outputs!$H:$L,2,FALSE),"")</f>
        <v>9.5218740682216987E-2</v>
      </c>
      <c r="H61" s="267"/>
      <c r="I61" s="267"/>
      <c r="J61" s="268">
        <f ca="1">VLOOKUP($B61,Outputs!$N:$R,2,FALSE)</f>
        <v>9.3002907899127227E-2</v>
      </c>
      <c r="K61" s="268">
        <f ca="1">+VLOOKUP(B61,Outputs!T:U,2,FALSE)</f>
        <v>6.4180351562159732E-2</v>
      </c>
      <c r="L61" s="267" t="str">
        <f>IF($A61=1,VLOOKUP($B61,Outputs!$B:$F,3,FALSE),"")</f>
        <v/>
      </c>
      <c r="M61" s="267">
        <f ca="1">IF($A61=0,VLOOKUP($B61,Outputs!$B:$F,3,FALSE),"")</f>
        <v>35.421000794706153</v>
      </c>
      <c r="N61" s="267" t="str">
        <f>IF($A61=1,VLOOKUP($B61,Outputs!$H:$L,3,FALSE),"")</f>
        <v/>
      </c>
      <c r="O61" s="267">
        <f ca="1">IF($A61=0,VLOOKUP($B61,Outputs!$H:$L,3,FALSE),"")</f>
        <v>35.421351022983337</v>
      </c>
      <c r="P61" s="267" t="str">
        <f>IF($A61=1,VLOOKUP($B61,Outputs!$N:$R,3,FALSE),"")</f>
        <v/>
      </c>
      <c r="Q61" s="267">
        <f ca="1">IF($A61=0,VLOOKUP($B61,Outputs!$N:$R,3,FALSE),"")</f>
        <v>34.567418209218722</v>
      </c>
    </row>
    <row r="62" spans="1:17">
      <c r="A62">
        <f>IF(VLOOKUP(B62,TOCA_current!$B$2:$BG$136,45,FALSE)=0,0,1)</f>
        <v>0</v>
      </c>
      <c r="B62" t="s">
        <v>135</v>
      </c>
      <c r="C62" s="267" t="str">
        <f>IF(A62=1,VLOOKUP($B62,Outputs!$B:$F,2,FALSE),"")</f>
        <v/>
      </c>
      <c r="D62" s="267">
        <f ca="1">IF(A62=0,VLOOKUP($B62,Outputs!$B:$F,2,FALSE),"")</f>
        <v>0.10277784196353389</v>
      </c>
      <c r="E62" s="54"/>
      <c r="F62" s="54" t="str">
        <f>IF(A62=1,VLOOKUP($B62,Outputs!$H:$L,2,FALSE),"")</f>
        <v/>
      </c>
      <c r="G62" s="54">
        <f ca="1">IF(A62=0,VLOOKUP($B62,Outputs!$H:$L,2,FALSE),"")</f>
        <v>0.10277543375147484</v>
      </c>
      <c r="H62" s="267"/>
      <c r="I62" s="267"/>
      <c r="J62" s="268">
        <f ca="1">VLOOKUP($B62,Outputs!$N:$R,2,FALSE)</f>
        <v>0.10003208617423563</v>
      </c>
      <c r="K62" s="268">
        <f ca="1">+VLOOKUP(B62,Outputs!T:U,2,FALSE)</f>
        <v>6.2206197029749166E-2</v>
      </c>
      <c r="L62" s="267" t="str">
        <f>IF($A62=1,VLOOKUP($B62,Outputs!$B:$F,3,FALSE),"")</f>
        <v/>
      </c>
      <c r="M62" s="267">
        <f ca="1">IF($A62=0,VLOOKUP($B62,Outputs!$B:$F,3,FALSE),"")</f>
        <v>34.755293356063483</v>
      </c>
      <c r="N62" s="267" t="str">
        <f>IF($A62=1,VLOOKUP($B62,Outputs!$H:$L,3,FALSE),"")</f>
        <v/>
      </c>
      <c r="O62" s="267">
        <f ca="1">IF($A62=0,VLOOKUP($B62,Outputs!$H:$L,3,FALSE),"")</f>
        <v>34.756010100893299</v>
      </c>
      <c r="P62" s="267" t="str">
        <f>IF($A62=1,VLOOKUP($B62,Outputs!$N:$R,3,FALSE),"")</f>
        <v/>
      </c>
      <c r="Q62" s="267">
        <f ca="1">IF($A62=0,VLOOKUP($B62,Outputs!$N:$R,3,FALSE),"")</f>
        <v>33.826973175308943</v>
      </c>
    </row>
    <row r="63" spans="1:17">
      <c r="A63">
        <f>IF(VLOOKUP(B63,TOCA_current!$B$2:$BG$136,45,FALSE)=0,0,1)</f>
        <v>0</v>
      </c>
      <c r="B63" t="s">
        <v>128</v>
      </c>
      <c r="C63" s="267" t="str">
        <f>IF(A63=1,VLOOKUP($B63,Outputs!$B:$F,2,FALSE),"")</f>
        <v/>
      </c>
      <c r="D63" s="267">
        <f ca="1">IF(A63=0,VLOOKUP($B63,Outputs!$B:$F,2,FALSE),"")</f>
        <v>0.10495553822437895</v>
      </c>
      <c r="E63" s="54"/>
      <c r="F63" s="54" t="str">
        <f>IF(A63=1,VLOOKUP($B63,Outputs!$H:$L,2,FALSE),"")</f>
        <v/>
      </c>
      <c r="G63" s="54">
        <f ca="1">IF(A63=0,VLOOKUP($B63,Outputs!$H:$L,2,FALSE),"")</f>
        <v>0.10495317519366862</v>
      </c>
      <c r="H63" s="267"/>
      <c r="I63" s="267"/>
      <c r="J63" s="268">
        <f ca="1">VLOOKUP($B63,Outputs!$N:$R,2,FALSE)</f>
        <v>9.9997258283852808E-2</v>
      </c>
      <c r="K63" s="268">
        <f ca="1">+VLOOKUP(B63,Outputs!T:U,2,FALSE)</f>
        <v>0.13998743788080947</v>
      </c>
      <c r="L63" s="267" t="str">
        <f>IF($A63=1,VLOOKUP($B63,Outputs!$B:$F,3,FALSE),"")</f>
        <v/>
      </c>
      <c r="M63" s="267">
        <f ca="1">IF($A63=0,VLOOKUP($B63,Outputs!$B:$F,3,FALSE),"")</f>
        <v>33.605791043993491</v>
      </c>
      <c r="N63" s="267" t="str">
        <f>IF($A63=1,VLOOKUP($B63,Outputs!$H:$L,3,FALSE),"")</f>
        <v/>
      </c>
      <c r="O63" s="267">
        <f ca="1">IF($A63=0,VLOOKUP($B63,Outputs!$H:$L,3,FALSE),"")</f>
        <v>33.606435618807872</v>
      </c>
      <c r="P63" s="267" t="str">
        <f>IF($A63=1,VLOOKUP($B63,Outputs!$N:$R,3,FALSE),"")</f>
        <v/>
      </c>
      <c r="Q63" s="267">
        <f ca="1">IF($A63=0,VLOOKUP($B63,Outputs!$N:$R,3,FALSE),"")</f>
        <v>32.805710294119308</v>
      </c>
    </row>
    <row r="64" spans="1:17">
      <c r="A64">
        <f>IF(VLOOKUP(B64,TOCA_current!$B$2:$BG$136,45,FALSE)=0,0,1)</f>
        <v>0</v>
      </c>
      <c r="B64" t="s">
        <v>125</v>
      </c>
      <c r="C64" s="267" t="str">
        <f>IF(A64=1,VLOOKUP($B64,Outputs!$B:$F,2,FALSE),"")</f>
        <v/>
      </c>
      <c r="D64" s="267">
        <f ca="1">IF(A64=0,VLOOKUP($B64,Outputs!$B:$F,2,FALSE),"")</f>
        <v>0.11301648387783579</v>
      </c>
      <c r="E64" s="54"/>
      <c r="F64" s="54" t="str">
        <f>IF(A64=1,VLOOKUP($B64,Outputs!$H:$L,2,FALSE),"")</f>
        <v/>
      </c>
      <c r="G64" s="54">
        <f ca="1">IF(A64=0,VLOOKUP($B64,Outputs!$H:$L,2,FALSE),"")</f>
        <v>0.11301438876049558</v>
      </c>
      <c r="H64" s="267"/>
      <c r="I64" s="267"/>
      <c r="J64" s="268">
        <f ca="1">VLOOKUP($B64,Outputs!$N:$R,2,FALSE)</f>
        <v>9.7494220491440228E-2</v>
      </c>
      <c r="K64" s="268">
        <f ca="1">+VLOOKUP(B64,Outputs!T:U,2,FALSE)</f>
        <v>7.7623201515873319E-2</v>
      </c>
      <c r="L64" s="267" t="str">
        <f>IF($A64=1,VLOOKUP($B64,Outputs!$B:$F,3,FALSE),"")</f>
        <v/>
      </c>
      <c r="M64" s="267">
        <f ca="1">IF($A64=0,VLOOKUP($B64,Outputs!$B:$F,3,FALSE),"")</f>
        <v>40.199464257714112</v>
      </c>
      <c r="N64" s="267" t="str">
        <f>IF($A64=1,VLOOKUP($B64,Outputs!$H:$L,3,FALSE),"")</f>
        <v/>
      </c>
      <c r="O64" s="267">
        <f ca="1">IF($A64=0,VLOOKUP($B64,Outputs!$H:$L,3,FALSE),"")</f>
        <v>40.200114554857926</v>
      </c>
      <c r="P64" s="267" t="str">
        <f>IF($A64=1,VLOOKUP($B64,Outputs!$N:$R,3,FALSE),"")</f>
        <v/>
      </c>
      <c r="Q64" s="267">
        <f ca="1">IF($A64=0,VLOOKUP($B64,Outputs!$N:$R,3,FALSE),"")</f>
        <v>39.331727217734795</v>
      </c>
    </row>
    <row r="65" spans="1:17">
      <c r="A65">
        <f>IF(VLOOKUP(B65,TOCA_current!$B$2:$BG$136,45,FALSE)=0,0,1)</f>
        <v>0</v>
      </c>
      <c r="B65" t="s">
        <v>17</v>
      </c>
      <c r="C65" s="267" t="str">
        <f>IF(A65=1,VLOOKUP($B65,Outputs!$B:$F,2,FALSE),"")</f>
        <v/>
      </c>
      <c r="D65" s="267">
        <f ca="1">IF(A65=0,VLOOKUP($B65,Outputs!$B:$F,2,FALSE),"")</f>
        <v>9.8577922572661722E-2</v>
      </c>
      <c r="E65" s="54"/>
      <c r="F65" s="54" t="str">
        <f>IF(A65=1,VLOOKUP($B65,Outputs!$H:$L,2,FALSE),"")</f>
        <v/>
      </c>
      <c r="G65" s="54">
        <f ca="1">IF(A65=0,VLOOKUP($B65,Outputs!$H:$L,2,FALSE),"")</f>
        <v>9.8577776517647486E-2</v>
      </c>
      <c r="H65" s="267"/>
      <c r="I65" s="267"/>
      <c r="J65" s="268">
        <f ca="1">VLOOKUP($B65,Outputs!$N:$R,2,FALSE)</f>
        <v>9.8116581318074367E-2</v>
      </c>
      <c r="K65" s="268">
        <f ca="1">+VLOOKUP(B65,Outputs!T:U,2,FALSE)</f>
        <v>0.11592840447736563</v>
      </c>
      <c r="L65" s="267" t="str">
        <f>IF($A65=1,VLOOKUP($B65,Outputs!$B:$F,3,FALSE),"")</f>
        <v/>
      </c>
      <c r="M65" s="267">
        <f ca="1">IF($A65=0,VLOOKUP($B65,Outputs!$B:$F,3,FALSE),"")</f>
        <v>39.639193871858716</v>
      </c>
      <c r="N65" s="267" t="str">
        <f>IF($A65=1,VLOOKUP($B65,Outputs!$H:$L,3,FALSE),"")</f>
        <v/>
      </c>
      <c r="O65" s="267">
        <f ca="1">IF($A65=0,VLOOKUP($B65,Outputs!$H:$L,3,FALSE),"")</f>
        <v>39.639247332127816</v>
      </c>
      <c r="P65" s="267" t="str">
        <f>IF($A65=1,VLOOKUP($B65,Outputs!$N:$R,3,FALSE),"")</f>
        <v/>
      </c>
      <c r="Q65" s="267">
        <f ca="1">IF($A65=0,VLOOKUP($B65,Outputs!$N:$R,3,FALSE),"")</f>
        <v>38.109019819717432</v>
      </c>
    </row>
    <row r="66" spans="1:17">
      <c r="A66">
        <f>IF(VLOOKUP(B66,TOCA_current!$B$2:$BG$136,45,FALSE)=0,0,1)</f>
        <v>0</v>
      </c>
      <c r="B66" t="s">
        <v>13</v>
      </c>
      <c r="C66" s="267" t="str">
        <f>IF(A66=1,VLOOKUP($B66,Outputs!$B:$F,2,FALSE),"")</f>
        <v/>
      </c>
      <c r="D66" s="267">
        <f ca="1">IF(A66=0,VLOOKUP($B66,Outputs!$B:$F,2,FALSE),"")</f>
        <v>9.868348679180397E-2</v>
      </c>
      <c r="E66" s="54"/>
      <c r="F66" s="54" t="str">
        <f>IF(A66=1,VLOOKUP($B66,Outputs!$H:$L,2,FALSE),"")</f>
        <v/>
      </c>
      <c r="G66" s="54">
        <f ca="1">IF(A66=0,VLOOKUP($B66,Outputs!$H:$L,2,FALSE),"")</f>
        <v>9.8683332747480063E-2</v>
      </c>
      <c r="H66" s="267"/>
      <c r="I66" s="267"/>
      <c r="J66" s="268">
        <f ca="1">VLOOKUP($B66,Outputs!$N:$R,2,FALSE)</f>
        <v>9.3610655272253332E-2</v>
      </c>
      <c r="K66" s="268">
        <f ca="1">+VLOOKUP(B66,Outputs!T:U,2,FALSE)</f>
        <v>7.0883693917552559E-2</v>
      </c>
      <c r="L66" s="267" t="str">
        <f>IF($A66=1,VLOOKUP($B66,Outputs!$B:$F,3,FALSE),"")</f>
        <v/>
      </c>
      <c r="M66" s="267">
        <f ca="1">IF($A66=0,VLOOKUP($B66,Outputs!$B:$F,3,FALSE),"")</f>
        <v>38.777996377627254</v>
      </c>
      <c r="N66" s="267" t="str">
        <f>IF($A66=1,VLOOKUP($B66,Outputs!$H:$L,3,FALSE),"")</f>
        <v/>
      </c>
      <c r="O66" s="267">
        <f ca="1">IF($A66=0,VLOOKUP($B66,Outputs!$H:$L,3,FALSE),"")</f>
        <v>38.77802432124107</v>
      </c>
      <c r="P66" s="267" t="str">
        <f>IF($A66=1,VLOOKUP($B66,Outputs!$N:$R,3,FALSE),"")</f>
        <v/>
      </c>
      <c r="Q66" s="267">
        <f ca="1">IF($A66=0,VLOOKUP($B66,Outputs!$N:$R,3,FALSE),"")</f>
        <v>37.609625252233279</v>
      </c>
    </row>
    <row r="67" spans="1:17">
      <c r="A67">
        <f>IF(VLOOKUP(B67,TOCA_current!$B$2:$BG$136,45,FALSE)=0,0,1)</f>
        <v>0</v>
      </c>
      <c r="B67" t="s">
        <v>72</v>
      </c>
      <c r="C67" s="267" t="str">
        <f>IF(A67=1,VLOOKUP($B67,Outputs!$B:$F,2,FALSE),"")</f>
        <v/>
      </c>
      <c r="D67" s="267">
        <f ca="1">IF(A67=0,VLOOKUP($B67,Outputs!$B:$F,2,FALSE),"")</f>
        <v>0.16178497239201253</v>
      </c>
      <c r="E67" s="54"/>
      <c r="F67" s="54" t="str">
        <f>IF(A67=1,VLOOKUP($B67,Outputs!$H:$L,2,FALSE),"")</f>
        <v/>
      </c>
      <c r="G67" s="54">
        <f ca="1">IF(A67=0,VLOOKUP($B67,Outputs!$H:$L,2,FALSE),"")</f>
        <v>0.16178203714245451</v>
      </c>
      <c r="H67" s="267"/>
      <c r="I67" s="267"/>
      <c r="J67" s="268">
        <f ca="1">VLOOKUP($B67,Outputs!$N:$R,2,FALSE)</f>
        <v>0.11298960277020723</v>
      </c>
      <c r="K67" s="268">
        <f ca="1">+VLOOKUP(B67,Outputs!T:U,2,FALSE)</f>
        <v>0.1149500800337524</v>
      </c>
      <c r="L67" s="267" t="str">
        <f>IF($A67=1,VLOOKUP($B67,Outputs!$B:$F,3,FALSE),"")</f>
        <v/>
      </c>
      <c r="M67" s="267">
        <f ca="1">IF($A67=0,VLOOKUP($B67,Outputs!$B:$F,3,FALSE),"")</f>
        <v>28.756968668093499</v>
      </c>
      <c r="N67" s="267" t="str">
        <f>IF($A67=1,VLOOKUP($B67,Outputs!$H:$L,3,FALSE),"")</f>
        <v/>
      </c>
      <c r="O67" s="267">
        <f ca="1">IF($A67=0,VLOOKUP($B67,Outputs!$H:$L,3,FALSE),"")</f>
        <v>28.757261881005221</v>
      </c>
      <c r="P67" s="267" t="str">
        <f>IF($A67=1,VLOOKUP($B67,Outputs!$N:$R,3,FALSE),"")</f>
        <v/>
      </c>
      <c r="Q67" s="267">
        <f ca="1">IF($A67=0,VLOOKUP($B67,Outputs!$N:$R,3,FALSE),"")</f>
        <v>29.303147125789692</v>
      </c>
    </row>
    <row r="68" spans="1:17">
      <c r="A68">
        <f>IF(VLOOKUP(B68,TOCA_current!$B$2:$BG$136,45,FALSE)=0,0,1)</f>
        <v>0</v>
      </c>
      <c r="B68" t="s">
        <v>28</v>
      </c>
      <c r="C68" s="267" t="str">
        <f>IF(A68=1,VLOOKUP($B68,Outputs!$B:$F,2,FALSE),"")</f>
        <v/>
      </c>
      <c r="D68" s="267">
        <f ca="1">IF(A68=0,VLOOKUP($B68,Outputs!$B:$F,2,FALSE),"")</f>
        <v>9.605250020541449E-2</v>
      </c>
      <c r="E68" s="54"/>
      <c r="F68" s="54" t="str">
        <f>IF(A68=1,VLOOKUP($B68,Outputs!$H:$L,2,FALSE),"")</f>
        <v/>
      </c>
      <c r="G68" s="54">
        <f ca="1">IF(A68=0,VLOOKUP($B68,Outputs!$H:$L,2,FALSE),"")</f>
        <v>9.605225322506758E-2</v>
      </c>
      <c r="H68" s="267"/>
      <c r="I68" s="267"/>
      <c r="J68" s="268">
        <f ca="1">VLOOKUP($B68,Outputs!$N:$R,2,FALSE)</f>
        <v>9.6118954478325386E-2</v>
      </c>
      <c r="K68" s="268">
        <f ca="1">+VLOOKUP(B68,Outputs!T:U,2,FALSE)</f>
        <v>0.1714849052346854</v>
      </c>
      <c r="L68" s="267" t="str">
        <f>IF($A68=1,VLOOKUP($B68,Outputs!$B:$F,3,FALSE),"")</f>
        <v/>
      </c>
      <c r="M68" s="267">
        <f ca="1">IF($A68=0,VLOOKUP($B68,Outputs!$B:$F,3,FALSE),"")</f>
        <v>41.7286832040406</v>
      </c>
      <c r="N68" s="267" t="str">
        <f>IF($A68=1,VLOOKUP($B68,Outputs!$H:$L,3,FALSE),"")</f>
        <v/>
      </c>
      <c r="O68" s="267">
        <f ca="1">IF($A68=0,VLOOKUP($B68,Outputs!$H:$L,3,FALSE),"")</f>
        <v>41.728777860986156</v>
      </c>
      <c r="P68" s="267" t="str">
        <f>IF($A68=1,VLOOKUP($B68,Outputs!$N:$R,3,FALSE),"")</f>
        <v/>
      </c>
      <c r="Q68" s="267">
        <f ca="1">IF($A68=0,VLOOKUP($B68,Outputs!$N:$R,3,FALSE),"")</f>
        <v>40.401210886294443</v>
      </c>
    </row>
    <row r="69" spans="1:17">
      <c r="A69">
        <f>IF(VLOOKUP(B69,TOCA_current!$B$2:$BG$136,45,FALSE)=0,0,1)</f>
        <v>0</v>
      </c>
      <c r="B69" t="s">
        <v>23</v>
      </c>
      <c r="C69" s="267" t="str">
        <f>IF(A69=1,VLOOKUP($B69,Outputs!$B:$F,2,FALSE),"")</f>
        <v/>
      </c>
      <c r="D69" s="267">
        <f ca="1">IF(A69=0,VLOOKUP($B69,Outputs!$B:$F,2,FALSE),"")</f>
        <v>7.5767503738778705E-2</v>
      </c>
      <c r="E69" s="54"/>
      <c r="F69" s="54" t="str">
        <f>IF(A69=1,VLOOKUP($B69,Outputs!$H:$L,2,FALSE),"")</f>
        <v/>
      </c>
      <c r="G69" s="54">
        <f ca="1">IF(A69=0,VLOOKUP($B69,Outputs!$H:$L,2,FALSE),"")</f>
        <v>7.576734560192476E-2</v>
      </c>
      <c r="H69" s="267"/>
      <c r="I69" s="267"/>
      <c r="J69" s="268">
        <f ca="1">VLOOKUP($B69,Outputs!$N:$R,2,FALSE)</f>
        <v>8.8990638616033041E-2</v>
      </c>
      <c r="K69" s="268">
        <f ca="1">+VLOOKUP(B69,Outputs!T:U,2,FALSE)</f>
        <v>3.8545482695891531E-2</v>
      </c>
      <c r="L69" s="267" t="str">
        <f>IF($A69=1,VLOOKUP($B69,Outputs!$B:$F,3,FALSE),"")</f>
        <v/>
      </c>
      <c r="M69" s="267">
        <f ca="1">IF($A69=0,VLOOKUP($B69,Outputs!$B:$F,3,FALSE),"")</f>
        <v>37.544753068767008</v>
      </c>
      <c r="N69" s="267" t="str">
        <f>IF($A69=1,VLOOKUP($B69,Outputs!$H:$L,3,FALSE),"")</f>
        <v/>
      </c>
      <c r="O69" s="267">
        <f ca="1">IF($A69=0,VLOOKUP($B69,Outputs!$H:$L,3,FALSE),"")</f>
        <v>37.544822927605779</v>
      </c>
      <c r="P69" s="267" t="str">
        <f>IF($A69=1,VLOOKUP($B69,Outputs!$N:$R,3,FALSE),"")</f>
        <v/>
      </c>
      <c r="Q69" s="267">
        <f ca="1">IF($A69=0,VLOOKUP($B69,Outputs!$N:$R,3,FALSE),"")</f>
        <v>36.487036800931243</v>
      </c>
    </row>
    <row r="70" spans="1:17">
      <c r="A70">
        <f>IF(VLOOKUP(B70,TOCA_current!$B$2:$BG$136,45,FALSE)=0,0,1)</f>
        <v>0</v>
      </c>
      <c r="B70" t="s">
        <v>102</v>
      </c>
      <c r="C70" s="267" t="str">
        <f>IF(A70=1,VLOOKUP($B70,Outputs!$B:$F,2,FALSE),"")</f>
        <v/>
      </c>
      <c r="D70" s="267">
        <f ca="1">IF(A70=0,VLOOKUP($B70,Outputs!$B:$F,2,FALSE),"")</f>
        <v>9.945969127437343E-2</v>
      </c>
      <c r="E70" s="54"/>
      <c r="F70" s="54" t="str">
        <f>IF(A70=1,VLOOKUP($B70,Outputs!$H:$L,2,FALSE),"")</f>
        <v/>
      </c>
      <c r="G70" s="54">
        <f ca="1">IF(A70=0,VLOOKUP($B70,Outputs!$H:$L,2,FALSE),"")</f>
        <v>9.9457791250642177E-2</v>
      </c>
      <c r="H70" s="267"/>
      <c r="I70" s="267"/>
      <c r="J70" s="268">
        <f ca="1">VLOOKUP($B70,Outputs!$N:$R,2,FALSE)</f>
        <v>9.2938359744164922E-2</v>
      </c>
      <c r="K70" s="268">
        <f ca="1">+VLOOKUP(B70,Outputs!T:U,2,FALSE)</f>
        <v>6.1383275232521184E-2</v>
      </c>
      <c r="L70" s="267" t="str">
        <f>IF($A70=1,VLOOKUP($B70,Outputs!$B:$F,3,FALSE),"")</f>
        <v/>
      </c>
      <c r="M70" s="267">
        <f ca="1">IF($A70=0,VLOOKUP($B70,Outputs!$B:$F,3,FALSE),"")</f>
        <v>40.448515448281185</v>
      </c>
      <c r="N70" s="267" t="str">
        <f>IF($A70=1,VLOOKUP($B70,Outputs!$H:$L,3,FALSE),"")</f>
        <v/>
      </c>
      <c r="O70" s="267">
        <f ca="1">IF($A70=0,VLOOKUP($B70,Outputs!$H:$L,3,FALSE),"")</f>
        <v>40.449218126100178</v>
      </c>
      <c r="P70" s="267" t="str">
        <f>IF($A70=1,VLOOKUP($B70,Outputs!$N:$R,3,FALSE),"")</f>
        <v/>
      </c>
      <c r="Q70" s="267">
        <f ca="1">IF($A70=0,VLOOKUP($B70,Outputs!$N:$R,3,FALSE),"")</f>
        <v>34.92330333836653</v>
      </c>
    </row>
    <row r="71" spans="1:17">
      <c r="A71">
        <f>IF(VLOOKUP(B71,TOCA_current!$B$2:$BG$136,45,FALSE)=0,0,1)</f>
        <v>0</v>
      </c>
      <c r="B71" t="s">
        <v>91</v>
      </c>
      <c r="C71" s="267" t="str">
        <f>IF(A71=1,VLOOKUP($B71,Outputs!$B:$F,2,FALSE),"")</f>
        <v/>
      </c>
      <c r="D71" s="267">
        <f ca="1">IF(A71=0,VLOOKUP($B71,Outputs!$B:$F,2,FALSE),"")</f>
        <v>9.3118019296937998E-2</v>
      </c>
      <c r="E71" s="54"/>
      <c r="F71" s="54" t="str">
        <f>IF(A71=1,VLOOKUP($B71,Outputs!$H:$L,2,FALSE),"")</f>
        <v/>
      </c>
      <c r="G71" s="54">
        <f ca="1">IF(A71=0,VLOOKUP($B71,Outputs!$H:$L,2,FALSE),"")</f>
        <v>9.3117053654162452E-2</v>
      </c>
      <c r="H71" s="267"/>
      <c r="I71" s="267"/>
      <c r="J71" s="268">
        <f ca="1">VLOOKUP($B71,Outputs!$N:$R,2,FALSE)</f>
        <v>9.4076572634557334E-2</v>
      </c>
      <c r="K71" s="268">
        <f ca="1">+VLOOKUP(B71,Outputs!T:U,2,FALSE)</f>
        <v>5.1656479578003456E-2</v>
      </c>
      <c r="L71" s="267" t="str">
        <f>IF($A71=1,VLOOKUP($B71,Outputs!$B:$F,3,FALSE),"")</f>
        <v/>
      </c>
      <c r="M71" s="267">
        <f ca="1">IF($A71=0,VLOOKUP($B71,Outputs!$B:$F,3,FALSE),"")</f>
        <v>39.108738228472085</v>
      </c>
      <c r="N71" s="267" t="str">
        <f>IF($A71=1,VLOOKUP($B71,Outputs!$H:$L,3,FALSE),"")</f>
        <v/>
      </c>
      <c r="O71" s="267">
        <f ca="1">IF($A71=0,VLOOKUP($B71,Outputs!$H:$L,3,FALSE),"")</f>
        <v>39.109096636924377</v>
      </c>
      <c r="P71" s="267" t="str">
        <f>IF($A71=1,VLOOKUP($B71,Outputs!$N:$R,3,FALSE),"")</f>
        <v/>
      </c>
      <c r="Q71" s="267">
        <f ca="1">IF($A71=0,VLOOKUP($B71,Outputs!$N:$R,3,FALSE),"")</f>
        <v>37.875974105999902</v>
      </c>
    </row>
    <row r="72" spans="1:17">
      <c r="A72">
        <f>IF(VLOOKUP(B72,TOCA_current!$B$2:$BG$136,45,FALSE)=0,0,1)</f>
        <v>0</v>
      </c>
      <c r="B72" t="s">
        <v>133</v>
      </c>
      <c r="C72" s="267" t="str">
        <f>IF(A72=1,VLOOKUP($B72,Outputs!$B:$F,2,FALSE),"")</f>
        <v/>
      </c>
      <c r="D72" s="267">
        <f ca="1">IF(A72=0,VLOOKUP($B72,Outputs!$B:$F,2,FALSE),"")</f>
        <v>0.12185049351392679</v>
      </c>
      <c r="E72" s="54"/>
      <c r="F72" s="54" t="str">
        <f>IF(A72=1,VLOOKUP($B72,Outputs!$H:$L,2,FALSE),"")</f>
        <v/>
      </c>
      <c r="G72" s="54">
        <f ca="1">IF(A72=0,VLOOKUP($B72,Outputs!$H:$L,2,FALSE),"")</f>
        <v>0.12184846521501415</v>
      </c>
      <c r="H72" s="267"/>
      <c r="I72" s="267"/>
      <c r="J72" s="268">
        <f ca="1">VLOOKUP($B72,Outputs!$N:$R,2,FALSE)</f>
        <v>9.6425025055238991E-2</v>
      </c>
      <c r="K72" s="268">
        <f ca="1">+VLOOKUP(B72,Outputs!T:U,2,FALSE)</f>
        <v>6.3205241421245173E-2</v>
      </c>
      <c r="L72" s="267" t="str">
        <f>IF($A72=1,VLOOKUP($B72,Outputs!$B:$F,3,FALSE),"")</f>
        <v/>
      </c>
      <c r="M72" s="267">
        <f ca="1">IF($A72=0,VLOOKUP($B72,Outputs!$B:$F,3,FALSE),"")</f>
        <v>36.616204117505823</v>
      </c>
      <c r="N72" s="267" t="str">
        <f>IF($A72=1,VLOOKUP($B72,Outputs!$H:$L,3,FALSE),"")</f>
        <v/>
      </c>
      <c r="O72" s="267">
        <f ca="1">IF($A72=0,VLOOKUP($B72,Outputs!$H:$L,3,FALSE),"")</f>
        <v>36.616732868622755</v>
      </c>
      <c r="P72" s="267" t="str">
        <f>IF($A72=1,VLOOKUP($B72,Outputs!$N:$R,3,FALSE),"")</f>
        <v/>
      </c>
      <c r="Q72" s="267">
        <f ca="1">IF($A72=0,VLOOKUP($B72,Outputs!$N:$R,3,FALSE),"")</f>
        <v>35.980346215997244</v>
      </c>
    </row>
    <row r="73" spans="1:17">
      <c r="A73">
        <f>IF(VLOOKUP(B73,TOCA_current!$B$2:$BG$136,45,FALSE)=0,0,1)</f>
        <v>0</v>
      </c>
      <c r="B73" t="s">
        <v>29</v>
      </c>
      <c r="C73" s="267" t="str">
        <f>IF(A73=1,VLOOKUP($B73,Outputs!$B:$F,2,FALSE),"")</f>
        <v/>
      </c>
      <c r="D73" s="267">
        <f ca="1">IF(A73=0,VLOOKUP($B73,Outputs!$B:$F,2,FALSE),"")</f>
        <v>8.523036538438411E-2</v>
      </c>
      <c r="E73" s="54"/>
      <c r="F73" s="54" t="str">
        <f>IF(A73=1,VLOOKUP($B73,Outputs!$H:$L,2,FALSE),"")</f>
        <v/>
      </c>
      <c r="G73" s="54">
        <f ca="1">IF(A73=0,VLOOKUP($B73,Outputs!$H:$L,2,FALSE),"")</f>
        <v>8.5230146782314359E-2</v>
      </c>
      <c r="H73" s="267"/>
      <c r="I73" s="267"/>
      <c r="J73" s="268">
        <f ca="1">VLOOKUP($B73,Outputs!$N:$R,2,FALSE)</f>
        <v>9.1362590512804986E-2</v>
      </c>
      <c r="K73" s="268">
        <f ca="1">+VLOOKUP(B73,Outputs!T:U,2,FALSE)</f>
        <v>8.4117932161463793E-2</v>
      </c>
      <c r="L73" s="267" t="str">
        <f>IF($A73=1,VLOOKUP($B73,Outputs!$B:$F,3,FALSE),"")</f>
        <v/>
      </c>
      <c r="M73" s="267">
        <f ca="1">IF($A73=0,VLOOKUP($B73,Outputs!$B:$F,3,FALSE),"")</f>
        <v>39.252282185735893</v>
      </c>
      <c r="N73" s="267" t="str">
        <f>IF($A73=1,VLOOKUP($B73,Outputs!$H:$L,3,FALSE),"")</f>
        <v/>
      </c>
      <c r="O73" s="267">
        <f ca="1">IF($A73=0,VLOOKUP($B73,Outputs!$H:$L,3,FALSE),"")</f>
        <v>39.252371515750575</v>
      </c>
      <c r="P73" s="267" t="str">
        <f>IF($A73=1,VLOOKUP($B73,Outputs!$N:$R,3,FALSE),"")</f>
        <v/>
      </c>
      <c r="Q73" s="267">
        <f ca="1">IF($A73=0,VLOOKUP($B73,Outputs!$N:$R,3,FALSE),"")</f>
        <v>37.982834583899368</v>
      </c>
    </row>
    <row r="74" spans="1:17">
      <c r="A74">
        <f>IF(VLOOKUP(B74,TOCA_current!$B$2:$BG$136,45,FALSE)=0,0,1)</f>
        <v>0</v>
      </c>
      <c r="B74" t="s">
        <v>90</v>
      </c>
      <c r="C74" s="267" t="str">
        <f>IF(A74=1,VLOOKUP($B74,Outputs!$B:$F,2,FALSE),"")</f>
        <v/>
      </c>
      <c r="D74" s="267">
        <f ca="1">IF(A74=0,VLOOKUP($B74,Outputs!$B:$F,2,FALSE),"")</f>
        <v>0.10178446526285254</v>
      </c>
      <c r="E74" s="54"/>
      <c r="F74" s="54" t="str">
        <f>IF(A74=1,VLOOKUP($B74,Outputs!$H:$L,2,FALSE),"")</f>
        <v/>
      </c>
      <c r="G74" s="54">
        <f ca="1">IF(A74=0,VLOOKUP($B74,Outputs!$H:$L,2,FALSE),"")</f>
        <v>0.10178302682090354</v>
      </c>
      <c r="H74" s="267"/>
      <c r="I74" s="267"/>
      <c r="J74" s="268">
        <f ca="1">VLOOKUP($B74,Outputs!$N:$R,2,FALSE)</f>
        <v>9.9747257403790382E-2</v>
      </c>
      <c r="K74" s="268">
        <f ca="1">+VLOOKUP(B74,Outputs!T:U,2,FALSE)</f>
        <v>9.6364854522444698E-2</v>
      </c>
      <c r="L74" s="267" t="str">
        <f>IF($A74=1,VLOOKUP($B74,Outputs!$B:$F,3,FALSE),"")</f>
        <v/>
      </c>
      <c r="M74" s="267">
        <f ca="1">IF($A74=0,VLOOKUP($B74,Outputs!$B:$F,3,FALSE),"")</f>
        <v>37.352234212031064</v>
      </c>
      <c r="N74" s="267" t="str">
        <f>IF($A74=1,VLOOKUP($B74,Outputs!$H:$L,3,FALSE),"")</f>
        <v/>
      </c>
      <c r="O74" s="267">
        <f ca="1">IF($A74=0,VLOOKUP($B74,Outputs!$H:$L,3,FALSE),"")</f>
        <v>37.352552389863995</v>
      </c>
      <c r="P74" s="267" t="str">
        <f>IF($A74=1,VLOOKUP($B74,Outputs!$N:$R,3,FALSE),"")</f>
        <v/>
      </c>
      <c r="Q74" s="267">
        <f ca="1">IF($A74=0,VLOOKUP($B74,Outputs!$N:$R,3,FALSE),"")</f>
        <v>36.010544491408908</v>
      </c>
    </row>
    <row r="75" spans="1:17">
      <c r="A75">
        <f>IF(VLOOKUP(B75,TOCA_current!$B$2:$BG$136,45,FALSE)=0,0,1)</f>
        <v>0</v>
      </c>
      <c r="B75" t="s">
        <v>127</v>
      </c>
      <c r="C75" s="267" t="str">
        <f>IF(A75=1,VLOOKUP($B75,Outputs!$B:$F,2,FALSE),"")</f>
        <v/>
      </c>
      <c r="D75" s="267">
        <f ca="1">IF(A75=0,VLOOKUP($B75,Outputs!$B:$F,2,FALSE),"")</f>
        <v>8.858524024987692E-2</v>
      </c>
      <c r="E75" s="54"/>
      <c r="F75" s="54" t="str">
        <f>IF(A75=1,VLOOKUP($B75,Outputs!$H:$L,2,FALSE),"")</f>
        <v/>
      </c>
      <c r="G75" s="54">
        <f ca="1">IF(A75=0,VLOOKUP($B75,Outputs!$H:$L,2,FALSE),"")</f>
        <v>8.8584024110973505E-2</v>
      </c>
      <c r="H75" s="267"/>
      <c r="I75" s="267"/>
      <c r="J75" s="268">
        <f ca="1">VLOOKUP($B75,Outputs!$N:$R,2,FALSE)</f>
        <v>9.4777067975478219E-2</v>
      </c>
      <c r="K75" s="268">
        <f ca="1">+VLOOKUP(B75,Outputs!T:U,2,FALSE)</f>
        <v>9.7118362649986745E-2</v>
      </c>
      <c r="L75" s="267" t="str">
        <f>IF($A75=1,VLOOKUP($B75,Outputs!$B:$F,3,FALSE),"")</f>
        <v/>
      </c>
      <c r="M75" s="267">
        <f ca="1">IF($A75=0,VLOOKUP($B75,Outputs!$B:$F,3,FALSE),"")</f>
        <v>40.889564670308118</v>
      </c>
      <c r="N75" s="267" t="str">
        <f>IF($A75=1,VLOOKUP($B75,Outputs!$H:$L,3,FALSE),"")</f>
        <v/>
      </c>
      <c r="O75" s="267">
        <f ca="1">IF($A75=0,VLOOKUP($B75,Outputs!$H:$L,3,FALSE),"")</f>
        <v>40.890062033281282</v>
      </c>
      <c r="P75" s="267" t="str">
        <f>IF($A75=1,VLOOKUP($B75,Outputs!$N:$R,3,FALSE),"")</f>
        <v/>
      </c>
      <c r="Q75" s="267">
        <f ca="1">IF($A75=0,VLOOKUP($B75,Outputs!$N:$R,3,FALSE),"")</f>
        <v>39.51263945323911</v>
      </c>
    </row>
    <row r="76" spans="1:17">
      <c r="A76">
        <f>IF(VLOOKUP(B76,TOCA_current!$B$2:$BG$136,45,FALSE)=0,0,1)</f>
        <v>0</v>
      </c>
      <c r="B76" t="s">
        <v>104</v>
      </c>
      <c r="C76" s="267" t="str">
        <f>IF(A76=1,VLOOKUP($B76,Outputs!$B:$F,2,FALSE),"")</f>
        <v/>
      </c>
      <c r="D76" s="267">
        <f ca="1">IF(A76=0,VLOOKUP($B76,Outputs!$B:$F,2,FALSE),"")</f>
        <v>0.18009669072151663</v>
      </c>
      <c r="E76" s="54"/>
      <c r="F76" s="54" t="str">
        <f>IF(A76=1,VLOOKUP($B76,Outputs!$H:$L,2,FALSE),"")</f>
        <v/>
      </c>
      <c r="G76" s="54">
        <f ca="1">IF(A76=0,VLOOKUP($B76,Outputs!$H:$L,2,FALSE),"")</f>
        <v>0.18009220819900792</v>
      </c>
      <c r="H76" s="267"/>
      <c r="I76" s="267"/>
      <c r="J76" s="268">
        <f ca="1">VLOOKUP($B76,Outputs!$N:$R,2,FALSE)</f>
        <v>9.5133642364090942E-2</v>
      </c>
      <c r="K76" s="268">
        <f ca="1">+VLOOKUP(B76,Outputs!T:U,2,FALSE)</f>
        <v>3.2894448376108665E-2</v>
      </c>
      <c r="L76" s="267" t="str">
        <f>IF($A76=1,VLOOKUP($B76,Outputs!$B:$F,3,FALSE),"")</f>
        <v/>
      </c>
      <c r="M76" s="267">
        <f ca="1">IF($A76=0,VLOOKUP($B76,Outputs!$B:$F,3,FALSE),"")</f>
        <v>35.866376988366113</v>
      </c>
      <c r="N76" s="267" t="str">
        <f>IF($A76=1,VLOOKUP($B76,Outputs!$H:$L,3,FALSE),"")</f>
        <v/>
      </c>
      <c r="O76" s="267">
        <f ca="1">IF($A76=0,VLOOKUP($B76,Outputs!$H:$L,3,FALSE),"")</f>
        <v>35.866755000056138</v>
      </c>
      <c r="P76" s="267" t="str">
        <f>IF($A76=1,VLOOKUP($B76,Outputs!$N:$R,3,FALSE),"")</f>
        <v/>
      </c>
      <c r="Q76" s="267">
        <f ca="1">IF($A76=0,VLOOKUP($B76,Outputs!$N:$R,3,FALSE),"")</f>
        <v>35.875338069722837</v>
      </c>
    </row>
    <row r="77" spans="1:17">
      <c r="A77">
        <f>IF(VLOOKUP(B77,TOCA_current!$B$2:$BG$136,45,FALSE)=0,0,1)</f>
        <v>0</v>
      </c>
      <c r="B77" t="s">
        <v>122</v>
      </c>
      <c r="C77" s="267" t="str">
        <f>IF(A77=1,VLOOKUP($B77,Outputs!$B:$F,2,FALSE),"")</f>
        <v/>
      </c>
      <c r="D77" s="267">
        <f ca="1">IF(A77=0,VLOOKUP($B77,Outputs!$B:$F,2,FALSE),"")</f>
        <v>9.5549657406084273E-2</v>
      </c>
      <c r="E77" s="54"/>
      <c r="F77" s="54" t="str">
        <f>IF(A77=1,VLOOKUP($B77,Outputs!$H:$L,2,FALSE),"")</f>
        <v/>
      </c>
      <c r="G77" s="54">
        <f ca="1">IF(A77=0,VLOOKUP($B77,Outputs!$H:$L,2,FALSE),"")</f>
        <v>9.5548243731438109E-2</v>
      </c>
      <c r="H77" s="267"/>
      <c r="I77" s="267"/>
      <c r="J77" s="268">
        <f ca="1">VLOOKUP($B77,Outputs!$N:$R,2,FALSE)</f>
        <v>9.1363959532992839E-2</v>
      </c>
      <c r="K77" s="268">
        <f ca="1">+VLOOKUP(B77,Outputs!T:U,2,FALSE)</f>
        <v>5.0593834177257824E-2</v>
      </c>
      <c r="L77" s="267" t="str">
        <f>IF($A77=1,VLOOKUP($B77,Outputs!$B:$F,3,FALSE),"")</f>
        <v/>
      </c>
      <c r="M77" s="267">
        <f ca="1">IF($A77=0,VLOOKUP($B77,Outputs!$B:$F,3,FALSE),"")</f>
        <v>33.49896235967929</v>
      </c>
      <c r="N77" s="267" t="str">
        <f>IF($A77=1,VLOOKUP($B77,Outputs!$H:$L,3,FALSE),"")</f>
        <v/>
      </c>
      <c r="O77" s="267">
        <f ca="1">IF($A77=0,VLOOKUP($B77,Outputs!$H:$L,3,FALSE),"")</f>
        <v>33.499375373327062</v>
      </c>
      <c r="P77" s="267" t="str">
        <f>IF($A77=1,VLOOKUP($B77,Outputs!$N:$R,3,FALSE),"")</f>
        <v/>
      </c>
      <c r="Q77" s="267">
        <f ca="1">IF($A77=0,VLOOKUP($B77,Outputs!$N:$R,3,FALSE),"")</f>
        <v>33.020782384400086</v>
      </c>
    </row>
    <row r="78" spans="1:17">
      <c r="A78">
        <f>IF(VLOOKUP(B78,TOCA_current!$B$2:$BG$136,45,FALSE)=0,0,1)</f>
        <v>0</v>
      </c>
      <c r="B78" t="s">
        <v>126</v>
      </c>
      <c r="C78" s="267" t="str">
        <f>IF(A78=1,VLOOKUP($B78,Outputs!$B:$F,2,FALSE),"")</f>
        <v/>
      </c>
      <c r="D78" s="267">
        <f ca="1">IF(A78=0,VLOOKUP($B78,Outputs!$B:$F,2,FALSE),"")</f>
        <v>7.6769918353345526E-2</v>
      </c>
      <c r="E78" s="54"/>
      <c r="F78" s="54" t="str">
        <f>IF(A78=1,VLOOKUP($B78,Outputs!$H:$L,2,FALSE),"")</f>
        <v/>
      </c>
      <c r="G78" s="54">
        <f ca="1">IF(A78=0,VLOOKUP($B78,Outputs!$H:$L,2,FALSE),"")</f>
        <v>7.6768451499403353E-2</v>
      </c>
      <c r="H78" s="267"/>
      <c r="I78" s="267"/>
      <c r="J78" s="268">
        <f ca="1">VLOOKUP($B78,Outputs!$N:$R,2,FALSE)</f>
        <v>9.3562687358333466E-2</v>
      </c>
      <c r="K78" s="268">
        <f ca="1">+VLOOKUP(B78,Outputs!T:U,2,FALSE)</f>
        <v>4.9844486112852637E-2</v>
      </c>
      <c r="L78" s="267" t="str">
        <f>IF($A78=1,VLOOKUP($B78,Outputs!$B:$F,3,FALSE),"")</f>
        <v/>
      </c>
      <c r="M78" s="267">
        <f ca="1">IF($A78=0,VLOOKUP($B78,Outputs!$B:$F,3,FALSE),"")</f>
        <v>37.286118410615884</v>
      </c>
      <c r="N78" s="267" t="str">
        <f>IF($A78=1,VLOOKUP($B78,Outputs!$H:$L,3,FALSE),"")</f>
        <v/>
      </c>
      <c r="O78" s="267">
        <f ca="1">IF($A78=0,VLOOKUP($B78,Outputs!$H:$L,3,FALSE),"")</f>
        <v>37.286463489276379</v>
      </c>
      <c r="P78" s="267" t="str">
        <f>IF($A78=1,VLOOKUP($B78,Outputs!$N:$R,3,FALSE),"")</f>
        <v/>
      </c>
      <c r="Q78" s="267">
        <f ca="1">IF($A78=0,VLOOKUP($B78,Outputs!$N:$R,3,FALSE),"")</f>
        <v>35.72469786993539</v>
      </c>
    </row>
    <row r="79" spans="1:17">
      <c r="A79">
        <f>IF(VLOOKUP(B79,TOCA_current!$B$2:$BG$136,45,FALSE)=0,0,1)</f>
        <v>0</v>
      </c>
      <c r="B79" t="s">
        <v>38</v>
      </c>
      <c r="C79" s="267" t="str">
        <f>IF(A79=1,VLOOKUP($B79,Outputs!$B:$F,2,FALSE),"")</f>
        <v/>
      </c>
      <c r="D79" s="267">
        <f ca="1">IF(A79=0,VLOOKUP($B79,Outputs!$B:$F,2,FALSE),"")</f>
        <v>0.10553072843024687</v>
      </c>
      <c r="E79" s="54"/>
      <c r="F79" s="54" t="str">
        <f>IF(A79=1,VLOOKUP($B79,Outputs!$H:$L,2,FALSE),"")</f>
        <v/>
      </c>
      <c r="G79" s="54">
        <f ca="1">IF(A79=0,VLOOKUP($B79,Outputs!$H:$L,2,FALSE),"")</f>
        <v>0.10553050086867573</v>
      </c>
      <c r="H79" s="267"/>
      <c r="I79" s="267"/>
      <c r="J79" s="268">
        <f ca="1">VLOOKUP($B79,Outputs!$N:$R,2,FALSE)</f>
        <v>9.5116395638114776E-2</v>
      </c>
      <c r="K79" s="268">
        <f ca="1">+VLOOKUP(B79,Outputs!T:U,2,FALSE)</f>
        <v>6.9453598497775548E-2</v>
      </c>
      <c r="L79" s="267" t="str">
        <f>IF($A79=1,VLOOKUP($B79,Outputs!$B:$F,3,FALSE),"")</f>
        <v/>
      </c>
      <c r="M79" s="267">
        <f ca="1">IF($A79=0,VLOOKUP($B79,Outputs!$B:$F,3,FALSE),"")</f>
        <v>35.921592459816083</v>
      </c>
      <c r="N79" s="267" t="str">
        <f>IF($A79=1,VLOOKUP($B79,Outputs!$H:$L,3,FALSE),"")</f>
        <v/>
      </c>
      <c r="O79" s="267">
        <f ca="1">IF($A79=0,VLOOKUP($B79,Outputs!$H:$L,3,FALSE),"")</f>
        <v>35.92166252551241</v>
      </c>
      <c r="P79" s="267" t="str">
        <f>IF($A79=1,VLOOKUP($B79,Outputs!$N:$R,3,FALSE),"")</f>
        <v/>
      </c>
      <c r="Q79" s="267">
        <f ca="1">IF($A79=0,VLOOKUP($B79,Outputs!$N:$R,3,FALSE),"")</f>
        <v>35.022516977770387</v>
      </c>
    </row>
    <row r="80" spans="1:17">
      <c r="A80">
        <f>IF(VLOOKUP(B80,TOCA_current!$B$2:$BG$136,45,FALSE)=0,0,1)</f>
        <v>0</v>
      </c>
      <c r="B80" t="s">
        <v>80</v>
      </c>
      <c r="C80" s="267" t="str">
        <f>IF(A80=1,VLOOKUP($B80,Outputs!$B:$F,2,FALSE),"")</f>
        <v/>
      </c>
      <c r="D80" s="267">
        <f ca="1">IF(A80=0,VLOOKUP($B80,Outputs!$B:$F,2,FALSE),"")</f>
        <v>9.6278025457479405E-2</v>
      </c>
      <c r="E80" s="54"/>
      <c r="F80" s="54" t="str">
        <f>IF(A80=1,VLOOKUP($B80,Outputs!$H:$L,2,FALSE),"")</f>
        <v/>
      </c>
      <c r="G80" s="54">
        <f ca="1">IF(A80=0,VLOOKUP($B80,Outputs!$H:$L,2,FALSE),"")</f>
        <v>9.6277278985687789E-2</v>
      </c>
      <c r="H80" s="267"/>
      <c r="I80" s="267"/>
      <c r="J80" s="268">
        <f ca="1">VLOOKUP($B80,Outputs!$N:$R,2,FALSE)</f>
        <v>9.4198267142703532E-2</v>
      </c>
      <c r="K80" s="268">
        <f ca="1">+VLOOKUP(B80,Outputs!T:U,2,FALSE)</f>
        <v>5.6443431939876554E-2</v>
      </c>
      <c r="L80" s="267" t="str">
        <f>IF($A80=1,VLOOKUP($B80,Outputs!$B:$F,3,FALSE),"")</f>
        <v/>
      </c>
      <c r="M80" s="267">
        <f ca="1">IF($A80=0,VLOOKUP($B80,Outputs!$B:$F,3,FALSE),"")</f>
        <v>38.111296920367863</v>
      </c>
      <c r="N80" s="267" t="str">
        <f>IF($A80=1,VLOOKUP($B80,Outputs!$H:$L,3,FALSE),"")</f>
        <v/>
      </c>
      <c r="O80" s="267">
        <f ca="1">IF($A80=0,VLOOKUP($B80,Outputs!$H:$L,3,FALSE),"")</f>
        <v>38.11156645981918</v>
      </c>
      <c r="P80" s="267" t="str">
        <f>IF($A80=1,VLOOKUP($B80,Outputs!$N:$R,3,FALSE),"")</f>
        <v/>
      </c>
      <c r="Q80" s="267">
        <f ca="1">IF($A80=0,VLOOKUP($B80,Outputs!$N:$R,3,FALSE),"")</f>
        <v>36.947261098503077</v>
      </c>
    </row>
    <row r="81" spans="1:17">
      <c r="A81">
        <f>IF(VLOOKUP(B81,TOCA_current!$B$2:$BG$136,45,FALSE)=0,0,1)</f>
        <v>0</v>
      </c>
      <c r="B81" t="s">
        <v>59</v>
      </c>
      <c r="C81" s="267" t="str">
        <f>IF(A81=1,VLOOKUP($B81,Outputs!$B:$F,2,FALSE),"")</f>
        <v/>
      </c>
      <c r="D81" s="267">
        <f ca="1">IF(A81=0,VLOOKUP($B81,Outputs!$B:$F,2,FALSE),"")</f>
        <v>9.6825689547209118E-2</v>
      </c>
      <c r="E81" s="54"/>
      <c r="F81" s="54" t="str">
        <f>IF(A81=1,VLOOKUP($B81,Outputs!$H:$L,2,FALSE),"")</f>
        <v/>
      </c>
      <c r="G81" s="54">
        <f ca="1">IF(A81=0,VLOOKUP($B81,Outputs!$H:$L,2,FALSE),"")</f>
        <v>9.6825185271051273E-2</v>
      </c>
      <c r="H81" s="267"/>
      <c r="I81" s="267"/>
      <c r="J81" s="268">
        <f ca="1">VLOOKUP($B81,Outputs!$N:$R,2,FALSE)</f>
        <v>9.3064200461346711E-2</v>
      </c>
      <c r="K81" s="268">
        <f ca="1">+VLOOKUP(B81,Outputs!T:U,2,FALSE)</f>
        <v>6.3604444610034783E-2</v>
      </c>
      <c r="L81" s="267" t="str">
        <f>IF($A81=1,VLOOKUP($B81,Outputs!$B:$F,3,FALSE),"")</f>
        <v/>
      </c>
      <c r="M81" s="267">
        <f ca="1">IF($A81=0,VLOOKUP($B81,Outputs!$B:$F,3,FALSE),"")</f>
        <v>39.108698034969407</v>
      </c>
      <c r="N81" s="267" t="str">
        <f>IF($A81=1,VLOOKUP($B81,Outputs!$H:$L,3,FALSE),"")</f>
        <v/>
      </c>
      <c r="O81" s="267">
        <f ca="1">IF($A81=0,VLOOKUP($B81,Outputs!$H:$L,3,FALSE),"")</f>
        <v>39.108877590786342</v>
      </c>
      <c r="P81" s="267" t="str">
        <f>IF($A81=1,VLOOKUP($B81,Outputs!$N:$R,3,FALSE),"")</f>
        <v/>
      </c>
      <c r="Q81" s="267">
        <f ca="1">IF($A81=0,VLOOKUP($B81,Outputs!$N:$R,3,FALSE),"")</f>
        <v>37.69865511056458</v>
      </c>
    </row>
    <row r="82" spans="1:17">
      <c r="A82">
        <f>IF(VLOOKUP(B82,TOCA_current!$B$2:$BG$136,45,FALSE)=0,0,1)</f>
        <v>0</v>
      </c>
      <c r="B82" t="s">
        <v>100</v>
      </c>
      <c r="C82" s="267" t="str">
        <f>IF(A82=1,VLOOKUP($B82,Outputs!$B:$F,2,FALSE),"")</f>
        <v/>
      </c>
      <c r="D82" s="267">
        <f ca="1">IF(A82=0,VLOOKUP($B82,Outputs!$B:$F,2,FALSE),"")</f>
        <v>0.10042878905437616</v>
      </c>
      <c r="E82" s="54"/>
      <c r="F82" s="54" t="str">
        <f>IF(A82=1,VLOOKUP($B82,Outputs!$H:$L,2,FALSE),"")</f>
        <v/>
      </c>
      <c r="G82" s="54">
        <f ca="1">IF(A82=0,VLOOKUP($B82,Outputs!$H:$L,2,FALSE),"")</f>
        <v>0.10042794256208432</v>
      </c>
      <c r="H82" s="267"/>
      <c r="I82" s="267"/>
      <c r="J82" s="268">
        <f ca="1">VLOOKUP($B82,Outputs!$N:$R,2,FALSE)</f>
        <v>9.6108048475793281E-2</v>
      </c>
      <c r="K82" s="268">
        <f ca="1">+VLOOKUP(B82,Outputs!T:U,2,FALSE)</f>
        <v>7.2188068825684848E-2</v>
      </c>
      <c r="L82" s="267" t="str">
        <f>IF($A82=1,VLOOKUP($B82,Outputs!$B:$F,3,FALSE),"")</f>
        <v/>
      </c>
      <c r="M82" s="267">
        <f ca="1">IF($A82=0,VLOOKUP($B82,Outputs!$B:$F,3,FALSE),"")</f>
        <v>38.763892860382256</v>
      </c>
      <c r="N82" s="267" t="str">
        <f>IF($A82=1,VLOOKUP($B82,Outputs!$H:$L,3,FALSE),"")</f>
        <v/>
      </c>
      <c r="O82" s="267">
        <f ca="1">IF($A82=0,VLOOKUP($B82,Outputs!$H:$L,3,FALSE),"")</f>
        <v>38.764180310653359</v>
      </c>
      <c r="P82" s="267" t="str">
        <f>IF($A82=1,VLOOKUP($B82,Outputs!$N:$R,3,FALSE),"")</f>
        <v/>
      </c>
      <c r="Q82" s="267">
        <f ca="1">IF($A82=0,VLOOKUP($B82,Outputs!$N:$R,3,FALSE),"")</f>
        <v>37.869436739979605</v>
      </c>
    </row>
    <row r="83" spans="1:17">
      <c r="A83">
        <f>IF(VLOOKUP(B83,TOCA_current!$B$2:$BG$136,45,FALSE)=0,0,1)</f>
        <v>0</v>
      </c>
      <c r="B83" t="s">
        <v>78</v>
      </c>
      <c r="C83" s="267" t="str">
        <f>IF(A83=1,VLOOKUP($B83,Outputs!$B:$F,2,FALSE),"")</f>
        <v/>
      </c>
      <c r="D83" s="267">
        <f ca="1">IF(A83=0,VLOOKUP($B83,Outputs!$B:$F,2,FALSE),"")</f>
        <v>0.14130049852808271</v>
      </c>
      <c r="E83" s="54"/>
      <c r="F83" s="54" t="str">
        <f>IF(A83=1,VLOOKUP($B83,Outputs!$H:$L,2,FALSE),"")</f>
        <v/>
      </c>
      <c r="G83" s="54">
        <f ca="1">IF(A83=0,VLOOKUP($B83,Outputs!$H:$L,2,FALSE),"")</f>
        <v>0.14129800933565873</v>
      </c>
      <c r="H83" s="267"/>
      <c r="I83" s="267"/>
      <c r="J83" s="268">
        <f ca="1">VLOOKUP($B83,Outputs!$N:$R,2,FALSE)</f>
        <v>0.10281735576691539</v>
      </c>
      <c r="K83" s="268">
        <f ca="1">+VLOOKUP(B83,Outputs!T:U,2,FALSE)</f>
        <v>5.8005375881958976E-2</v>
      </c>
      <c r="L83" s="267" t="str">
        <f>IF($A83=1,VLOOKUP($B83,Outputs!$B:$F,3,FALSE),"")</f>
        <v/>
      </c>
      <c r="M83" s="267">
        <f ca="1">IF($A83=0,VLOOKUP($B83,Outputs!$B:$F,3,FALSE),"")</f>
        <v>33.597097434673643</v>
      </c>
      <c r="N83" s="267" t="str">
        <f>IF($A83=1,VLOOKUP($B83,Outputs!$H:$L,3,FALSE),"")</f>
        <v/>
      </c>
      <c r="O83" s="267">
        <f ca="1">IF($A83=0,VLOOKUP($B83,Outputs!$H:$L,3,FALSE),"")</f>
        <v>33.597293398303975</v>
      </c>
      <c r="P83" s="267" t="str">
        <f>IF($A83=1,VLOOKUP($B83,Outputs!$N:$R,3,FALSE),"")</f>
        <v/>
      </c>
      <c r="Q83" s="267">
        <f ca="1">IF($A83=0,VLOOKUP($B83,Outputs!$N:$R,3,FALSE),"")</f>
        <v>31.744666770603313</v>
      </c>
    </row>
    <row r="84" spans="1:17">
      <c r="A84">
        <f>IF(VLOOKUP(B84,TOCA_current!$B$2:$BG$136,45,FALSE)=0,0,1)</f>
        <v>0</v>
      </c>
      <c r="B84" t="s">
        <v>51</v>
      </c>
      <c r="C84" s="267" t="str">
        <f>IF(A84=1,VLOOKUP($B84,Outputs!$B:$F,2,FALSE),"")</f>
        <v/>
      </c>
      <c r="D84" s="267">
        <f ca="1">IF(A84=0,VLOOKUP($B84,Outputs!$B:$F,2,FALSE),"")</f>
        <v>0.10686000796974711</v>
      </c>
      <c r="E84" s="54"/>
      <c r="F84" s="54" t="str">
        <f>IF(A84=1,VLOOKUP($B84,Outputs!$H:$L,2,FALSE),"")</f>
        <v/>
      </c>
      <c r="G84" s="54">
        <f ca="1">IF(A84=0,VLOOKUP($B84,Outputs!$H:$L,2,FALSE),"")</f>
        <v>0.10685950143514218</v>
      </c>
      <c r="H84" s="267"/>
      <c r="I84" s="267"/>
      <c r="J84" s="268">
        <f ca="1">VLOOKUP($B84,Outputs!$N:$R,2,FALSE)</f>
        <v>9.907727961758854E-2</v>
      </c>
      <c r="K84" s="268">
        <f ca="1">+VLOOKUP(B84,Outputs!T:U,2,FALSE)</f>
        <v>0.10200764058803569</v>
      </c>
      <c r="L84" s="267" t="str">
        <f>IF($A84=1,VLOOKUP($B84,Outputs!$B:$F,3,FALSE),"")</f>
        <v/>
      </c>
      <c r="M84" s="267">
        <f ca="1">IF($A84=0,VLOOKUP($B84,Outputs!$B:$F,3,FALSE),"")</f>
        <v>29.018536040771696</v>
      </c>
      <c r="N84" s="267" t="str">
        <f>IF($A84=1,VLOOKUP($B84,Outputs!$H:$L,3,FALSE),"")</f>
        <v/>
      </c>
      <c r="O84" s="267">
        <f ca="1">IF($A84=0,VLOOKUP($B84,Outputs!$H:$L,3,FALSE),"")</f>
        <v>29.01865489103939</v>
      </c>
      <c r="P84" s="267" t="str">
        <f>IF($A84=1,VLOOKUP($B84,Outputs!$N:$R,3,FALSE),"")</f>
        <v/>
      </c>
      <c r="Q84" s="267">
        <f ca="1">IF($A84=0,VLOOKUP($B84,Outputs!$N:$R,3,FALSE),"")</f>
        <v>29.237741701013586</v>
      </c>
    </row>
    <row r="85" spans="1:17">
      <c r="A85">
        <f>IF(VLOOKUP(B85,TOCA_current!$B$2:$BG$136,45,FALSE)=0,0,1)</f>
        <v>0</v>
      </c>
      <c r="B85" t="s">
        <v>89</v>
      </c>
      <c r="C85" s="267" t="str">
        <f>IF(A85=1,VLOOKUP($B85,Outputs!$B:$F,2,FALSE),"")</f>
        <v/>
      </c>
      <c r="D85" s="267">
        <f ca="1">IF(A85=0,VLOOKUP($B85,Outputs!$B:$F,2,FALSE),"")</f>
        <v>7.2657202360051951E-2</v>
      </c>
      <c r="E85" s="54"/>
      <c r="F85" s="54" t="str">
        <f>IF(A85=1,VLOOKUP($B85,Outputs!$H:$L,2,FALSE),"")</f>
        <v/>
      </c>
      <c r="G85" s="54">
        <f ca="1">IF(A85=0,VLOOKUP($B85,Outputs!$H:$L,2,FALSE),"")</f>
        <v>7.2656616145785016E-2</v>
      </c>
      <c r="H85" s="267"/>
      <c r="I85" s="267"/>
      <c r="J85" s="268">
        <f ca="1">VLOOKUP($B85,Outputs!$N:$R,2,FALSE)</f>
        <v>8.319044412714359E-2</v>
      </c>
      <c r="K85" s="268">
        <f ca="1">+VLOOKUP(B85,Outputs!T:U,2,FALSE)</f>
        <v>8.5096338206801736E-2</v>
      </c>
      <c r="L85" s="267" t="str">
        <f>IF($A85=1,VLOOKUP($B85,Outputs!$B:$F,3,FALSE),"")</f>
        <v/>
      </c>
      <c r="M85" s="267">
        <f ca="1">IF($A85=0,VLOOKUP($B85,Outputs!$B:$F,3,FALSE),"")</f>
        <v>38.342040879777173</v>
      </c>
      <c r="N85" s="267" t="str">
        <f>IF($A85=1,VLOOKUP($B85,Outputs!$H:$L,3,FALSE),"")</f>
        <v/>
      </c>
      <c r="O85" s="267">
        <f ca="1">IF($A85=0,VLOOKUP($B85,Outputs!$H:$L,3,FALSE),"")</f>
        <v>38.342266401847333</v>
      </c>
      <c r="P85" s="267" t="str">
        <f>IF($A85=1,VLOOKUP($B85,Outputs!$N:$R,3,FALSE),"")</f>
        <v/>
      </c>
      <c r="Q85" s="267">
        <f ca="1">IF($A85=0,VLOOKUP($B85,Outputs!$N:$R,3,FALSE),"")</f>
        <v>36.290968317110867</v>
      </c>
    </row>
    <row r="86" spans="1:17">
      <c r="A86">
        <f>IF(VLOOKUP(B86,TOCA_current!$B$2:$BG$136,45,FALSE)=0,0,1)</f>
        <v>0</v>
      </c>
      <c r="B86" t="s">
        <v>108</v>
      </c>
      <c r="C86" s="267" t="str">
        <f>IF(A86=1,VLOOKUP($B86,Outputs!$B:$F,2,FALSE),"")</f>
        <v/>
      </c>
      <c r="D86" s="267">
        <f ca="1">IF(A86=0,VLOOKUP($B86,Outputs!$B:$F,2,FALSE),"")</f>
        <v>8.461984045113824E-2</v>
      </c>
      <c r="E86" s="54"/>
      <c r="F86" s="54" t="str">
        <f>IF(A86=1,VLOOKUP($B86,Outputs!$H:$L,2,FALSE),"")</f>
        <v/>
      </c>
      <c r="G86" s="54">
        <f ca="1">IF(A86=0,VLOOKUP($B86,Outputs!$H:$L,2,FALSE),"")</f>
        <v>8.4619128373881997E-2</v>
      </c>
      <c r="H86" s="267"/>
      <c r="I86" s="267"/>
      <c r="J86" s="268">
        <f ca="1">VLOOKUP($B86,Outputs!$N:$R,2,FALSE)</f>
        <v>9.1858684612688896E-2</v>
      </c>
      <c r="K86" s="268">
        <f ca="1">+VLOOKUP(B86,Outputs!T:U,2,FALSE)</f>
        <v>6.1073853533197608E-2</v>
      </c>
      <c r="L86" s="267" t="str">
        <f>IF($A86=1,VLOOKUP($B86,Outputs!$B:$F,3,FALSE),"")</f>
        <v/>
      </c>
      <c r="M86" s="267">
        <f ca="1">IF($A86=0,VLOOKUP($B86,Outputs!$B:$F,3,FALSE),"")</f>
        <v>39.271618252220307</v>
      </c>
      <c r="N86" s="267" t="str">
        <f>IF($A86=1,VLOOKUP($B86,Outputs!$H:$L,3,FALSE),"")</f>
        <v/>
      </c>
      <c r="O86" s="267">
        <f ca="1">IF($A86=0,VLOOKUP($B86,Outputs!$H:$L,3,FALSE),"")</f>
        <v>39.2719116049199</v>
      </c>
      <c r="P86" s="267" t="str">
        <f>IF($A86=1,VLOOKUP($B86,Outputs!$N:$R,3,FALSE),"")</f>
        <v/>
      </c>
      <c r="Q86" s="267">
        <f ca="1">IF($A86=0,VLOOKUP($B86,Outputs!$N:$R,3,FALSE),"")</f>
        <v>37.951678719189381</v>
      </c>
    </row>
    <row r="87" spans="1:17">
      <c r="A87">
        <f>IF(VLOOKUP(B87,TOCA_current!$B$2:$BG$136,45,FALSE)=0,0,1)</f>
        <v>0</v>
      </c>
      <c r="B87" t="s">
        <v>139</v>
      </c>
      <c r="C87" s="267" t="str">
        <f>IF(A87=1,VLOOKUP($B87,Outputs!$B:$F,2,FALSE),"")</f>
        <v/>
      </c>
      <c r="D87" s="267">
        <f ca="1">IF(A87=0,VLOOKUP($B87,Outputs!$B:$F,2,FALSE),"")</f>
        <v>9.7771509130438861E-2</v>
      </c>
      <c r="E87" s="54"/>
      <c r="F87" s="54" t="str">
        <f>IF(A87=1,VLOOKUP($B87,Outputs!$H:$L,2,FALSE),"")</f>
        <v/>
      </c>
      <c r="G87" s="54">
        <f ca="1">IF(A87=0,VLOOKUP($B87,Outputs!$H:$L,2,FALSE),"")</f>
        <v>9.7770543177834832E-2</v>
      </c>
      <c r="H87" s="267"/>
      <c r="I87" s="267"/>
      <c r="J87" s="268">
        <f ca="1">VLOOKUP($B87,Outputs!$N:$R,2,FALSE)</f>
        <v>9.3504945611081455E-2</v>
      </c>
      <c r="K87" s="268">
        <f ca="1">+VLOOKUP(B87,Outputs!T:U,2,FALSE)</f>
        <v>6.8564752222545211E-2</v>
      </c>
      <c r="L87" s="267" t="str">
        <f>IF($A87=1,VLOOKUP($B87,Outputs!$B:$F,3,FALSE),"")</f>
        <v/>
      </c>
      <c r="M87" s="267">
        <f ca="1">IF($A87=0,VLOOKUP($B87,Outputs!$B:$F,3,FALSE),"")</f>
        <v>38.093614927249178</v>
      </c>
      <c r="N87" s="267" t="str">
        <f>IF($A87=1,VLOOKUP($B87,Outputs!$H:$L,3,FALSE),"")</f>
        <v/>
      </c>
      <c r="O87" s="267">
        <f ca="1">IF($A87=0,VLOOKUP($B87,Outputs!$H:$L,3,FALSE),"")</f>
        <v>38.093946593967729</v>
      </c>
      <c r="P87" s="267" t="str">
        <f>IF($A87=1,VLOOKUP($B87,Outputs!$N:$R,3,FALSE),"")</f>
        <v/>
      </c>
      <c r="Q87" s="267">
        <f ca="1">IF($A87=0,VLOOKUP($B87,Outputs!$N:$R,3,FALSE),"")</f>
        <v>37.075508495667883</v>
      </c>
    </row>
    <row r="88" spans="1:17">
      <c r="A88">
        <f>IF(VLOOKUP(B88,TOCA_current!$B$2:$BG$136,45,FALSE)=0,0,1)</f>
        <v>0</v>
      </c>
      <c r="B88" t="s">
        <v>97</v>
      </c>
      <c r="C88" s="267" t="str">
        <f>IF(A88=1,VLOOKUP($B88,Outputs!$B:$F,2,FALSE),"")</f>
        <v/>
      </c>
      <c r="D88" s="267">
        <f ca="1">IF(A88=0,VLOOKUP($B88,Outputs!$B:$F,2,FALSE),"")</f>
        <v>0.10118532726032681</v>
      </c>
      <c r="E88" s="54"/>
      <c r="F88" s="54" t="str">
        <f>IF(A88=1,VLOOKUP($B88,Outputs!$H:$L,2,FALSE),"")</f>
        <v/>
      </c>
      <c r="G88" s="54">
        <f ca="1">IF(A88=0,VLOOKUP($B88,Outputs!$H:$L,2,FALSE),"")</f>
        <v>0.10118461940108921</v>
      </c>
      <c r="H88" s="267"/>
      <c r="I88" s="267"/>
      <c r="J88" s="268">
        <f ca="1">VLOOKUP($B88,Outputs!$N:$R,2,FALSE)</f>
        <v>9.4936796663479414E-2</v>
      </c>
      <c r="K88" s="268">
        <f ca="1">+VLOOKUP(B88,Outputs!T:U,2,FALSE)</f>
        <v>5.8176350296480051E-2</v>
      </c>
      <c r="L88" s="267" t="str">
        <f>IF($A88=1,VLOOKUP($B88,Outputs!$B:$F,3,FALSE),"")</f>
        <v/>
      </c>
      <c r="M88" s="267">
        <f ca="1">IF($A88=0,VLOOKUP($B88,Outputs!$B:$F,3,FALSE),"")</f>
        <v>35.773415953250279</v>
      </c>
      <c r="N88" s="267" t="str">
        <f>IF($A88=1,VLOOKUP($B88,Outputs!$H:$L,3,FALSE),"")</f>
        <v/>
      </c>
      <c r="O88" s="267">
        <f ca="1">IF($A88=0,VLOOKUP($B88,Outputs!$H:$L,3,FALSE),"")</f>
        <v>35.773635977001838</v>
      </c>
      <c r="P88" s="267" t="str">
        <f>IF($A88=1,VLOOKUP($B88,Outputs!$N:$R,3,FALSE),"")</f>
        <v/>
      </c>
      <c r="Q88" s="267">
        <f ca="1">IF($A88=0,VLOOKUP($B88,Outputs!$N:$R,3,FALSE),"")</f>
        <v>33.285031267711517</v>
      </c>
    </row>
    <row r="89" spans="1:17">
      <c r="A89">
        <f>IF(VLOOKUP(B89,TOCA_current!$B$2:$BG$136,45,FALSE)=0,0,1)</f>
        <v>0</v>
      </c>
      <c r="B89" t="s">
        <v>88</v>
      </c>
      <c r="C89" s="267" t="str">
        <f>IF(A89=1,VLOOKUP($B89,Outputs!$B:$F,2,FALSE),"")</f>
        <v/>
      </c>
      <c r="D89" s="267">
        <f ca="1">IF(A89=0,VLOOKUP($B89,Outputs!$B:$F,2,FALSE),"")</f>
        <v>8.6641580031632831E-2</v>
      </c>
      <c r="E89" s="54"/>
      <c r="F89" s="54" t="str">
        <f>IF(A89=1,VLOOKUP($B89,Outputs!$H:$L,2,FALSE),"")</f>
        <v/>
      </c>
      <c r="G89" s="54">
        <f ca="1">IF(A89=0,VLOOKUP($B89,Outputs!$H:$L,2,FALSE),"")</f>
        <v>8.6641040017046145E-2</v>
      </c>
      <c r="H89" s="267"/>
      <c r="I89" s="267"/>
      <c r="J89" s="268">
        <f ca="1">VLOOKUP($B89,Outputs!$N:$R,2,FALSE)</f>
        <v>8.821005936554091E-2</v>
      </c>
      <c r="K89" s="268">
        <f ca="1">+VLOOKUP(B89,Outputs!T:U,2,FALSE)</f>
        <v>0.11497093143967119</v>
      </c>
      <c r="L89" s="267" t="str">
        <f>IF($A89=1,VLOOKUP($B89,Outputs!$B:$F,3,FALSE),"")</f>
        <v/>
      </c>
      <c r="M89" s="267">
        <f ca="1">IF($A89=0,VLOOKUP($B89,Outputs!$B:$F,3,FALSE),"")</f>
        <v>36.032494476011003</v>
      </c>
      <c r="N89" s="267" t="str">
        <f>IF($A89=1,VLOOKUP($B89,Outputs!$H:$L,3,FALSE),"")</f>
        <v/>
      </c>
      <c r="O89" s="267">
        <f ca="1">IF($A89=0,VLOOKUP($B89,Outputs!$H:$L,3,FALSE),"")</f>
        <v>36.032671323282962</v>
      </c>
      <c r="P89" s="267" t="str">
        <f>IF($A89=1,VLOOKUP($B89,Outputs!$N:$R,3,FALSE),"")</f>
        <v/>
      </c>
      <c r="Q89" s="267">
        <f ca="1">IF($A89=0,VLOOKUP($B89,Outputs!$N:$R,3,FALSE),"")</f>
        <v>35.339257479516306</v>
      </c>
    </row>
    <row r="90" spans="1:17">
      <c r="A90">
        <f>IF(VLOOKUP(B90,TOCA_current!$B$2:$BG$136,45,FALSE)=0,0,1)</f>
        <v>0</v>
      </c>
      <c r="B90" t="s">
        <v>60</v>
      </c>
      <c r="C90" s="267" t="str">
        <f>IF(A90=1,VLOOKUP($B90,Outputs!$B:$F,2,FALSE),"")</f>
        <v/>
      </c>
      <c r="D90" s="267">
        <f ca="1">IF(A90=0,VLOOKUP($B90,Outputs!$B:$F,2,FALSE),"")</f>
        <v>9.180812891868366E-2</v>
      </c>
      <c r="E90" s="54"/>
      <c r="F90" s="54" t="str">
        <f>IF(A90=1,VLOOKUP($B90,Outputs!$H:$L,2,FALSE),"")</f>
        <v/>
      </c>
      <c r="G90" s="54">
        <f ca="1">IF(A90=0,VLOOKUP($B90,Outputs!$H:$L,2,FALSE),"")</f>
        <v>9.1807806949104134E-2</v>
      </c>
      <c r="H90" s="267"/>
      <c r="I90" s="267"/>
      <c r="J90" s="268">
        <f ca="1">VLOOKUP($B90,Outputs!$N:$R,2,FALSE)</f>
        <v>9.5729670974934303E-2</v>
      </c>
      <c r="K90" s="268">
        <f ca="1">+VLOOKUP(B90,Outputs!T:U,2,FALSE)</f>
        <v>0.18764806084000729</v>
      </c>
      <c r="L90" s="267" t="str">
        <f>IF($A90=1,VLOOKUP($B90,Outputs!$B:$F,3,FALSE),"")</f>
        <v/>
      </c>
      <c r="M90" s="267">
        <f ca="1">IF($A90=0,VLOOKUP($B90,Outputs!$B:$F,3,FALSE),"")</f>
        <v>37.428738263760394</v>
      </c>
      <c r="N90" s="267" t="str">
        <f>IF($A90=1,VLOOKUP($B90,Outputs!$H:$L,3,FALSE),"")</f>
        <v/>
      </c>
      <c r="O90" s="267">
        <f ca="1">IF($A90=0,VLOOKUP($B90,Outputs!$H:$L,3,FALSE),"")</f>
        <v>37.428848801108593</v>
      </c>
      <c r="P90" s="267" t="str">
        <f>IF($A90=1,VLOOKUP($B90,Outputs!$N:$R,3,FALSE),"")</f>
        <v/>
      </c>
      <c r="Q90" s="267">
        <f ca="1">IF($A90=0,VLOOKUP($B90,Outputs!$N:$R,3,FALSE),"")</f>
        <v>36.332072961134756</v>
      </c>
    </row>
    <row r="91" spans="1:17">
      <c r="A91">
        <f>IF(VLOOKUP(B91,TOCA_current!$B$2:$BG$136,45,FALSE)=0,0,1)</f>
        <v>0</v>
      </c>
      <c r="B91" t="s">
        <v>50</v>
      </c>
      <c r="C91" s="267" t="str">
        <f>IF(A91=1,VLOOKUP($B91,Outputs!$B:$F,2,FALSE),"")</f>
        <v/>
      </c>
      <c r="D91" s="267">
        <f ca="1">IF(A91=0,VLOOKUP($B91,Outputs!$B:$F,2,FALSE),"")</f>
        <v>9.4670417843057283E-2</v>
      </c>
      <c r="E91" s="54"/>
      <c r="F91" s="54" t="str">
        <f>IF(A91=1,VLOOKUP($B91,Outputs!$H:$L,2,FALSE),"")</f>
        <v/>
      </c>
      <c r="G91" s="54">
        <f ca="1">IF(A91=0,VLOOKUP($B91,Outputs!$H:$L,2,FALSE),"")</f>
        <v>9.4670195037337868E-2</v>
      </c>
      <c r="H91" s="267"/>
      <c r="I91" s="267"/>
      <c r="J91" s="268">
        <f ca="1">VLOOKUP($B91,Outputs!$N:$R,2,FALSE)</f>
        <v>9.4818810594667069E-2</v>
      </c>
      <c r="K91" s="268">
        <f ca="1">+VLOOKUP(B91,Outputs!T:U,2,FALSE)</f>
        <v>9.8541362791263021E-2</v>
      </c>
      <c r="L91" s="267" t="str">
        <f>IF($A91=1,VLOOKUP($B91,Outputs!$B:$F,3,FALSE),"")</f>
        <v/>
      </c>
      <c r="M91" s="267">
        <f ca="1">IF($A91=0,VLOOKUP($B91,Outputs!$B:$F,3,FALSE),"")</f>
        <v>39.392447477482953</v>
      </c>
      <c r="N91" s="267" t="str">
        <f>IF($A91=1,VLOOKUP($B91,Outputs!$H:$L,3,FALSE),"")</f>
        <v/>
      </c>
      <c r="O91" s="267">
        <f ca="1">IF($A91=0,VLOOKUP($B91,Outputs!$H:$L,3,FALSE),"")</f>
        <v>39.392529315099992</v>
      </c>
      <c r="P91" s="267" t="str">
        <f>IF($A91=1,VLOOKUP($B91,Outputs!$N:$R,3,FALSE),"")</f>
        <v/>
      </c>
      <c r="Q91" s="267">
        <f ca="1">IF($A91=0,VLOOKUP($B91,Outputs!$N:$R,3,FALSE),"")</f>
        <v>38.366720593295462</v>
      </c>
    </row>
    <row r="92" spans="1:17">
      <c r="A92">
        <f>IF(VLOOKUP(B92,TOCA_current!$B$2:$BG$136,45,FALSE)=0,0,1)</f>
        <v>0</v>
      </c>
      <c r="B92" t="s">
        <v>118</v>
      </c>
      <c r="C92" s="267" t="str">
        <f>IF(A92=1,VLOOKUP($B92,Outputs!$B:$F,2,FALSE),"")</f>
        <v/>
      </c>
      <c r="D92" s="267">
        <f ca="1">IF(A92=0,VLOOKUP($B92,Outputs!$B:$F,2,FALSE),"")</f>
        <v>0.10575839199406002</v>
      </c>
      <c r="E92" s="54"/>
      <c r="F92" s="54" t="str">
        <f>IF(A92=1,VLOOKUP($B92,Outputs!$H:$L,2,FALSE),"")</f>
        <v/>
      </c>
      <c r="G92" s="54">
        <f ca="1">IF(A92=0,VLOOKUP($B92,Outputs!$H:$L,2,FALSE),"")</f>
        <v>0.10575769447539486</v>
      </c>
      <c r="H92" s="267"/>
      <c r="I92" s="267"/>
      <c r="J92" s="268">
        <f ca="1">VLOOKUP($B92,Outputs!$N:$R,2,FALSE)</f>
        <v>9.7486770122171953E-2</v>
      </c>
      <c r="K92" s="268">
        <f ca="1">+VLOOKUP(B92,Outputs!T:U,2,FALSE)</f>
        <v>9.4280083472510823E-2</v>
      </c>
      <c r="L92" s="267" t="str">
        <f>IF($A92=1,VLOOKUP($B92,Outputs!$B:$F,3,FALSE),"")</f>
        <v/>
      </c>
      <c r="M92" s="267">
        <f ca="1">IF($A92=0,VLOOKUP($B92,Outputs!$B:$F,3,FALSE),"")</f>
        <v>38.10518063671379</v>
      </c>
      <c r="N92" s="267" t="str">
        <f>IF($A92=1,VLOOKUP($B92,Outputs!$H:$L,3,FALSE),"")</f>
        <v/>
      </c>
      <c r="O92" s="267">
        <f ca="1">IF($A92=0,VLOOKUP($B92,Outputs!$H:$L,3,FALSE),"")</f>
        <v>38.10540791994184</v>
      </c>
      <c r="P92" s="267" t="str">
        <f>IF($A92=1,VLOOKUP($B92,Outputs!$N:$R,3,FALSE),"")</f>
        <v/>
      </c>
      <c r="Q92" s="267">
        <f ca="1">IF($A92=0,VLOOKUP($B92,Outputs!$N:$R,3,FALSE),"")</f>
        <v>37.08013002689097</v>
      </c>
    </row>
    <row r="93" spans="1:17">
      <c r="A93">
        <f>IF(VLOOKUP(B93,TOCA_current!$B$2:$BG$136,45,FALSE)=0,0,1)</f>
        <v>0</v>
      </c>
      <c r="B93" t="s">
        <v>10</v>
      </c>
      <c r="C93" s="267" t="str">
        <f>IF(A93=1,VLOOKUP($B93,Outputs!$B:$F,2,FALSE),"")</f>
        <v/>
      </c>
      <c r="D93" s="267">
        <f ca="1">IF(A93=0,VLOOKUP($B93,Outputs!$B:$F,2,FALSE),"")</f>
        <v>9.6185302100994977E-2</v>
      </c>
      <c r="E93" s="54"/>
      <c r="F93" s="54" t="str">
        <f>IF(A93=1,VLOOKUP($B93,Outputs!$H:$L,2,FALSE),"")</f>
        <v/>
      </c>
      <c r="G93" s="54">
        <f ca="1">IF(A93=0,VLOOKUP($B93,Outputs!$H:$L,2,FALSE),"")</f>
        <v>9.6185289748060426E-2</v>
      </c>
      <c r="H93" s="267"/>
      <c r="I93" s="267"/>
      <c r="J93" s="268">
        <f ca="1">VLOOKUP($B93,Outputs!$N:$R,2,FALSE)</f>
        <v>8.6122869360128848E-2</v>
      </c>
      <c r="K93" s="268">
        <f ca="1">+VLOOKUP(B93,Outputs!T:U,2,FALSE)</f>
        <v>9.2896659403180371E-2</v>
      </c>
      <c r="L93" s="267" t="str">
        <f>IF($A93=1,VLOOKUP($B93,Outputs!$B:$F,3,FALSE),"")</f>
        <v/>
      </c>
      <c r="M93" s="267">
        <f ca="1">IF($A93=0,VLOOKUP($B93,Outputs!$B:$F,3,FALSE),"")</f>
        <v>34.559828138193872</v>
      </c>
      <c r="N93" s="267" t="str">
        <f>IF($A93=1,VLOOKUP($B93,Outputs!$H:$L,3,FALSE),"")</f>
        <v/>
      </c>
      <c r="O93" s="267">
        <f ca="1">IF($A93=0,VLOOKUP($B93,Outputs!$H:$L,3,FALSE),"")</f>
        <v>34.559831682279146</v>
      </c>
      <c r="P93" s="267" t="str">
        <f>IF($A93=1,VLOOKUP($B93,Outputs!$N:$R,3,FALSE),"")</f>
        <v/>
      </c>
      <c r="Q93" s="267">
        <f ca="1">IF($A93=0,VLOOKUP($B93,Outputs!$N:$R,3,FALSE),"")</f>
        <v>33.602962370968847</v>
      </c>
    </row>
    <row r="94" spans="1:17">
      <c r="A94">
        <f>IF(VLOOKUP(B94,TOCA_current!$B$2:$BG$136,45,FALSE)=0,0,1)</f>
        <v>0</v>
      </c>
      <c r="B94" t="s">
        <v>11</v>
      </c>
      <c r="C94" s="267" t="str">
        <f>IF(A94=1,VLOOKUP($B94,Outputs!$B:$F,2,FALSE),"")</f>
        <v/>
      </c>
      <c r="D94" s="267">
        <f ca="1">IF(A94=0,VLOOKUP($B94,Outputs!$B:$F,2,FALSE),"")</f>
        <v>0.12415691539245825</v>
      </c>
      <c r="E94" s="54"/>
      <c r="F94" s="54" t="str">
        <f>IF(A94=1,VLOOKUP($B94,Outputs!$H:$L,2,FALSE),"")</f>
        <v/>
      </c>
      <c r="G94" s="54">
        <f ca="1">IF(A94=0,VLOOKUP($B94,Outputs!$H:$L,2,FALSE),"")</f>
        <v>0.12415688913065331</v>
      </c>
      <c r="H94" s="267"/>
      <c r="I94" s="267"/>
      <c r="J94" s="268">
        <f ca="1">VLOOKUP($B94,Outputs!$N:$R,2,FALSE)</f>
        <v>9.3279330228271409E-2</v>
      </c>
      <c r="K94" s="268">
        <f ca="1">+VLOOKUP(B94,Outputs!T:U,2,FALSE)</f>
        <v>5.9132340260163341E-2</v>
      </c>
      <c r="L94" s="267" t="str">
        <f>IF($A94=1,VLOOKUP($B94,Outputs!$B:$F,3,FALSE),"")</f>
        <v/>
      </c>
      <c r="M94" s="267">
        <f ca="1">IF($A94=0,VLOOKUP($B94,Outputs!$B:$F,3,FALSE),"")</f>
        <v>29.21045026906269</v>
      </c>
      <c r="N94" s="267" t="str">
        <f>IF($A94=1,VLOOKUP($B94,Outputs!$H:$L,3,FALSE),"")</f>
        <v/>
      </c>
      <c r="O94" s="267">
        <f ca="1">IF($A94=0,VLOOKUP($B94,Outputs!$H:$L,3,FALSE),"")</f>
        <v>29.210455374175169</v>
      </c>
      <c r="P94" s="267" t="str">
        <f>IF($A94=1,VLOOKUP($B94,Outputs!$N:$R,3,FALSE),"")</f>
        <v/>
      </c>
      <c r="Q94" s="267">
        <f ca="1">IF($A94=0,VLOOKUP($B94,Outputs!$N:$R,3,FALSE),"")</f>
        <v>30.012421311311357</v>
      </c>
    </row>
    <row r="95" spans="1:17">
      <c r="A95">
        <f>IF(VLOOKUP(B95,TOCA_current!$B$2:$BG$136,45,FALSE)=0,0,1)</f>
        <v>1</v>
      </c>
      <c r="B95" t="s">
        <v>75</v>
      </c>
      <c r="C95" s="267">
        <f ca="1">IF(A95=1,VLOOKUP($B95,Outputs!$B:$F,2,FALSE),"")</f>
        <v>7.3912557653726979E-2</v>
      </c>
      <c r="D95" s="267" t="str">
        <f>IF(A95=0,VLOOKUP($B95,Outputs!$B:$F,2,FALSE),"")</f>
        <v/>
      </c>
      <c r="E95" s="54"/>
      <c r="F95" s="54">
        <f ca="1">IF(A95=1,VLOOKUP($B95,Outputs!$H:$L,2,FALSE),"")</f>
        <v>0.11942286934140607</v>
      </c>
      <c r="G95" s="54" t="str">
        <f>IF(A95=0,VLOOKUP($B95,Outputs!$H:$L,2,FALSE),"")</f>
        <v/>
      </c>
      <c r="H95" s="267"/>
      <c r="I95" s="267"/>
      <c r="J95" s="268">
        <f ca="1">VLOOKUP($B95,Outputs!$N:$R,2,FALSE)</f>
        <v>9.2938359742173196E-2</v>
      </c>
      <c r="K95" s="268">
        <f ca="1">+VLOOKUP(B95,Outputs!T:U,2,FALSE)</f>
        <v>6.9826824483178784E-2</v>
      </c>
      <c r="L95" s="267">
        <f ca="1">IF($A95=1,VLOOKUP($B95,Outputs!$B:$F,3,FALSE),"")</f>
        <v>38.705947534592177</v>
      </c>
      <c r="M95" s="267" t="str">
        <f>IF($A95=0,VLOOKUP($B95,Outputs!$B:$F,3,FALSE),"")</f>
        <v/>
      </c>
      <c r="N95" s="267">
        <f ca="1">IF($A95=1,VLOOKUP($B95,Outputs!$H:$L,3,FALSE),"")</f>
        <v>35.977725013896617</v>
      </c>
      <c r="O95" s="267" t="str">
        <f>IF($A95=0,VLOOKUP($B95,Outputs!$H:$L,3,FALSE),"")</f>
        <v/>
      </c>
      <c r="P95" s="267">
        <f ca="1">IF($A95=1,VLOOKUP($B95,Outputs!$N:$R,3,FALSE),"")</f>
        <v>34.923303338366523</v>
      </c>
      <c r="Q95" s="267" t="str">
        <f>IF($A95=0,VLOOKUP($B95,Outputs!$N:$R,3,FALSE),"")</f>
        <v/>
      </c>
    </row>
    <row r="96" spans="1:17">
      <c r="A96">
        <f>IF(VLOOKUP(B96,TOCA_current!$B$2:$BG$136,45,FALSE)=0,0,1)</f>
        <v>0</v>
      </c>
      <c r="B96" t="s">
        <v>94</v>
      </c>
      <c r="C96" s="267" t="str">
        <f>IF(A96=1,VLOOKUP($B96,Outputs!$B:$F,2,FALSE),"")</f>
        <v/>
      </c>
      <c r="D96" s="267">
        <f ca="1">IF(A96=0,VLOOKUP($B96,Outputs!$B:$F,2,FALSE),"")</f>
        <v>0.10395713049260319</v>
      </c>
      <c r="E96" s="54"/>
      <c r="F96" s="54" t="str">
        <f>IF(A96=1,VLOOKUP($B96,Outputs!$H:$L,2,FALSE),"")</f>
        <v/>
      </c>
      <c r="G96" s="54">
        <f ca="1">IF(A96=0,VLOOKUP($B96,Outputs!$H:$L,2,FALSE),"")</f>
        <v>0.10395668792078112</v>
      </c>
      <c r="H96" s="267"/>
      <c r="I96" s="267"/>
      <c r="J96" s="268">
        <f ca="1">VLOOKUP($B96,Outputs!$N:$R,2,FALSE)</f>
        <v>0.10042345206387672</v>
      </c>
      <c r="K96" s="268">
        <f ca="1">+VLOOKUP(B96,Outputs!T:U,2,FALSE)</f>
        <v>0.17993290544533957</v>
      </c>
      <c r="L96" s="267" t="str">
        <f>IF($A96=1,VLOOKUP($B96,Outputs!$B:$F,3,FALSE),"")</f>
        <v/>
      </c>
      <c r="M96" s="267">
        <f ca="1">IF($A96=0,VLOOKUP($B96,Outputs!$B:$F,3,FALSE),"")</f>
        <v>40.32555333733233</v>
      </c>
      <c r="N96" s="267" t="str">
        <f>IF($A96=1,VLOOKUP($B96,Outputs!$H:$L,3,FALSE),"")</f>
        <v/>
      </c>
      <c r="O96" s="267">
        <f ca="1">IF($A96=0,VLOOKUP($B96,Outputs!$H:$L,3,FALSE),"")</f>
        <v>40.325704056172782</v>
      </c>
      <c r="P96" s="267" t="str">
        <f>IF($A96=1,VLOOKUP($B96,Outputs!$N:$R,3,FALSE),"")</f>
        <v/>
      </c>
      <c r="Q96" s="267">
        <f ca="1">IF($A96=0,VLOOKUP($B96,Outputs!$N:$R,3,FALSE),"")</f>
        <v>39.544992759633502</v>
      </c>
    </row>
    <row r="97" spans="1:17">
      <c r="A97">
        <f>IF(VLOOKUP(B97,TOCA_current!$B$2:$BG$136,45,FALSE)=0,0,1)</f>
        <v>0</v>
      </c>
      <c r="B97" t="s">
        <v>103</v>
      </c>
      <c r="C97" s="267" t="str">
        <f>IF(A97=1,VLOOKUP($B97,Outputs!$B:$F,2,FALSE),"")</f>
        <v/>
      </c>
      <c r="D97" s="267">
        <f ca="1">IF(A97=0,VLOOKUP($B97,Outputs!$B:$F,2,FALSE),"")</f>
        <v>9.0559853570396892E-2</v>
      </c>
      <c r="E97" s="54"/>
      <c r="F97" s="54" t="str">
        <f>IF(A97=1,VLOOKUP($B97,Outputs!$H:$L,2,FALSE),"")</f>
        <v/>
      </c>
      <c r="G97" s="54">
        <f ca="1">IF(A97=0,VLOOKUP($B97,Outputs!$H:$L,2,FALSE),"")</f>
        <v>9.0559465623877913E-2</v>
      </c>
      <c r="H97" s="267"/>
      <c r="I97" s="267"/>
      <c r="J97" s="268">
        <f ca="1">VLOOKUP($B97,Outputs!$N:$R,2,FALSE)</f>
        <v>9.1901458466506228E-2</v>
      </c>
      <c r="K97" s="268">
        <f ca="1">+VLOOKUP(B97,Outputs!T:U,2,FALSE)</f>
        <v>7.1224079675455076E-2</v>
      </c>
      <c r="L97" s="267" t="str">
        <f>IF($A97=1,VLOOKUP($B97,Outputs!$B:$F,3,FALSE),"")</f>
        <v/>
      </c>
      <c r="M97" s="267">
        <f ca="1">IF($A97=0,VLOOKUP($B97,Outputs!$B:$F,3,FALSE),"")</f>
        <v>39.633548546989651</v>
      </c>
      <c r="N97" s="267" t="str">
        <f>IF($A97=1,VLOOKUP($B97,Outputs!$H:$L,3,FALSE),"")</f>
        <v/>
      </c>
      <c r="O97" s="267">
        <f ca="1">IF($A97=0,VLOOKUP($B97,Outputs!$H:$L,3,FALSE),"")</f>
        <v>39.633704233569134</v>
      </c>
      <c r="P97" s="267" t="str">
        <f>IF($A97=1,VLOOKUP($B97,Outputs!$N:$R,3,FALSE),"")</f>
        <v/>
      </c>
      <c r="Q97" s="267">
        <f ca="1">IF($A97=0,VLOOKUP($B97,Outputs!$N:$R,3,FALSE),"")</f>
        <v>38.214129719904825</v>
      </c>
    </row>
    <row r="98" spans="1:17">
      <c r="A98">
        <f>IF(VLOOKUP(B98,TOCA_current!$B$2:$BG$136,45,FALSE)=0,0,1)</f>
        <v>0</v>
      </c>
      <c r="B98" t="s">
        <v>44</v>
      </c>
      <c r="C98" s="267" t="str">
        <f>IF(A98=1,VLOOKUP($B98,Outputs!$B:$F,2,FALSE),"")</f>
        <v/>
      </c>
      <c r="D98" s="267">
        <f ca="1">IF(A98=0,VLOOKUP($B98,Outputs!$B:$F,2,FALSE),"")</f>
        <v>9.0107041252405748E-2</v>
      </c>
      <c r="E98" s="54"/>
      <c r="F98" s="54" t="str">
        <f>IF(A98=1,VLOOKUP($B98,Outputs!$H:$L,2,FALSE),"")</f>
        <v/>
      </c>
      <c r="G98" s="54">
        <f ca="1">IF(A98=0,VLOOKUP($B98,Outputs!$H:$L,2,FALSE),"")</f>
        <v>9.0106894144635241E-2</v>
      </c>
      <c r="H98" s="267"/>
      <c r="I98" s="267"/>
      <c r="J98" s="268">
        <f ca="1">VLOOKUP($B98,Outputs!$N:$R,2,FALSE)</f>
        <v>8.9584749260632895E-2</v>
      </c>
      <c r="K98" s="268">
        <f ca="1">+VLOOKUP(B98,Outputs!T:U,2,FALSE)</f>
        <v>4.1680677302748714E-2</v>
      </c>
      <c r="L98" s="267" t="str">
        <f>IF($A98=1,VLOOKUP($B98,Outputs!$B:$F,3,FALSE),"")</f>
        <v/>
      </c>
      <c r="M98" s="267">
        <f ca="1">IF($A98=0,VLOOKUP($B98,Outputs!$B:$F,3,FALSE),"")</f>
        <v>36.056056969936115</v>
      </c>
      <c r="N98" s="267" t="str">
        <f>IF($A98=1,VLOOKUP($B98,Outputs!$H:$L,3,FALSE),"")</f>
        <v/>
      </c>
      <c r="O98" s="267">
        <f ca="1">IF($A98=0,VLOOKUP($B98,Outputs!$H:$L,3,FALSE),"")</f>
        <v>36.056107873279778</v>
      </c>
      <c r="P98" s="267" t="str">
        <f>IF($A98=1,VLOOKUP($B98,Outputs!$N:$R,3,FALSE),"")</f>
        <v/>
      </c>
      <c r="Q98" s="267">
        <f ca="1">IF($A98=0,VLOOKUP($B98,Outputs!$N:$R,3,FALSE),"")</f>
        <v>34.898211946370544</v>
      </c>
    </row>
    <row r="99" spans="1:17">
      <c r="A99">
        <f>IF(VLOOKUP(B99,TOCA_current!$B$2:$BG$136,45,FALSE)=0,0,1)</f>
        <v>0</v>
      </c>
      <c r="B99" t="s">
        <v>99</v>
      </c>
      <c r="C99" s="267" t="str">
        <f>IF(A99=1,VLOOKUP($B99,Outputs!$B:$F,2,FALSE),"")</f>
        <v/>
      </c>
      <c r="D99" s="267">
        <f ca="1">IF(A99=0,VLOOKUP($B99,Outputs!$B:$F,2,FALSE),"")</f>
        <v>8.908848648491606E-2</v>
      </c>
      <c r="E99" s="54"/>
      <c r="F99" s="54" t="str">
        <f>IF(A99=1,VLOOKUP($B99,Outputs!$H:$L,2,FALSE),"")</f>
        <v/>
      </c>
      <c r="G99" s="54">
        <f ca="1">IF(A99=0,VLOOKUP($B99,Outputs!$H:$L,2,FALSE),"")</f>
        <v>8.9088121841283105E-2</v>
      </c>
      <c r="H99" s="267"/>
      <c r="I99" s="267"/>
      <c r="J99" s="268">
        <f ca="1">VLOOKUP($B99,Outputs!$N:$R,2,FALSE)</f>
        <v>9.0752899166179193E-2</v>
      </c>
      <c r="K99" s="268">
        <f ca="1">+VLOOKUP(B99,Outputs!T:U,2,FALSE)</f>
        <v>5.8935901587995332E-2</v>
      </c>
      <c r="L99" s="267" t="str">
        <f>IF($A99=1,VLOOKUP($B99,Outputs!$B:$F,3,FALSE),"")</f>
        <v/>
      </c>
      <c r="M99" s="267">
        <f ca="1">IF($A99=0,VLOOKUP($B99,Outputs!$B:$F,3,FALSE),"")</f>
        <v>35.886372918174338</v>
      </c>
      <c r="N99" s="267" t="str">
        <f>IF($A99=1,VLOOKUP($B99,Outputs!$H:$L,3,FALSE),"")</f>
        <v/>
      </c>
      <c r="O99" s="267">
        <f ca="1">IF($A99=0,VLOOKUP($B99,Outputs!$H:$L,3,FALSE),"")</f>
        <v>35.886496268747173</v>
      </c>
      <c r="P99" s="267" t="str">
        <f>IF($A99=1,VLOOKUP($B99,Outputs!$N:$R,3,FALSE),"")</f>
        <v/>
      </c>
      <c r="Q99" s="267">
        <f ca="1">IF($A99=0,VLOOKUP($B99,Outputs!$N:$R,3,FALSE),"")</f>
        <v>35.17311285180368</v>
      </c>
    </row>
    <row r="100" spans="1:17">
      <c r="A100">
        <f>IF(VLOOKUP(B100,TOCA_current!$B$2:$BG$136,45,FALSE)=0,0,1)</f>
        <v>0</v>
      </c>
      <c r="B100" t="s">
        <v>87</v>
      </c>
      <c r="C100" s="267" t="str">
        <f>IF(A100=1,VLOOKUP($B100,Outputs!$B:$F,2,FALSE),"")</f>
        <v/>
      </c>
      <c r="D100" s="267">
        <f ca="1">IF(A100=0,VLOOKUP($B100,Outputs!$B:$F,2,FALSE),"")</f>
        <v>9.6420858937490042E-2</v>
      </c>
      <c r="E100" s="54"/>
      <c r="F100" s="54" t="str">
        <f>IF(A100=1,VLOOKUP($B100,Outputs!$H:$L,2,FALSE),"")</f>
        <v/>
      </c>
      <c r="G100" s="54">
        <f ca="1">IF(A100=0,VLOOKUP($B100,Outputs!$H:$L,2,FALSE),"")</f>
        <v>9.6420541038425775E-2</v>
      </c>
      <c r="H100" s="267"/>
      <c r="I100" s="267"/>
      <c r="J100" s="268">
        <f ca="1">VLOOKUP($B100,Outputs!$N:$R,2,FALSE)</f>
        <v>9.2352721964661696E-2</v>
      </c>
      <c r="K100" s="268">
        <f ca="1">+VLOOKUP(B100,Outputs!T:U,2,FALSE)</f>
        <v>7.0353091650744437E-2</v>
      </c>
      <c r="L100" s="267" t="str">
        <f>IF($A100=1,VLOOKUP($B100,Outputs!$B:$F,3,FALSE),"")</f>
        <v/>
      </c>
      <c r="M100" s="267">
        <f ca="1">IF($A100=0,VLOOKUP($B100,Outputs!$B:$F,3,FALSE),"")</f>
        <v>38.582144717191674</v>
      </c>
      <c r="N100" s="267" t="str">
        <f>IF($A100=1,VLOOKUP($B100,Outputs!$H:$L,3,FALSE),"")</f>
        <v/>
      </c>
      <c r="O100" s="267">
        <f ca="1">IF($A100=0,VLOOKUP($B100,Outputs!$H:$L,3,FALSE),"")</f>
        <v>38.582256900013206</v>
      </c>
      <c r="P100" s="267" t="str">
        <f>IF($A100=1,VLOOKUP($B100,Outputs!$N:$R,3,FALSE),"")</f>
        <v/>
      </c>
      <c r="Q100" s="267">
        <f ca="1">IF($A100=0,VLOOKUP($B100,Outputs!$N:$R,3,FALSE),"")</f>
        <v>37.448212258310377</v>
      </c>
    </row>
    <row r="101" spans="1:17">
      <c r="A101">
        <f>IF(VLOOKUP(B101,TOCA_current!$B$2:$BG$136,45,FALSE)=0,0,1)</f>
        <v>0</v>
      </c>
      <c r="B101" t="s">
        <v>85</v>
      </c>
      <c r="C101" s="267" t="str">
        <f>IF(A101=1,VLOOKUP($B101,Outputs!$B:$F,2,FALSE),"")</f>
        <v/>
      </c>
      <c r="D101" s="267">
        <f ca="1">IF(A101=0,VLOOKUP($B101,Outputs!$B:$F,2,FALSE),"")</f>
        <v>9.288267275548108E-2</v>
      </c>
      <c r="E101" s="54"/>
      <c r="F101" s="54" t="str">
        <f>IF(A101=1,VLOOKUP($B101,Outputs!$H:$L,2,FALSE),"")</f>
        <v/>
      </c>
      <c r="G101" s="54">
        <f ca="1">IF(A101=0,VLOOKUP($B101,Outputs!$H:$L,2,FALSE),"")</f>
        <v>9.2882389378221381E-2</v>
      </c>
      <c r="H101" s="267"/>
      <c r="I101" s="267"/>
      <c r="J101" s="268">
        <f ca="1">VLOOKUP($B101,Outputs!$N:$R,2,FALSE)</f>
        <v>9.0568725845062384E-2</v>
      </c>
      <c r="K101" s="268">
        <f ca="1">+VLOOKUP(B101,Outputs!T:U,2,FALSE)</f>
        <v>9.6473187294021434E-2</v>
      </c>
      <c r="L101" s="267" t="str">
        <f>IF($A101=1,VLOOKUP($B101,Outputs!$B:$F,3,FALSE),"")</f>
        <v/>
      </c>
      <c r="M101" s="267">
        <f ca="1">IF($A101=0,VLOOKUP($B101,Outputs!$B:$F,3,FALSE),"")</f>
        <v>38.200261695820735</v>
      </c>
      <c r="N101" s="267" t="str">
        <f>IF($A101=1,VLOOKUP($B101,Outputs!$H:$L,3,FALSE),"")</f>
        <v/>
      </c>
      <c r="O101" s="267">
        <f ca="1">IF($A101=0,VLOOKUP($B101,Outputs!$H:$L,3,FALSE),"")</f>
        <v>38.200355376291419</v>
      </c>
      <c r="P101" s="267" t="str">
        <f>IF($A101=1,VLOOKUP($B101,Outputs!$N:$R,3,FALSE),"")</f>
        <v/>
      </c>
      <c r="Q101" s="267">
        <f ca="1">IF($A101=0,VLOOKUP($B101,Outputs!$N:$R,3,FALSE),"")</f>
        <v>36.652576522930815</v>
      </c>
    </row>
    <row r="102" spans="1:17">
      <c r="A102">
        <f>IF(VLOOKUP(B102,TOCA_current!$B$2:$BG$136,45,FALSE)=0,0,1)</f>
        <v>0</v>
      </c>
      <c r="B102" t="s">
        <v>32</v>
      </c>
      <c r="C102" s="267" t="str">
        <f>IF(A102=1,VLOOKUP($B102,Outputs!$B:$F,2,FALSE),"")</f>
        <v/>
      </c>
      <c r="D102" s="267">
        <f ca="1">IF(A102=0,VLOOKUP($B102,Outputs!$B:$F,2,FALSE),"")</f>
        <v>8.9657381282622975E-2</v>
      </c>
      <c r="E102" s="54"/>
      <c r="F102" s="54" t="str">
        <f>IF(A102=1,VLOOKUP($B102,Outputs!$H:$L,2,FALSE),"")</f>
        <v/>
      </c>
      <c r="G102" s="54">
        <f ca="1">IF(A102=0,VLOOKUP($B102,Outputs!$H:$L,2,FALSE),"")</f>
        <v>8.965730084503816E-2</v>
      </c>
      <c r="H102" s="267"/>
      <c r="I102" s="267"/>
      <c r="J102" s="268">
        <f ca="1">VLOOKUP($B102,Outputs!$N:$R,2,FALSE)</f>
        <v>9.3864533877326281E-2</v>
      </c>
      <c r="K102" s="268">
        <f ca="1">+VLOOKUP(B102,Outputs!T:U,2,FALSE)</f>
        <v>5.727775285767267E-2</v>
      </c>
      <c r="L102" s="267" t="str">
        <f>IF($A102=1,VLOOKUP($B102,Outputs!$B:$F,3,FALSE),"")</f>
        <v/>
      </c>
      <c r="M102" s="267">
        <f ca="1">IF($A102=0,VLOOKUP($B102,Outputs!$B:$F,3,FALSE),"")</f>
        <v>39.450648296434302</v>
      </c>
      <c r="N102" s="267" t="str">
        <f>IF($A102=1,VLOOKUP($B102,Outputs!$H:$L,3,FALSE),"")</f>
        <v/>
      </c>
      <c r="O102" s="267">
        <f ca="1">IF($A102=0,VLOOKUP($B102,Outputs!$H:$L,3,FALSE),"")</f>
        <v>39.450680778020562</v>
      </c>
      <c r="P102" s="267" t="str">
        <f>IF($A102=1,VLOOKUP($B102,Outputs!$N:$R,3,FALSE),"")</f>
        <v/>
      </c>
      <c r="Q102" s="267">
        <f ca="1">IF($A102=0,VLOOKUP($B102,Outputs!$N:$R,3,FALSE),"")</f>
        <v>38.47575395502102</v>
      </c>
    </row>
    <row r="103" spans="1:17">
      <c r="A103">
        <f>IF(VLOOKUP(B103,TOCA_current!$B$2:$BG$136,45,FALSE)=0,0,1)</f>
        <v>1</v>
      </c>
      <c r="B103" t="s">
        <v>46</v>
      </c>
      <c r="C103" s="267">
        <f ca="1">IF(A103=1,VLOOKUP($B103,Outputs!$B:$F,2,FALSE),"")</f>
        <v>7.1398831106555344E-2</v>
      </c>
      <c r="D103" s="267" t="str">
        <f>IF(A103=0,VLOOKUP($B103,Outputs!$B:$F,2,FALSE),"")</f>
        <v/>
      </c>
      <c r="E103" s="54"/>
      <c r="F103" s="54">
        <f ca="1">IF(A103=1,VLOOKUP($B103,Outputs!$H:$L,2,FALSE),"")</f>
        <v>0.13711162196783749</v>
      </c>
      <c r="G103" s="54" t="str">
        <f>IF(A103=0,VLOOKUP($B103,Outputs!$H:$L,2,FALSE),"")</f>
        <v/>
      </c>
      <c r="H103" s="267"/>
      <c r="I103" s="267"/>
      <c r="J103" s="268">
        <f ca="1">VLOOKUP($B103,Outputs!$N:$R,2,FALSE)</f>
        <v>9.2938359747109678E-2</v>
      </c>
      <c r="K103" s="268">
        <f ca="1">+VLOOKUP(B103,Outputs!T:U,2,FALSE)</f>
        <v>8.2927311622791988E-2</v>
      </c>
      <c r="L103" s="267">
        <f ca="1">IF($A103=1,VLOOKUP($B103,Outputs!$B:$F,3,FALSE),"")</f>
        <v>39.279330889115002</v>
      </c>
      <c r="M103" s="267" t="str">
        <f>IF($A103=0,VLOOKUP($B103,Outputs!$B:$F,3,FALSE),"")</f>
        <v/>
      </c>
      <c r="N103" s="267">
        <f ca="1">IF($A103=1,VLOOKUP($B103,Outputs!$H:$L,3,FALSE),"")</f>
        <v>35.904084706301326</v>
      </c>
      <c r="O103" s="267" t="str">
        <f>IF($A103=0,VLOOKUP($B103,Outputs!$H:$L,3,FALSE),"")</f>
        <v/>
      </c>
      <c r="P103" s="267">
        <f ca="1">IF($A103=1,VLOOKUP($B103,Outputs!$N:$R,3,FALSE),"")</f>
        <v>34.923303338366523</v>
      </c>
      <c r="Q103" s="267" t="str">
        <f>IF($A103=0,VLOOKUP($B103,Outputs!$N:$R,3,FALSE),"")</f>
        <v/>
      </c>
    </row>
    <row r="104" spans="1:17">
      <c r="A104">
        <f>IF(VLOOKUP(B104,TOCA_current!$B$2:$BG$136,45,FALSE)=0,0,1)</f>
        <v>0</v>
      </c>
      <c r="B104" t="s">
        <v>131</v>
      </c>
      <c r="C104" s="267" t="str">
        <f>IF(A104=1,VLOOKUP($B104,Outputs!$B:$F,2,FALSE),"")</f>
        <v/>
      </c>
      <c r="D104" s="267">
        <f ca="1">IF(A104=0,VLOOKUP($B104,Outputs!$B:$F,2,FALSE),"")</f>
        <v>0.16212301686017733</v>
      </c>
      <c r="E104" s="54"/>
      <c r="F104" s="54" t="str">
        <f>IF(A104=1,VLOOKUP($B104,Outputs!$H:$L,2,FALSE),"")</f>
        <v/>
      </c>
      <c r="G104" s="54">
        <f ca="1">IF(A104=0,VLOOKUP($B104,Outputs!$H:$L,2,FALSE),"")</f>
        <v>0.16212212035917969</v>
      </c>
      <c r="H104" s="267"/>
      <c r="I104" s="267"/>
      <c r="J104" s="268">
        <f ca="1">VLOOKUP($B104,Outputs!$N:$R,2,FALSE)</f>
        <v>0.10350578871276149</v>
      </c>
      <c r="K104" s="268">
        <f ca="1">+VLOOKUP(B104,Outputs!T:U,2,FALSE)</f>
        <v>0.11105165797969518</v>
      </c>
      <c r="L104" s="267" t="str">
        <f>IF($A104=1,VLOOKUP($B104,Outputs!$B:$F,3,FALSE),"")</f>
        <v/>
      </c>
      <c r="M104" s="267">
        <f ca="1">IF($A104=0,VLOOKUP($B104,Outputs!$B:$F,3,FALSE),"")</f>
        <v>35.228934575437101</v>
      </c>
      <c r="N104" s="267" t="str">
        <f>IF($A104=1,VLOOKUP($B104,Outputs!$H:$L,3,FALSE),"")</f>
        <v/>
      </c>
      <c r="O104" s="267">
        <f ca="1">IF($A104=0,VLOOKUP($B104,Outputs!$H:$L,3,FALSE),"")</f>
        <v>35.229087186998619</v>
      </c>
      <c r="P104" s="267" t="str">
        <f>IF($A104=1,VLOOKUP($B104,Outputs!$N:$R,3,FALSE),"")</f>
        <v/>
      </c>
      <c r="Q104" s="267">
        <f ca="1">IF($A104=0,VLOOKUP($B104,Outputs!$N:$R,3,FALSE),"")</f>
        <v>34.527842481752515</v>
      </c>
    </row>
    <row r="105" spans="1:17">
      <c r="A105">
        <f>IF(VLOOKUP(B105,TOCA_current!$B$2:$BG$136,45,FALSE)=0,0,1)</f>
        <v>0</v>
      </c>
      <c r="B105" t="s">
        <v>114</v>
      </c>
      <c r="C105" s="267" t="str">
        <f>IF(A105=1,VLOOKUP($B105,Outputs!$B:$F,2,FALSE),"")</f>
        <v/>
      </c>
      <c r="D105" s="267">
        <f ca="1">IF(A105=0,VLOOKUP($B105,Outputs!$B:$F,2,FALSE),"")</f>
        <v>9.7169217023262922E-2</v>
      </c>
      <c r="E105" s="54"/>
      <c r="F105" s="54" t="str">
        <f>IF(A105=1,VLOOKUP($B105,Outputs!$H:$L,2,FALSE),"")</f>
        <v/>
      </c>
      <c r="G105" s="54">
        <f ca="1">IF(A105=0,VLOOKUP($B105,Outputs!$H:$L,2,FALSE),"")</f>
        <v>9.7168840517922919E-2</v>
      </c>
      <c r="H105" s="267"/>
      <c r="I105" s="267"/>
      <c r="J105" s="268">
        <f ca="1">VLOOKUP($B105,Outputs!$N:$R,2,FALSE)</f>
        <v>9.4102111393876808E-2</v>
      </c>
      <c r="K105" s="268">
        <f ca="1">+VLOOKUP(B105,Outputs!T:U,2,FALSE)</f>
        <v>7.7494395739355681E-2</v>
      </c>
      <c r="L105" s="267" t="str">
        <f>IF($A105=1,VLOOKUP($B105,Outputs!$B:$F,3,FALSE),"")</f>
        <v/>
      </c>
      <c r="M105" s="267">
        <f ca="1">IF($A105=0,VLOOKUP($B105,Outputs!$B:$F,3,FALSE),"")</f>
        <v>38.134204888068908</v>
      </c>
      <c r="N105" s="267" t="str">
        <f>IF($A105=1,VLOOKUP($B105,Outputs!$H:$L,3,FALSE),"")</f>
        <v/>
      </c>
      <c r="O105" s="267">
        <f ca="1">IF($A105=0,VLOOKUP($B105,Outputs!$H:$L,3,FALSE),"")</f>
        <v>38.134339562432046</v>
      </c>
      <c r="P105" s="267" t="str">
        <f>IF($A105=1,VLOOKUP($B105,Outputs!$N:$R,3,FALSE),"")</f>
        <v/>
      </c>
      <c r="Q105" s="267">
        <f ca="1">IF($A105=0,VLOOKUP($B105,Outputs!$N:$R,3,FALSE),"")</f>
        <v>36.986768303365892</v>
      </c>
    </row>
    <row r="106" spans="1:17">
      <c r="A106">
        <f>IF(VLOOKUP(B106,TOCA_current!$B$2:$BG$136,45,FALSE)=0,0,1)</f>
        <v>0</v>
      </c>
      <c r="B106" t="s">
        <v>39</v>
      </c>
      <c r="C106" s="267" t="str">
        <f>IF(A106=1,VLOOKUP($B106,Outputs!$B:$F,2,FALSE),"")</f>
        <v/>
      </c>
      <c r="D106" s="267">
        <f ca="1">IF(A106=0,VLOOKUP($B106,Outputs!$B:$F,2,FALSE),"")</f>
        <v>9.292565138038146E-2</v>
      </c>
      <c r="E106" s="54"/>
      <c r="F106" s="54" t="str">
        <f>IF(A106=1,VLOOKUP($B106,Outputs!$H:$L,2,FALSE),"")</f>
        <v/>
      </c>
      <c r="G106" s="54">
        <f ca="1">IF(A106=0,VLOOKUP($B106,Outputs!$H:$L,2,FALSE),"")</f>
        <v>9.29255561097104E-2</v>
      </c>
      <c r="H106" s="267"/>
      <c r="I106" s="267"/>
      <c r="J106" s="268">
        <f ca="1">VLOOKUP($B106,Outputs!$N:$R,2,FALSE)</f>
        <v>9.5410217034752345E-2</v>
      </c>
      <c r="K106" s="268">
        <f ca="1">+VLOOKUP(B106,Outputs!T:U,2,FALSE)</f>
        <v>2.2778549165786588E-2</v>
      </c>
      <c r="L106" s="267" t="str">
        <f>IF($A106=1,VLOOKUP($B106,Outputs!$B:$F,3,FALSE),"")</f>
        <v/>
      </c>
      <c r="M106" s="267">
        <f ca="1">IF($A106=0,VLOOKUP($B106,Outputs!$B:$F,3,FALSE),"")</f>
        <v>37.269902811148448</v>
      </c>
      <c r="N106" s="267" t="str">
        <f>IF($A106=1,VLOOKUP($B106,Outputs!$H:$L,3,FALSE),"")</f>
        <v/>
      </c>
      <c r="O106" s="267">
        <f ca="1">IF($A106=0,VLOOKUP($B106,Outputs!$H:$L,3,FALSE),"")</f>
        <v>37.269936573935723</v>
      </c>
      <c r="P106" s="267" t="str">
        <f>IF($A106=1,VLOOKUP($B106,Outputs!$N:$R,3,FALSE),"")</f>
        <v/>
      </c>
      <c r="Q106" s="267">
        <f ca="1">IF($A106=0,VLOOKUP($B106,Outputs!$N:$R,3,FALSE),"")</f>
        <v>35.892337391578408</v>
      </c>
    </row>
    <row r="107" spans="1:17">
      <c r="A107">
        <f>IF(VLOOKUP(B107,TOCA_current!$B$2:$BG$136,45,FALSE)=0,0,1)</f>
        <v>0</v>
      </c>
      <c r="B107" t="s">
        <v>121</v>
      </c>
      <c r="C107" s="267" t="str">
        <f>IF(A107=1,VLOOKUP($B107,Outputs!$B:$F,2,FALSE),"")</f>
        <v/>
      </c>
      <c r="D107" s="267">
        <f ca="1">IF(A107=0,VLOOKUP($B107,Outputs!$B:$F,2,FALSE),"")</f>
        <v>7.5263929178988928E-2</v>
      </c>
      <c r="E107" s="54"/>
      <c r="F107" s="54" t="str">
        <f>IF(A107=1,VLOOKUP($B107,Outputs!$H:$L,2,FALSE),"")</f>
        <v/>
      </c>
      <c r="G107" s="54">
        <f ca="1">IF(A107=0,VLOOKUP($B107,Outputs!$H:$L,2,FALSE),"")</f>
        <v>7.5263680385326923E-2</v>
      </c>
      <c r="H107" s="267"/>
      <c r="I107" s="267"/>
      <c r="J107" s="268">
        <f ca="1">VLOOKUP($B107,Outputs!$N:$R,2,FALSE)</f>
        <v>9.4319013216081965E-2</v>
      </c>
      <c r="K107" s="268">
        <f ca="1">+VLOOKUP(B107,Outputs!T:U,2,FALSE)</f>
        <v>0.2143671026568883</v>
      </c>
      <c r="L107" s="267" t="str">
        <f>IF($A107=1,VLOOKUP($B107,Outputs!$B:$F,3,FALSE),"")</f>
        <v/>
      </c>
      <c r="M107" s="267">
        <f ca="1">IF($A107=0,VLOOKUP($B107,Outputs!$B:$F,3,FALSE),"")</f>
        <v>35.446172135291846</v>
      </c>
      <c r="N107" s="267" t="str">
        <f>IF($A107=1,VLOOKUP($B107,Outputs!$H:$L,3,FALSE),"")</f>
        <v/>
      </c>
      <c r="O107" s="267">
        <f ca="1">IF($A107=0,VLOOKUP($B107,Outputs!$H:$L,3,FALSE),"")</f>
        <v>35.446276530115512</v>
      </c>
      <c r="P107" s="267" t="str">
        <f>IF($A107=1,VLOOKUP($B107,Outputs!$N:$R,3,FALSE),"")</f>
        <v/>
      </c>
      <c r="Q107" s="267">
        <f ca="1">IF($A107=0,VLOOKUP($B107,Outputs!$N:$R,3,FALSE),"")</f>
        <v>34.782292852520364</v>
      </c>
    </row>
    <row r="108" spans="1:17">
      <c r="A108">
        <f>IF(VLOOKUP(B108,TOCA_current!$B$2:$BG$136,45,FALSE)=0,0,1)</f>
        <v>1</v>
      </c>
      <c r="B108" t="s">
        <v>82</v>
      </c>
      <c r="C108" s="267">
        <f ca="1">IF(A108=1,VLOOKUP($B108,Outputs!$B:$F,2,FALSE),"")</f>
        <v>6.7936054160735976E-2</v>
      </c>
      <c r="D108" s="267" t="str">
        <f>IF(A108=0,VLOOKUP($B108,Outputs!$B:$F,2,FALSE),"")</f>
        <v/>
      </c>
      <c r="E108" s="54"/>
      <c r="F108" s="54">
        <f ca="1">IF(A108=1,VLOOKUP($B108,Outputs!$H:$L,2,FALSE),"")</f>
        <v>0.12842838043124188</v>
      </c>
      <c r="G108" s="54" t="str">
        <f>IF(A108=0,VLOOKUP($B108,Outputs!$H:$L,2,FALSE),"")</f>
        <v/>
      </c>
      <c r="H108" s="267"/>
      <c r="I108" s="267"/>
      <c r="J108" s="268">
        <f ca="1">VLOOKUP($B108,Outputs!$N:$R,2,FALSE)</f>
        <v>9.2938359865514089E-2</v>
      </c>
      <c r="K108" s="268">
        <f ca="1">+VLOOKUP(B108,Outputs!T:U,2,FALSE)</f>
        <v>0.13620705779809228</v>
      </c>
      <c r="L108" s="267">
        <f ca="1">IF($A108=1,VLOOKUP($B108,Outputs!$B:$F,3,FALSE),"")</f>
        <v>39.266050242335368</v>
      </c>
      <c r="M108" s="267" t="str">
        <f>IF($A108=0,VLOOKUP($B108,Outputs!$B:$F,3,FALSE),"")</f>
        <v/>
      </c>
      <c r="N108" s="267">
        <f ca="1">IF($A108=1,VLOOKUP($B108,Outputs!$H:$L,3,FALSE),"")</f>
        <v>35.85409030128843</v>
      </c>
      <c r="O108" s="267" t="str">
        <f>IF($A108=0,VLOOKUP($B108,Outputs!$H:$L,3,FALSE),"")</f>
        <v/>
      </c>
      <c r="P108" s="267">
        <f ca="1">IF($A108=1,VLOOKUP($B108,Outputs!$N:$R,3,FALSE),"")</f>
        <v>34.923303287434727</v>
      </c>
      <c r="Q108" s="267" t="str">
        <f>IF($A108=0,VLOOKUP($B108,Outputs!$N:$R,3,FALSE),"")</f>
        <v/>
      </c>
    </row>
    <row r="109" spans="1:17">
      <c r="A109">
        <f>IF(VLOOKUP(B109,TOCA_current!$B$2:$BG$136,45,FALSE)=0,0,1)</f>
        <v>1</v>
      </c>
      <c r="B109" t="s">
        <v>68</v>
      </c>
      <c r="C109" s="267">
        <f ca="1">IF(A109=1,VLOOKUP($B109,Outputs!$B:$F,2,FALSE),"")</f>
        <v>7.9228201451627386E-2</v>
      </c>
      <c r="D109" s="267" t="str">
        <f>IF(A109=0,VLOOKUP($B109,Outputs!$B:$F,2,FALSE),"")</f>
        <v/>
      </c>
      <c r="E109" s="54"/>
      <c r="F109" s="54">
        <f ca="1">IF(A109=1,VLOOKUP($B109,Outputs!$H:$L,2,FALSE),"")</f>
        <v>0.13029149273073526</v>
      </c>
      <c r="G109" s="54" t="str">
        <f>IF(A109=0,VLOOKUP($B109,Outputs!$H:$L,2,FALSE),"")</f>
        <v/>
      </c>
      <c r="H109" s="267"/>
      <c r="I109" s="267"/>
      <c r="J109" s="268">
        <f ca="1">VLOOKUP($B109,Outputs!$N:$R,2,FALSE)</f>
        <v>9.4107042591637421E-2</v>
      </c>
      <c r="K109" s="268">
        <f ca="1">+VLOOKUP(B109,Outputs!T:U,2,FALSE)</f>
        <v>7.7750613381404321E-2</v>
      </c>
      <c r="L109" s="267">
        <f ca="1">IF($A109=1,VLOOKUP($B109,Outputs!$B:$F,3,FALSE),"")</f>
        <v>37.685563658436045</v>
      </c>
      <c r="M109" s="267" t="str">
        <f>IF($A109=0,VLOOKUP($B109,Outputs!$B:$F,3,FALSE),"")</f>
        <v/>
      </c>
      <c r="N109" s="267">
        <f ca="1">IF($A109=1,VLOOKUP($B109,Outputs!$H:$L,3,FALSE),"")</f>
        <v>34.253567210872419</v>
      </c>
      <c r="O109" s="267" t="str">
        <f>IF($A109=0,VLOOKUP($B109,Outputs!$H:$L,3,FALSE),"")</f>
        <v/>
      </c>
      <c r="P109" s="267">
        <f ca="1">IF($A109=1,VLOOKUP($B109,Outputs!$N:$R,3,FALSE),"")</f>
        <v>32.867644065863885</v>
      </c>
      <c r="Q109" s="267" t="str">
        <f>IF($A109=0,VLOOKUP($B109,Outputs!$N:$R,3,FALSE),"")</f>
        <v/>
      </c>
    </row>
    <row r="110" spans="1:17">
      <c r="A110">
        <f>IF(VLOOKUP(B110,TOCA_current!$B$2:$BG$136,45,FALSE)=0,0,1)</f>
        <v>0</v>
      </c>
      <c r="B110" t="s">
        <v>71</v>
      </c>
      <c r="C110" s="267" t="str">
        <f>IF(A110=1,VLOOKUP($B110,Outputs!$B:$F,2,FALSE),"")</f>
        <v/>
      </c>
      <c r="D110" s="267">
        <f ca="1">IF(A110=0,VLOOKUP($B110,Outputs!$B:$F,2,FALSE),"")</f>
        <v>8.6439575890811651E-2</v>
      </c>
      <c r="E110" s="54"/>
      <c r="F110" s="54" t="str">
        <f>IF(A110=1,VLOOKUP($B110,Outputs!$H:$L,2,FALSE),"")</f>
        <v/>
      </c>
      <c r="G110" s="54">
        <f ca="1">IF(A110=0,VLOOKUP($B110,Outputs!$H:$L,2,FALSE),"")</f>
        <v>8.6439436566355499E-2</v>
      </c>
      <c r="H110" s="267"/>
      <c r="I110" s="267"/>
      <c r="J110" s="268">
        <f ca="1">VLOOKUP($B110,Outputs!$N:$R,2,FALSE)</f>
        <v>8.8336541121628392E-2</v>
      </c>
      <c r="K110" s="268">
        <f ca="1">+VLOOKUP(B110,Outputs!T:U,2,FALSE)</f>
        <v>9.1006595330645146E-2</v>
      </c>
      <c r="L110" s="267" t="str">
        <f>IF($A110=1,VLOOKUP($B110,Outputs!$B:$F,3,FALSE),"")</f>
        <v/>
      </c>
      <c r="M110" s="267">
        <f ca="1">IF($A110=0,VLOOKUP($B110,Outputs!$B:$F,3,FALSE),"")</f>
        <v>38.041288047882233</v>
      </c>
      <c r="N110" s="267" t="str">
        <f>IF($A110=1,VLOOKUP($B110,Outputs!$H:$L,3,FALSE),"")</f>
        <v/>
      </c>
      <c r="O110" s="267">
        <f ca="1">IF($A110=0,VLOOKUP($B110,Outputs!$H:$L,3,FALSE),"")</f>
        <v>38.041344484993736</v>
      </c>
      <c r="P110" s="267" t="str">
        <f>IF($A110=1,VLOOKUP($B110,Outputs!$N:$R,3,FALSE),"")</f>
        <v/>
      </c>
      <c r="Q110" s="267">
        <f ca="1">IF($A110=0,VLOOKUP($B110,Outputs!$N:$R,3,FALSE),"")</f>
        <v>37.084320994708882</v>
      </c>
    </row>
    <row r="111" spans="1:17">
      <c r="A111">
        <f>IF(VLOOKUP(B111,TOCA_current!$B$2:$BG$136,45,FALSE)=0,0,1)</f>
        <v>0</v>
      </c>
      <c r="B111" t="s">
        <v>15</v>
      </c>
      <c r="C111" s="267" t="str">
        <f>IF(A111=1,VLOOKUP($B111,Outputs!$B:$F,2,FALSE),"")</f>
        <v/>
      </c>
      <c r="D111" s="267">
        <f ca="1">IF(A111=0,VLOOKUP($B111,Outputs!$B:$F,2,FALSE),"")</f>
        <v>0.11457098766129342</v>
      </c>
      <c r="E111" s="54"/>
      <c r="F111" s="54" t="str">
        <f>IF(A111=1,VLOOKUP($B111,Outputs!$H:$L,2,FALSE),"")</f>
        <v/>
      </c>
      <c r="G111" s="54">
        <f ca="1">IF(A111=0,VLOOKUP($B111,Outputs!$H:$L,2,FALSE),"")</f>
        <v>0.11457096959878153</v>
      </c>
      <c r="H111" s="267"/>
      <c r="I111" s="267"/>
      <c r="J111" s="268">
        <f ca="1">VLOOKUP($B111,Outputs!$N:$R,2,FALSE)</f>
        <v>9.5314701496508655E-2</v>
      </c>
      <c r="K111" s="268">
        <f ca="1">+VLOOKUP(B111,Outputs!T:U,2,FALSE)</f>
        <v>8.2001535989643548E-2</v>
      </c>
      <c r="L111" s="267" t="str">
        <f>IF($A111=1,VLOOKUP($B111,Outputs!$B:$F,3,FALSE),"")</f>
        <v/>
      </c>
      <c r="M111" s="267">
        <f ca="1">IF($A111=0,VLOOKUP($B111,Outputs!$B:$F,3,FALSE),"")</f>
        <v>37.28454839549493</v>
      </c>
      <c r="N111" s="267" t="str">
        <f>IF($A111=1,VLOOKUP($B111,Outputs!$H:$L,3,FALSE),"")</f>
        <v/>
      </c>
      <c r="O111" s="267">
        <f ca="1">IF($A111=0,VLOOKUP($B111,Outputs!$H:$L,3,FALSE),"")</f>
        <v>37.284553669307378</v>
      </c>
      <c r="P111" s="267" t="str">
        <f>IF($A111=1,VLOOKUP($B111,Outputs!$N:$R,3,FALSE),"")</f>
        <v/>
      </c>
      <c r="Q111" s="267">
        <f ca="1">IF($A111=0,VLOOKUP($B111,Outputs!$N:$R,3,FALSE),"")</f>
        <v>36.413088256224391</v>
      </c>
    </row>
    <row r="112" spans="1:17">
      <c r="A112">
        <f>IF(VLOOKUP(B112,TOCA_current!$B$2:$BG$136,45,FALSE)=0,0,1)</f>
        <v>0</v>
      </c>
      <c r="B112" t="s">
        <v>9</v>
      </c>
      <c r="C112" s="267" t="str">
        <f>IF(A112=1,VLOOKUP($B112,Outputs!$B:$F,2,FALSE),"")</f>
        <v/>
      </c>
      <c r="D112" s="267">
        <f ca="1">IF(A112=0,VLOOKUP($B112,Outputs!$B:$F,2,FALSE),"")</f>
        <v>0.10274141297556823</v>
      </c>
      <c r="E112" s="54"/>
      <c r="F112" s="54" t="str">
        <f>IF(A112=1,VLOOKUP($B112,Outputs!$H:$L,2,FALSE),"")</f>
        <v/>
      </c>
      <c r="G112" s="54">
        <f ca="1">IF(A112=0,VLOOKUP($B112,Outputs!$H:$L,2,FALSE),"")</f>
        <v>0.10274141112338799</v>
      </c>
      <c r="H112" s="267"/>
      <c r="I112" s="267"/>
      <c r="J112" s="268">
        <f ca="1">VLOOKUP($B112,Outputs!$N:$R,2,FALSE)</f>
        <v>9.7350379150712804E-2</v>
      </c>
      <c r="K112" s="268">
        <f ca="1">+VLOOKUP(B112,Outputs!T:U,2,FALSE)</f>
        <v>6.8253237771720654E-2</v>
      </c>
      <c r="L112" s="267" t="str">
        <f>IF($A112=1,VLOOKUP($B112,Outputs!$B:$F,3,FALSE),"")</f>
        <v/>
      </c>
      <c r="M112" s="267">
        <f ca="1">IF($A112=0,VLOOKUP($B112,Outputs!$B:$F,3,FALSE),"")</f>
        <v>35.672604835928944</v>
      </c>
      <c r="N112" s="267" t="str">
        <f>IF($A112=1,VLOOKUP($B112,Outputs!$H:$L,3,FALSE),"")</f>
        <v/>
      </c>
      <c r="O112" s="267">
        <f ca="1">IF($A112=0,VLOOKUP($B112,Outputs!$H:$L,3,FALSE),"")</f>
        <v>35.672605400828047</v>
      </c>
      <c r="P112" s="267" t="str">
        <f>IF($A112=1,VLOOKUP($B112,Outputs!$N:$R,3,FALSE),"")</f>
        <v/>
      </c>
      <c r="Q112" s="267">
        <f ca="1">IF($A112=0,VLOOKUP($B112,Outputs!$N:$R,3,FALSE),"")</f>
        <v>35.155869582615388</v>
      </c>
    </row>
    <row r="113" spans="1:17">
      <c r="A113">
        <f>IF(VLOOKUP(B113,TOCA_current!$B$2:$BG$136,45,FALSE)=0,0,1)</f>
        <v>1</v>
      </c>
      <c r="B113" t="s">
        <v>62</v>
      </c>
      <c r="C113" s="267">
        <f ca="1">IF(A113=1,VLOOKUP($B113,Outputs!$B:$F,2,FALSE),"")</f>
        <v>7.508272297762135E-2</v>
      </c>
      <c r="D113" s="267" t="str">
        <f>IF(A113=0,VLOOKUP($B113,Outputs!$B:$F,2,FALSE),"")</f>
        <v/>
      </c>
      <c r="E113" s="54"/>
      <c r="F113" s="54">
        <f ca="1">IF(A113=1,VLOOKUP($B113,Outputs!$H:$L,2,FALSE),"")</f>
        <v>0.1255185404620405</v>
      </c>
      <c r="G113" s="54" t="str">
        <f>IF(A113=0,VLOOKUP($B113,Outputs!$H:$L,2,FALSE),"")</f>
        <v/>
      </c>
      <c r="H113" s="267"/>
      <c r="I113" s="267"/>
      <c r="J113" s="268">
        <f ca="1">VLOOKUP($B113,Outputs!$N:$R,2,FALSE)</f>
        <v>9.2938359739746984E-2</v>
      </c>
      <c r="K113" s="268">
        <f ca="1">+VLOOKUP(B113,Outputs!T:U,2,FALSE)</f>
        <v>7.550810238860306E-2</v>
      </c>
      <c r="L113" s="267">
        <f ca="1">IF($A113=1,VLOOKUP($B113,Outputs!$B:$F,3,FALSE),"")</f>
        <v>39.140219965321322</v>
      </c>
      <c r="M113" s="267" t="str">
        <f>IF($A113=0,VLOOKUP($B113,Outputs!$B:$F,3,FALSE),"")</f>
        <v/>
      </c>
      <c r="N113" s="267">
        <f ca="1">IF($A113=1,VLOOKUP($B113,Outputs!$H:$L,3,FALSE),"")</f>
        <v>36.582721534648549</v>
      </c>
      <c r="O113" s="267" t="str">
        <f>IF($A113=0,VLOOKUP($B113,Outputs!$H:$L,3,FALSE),"")</f>
        <v/>
      </c>
      <c r="P113" s="267">
        <f ca="1">IF($A113=1,VLOOKUP($B113,Outputs!$N:$R,3,FALSE),"")</f>
        <v>34.923303338366523</v>
      </c>
      <c r="Q113" s="267" t="str">
        <f>IF($A113=0,VLOOKUP($B113,Outputs!$N:$R,3,FALSE),"")</f>
        <v/>
      </c>
    </row>
    <row r="114" spans="1:17">
      <c r="A114">
        <f>IF(VLOOKUP(B114,TOCA_current!$B$2:$BG$136,45,FALSE)=0,0,1)</f>
        <v>0</v>
      </c>
      <c r="B114" t="s">
        <v>45</v>
      </c>
      <c r="C114" s="267" t="str">
        <f>IF(A114=1,VLOOKUP($B114,Outputs!$B:$F,2,FALSE),"")</f>
        <v/>
      </c>
      <c r="D114" s="267">
        <f ca="1">IF(A114=0,VLOOKUP($B114,Outputs!$B:$F,2,FALSE),"")</f>
        <v>7.2138444674352029E-2</v>
      </c>
      <c r="E114" s="54"/>
      <c r="F114" s="54" t="str">
        <f>IF(A114=1,VLOOKUP($B114,Outputs!$H:$L,2,FALSE),"")</f>
        <v/>
      </c>
      <c r="G114" s="54">
        <f ca="1">IF(A114=0,VLOOKUP($B114,Outputs!$H:$L,2,FALSE),"")</f>
        <v>7.2138417885914366E-2</v>
      </c>
      <c r="H114" s="267"/>
      <c r="I114" s="267"/>
      <c r="J114" s="268">
        <f ca="1">VLOOKUP($B114,Outputs!$N:$R,2,FALSE)</f>
        <v>9.4645900341041297E-2</v>
      </c>
      <c r="K114" s="268">
        <f ca="1">+VLOOKUP(B114,Outputs!T:U,2,FALSE)</f>
        <v>0.18851961915470072</v>
      </c>
      <c r="L114" s="267" t="str">
        <f>IF($A114=1,VLOOKUP($B114,Outputs!$B:$F,3,FALSE),"")</f>
        <v/>
      </c>
      <c r="M114" s="267">
        <f ca="1">IF($A114=0,VLOOKUP($B114,Outputs!$B:$F,3,FALSE),"")</f>
        <v>39.774011291522577</v>
      </c>
      <c r="N114" s="267" t="str">
        <f>IF($A114=1,VLOOKUP($B114,Outputs!$H:$L,3,FALSE),"")</f>
        <v/>
      </c>
      <c r="O114" s="267">
        <f ca="1">IF($A114=0,VLOOKUP($B114,Outputs!$H:$L,3,FALSE),"")</f>
        <v>39.774024477166996</v>
      </c>
      <c r="P114" s="267" t="str">
        <f>IF($A114=1,VLOOKUP($B114,Outputs!$N:$R,3,FALSE),"")</f>
        <v/>
      </c>
      <c r="Q114" s="267">
        <f ca="1">IF($A114=0,VLOOKUP($B114,Outputs!$N:$R,3,FALSE),"")</f>
        <v>39.282829388086668</v>
      </c>
    </row>
    <row r="115" spans="1:17">
      <c r="A115">
        <f>IF(VLOOKUP(B115,TOCA_current!$B$2:$BG$136,45,FALSE)=0,0,1)</f>
        <v>1</v>
      </c>
      <c r="B115" t="s">
        <v>116</v>
      </c>
      <c r="C115" s="267">
        <f ca="1">IF(A115=1,VLOOKUP($B115,Outputs!$B:$F,2,FALSE),"")</f>
        <v>6.5001796805396167E-2</v>
      </c>
      <c r="D115" s="267" t="str">
        <f>IF(A115=0,VLOOKUP($B115,Outputs!$B:$F,2,FALSE),"")</f>
        <v/>
      </c>
      <c r="E115" s="54"/>
      <c r="F115" s="54">
        <f ca="1">IF(A115=1,VLOOKUP($B115,Outputs!$H:$L,2,FALSE),"")</f>
        <v>0.12657675006353228</v>
      </c>
      <c r="G115" s="54" t="str">
        <f>IF(A115=0,VLOOKUP($B115,Outputs!$H:$L,2,FALSE),"")</f>
        <v/>
      </c>
      <c r="H115" s="267"/>
      <c r="I115" s="267"/>
      <c r="J115" s="268">
        <f ca="1">VLOOKUP($B115,Outputs!$N:$R,2,FALSE)</f>
        <v>9.2938359741609466E-2</v>
      </c>
      <c r="K115" s="268">
        <f ca="1">+VLOOKUP(B115,Outputs!T:U,2,FALSE)</f>
        <v>7.1777191367313087E-2</v>
      </c>
      <c r="L115" s="267">
        <f ca="1">IF($A115=1,VLOOKUP($B115,Outputs!$B:$F,3,FALSE),"")</f>
        <v>39.370293786608691</v>
      </c>
      <c r="M115" s="267" t="str">
        <f>IF($A115=0,VLOOKUP($B115,Outputs!$B:$F,3,FALSE),"")</f>
        <v/>
      </c>
      <c r="N115" s="267">
        <f ca="1">IF($A115=1,VLOOKUP($B115,Outputs!$H:$L,3,FALSE),"")</f>
        <v>35.656250195343993</v>
      </c>
      <c r="O115" s="267" t="str">
        <f>IF($A115=0,VLOOKUP($B115,Outputs!$H:$L,3,FALSE),"")</f>
        <v/>
      </c>
      <c r="P115" s="267">
        <f ca="1">IF($A115=1,VLOOKUP($B115,Outputs!$N:$R,3,FALSE),"")</f>
        <v>34.923303338366516</v>
      </c>
      <c r="Q115" s="267" t="str">
        <f>IF($A115=0,VLOOKUP($B115,Outputs!$N:$R,3,FALSE),"")</f>
        <v/>
      </c>
    </row>
    <row r="116" spans="1:17">
      <c r="A116">
        <f>IF(VLOOKUP(B116,TOCA_current!$B$2:$BG$136,45,FALSE)=0,0,1)</f>
        <v>1</v>
      </c>
      <c r="B116" t="s">
        <v>55</v>
      </c>
      <c r="C116" s="267">
        <f ca="1">IF(A116=1,VLOOKUP($B116,Outputs!$B:$F,2,FALSE),"")</f>
        <v>6.9062243333092826E-2</v>
      </c>
      <c r="D116" s="267" t="str">
        <f>IF(A116=0,VLOOKUP($B116,Outputs!$B:$F,2,FALSE),"")</f>
        <v/>
      </c>
      <c r="E116" s="54"/>
      <c r="F116" s="54">
        <f ca="1">IF(A116=1,VLOOKUP($B116,Outputs!$H:$L,2,FALSE),"")</f>
        <v>0.13571349562375223</v>
      </c>
      <c r="G116" s="54" t="str">
        <f>IF(A116=0,VLOOKUP($B116,Outputs!$H:$L,2,FALSE),"")</f>
        <v/>
      </c>
      <c r="H116" s="267"/>
      <c r="I116" s="267"/>
      <c r="J116" s="268">
        <f ca="1">VLOOKUP($B116,Outputs!$N:$R,2,FALSE)</f>
        <v>9.2938359748621885E-2</v>
      </c>
      <c r="K116" s="268">
        <f ca="1">+VLOOKUP(B116,Outputs!T:U,2,FALSE)</f>
        <v>8.0688738593216236E-2</v>
      </c>
      <c r="L116" s="267">
        <f ca="1">IF($A116=1,VLOOKUP($B116,Outputs!$B:$F,3,FALSE),"")</f>
        <v>39.336868177424357</v>
      </c>
      <c r="M116" s="267" t="str">
        <f>IF($A116=0,VLOOKUP($B116,Outputs!$B:$F,3,FALSE),"")</f>
        <v/>
      </c>
      <c r="N116" s="267">
        <f ca="1">IF($A116=1,VLOOKUP($B116,Outputs!$H:$L,3,FALSE),"")</f>
        <v>35.7753390221798</v>
      </c>
      <c r="O116" s="267" t="str">
        <f>IF($A116=0,VLOOKUP($B116,Outputs!$H:$L,3,FALSE),"")</f>
        <v/>
      </c>
      <c r="P116" s="267">
        <f ca="1">IF($A116=1,VLOOKUP($B116,Outputs!$N:$R,3,FALSE),"")</f>
        <v>34.923303338366523</v>
      </c>
      <c r="Q116" s="267" t="str">
        <f>IF($A116=0,VLOOKUP($B116,Outputs!$N:$R,3,FALSE),"")</f>
        <v/>
      </c>
    </row>
    <row r="117" spans="1:17">
      <c r="A117">
        <f>IF(VLOOKUP(B117,TOCA_current!$B$2:$BG$136,45,FALSE)=0,0,1)</f>
        <v>0</v>
      </c>
      <c r="B117" t="s">
        <v>110</v>
      </c>
      <c r="C117" s="267" t="str">
        <f>IF(A117=1,VLOOKUP($B117,Outputs!$B:$F,2,FALSE),"")</f>
        <v/>
      </c>
      <c r="D117" s="267">
        <f ca="1">IF(A117=0,VLOOKUP($B117,Outputs!$B:$F,2,FALSE),"")</f>
        <v>0.10221159851156927</v>
      </c>
      <c r="E117" s="54"/>
      <c r="F117" s="54" t="str">
        <f>IF(A117=1,VLOOKUP($B117,Outputs!$H:$L,2,FALSE),"")</f>
        <v/>
      </c>
      <c r="G117" s="54">
        <f ca="1">IF(A117=0,VLOOKUP($B117,Outputs!$H:$L,2,FALSE),"")</f>
        <v>0.10221153254094849</v>
      </c>
      <c r="H117" s="267"/>
      <c r="I117" s="267"/>
      <c r="J117" s="268">
        <f ca="1">VLOOKUP($B117,Outputs!$N:$R,2,FALSE)</f>
        <v>9.2938359740481813E-2</v>
      </c>
      <c r="K117" s="268">
        <f ca="1">+VLOOKUP(B117,Outputs!T:U,2,FALSE)</f>
        <v>6.3293412914187108E-2</v>
      </c>
      <c r="L117" s="267" t="str">
        <f>IF($A117=1,VLOOKUP($B117,Outputs!$B:$F,3,FALSE),"")</f>
        <v/>
      </c>
      <c r="M117" s="267">
        <f ca="1">IF($A117=0,VLOOKUP($B117,Outputs!$B:$F,3,FALSE),"")</f>
        <v>39.766806080430584</v>
      </c>
      <c r="N117" s="267" t="str">
        <f>IF($A117=1,VLOOKUP($B117,Outputs!$H:$L,3,FALSE),"")</f>
        <v/>
      </c>
      <c r="O117" s="267">
        <f ca="1">IF($A117=0,VLOOKUP($B117,Outputs!$H:$L,3,FALSE),"")</f>
        <v>39.766829367122405</v>
      </c>
      <c r="P117" s="267" t="str">
        <f>IF($A117=1,VLOOKUP($B117,Outputs!$N:$R,3,FALSE),"")</f>
        <v/>
      </c>
      <c r="Q117" s="267">
        <f ca="1">IF($A117=0,VLOOKUP($B117,Outputs!$N:$R,3,FALSE),"")</f>
        <v>34.923303338366516</v>
      </c>
    </row>
    <row r="118" spans="1:17">
      <c r="A118">
        <f>IF(VLOOKUP(B118,TOCA_current!$B$2:$BG$136,45,FALSE)=0,0,1)</f>
        <v>0</v>
      </c>
      <c r="B118" t="s">
        <v>140</v>
      </c>
      <c r="C118" s="267" t="str">
        <f>IF(A118=1,VLOOKUP($B118,Outputs!$B:$F,2,FALSE),"")</f>
        <v/>
      </c>
      <c r="D118" s="267">
        <f ca="1">IF(A118=0,VLOOKUP($B118,Outputs!$B:$F,2,FALSE),"")</f>
        <v>8.8670342256632409E-2</v>
      </c>
      <c r="E118" s="54"/>
      <c r="F118" s="54" t="str">
        <f>IF(A118=1,VLOOKUP($B118,Outputs!$H:$L,2,FALSE),"")</f>
        <v/>
      </c>
      <c r="G118" s="54">
        <f ca="1">IF(A118=0,VLOOKUP($B118,Outputs!$H:$L,2,FALSE),"")</f>
        <v>8.8670139090368888E-2</v>
      </c>
      <c r="H118" s="267"/>
      <c r="I118" s="267"/>
      <c r="J118" s="268">
        <f ca="1">VLOOKUP($B118,Outputs!$N:$R,2,FALSE)</f>
        <v>7.312772521869601E-2</v>
      </c>
      <c r="K118" s="268">
        <f ca="1">+VLOOKUP(B118,Outputs!T:U,2,FALSE)</f>
        <v>0.16181449480890331</v>
      </c>
      <c r="L118" s="267" t="str">
        <f>IF($A118=1,VLOOKUP($B118,Outputs!$B:$F,3,FALSE),"")</f>
        <v/>
      </c>
      <c r="M118" s="267">
        <f ca="1">IF($A118=0,VLOOKUP($B118,Outputs!$B:$F,3,FALSE),"")</f>
        <v>39.813971742155601</v>
      </c>
      <c r="N118" s="267" t="str">
        <f>IF($A118=1,VLOOKUP($B118,Outputs!$H:$L,3,FALSE),"")</f>
        <v/>
      </c>
      <c r="O118" s="267">
        <f ca="1">IF($A118=0,VLOOKUP($B118,Outputs!$H:$L,3,FALSE),"")</f>
        <v>39.813991681194857</v>
      </c>
      <c r="P118" s="267" t="str">
        <f>IF($A118=1,VLOOKUP($B118,Outputs!$N:$R,3,FALSE),"")</f>
        <v/>
      </c>
      <c r="Q118" s="267">
        <f ca="1">IF($A118=0,VLOOKUP($B118,Outputs!$N:$R,3,FALSE),"")</f>
        <v>38.469135265598112</v>
      </c>
    </row>
    <row r="119" spans="1:17">
      <c r="A119">
        <f>IF(VLOOKUP(B119,TOCA_current!$B$2:$BG$136,45,FALSE)=0,0,1)</f>
        <v>0</v>
      </c>
      <c r="B119" t="s">
        <v>112</v>
      </c>
      <c r="C119" s="267" t="str">
        <f>IF(A119=1,VLOOKUP($B119,Outputs!$B:$F,2,FALSE),"")</f>
        <v/>
      </c>
      <c r="D119" s="267">
        <f ca="1">IF(A119=0,VLOOKUP($B119,Outputs!$B:$F,2,FALSE),"")</f>
        <v>8.0183498536332082E-2</v>
      </c>
      <c r="E119" s="54"/>
      <c r="F119" s="54" t="str">
        <f>IF(A119=1,VLOOKUP($B119,Outputs!$H:$L,2,FALSE),"")</f>
        <v/>
      </c>
      <c r="G119" s="54">
        <f ca="1">IF(A119=0,VLOOKUP($B119,Outputs!$H:$L,2,FALSE),"")</f>
        <v>8.0183465597279138E-2</v>
      </c>
      <c r="H119" s="267"/>
      <c r="I119" s="267"/>
      <c r="J119" s="268">
        <f ca="1">VLOOKUP($B119,Outputs!$N:$R,2,FALSE)</f>
        <v>8.6988872775238799E-2</v>
      </c>
      <c r="K119" s="268">
        <f ca="1">+VLOOKUP(B119,Outputs!T:U,2,FALSE)</f>
        <v>0.20984563643391163</v>
      </c>
      <c r="L119" s="267" t="str">
        <f>IF($A119=1,VLOOKUP($B119,Outputs!$B:$F,3,FALSE),"")</f>
        <v/>
      </c>
      <c r="M119" s="267">
        <f ca="1">IF($A119=0,VLOOKUP($B119,Outputs!$B:$F,3,FALSE),"")</f>
        <v>40.448048532485728</v>
      </c>
      <c r="N119" s="267" t="str">
        <f>IF($A119=1,VLOOKUP($B119,Outputs!$H:$L,3,FALSE),"")</f>
        <v/>
      </c>
      <c r="O119" s="267">
        <f ca="1">IF($A119=0,VLOOKUP($B119,Outputs!$H:$L,3,FALSE),"")</f>
        <v>40.448063914950076</v>
      </c>
      <c r="P119" s="267" t="str">
        <f>IF($A119=1,VLOOKUP($B119,Outputs!$N:$R,3,FALSE),"")</f>
        <v/>
      </c>
      <c r="Q119" s="267">
        <f ca="1">IF($A119=0,VLOOKUP($B119,Outputs!$N:$R,3,FALSE),"")</f>
        <v>39.421369046501404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780608AFBDEF40ADECA5E63357D2FD" ma:contentTypeVersion="10" ma:contentTypeDescription="Create a new document." ma:contentTypeScope="" ma:versionID="712799d618fae67210e128a081b73943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883d4e8e4bb62dc9630bd01492c2b58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7FE692A-FD7D-4948-83BE-793E808AA9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AC3E135C-A2B8-4FD7-9DCF-E8C9A355B53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42B130C-C184-49AF-BCC3-C2E9E9722F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18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23" baseType="lpstr">
      <vt:lpstr>Init</vt:lpstr>
      <vt:lpstr>TOCA_previous</vt:lpstr>
      <vt:lpstr>TOCA_current</vt:lpstr>
      <vt:lpstr>LS_previous</vt:lpstr>
      <vt:lpstr>LS_current</vt:lpstr>
      <vt:lpstr>Demand_previous</vt:lpstr>
      <vt:lpstr>Demand_current</vt:lpstr>
      <vt:lpstr>Rates_previous</vt:lpstr>
      <vt:lpstr>Rates_current</vt:lpstr>
      <vt:lpstr>IRD</vt:lpstr>
      <vt:lpstr>RT1SC</vt:lpstr>
      <vt:lpstr>LS_Demand_Rates_Restatement</vt:lpstr>
      <vt:lpstr>Staging Table</vt:lpstr>
      <vt:lpstr>Charges_Including Slice and LS</vt:lpstr>
      <vt:lpstr>Charges_NonSlice</vt:lpstr>
      <vt:lpstr>Charges_NonSlice &amp; Excl LS</vt:lpstr>
      <vt:lpstr>Outputs</vt:lpstr>
      <vt:lpstr>Restatement</vt:lpstr>
      <vt:lpstr>Non-Slice Chart</vt:lpstr>
      <vt:lpstr>Non-Slice - Ordered Chart</vt:lpstr>
      <vt:lpstr>CurrentYear</vt:lpstr>
      <vt:lpstr>Rates_current!Print_Area</vt:lpstr>
      <vt:lpstr>YesNo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Peter Stiffler - PSR6</dc:creator>
  <cp:lastModifiedBy>Stiffler,Peter B (BPA) - PSR-6</cp:lastModifiedBy>
  <cp:lastPrinted>2019-07-09T17:43:52Z</cp:lastPrinted>
  <dcterms:created xsi:type="dcterms:W3CDTF">2013-06-26T17:49:16Z</dcterms:created>
  <dcterms:modified xsi:type="dcterms:W3CDTF">2024-11-27T20:03:55Z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0x010100D1780608AFBDEF40ADECA5E63357D2FD</vt:lpwstr>
  </property>
  <property fmtid="{D5CDD505-2E9C-101B-9397-08002B2CF9AE}" pid="3" name="Order">
    <vt:r8>4600</vt:r8>
  </property>
  <property fmtid="{D5CDD505-2E9C-101B-9397-08002B2CF9AE}" pid="4" name="xd_Signature">
    <vt:bool>false</vt:bool>
  </property>
  <property fmtid="{D5CDD505-2E9C-101B-9397-08002B2CF9AE}" pid="5" name="xd_ProgID">
    <vt:lpwstr/>
  </property>
  <property fmtid="{D5CDD505-2E9C-101B-9397-08002B2CF9AE}" pid="6" name="TemplateUrl">
    <vt:lpwstr/>
  </property>
</Properties>
</file>